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22.xml" ContentType="application/vnd.openxmlformats-officedocument.spreadsheetml.comments+xml"/>
  <Override PartName="/xl/sharedStrings.xml" ContentType="application/vnd.openxmlformats-officedocument.spreadsheetml.sharedStrings+xml"/>
  <Override PartName="/xl/comments15.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xl/worksheets/_rels/sheet22.xml.rels" ContentType="application/vnd.openxmlformats-package.relationships+xml"/>
  <Override PartName="/xl/worksheets/_rels/sheet10.xml.rels" ContentType="application/vnd.openxmlformats-package.relationships+xml"/>
  <Override PartName="/xl/worksheets/_rels/sheet18.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omments8.xml" ContentType="application/vnd.openxmlformats-officedocument.spreadsheetml.comments+xml"/>
  <Override PartName="/xl/theme/theme1.xml" ContentType="application/vnd.openxmlformats-officedocument.theme+xml"/>
  <Override PartName="/xl/comments18.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vmlDrawing5.vml" ContentType="application/vnd.openxmlformats-officedocument.vmlDrawing"/>
  <Override PartName="/xl/drawings/drawing5.xml" ContentType="application/vnd.openxmlformats-officedocument.drawing+xml"/>
  <Override PartName="/xl/drawings/vmlDrawing4.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9.xml" ContentType="application/vnd.openxmlformats-officedocument.drawing+xml"/>
  <Override PartName="/xl/drawings/vmlDrawing8.vml" ContentType="application/vnd.openxmlformats-officedocument.vmlDrawing"/>
  <Override PartName="/xl/drawings/drawing8.xml" ContentType="application/vnd.openxmlformats-officedocument.drawing+xml"/>
  <Override PartName="/xl/drawings/vmlDrawing7.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comments13.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ホーム" sheetId="1" state="visible" r:id="rId3"/>
    <sheet name="報告入力" sheetId="2" state="visible" r:id="rId4"/>
    <sheet name="検算" sheetId="3" state="visible" r:id="rId5"/>
    <sheet name="伝票入力" sheetId="4" state="visible" r:id="rId6"/>
    <sheet name="伝票画面" sheetId="5" state="visible" r:id="rId7"/>
    <sheet name="設定" sheetId="6" state="visible" r:id="rId8"/>
    <sheet name="伝票元" sheetId="7" state="visible" r:id="rId9"/>
    <sheet name="☆掛負収入" sheetId="8" state="visible" r:id="rId10"/>
    <sheet name="Sheet1" sheetId="9" state="visible" r:id="rId11"/>
    <sheet name="給与課提出用" sheetId="10" state="visible" r:id="rId12"/>
    <sheet name="還付" sheetId="11" state="visible" r:id="rId13"/>
    <sheet name="未納者等入金" sheetId="12" state="visible" r:id="rId14"/>
    <sheet name="全体集計（☆掛負調定）" sheetId="13" state="visible" r:id="rId15"/>
    <sheet name="☆労組公的負担（短期）" sheetId="14" state="visible" r:id="rId16"/>
    <sheet name="☆拠出金明細R7" sheetId="15" state="visible" r:id="rId17"/>
    <sheet name="☆振替R7" sheetId="16" state="visible" r:id="rId18"/>
    <sheet name="振替集計R7" sheetId="17" state="visible" r:id="rId19"/>
    <sheet name="☆長期集計R7" sheetId="18" state="visible" r:id="rId20"/>
    <sheet name="☆短期集計R7" sheetId="19" state="visible" r:id="rId21"/>
    <sheet name="☆介護集計R7" sheetId="20" state="visible" r:id="rId22"/>
    <sheet name="☆子・子集計R7" sheetId="21" state="visible" r:id="rId23"/>
    <sheet name="連合会調査用" sheetId="22" state="visible" r:id="rId24"/>
  </sheets>
  <externalReferences>
    <externalReference r:id="rId25"/>
  </externalReferences>
  <definedNames>
    <definedName function="false" hidden="false" localSheetId="13" name="_xlnm.Print_Area" vbProcedure="false">'☆労組公的負担（短期）'!$A$1:$F$25</definedName>
    <definedName function="false" hidden="false" localSheetId="15" name="_xlnm.Print_Area" vbProcedure="false">'☆振替R7'!$A$1:$L$527</definedName>
    <definedName function="false" hidden="false" localSheetId="7" name="_xlnm.Print_Area" vbProcedure="false">'☆掛負収入'!$A$1:$P$1194</definedName>
    <definedName function="false" hidden="false" localSheetId="7" name="_xlnm.Print_Titles" vbProcedure="false">'☆掛負収入'!$A:$A</definedName>
    <definedName function="false" hidden="false" localSheetId="18" name="_xlnm.Print_Area" vbProcedure="false">'☆短期集計R7'!$A$1:$K$85</definedName>
    <definedName function="false" hidden="false" localSheetId="17" name="_xlnm.Print_Area" vbProcedure="false">'☆長期集計R7'!$A$1:$K$88</definedName>
    <definedName function="false" hidden="false" localSheetId="12" name="_xlnm.Print_Area" vbProcedure="false">'全体集計（☆掛負調定）'!$A$1:$AR$43</definedName>
    <definedName function="false" hidden="true" localSheetId="1" name="_xlnm._FilterDatabase" vbProcedure="false">報告入力!$A$6:$CI$696</definedName>
    <definedName function="false" hidden="false" localSheetId="16" name="_xlnm.Print_Area" vbProcedure="false">振替集計R7!$A$1:$O$85</definedName>
    <definedName function="false" hidden="false" localSheetId="11" name="_xlnm.Print_Area" vbProcedure="false">未納者等入金!$A$1:$W$43,未納者等入金!$A$54:$U$94,未納者等入金!$A$114:$U$154</definedName>
    <definedName function="false" hidden="false" localSheetId="9" name="_xlnm.Print_Titles" vbProcedure="false">給与課提出用!$A:$A</definedName>
    <definedName function="false" hidden="false" localSheetId="21" name="_xlnm.Print_Area" vbProcedure="false">連合会調査用!$A$1:$O$85</definedName>
    <definedName function="false" hidden="false" localSheetId="10" name="_xlnm.Print_Area" vbProcedure="false">還付!$A$1:$Y$114</definedName>
    <definedName function="false" hidden="false" name="Excel_BuiltIn_Print_Area" vbProcedure="false">#REF!</definedName>
    <definedName function="false" hidden="false" name="PRINT_AREA_MI" vbProcedure="false">#REF!</definedName>
    <definedName function="false" hidden="false" name="_xlfn_ANCHORARRAY" vbProcedure="false"/>
    <definedName function="false" hidden="false" name="_xlfn_SINGLE" vbProcedure="false"/>
    <definedName function="false" hidden="false" localSheetId="7" name="Print_Area_MI" vbProcedure="false">#REF!</definedName>
    <definedName function="false" hidden="false" localSheetId="7" name="_Regression_Int" vbProcedure="false">1</definedName>
    <definedName function="false" hidden="false" localSheetId="10" name="PRINT_AREA_MI" vbProcedure="false">#REF!</definedName>
    <definedName function="false" hidden="false" localSheetId="11" name="PRINT_AREA_MI" vbProcedure="false">#REF!</definedName>
    <definedName function="false" hidden="false" localSheetId="15" name="PRINT_AREA_MI" vbProcedure="false">'[1]☆掛負調定'!$V$121:$DQ$278</definedName>
    <definedName function="false" hidden="false" localSheetId="17" name="PRINT_AREA_MI" vbProcedure="false">#REF!</definedName>
    <definedName function="false" hidden="false" localSheetId="19" name="PRINT_AREA_MI" vbProcedure="false">#REF!</definedName>
    <definedName function="false" hidden="false" localSheetId="20" name="PRINT_AREA_MI" vbProcedure="false">#REF!</definedName>
    <definedName function="false" hidden="false" localSheetId="21" name="PRINT_AREA_MI" vbProcedure="false">#REF!</definedName>
  </definedNames>
  <calcPr iterateCount="100" refMode="A1" iterate="false" iterateDelta="0.001"/>
  <extLst>
    <ext xmlns:loext="http://schemas.libreoffice.org/" uri="{7626C862-2A13-11E5-B345-FEFF819CDC9F}">
      <loext:extCalcPr stringRefSyntax="CalcA1"/>
    </ext>
  </extLst>
</workbook>
</file>

<file path=xl/comments8.xml><?xml version="1.0" encoding="utf-8"?>
<comments xmlns="http://schemas.openxmlformats.org/spreadsheetml/2006/main" xmlns:xdr="http://schemas.openxmlformats.org/drawingml/2006/spreadsheetDrawing">
  <authors>
    <author>Unknown Author</author>
  </authors>
  <commentList>
    <comment ref="A1158" authorId="0">
      <text>
        <r>
          <rPr>
            <sz val="10"/>
            <rFont val="Arial"/>
            <family val="2"/>
          </rPr>
          <t xml:space="preserve">R8.2.16
</t>
        </r>
        <r>
          <rPr>
            <b val="true"/>
            <sz val="11"/>
            <color rgb="FF000000"/>
            <rFont val="WenQuanYi Zen Hei"/>
            <family val="2"/>
            <charset val="1"/>
          </rPr>
          <t xml:space="preserve">月例分と同日振込</t>
        </r>
      </text>
    </comment>
    <comment ref="A1175" authorId="0">
      <text>
        <r>
          <rPr>
            <sz val="10"/>
            <rFont val="Arial"/>
            <family val="2"/>
          </rPr>
          <t xml:space="preserve">R8.2.20
</t>
        </r>
        <r>
          <rPr>
            <b val="true"/>
            <sz val="9"/>
            <color rgb="FF000000"/>
            <rFont val="WenQuanYi Zen Hei"/>
            <family val="2"/>
            <charset val="1"/>
          </rPr>
          <t xml:space="preserve">月例分と同日振込</t>
        </r>
      </text>
    </comment>
    <comment ref="A1176" authorId="0">
      <text>
        <r>
          <rPr>
            <sz val="10"/>
            <rFont val="Arial"/>
            <family val="2"/>
          </rPr>
          <t xml:space="preserve">R8.2.16
</t>
        </r>
        <r>
          <rPr>
            <b val="true"/>
            <sz val="9"/>
            <color rgb="FF000000"/>
            <rFont val="WenQuanYi Zen Hei"/>
            <family val="2"/>
            <charset val="1"/>
          </rPr>
          <t xml:space="preserve">月例分と同日振込</t>
        </r>
      </text>
    </comment>
    <comment ref="B876" authorId="0">
      <text>
        <r>
          <rPr>
            <sz val="10"/>
            <rFont val="WenQuanYi Zen Hei"/>
            <family val="2"/>
          </rPr>
          <t xml:space="preserve">号給調整に伴う差額分
</t>
        </r>
        <r>
          <rPr>
            <b val="true"/>
            <sz val="12"/>
            <color rgb="FF000000"/>
            <rFont val="MS P ゴシック"/>
            <family val="3"/>
            <charset val="128"/>
          </rPr>
          <t xml:space="preserve">3</t>
        </r>
        <r>
          <rPr>
            <b val="true"/>
            <sz val="12"/>
            <color rgb="FF000000"/>
            <rFont val="WenQuanYi Zen Hei"/>
            <family val="2"/>
            <charset val="1"/>
          </rPr>
          <t xml:space="preserve">月期末として扱う
（</t>
        </r>
        <r>
          <rPr>
            <b val="true"/>
            <sz val="12"/>
            <color rgb="FF000000"/>
            <rFont val="MS P ゴシック"/>
            <family val="3"/>
            <charset val="128"/>
          </rPr>
          <t xml:space="preserve">3/16</t>
        </r>
        <r>
          <rPr>
            <b val="true"/>
            <sz val="12"/>
            <color rgb="FF000000"/>
            <rFont val="WenQuanYi Zen Hei"/>
            <family val="2"/>
            <charset val="1"/>
          </rPr>
          <t xml:space="preserve">納付）</t>
        </r>
      </text>
    </comment>
    <comment ref="B1186" authorId="0">
      <text>
        <r>
          <rPr>
            <sz val="10"/>
            <rFont val="WenQuanYi Zen Hei"/>
            <family val="2"/>
          </rPr>
          <t xml:space="preserve">差額分：</t>
        </r>
        <r>
          <rPr>
            <b val="true"/>
            <sz val="10"/>
            <color rgb="FF000000"/>
            <rFont val="MS P ゴシック"/>
            <family val="3"/>
            <charset val="128"/>
          </rPr>
          <t xml:space="preserve">5,490
</t>
        </r>
        <r>
          <rPr>
            <b val="true"/>
            <sz val="10"/>
            <color rgb="FF000000"/>
            <rFont val="WenQuanYi Zen Hei"/>
            <family val="2"/>
            <charset val="1"/>
          </rPr>
          <t xml:space="preserve">追加納付分：</t>
        </r>
        <r>
          <rPr>
            <b val="true"/>
            <sz val="10"/>
            <color rgb="FF000000"/>
            <rFont val="MS P ゴシック"/>
            <family val="3"/>
            <charset val="128"/>
          </rPr>
          <t xml:space="preserve">1,281</t>
        </r>
      </text>
    </comment>
    <comment ref="B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72,651
</t>
        </r>
        <r>
          <rPr>
            <b val="true"/>
            <sz val="11"/>
            <color rgb="FF000000"/>
            <rFont val="WenQuanYi Zen Hei"/>
            <family val="2"/>
            <charset val="1"/>
          </rPr>
          <t xml:space="preserve">差額分：</t>
        </r>
        <r>
          <rPr>
            <b val="true"/>
            <sz val="11"/>
            <color rgb="FF000000"/>
            <rFont val="MS P ゴシック"/>
            <family val="3"/>
            <charset val="128"/>
          </rPr>
          <t xml:space="preserve">5,94</t>
        </r>
        <r>
          <rPr>
            <b val="true"/>
            <sz val="10"/>
            <color rgb="FF000000"/>
            <rFont val="MS P ゴシック"/>
            <family val="3"/>
            <charset val="128"/>
          </rPr>
          <t xml:space="preserve">7</t>
        </r>
      </text>
    </comment>
    <comment ref="C1186" authorId="0">
      <text>
        <r>
          <rPr>
            <sz val="10"/>
            <rFont val="WenQuanYi Zen Hei"/>
            <family val="2"/>
          </rPr>
          <t xml:space="preserve">差額分：</t>
        </r>
        <r>
          <rPr>
            <b val="true"/>
            <sz val="10"/>
            <color rgb="FF000000"/>
            <rFont val="MS P ゴシック"/>
            <family val="3"/>
            <charset val="128"/>
          </rPr>
          <t xml:space="preserve">450
</t>
        </r>
        <r>
          <rPr>
            <b val="true"/>
            <sz val="10"/>
            <color rgb="FF000000"/>
            <rFont val="WenQuanYi Zen Hei"/>
            <family val="2"/>
            <charset val="1"/>
          </rPr>
          <t xml:space="preserve">追加納付分：</t>
        </r>
        <r>
          <rPr>
            <b val="true"/>
            <sz val="10"/>
            <color rgb="FF000000"/>
            <rFont val="MS P ゴシック"/>
            <family val="3"/>
            <charset val="128"/>
          </rPr>
          <t xml:space="preserve">105
</t>
        </r>
      </text>
    </comment>
    <comment ref="C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5,955
</t>
        </r>
        <r>
          <rPr>
            <b val="true"/>
            <sz val="11"/>
            <color rgb="FF000000"/>
            <rFont val="WenQuanYi Zen Hei"/>
            <family val="2"/>
            <charset val="1"/>
          </rPr>
          <t xml:space="preserve">差額分：</t>
        </r>
        <r>
          <rPr>
            <b val="true"/>
            <sz val="11"/>
            <color rgb="FF000000"/>
            <rFont val="MS P ゴシック"/>
            <family val="3"/>
            <charset val="128"/>
          </rPr>
          <t xml:space="preserve">487</t>
        </r>
      </text>
    </comment>
    <comment ref="D164" authorId="0">
      <text>
        <r>
          <rPr>
            <sz val="10"/>
            <rFont val="WenQuanYi Zen Hei"/>
            <family val="2"/>
          </rPr>
          <t xml:space="preserve">正当額</t>
        </r>
        <r>
          <rPr>
            <b val="true"/>
            <sz val="11"/>
            <color rgb="FF000000"/>
            <rFont val="MS P ゴシック"/>
            <family val="3"/>
            <charset val="128"/>
          </rPr>
          <t xml:space="preserve">709,125</t>
        </r>
        <r>
          <rPr>
            <b val="true"/>
            <sz val="11"/>
            <color rgb="FF000000"/>
            <rFont val="WenQuanYi Zen Hei"/>
            <family val="2"/>
            <charset val="1"/>
          </rPr>
          <t xml:space="preserve">円＋過誤納</t>
        </r>
        <r>
          <rPr>
            <b val="true"/>
            <sz val="11"/>
            <color rgb="FF000000"/>
            <rFont val="MS P ゴシック"/>
            <family val="3"/>
            <charset val="128"/>
          </rPr>
          <t xml:space="preserve">8,913</t>
        </r>
        <r>
          <rPr>
            <b val="true"/>
            <sz val="11"/>
            <color rgb="FF000000"/>
            <rFont val="WenQuanYi Zen Hei"/>
            <family val="2"/>
            <charset val="1"/>
          </rPr>
          <t xml:space="preserve">円＝</t>
        </r>
        <r>
          <rPr>
            <b val="true"/>
            <sz val="11"/>
            <color rgb="FF000000"/>
            <rFont val="MS P ゴシック"/>
            <family val="3"/>
            <charset val="128"/>
          </rPr>
          <t xml:space="preserve">718,038</t>
        </r>
        <r>
          <rPr>
            <b val="true"/>
            <sz val="11"/>
            <color rgb="FF000000"/>
            <rFont val="WenQuanYi Zen Hei"/>
            <family val="2"/>
            <charset val="1"/>
          </rPr>
          <t xml:space="preserve">円（</t>
        </r>
        <r>
          <rPr>
            <b val="true"/>
            <sz val="11"/>
            <color rgb="FF000000"/>
            <rFont val="MS P ゴシック"/>
            <family val="3"/>
            <charset val="128"/>
          </rPr>
          <t xml:space="preserve">7</t>
        </r>
        <r>
          <rPr>
            <b val="true"/>
            <sz val="11"/>
            <color rgb="FF000000"/>
            <rFont val="WenQuanYi Zen Hei"/>
            <family val="2"/>
            <charset val="1"/>
          </rPr>
          <t xml:space="preserve">月月例で相殺予定）
</t>
        </r>
      </text>
    </comment>
    <comment ref="D294" authorId="0">
      <text>
        <r>
          <rPr>
            <sz val="10"/>
            <rFont val="WenQuanYi Zen Hei"/>
            <family val="2"/>
          </rPr>
          <t xml:space="preserve">算出額</t>
        </r>
        <r>
          <rPr>
            <b val="true"/>
            <sz val="11"/>
            <color rgb="FF000000"/>
            <rFont val="MS P ゴシック"/>
            <family val="3"/>
            <charset val="128"/>
          </rPr>
          <t xml:space="preserve">755,790</t>
        </r>
        <r>
          <rPr>
            <b val="true"/>
            <sz val="11"/>
            <color rgb="FF000000"/>
            <rFont val="WenQuanYi Zen Hei"/>
            <family val="2"/>
            <charset val="1"/>
          </rPr>
          <t xml:space="preserve">円
</t>
        </r>
        <r>
          <rPr>
            <b val="true"/>
            <sz val="11"/>
            <color rgb="FF000000"/>
            <rFont val="MS P ゴシック"/>
            <family val="3"/>
            <charset val="128"/>
          </rPr>
          <t xml:space="preserve">6</t>
        </r>
        <r>
          <rPr>
            <b val="true"/>
            <sz val="11"/>
            <color rgb="FF000000"/>
            <rFont val="WenQuanYi Zen Hei"/>
            <family val="2"/>
            <charset val="1"/>
          </rPr>
          <t xml:space="preserve">月月例過納額</t>
        </r>
        <r>
          <rPr>
            <b val="true"/>
            <sz val="11"/>
            <color rgb="FF000000"/>
            <rFont val="MS P ゴシック"/>
            <family val="3"/>
            <charset val="128"/>
          </rPr>
          <t xml:space="preserve">8,913</t>
        </r>
        <r>
          <rPr>
            <b val="true"/>
            <sz val="11"/>
            <color rgb="FF000000"/>
            <rFont val="WenQuanYi Zen Hei"/>
            <family val="2"/>
            <charset val="1"/>
          </rPr>
          <t xml:space="preserve">円
</t>
        </r>
        <r>
          <rPr>
            <b val="true"/>
            <sz val="11"/>
            <color rgb="FF000000"/>
            <rFont val="MS P ゴシック"/>
            <family val="3"/>
            <charset val="128"/>
          </rPr>
          <t xml:space="preserve">755,790-8,913</t>
        </r>
        <r>
          <rPr>
            <b val="true"/>
            <sz val="11"/>
            <color rgb="FF000000"/>
            <rFont val="WenQuanYi Zen Hei"/>
            <family val="2"/>
            <charset val="1"/>
          </rPr>
          <t xml:space="preserve">＝</t>
        </r>
        <r>
          <rPr>
            <b val="true"/>
            <sz val="11"/>
            <color rgb="FF000000"/>
            <rFont val="MS P ゴシック"/>
            <family val="3"/>
            <charset val="128"/>
          </rPr>
          <t xml:space="preserve">746,877</t>
        </r>
        <r>
          <rPr>
            <b val="true"/>
            <sz val="11"/>
            <color rgb="FF000000"/>
            <rFont val="WenQuanYi Zen Hei"/>
            <family val="2"/>
            <charset val="1"/>
          </rPr>
          <t xml:space="preserve">円（相殺後）</t>
        </r>
      </text>
    </comment>
    <comment ref="D1186" authorId="0">
      <text>
        <r>
          <rPr>
            <sz val="10"/>
            <rFont val="WenQuanYi Zen Hei"/>
            <family val="2"/>
          </rPr>
          <t xml:space="preserve">差額分：</t>
        </r>
        <r>
          <rPr>
            <b val="true"/>
            <sz val="10"/>
            <color rgb="FF000000"/>
            <rFont val="MS P ゴシック"/>
            <family val="3"/>
            <charset val="128"/>
          </rPr>
          <t xml:space="preserve">5,490
</t>
        </r>
        <r>
          <rPr>
            <b val="true"/>
            <sz val="10"/>
            <color rgb="FF000000"/>
            <rFont val="WenQuanYi Zen Hei"/>
            <family val="2"/>
            <charset val="1"/>
          </rPr>
          <t xml:space="preserve">追加納付分：</t>
        </r>
        <r>
          <rPr>
            <b val="true"/>
            <sz val="10"/>
            <color rgb="FF000000"/>
            <rFont val="MS P ゴシック"/>
            <family val="3"/>
            <charset val="128"/>
          </rPr>
          <t xml:space="preserve">1,281</t>
        </r>
      </text>
    </comment>
    <comment ref="D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72,651
</t>
        </r>
        <r>
          <rPr>
            <b val="true"/>
            <sz val="11"/>
            <color rgb="FF000000"/>
            <rFont val="WenQuanYi Zen Hei"/>
            <family val="2"/>
            <charset val="1"/>
          </rPr>
          <t xml:space="preserve">差額分：</t>
        </r>
        <r>
          <rPr>
            <b val="true"/>
            <sz val="11"/>
            <color rgb="FF000000"/>
            <rFont val="MS P ゴシック"/>
            <family val="3"/>
            <charset val="128"/>
          </rPr>
          <t xml:space="preserve">5,948</t>
        </r>
      </text>
    </comment>
    <comment ref="E1186" authorId="0">
      <text>
        <r>
          <rPr>
            <sz val="10"/>
            <rFont val="WenQuanYi Zen Hei"/>
            <family val="2"/>
          </rPr>
          <t xml:space="preserve">差額分：</t>
        </r>
        <r>
          <rPr>
            <b val="true"/>
            <sz val="10"/>
            <color rgb="FF000000"/>
            <rFont val="MS P ゴシック"/>
            <family val="3"/>
            <charset val="128"/>
          </rPr>
          <t xml:space="preserve">450
</t>
        </r>
        <r>
          <rPr>
            <b val="true"/>
            <sz val="10"/>
            <color rgb="FF000000"/>
            <rFont val="WenQuanYi Zen Hei"/>
            <family val="2"/>
            <charset val="1"/>
          </rPr>
          <t xml:space="preserve">追加納付分：</t>
        </r>
        <r>
          <rPr>
            <b val="true"/>
            <sz val="10"/>
            <color rgb="FF000000"/>
            <rFont val="MS P ゴシック"/>
            <family val="3"/>
            <charset val="128"/>
          </rPr>
          <t xml:space="preserve">105
</t>
        </r>
      </text>
    </comment>
    <comment ref="E1188" authorId="0">
      <text>
        <r>
          <rPr>
            <sz val="10"/>
            <rFont val="Arial"/>
            <family val="2"/>
          </rPr>
          <t xml:space="preserve">12</t>
        </r>
        <r>
          <rPr>
            <b val="true"/>
            <sz val="10"/>
            <color rgb="FF000000"/>
            <rFont val="WenQuanYi Zen Hei"/>
            <family val="2"/>
            <charset val="1"/>
          </rPr>
          <t xml:space="preserve">月</t>
        </r>
        <r>
          <rPr>
            <b val="true"/>
            <sz val="10"/>
            <color rgb="FF000000"/>
            <rFont val="MS P ゴシック"/>
            <family val="3"/>
            <charset val="128"/>
          </rPr>
          <t xml:space="preserve">B</t>
        </r>
        <r>
          <rPr>
            <b val="true"/>
            <sz val="10"/>
            <color rgb="FF000000"/>
            <rFont val="WenQuanYi Zen Hei"/>
            <family val="2"/>
            <charset val="1"/>
          </rPr>
          <t xml:space="preserve">追納分：</t>
        </r>
        <r>
          <rPr>
            <b val="true"/>
            <sz val="10"/>
            <color rgb="FF000000"/>
            <rFont val="MS P ゴシック"/>
            <family val="3"/>
            <charset val="128"/>
          </rPr>
          <t xml:space="preserve">5,955
</t>
        </r>
        <r>
          <rPr>
            <b val="true"/>
            <sz val="10"/>
            <color rgb="FF000000"/>
            <rFont val="WenQuanYi Zen Hei"/>
            <family val="2"/>
            <charset val="1"/>
          </rPr>
          <t xml:space="preserve">差額分：</t>
        </r>
        <r>
          <rPr>
            <b val="true"/>
            <sz val="10"/>
            <color rgb="FF000000"/>
            <rFont val="MS P ゴシック"/>
            <family val="3"/>
            <charset val="128"/>
          </rPr>
          <t xml:space="preserve">487</t>
        </r>
      </text>
    </comment>
    <comment ref="H64" authorId="0">
      <text>
        <r>
          <rPr>
            <sz val="10"/>
            <rFont val="WenQuanYi Zen Hei"/>
            <family val="2"/>
          </rPr>
          <t xml:space="preserve">前受収益分</t>
        </r>
        <r>
          <rPr>
            <b val="true"/>
            <sz val="11"/>
            <color rgb="FF000000"/>
            <rFont val="MS P ゴシック"/>
            <family val="3"/>
            <charset val="128"/>
          </rPr>
          <t xml:space="preserve">34,502,619</t>
        </r>
        <r>
          <rPr>
            <b val="true"/>
            <sz val="11"/>
            <color rgb="FF000000"/>
            <rFont val="WenQuanYi Zen Hei"/>
            <family val="2"/>
            <charset val="1"/>
          </rPr>
          <t xml:space="preserve">を含む。
未収掛金：短期</t>
        </r>
        <r>
          <rPr>
            <b val="true"/>
            <sz val="11"/>
            <color rgb="FF000000"/>
            <rFont val="MS P ゴシック"/>
            <family val="3"/>
            <charset val="128"/>
          </rPr>
          <t xml:space="preserve">54,568</t>
        </r>
        <r>
          <rPr>
            <b val="true"/>
            <sz val="11"/>
            <color rgb="FF000000"/>
            <rFont val="WenQuanYi Zen Hei"/>
            <family val="2"/>
            <charset val="1"/>
          </rPr>
          <t xml:space="preserve">を含む。</t>
        </r>
      </text>
    </comment>
    <comment ref="H466" authorId="0">
      <text>
        <r>
          <rPr>
            <sz val="10"/>
            <rFont val="WenQuanYi Zen Hei"/>
            <family val="2"/>
          </rPr>
          <t xml:space="preserve">市：</t>
        </r>
        <r>
          <rPr>
            <b val="true"/>
            <sz val="11"/>
            <color rgb="FF000000"/>
            <rFont val="MS P ゴシック"/>
            <family val="3"/>
            <charset val="128"/>
          </rPr>
          <t xml:space="preserve">190,331
</t>
        </r>
        <r>
          <rPr>
            <b val="true"/>
            <sz val="11"/>
            <color rgb="FF000000"/>
            <rFont val="WenQuanYi Zen Hei"/>
            <family val="2"/>
            <charset val="1"/>
          </rPr>
          <t xml:space="preserve">中区：</t>
        </r>
        <r>
          <rPr>
            <b val="true"/>
            <sz val="11"/>
            <color rgb="FF000000"/>
            <rFont val="MS P ゴシック"/>
            <family val="3"/>
            <charset val="128"/>
          </rPr>
          <t xml:space="preserve">0</t>
        </r>
        <r>
          <rPr>
            <b val="true"/>
            <sz val="11"/>
            <color rgb="FF000000"/>
            <rFont val="WenQuanYi Zen Hei"/>
            <family val="2"/>
            <charset val="1"/>
          </rPr>
          <t xml:space="preserve">　</t>
        </r>
        <r>
          <rPr>
            <b val="true"/>
            <u val="single"/>
            <sz val="11"/>
            <color rgb="FF000000"/>
            <rFont val="WenQuanYi Zen Hei"/>
            <family val="2"/>
            <charset val="1"/>
          </rPr>
          <t xml:space="preserve">未納あり！</t>
        </r>
      </text>
    </comment>
    <comment ref="H531" authorId="0">
      <text>
        <r>
          <rPr>
            <sz val="10"/>
            <rFont val="WenQuanYi Zen Hei"/>
            <family val="2"/>
          </rPr>
          <t xml:space="preserve">市選管：</t>
        </r>
        <r>
          <rPr>
            <b val="true"/>
            <sz val="11"/>
            <color rgb="FF000000"/>
            <rFont val="MS P ゴシック"/>
            <family val="3"/>
            <charset val="128"/>
          </rPr>
          <t xml:space="preserve">190,331
</t>
        </r>
        <r>
          <rPr>
            <b val="true"/>
            <sz val="11"/>
            <color rgb="FF000000"/>
            <rFont val="WenQuanYi Zen Hei"/>
            <family val="2"/>
            <charset val="1"/>
          </rPr>
          <t xml:space="preserve">中区選管（</t>
        </r>
        <r>
          <rPr>
            <b val="true"/>
            <sz val="11"/>
            <color rgb="FF000000"/>
            <rFont val="MS P ゴシック"/>
            <family val="3"/>
            <charset val="128"/>
          </rPr>
          <t xml:space="preserve">6</t>
        </r>
        <r>
          <rPr>
            <b val="true"/>
            <sz val="11"/>
            <color rgb="FF000000"/>
            <rFont val="WenQuanYi Zen Hei"/>
            <family val="2"/>
            <charset val="1"/>
          </rPr>
          <t xml:space="preserve">，</t>
        </r>
        <r>
          <rPr>
            <b val="true"/>
            <sz val="11"/>
            <color rgb="FF000000"/>
            <rFont val="MS P ゴシック"/>
            <family val="3"/>
            <charset val="128"/>
          </rPr>
          <t xml:space="preserve">7</t>
        </r>
        <r>
          <rPr>
            <b val="true"/>
            <sz val="11"/>
            <color rgb="FF000000"/>
            <rFont val="WenQuanYi Zen Hei"/>
            <family val="2"/>
            <charset val="1"/>
          </rPr>
          <t xml:space="preserve">，</t>
        </r>
        <r>
          <rPr>
            <b val="true"/>
            <sz val="11"/>
            <color rgb="FF000000"/>
            <rFont val="MS P ゴシック"/>
            <family val="3"/>
            <charset val="128"/>
          </rPr>
          <t xml:space="preserve">10</t>
        </r>
        <r>
          <rPr>
            <b val="true"/>
            <sz val="11"/>
            <color rgb="FF000000"/>
            <rFont val="WenQuanYi Zen Hei"/>
            <family val="2"/>
            <charset val="1"/>
          </rPr>
          <t xml:space="preserve">月追納）：</t>
        </r>
        <r>
          <rPr>
            <b val="true"/>
            <sz val="11"/>
            <color rgb="FF000000"/>
            <rFont val="MS P ゴシック"/>
            <family val="3"/>
            <charset val="128"/>
          </rPr>
          <t xml:space="preserve">51,157
</t>
        </r>
        <r>
          <rPr>
            <b val="true"/>
            <sz val="11"/>
            <color rgb="FF000000"/>
            <rFont val="WenQuanYi Zen Hei"/>
            <family val="2"/>
            <charset val="1"/>
          </rPr>
          <t xml:space="preserve">安佐南区選管（</t>
        </r>
        <r>
          <rPr>
            <b val="true"/>
            <sz val="11"/>
            <color rgb="FF000000"/>
            <rFont val="MS P ゴシック"/>
            <family val="3"/>
            <charset val="128"/>
          </rPr>
          <t xml:space="preserve">6</t>
        </r>
        <r>
          <rPr>
            <b val="true"/>
            <sz val="11"/>
            <color rgb="FF000000"/>
            <rFont val="WenQuanYi Zen Hei"/>
            <family val="2"/>
            <charset val="1"/>
          </rPr>
          <t xml:space="preserve">月追納）：</t>
        </r>
        <r>
          <rPr>
            <b val="true"/>
            <sz val="11"/>
            <color rgb="FF000000"/>
            <rFont val="MS P ゴシック"/>
            <family val="3"/>
            <charset val="128"/>
          </rPr>
          <t xml:space="preserve">22,553</t>
        </r>
      </text>
    </comment>
    <comment ref="H876" authorId="0">
      <text>
        <r>
          <rPr>
            <sz val="10"/>
            <rFont val="WenQuanYi Zen Hei"/>
            <family val="2"/>
          </rPr>
          <t xml:space="preserve">号給調整に伴う差額分
</t>
        </r>
        <r>
          <rPr>
            <b val="true"/>
            <sz val="11"/>
            <color rgb="FF000000"/>
            <rFont val="MS P ゴシック"/>
            <family val="3"/>
            <charset val="128"/>
          </rPr>
          <t xml:space="preserve">3</t>
        </r>
        <r>
          <rPr>
            <b val="true"/>
            <sz val="11"/>
            <color rgb="FF000000"/>
            <rFont val="WenQuanYi Zen Hei"/>
            <family val="2"/>
            <charset val="1"/>
          </rPr>
          <t xml:space="preserve">月期末として扱う
（</t>
        </r>
        <r>
          <rPr>
            <b val="true"/>
            <sz val="11"/>
            <color rgb="FF000000"/>
            <rFont val="MS P ゴシック"/>
            <family val="3"/>
            <charset val="128"/>
          </rPr>
          <t xml:space="preserve">3/16</t>
        </r>
        <r>
          <rPr>
            <b val="true"/>
            <sz val="11"/>
            <color rgb="FF000000"/>
            <rFont val="WenQuanYi Zen Hei"/>
            <family val="2"/>
            <charset val="1"/>
          </rPr>
          <t xml:space="preserve">納付）</t>
        </r>
      </text>
    </comment>
    <comment ref="H966" authorId="0">
      <text>
        <r>
          <rPr>
            <sz val="10"/>
            <rFont val="WenQuanYi Zen Hei"/>
            <family val="2"/>
          </rPr>
          <t xml:space="preserve">市へ一旦復帰して退職する場合</t>
        </r>
      </text>
    </comment>
    <comment ref="H974" authorId="0">
      <text>
        <r>
          <rPr>
            <sz val="10"/>
            <rFont val="WenQuanYi Zen Hei"/>
            <family val="2"/>
          </rPr>
          <t xml:space="preserve">現年度分の納付は計上する。次年度分の前納は前受収益として伝票処理し、４月分に計上する。</t>
        </r>
      </text>
    </comment>
    <comment ref="H1186" authorId="0">
      <text>
        <r>
          <rPr>
            <sz val="10"/>
            <rFont val="WenQuanYi Zen Hei"/>
            <family val="2"/>
          </rPr>
          <t xml:space="preserve">差額分：</t>
        </r>
        <r>
          <rPr>
            <b val="true"/>
            <sz val="10"/>
            <color rgb="FF000000"/>
            <rFont val="MS P ゴシック"/>
            <family val="3"/>
            <charset val="128"/>
          </rPr>
          <t xml:space="preserve">3,300
</t>
        </r>
        <r>
          <rPr>
            <b val="true"/>
            <sz val="10"/>
            <color rgb="FF000000"/>
            <rFont val="WenQuanYi Zen Hei"/>
            <family val="2"/>
            <charset val="1"/>
          </rPr>
          <t xml:space="preserve">追加納付分：</t>
        </r>
        <r>
          <rPr>
            <b val="true"/>
            <sz val="10"/>
            <color rgb="FF000000"/>
            <rFont val="MS P ゴシック"/>
            <family val="3"/>
            <charset val="128"/>
          </rPr>
          <t xml:space="preserve">770
</t>
        </r>
      </text>
    </comment>
    <comment ref="H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43,677
</t>
        </r>
        <r>
          <rPr>
            <b val="true"/>
            <sz val="11"/>
            <color rgb="FF000000"/>
            <rFont val="WenQuanYi Zen Hei"/>
            <family val="2"/>
            <charset val="1"/>
          </rPr>
          <t xml:space="preserve">差額分：</t>
        </r>
        <r>
          <rPr>
            <b val="true"/>
            <sz val="11"/>
            <color rgb="FF000000"/>
            <rFont val="MS P ゴシック"/>
            <family val="3"/>
            <charset val="128"/>
          </rPr>
          <t xml:space="preserve">4,897</t>
        </r>
      </text>
    </comment>
    <comment ref="I164" authorId="0">
      <text>
        <r>
          <rPr>
            <sz val="10"/>
            <rFont val="WenQuanYi Zen Hei"/>
            <family val="2"/>
          </rPr>
          <t xml:space="preserve">正当額</t>
        </r>
        <r>
          <rPr>
            <b val="true"/>
            <sz val="11"/>
            <color rgb="FF000000"/>
            <rFont val="MS P ゴシック"/>
            <family val="3"/>
            <charset val="128"/>
          </rPr>
          <t xml:space="preserve">402,302</t>
        </r>
        <r>
          <rPr>
            <b val="true"/>
            <sz val="11"/>
            <color rgb="FF000000"/>
            <rFont val="WenQuanYi Zen Hei"/>
            <family val="2"/>
            <charset val="1"/>
          </rPr>
          <t xml:space="preserve">円</t>
        </r>
        <r>
          <rPr>
            <b val="true"/>
            <sz val="11"/>
            <color rgb="FF000000"/>
            <rFont val="MS P ゴシック"/>
            <family val="3"/>
            <charset val="128"/>
          </rPr>
          <t xml:space="preserve">-</t>
        </r>
        <r>
          <rPr>
            <b val="true"/>
            <sz val="11"/>
            <color rgb="FF000000"/>
            <rFont val="WenQuanYi Zen Hei"/>
            <family val="2"/>
            <charset val="1"/>
          </rPr>
          <t xml:space="preserve">不足額</t>
        </r>
        <r>
          <rPr>
            <b val="true"/>
            <sz val="11"/>
            <color rgb="FF000000"/>
            <rFont val="MS P ゴシック"/>
            <family val="3"/>
            <charset val="128"/>
          </rPr>
          <t xml:space="preserve">8,913</t>
        </r>
        <r>
          <rPr>
            <b val="true"/>
            <sz val="11"/>
            <color rgb="FF000000"/>
            <rFont val="WenQuanYi Zen Hei"/>
            <family val="2"/>
            <charset val="1"/>
          </rPr>
          <t xml:space="preserve">円＝</t>
        </r>
        <r>
          <rPr>
            <b val="true"/>
            <sz val="11"/>
            <color rgb="FF000000"/>
            <rFont val="MS P ゴシック"/>
            <family val="3"/>
            <charset val="128"/>
          </rPr>
          <t xml:space="preserve">393,389</t>
        </r>
        <r>
          <rPr>
            <b val="true"/>
            <sz val="11"/>
            <color rgb="FF000000"/>
            <rFont val="WenQuanYi Zen Hei"/>
            <family val="2"/>
            <charset val="1"/>
          </rPr>
          <t xml:space="preserve">円（</t>
        </r>
        <r>
          <rPr>
            <b val="true"/>
            <sz val="11"/>
            <color rgb="FF000000"/>
            <rFont val="MS P ゴシック"/>
            <family val="3"/>
            <charset val="128"/>
          </rPr>
          <t xml:space="preserve">7</t>
        </r>
        <r>
          <rPr>
            <b val="true"/>
            <sz val="11"/>
            <color rgb="FF000000"/>
            <rFont val="WenQuanYi Zen Hei"/>
            <family val="2"/>
            <charset val="1"/>
          </rPr>
          <t xml:space="preserve">月月例で追納予定）</t>
        </r>
      </text>
    </comment>
    <comment ref="I189" authorId="0">
      <text>
        <r>
          <rPr>
            <sz val="10"/>
            <rFont val="WenQuanYi Zen Hei"/>
            <family val="2"/>
          </rPr>
          <t xml:space="preserve">正当額</t>
        </r>
        <r>
          <rPr>
            <b val="true"/>
            <sz val="11"/>
            <color rgb="FF000000"/>
            <rFont val="MS P ゴシック"/>
            <family val="3"/>
            <charset val="128"/>
          </rPr>
          <t xml:space="preserve">16,611</t>
        </r>
        <r>
          <rPr>
            <b val="true"/>
            <sz val="11"/>
            <color rgb="FF000000"/>
            <rFont val="WenQuanYi Zen Hei"/>
            <family val="2"/>
            <charset val="1"/>
          </rPr>
          <t xml:space="preserve">円＋過誤納</t>
        </r>
        <r>
          <rPr>
            <b val="true"/>
            <sz val="11"/>
            <color rgb="FF000000"/>
            <rFont val="MS P ゴシック"/>
            <family val="3"/>
            <charset val="128"/>
          </rPr>
          <t xml:space="preserve">1,296</t>
        </r>
        <r>
          <rPr>
            <b val="true"/>
            <sz val="11"/>
            <color rgb="FF000000"/>
            <rFont val="WenQuanYi Zen Hei"/>
            <family val="2"/>
            <charset val="1"/>
          </rPr>
          <t xml:space="preserve">円＝</t>
        </r>
        <r>
          <rPr>
            <b val="true"/>
            <sz val="11"/>
            <color rgb="FF000000"/>
            <rFont val="MS P ゴシック"/>
            <family val="3"/>
            <charset val="128"/>
          </rPr>
          <t xml:space="preserve">17,907</t>
        </r>
        <r>
          <rPr>
            <b val="true"/>
            <sz val="11"/>
            <color rgb="FF000000"/>
            <rFont val="WenQuanYi Zen Hei"/>
            <family val="2"/>
            <charset val="1"/>
          </rPr>
          <t xml:space="preserve">円（</t>
        </r>
        <r>
          <rPr>
            <b val="true"/>
            <sz val="11"/>
            <color rgb="FF000000"/>
            <rFont val="MS P ゴシック"/>
            <family val="3"/>
            <charset val="128"/>
          </rPr>
          <t xml:space="preserve">7</t>
        </r>
        <r>
          <rPr>
            <b val="true"/>
            <sz val="11"/>
            <color rgb="FF000000"/>
            <rFont val="WenQuanYi Zen Hei"/>
            <family val="2"/>
            <charset val="1"/>
          </rPr>
          <t xml:space="preserve">月月例で相殺予定）
</t>
        </r>
      </text>
    </comment>
    <comment ref="I294" authorId="0">
      <text>
        <r>
          <rPr>
            <sz val="10"/>
            <rFont val="WenQuanYi Zen Hei"/>
            <family val="2"/>
          </rPr>
          <t xml:space="preserve">算出額</t>
        </r>
        <r>
          <rPr>
            <b val="true"/>
            <sz val="11"/>
            <color rgb="FF000000"/>
            <rFont val="MS P ゴシック"/>
            <family val="3"/>
            <charset val="128"/>
          </rPr>
          <t xml:space="preserve">428,776</t>
        </r>
        <r>
          <rPr>
            <b val="true"/>
            <sz val="11"/>
            <color rgb="FF000000"/>
            <rFont val="WenQuanYi Zen Hei"/>
            <family val="2"/>
            <charset val="1"/>
          </rPr>
          <t xml:space="preserve">円
</t>
        </r>
        <r>
          <rPr>
            <b val="true"/>
            <sz val="11"/>
            <color rgb="FF000000"/>
            <rFont val="MS P ゴシック"/>
            <family val="3"/>
            <charset val="128"/>
          </rPr>
          <t xml:space="preserve">6</t>
        </r>
        <r>
          <rPr>
            <b val="true"/>
            <sz val="11"/>
            <color rgb="FF000000"/>
            <rFont val="WenQuanYi Zen Hei"/>
            <family val="2"/>
            <charset val="1"/>
          </rPr>
          <t xml:space="preserve">月月例不足額</t>
        </r>
        <r>
          <rPr>
            <b val="true"/>
            <sz val="11"/>
            <color rgb="FF000000"/>
            <rFont val="MS P ゴシック"/>
            <family val="3"/>
            <charset val="128"/>
          </rPr>
          <t xml:space="preserve">8,913</t>
        </r>
        <r>
          <rPr>
            <b val="true"/>
            <sz val="11"/>
            <color rgb="FF000000"/>
            <rFont val="WenQuanYi Zen Hei"/>
            <family val="2"/>
            <charset val="1"/>
          </rPr>
          <t xml:space="preserve">円
</t>
        </r>
        <r>
          <rPr>
            <b val="true"/>
            <sz val="11"/>
            <color rgb="FF000000"/>
            <rFont val="MS P ゴシック"/>
            <family val="3"/>
            <charset val="128"/>
          </rPr>
          <t xml:space="preserve">428,776+8,913</t>
        </r>
        <r>
          <rPr>
            <b val="true"/>
            <sz val="11"/>
            <color rgb="FF000000"/>
            <rFont val="WenQuanYi Zen Hei"/>
            <family val="2"/>
            <charset val="1"/>
          </rPr>
          <t xml:space="preserve">＝</t>
        </r>
        <r>
          <rPr>
            <b val="true"/>
            <sz val="11"/>
            <color rgb="FF000000"/>
            <rFont val="MS P ゴシック"/>
            <family val="3"/>
            <charset val="128"/>
          </rPr>
          <t xml:space="preserve">437,689</t>
        </r>
        <r>
          <rPr>
            <b val="true"/>
            <sz val="11"/>
            <color rgb="FF000000"/>
            <rFont val="WenQuanYi Zen Hei"/>
            <family val="2"/>
            <charset val="1"/>
          </rPr>
          <t xml:space="preserve">円（追納加算後）</t>
        </r>
      </text>
    </comment>
    <comment ref="I466" authorId="0">
      <text>
        <r>
          <rPr>
            <sz val="10"/>
            <rFont val="WenQuanYi Zen Hei"/>
            <family val="2"/>
          </rPr>
          <t xml:space="preserve">市：</t>
        </r>
        <r>
          <rPr>
            <b val="true"/>
            <sz val="11"/>
            <color rgb="FF000000"/>
            <rFont val="MS P ゴシック"/>
            <family val="3"/>
            <charset val="128"/>
          </rPr>
          <t xml:space="preserve">193,690
</t>
        </r>
        <r>
          <rPr>
            <b val="true"/>
            <sz val="11"/>
            <color rgb="FF000000"/>
            <rFont val="WenQuanYi Zen Hei"/>
            <family val="2"/>
            <charset val="1"/>
          </rPr>
          <t xml:space="preserve">中区：</t>
        </r>
        <r>
          <rPr>
            <b val="true"/>
            <sz val="11"/>
            <color rgb="FF000000"/>
            <rFont val="MS P ゴシック"/>
            <family val="3"/>
            <charset val="128"/>
          </rPr>
          <t xml:space="preserve">22,951</t>
        </r>
      </text>
    </comment>
    <comment ref="I1186" authorId="0">
      <text>
        <r>
          <rPr>
            <sz val="10"/>
            <rFont val="WenQuanYi Zen Hei"/>
            <family val="2"/>
          </rPr>
          <t xml:space="preserve">差額分：</t>
        </r>
        <r>
          <rPr>
            <b val="true"/>
            <sz val="10"/>
            <color rgb="FF000000"/>
            <rFont val="MS P ゴシック"/>
            <family val="3"/>
            <charset val="128"/>
          </rPr>
          <t xml:space="preserve">3,306
</t>
        </r>
        <r>
          <rPr>
            <b val="true"/>
            <sz val="10"/>
            <color rgb="FF000000"/>
            <rFont val="WenQuanYi Zen Hei"/>
            <family val="2"/>
            <charset val="1"/>
          </rPr>
          <t xml:space="preserve">追加納付分：</t>
        </r>
        <r>
          <rPr>
            <b val="true"/>
            <sz val="10"/>
            <color rgb="FF000000"/>
            <rFont val="MS P ゴシック"/>
            <family val="3"/>
            <charset val="128"/>
          </rPr>
          <t xml:space="preserve">772
</t>
        </r>
      </text>
    </comment>
    <comment ref="I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43,758
</t>
        </r>
        <r>
          <rPr>
            <b val="true"/>
            <sz val="11"/>
            <color rgb="FF000000"/>
            <rFont val="WenQuanYi Zen Hei"/>
            <family val="2"/>
            <charset val="1"/>
          </rPr>
          <t xml:space="preserve">差額分：</t>
        </r>
        <r>
          <rPr>
            <b val="true"/>
            <sz val="11"/>
            <color rgb="FF000000"/>
            <rFont val="MS P ゴシック"/>
            <family val="3"/>
            <charset val="128"/>
          </rPr>
          <t xml:space="preserve">4,904</t>
        </r>
      </text>
    </comment>
    <comment ref="K64" authorId="0">
      <text>
        <r>
          <rPr>
            <sz val="10"/>
            <rFont val="WenQuanYi Zen Hei"/>
            <family val="2"/>
          </rPr>
          <t xml:space="preserve">前受収益分</t>
        </r>
        <r>
          <rPr>
            <b val="true"/>
            <sz val="11"/>
            <color rgb="FF000000"/>
            <rFont val="MS P ゴシック"/>
            <family val="3"/>
            <charset val="128"/>
          </rPr>
          <t xml:space="preserve">1,200,582</t>
        </r>
        <r>
          <rPr>
            <b val="true"/>
            <sz val="11"/>
            <color rgb="FF000000"/>
            <rFont val="WenQuanYi Zen Hei"/>
            <family val="2"/>
            <charset val="1"/>
          </rPr>
          <t xml:space="preserve">を含む。
</t>
        </r>
        <r>
          <rPr>
            <b val="true"/>
            <sz val="11"/>
            <color rgb="FF000000"/>
            <rFont val="MS P ゴシック"/>
            <family val="3"/>
            <charset val="128"/>
          </rPr>
          <t xml:space="preserve">(</t>
        </r>
        <r>
          <rPr>
            <b val="true"/>
            <sz val="11"/>
            <color rgb="FF000000"/>
            <rFont val="WenQuanYi Zen Hei"/>
            <family val="2"/>
            <charset val="1"/>
          </rPr>
          <t xml:space="preserve">未収掛金</t>
        </r>
        <r>
          <rPr>
            <b val="true"/>
            <sz val="11"/>
            <color rgb="FF000000"/>
            <rFont val="MS P ゴシック"/>
            <family val="3"/>
            <charset val="128"/>
          </rPr>
          <t xml:space="preserve">:</t>
        </r>
        <r>
          <rPr>
            <b val="true"/>
            <sz val="11"/>
            <color rgb="FF000000"/>
            <rFont val="WenQuanYi Zen Hei"/>
            <family val="2"/>
            <charset val="1"/>
          </rPr>
          <t xml:space="preserve">介護なし）</t>
        </r>
      </text>
    </comment>
    <comment ref="K466" authorId="0">
      <text>
        <r>
          <rPr>
            <sz val="10"/>
            <rFont val="WenQuanYi Zen Hei"/>
            <family val="2"/>
          </rPr>
          <t xml:space="preserve">市：</t>
        </r>
        <r>
          <rPr>
            <b val="true"/>
            <sz val="11"/>
            <color rgb="FF000000"/>
            <rFont val="MS P ゴシック"/>
            <family val="3"/>
            <charset val="128"/>
          </rPr>
          <t xml:space="preserve">15,326
</t>
        </r>
        <r>
          <rPr>
            <b val="true"/>
            <sz val="11"/>
            <color rgb="FF000000"/>
            <rFont val="WenQuanYi Zen Hei"/>
            <family val="2"/>
            <charset val="1"/>
          </rPr>
          <t xml:space="preserve">中区：</t>
        </r>
        <r>
          <rPr>
            <b val="true"/>
            <sz val="11"/>
            <color rgb="FF000000"/>
            <rFont val="MS P ゴシック"/>
            <family val="3"/>
            <charset val="128"/>
          </rPr>
          <t xml:space="preserve">0</t>
        </r>
        <r>
          <rPr>
            <b val="true"/>
            <sz val="11"/>
            <color rgb="FF000000"/>
            <rFont val="WenQuanYi Zen Hei"/>
            <family val="2"/>
            <charset val="1"/>
          </rPr>
          <t xml:space="preserve">　</t>
        </r>
        <r>
          <rPr>
            <b val="true"/>
            <u val="single"/>
            <sz val="11"/>
            <color rgb="FF000000"/>
            <rFont val="WenQuanYi Zen Hei"/>
            <family val="2"/>
            <charset val="1"/>
          </rPr>
          <t xml:space="preserve">未納あり！</t>
        </r>
      </text>
    </comment>
    <comment ref="K531" authorId="0">
      <text>
        <r>
          <rPr>
            <sz val="10"/>
            <rFont val="WenQuanYi Zen Hei"/>
            <family val="2"/>
          </rPr>
          <t xml:space="preserve">市選管：</t>
        </r>
        <r>
          <rPr>
            <b val="true"/>
            <sz val="11"/>
            <color rgb="FF000000"/>
            <rFont val="MS P ゴシック"/>
            <family val="3"/>
            <charset val="128"/>
          </rPr>
          <t xml:space="preserve">15,326
</t>
        </r>
        <r>
          <rPr>
            <b val="true"/>
            <sz val="11"/>
            <color rgb="FF000000"/>
            <rFont val="WenQuanYi Zen Hei"/>
            <family val="2"/>
            <charset val="1"/>
          </rPr>
          <t xml:space="preserve">中区選管（</t>
        </r>
        <r>
          <rPr>
            <b val="true"/>
            <sz val="11"/>
            <color rgb="FF000000"/>
            <rFont val="MS P ゴシック"/>
            <family val="3"/>
            <charset val="128"/>
          </rPr>
          <t xml:space="preserve">6</t>
        </r>
        <r>
          <rPr>
            <b val="true"/>
            <sz val="11"/>
            <color rgb="FF000000"/>
            <rFont val="WenQuanYi Zen Hei"/>
            <family val="2"/>
            <charset val="1"/>
          </rPr>
          <t xml:space="preserve">，</t>
        </r>
        <r>
          <rPr>
            <b val="true"/>
            <sz val="11"/>
            <color rgb="FF000000"/>
            <rFont val="MS P ゴシック"/>
            <family val="3"/>
            <charset val="128"/>
          </rPr>
          <t xml:space="preserve">7</t>
        </r>
        <r>
          <rPr>
            <b val="true"/>
            <sz val="11"/>
            <color rgb="FF000000"/>
            <rFont val="WenQuanYi Zen Hei"/>
            <family val="2"/>
            <charset val="1"/>
          </rPr>
          <t xml:space="preserve">，</t>
        </r>
        <r>
          <rPr>
            <b val="true"/>
            <sz val="11"/>
            <color rgb="FF000000"/>
            <rFont val="MS P ゴシック"/>
            <family val="3"/>
            <charset val="128"/>
          </rPr>
          <t xml:space="preserve">10</t>
        </r>
        <r>
          <rPr>
            <b val="true"/>
            <sz val="11"/>
            <color rgb="FF000000"/>
            <rFont val="WenQuanYi Zen Hei"/>
            <family val="2"/>
            <charset val="1"/>
          </rPr>
          <t xml:space="preserve">月追納）：</t>
        </r>
        <r>
          <rPr>
            <b val="true"/>
            <sz val="11"/>
            <color rgb="FF000000"/>
            <rFont val="MS P ゴシック"/>
            <family val="3"/>
            <charset val="128"/>
          </rPr>
          <t xml:space="preserve">5</t>
        </r>
        <r>
          <rPr>
            <b val="true"/>
            <sz val="11"/>
            <color rgb="FF000000"/>
            <rFont val="WenQuanYi Zen Hei"/>
            <family val="2"/>
            <charset val="1"/>
          </rPr>
          <t xml:space="preserve">､</t>
        </r>
        <r>
          <rPr>
            <b val="true"/>
            <sz val="11"/>
            <color rgb="FF000000"/>
            <rFont val="MS P ゴシック"/>
            <family val="3"/>
            <charset val="128"/>
          </rPr>
          <t xml:space="preserve">227
</t>
        </r>
        <r>
          <rPr>
            <b val="true"/>
            <sz val="11"/>
            <color rgb="FF000000"/>
            <rFont val="WenQuanYi Zen Hei"/>
            <family val="2"/>
            <charset val="1"/>
          </rPr>
          <t xml:space="preserve">安佐南区選管（</t>
        </r>
        <r>
          <rPr>
            <b val="true"/>
            <sz val="11"/>
            <color rgb="FF000000"/>
            <rFont val="MS P ゴシック"/>
            <family val="3"/>
            <charset val="128"/>
          </rPr>
          <t xml:space="preserve">6</t>
        </r>
        <r>
          <rPr>
            <b val="true"/>
            <sz val="11"/>
            <color rgb="FF000000"/>
            <rFont val="WenQuanYi Zen Hei"/>
            <family val="2"/>
            <charset val="1"/>
          </rPr>
          <t xml:space="preserve">月追納）：</t>
        </r>
        <r>
          <rPr>
            <b val="true"/>
            <sz val="11"/>
            <color rgb="FF000000"/>
            <rFont val="MS P ゴシック"/>
            <family val="3"/>
            <charset val="128"/>
          </rPr>
          <t xml:space="preserve">1,121</t>
        </r>
      </text>
    </comment>
    <comment ref="K876" authorId="0">
      <text>
        <r>
          <rPr>
            <sz val="10"/>
            <rFont val="WenQuanYi Zen Hei"/>
            <family val="2"/>
          </rPr>
          <t xml:space="preserve">号給調整に伴う差額分
</t>
        </r>
        <r>
          <rPr>
            <b val="true"/>
            <sz val="11"/>
            <color rgb="FF000000"/>
            <rFont val="MS P ゴシック"/>
            <family val="3"/>
            <charset val="128"/>
          </rPr>
          <t xml:space="preserve">3</t>
        </r>
        <r>
          <rPr>
            <b val="true"/>
            <sz val="11"/>
            <color rgb="FF000000"/>
            <rFont val="WenQuanYi Zen Hei"/>
            <family val="2"/>
            <charset val="1"/>
          </rPr>
          <t xml:space="preserve">月期末として扱う
（</t>
        </r>
        <r>
          <rPr>
            <b val="true"/>
            <sz val="11"/>
            <color rgb="FF000000"/>
            <rFont val="MS P ゴシック"/>
            <family val="3"/>
            <charset val="128"/>
          </rPr>
          <t xml:space="preserve">3/16</t>
        </r>
        <r>
          <rPr>
            <b val="true"/>
            <sz val="11"/>
            <color rgb="FF000000"/>
            <rFont val="WenQuanYi Zen Hei"/>
            <family val="2"/>
            <charset val="1"/>
          </rPr>
          <t xml:space="preserve">納付）</t>
        </r>
      </text>
    </comment>
    <comment ref="K966" authorId="0">
      <text>
        <r>
          <rPr>
            <sz val="10"/>
            <rFont val="WenQuanYi Zen Hei"/>
            <family val="2"/>
          </rPr>
          <t xml:space="preserve">市へ一旦復帰して退職する場合</t>
        </r>
      </text>
    </comment>
    <comment ref="K974" authorId="0">
      <text>
        <r>
          <rPr>
            <sz val="10"/>
            <rFont val="WenQuanYi Zen Hei"/>
            <family val="2"/>
          </rPr>
          <t xml:space="preserve">現年度分の納付は計上する。次年度分の前納は前受収益として伝票処理し、４月分に計上する。</t>
        </r>
      </text>
    </comment>
    <comment ref="K1186" authorId="0">
      <text>
        <r>
          <rPr>
            <sz val="10"/>
            <rFont val="WenQuanYi Zen Hei"/>
            <family val="2"/>
          </rPr>
          <t xml:space="preserve">差額分：</t>
        </r>
        <r>
          <rPr>
            <b val="true"/>
            <sz val="10"/>
            <color rgb="FF000000"/>
            <rFont val="MS P ゴシック"/>
            <family val="3"/>
            <charset val="128"/>
          </rPr>
          <t xml:space="preserve">504
</t>
        </r>
        <r>
          <rPr>
            <b val="true"/>
            <sz val="10"/>
            <color rgb="FF000000"/>
            <rFont val="WenQuanYi Zen Hei"/>
            <family val="2"/>
            <charset val="1"/>
          </rPr>
          <t xml:space="preserve">追加納付分：</t>
        </r>
        <r>
          <rPr>
            <b val="true"/>
            <sz val="10"/>
            <color rgb="FF000000"/>
            <rFont val="MS P ゴシック"/>
            <family val="3"/>
            <charset val="128"/>
          </rPr>
          <t xml:space="preserve">81
</t>
        </r>
      </text>
    </comment>
    <comment ref="K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6,272
</t>
        </r>
        <r>
          <rPr>
            <b val="true"/>
            <sz val="11"/>
            <color rgb="FF000000"/>
            <rFont val="WenQuanYi Zen Hei"/>
            <family val="2"/>
            <charset val="1"/>
          </rPr>
          <t xml:space="preserve">差額分：</t>
        </r>
        <r>
          <rPr>
            <b val="true"/>
            <sz val="11"/>
            <color rgb="FF000000"/>
            <rFont val="MS P ゴシック"/>
            <family val="3"/>
            <charset val="128"/>
          </rPr>
          <t xml:space="preserve">578</t>
        </r>
      </text>
    </comment>
    <comment ref="L466" authorId="0">
      <text>
        <r>
          <rPr>
            <sz val="10"/>
            <rFont val="WenQuanYi Zen Hei"/>
            <family val="2"/>
          </rPr>
          <t xml:space="preserve">市：</t>
        </r>
        <r>
          <rPr>
            <b val="true"/>
            <sz val="11"/>
            <color rgb="FF000000"/>
            <rFont val="MS P ゴシック"/>
            <family val="3"/>
            <charset val="128"/>
          </rPr>
          <t xml:space="preserve">15,326
</t>
        </r>
        <r>
          <rPr>
            <b val="true"/>
            <sz val="11"/>
            <color rgb="FF000000"/>
            <rFont val="WenQuanYi Zen Hei"/>
            <family val="2"/>
            <charset val="1"/>
          </rPr>
          <t xml:space="preserve">中区：</t>
        </r>
        <r>
          <rPr>
            <b val="true"/>
            <sz val="11"/>
            <color rgb="FF000000"/>
            <rFont val="MS P ゴシック"/>
            <family val="3"/>
            <charset val="128"/>
          </rPr>
          <t xml:space="preserve">3,239</t>
        </r>
      </text>
    </comment>
    <comment ref="L1186" authorId="0">
      <text>
        <r>
          <rPr>
            <sz val="10"/>
            <rFont val="WenQuanYi Zen Hei"/>
            <family val="2"/>
          </rPr>
          <t xml:space="preserve">差額分：</t>
        </r>
        <r>
          <rPr>
            <b val="true"/>
            <sz val="10"/>
            <color rgb="FF000000"/>
            <rFont val="MS P ゴシック"/>
            <family val="3"/>
            <charset val="128"/>
          </rPr>
          <t xml:space="preserve">504
</t>
        </r>
        <r>
          <rPr>
            <b val="true"/>
            <sz val="10"/>
            <color rgb="FF000000"/>
            <rFont val="WenQuanYi Zen Hei"/>
            <family val="2"/>
            <charset val="1"/>
          </rPr>
          <t xml:space="preserve">追加納付分：</t>
        </r>
        <r>
          <rPr>
            <b val="true"/>
            <sz val="10"/>
            <color rgb="FF000000"/>
            <rFont val="MS P ゴシック"/>
            <family val="3"/>
            <charset val="128"/>
          </rPr>
          <t xml:space="preserve">81
</t>
        </r>
      </text>
    </comment>
    <comment ref="L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6,273
</t>
        </r>
        <r>
          <rPr>
            <b val="true"/>
            <sz val="11"/>
            <color rgb="FF000000"/>
            <rFont val="WenQuanYi Zen Hei"/>
            <family val="2"/>
            <charset val="1"/>
          </rPr>
          <t xml:space="preserve">差額分：</t>
        </r>
        <r>
          <rPr>
            <b val="true"/>
            <sz val="11"/>
            <color rgb="FF000000"/>
            <rFont val="MS P ゴシック"/>
            <family val="3"/>
            <charset val="128"/>
          </rPr>
          <t xml:space="preserve">576</t>
        </r>
      </text>
    </comment>
    <comment ref="N64" authorId="0">
      <text>
        <r>
          <rPr>
            <sz val="10"/>
            <rFont val="WenQuanYi Zen Hei"/>
            <family val="2"/>
          </rPr>
          <t xml:space="preserve">前受収益分</t>
        </r>
        <r>
          <rPr>
            <b val="true"/>
            <sz val="11"/>
            <color rgb="FF000000"/>
            <rFont val="MS P ゴシック"/>
            <family val="3"/>
            <charset val="128"/>
          </rPr>
          <t xml:space="preserve">765,054</t>
        </r>
        <r>
          <rPr>
            <b val="true"/>
            <sz val="11"/>
            <color rgb="FF000000"/>
            <rFont val="WenQuanYi Zen Hei"/>
            <family val="2"/>
            <charset val="1"/>
          </rPr>
          <t xml:space="preserve">を含む。
未収掛金：子ども子育て支援納付金なし）</t>
        </r>
      </text>
    </comment>
    <comment ref="N466" authorId="0">
      <text>
        <r>
          <rPr>
            <sz val="10"/>
            <rFont val="WenQuanYi Zen Hei"/>
            <family val="2"/>
          </rPr>
          <t xml:space="preserve">市：</t>
        </r>
        <r>
          <rPr>
            <b val="true"/>
            <sz val="11"/>
            <color rgb="FF000000"/>
            <rFont val="MS P ゴシック"/>
            <family val="3"/>
            <charset val="128"/>
          </rPr>
          <t xml:space="preserve">15,326
</t>
        </r>
        <r>
          <rPr>
            <b val="true"/>
            <sz val="11"/>
            <color rgb="FF000000"/>
            <rFont val="WenQuanYi Zen Hei"/>
            <family val="2"/>
            <charset val="1"/>
          </rPr>
          <t xml:space="preserve">中区：</t>
        </r>
        <r>
          <rPr>
            <b val="true"/>
            <sz val="11"/>
            <color rgb="FF000000"/>
            <rFont val="MS P ゴシック"/>
            <family val="3"/>
            <charset val="128"/>
          </rPr>
          <t xml:space="preserve">0</t>
        </r>
        <r>
          <rPr>
            <b val="true"/>
            <sz val="11"/>
            <color rgb="FF000000"/>
            <rFont val="WenQuanYi Zen Hei"/>
            <family val="2"/>
            <charset val="1"/>
          </rPr>
          <t xml:space="preserve">　</t>
        </r>
        <r>
          <rPr>
            <b val="true"/>
            <u val="single"/>
            <sz val="11"/>
            <color rgb="FF000000"/>
            <rFont val="WenQuanYi Zen Hei"/>
            <family val="2"/>
            <charset val="1"/>
          </rPr>
          <t xml:space="preserve">未納あり！</t>
        </r>
      </text>
    </comment>
    <comment ref="N531" authorId="0">
      <text>
        <r>
          <rPr>
            <sz val="10"/>
            <rFont val="WenQuanYi Zen Hei"/>
            <family val="2"/>
          </rPr>
          <t xml:space="preserve">市選管：</t>
        </r>
        <r>
          <rPr>
            <b val="true"/>
            <sz val="11"/>
            <color rgb="FF000000"/>
            <rFont val="MS P ゴシック"/>
            <family val="3"/>
            <charset val="128"/>
          </rPr>
          <t xml:space="preserve">15,326
</t>
        </r>
        <r>
          <rPr>
            <b val="true"/>
            <sz val="11"/>
            <color rgb="FF000000"/>
            <rFont val="WenQuanYi Zen Hei"/>
            <family val="2"/>
            <charset val="1"/>
          </rPr>
          <t xml:space="preserve">中区選管（</t>
        </r>
        <r>
          <rPr>
            <b val="true"/>
            <sz val="11"/>
            <color rgb="FF000000"/>
            <rFont val="MS P ゴシック"/>
            <family val="3"/>
            <charset val="128"/>
          </rPr>
          <t xml:space="preserve">6</t>
        </r>
        <r>
          <rPr>
            <b val="true"/>
            <sz val="11"/>
            <color rgb="FF000000"/>
            <rFont val="WenQuanYi Zen Hei"/>
            <family val="2"/>
            <charset val="1"/>
          </rPr>
          <t xml:space="preserve">，</t>
        </r>
        <r>
          <rPr>
            <b val="true"/>
            <sz val="11"/>
            <color rgb="FF000000"/>
            <rFont val="MS P ゴシック"/>
            <family val="3"/>
            <charset val="128"/>
          </rPr>
          <t xml:space="preserve">7</t>
        </r>
        <r>
          <rPr>
            <b val="true"/>
            <sz val="11"/>
            <color rgb="FF000000"/>
            <rFont val="WenQuanYi Zen Hei"/>
            <family val="2"/>
            <charset val="1"/>
          </rPr>
          <t xml:space="preserve">，</t>
        </r>
        <r>
          <rPr>
            <b val="true"/>
            <sz val="11"/>
            <color rgb="FF000000"/>
            <rFont val="MS P ゴシック"/>
            <family val="3"/>
            <charset val="128"/>
          </rPr>
          <t xml:space="preserve">10</t>
        </r>
        <r>
          <rPr>
            <b val="true"/>
            <sz val="11"/>
            <color rgb="FF000000"/>
            <rFont val="WenQuanYi Zen Hei"/>
            <family val="2"/>
            <charset val="1"/>
          </rPr>
          <t xml:space="preserve">月追納）：</t>
        </r>
        <r>
          <rPr>
            <b val="true"/>
            <sz val="11"/>
            <color rgb="FF000000"/>
            <rFont val="MS P ゴシック"/>
            <family val="3"/>
            <charset val="128"/>
          </rPr>
          <t xml:space="preserve">5</t>
        </r>
        <r>
          <rPr>
            <b val="true"/>
            <sz val="11"/>
            <color rgb="FF000000"/>
            <rFont val="WenQuanYi Zen Hei"/>
            <family val="2"/>
            <charset val="1"/>
          </rPr>
          <t xml:space="preserve">､</t>
        </r>
        <r>
          <rPr>
            <b val="true"/>
            <sz val="11"/>
            <color rgb="FF000000"/>
            <rFont val="MS P ゴシック"/>
            <family val="3"/>
            <charset val="128"/>
          </rPr>
          <t xml:space="preserve">227
</t>
        </r>
        <r>
          <rPr>
            <b val="true"/>
            <sz val="11"/>
            <color rgb="FF000000"/>
            <rFont val="WenQuanYi Zen Hei"/>
            <family val="2"/>
            <charset val="1"/>
          </rPr>
          <t xml:space="preserve">安佐南区選管（</t>
        </r>
        <r>
          <rPr>
            <b val="true"/>
            <sz val="11"/>
            <color rgb="FF000000"/>
            <rFont val="MS P ゴシック"/>
            <family val="3"/>
            <charset val="128"/>
          </rPr>
          <t xml:space="preserve">6</t>
        </r>
        <r>
          <rPr>
            <b val="true"/>
            <sz val="11"/>
            <color rgb="FF000000"/>
            <rFont val="WenQuanYi Zen Hei"/>
            <family val="2"/>
            <charset val="1"/>
          </rPr>
          <t xml:space="preserve">月追納）：</t>
        </r>
        <r>
          <rPr>
            <b val="true"/>
            <sz val="11"/>
            <color rgb="FF000000"/>
            <rFont val="MS P ゴシック"/>
            <family val="3"/>
            <charset val="128"/>
          </rPr>
          <t xml:space="preserve">1,121</t>
        </r>
      </text>
    </comment>
    <comment ref="N876" authorId="0">
      <text>
        <r>
          <rPr>
            <sz val="10"/>
            <rFont val="WenQuanYi Zen Hei"/>
            <family val="2"/>
          </rPr>
          <t xml:space="preserve">号給調整に伴う差額分
</t>
        </r>
        <r>
          <rPr>
            <b val="true"/>
            <sz val="11"/>
            <color rgb="FF000000"/>
            <rFont val="MS P ゴシック"/>
            <family val="3"/>
            <charset val="128"/>
          </rPr>
          <t xml:space="preserve">3</t>
        </r>
        <r>
          <rPr>
            <b val="true"/>
            <sz val="11"/>
            <color rgb="FF000000"/>
            <rFont val="WenQuanYi Zen Hei"/>
            <family val="2"/>
            <charset val="1"/>
          </rPr>
          <t xml:space="preserve">月期末として扱う
（</t>
        </r>
        <r>
          <rPr>
            <b val="true"/>
            <sz val="11"/>
            <color rgb="FF000000"/>
            <rFont val="MS P ゴシック"/>
            <family val="3"/>
            <charset val="128"/>
          </rPr>
          <t xml:space="preserve">3/16</t>
        </r>
        <r>
          <rPr>
            <b val="true"/>
            <sz val="11"/>
            <color rgb="FF000000"/>
            <rFont val="WenQuanYi Zen Hei"/>
            <family val="2"/>
            <charset val="1"/>
          </rPr>
          <t xml:space="preserve">納付）</t>
        </r>
      </text>
    </comment>
    <comment ref="N901" authorId="0">
      <text>
        <r>
          <rPr>
            <sz val="10"/>
            <rFont val="WenQuanYi Zen Hei"/>
            <family val="2"/>
          </rPr>
          <t xml:space="preserve">市へ一旦復帰して退職する場合</t>
        </r>
      </text>
    </comment>
    <comment ref="N966" authorId="0">
      <text>
        <r>
          <rPr>
            <sz val="10"/>
            <rFont val="WenQuanYi Zen Hei"/>
            <family val="2"/>
          </rPr>
          <t xml:space="preserve">市へ一旦復帰して退職する場合</t>
        </r>
      </text>
    </comment>
    <comment ref="N974" authorId="0">
      <text>
        <r>
          <rPr>
            <sz val="10"/>
            <rFont val="WenQuanYi Zen Hei"/>
            <family val="2"/>
          </rPr>
          <t xml:space="preserve">現年度分の納付は計上する。次年度分の前納は前受収益として伝票処理し、４月分に計上する。</t>
        </r>
      </text>
    </comment>
    <comment ref="N1186" authorId="0">
      <text>
        <r>
          <rPr>
            <sz val="10"/>
            <rFont val="WenQuanYi Zen Hei"/>
            <family val="2"/>
          </rPr>
          <t xml:space="preserve">差額分：</t>
        </r>
        <r>
          <rPr>
            <b val="true"/>
            <sz val="10"/>
            <color rgb="FF000000"/>
            <rFont val="MS P ゴシック"/>
            <family val="3"/>
            <charset val="128"/>
          </rPr>
          <t xml:space="preserve">504
</t>
        </r>
        <r>
          <rPr>
            <b val="true"/>
            <sz val="10"/>
            <color rgb="FF000000"/>
            <rFont val="WenQuanYi Zen Hei"/>
            <family val="2"/>
            <charset val="1"/>
          </rPr>
          <t xml:space="preserve">追加納付分：</t>
        </r>
        <r>
          <rPr>
            <b val="true"/>
            <sz val="10"/>
            <color rgb="FF000000"/>
            <rFont val="MS P ゴシック"/>
            <family val="3"/>
            <charset val="128"/>
          </rPr>
          <t xml:space="preserve">81
</t>
        </r>
      </text>
    </comment>
    <comment ref="N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6,272
</t>
        </r>
        <r>
          <rPr>
            <b val="true"/>
            <sz val="11"/>
            <color rgb="FF000000"/>
            <rFont val="WenQuanYi Zen Hei"/>
            <family val="2"/>
            <charset val="1"/>
          </rPr>
          <t xml:space="preserve">差額分：</t>
        </r>
        <r>
          <rPr>
            <b val="true"/>
            <sz val="11"/>
            <color rgb="FF000000"/>
            <rFont val="MS P ゴシック"/>
            <family val="3"/>
            <charset val="128"/>
          </rPr>
          <t xml:space="preserve">578</t>
        </r>
      </text>
    </comment>
    <comment ref="O466" authorId="0">
      <text>
        <r>
          <rPr>
            <sz val="10"/>
            <rFont val="WenQuanYi Zen Hei"/>
            <family val="2"/>
          </rPr>
          <t xml:space="preserve">市：</t>
        </r>
        <r>
          <rPr>
            <b val="true"/>
            <sz val="11"/>
            <color rgb="FF000000"/>
            <rFont val="MS P ゴシック"/>
            <family val="3"/>
            <charset val="128"/>
          </rPr>
          <t xml:space="preserve">15,326
</t>
        </r>
        <r>
          <rPr>
            <b val="true"/>
            <sz val="11"/>
            <color rgb="FF000000"/>
            <rFont val="WenQuanYi Zen Hei"/>
            <family val="2"/>
            <charset val="1"/>
          </rPr>
          <t xml:space="preserve">中区：</t>
        </r>
        <r>
          <rPr>
            <b val="true"/>
            <sz val="11"/>
            <color rgb="FF000000"/>
            <rFont val="MS P ゴシック"/>
            <family val="3"/>
            <charset val="128"/>
          </rPr>
          <t xml:space="preserve">3,239</t>
        </r>
      </text>
    </comment>
    <comment ref="O1186" authorId="0">
      <text>
        <r>
          <rPr>
            <sz val="10"/>
            <rFont val="WenQuanYi Zen Hei"/>
            <family val="2"/>
          </rPr>
          <t xml:space="preserve">差額分：</t>
        </r>
        <r>
          <rPr>
            <b val="true"/>
            <sz val="10"/>
            <color rgb="FF000000"/>
            <rFont val="MS P ゴシック"/>
            <family val="3"/>
            <charset val="128"/>
          </rPr>
          <t xml:space="preserve">504
</t>
        </r>
        <r>
          <rPr>
            <b val="true"/>
            <sz val="10"/>
            <color rgb="FF000000"/>
            <rFont val="WenQuanYi Zen Hei"/>
            <family val="2"/>
            <charset val="1"/>
          </rPr>
          <t xml:space="preserve">追加納付分：</t>
        </r>
        <r>
          <rPr>
            <b val="true"/>
            <sz val="10"/>
            <color rgb="FF000000"/>
            <rFont val="MS P ゴシック"/>
            <family val="3"/>
            <charset val="128"/>
          </rPr>
          <t xml:space="preserve">81
</t>
        </r>
      </text>
    </comment>
    <comment ref="O1188" authorId="0">
      <text>
        <r>
          <rPr>
            <sz val="10"/>
            <rFont val="Arial"/>
            <family val="2"/>
          </rPr>
          <t xml:space="preserve">12</t>
        </r>
        <r>
          <rPr>
            <b val="true"/>
            <sz val="11"/>
            <color rgb="FF000000"/>
            <rFont val="WenQuanYi Zen Hei"/>
            <family val="2"/>
            <charset val="1"/>
          </rPr>
          <t xml:space="preserve">月</t>
        </r>
        <r>
          <rPr>
            <b val="true"/>
            <sz val="11"/>
            <color rgb="FF000000"/>
            <rFont val="MS P ゴシック"/>
            <family val="3"/>
            <charset val="128"/>
          </rPr>
          <t xml:space="preserve">B</t>
        </r>
        <r>
          <rPr>
            <b val="true"/>
            <sz val="11"/>
            <color rgb="FF000000"/>
            <rFont val="WenQuanYi Zen Hei"/>
            <family val="2"/>
            <charset val="1"/>
          </rPr>
          <t xml:space="preserve">追納分：</t>
        </r>
        <r>
          <rPr>
            <b val="true"/>
            <sz val="11"/>
            <color rgb="FF000000"/>
            <rFont val="MS P ゴシック"/>
            <family val="3"/>
            <charset val="128"/>
          </rPr>
          <t xml:space="preserve">6,273
</t>
        </r>
        <r>
          <rPr>
            <b val="true"/>
            <sz val="11"/>
            <color rgb="FF000000"/>
            <rFont val="WenQuanYi Zen Hei"/>
            <family val="2"/>
            <charset val="1"/>
          </rPr>
          <t xml:space="preserve">差額分：</t>
        </r>
        <r>
          <rPr>
            <b val="true"/>
            <sz val="11"/>
            <color rgb="FF000000"/>
            <rFont val="MS P ゴシック"/>
            <family val="3"/>
            <charset val="128"/>
          </rPr>
          <t xml:space="preserve">576</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173" authorId="0">
      <text>
        <r>
          <rPr>
            <sz val="10"/>
            <rFont val="WenQuanYi Zen Hei"/>
            <family val="2"/>
          </rPr>
          <t xml:space="preserve">【注意】
差額分に係る掛金・負担金の納付は２月１０日の予定</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9" authorId="0">
      <text>
        <r>
          <rPr>
            <sz val="10"/>
            <rFont val="WenQuanYi Zen Hei"/>
            <family val="2"/>
          </rPr>
          <t xml:space="preserve">内訳表から合計される。この表には入力しない
</t>
        </r>
      </text>
    </comment>
    <comment ref="J4" authorId="0">
      <text>
        <r>
          <rPr>
            <sz val="10"/>
            <rFont val="WenQuanYi Zen Hei"/>
            <family val="2"/>
          </rPr>
          <t xml:space="preserve">毎月保健係に任継の金額と一緒に聞く
保健経理への振替金額は除く</t>
        </r>
      </text>
    </comment>
    <comment ref="N9" authorId="0">
      <text>
        <r>
          <rPr>
            <sz val="10"/>
            <rFont val="WenQuanYi Zen Hei"/>
            <family val="2"/>
          </rPr>
          <t xml:space="preserve">永木陽子</t>
        </r>
      </text>
    </comment>
    <comment ref="N25" authorId="0">
      <text>
        <r>
          <rPr>
            <sz val="10"/>
            <rFont val="WenQuanYi Zen Hei"/>
            <family val="2"/>
          </rPr>
          <t xml:space="preserve">永木陽子</t>
        </r>
      </text>
    </comment>
    <comment ref="N41" authorId="0">
      <text>
        <r>
          <rPr>
            <sz val="10"/>
            <rFont val="WenQuanYi Zen Hei"/>
            <family val="2"/>
          </rPr>
          <t xml:space="preserve">永木陽子</t>
        </r>
      </text>
    </comment>
    <comment ref="O9" authorId="0">
      <text>
        <r>
          <rPr>
            <sz val="10"/>
            <rFont val="WenQuanYi Zen Hei"/>
            <family val="2"/>
          </rPr>
          <t xml:space="preserve">家敷操</t>
        </r>
      </text>
    </comment>
    <comment ref="O25" authorId="0">
      <text>
        <r>
          <rPr>
            <sz val="10"/>
            <rFont val="WenQuanYi Zen Hei"/>
            <family val="2"/>
          </rPr>
          <t xml:space="preserve">家敷操</t>
        </r>
      </text>
    </comment>
    <comment ref="O41" authorId="0">
      <text>
        <r>
          <rPr>
            <sz val="10"/>
            <rFont val="WenQuanYi Zen Hei"/>
            <family val="2"/>
          </rPr>
          <t xml:space="preserve">家敷操</t>
        </r>
      </text>
    </comment>
    <comment ref="R10" authorId="0">
      <text>
        <r>
          <rPr>
            <sz val="10"/>
            <rFont val="WenQuanYi Zen Hei"/>
            <family val="2"/>
          </rPr>
          <t xml:space="preserve">森脇太郎</t>
        </r>
      </text>
    </comment>
    <comment ref="R26" authorId="0">
      <text>
        <r>
          <rPr>
            <sz val="10"/>
            <rFont val="WenQuanYi Zen Hei"/>
            <family val="2"/>
          </rPr>
          <t xml:space="preserve">森脇太郎</t>
        </r>
      </text>
    </comment>
    <comment ref="R42" authorId="0">
      <text>
        <r>
          <rPr>
            <sz val="10"/>
            <rFont val="WenQuanYi Zen Hei"/>
            <family val="2"/>
          </rPr>
          <t xml:space="preserve">森脇太郎</t>
        </r>
      </text>
    </comment>
    <comment ref="S10" authorId="0">
      <text>
        <r>
          <rPr>
            <sz val="10"/>
            <rFont val="WenQuanYi Zen Hei"/>
            <family val="2"/>
          </rPr>
          <t xml:space="preserve">森脇琴絵</t>
        </r>
      </text>
    </comment>
    <comment ref="S26" authorId="0">
      <text>
        <r>
          <rPr>
            <sz val="10"/>
            <rFont val="WenQuanYi Zen Hei"/>
            <family val="2"/>
          </rPr>
          <t xml:space="preserve">森脇琴絵</t>
        </r>
      </text>
    </comment>
    <comment ref="S42" authorId="0">
      <text>
        <r>
          <rPr>
            <sz val="10"/>
            <rFont val="WenQuanYi Zen Hei"/>
            <family val="2"/>
          </rPr>
          <t xml:space="preserve">森脇琴絵</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3" authorId="0">
      <text>
        <r>
          <rPr>
            <sz val="10"/>
            <rFont val="WenQuanYi Zen Hei"/>
            <family val="2"/>
          </rPr>
          <t xml:space="preserve">個人別の表から合計される。この表には入力しない
</t>
        </r>
      </text>
    </comment>
    <comment ref="J4" authorId="0">
      <text>
        <r>
          <rPr>
            <sz val="10"/>
            <rFont val="WenQuanYi Zen Hei"/>
            <family val="2"/>
          </rPr>
          <t xml:space="preserve">★預った分はプラス
★介護へ充当した分はマイナス</t>
        </r>
      </text>
    </comment>
    <comment ref="N24" authorId="0">
      <text>
        <r>
          <rPr>
            <sz val="10"/>
            <rFont val="WenQuanYi Zen Hei"/>
            <family val="2"/>
          </rPr>
          <t xml:space="preserve">海外居住につき、介護分はなし。休業期間は大体３年が多い。</t>
        </r>
      </text>
    </comment>
    <comment ref="T4" authorId="0">
      <text>
        <r>
          <rPr>
            <sz val="10"/>
            <rFont val="WenQuanYi Zen Hei"/>
            <family val="2"/>
          </rPr>
          <t xml:space="preserve">入金額ではなく、正当額
</t>
        </r>
      </text>
    </comment>
    <comment ref="U4" authorId="0">
      <text>
        <r>
          <rPr>
            <sz val="10"/>
            <rFont val="WenQuanYi Zen Hei"/>
            <family val="2"/>
          </rPr>
          <t xml:space="preserve">★預った分はプラス
★介護へ充当した分はマイナス</t>
        </r>
      </text>
    </comment>
    <comment ref="U5" authorId="0">
      <text>
        <r>
          <rPr>
            <sz val="10"/>
            <rFont val="Arial"/>
            <family val="2"/>
          </rPr>
          <t xml:space="preserve">16,008</t>
        </r>
        <r>
          <rPr>
            <sz val="12"/>
            <color rgb="FF000000"/>
            <rFont val="WenQuanYi Zen Hei"/>
            <family val="2"/>
            <charset val="1"/>
          </rPr>
          <t xml:space="preserve">円は、昨年度の最終預り金である。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2" authorId="0">
      <text>
        <r>
          <rPr>
            <sz val="10"/>
            <rFont val="WenQuanYi Zen Hei"/>
            <family val="2"/>
          </rPr>
          <t xml:space="preserve">人事行政の運営状況公表条例の報告で使用（人事課依頼分</t>
        </r>
        <r>
          <rPr>
            <sz val="9"/>
            <color rgb="FF000000"/>
            <rFont val="WenQuanYi Zen Hei"/>
            <family val="2"/>
            <charset val="1"/>
          </rPr>
          <t xml:space="preserve">）</t>
        </r>
      </text>
    </comment>
    <comment ref="N4" authorId="0">
      <text>
        <r>
          <rPr>
            <sz val="10"/>
            <rFont val="WenQuanYi Zen Hei"/>
            <family val="2"/>
          </rPr>
          <t xml:space="preserve">掛金免除者や任継への還付前
掛金未納者等からの入金前
</t>
        </r>
      </text>
    </comment>
    <comment ref="U22" authorId="0">
      <text>
        <r>
          <rPr>
            <sz val="10"/>
            <rFont val="WenQuanYi Zen Hei"/>
            <family val="2"/>
          </rPr>
          <t xml:space="preserve">人事行政の運営状況公表条例の報告で使用（人事課依頼分）</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B5" authorId="0">
      <text>
        <r>
          <rPr>
            <sz val="10"/>
            <rFont val="WenQuanYi Zen Hei"/>
            <family val="2"/>
          </rPr>
          <t xml:space="preserve">短期：
市職労　専従：中石</t>
        </r>
        <r>
          <rPr>
            <b val="true"/>
            <sz val="9"/>
            <color rgb="FF000000"/>
            <rFont val="MS P ゴシック"/>
            <family val="3"/>
            <charset val="128"/>
          </rPr>
          <t xml:space="preserve">320</t>
        </r>
        <r>
          <rPr>
            <b val="true"/>
            <sz val="9"/>
            <color rgb="FF000000"/>
            <rFont val="WenQuanYi Zen Hei"/>
            <family val="2"/>
            <charset val="1"/>
          </rPr>
          <t xml:space="preserve">千円
自治労　専従なし</t>
        </r>
      </text>
    </comment>
    <comment ref="B9" authorId="0">
      <text>
        <r>
          <rPr>
            <sz val="10"/>
            <rFont val="WenQuanYi Zen Hei"/>
            <family val="2"/>
          </rPr>
          <t xml:space="preserve">市職労：中石</t>
        </r>
        <r>
          <rPr>
            <b val="true"/>
            <sz val="9"/>
            <color rgb="FF000000"/>
            <rFont val="ＭＳ Ｐゴシック"/>
            <family val="3"/>
            <charset val="128"/>
          </rPr>
          <t xml:space="preserve">343</t>
        </r>
        <r>
          <rPr>
            <b val="true"/>
            <sz val="9"/>
            <color rgb="FF000000"/>
            <rFont val="WenQuanYi Zen Hei"/>
            <family val="2"/>
            <charset val="1"/>
          </rPr>
          <t xml:space="preserve">千円、　前職等の補填なし
自治労：専従、補填なし</t>
        </r>
      </text>
    </comment>
    <comment ref="B12" authorId="0">
      <text>
        <r>
          <rPr>
            <sz val="10"/>
            <rFont val="Arial"/>
            <family val="2"/>
          </rPr>
          <t xml:space="preserve">9</t>
        </r>
        <r>
          <rPr>
            <b val="true"/>
            <sz val="9"/>
            <color rgb="FF000000"/>
            <rFont val="WenQuanYi Zen Hei"/>
            <family val="2"/>
            <charset val="1"/>
          </rPr>
          <t xml:space="preserve">月定時決定：</t>
        </r>
        <r>
          <rPr>
            <b val="true"/>
            <sz val="9"/>
            <color rgb="FF000000"/>
            <rFont val="MS P ゴシック"/>
            <family val="3"/>
            <charset val="128"/>
          </rPr>
          <t xml:space="preserve">320</t>
        </r>
        <r>
          <rPr>
            <b val="true"/>
            <sz val="9"/>
            <color rgb="FF000000"/>
            <rFont val="WenQuanYi Zen Hei"/>
            <family val="2"/>
            <charset val="1"/>
          </rPr>
          <t xml:space="preserve">千円⇒</t>
        </r>
        <r>
          <rPr>
            <b val="true"/>
            <sz val="9"/>
            <color rgb="FF000000"/>
            <rFont val="MS P ゴシック"/>
            <family val="3"/>
            <charset val="128"/>
          </rPr>
          <t xml:space="preserve">340</t>
        </r>
        <r>
          <rPr>
            <b val="true"/>
            <sz val="9"/>
            <color rgb="FF000000"/>
            <rFont val="WenQuanYi Zen Hei"/>
            <family val="2"/>
            <charset val="1"/>
          </rPr>
          <t xml:space="preserve">千円</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138" authorId="0">
      <text>
        <r>
          <rPr>
            <sz val="10"/>
            <rFont val="WenQuanYi Zen Hei"/>
            <family val="2"/>
          </rPr>
          <t xml:space="preserve">計算式にしない。
支払い後に、任継の入金が確定し、データが更新される月があるので、実際の支払い額とずれてしまう。必ず手入力。</t>
        </r>
      </text>
    </comment>
    <comment ref="C8" authorId="0">
      <text>
        <r>
          <rPr>
            <sz val="10"/>
            <rFont val="WenQuanYi Zen Hei"/>
            <family val="2"/>
          </rPr>
          <t xml:space="preserve">前年度３月は例年２０日頃に仮集計するため、、その後の任継の入金分が概算額との差額となる。
このため、前年度のこの表の「３月払込分」の</t>
        </r>
        <r>
          <rPr>
            <u val="single"/>
            <sz val="12"/>
            <color rgb="FF000000"/>
            <rFont val="WenQuanYi Zen Hei"/>
            <family val="2"/>
            <charset val="1"/>
          </rPr>
          <t xml:space="preserve">決裁文書の紙を見て手入力する。</t>
        </r>
      </text>
    </comment>
    <comment ref="C9" authorId="0">
      <text>
        <r>
          <rPr>
            <sz val="10"/>
            <rFont val="WenQuanYi Zen Hei"/>
            <family val="2"/>
          </rPr>
          <t xml:space="preserve">前年度の伺い見て、手入力</t>
        </r>
        <r>
          <rPr>
            <sz val="12"/>
            <color rgb="FF000000"/>
            <rFont val="ＭＳ Ｐゴシック"/>
            <family val="3"/>
            <charset val="128"/>
          </rPr>
          <t xml:space="preserve">(</t>
        </r>
        <r>
          <rPr>
            <sz val="12"/>
            <color rgb="FF000000"/>
            <rFont val="WenQuanYi Zen Hei"/>
            <family val="2"/>
            <charset val="1"/>
          </rPr>
          <t xml:space="preserve">データは、任継分が追加入金されていれば上書きされてしまうので、あくまで決裁文書を見ること）
</t>
        </r>
      </text>
    </comment>
    <comment ref="D9" authorId="0">
      <text>
        <r>
          <rPr>
            <sz val="10"/>
            <rFont val="WenQuanYi Zen Hei"/>
            <family val="2"/>
          </rPr>
          <t xml:space="preserve">前回３月見込額入力済み</t>
        </r>
      </text>
    </comment>
    <comment ref="D42" authorId="0">
      <text>
        <r>
          <rPr>
            <sz val="10"/>
            <rFont val="Arial"/>
            <family val="2"/>
          </rPr>
          <t xml:space="preserve">6</t>
        </r>
        <r>
          <rPr>
            <sz val="12"/>
            <color rgb="FF000000"/>
            <rFont val="WenQuanYi Zen Hei"/>
            <family val="2"/>
            <charset val="1"/>
          </rPr>
          <t xml:space="preserve">月分は、</t>
        </r>
        <r>
          <rPr>
            <sz val="12"/>
            <color rgb="FF000000"/>
            <rFont val="ＭＳ Ｐゴシック"/>
            <family val="3"/>
            <charset val="128"/>
          </rPr>
          <t xml:space="preserve">7</t>
        </r>
        <r>
          <rPr>
            <sz val="12"/>
            <color rgb="FF000000"/>
            <rFont val="WenQuanYi Zen Hei"/>
            <family val="2"/>
            <charset val="1"/>
          </rPr>
          <t xml:space="preserve">月に入ってから支払ってよいので、任継分の</t>
        </r>
        <r>
          <rPr>
            <sz val="12"/>
            <color rgb="FF000000"/>
            <rFont val="ＭＳ Ｐゴシック"/>
            <family val="3"/>
            <charset val="128"/>
          </rPr>
          <t xml:space="preserve">6</t>
        </r>
        <r>
          <rPr>
            <sz val="12"/>
            <color rgb="FF000000"/>
            <rFont val="WenQuanYi Zen Hei"/>
            <family val="2"/>
            <charset val="1"/>
          </rPr>
          <t xml:space="preserve">月入金を締めてから払える。
よって、</t>
        </r>
        <r>
          <rPr>
            <sz val="12"/>
            <color rgb="FF000000"/>
            <rFont val="ＭＳ Ｐゴシック"/>
            <family val="3"/>
            <charset val="128"/>
          </rPr>
          <t xml:space="preserve">9</t>
        </r>
        <r>
          <rPr>
            <sz val="12"/>
            <color rgb="FF000000"/>
            <rFont val="WenQuanYi Zen Hei"/>
            <family val="2"/>
            <charset val="1"/>
          </rPr>
          <t xml:space="preserve">月時の調整が必要ないので、前回の概算と確定は同じになる。</t>
        </r>
      </text>
    </comment>
    <comment ref="D77" authorId="0">
      <text>
        <r>
          <rPr>
            <sz val="10"/>
            <rFont val="WenQuanYi Zen Hei"/>
            <family val="2"/>
          </rPr>
          <t xml:space="preserve">前回９月分　入力済み</t>
        </r>
      </text>
    </comment>
    <comment ref="D111" authorId="0">
      <text>
        <r>
          <rPr>
            <sz val="10"/>
            <rFont val="WenQuanYi Zen Hei"/>
            <family val="2"/>
          </rPr>
          <t xml:space="preserve">前回１２月分入力済み</t>
        </r>
      </text>
    </comment>
    <comment ref="D130" authorId="0">
      <text>
        <r>
          <rPr>
            <sz val="10"/>
            <rFont val="WenQuanYi Zen Hei"/>
            <family val="2"/>
          </rPr>
          <t xml:space="preserve">給与改定等による遡及差額分は、６月と１２月の賞与分に係る。</t>
        </r>
      </text>
    </comment>
    <comment ref="E9" authorId="0">
      <text>
        <r>
          <rPr>
            <sz val="10"/>
            <rFont val="WenQuanYi Zen Hei"/>
            <family val="2"/>
          </rPr>
          <t xml:space="preserve">前回３月見込額入力済み</t>
        </r>
      </text>
    </comment>
    <comment ref="E77" authorId="0">
      <text>
        <r>
          <rPr>
            <sz val="10"/>
            <rFont val="WenQuanYi Zen Hei"/>
            <family val="2"/>
          </rPr>
          <t xml:space="preserve">前回９月分　入力済み
</t>
        </r>
      </text>
    </comment>
    <comment ref="E111" authorId="0">
      <text>
        <r>
          <rPr>
            <sz val="10"/>
            <rFont val="WenQuanYi Zen Hei"/>
            <family val="2"/>
          </rPr>
          <t xml:space="preserve">前回１２月分入力済み</t>
        </r>
      </text>
    </comment>
    <comment ref="K9" authorId="0">
      <text>
        <r>
          <rPr>
            <sz val="10"/>
            <rFont val="WenQuanYi Zen Hei"/>
            <family val="2"/>
          </rPr>
          <t xml:space="preserve">前回３月見込額入力済み</t>
        </r>
      </text>
    </comment>
    <comment ref="K42" authorId="0">
      <text>
        <r>
          <rPr>
            <sz val="10"/>
            <rFont val="Arial"/>
            <family val="2"/>
          </rPr>
          <t xml:space="preserve">6</t>
        </r>
        <r>
          <rPr>
            <sz val="12"/>
            <color rgb="FF000000"/>
            <rFont val="WenQuanYi Zen Hei"/>
            <family val="2"/>
            <charset val="1"/>
          </rPr>
          <t xml:space="preserve">月分は、</t>
        </r>
        <r>
          <rPr>
            <sz val="12"/>
            <color rgb="FF000000"/>
            <rFont val="MS P ゴシック"/>
            <family val="3"/>
            <charset val="128"/>
          </rPr>
          <t xml:space="preserve">7</t>
        </r>
        <r>
          <rPr>
            <sz val="12"/>
            <color rgb="FF000000"/>
            <rFont val="WenQuanYi Zen Hei"/>
            <family val="2"/>
            <charset val="1"/>
          </rPr>
          <t xml:space="preserve">月に入ってから支払ってよいので、任継分の</t>
        </r>
        <r>
          <rPr>
            <sz val="12"/>
            <color rgb="FF000000"/>
            <rFont val="MS P ゴシック"/>
            <family val="3"/>
            <charset val="128"/>
          </rPr>
          <t xml:space="preserve">6</t>
        </r>
        <r>
          <rPr>
            <sz val="12"/>
            <color rgb="FF000000"/>
            <rFont val="WenQuanYi Zen Hei"/>
            <family val="2"/>
            <charset val="1"/>
          </rPr>
          <t xml:space="preserve">月入金を締めてから払える。
よって、</t>
        </r>
        <r>
          <rPr>
            <sz val="12"/>
            <color rgb="FF000000"/>
            <rFont val="MS P ゴシック"/>
            <family val="3"/>
            <charset val="128"/>
          </rPr>
          <t xml:space="preserve">9</t>
        </r>
        <r>
          <rPr>
            <sz val="12"/>
            <color rgb="FF000000"/>
            <rFont val="WenQuanYi Zen Hei"/>
            <family val="2"/>
            <charset val="1"/>
          </rPr>
          <t xml:space="preserve">月時の調整が必要ないので、前回の概算と確定は同じになる。</t>
        </r>
      </text>
    </comment>
    <comment ref="K77" authorId="0">
      <text>
        <r>
          <rPr>
            <sz val="10"/>
            <rFont val="WenQuanYi Zen Hei"/>
            <family val="2"/>
          </rPr>
          <t xml:space="preserve">前回９月分
入力済み</t>
        </r>
      </text>
    </comment>
    <comment ref="K111" authorId="0">
      <text>
        <r>
          <rPr>
            <sz val="10"/>
            <rFont val="WenQuanYi Zen Hei"/>
            <family val="2"/>
          </rPr>
          <t xml:space="preserve">前回１２月分入力済み</t>
        </r>
      </text>
    </comment>
    <comment ref="S9" authorId="0">
      <text>
        <r>
          <rPr>
            <sz val="10"/>
            <rFont val="WenQuanYi Zen Hei"/>
            <family val="2"/>
          </rPr>
          <t xml:space="preserve">前回３月見込額入力済み</t>
        </r>
      </text>
    </comment>
    <comment ref="S42" authorId="0">
      <text>
        <r>
          <rPr>
            <sz val="10"/>
            <rFont val="Arial"/>
            <family val="2"/>
          </rPr>
          <t xml:space="preserve">6</t>
        </r>
        <r>
          <rPr>
            <sz val="12"/>
            <color rgb="FF000000"/>
            <rFont val="WenQuanYi Zen Hei"/>
            <family val="2"/>
            <charset val="1"/>
          </rPr>
          <t xml:space="preserve">月分は、</t>
        </r>
        <r>
          <rPr>
            <sz val="12"/>
            <color rgb="FF000000"/>
            <rFont val="MS P ゴシック"/>
            <family val="3"/>
            <charset val="128"/>
          </rPr>
          <t xml:space="preserve">7</t>
        </r>
        <r>
          <rPr>
            <sz val="12"/>
            <color rgb="FF000000"/>
            <rFont val="WenQuanYi Zen Hei"/>
            <family val="2"/>
            <charset val="1"/>
          </rPr>
          <t xml:space="preserve">月に入ってから支払ってよいので、任継分の</t>
        </r>
        <r>
          <rPr>
            <sz val="12"/>
            <color rgb="FF000000"/>
            <rFont val="MS P ゴシック"/>
            <family val="3"/>
            <charset val="128"/>
          </rPr>
          <t xml:space="preserve">6</t>
        </r>
        <r>
          <rPr>
            <sz val="12"/>
            <color rgb="FF000000"/>
            <rFont val="WenQuanYi Zen Hei"/>
            <family val="2"/>
            <charset val="1"/>
          </rPr>
          <t xml:space="preserve">月入金を締めてから払える。
よって、</t>
        </r>
        <r>
          <rPr>
            <sz val="12"/>
            <color rgb="FF000000"/>
            <rFont val="MS P ゴシック"/>
            <family val="3"/>
            <charset val="128"/>
          </rPr>
          <t xml:space="preserve">9</t>
        </r>
        <r>
          <rPr>
            <sz val="12"/>
            <color rgb="FF000000"/>
            <rFont val="WenQuanYi Zen Hei"/>
            <family val="2"/>
            <charset val="1"/>
          </rPr>
          <t xml:space="preserve">月時の調整が必要ないので、前回の概算と確定は同じになる。</t>
        </r>
      </text>
    </comment>
    <comment ref="S77" authorId="0">
      <text>
        <r>
          <rPr>
            <sz val="10"/>
            <rFont val="WenQuanYi Zen Hei"/>
            <family val="2"/>
          </rPr>
          <t xml:space="preserve">前回９月分　入力済み</t>
        </r>
      </text>
    </comment>
    <comment ref="S111" authorId="0">
      <text>
        <r>
          <rPr>
            <sz val="10"/>
            <rFont val="WenQuanYi Zen Hei"/>
            <family val="2"/>
          </rPr>
          <t xml:space="preserve">前回１２月分入力済み</t>
        </r>
      </text>
    </comment>
    <comment ref="AK9" authorId="0">
      <text>
        <r>
          <rPr>
            <sz val="10"/>
            <rFont val="WenQuanYi Zen Hei"/>
            <family val="2"/>
          </rPr>
          <t xml:space="preserve">前回３月見込額入力済み</t>
        </r>
      </text>
    </comment>
    <comment ref="AK42" authorId="0">
      <text>
        <r>
          <rPr>
            <sz val="10"/>
            <rFont val="Arial"/>
            <family val="2"/>
          </rPr>
          <t xml:space="preserve">6</t>
        </r>
        <r>
          <rPr>
            <sz val="12"/>
            <color rgb="FF000000"/>
            <rFont val="WenQuanYi Zen Hei"/>
            <family val="2"/>
            <charset val="1"/>
          </rPr>
          <t xml:space="preserve">月分は、</t>
        </r>
        <r>
          <rPr>
            <sz val="12"/>
            <color rgb="FF000000"/>
            <rFont val="MS P ゴシック"/>
            <family val="3"/>
            <charset val="128"/>
          </rPr>
          <t xml:space="preserve">7</t>
        </r>
        <r>
          <rPr>
            <sz val="12"/>
            <color rgb="FF000000"/>
            <rFont val="WenQuanYi Zen Hei"/>
            <family val="2"/>
            <charset val="1"/>
          </rPr>
          <t xml:space="preserve">月に入ってから支払ってよいので、任継分の</t>
        </r>
        <r>
          <rPr>
            <sz val="12"/>
            <color rgb="FF000000"/>
            <rFont val="MS P ゴシック"/>
            <family val="3"/>
            <charset val="128"/>
          </rPr>
          <t xml:space="preserve">6</t>
        </r>
        <r>
          <rPr>
            <sz val="12"/>
            <color rgb="FF000000"/>
            <rFont val="WenQuanYi Zen Hei"/>
            <family val="2"/>
            <charset val="1"/>
          </rPr>
          <t xml:space="preserve">月入金を締めてから払える。
よって、</t>
        </r>
        <r>
          <rPr>
            <sz val="12"/>
            <color rgb="FF000000"/>
            <rFont val="MS P ゴシック"/>
            <family val="3"/>
            <charset val="128"/>
          </rPr>
          <t xml:space="preserve">9</t>
        </r>
        <r>
          <rPr>
            <sz val="12"/>
            <color rgb="FF000000"/>
            <rFont val="WenQuanYi Zen Hei"/>
            <family val="2"/>
            <charset val="1"/>
          </rPr>
          <t xml:space="preserve">月時の調整が必要ないので、前回の概算と確定は同じになる。</t>
        </r>
      </text>
    </comment>
    <comment ref="AK77" authorId="0">
      <text>
        <r>
          <rPr>
            <sz val="10"/>
            <rFont val="WenQuanYi Zen Hei"/>
            <family val="2"/>
          </rPr>
          <t xml:space="preserve">前回９月分　入力済み</t>
        </r>
      </text>
    </comment>
    <comment ref="AK111" authorId="0">
      <text>
        <r>
          <rPr>
            <sz val="10"/>
            <rFont val="WenQuanYi Zen Hei"/>
            <family val="2"/>
          </rPr>
          <t xml:space="preserve">前回１２月分入力済み</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26" authorId="0">
      <text>
        <r>
          <rPr>
            <sz val="10"/>
            <rFont val="WenQuanYi Zen Hei"/>
            <family val="2"/>
          </rPr>
          <t xml:space="preserve">※連合会に標準報酬等合計額の報告が必要な３つのうち、一番金額の大きい、財政調整拠出金額を拠出金率で割戻して算出</t>
        </r>
      </text>
    </comment>
    <comment ref="B28" authorId="0">
      <text>
        <r>
          <rPr>
            <sz val="10"/>
            <rFont val="WenQuanYi Zen Hei"/>
            <family val="2"/>
          </rPr>
          <t xml:space="preserve">①病院機構（独法）採用職員は、短期公的負担なし。
②広島市からの派遣扱い等で、独法採用でない職員は短期公的負担あり。
よって、②の職員分の標準報酬額のみ出し、公的負担を算定（人給データ等参照または病院本部に聞き取り）。
</t>
        </r>
      </text>
    </comment>
    <comment ref="B150" authorId="0">
      <text>
        <r>
          <rPr>
            <sz val="10"/>
            <rFont val="WenQuanYi Zen Hei"/>
            <family val="2"/>
          </rPr>
          <t xml:space="preserve">※連合会に標準報酬等合計額の報告が必要な３つのうち、一番金額の大きい、財政調整拠出金額を拠出金率で割戻して算出</t>
        </r>
      </text>
    </comment>
    <comment ref="B367" authorId="0">
      <text>
        <r>
          <rPr>
            <sz val="10"/>
            <rFont val="WenQuanYi Zen Hei"/>
            <family val="2"/>
          </rPr>
          <t xml:space="preserve">※連合会に標準報酬等合計額の報告が必要な３つのうち、一番金額の大きい、財政調整拠出金額を拠出金率で割戻して算出</t>
        </r>
      </text>
    </comment>
    <comment ref="G77" authorId="0">
      <text>
        <r>
          <rPr>
            <sz val="10"/>
            <rFont val="WenQuanYi Zen Hei"/>
            <family val="2"/>
          </rPr>
          <t xml:space="preserve">標準報酬合計額</t>
        </r>
        <r>
          <rPr>
            <b val="true"/>
            <sz val="11"/>
            <color rgb="FF000000"/>
            <rFont val="MS P ゴシック"/>
            <family val="3"/>
            <charset val="128"/>
          </rPr>
          <t xml:space="preserve">×</t>
        </r>
        <r>
          <rPr>
            <b val="true"/>
            <sz val="11"/>
            <color rgb="FF000000"/>
            <rFont val="WenQuanYi Zen Hei"/>
            <family val="2"/>
            <charset val="1"/>
          </rPr>
          <t xml:space="preserve">拠出金率と合わせるために調整＋１円</t>
        </r>
      </text>
    </comment>
    <comment ref="G207" authorId="0">
      <text>
        <r>
          <rPr>
            <sz val="10"/>
            <rFont val="WenQuanYi Zen Hei"/>
            <family val="2"/>
          </rPr>
          <t xml:space="preserve">「標準報酬等合計額</t>
        </r>
        <r>
          <rPr>
            <sz val="9"/>
            <color rgb="FF000000"/>
            <rFont val="MS P ゴシック"/>
            <family val="3"/>
            <charset val="128"/>
          </rPr>
          <t xml:space="preserve">×</t>
        </r>
        <r>
          <rPr>
            <sz val="9"/>
            <color rgb="FF000000"/>
            <rFont val="WenQuanYi Zen Hei"/>
            <family val="2"/>
            <charset val="1"/>
          </rPr>
          <t xml:space="preserve">拠出金率」と、「各拠出金率で按分した掛金負担金の積み上げ金額」では、端数がずれて合わない。よって、連合会に提出するの３つの明細書の標準報酬等合計額を揃えるために、先に「標準報酬等合計額</t>
        </r>
        <r>
          <rPr>
            <sz val="9"/>
            <color rgb="FF000000"/>
            <rFont val="MS P ゴシック"/>
            <family val="3"/>
            <charset val="128"/>
          </rPr>
          <t xml:space="preserve">×</t>
        </r>
        <r>
          <rPr>
            <sz val="9"/>
            <color rgb="FF000000"/>
            <rFont val="WenQuanYi Zen Hei"/>
            <family val="2"/>
            <charset val="1"/>
          </rPr>
          <t xml:space="preserve">率（災害・保健分担）」を出し、掛金分を引いた。</t>
        </r>
      </text>
    </comment>
    <comment ref="G480" authorId="0">
      <text>
        <r>
          <rPr>
            <sz val="10"/>
            <rFont val="WenQuanYi Zen Hei"/>
            <family val="2"/>
          </rPr>
          <t xml:space="preserve">標準報酬合計額</t>
        </r>
        <r>
          <rPr>
            <sz val="9"/>
            <color rgb="FF000000"/>
            <rFont val="MS P ゴシック"/>
            <family val="3"/>
            <charset val="128"/>
          </rPr>
          <t xml:space="preserve">×</t>
        </r>
        <r>
          <rPr>
            <sz val="9"/>
            <color rgb="FF000000"/>
            <rFont val="WenQuanYi Zen Hei"/>
            <family val="2"/>
            <charset val="1"/>
          </rPr>
          <t xml:space="preserve">拠出金率と合わせるために調整＋１円</t>
        </r>
      </text>
    </comment>
    <comment ref="G511" authorId="0">
      <text>
        <r>
          <rPr>
            <sz val="10"/>
            <rFont val="WenQuanYi Zen Hei"/>
            <family val="2"/>
          </rPr>
          <t xml:space="preserve">標準報酬合計額</t>
        </r>
        <r>
          <rPr>
            <sz val="9"/>
            <color rgb="FF000000"/>
            <rFont val="MS P ゴシック"/>
            <family val="3"/>
            <charset val="128"/>
          </rPr>
          <t xml:space="preserve">×</t>
        </r>
        <r>
          <rPr>
            <sz val="9"/>
            <color rgb="FF000000"/>
            <rFont val="WenQuanYi Zen Hei"/>
            <family val="2"/>
            <charset val="1"/>
          </rPr>
          <t xml:space="preserve">拠出金率と合わせるために調整＋１円</t>
        </r>
      </text>
    </comment>
    <comment ref="H21" authorId="0">
      <text>
        <r>
          <rPr>
            <sz val="10"/>
            <rFont val="WenQuanYi Zen Hei"/>
            <family val="2"/>
          </rPr>
          <t xml:space="preserve">「標準報酬等合計額</t>
        </r>
        <r>
          <rPr>
            <sz val="9"/>
            <color rgb="FF000000"/>
            <rFont val="ＭＳ Ｐゴシック"/>
            <family val="3"/>
            <charset val="128"/>
          </rPr>
          <t xml:space="preserve">×</t>
        </r>
        <r>
          <rPr>
            <sz val="9"/>
            <color rgb="FF000000"/>
            <rFont val="WenQuanYi Zen Hei"/>
            <family val="2"/>
            <charset val="1"/>
          </rPr>
          <t xml:space="preserve">拠出金率」と、
「各拠出金率で按分した掛金負担金の積み上げ金額」では、端数がずれて合わない。
よって、連合会に提出するの３つの明細書の標準報酬等合計額を揃えるために、
先に「標準報酬等合計額</t>
        </r>
        <r>
          <rPr>
            <sz val="9"/>
            <color rgb="FF000000"/>
            <rFont val="ＭＳ Ｐゴシック"/>
            <family val="3"/>
            <charset val="128"/>
          </rPr>
          <t xml:space="preserve">×</t>
        </r>
        <r>
          <rPr>
            <sz val="9"/>
            <color rgb="FF000000"/>
            <rFont val="WenQuanYi Zen Hei"/>
            <family val="2"/>
            <charset val="1"/>
          </rPr>
          <t xml:space="preserve">率（災害・保健分担）」を出し、掛金分を引いた。</t>
        </r>
      </text>
    </comment>
    <comment ref="H362" authorId="0">
      <text>
        <r>
          <rPr>
            <sz val="10"/>
            <rFont val="WenQuanYi Zen Hei"/>
            <family val="2"/>
          </rPr>
          <t xml:space="preserve">「標準報酬等合計額</t>
        </r>
        <r>
          <rPr>
            <sz val="11"/>
            <color rgb="FF000000"/>
            <rFont val="ＭＳ Ｐゴシック"/>
            <family val="3"/>
            <charset val="128"/>
          </rPr>
          <t xml:space="preserve">×</t>
        </r>
        <r>
          <rPr>
            <sz val="11"/>
            <color rgb="FF000000"/>
            <rFont val="WenQuanYi Zen Hei"/>
            <family val="2"/>
            <charset val="1"/>
          </rPr>
          <t xml:space="preserve">拠出金率」と、
「各拠出金率で按分した掛金負担金の積み上げ金額」では、端数がずれて合わない。
よって、連合会に提出するの３つの明細書の標準報酬等合計額を揃えるために、
先に「標準報酬等合計額</t>
        </r>
        <r>
          <rPr>
            <sz val="11"/>
            <color rgb="FF000000"/>
            <rFont val="ＭＳ Ｐゴシック"/>
            <family val="3"/>
            <charset val="128"/>
          </rPr>
          <t xml:space="preserve">×</t>
        </r>
        <r>
          <rPr>
            <sz val="11"/>
            <color rgb="FF000000"/>
            <rFont val="WenQuanYi Zen Hei"/>
            <family val="2"/>
            <charset val="1"/>
          </rPr>
          <t xml:space="preserve">率（災害・保健分担）」を出し、掛金分を引いた。</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D26" authorId="0">
      <text>
        <r>
          <rPr>
            <sz val="10"/>
            <rFont val="WenQuanYi Zen Hei"/>
            <family val="2"/>
          </rPr>
          <t xml:space="preserve">手入力する！
「事業報告総括表」→「年金公的負担」のシートの数字
</t>
        </r>
      </text>
    </comment>
    <comment ref="K11" authorId="0">
      <text>
        <r>
          <rPr>
            <sz val="10"/>
            <rFont val="WenQuanYi Zen Hei"/>
            <family val="2"/>
          </rPr>
          <t xml:space="preserve">９月分還付から翌月５営業日に支払うようになった。
</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K40" authorId="0">
      <text>
        <r>
          <rPr>
            <sz val="10"/>
            <rFont val="Arial"/>
            <family val="2"/>
          </rPr>
          <t xml:space="preserve">3</t>
        </r>
        <r>
          <rPr>
            <sz val="11"/>
            <color rgb="FF000000"/>
            <rFont val="WenQuanYi Zen Hei"/>
            <family val="2"/>
            <charset val="1"/>
          </rPr>
          <t xml:space="preserve">月は給与改定を反映した随時改定が多く、</t>
        </r>
        <r>
          <rPr>
            <sz val="11"/>
            <color rgb="FF000000"/>
            <rFont val="ＭＳ Ｐゴシック"/>
            <family val="3"/>
            <charset val="128"/>
          </rPr>
          <t xml:space="preserve">29</t>
        </r>
        <r>
          <rPr>
            <sz val="11"/>
            <color rgb="FF000000"/>
            <rFont val="WenQuanYi Zen Hei"/>
            <family val="2"/>
            <charset val="1"/>
          </rPr>
          <t xml:space="preserve">年度実績で、
</t>
        </r>
        <r>
          <rPr>
            <sz val="11"/>
            <color rgb="FF000000"/>
            <rFont val="ＭＳ Ｐゴシック"/>
            <family val="3"/>
            <charset val="128"/>
          </rPr>
          <t xml:space="preserve">11</t>
        </r>
        <r>
          <rPr>
            <sz val="11"/>
            <color rgb="FF000000"/>
            <rFont val="WenQuanYi Zen Hei"/>
            <family val="2"/>
            <charset val="1"/>
          </rPr>
          <t xml:space="preserve">月掛金等収入</t>
        </r>
        <r>
          <rPr>
            <sz val="11"/>
            <color rgb="FF000000"/>
            <rFont val="ＭＳ Ｐゴシック"/>
            <family val="3"/>
            <charset val="128"/>
          </rPr>
          <t xml:space="preserve">×1.0109≒3</t>
        </r>
        <r>
          <rPr>
            <sz val="11"/>
            <color rgb="FF000000"/>
            <rFont val="WenQuanYi Zen Hei"/>
            <family val="2"/>
            <charset val="1"/>
          </rPr>
          <t xml:space="preserve">月収入、となっている。
次年度、給与改定が判明しているなら、</t>
        </r>
        <r>
          <rPr>
            <sz val="11"/>
            <color rgb="FF000000"/>
            <rFont val="ＭＳ Ｐゴシック"/>
            <family val="3"/>
            <charset val="128"/>
          </rPr>
          <t xml:space="preserve">11</t>
        </r>
        <r>
          <rPr>
            <sz val="11"/>
            <color rgb="FF000000"/>
            <rFont val="WenQuanYi Zen Hei"/>
            <family val="2"/>
            <charset val="1"/>
          </rPr>
          <t xml:space="preserve">月と同額とせず、</t>
        </r>
        <r>
          <rPr>
            <sz val="11"/>
            <color rgb="FF000000"/>
            <rFont val="ＭＳ Ｐゴシック"/>
            <family val="3"/>
            <charset val="128"/>
          </rPr>
          <t xml:space="preserve">3</t>
        </r>
        <r>
          <rPr>
            <sz val="11"/>
            <color rgb="FF000000"/>
            <rFont val="WenQuanYi Zen Hei"/>
            <family val="2"/>
            <charset val="1"/>
          </rPr>
          <t xml:space="preserve">月を増額する方がよいか？参考に。
　→</t>
        </r>
        <r>
          <rPr>
            <sz val="11"/>
            <color rgb="FF000000"/>
            <rFont val="HGP創英角ｺﾞｼｯｸUB"/>
            <family val="3"/>
            <charset val="128"/>
          </rPr>
          <t xml:space="preserve">R2</t>
        </r>
        <r>
          <rPr>
            <sz val="11"/>
            <color rgb="FF000000"/>
            <rFont val="WenQuanYi Zen Hei"/>
            <family val="2"/>
            <charset val="1"/>
          </rPr>
          <t xml:space="preserve">年度は、給与改定がないことがわかったため、例年どおりの算定で。</t>
        </r>
      </text>
    </comment>
  </commentList>
</comments>
</file>

<file path=xl/sharedStrings.xml><?xml version="1.0" encoding="utf-8"?>
<sst xmlns="http://schemas.openxmlformats.org/spreadsheetml/2006/main" count="8290" uniqueCount="890">
  <si>
    <t xml:space="preserve">共済掛金・負担金 管理ブック</t>
  </si>
  <si>
    <r>
      <rPr>
        <sz val="10"/>
        <color rgb="FF595959"/>
        <rFont val="WenQuanYi Zen Hei"/>
        <family val="2"/>
      </rPr>
      <t xml:space="preserve">報告書を</t>
    </r>
    <r>
      <rPr>
        <sz val="10"/>
        <color rgb="FF595959"/>
        <rFont val="Meiryo UI"/>
        <family val="0"/>
        <charset val="1"/>
      </rPr>
      <t xml:space="preserve">1</t>
    </r>
    <r>
      <rPr>
        <sz val="10"/>
        <color rgb="FF595959"/>
        <rFont val="WenQuanYi Zen Hei"/>
        <family val="2"/>
      </rPr>
      <t xml:space="preserve">回入力すれば、検算・明細表・伝票入力へ反映されます（令和</t>
    </r>
    <r>
      <rPr>
        <sz val="10"/>
        <color rgb="FF595959"/>
        <rFont val="Meiryo UI"/>
        <family val="0"/>
        <charset val="1"/>
      </rPr>
      <t xml:space="preserve">8</t>
    </r>
    <r>
      <rPr>
        <sz val="10"/>
        <color rgb="FF595959"/>
        <rFont val="WenQuanYi Zen Hei"/>
        <family val="2"/>
      </rPr>
      <t xml:space="preserve">年度）</t>
    </r>
  </si>
  <si>
    <t xml:space="preserve">対象ブロック</t>
  </si>
  <si>
    <r>
      <rPr>
        <b val="true"/>
        <sz val="12"/>
        <rFont val="Meiryo UI"/>
        <family val="0"/>
        <charset val="1"/>
      </rPr>
      <t xml:space="preserve">2026-10 </t>
    </r>
    <r>
      <rPr>
        <b val="true"/>
        <sz val="12"/>
        <rFont val="WenQuanYi Zen Hei"/>
        <family val="2"/>
      </rPr>
      <t xml:space="preserve">月例</t>
    </r>
  </si>
  <si>
    <t xml:space="preserve">← ここで月を切り替えると、下の集計・検算・伝票入力が切り替わります</t>
  </si>
  <si>
    <t xml:space="preserve">進捗（対象ブロック）</t>
  </si>
  <si>
    <t xml:space="preserve">団体数</t>
  </si>
  <si>
    <t xml:space="preserve">チェック（対象ブロック）</t>
  </si>
  <si>
    <t xml:space="preserve">伝票入力へ出る行数</t>
  </si>
  <si>
    <t xml:space="preserve">未受領</t>
  </si>
  <si>
    <t xml:space="preserve">検算：要確認</t>
  </si>
  <si>
    <t xml:space="preserve">受領済（入金待ち）</t>
  </si>
  <si>
    <t xml:space="preserve">検算：問題なし</t>
  </si>
  <si>
    <t xml:space="preserve">入金確認済（起票待ち）</t>
  </si>
  <si>
    <t xml:space="preserve">検算：標準報酬月額が未入力</t>
  </si>
  <si>
    <t xml:space="preserve">起票済</t>
  </si>
  <si>
    <t xml:space="preserve">入金：不一致</t>
  </si>
  <si>
    <t xml:space="preserve">報告なし（対象外）</t>
  </si>
  <si>
    <t xml:space="preserve">入金：未入金（受領済）</t>
  </si>
  <si>
    <t xml:space="preserve">合計</t>
  </si>
  <si>
    <t xml:space="preserve">明細表との照合（報告入力の合計＝☆掛負収入の総計）</t>
  </si>
  <si>
    <t xml:space="preserve">未受領の団体（報告待ち）</t>
  </si>
  <si>
    <t xml:space="preserve">検算で要確認の団体</t>
  </si>
  <si>
    <t xml:space="preserve">最大乖離率</t>
  </si>
  <si>
    <r>
      <rPr>
        <sz val="9"/>
        <color rgb="FF595959"/>
        <rFont val="WenQuanYi Zen Hei"/>
        <family val="2"/>
      </rPr>
      <t xml:space="preserve">※一覧は最大</t>
    </r>
    <r>
      <rPr>
        <sz val="9"/>
        <color rgb="FF595959"/>
        <rFont val="Meiryo UI"/>
        <family val="0"/>
        <charset val="1"/>
      </rPr>
      <t xml:space="preserve">15</t>
    </r>
    <r>
      <rPr>
        <sz val="9"/>
        <color rgb="FF595959"/>
        <rFont val="WenQuanYi Zen Hei"/>
        <family val="2"/>
      </rPr>
      <t xml:space="preserve">件まで表示します。全件は 報告入力／検算 シートで確認してください。</t>
    </r>
  </si>
  <si>
    <t xml:space="preserve">■ 毎月の流れ</t>
  </si>
  <si>
    <r>
      <rPr>
        <b val="true"/>
        <sz val="10"/>
        <rFont val="Meiryo UI"/>
        <family val="0"/>
        <charset val="1"/>
      </rPr>
      <t xml:space="preserve">1</t>
    </r>
    <r>
      <rPr>
        <b val="true"/>
        <sz val="10"/>
        <rFont val="WenQuanYi Zen Hei"/>
        <family val="2"/>
      </rPr>
      <t xml:space="preserve">　報告書を受領</t>
    </r>
  </si>
  <si>
    <r>
      <rPr>
        <sz val="10"/>
        <rFont val="WenQuanYi Zen Hei"/>
        <family val="2"/>
      </rPr>
      <t xml:space="preserve">報告入力：受領日を入力し、標準報酬月額（②）と報告書の金額（③）を入力します。</t>
    </r>
    <r>
      <rPr>
        <sz val="10"/>
        <rFont val="Meiryo UI"/>
        <family val="0"/>
        <charset val="1"/>
      </rPr>
      <t xml:space="preserve">1</t>
    </r>
    <r>
      <rPr>
        <sz val="10"/>
        <rFont val="WenQuanYi Zen Hei"/>
        <family val="2"/>
      </rPr>
      <t xml:space="preserve">回の入力で下流すべてに反映されます。</t>
    </r>
  </si>
  <si>
    <r>
      <rPr>
        <b val="true"/>
        <sz val="10"/>
        <rFont val="Meiryo UI"/>
        <family val="0"/>
        <charset val="1"/>
      </rPr>
      <t xml:space="preserve">2</t>
    </r>
    <r>
      <rPr>
        <b val="true"/>
        <sz val="10"/>
        <rFont val="WenQuanYi Zen Hei"/>
        <family val="2"/>
      </rPr>
      <t xml:space="preserve">　検算（自動）</t>
    </r>
  </si>
  <si>
    <t xml:space="preserve">報告入力の「検算」列／検算シートに 問題なし・要確認 が自動表示されます。乖離率がしきい値（設定）以上で要確認（赤）。</t>
  </si>
  <si>
    <r>
      <rPr>
        <b val="true"/>
        <sz val="10"/>
        <rFont val="Meiryo UI"/>
        <family val="0"/>
        <charset val="1"/>
      </rPr>
      <t xml:space="preserve">3</t>
    </r>
    <r>
      <rPr>
        <b val="true"/>
        <sz val="10"/>
        <rFont val="WenQuanYi Zen Hei"/>
        <family val="2"/>
      </rPr>
      <t xml:space="preserve">　明細表（自動反映）</t>
    </r>
  </si>
  <si>
    <t xml:space="preserve">☆掛負収入の該当月ブロックに金額が自動で入ります。色も自動：赤字＝未受領（前年値）／黒字＝受領済／緑＝入金確認済。</t>
  </si>
  <si>
    <r>
      <rPr>
        <b val="true"/>
        <sz val="10"/>
        <rFont val="Meiryo UI"/>
        <family val="0"/>
        <charset val="1"/>
      </rPr>
      <t xml:space="preserve">4</t>
    </r>
    <r>
      <rPr>
        <b val="true"/>
        <sz val="10"/>
        <rFont val="WenQuanYi Zen Hei"/>
        <family val="2"/>
      </rPr>
      <t xml:space="preserve">　入金確認</t>
    </r>
  </si>
  <si>
    <t xml:space="preserve">通帳の入金額を 報告入力の「通帳入金額」へ入力。期待額と一致すれば「一致」となり自動で入金確認済（緑）になります。</t>
  </si>
  <si>
    <r>
      <rPr>
        <b val="true"/>
        <sz val="10"/>
        <rFont val="Meiryo UI"/>
        <family val="0"/>
        <charset val="1"/>
      </rPr>
      <t xml:space="preserve">5</t>
    </r>
    <r>
      <rPr>
        <b val="true"/>
        <sz val="10"/>
        <rFont val="WenQuanYi Zen Hei"/>
        <family val="2"/>
      </rPr>
      <t xml:space="preserve">　伝票入力</t>
    </r>
  </si>
  <si>
    <t xml:space="preserve">伝票入力シートに、入金確認済の団体が伝票の入力順（経理区分→団体→貸方科目）で並びます。そのまま共済システムへ転記し、終えたら報告入力の「起票済」に○。</t>
  </si>
  <si>
    <t xml:space="preserve">■ 色・用語</t>
  </si>
  <si>
    <t xml:space="preserve">黄色セル</t>
  </si>
  <si>
    <t xml:space="preserve">入力するセル（既存の運用で黄色＝入力と同じ意味）</t>
  </si>
  <si>
    <t xml:space="preserve">灰色セル／灰色の列</t>
  </si>
  <si>
    <t xml:space="preserve">自動計算（入力しない）</t>
  </si>
  <si>
    <t xml:space="preserve">状態</t>
  </si>
  <si>
    <t xml:space="preserve">未受領 → 受領済 → 入金確認済 → 起票済 の順に自動で進みます（受領日・通帳入金額・○の入力に応じて）</t>
  </si>
  <si>
    <t xml:space="preserve">受領日欄</t>
  </si>
  <si>
    <t xml:space="preserve">日付／「済」（過去分）／「なし」（その月は報告のない団体）</t>
  </si>
  <si>
    <t xml:space="preserve">仮置き（前年値）</t>
  </si>
  <si>
    <t xml:space="preserve">未受領の間は、旧ファイルで赤字だった前年数値を明細表に表示し続けます（元の数値を変えないため）</t>
  </si>
  <si>
    <t xml:space="preserve">■ 既存シートについて</t>
  </si>
  <si>
    <r>
      <rPr>
        <sz val="10"/>
        <rFont val="WenQuanYi Zen Hei"/>
        <family val="2"/>
      </rPr>
      <t xml:space="preserve">☆掛負収入の数値セル（</t>
    </r>
    <r>
      <rPr>
        <sz val="10"/>
        <rFont val="Meiryo UI"/>
        <family val="0"/>
        <charset val="1"/>
      </rPr>
      <t xml:space="preserve">B</t>
    </r>
    <r>
      <rPr>
        <sz val="10"/>
        <rFont val="WenQuanYi Zen Hei"/>
        <family val="2"/>
      </rPr>
      <t xml:space="preserve">〜</t>
    </r>
    <r>
      <rPr>
        <sz val="10"/>
        <rFont val="Meiryo UI"/>
        <family val="0"/>
        <charset val="1"/>
      </rPr>
      <t xml:space="preserve">F,H,I,K,L,N,O</t>
    </r>
    <r>
      <rPr>
        <sz val="10"/>
        <rFont val="WenQuanYi Zen Hei"/>
        <family val="2"/>
      </rPr>
      <t xml:space="preserve">列）は報告入力から自動反映される式になりました。これらのセルへの手入力は不要です（手入力すると式が消えます）。その他のシート（給与課提出用・全体集計・振替・集計 等）は従来どおり☆掛負収入を参照しており、数値は改良前と一致しています。</t>
    </r>
  </si>
  <si>
    <r>
      <rPr>
        <b val="true"/>
        <sz val="12"/>
        <color rgb="FF2F5597"/>
        <rFont val="WenQuanYi Zen Hei"/>
        <family val="2"/>
      </rPr>
      <t xml:space="preserve">■ 今回の改良内容（令和</t>
    </r>
    <r>
      <rPr>
        <b val="true"/>
        <sz val="12"/>
        <color rgb="FF2F5597"/>
        <rFont val="Meiryo UI"/>
        <family val="0"/>
        <charset val="1"/>
      </rPr>
      <t xml:space="preserve">8</t>
    </r>
    <r>
      <rPr>
        <b val="true"/>
        <sz val="12"/>
        <color rgb="FF2F5597"/>
        <rFont val="WenQuanYi Zen Hei"/>
        <family val="2"/>
      </rPr>
      <t xml:space="preserve">年</t>
    </r>
    <r>
      <rPr>
        <b val="true"/>
        <sz val="12"/>
        <color rgb="FF2F5597"/>
        <rFont val="Meiryo UI"/>
        <family val="0"/>
        <charset val="1"/>
      </rPr>
      <t xml:space="preserve">10</t>
    </r>
    <r>
      <rPr>
        <b val="true"/>
        <sz val="12"/>
        <color rgb="FF2F5597"/>
        <rFont val="WenQuanYi Zen Hei"/>
        <family val="2"/>
      </rPr>
      <t xml:space="preserve">月）</t>
    </r>
  </si>
  <si>
    <r>
      <rPr>
        <sz val="10"/>
        <rFont val="WenQuanYi Zen Hei"/>
        <family val="2"/>
      </rPr>
      <t xml:space="preserve">・報告書の金額を「報告入力」へ</t>
    </r>
    <r>
      <rPr>
        <sz val="10"/>
        <rFont val="Meiryo UI"/>
        <family val="0"/>
        <charset val="1"/>
      </rPr>
      <t xml:space="preserve">1</t>
    </r>
    <r>
      <rPr>
        <sz val="10"/>
        <rFont val="WenQuanYi Zen Hei"/>
        <family val="2"/>
      </rPr>
      <t xml:space="preserve">回入力 → ☆掛負収入（明細表）へ自動反映（過去分の数値は移行済みで改良前と一致）</t>
    </r>
  </si>
  <si>
    <t xml:space="preserve">・標準報酬月額から見込額を自動計算し、報告額との乖離率で「問題なし／要確認」を自動判定（検算結果は月ごとに蓄積）</t>
  </si>
  <si>
    <t xml:space="preserve">・明細表の色（赤＝未受領／黒＝受領済／緑＝入金確認済）を状態から自動表示</t>
  </si>
  <si>
    <t xml:space="preserve">・通帳の入金額を入力すると、振込方式（合算／掛金・負担金別／経理区分別）ごとの期待額と自動照合</t>
  </si>
  <si>
    <t xml:space="preserve">・伝票入力シートに、共済システムの入力順で借方・貸方・摘要・金額を一覧表示（転記用）</t>
  </si>
  <si>
    <r>
      <rPr>
        <sz val="10"/>
        <rFont val="WenQuanYi Zen Hei"/>
        <family val="2"/>
      </rPr>
      <t xml:space="preserve">・☆掛負収入 </t>
    </r>
    <r>
      <rPr>
        <sz val="10"/>
        <rFont val="Meiryo UI"/>
        <family val="0"/>
        <charset val="1"/>
      </rPr>
      <t xml:space="preserve">4</t>
    </r>
    <r>
      <rPr>
        <sz val="10"/>
        <rFont val="WenQuanYi Zen Hei"/>
        <family val="2"/>
      </rPr>
      <t xml:space="preserve">月ブロックの総計行</t>
    </r>
    <r>
      <rPr>
        <sz val="10"/>
        <rFont val="Meiryo UI"/>
        <family val="0"/>
        <charset val="1"/>
      </rPr>
      <t xml:space="preserve">(I65,L65,O65)</t>
    </r>
    <r>
      <rPr>
        <sz val="10"/>
        <rFont val="WenQuanYi Zen Hei"/>
        <family val="2"/>
      </rPr>
      <t xml:space="preserve">が文字セルを含んで </t>
    </r>
    <r>
      <rPr>
        <sz val="10"/>
        <rFont val="Meiryo UI"/>
        <family val="0"/>
        <charset val="1"/>
      </rPr>
      <t xml:space="preserve">#VALUE! </t>
    </r>
    <r>
      <rPr>
        <sz val="10"/>
        <rFont val="WenQuanYi Zen Hei"/>
        <family val="2"/>
      </rPr>
      <t xml:space="preserve">になっていたため、文字を無視する式に修正</t>
    </r>
  </si>
  <si>
    <r>
      <rPr>
        <b val="true"/>
        <sz val="14"/>
        <color rgb="FF1F3864"/>
        <rFont val="WenQuanYi Zen Hei"/>
        <family val="2"/>
      </rPr>
      <t xml:space="preserve">報告入力（報告書を</t>
    </r>
    <r>
      <rPr>
        <b val="true"/>
        <sz val="14"/>
        <color rgb="FF1F3864"/>
        <rFont val="Meiryo UI"/>
        <family val="0"/>
        <charset val="1"/>
      </rPr>
      <t xml:space="preserve">1</t>
    </r>
    <r>
      <rPr>
        <b val="true"/>
        <sz val="14"/>
        <color rgb="FF1F3864"/>
        <rFont val="WenQuanYi Zen Hei"/>
        <family val="2"/>
      </rPr>
      <t xml:space="preserve">回入力するだけ）</t>
    </r>
  </si>
  <si>
    <t xml:space="preserve">団体から届いた報告書の内容を、該当ブロックの黄色セルへ入力します。検算・明細表（☆掛負収入）・伝票入力へ自動で反映されます。</t>
  </si>
  <si>
    <r>
      <rPr>
        <sz val="10"/>
        <color rgb="FF595959"/>
        <rFont val="WenQuanYi Zen Hei"/>
        <family val="2"/>
      </rPr>
      <t xml:space="preserve">使い方：</t>
    </r>
    <r>
      <rPr>
        <sz val="10"/>
        <color rgb="FF595959"/>
        <rFont val="Meiryo UI"/>
        <family val="0"/>
        <charset val="1"/>
      </rPr>
      <t xml:space="preserve">A</t>
    </r>
    <r>
      <rPr>
        <sz val="10"/>
        <color rgb="FF595959"/>
        <rFont val="WenQuanYi Zen Hei"/>
        <family val="2"/>
      </rPr>
      <t xml:space="preserve">列「ブロック」のフィルタで対象月を選んでください（現在は対象ブロックだけ表示）。灰色の列は計算用です（列グループ［＋］で開閉）。並べ替えは可。</t>
    </r>
  </si>
  <si>
    <t xml:space="preserve">受領日欄：報告書を受け取ったら日付を入力（過去分は「済」）。報告のない団体は「なし」。空欄の間は「未受領」＝前年の数値（仮置き）が明細表に表示されます。</t>
  </si>
  <si>
    <t xml:space="preserve">自動判定</t>
  </si>
  <si>
    <t xml:space="preserve">①報告書の受領</t>
  </si>
  <si>
    <t xml:space="preserve">②標準報酬月額の総額（円）※検算用</t>
  </si>
  <si>
    <t xml:space="preserve">③報告書の金額（円）　長期（組合員／事業主）／短期／介護／子ども・子育て支援納付金</t>
  </si>
  <si>
    <t xml:space="preserve">④入金（通帳）の照合</t>
  </si>
  <si>
    <t xml:space="preserve">⑤確認・起票</t>
  </si>
  <si>
    <t xml:space="preserve">（計算用）未受領の間の仮置き（前年値）</t>
  </si>
  <si>
    <t xml:space="preserve">（計算用）明細表へ反映する値</t>
  </si>
  <si>
    <r>
      <rPr>
        <b val="true"/>
        <sz val="10"/>
        <color rgb="FFFFFFFF"/>
        <rFont val="WenQuanYi Zen Hei"/>
        <family val="2"/>
      </rPr>
      <t xml:space="preserve">（計算用）見込額＝標準報酬</t>
    </r>
    <r>
      <rPr>
        <b val="true"/>
        <sz val="10"/>
        <color rgb="FFFFFFFF"/>
        <rFont val="Meiryo UI"/>
        <family val="0"/>
        <charset val="1"/>
      </rPr>
      <t xml:space="preserve">×</t>
    </r>
    <r>
      <rPr>
        <b val="true"/>
        <sz val="10"/>
        <color rgb="FFFFFFFF"/>
        <rFont val="WenQuanYi Zen Hei"/>
        <family val="2"/>
      </rPr>
      <t xml:space="preserve">料率</t>
    </r>
  </si>
  <si>
    <t xml:space="preserve">（計算用）報告額の集計</t>
  </si>
  <si>
    <t xml:space="preserve">（計算用）乖離率</t>
  </si>
  <si>
    <t xml:space="preserve">ブロック</t>
  </si>
  <si>
    <t xml:space="preserve">団体名</t>
  </si>
  <si>
    <t xml:space="preserve">検算</t>
  </si>
  <si>
    <t xml:space="preserve">前月比</t>
  </si>
  <si>
    <t xml:space="preserve">入金</t>
  </si>
  <si>
    <t xml:space="preserve">受領日
（日付／済／なし）</t>
  </si>
  <si>
    <t xml:space="preserve">提出方法</t>
  </si>
  <si>
    <t xml:space="preserve">長期</t>
  </si>
  <si>
    <t xml:space="preserve">短期</t>
  </si>
  <si>
    <t xml:space="preserve">介護</t>
  </si>
  <si>
    <t xml:space="preserve">厚生年金
保険料
（組合員）</t>
  </si>
  <si>
    <t xml:space="preserve">退職等年金
掛金</t>
  </si>
  <si>
    <t xml:space="preserve">厚生年金
保険料
（事業主）</t>
  </si>
  <si>
    <t xml:space="preserve">退職等年金
負担金</t>
  </si>
  <si>
    <t xml:space="preserve">経過的長期</t>
  </si>
  <si>
    <t xml:space="preserve">短期
掛金</t>
  </si>
  <si>
    <t xml:space="preserve">短期
負担金</t>
  </si>
  <si>
    <t xml:space="preserve">介護
掛金</t>
  </si>
  <si>
    <t xml:space="preserve">介護
負担金</t>
  </si>
  <si>
    <t xml:space="preserve">子ども・子育て
支援納付金
掛金</t>
  </si>
  <si>
    <t xml:space="preserve">子ども・子育て
支援納付金
負担金</t>
  </si>
  <si>
    <t xml:space="preserve">振込方式</t>
  </si>
  <si>
    <t xml:space="preserve">通帳
入金日</t>
  </si>
  <si>
    <t xml:space="preserve">期待額①</t>
  </si>
  <si>
    <t xml:space="preserve">通帳入金額①</t>
  </si>
  <si>
    <t xml:space="preserve">期待額②</t>
  </si>
  <si>
    <t xml:space="preserve">通帳入金額②</t>
  </si>
  <si>
    <t xml:space="preserve">期待額③</t>
  </si>
  <si>
    <t xml:space="preserve">通帳入金額③</t>
  </si>
  <si>
    <t xml:space="preserve">期待額④</t>
  </si>
  <si>
    <t xml:space="preserve">通帳入金額④</t>
  </si>
  <si>
    <t xml:space="preserve">入金確認
（手動○）</t>
  </si>
  <si>
    <t xml:space="preserve">起票済
（○）</t>
  </si>
  <si>
    <t xml:space="preserve">備考</t>
  </si>
  <si>
    <r>
      <rPr>
        <b val="true"/>
        <sz val="10"/>
        <color rgb="FFFFFFFF"/>
        <rFont val="WenQuanYi Zen Hei"/>
        <family val="2"/>
      </rPr>
      <t xml:space="preserve">仮置き</t>
    </r>
    <r>
      <rPr>
        <b val="true"/>
        <sz val="10"/>
        <color rgb="FFFFFFFF"/>
        <rFont val="Meiryo UI"/>
        <family val="0"/>
        <charset val="1"/>
      </rPr>
      <t xml:space="preserve">1</t>
    </r>
  </si>
  <si>
    <r>
      <rPr>
        <b val="true"/>
        <sz val="10"/>
        <color rgb="FFFFFFFF"/>
        <rFont val="WenQuanYi Zen Hei"/>
        <family val="2"/>
      </rPr>
      <t xml:space="preserve">仮置き</t>
    </r>
    <r>
      <rPr>
        <b val="true"/>
        <sz val="10"/>
        <color rgb="FFFFFFFF"/>
        <rFont val="Meiryo UI"/>
        <family val="0"/>
        <charset val="1"/>
      </rPr>
      <t xml:space="preserve">2</t>
    </r>
  </si>
  <si>
    <r>
      <rPr>
        <b val="true"/>
        <sz val="10"/>
        <color rgb="FFFFFFFF"/>
        <rFont val="WenQuanYi Zen Hei"/>
        <family val="2"/>
      </rPr>
      <t xml:space="preserve">仮置き</t>
    </r>
    <r>
      <rPr>
        <b val="true"/>
        <sz val="10"/>
        <color rgb="FFFFFFFF"/>
        <rFont val="Meiryo UI"/>
        <family val="0"/>
        <charset val="1"/>
      </rPr>
      <t xml:space="preserve">3</t>
    </r>
  </si>
  <si>
    <r>
      <rPr>
        <b val="true"/>
        <sz val="10"/>
        <color rgb="FFFFFFFF"/>
        <rFont val="WenQuanYi Zen Hei"/>
        <family val="2"/>
      </rPr>
      <t xml:space="preserve">仮置き</t>
    </r>
    <r>
      <rPr>
        <b val="true"/>
        <sz val="10"/>
        <color rgb="FFFFFFFF"/>
        <rFont val="Meiryo UI"/>
        <family val="0"/>
        <charset val="1"/>
      </rPr>
      <t xml:space="preserve">4</t>
    </r>
  </si>
  <si>
    <r>
      <rPr>
        <b val="true"/>
        <sz val="10"/>
        <color rgb="FFFFFFFF"/>
        <rFont val="WenQuanYi Zen Hei"/>
        <family val="2"/>
      </rPr>
      <t xml:space="preserve">仮置き</t>
    </r>
    <r>
      <rPr>
        <b val="true"/>
        <sz val="10"/>
        <color rgb="FFFFFFFF"/>
        <rFont val="Meiryo UI"/>
        <family val="0"/>
        <charset val="1"/>
      </rPr>
      <t xml:space="preserve">5</t>
    </r>
  </si>
  <si>
    <r>
      <rPr>
        <b val="true"/>
        <sz val="10"/>
        <color rgb="FFFFFFFF"/>
        <rFont val="WenQuanYi Zen Hei"/>
        <family val="2"/>
      </rPr>
      <t xml:space="preserve">仮置き</t>
    </r>
    <r>
      <rPr>
        <b val="true"/>
        <sz val="10"/>
        <color rgb="FFFFFFFF"/>
        <rFont val="Meiryo UI"/>
        <family val="0"/>
        <charset val="1"/>
      </rPr>
      <t xml:space="preserve">6</t>
    </r>
  </si>
  <si>
    <r>
      <rPr>
        <b val="true"/>
        <sz val="10"/>
        <color rgb="FFFFFFFF"/>
        <rFont val="WenQuanYi Zen Hei"/>
        <family val="2"/>
      </rPr>
      <t xml:space="preserve">仮置き</t>
    </r>
    <r>
      <rPr>
        <b val="true"/>
        <sz val="10"/>
        <color rgb="FFFFFFFF"/>
        <rFont val="Meiryo UI"/>
        <family val="0"/>
        <charset val="1"/>
      </rPr>
      <t xml:space="preserve">7</t>
    </r>
  </si>
  <si>
    <r>
      <rPr>
        <b val="true"/>
        <sz val="10"/>
        <color rgb="FFFFFFFF"/>
        <rFont val="WenQuanYi Zen Hei"/>
        <family val="2"/>
      </rPr>
      <t xml:space="preserve">仮置き</t>
    </r>
    <r>
      <rPr>
        <b val="true"/>
        <sz val="10"/>
        <color rgb="FFFFFFFF"/>
        <rFont val="Meiryo UI"/>
        <family val="0"/>
        <charset val="1"/>
      </rPr>
      <t xml:space="preserve">8</t>
    </r>
  </si>
  <si>
    <r>
      <rPr>
        <b val="true"/>
        <sz val="10"/>
        <color rgb="FFFFFFFF"/>
        <rFont val="WenQuanYi Zen Hei"/>
        <family val="2"/>
      </rPr>
      <t xml:space="preserve">仮置き</t>
    </r>
    <r>
      <rPr>
        <b val="true"/>
        <sz val="10"/>
        <color rgb="FFFFFFFF"/>
        <rFont val="Meiryo UI"/>
        <family val="0"/>
        <charset val="1"/>
      </rPr>
      <t xml:space="preserve">9</t>
    </r>
  </si>
  <si>
    <r>
      <rPr>
        <b val="true"/>
        <sz val="10"/>
        <color rgb="FFFFFFFF"/>
        <rFont val="WenQuanYi Zen Hei"/>
        <family val="2"/>
      </rPr>
      <t xml:space="preserve">仮置き</t>
    </r>
    <r>
      <rPr>
        <b val="true"/>
        <sz val="10"/>
        <color rgb="FFFFFFFF"/>
        <rFont val="Meiryo UI"/>
        <family val="0"/>
        <charset val="1"/>
      </rPr>
      <t xml:space="preserve">10</t>
    </r>
  </si>
  <si>
    <r>
      <rPr>
        <b val="true"/>
        <sz val="10"/>
        <color rgb="FFFFFFFF"/>
        <rFont val="WenQuanYi Zen Hei"/>
        <family val="2"/>
      </rPr>
      <t xml:space="preserve">仮置き</t>
    </r>
    <r>
      <rPr>
        <b val="true"/>
        <sz val="10"/>
        <color rgb="FFFFFFFF"/>
        <rFont val="Meiryo UI"/>
        <family val="0"/>
        <charset val="1"/>
      </rPr>
      <t xml:space="preserve">11</t>
    </r>
  </si>
  <si>
    <r>
      <rPr>
        <b val="true"/>
        <sz val="10"/>
        <color rgb="FFFFFFFF"/>
        <rFont val="WenQuanYi Zen Hei"/>
        <family val="2"/>
      </rPr>
      <t xml:space="preserve">反映</t>
    </r>
    <r>
      <rPr>
        <b val="true"/>
        <sz val="10"/>
        <color rgb="FFFFFFFF"/>
        <rFont val="Meiryo UI"/>
        <family val="0"/>
        <charset val="1"/>
      </rPr>
      <t xml:space="preserve">1</t>
    </r>
  </si>
  <si>
    <r>
      <rPr>
        <b val="true"/>
        <sz val="10"/>
        <color rgb="FFFFFFFF"/>
        <rFont val="WenQuanYi Zen Hei"/>
        <family val="2"/>
      </rPr>
      <t xml:space="preserve">反映</t>
    </r>
    <r>
      <rPr>
        <b val="true"/>
        <sz val="10"/>
        <color rgb="FFFFFFFF"/>
        <rFont val="Meiryo UI"/>
        <family val="0"/>
        <charset val="1"/>
      </rPr>
      <t xml:space="preserve">2</t>
    </r>
  </si>
  <si>
    <r>
      <rPr>
        <b val="true"/>
        <sz val="10"/>
        <color rgb="FFFFFFFF"/>
        <rFont val="WenQuanYi Zen Hei"/>
        <family val="2"/>
      </rPr>
      <t xml:space="preserve">反映</t>
    </r>
    <r>
      <rPr>
        <b val="true"/>
        <sz val="10"/>
        <color rgb="FFFFFFFF"/>
        <rFont val="Meiryo UI"/>
        <family val="0"/>
        <charset val="1"/>
      </rPr>
      <t xml:space="preserve">3</t>
    </r>
  </si>
  <si>
    <r>
      <rPr>
        <b val="true"/>
        <sz val="10"/>
        <color rgb="FFFFFFFF"/>
        <rFont val="WenQuanYi Zen Hei"/>
        <family val="2"/>
      </rPr>
      <t xml:space="preserve">反映</t>
    </r>
    <r>
      <rPr>
        <b val="true"/>
        <sz val="10"/>
        <color rgb="FFFFFFFF"/>
        <rFont val="Meiryo UI"/>
        <family val="0"/>
        <charset val="1"/>
      </rPr>
      <t xml:space="preserve">4</t>
    </r>
  </si>
  <si>
    <r>
      <rPr>
        <b val="true"/>
        <sz val="10"/>
        <color rgb="FFFFFFFF"/>
        <rFont val="WenQuanYi Zen Hei"/>
        <family val="2"/>
      </rPr>
      <t xml:space="preserve">反映</t>
    </r>
    <r>
      <rPr>
        <b val="true"/>
        <sz val="10"/>
        <color rgb="FFFFFFFF"/>
        <rFont val="Meiryo UI"/>
        <family val="0"/>
        <charset val="1"/>
      </rPr>
      <t xml:space="preserve">5</t>
    </r>
  </si>
  <si>
    <r>
      <rPr>
        <b val="true"/>
        <sz val="10"/>
        <color rgb="FFFFFFFF"/>
        <rFont val="WenQuanYi Zen Hei"/>
        <family val="2"/>
      </rPr>
      <t xml:space="preserve">反映</t>
    </r>
    <r>
      <rPr>
        <b val="true"/>
        <sz val="10"/>
        <color rgb="FFFFFFFF"/>
        <rFont val="Meiryo UI"/>
        <family val="0"/>
        <charset val="1"/>
      </rPr>
      <t xml:space="preserve">6</t>
    </r>
  </si>
  <si>
    <r>
      <rPr>
        <b val="true"/>
        <sz val="10"/>
        <color rgb="FFFFFFFF"/>
        <rFont val="WenQuanYi Zen Hei"/>
        <family val="2"/>
      </rPr>
      <t xml:space="preserve">反映</t>
    </r>
    <r>
      <rPr>
        <b val="true"/>
        <sz val="10"/>
        <color rgb="FFFFFFFF"/>
        <rFont val="Meiryo UI"/>
        <family val="0"/>
        <charset val="1"/>
      </rPr>
      <t xml:space="preserve">7</t>
    </r>
  </si>
  <si>
    <r>
      <rPr>
        <b val="true"/>
        <sz val="10"/>
        <color rgb="FFFFFFFF"/>
        <rFont val="WenQuanYi Zen Hei"/>
        <family val="2"/>
      </rPr>
      <t xml:space="preserve">反映</t>
    </r>
    <r>
      <rPr>
        <b val="true"/>
        <sz val="10"/>
        <color rgb="FFFFFFFF"/>
        <rFont val="Meiryo UI"/>
        <family val="0"/>
        <charset val="1"/>
      </rPr>
      <t xml:space="preserve">8</t>
    </r>
  </si>
  <si>
    <r>
      <rPr>
        <b val="true"/>
        <sz val="10"/>
        <color rgb="FFFFFFFF"/>
        <rFont val="WenQuanYi Zen Hei"/>
        <family val="2"/>
      </rPr>
      <t xml:space="preserve">反映</t>
    </r>
    <r>
      <rPr>
        <b val="true"/>
        <sz val="10"/>
        <color rgb="FFFFFFFF"/>
        <rFont val="Meiryo UI"/>
        <family val="0"/>
        <charset val="1"/>
      </rPr>
      <t xml:space="preserve">9</t>
    </r>
  </si>
  <si>
    <r>
      <rPr>
        <b val="true"/>
        <sz val="10"/>
        <color rgb="FFFFFFFF"/>
        <rFont val="WenQuanYi Zen Hei"/>
        <family val="2"/>
      </rPr>
      <t xml:space="preserve">反映</t>
    </r>
    <r>
      <rPr>
        <b val="true"/>
        <sz val="10"/>
        <color rgb="FFFFFFFF"/>
        <rFont val="Meiryo UI"/>
        <family val="0"/>
        <charset val="1"/>
      </rPr>
      <t xml:space="preserve">10</t>
    </r>
  </si>
  <si>
    <r>
      <rPr>
        <b val="true"/>
        <sz val="10"/>
        <color rgb="FFFFFFFF"/>
        <rFont val="WenQuanYi Zen Hei"/>
        <family val="2"/>
      </rPr>
      <t xml:space="preserve">反映</t>
    </r>
    <r>
      <rPr>
        <b val="true"/>
        <sz val="10"/>
        <color rgb="FFFFFFFF"/>
        <rFont val="Meiryo UI"/>
        <family val="0"/>
        <charset val="1"/>
      </rPr>
      <t xml:space="preserve">11</t>
    </r>
  </si>
  <si>
    <t xml:space="preserve">見込長期掛金</t>
  </si>
  <si>
    <t xml:space="preserve">見込長期負担金</t>
  </si>
  <si>
    <t xml:space="preserve">見込短期掛金</t>
  </si>
  <si>
    <t xml:space="preserve">見込短期負担金</t>
  </si>
  <si>
    <t xml:space="preserve">見込介護掛金</t>
  </si>
  <si>
    <t xml:space="preserve">見込介護負担金</t>
  </si>
  <si>
    <t xml:space="preserve">見込子子掛金</t>
  </si>
  <si>
    <t xml:space="preserve">見込子子負担金</t>
  </si>
  <si>
    <t xml:space="preserve">報告長期掛金</t>
  </si>
  <si>
    <t xml:space="preserve">報告長期負担金</t>
  </si>
  <si>
    <t xml:space="preserve">報告短期掛金</t>
  </si>
  <si>
    <t xml:space="preserve">報告短期負担金</t>
  </si>
  <si>
    <t xml:space="preserve">報告介護掛金</t>
  </si>
  <si>
    <t xml:space="preserve">報告介護負担金</t>
  </si>
  <si>
    <t xml:space="preserve">報告子子掛金</t>
  </si>
  <si>
    <t xml:space="preserve">報告子子負担金</t>
  </si>
  <si>
    <t xml:space="preserve">乖離長期掛金</t>
  </si>
  <si>
    <t xml:space="preserve">乖離長期負担金</t>
  </si>
  <si>
    <t xml:space="preserve">乖離短期掛金</t>
  </si>
  <si>
    <t xml:space="preserve">乖離短期負担金</t>
  </si>
  <si>
    <t xml:space="preserve">乖離介護掛金</t>
  </si>
  <si>
    <t xml:space="preserve">乖離介護負担金</t>
  </si>
  <si>
    <t xml:space="preserve">乖離子子掛金</t>
  </si>
  <si>
    <t xml:space="preserve">乖離子子負担金</t>
  </si>
  <si>
    <t xml:space="preserve">最大乖離</t>
  </si>
  <si>
    <t xml:space="preserve">前月総額</t>
  </si>
  <si>
    <t xml:space="preserve">当月総額</t>
  </si>
  <si>
    <t xml:space="preserve">キー</t>
  </si>
  <si>
    <t xml:space="preserve">検算対象</t>
  </si>
  <si>
    <r>
      <rPr>
        <b val="true"/>
        <sz val="10"/>
        <color rgb="FFFFFFFF"/>
        <rFont val="WenQuanYi Zen Hei"/>
        <family val="2"/>
      </rPr>
      <t xml:space="preserve">前ブロック</t>
    </r>
    <r>
      <rPr>
        <b val="true"/>
        <sz val="10"/>
        <color rgb="FFFFFFFF"/>
        <rFont val="Meiryo UI"/>
        <family val="0"/>
        <charset val="1"/>
      </rPr>
      <t xml:space="preserve">ID</t>
    </r>
  </si>
  <si>
    <r>
      <rPr>
        <sz val="10"/>
        <rFont val="Meiryo UI"/>
        <family val="0"/>
        <charset val="1"/>
      </rPr>
      <t xml:space="preserve">2026-04 </t>
    </r>
    <r>
      <rPr>
        <sz val="10"/>
        <rFont val="WenQuanYi Zen Hei"/>
        <family val="2"/>
      </rPr>
      <t xml:space="preserve">月例</t>
    </r>
  </si>
  <si>
    <t xml:space="preserve">市長部局</t>
  </si>
  <si>
    <t xml:space="preserve">済</t>
  </si>
  <si>
    <t xml:space="preserve">○</t>
  </si>
  <si>
    <t xml:space="preserve">下水道局</t>
  </si>
  <si>
    <t xml:space="preserve">消防局</t>
  </si>
  <si>
    <t xml:space="preserve">議会事務局</t>
  </si>
  <si>
    <t xml:space="preserve">教育委員会（総務課）</t>
  </si>
  <si>
    <t xml:space="preserve">選挙管理委員会</t>
  </si>
  <si>
    <t xml:space="preserve">人事委員会</t>
  </si>
  <si>
    <t xml:space="preserve">監査事務局</t>
  </si>
  <si>
    <t xml:space="preserve">農業委員会</t>
  </si>
  <si>
    <t xml:space="preserve">水道局</t>
  </si>
  <si>
    <r>
      <rPr>
        <sz val="10"/>
        <rFont val="WenQuanYi Zen Hei"/>
        <family val="2"/>
      </rPr>
      <t xml:space="preserve">医療政策課</t>
    </r>
    <r>
      <rPr>
        <sz val="10"/>
        <rFont val="Meiryo UI"/>
        <family val="0"/>
        <charset val="1"/>
      </rPr>
      <t xml:space="preserve">(</t>
    </r>
    <r>
      <rPr>
        <sz val="10"/>
        <rFont val="WenQuanYi Zen Hei"/>
        <family val="2"/>
      </rPr>
      <t xml:space="preserve">安芸市民</t>
    </r>
    <r>
      <rPr>
        <sz val="10"/>
        <rFont val="Meiryo UI"/>
        <family val="0"/>
        <charset val="1"/>
      </rPr>
      <t xml:space="preserve">)</t>
    </r>
  </si>
  <si>
    <t xml:space="preserve">教育委員会（教育給与課）</t>
  </si>
  <si>
    <t xml:space="preserve">地方税共同機構</t>
  </si>
  <si>
    <t xml:space="preserve">なし</t>
  </si>
  <si>
    <t xml:space="preserve">平和文化センター</t>
  </si>
  <si>
    <t xml:space="preserve">社会福祉事業団</t>
  </si>
  <si>
    <t xml:space="preserve">原爆障害対策協議会</t>
  </si>
  <si>
    <t xml:space="preserve">産業振興センター</t>
  </si>
  <si>
    <t xml:space="preserve">ひろしま産業振興</t>
  </si>
  <si>
    <t xml:space="preserve">都市整備公社　市</t>
  </si>
  <si>
    <t xml:space="preserve">都市整備公社　消防</t>
  </si>
  <si>
    <t xml:space="preserve">日本下水道事業団</t>
  </si>
  <si>
    <t xml:space="preserve">地方公務員災害補償基金本部</t>
  </si>
  <si>
    <t xml:space="preserve">救急振興財団</t>
  </si>
  <si>
    <t xml:space="preserve">高速道路公社</t>
  </si>
  <si>
    <t xml:space="preserve">農林水産振興センタ</t>
  </si>
  <si>
    <t xml:space="preserve">文化財団　市長部局</t>
  </si>
  <si>
    <t xml:space="preserve">文化財団　教育委員会</t>
  </si>
  <si>
    <t xml:space="preserve">みどり生きもの協会</t>
  </si>
  <si>
    <t xml:space="preserve">県下水道公社</t>
  </si>
  <si>
    <t xml:space="preserve">バス協調・共創
プラットフォーム</t>
  </si>
  <si>
    <t xml:space="preserve">広島県市長会</t>
  </si>
  <si>
    <t xml:space="preserve">全国市町村研修財団</t>
  </si>
  <si>
    <t xml:space="preserve">都市再生機構</t>
  </si>
  <si>
    <t xml:space="preserve">広島市立大学</t>
  </si>
  <si>
    <t xml:space="preserve">社会福祉協議会</t>
  </si>
  <si>
    <t xml:space="preserve">市立病院機構</t>
  </si>
  <si>
    <t xml:space="preserve">職員共済組合</t>
  </si>
  <si>
    <r>
      <rPr>
        <sz val="10"/>
        <rFont val="WenQuanYi Zen Hei"/>
        <family val="2"/>
      </rPr>
      <t xml:space="preserve">地方公共団体</t>
    </r>
    <r>
      <rPr>
        <sz val="10"/>
        <rFont val="Meiryo UI"/>
        <family val="0"/>
        <charset val="1"/>
      </rPr>
      <t xml:space="preserve">
</t>
    </r>
    <r>
      <rPr>
        <sz val="10"/>
        <rFont val="WenQuanYi Zen Hei"/>
        <family val="2"/>
      </rPr>
      <t xml:space="preserve">情報システム機構</t>
    </r>
  </si>
  <si>
    <t xml:space="preserve">全国市長会</t>
  </si>
  <si>
    <t xml:space="preserve">高速交通（株）</t>
  </si>
  <si>
    <t xml:space="preserve">広島駅南口開発（株）</t>
  </si>
  <si>
    <t xml:space="preserve">市職員労働組合</t>
  </si>
  <si>
    <t xml:space="preserve">自治労労働組合</t>
  </si>
  <si>
    <t xml:space="preserve">病院労働組合</t>
  </si>
  <si>
    <t xml:space="preserve">水道労働組合</t>
  </si>
  <si>
    <t xml:space="preserve">任意継続組合員</t>
  </si>
  <si>
    <r>
      <rPr>
        <sz val="10"/>
        <rFont val="Meiryo UI"/>
        <family val="0"/>
        <charset val="1"/>
      </rPr>
      <t xml:space="preserve">2026-05 </t>
    </r>
    <r>
      <rPr>
        <sz val="10"/>
        <rFont val="WenQuanYi Zen Hei"/>
        <family val="2"/>
      </rPr>
      <t xml:space="preserve">月例</t>
    </r>
  </si>
  <si>
    <r>
      <rPr>
        <sz val="10"/>
        <rFont val="WenQuanYi Zen Hei"/>
        <family val="2"/>
      </rPr>
      <t xml:space="preserve">バス協調・共創</t>
    </r>
    <r>
      <rPr>
        <sz val="10"/>
        <rFont val="Meiryo UI"/>
        <family val="0"/>
        <charset val="1"/>
      </rPr>
      <t xml:space="preserve">
</t>
    </r>
    <r>
      <rPr>
        <sz val="10"/>
        <rFont val="WenQuanYi Zen Hei"/>
        <family val="2"/>
      </rPr>
      <t xml:space="preserve">プラットフォーム</t>
    </r>
  </si>
  <si>
    <r>
      <rPr>
        <sz val="10"/>
        <rFont val="Meiryo UI"/>
        <family val="0"/>
        <charset val="1"/>
      </rPr>
      <t xml:space="preserve">2026-06 </t>
    </r>
    <r>
      <rPr>
        <sz val="10"/>
        <rFont val="WenQuanYi Zen Hei"/>
        <family val="2"/>
      </rPr>
      <t xml:space="preserve">月例</t>
    </r>
  </si>
  <si>
    <r>
      <rPr>
        <sz val="10"/>
        <rFont val="Meiryo UI"/>
        <family val="0"/>
        <charset val="1"/>
      </rPr>
      <t xml:space="preserve">2026-06 </t>
    </r>
    <r>
      <rPr>
        <sz val="10"/>
        <rFont val="WenQuanYi Zen Hei"/>
        <family val="2"/>
      </rPr>
      <t xml:space="preserve">賞与</t>
    </r>
  </si>
  <si>
    <r>
      <rPr>
        <sz val="10"/>
        <rFont val="Meiryo UI"/>
        <family val="0"/>
        <charset val="1"/>
      </rPr>
      <t xml:space="preserve">2026-07 </t>
    </r>
    <r>
      <rPr>
        <sz val="10"/>
        <rFont val="WenQuanYi Zen Hei"/>
        <family val="2"/>
      </rPr>
      <t xml:space="preserve">月例</t>
    </r>
  </si>
  <si>
    <r>
      <rPr>
        <sz val="10"/>
        <rFont val="Meiryo UI"/>
        <family val="0"/>
        <charset val="1"/>
      </rPr>
      <t xml:space="preserve">2026-08 </t>
    </r>
    <r>
      <rPr>
        <sz val="10"/>
        <rFont val="WenQuanYi Zen Hei"/>
        <family val="2"/>
      </rPr>
      <t xml:space="preserve">月例</t>
    </r>
  </si>
  <si>
    <r>
      <rPr>
        <sz val="10"/>
        <rFont val="Meiryo UI"/>
        <family val="0"/>
        <charset val="1"/>
      </rPr>
      <t xml:space="preserve">2026-09 </t>
    </r>
    <r>
      <rPr>
        <sz val="10"/>
        <rFont val="WenQuanYi Zen Hei"/>
        <family val="2"/>
      </rPr>
      <t xml:space="preserve">月例</t>
    </r>
  </si>
  <si>
    <r>
      <rPr>
        <sz val="10"/>
        <rFont val="Meiryo UI"/>
        <family val="0"/>
        <charset val="1"/>
      </rPr>
      <t xml:space="preserve">2026-10 </t>
    </r>
    <r>
      <rPr>
        <sz val="10"/>
        <rFont val="WenQuanYi Zen Hei"/>
        <family val="2"/>
      </rPr>
      <t xml:space="preserve">月例</t>
    </r>
  </si>
  <si>
    <r>
      <rPr>
        <sz val="10"/>
        <rFont val="Meiryo UI"/>
        <family val="0"/>
        <charset val="1"/>
      </rPr>
      <t xml:space="preserve">2026-11 </t>
    </r>
    <r>
      <rPr>
        <sz val="10"/>
        <rFont val="WenQuanYi Zen Hei"/>
        <family val="2"/>
      </rPr>
      <t xml:space="preserve">月例</t>
    </r>
  </si>
  <si>
    <t xml:space="preserve">地方公共団体
情報システム機構</t>
  </si>
  <si>
    <r>
      <rPr>
        <sz val="10"/>
        <rFont val="Meiryo UI"/>
        <family val="0"/>
        <charset val="1"/>
      </rPr>
      <t xml:space="preserve">2026-12 </t>
    </r>
    <r>
      <rPr>
        <sz val="10"/>
        <rFont val="WenQuanYi Zen Hei"/>
        <family val="2"/>
      </rPr>
      <t xml:space="preserve">賞与</t>
    </r>
  </si>
  <si>
    <r>
      <rPr>
        <sz val="10"/>
        <rFont val="Meiryo UI"/>
        <family val="0"/>
        <charset val="1"/>
      </rPr>
      <t xml:space="preserve">2026-12 </t>
    </r>
    <r>
      <rPr>
        <sz val="10"/>
        <rFont val="WenQuanYi Zen Hei"/>
        <family val="2"/>
      </rPr>
      <t xml:space="preserve">月例</t>
    </r>
  </si>
  <si>
    <r>
      <rPr>
        <sz val="10"/>
        <rFont val="Meiryo UI"/>
        <family val="0"/>
        <charset val="1"/>
      </rPr>
      <t xml:space="preserve">2027-01 </t>
    </r>
    <r>
      <rPr>
        <sz val="10"/>
        <rFont val="WenQuanYi Zen Hei"/>
        <family val="2"/>
      </rPr>
      <t xml:space="preserve">月例</t>
    </r>
  </si>
  <si>
    <r>
      <rPr>
        <sz val="10"/>
        <rFont val="Meiryo UI"/>
        <family val="0"/>
        <charset val="1"/>
      </rPr>
      <t xml:space="preserve">2027-02 </t>
    </r>
    <r>
      <rPr>
        <sz val="10"/>
        <rFont val="WenQuanYi Zen Hei"/>
        <family val="2"/>
      </rPr>
      <t xml:space="preserve">月例</t>
    </r>
  </si>
  <si>
    <r>
      <rPr>
        <sz val="10"/>
        <rFont val="Meiryo UI"/>
        <family val="0"/>
        <charset val="1"/>
      </rPr>
      <t xml:space="preserve">2027-03 </t>
    </r>
    <r>
      <rPr>
        <sz val="10"/>
        <rFont val="WenQuanYi Zen Hei"/>
        <family val="2"/>
      </rPr>
      <t xml:space="preserve">賞与</t>
    </r>
  </si>
  <si>
    <r>
      <rPr>
        <sz val="10"/>
        <rFont val="Meiryo UI"/>
        <family val="0"/>
        <charset val="1"/>
      </rPr>
      <t xml:space="preserve">2027-03 </t>
    </r>
    <r>
      <rPr>
        <sz val="10"/>
        <rFont val="WenQuanYi Zen Hei"/>
        <family val="2"/>
      </rPr>
      <t xml:space="preserve">月例</t>
    </r>
  </si>
  <si>
    <r>
      <rPr>
        <b val="true"/>
        <sz val="14"/>
        <color rgb="FF1F3864"/>
        <rFont val="WenQuanYi Zen Hei"/>
        <family val="2"/>
      </rPr>
      <t xml:space="preserve">検算（標準報酬月額 </t>
    </r>
    <r>
      <rPr>
        <b val="true"/>
        <sz val="14"/>
        <color rgb="FF1F3864"/>
        <rFont val="Meiryo UI"/>
        <family val="0"/>
        <charset val="1"/>
      </rPr>
      <t xml:space="preserve">× </t>
    </r>
    <r>
      <rPr>
        <b val="true"/>
        <sz val="14"/>
        <color rgb="FF1F3864"/>
        <rFont val="WenQuanYi Zen Hei"/>
        <family val="2"/>
      </rPr>
      <t xml:space="preserve">料率 ＝ 見込額 と 報告額の比較）</t>
    </r>
  </si>
  <si>
    <t xml:space="preserve">対象ブロック：</t>
  </si>
  <si>
    <t xml:space="preserve">入力は「報告入力」シートで行います（このシートは自動表示）。乖離率が設定のしきい値以上なら赤。標準報酬月額が未入力の団体は検算できません。</t>
  </si>
  <si>
    <r>
      <rPr>
        <sz val="9"/>
        <color rgb="FF595959"/>
        <rFont val="WenQuanYi Zen Hei"/>
        <family val="2"/>
      </rPr>
      <t xml:space="preserve">※見込額は標準報酬月額の総額</t>
    </r>
    <r>
      <rPr>
        <sz val="9"/>
        <color rgb="FF595959"/>
        <rFont val="Meiryo UI"/>
        <family val="0"/>
        <charset val="1"/>
      </rPr>
      <t xml:space="preserve">×</t>
    </r>
    <r>
      <rPr>
        <sz val="9"/>
        <color rgb="FF595959"/>
        <rFont val="WenQuanYi Zen Hei"/>
        <family val="2"/>
      </rPr>
      <t xml:space="preserve">料率（円未満切捨て）。報告額は組合員ごとに端数処理した合計のため、数円〜数十円の差は出ます。</t>
    </r>
  </si>
  <si>
    <t xml:space="preserve">長期掛金</t>
  </si>
  <si>
    <t xml:space="preserve">長期負担金</t>
  </si>
  <si>
    <t xml:space="preserve">短期掛金</t>
  </si>
  <si>
    <t xml:space="preserve">短期負担金</t>
  </si>
  <si>
    <t xml:space="preserve">介護掛金</t>
  </si>
  <si>
    <t xml:space="preserve">介護負担金</t>
  </si>
  <si>
    <t xml:space="preserve">子子掛金</t>
  </si>
  <si>
    <t xml:space="preserve">子子負担金</t>
  </si>
  <si>
    <t xml:space="preserve">行</t>
  </si>
  <si>
    <t xml:space="preserve">標報
長期</t>
  </si>
  <si>
    <t xml:space="preserve">標報
短期</t>
  </si>
  <si>
    <t xml:space="preserve">標報
介護</t>
  </si>
  <si>
    <t xml:space="preserve">報告額</t>
  </si>
  <si>
    <t xml:space="preserve">見込額</t>
  </si>
  <si>
    <t xml:space="preserve">乖離率</t>
  </si>
  <si>
    <t xml:space="preserve">受領</t>
  </si>
  <si>
    <t xml:space="preserve">検算可</t>
  </si>
  <si>
    <r>
      <rPr>
        <b val="true"/>
        <sz val="10"/>
        <color rgb="FFFFFFFF"/>
        <rFont val="WenQuanYi Zen Hei"/>
        <family val="2"/>
      </rPr>
      <t xml:space="preserve">未受領</t>
    </r>
    <r>
      <rPr>
        <b val="true"/>
        <sz val="10"/>
        <color rgb="FFFFFFFF"/>
        <rFont val="Meiryo UI"/>
        <family val="0"/>
        <charset val="1"/>
      </rPr>
      <t xml:space="preserve">No</t>
    </r>
  </si>
  <si>
    <r>
      <rPr>
        <b val="true"/>
        <sz val="10"/>
        <color rgb="FFFFFFFF"/>
        <rFont val="WenQuanYi Zen Hei"/>
        <family val="2"/>
      </rPr>
      <t xml:space="preserve">要確認</t>
    </r>
    <r>
      <rPr>
        <b val="true"/>
        <sz val="10"/>
        <color rgb="FFFFFFFF"/>
        <rFont val="Meiryo UI"/>
        <family val="0"/>
        <charset val="1"/>
      </rPr>
      <t xml:space="preserve">No</t>
    </r>
  </si>
  <si>
    <t xml:space="preserve">伝票入力（共済システムへの転記用）</t>
  </si>
  <si>
    <t xml:space="preserve">対象：</t>
  </si>
  <si>
    <r>
      <rPr>
        <sz val="10"/>
        <color rgb="FF595959"/>
        <rFont val="WenQuanYi Zen Hei"/>
        <family val="2"/>
      </rPr>
      <t xml:space="preserve">伝票画面の入力順（経理区分 → 団体 → 貸方科目）に並んでいます。太線で区切られた</t>
    </r>
    <r>
      <rPr>
        <sz val="10"/>
        <color rgb="FF595959"/>
        <rFont val="Meiryo UI"/>
        <family val="0"/>
        <charset val="1"/>
      </rPr>
      <t xml:space="preserve">1</t>
    </r>
    <r>
      <rPr>
        <sz val="10"/>
        <color rgb="FF595959"/>
        <rFont val="WenQuanYi Zen Hei"/>
        <family val="2"/>
      </rPr>
      <t xml:space="preserve">かたまりが伝票</t>
    </r>
    <r>
      <rPr>
        <sz val="10"/>
        <color rgb="FF595959"/>
        <rFont val="Meiryo UI"/>
        <family val="0"/>
        <charset val="1"/>
      </rPr>
      <t xml:space="preserve">1</t>
    </r>
    <r>
      <rPr>
        <sz val="10"/>
        <color rgb="FF595959"/>
        <rFont val="WenQuanYi Zen Hei"/>
        <family val="2"/>
      </rPr>
      <t xml:space="preserve">枚です。上から順に画面へ入力し、終えた団体は「報告入力」の起票済欄へ○を付けると一覧から消えます。</t>
    </r>
  </si>
  <si>
    <r>
      <rPr>
        <sz val="9"/>
        <color rgb="FFC00000"/>
        <rFont val="WenQuanYi Zen Hei"/>
        <family val="2"/>
      </rPr>
      <t xml:space="preserve">※金額が</t>
    </r>
    <r>
      <rPr>
        <sz val="9"/>
        <color rgb="FFC00000"/>
        <rFont val="Meiryo UI"/>
        <family val="0"/>
        <charset val="1"/>
      </rPr>
      <t xml:space="preserve">0</t>
    </r>
    <r>
      <rPr>
        <sz val="9"/>
        <color rgb="FFC00000"/>
        <rFont val="WenQuanYi Zen Hei"/>
        <family val="2"/>
      </rPr>
      <t xml:space="preserve">の行は出ません。短期・介護・子ども・子育ての経理コード／科目コードは「設定」で未入力のため空欄です（入力すると反映）。</t>
    </r>
  </si>
  <si>
    <r>
      <rPr>
        <b val="true"/>
        <sz val="10"/>
        <color rgb="FFFFFFFF"/>
        <rFont val="WenQuanYi Zen Hei"/>
        <family val="2"/>
      </rPr>
      <t xml:space="preserve">伝票</t>
    </r>
    <r>
      <rPr>
        <b val="true"/>
        <sz val="10"/>
        <color rgb="FFFFFFFF"/>
        <rFont val="Meiryo UI"/>
        <family val="0"/>
        <charset val="1"/>
      </rPr>
      <t xml:space="preserve">No</t>
    </r>
  </si>
  <si>
    <t xml:space="preserve">経理区分</t>
  </si>
  <si>
    <t xml:space="preserve">経理コード</t>
  </si>
  <si>
    <t xml:space="preserve">団体名（摘要）</t>
  </si>
  <si>
    <t xml:space="preserve">借方科目コード</t>
  </si>
  <si>
    <t xml:space="preserve">借方科目名</t>
  </si>
  <si>
    <t xml:space="preserve">借方金額</t>
  </si>
  <si>
    <t xml:space="preserve">貸方科目コード</t>
  </si>
  <si>
    <t xml:space="preserve">貸方科目名</t>
  </si>
  <si>
    <t xml:space="preserve">貸方金額</t>
  </si>
  <si>
    <t xml:space="preserve">入金日</t>
  </si>
  <si>
    <t xml:space="preserve">項目</t>
  </si>
  <si>
    <t xml:space="preserve">元行</t>
  </si>
  <si>
    <t xml:space="preserve">伝票画面（共済システムの「仕訳入力」画面と同じ並びで表示）</t>
  </si>
  <si>
    <r>
      <rPr>
        <sz val="10"/>
        <color rgb="FF595959"/>
        <rFont val="WenQuanYi Zen Hei"/>
        <family val="2"/>
      </rPr>
      <t xml:space="preserve">伝票</t>
    </r>
    <r>
      <rPr>
        <sz val="10"/>
        <color rgb="FF595959"/>
        <rFont val="Meiryo UI"/>
        <family val="0"/>
        <charset val="1"/>
      </rPr>
      <t xml:space="preserve">No</t>
    </r>
    <r>
      <rPr>
        <sz val="10"/>
        <color rgb="FF595959"/>
        <rFont val="WenQuanYi Zen Hei"/>
        <family val="2"/>
      </rPr>
      <t xml:space="preserve">を変えると次の伝票を表示します。画面を見比べながら、上から順に入力してください。入力対象は「設定」の起票対象に従います。</t>
    </r>
  </si>
  <si>
    <t xml:space="preserve">先頭行</t>
  </si>
  <si>
    <t xml:space="preserve">先頭連番</t>
  </si>
  <si>
    <r>
      <rPr>
        <b val="true"/>
        <sz val="12"/>
        <color rgb="FFFFFFFF"/>
        <rFont val="WenQuanYi Zen Hei"/>
        <family val="2"/>
      </rPr>
      <t xml:space="preserve">伝票</t>
    </r>
    <r>
      <rPr>
        <b val="true"/>
        <sz val="12"/>
        <color rgb="FFFFFFFF"/>
        <rFont val="Meiryo UI"/>
        <family val="0"/>
        <charset val="1"/>
      </rPr>
      <t xml:space="preserve">No</t>
    </r>
  </si>
  <si>
    <r>
      <rPr>
        <sz val="10"/>
        <color rgb="FF595959"/>
        <rFont val="WenQuanYi Zen Hei"/>
        <family val="2"/>
      </rPr>
      <t xml:space="preserve">←番号を</t>
    </r>
    <r>
      <rPr>
        <sz val="10"/>
        <color rgb="FF595959"/>
        <rFont val="Meiryo UI"/>
        <family val="0"/>
        <charset val="1"/>
      </rPr>
      <t xml:space="preserve">1</t>
    </r>
    <r>
      <rPr>
        <sz val="10"/>
        <color rgb="FF595959"/>
        <rFont val="WenQuanYi Zen Hei"/>
        <family val="2"/>
      </rPr>
      <t xml:space="preserve">ずつ増やして次の伝票へ</t>
    </r>
  </si>
  <si>
    <t xml:space="preserve">起票日（入金日）</t>
  </si>
  <si>
    <t xml:space="preserve">番号</t>
  </si>
  <si>
    <t xml:space="preserve">摘要</t>
  </si>
  <si>
    <r>
      <rPr>
        <sz val="9"/>
        <color rgb="FFC00000"/>
        <rFont val="WenQuanYi Zen Hei"/>
        <family val="2"/>
      </rPr>
      <t xml:space="preserve">※科目コードが空欄の行は「設定」の貸方科目が未入力です（短期・介護・子ども子育て）。伝票が</t>
    </r>
    <r>
      <rPr>
        <sz val="9"/>
        <color rgb="FFC00000"/>
        <rFont val="Meiryo UI"/>
        <family val="0"/>
        <charset val="1"/>
      </rPr>
      <t xml:space="preserve">1</t>
    </r>
    <r>
      <rPr>
        <sz val="9"/>
        <color rgb="FFC00000"/>
        <rFont val="WenQuanYi Zen Hei"/>
        <family val="2"/>
      </rPr>
      <t xml:space="preserve">枚も無い場合は、入金確認済（または受領済）の団体がありません。</t>
    </r>
  </si>
  <si>
    <t xml:space="preserve">設定（料率・しきい値・団体マスタ）</t>
  </si>
  <si>
    <t xml:space="preserve">黄色セルは変更してよい設定値です。料率・しきい値を変えると 報告入力／検算／伝票入力 すべてに反映されます。</t>
  </si>
  <si>
    <t xml:space="preserve">■ 判定・動作</t>
  </si>
  <si>
    <t xml:space="preserve">乖離率しきい値（検算：要確認）</t>
  </si>
  <si>
    <r>
      <rPr>
        <sz val="10"/>
        <rFont val="WenQuanYi Zen Hei"/>
        <family val="2"/>
      </rPr>
      <t xml:space="preserve">標準報酬月額</t>
    </r>
    <r>
      <rPr>
        <sz val="10"/>
        <rFont val="Meiryo UI"/>
        <family val="0"/>
        <charset val="1"/>
      </rPr>
      <t xml:space="preserve">×</t>
    </r>
    <r>
      <rPr>
        <sz val="10"/>
        <rFont val="WenQuanYi Zen Hei"/>
        <family val="2"/>
      </rPr>
      <t xml:space="preserve">料率の見込額と報告額の乖離がこの値以上なら「要確認」（ヒアリング時点：</t>
    </r>
    <r>
      <rPr>
        <sz val="10"/>
        <rFont val="Meiryo UI"/>
        <family val="0"/>
        <charset val="1"/>
      </rPr>
      <t xml:space="preserve">10</t>
    </r>
    <r>
      <rPr>
        <sz val="10"/>
        <rFont val="WenQuanYi Zen Hei"/>
        <family val="2"/>
      </rPr>
      <t xml:space="preserve">％・要相談）</t>
    </r>
  </si>
  <si>
    <t xml:space="preserve">前月比しきい値（参考表示）</t>
  </si>
  <si>
    <t xml:space="preserve">前月の報告額総額と比べた増減がこの値以上なら「変動大」、完全一致なら「前月同額」（前月データ流用の目安）</t>
  </si>
  <si>
    <t xml:space="preserve">伝票入力に出す対象</t>
  </si>
  <si>
    <t xml:space="preserve">入金確認済のみ</t>
  </si>
  <si>
    <t xml:space="preserve">「入金確認済のみ」＝通帳照合後に起票する運用／「受領済以降すべて」＝報告受領後すぐ出す</t>
  </si>
  <si>
    <r>
      <rPr>
        <b val="true"/>
        <sz val="10"/>
        <color rgb="FF2F5597"/>
        <rFont val="WenQuanYi Zen Hei"/>
        <family val="2"/>
      </rPr>
      <t xml:space="preserve">■ 料率（‰）　※</t>
    </r>
    <r>
      <rPr>
        <b val="true"/>
        <sz val="10"/>
        <color rgb="FF2F5597"/>
        <rFont val="Meiryo UI"/>
        <family val="0"/>
        <charset val="1"/>
      </rPr>
      <t xml:space="preserve">R8</t>
    </r>
    <r>
      <rPr>
        <b val="true"/>
        <sz val="10"/>
        <color rgb="FF2F5597"/>
        <rFont val="WenQuanYi Zen Hei"/>
        <family val="2"/>
      </rPr>
      <t xml:space="preserve">「検算用」ファイルの料率</t>
    </r>
  </si>
  <si>
    <t xml:space="preserve">区分</t>
  </si>
  <si>
    <t xml:space="preserve">掛金率（‰）</t>
  </si>
  <si>
    <t xml:space="preserve">負担金率（‰）</t>
  </si>
  <si>
    <t xml:space="preserve">算定基礎となる標準報酬月額</t>
  </si>
  <si>
    <t xml:space="preserve">厚生年金保険</t>
  </si>
  <si>
    <t xml:space="preserve">退職等年金</t>
  </si>
  <si>
    <t xml:space="preserve">―</t>
  </si>
  <si>
    <t xml:space="preserve">子ども・子育て支援納付金</t>
  </si>
  <si>
    <t xml:space="preserve">短期（短期と同じ）</t>
  </si>
  <si>
    <t xml:space="preserve">子ども・子育て拠出金（参考）</t>
  </si>
  <si>
    <t xml:space="preserve">長期（厚生年金と同じ）</t>
  </si>
  <si>
    <t xml:space="preserve">明細表の列外（検算の対象外）</t>
  </si>
  <si>
    <t xml:space="preserve">■ ブロック一覧（明細表の月ブロックとの対応）</t>
  </si>
  <si>
    <r>
      <rPr>
        <b val="true"/>
        <sz val="10"/>
        <color rgb="FFFFFFFF"/>
        <rFont val="WenQuanYi Zen Hei"/>
        <family val="2"/>
      </rPr>
      <t xml:space="preserve">ブロック</t>
    </r>
    <r>
      <rPr>
        <b val="true"/>
        <sz val="10"/>
        <color rgb="FFFFFFFF"/>
        <rFont val="Meiryo UI"/>
        <family val="0"/>
        <charset val="1"/>
      </rPr>
      <t xml:space="preserve">ID</t>
    </r>
  </si>
  <si>
    <t xml:space="preserve">年月</t>
  </si>
  <si>
    <r>
      <rPr>
        <b val="true"/>
        <sz val="10"/>
        <color rgb="FFFFFFFF"/>
        <rFont val="WenQuanYi Zen Hei"/>
        <family val="2"/>
      </rPr>
      <t xml:space="preserve">前ブロック</t>
    </r>
    <r>
      <rPr>
        <b val="true"/>
        <sz val="10"/>
        <color rgb="FFFFFFFF"/>
        <rFont val="Meiryo UI"/>
        <family val="0"/>
        <charset val="1"/>
      </rPr>
      <t xml:space="preserve">ID</t>
    </r>
    <r>
      <rPr>
        <b val="true"/>
        <sz val="10"/>
        <color rgb="FFFFFFFF"/>
        <rFont val="WenQuanYi Zen Hei"/>
        <family val="2"/>
      </rPr>
      <t xml:space="preserve">（前月比用）</t>
    </r>
  </si>
  <si>
    <t xml:space="preserve">☆掛負収入のヘッダ行</t>
  </si>
  <si>
    <t xml:space="preserve">月例</t>
  </si>
  <si>
    <t xml:space="preserve">※年月は明細表ブロックの見出し日付。区分「賞与」は期末・勤勉手当等の別ブロック。</t>
  </si>
  <si>
    <t xml:space="preserve">賞与</t>
  </si>
  <si>
    <t xml:space="preserve">■ 経理区分・借方科目</t>
  </si>
  <si>
    <t xml:space="preserve">長期（厚生年金保険経理）</t>
  </si>
  <si>
    <t xml:space="preserve">130</t>
  </si>
  <si>
    <t xml:space="preserve">1104001001</t>
  </si>
  <si>
    <t xml:space="preserve">普広銀市役所</t>
  </si>
  <si>
    <t xml:space="preserve">伝票画面のスクリーンショットより</t>
  </si>
  <si>
    <t xml:space="preserve">短期経理</t>
  </si>
  <si>
    <t xml:space="preserve">★未入力：経理コード・借方科目を入力してください</t>
  </si>
  <si>
    <t xml:space="preserve">介護経理</t>
  </si>
  <si>
    <t xml:space="preserve">子ども・子育て支援納付金経理</t>
  </si>
  <si>
    <t xml:space="preserve">■ 貸方科目（明細表の列 → 伝票の貸方行）</t>
  </si>
  <si>
    <t xml:space="preserve">No</t>
  </si>
  <si>
    <r>
      <rPr>
        <b val="true"/>
        <sz val="10"/>
        <color rgb="FFFFFFFF"/>
        <rFont val="WenQuanYi Zen Hei"/>
        <family val="2"/>
      </rPr>
      <t xml:space="preserve">経理区分</t>
    </r>
    <r>
      <rPr>
        <b val="true"/>
        <sz val="10"/>
        <color rgb="FFFFFFFF"/>
        <rFont val="Meiryo UI"/>
        <family val="0"/>
        <charset val="1"/>
      </rPr>
      <t xml:space="preserve">No</t>
    </r>
  </si>
  <si>
    <t xml:space="preserve">項目（明細表の列）</t>
  </si>
  <si>
    <t xml:space="preserve">長期：厚生年金保険料（組合員負担分）</t>
  </si>
  <si>
    <t xml:space="preserve">6102102000</t>
  </si>
  <si>
    <t xml:space="preserve">標月額保険料</t>
  </si>
  <si>
    <t xml:space="preserve">長期：退職等年金掛金</t>
  </si>
  <si>
    <t xml:space="preserve">2109001014</t>
  </si>
  <si>
    <t xml:space="preserve">退職標報掛金</t>
  </si>
  <si>
    <t xml:space="preserve">長期：厚生年金保険料（事業主負担分）</t>
  </si>
  <si>
    <t xml:space="preserve">6101002000</t>
  </si>
  <si>
    <t xml:space="preserve">負担地方公共</t>
  </si>
  <si>
    <t xml:space="preserve">長期：退職等年金負担金</t>
  </si>
  <si>
    <t xml:space="preserve">2109001015</t>
  </si>
  <si>
    <t xml:space="preserve">退職負担地方</t>
  </si>
  <si>
    <t xml:space="preserve">長期：経過的長期</t>
  </si>
  <si>
    <t xml:space="preserve">2109001017</t>
  </si>
  <si>
    <t xml:space="preserve">経過的負担金</t>
  </si>
  <si>
    <t xml:space="preserve">短期：掛金</t>
  </si>
  <si>
    <t xml:space="preserve">★未入力：科目コード・科目名を入力してください</t>
  </si>
  <si>
    <t xml:space="preserve">短期：負担金</t>
  </si>
  <si>
    <t xml:space="preserve">介護：掛金</t>
  </si>
  <si>
    <t xml:space="preserve">介護：負担金</t>
  </si>
  <si>
    <t xml:space="preserve">子ども・子育て支援納付金：掛金</t>
  </si>
  <si>
    <t xml:space="preserve">子ども・子育て支援納付金：負担金</t>
  </si>
  <si>
    <t xml:space="preserve">■ 団体マスタ（☆掛負収入の並び順）</t>
  </si>
  <si>
    <r>
      <rPr>
        <sz val="10"/>
        <color rgb="FF595959"/>
        <rFont val="WenQuanYi Zen Hei"/>
        <family val="2"/>
      </rPr>
      <t xml:space="preserve">検算対象：ヒアリングで「ボリュームが多く検算対象外」とされた</t>
    </r>
    <r>
      <rPr>
        <sz val="10"/>
        <color rgb="FF595959"/>
        <rFont val="Meiryo UI"/>
        <family val="0"/>
        <charset val="1"/>
      </rPr>
      <t xml:space="preserve">5</t>
    </r>
    <r>
      <rPr>
        <sz val="10"/>
        <color rgb="FF595959"/>
        <rFont val="WenQuanYi Zen Hei"/>
        <family val="2"/>
      </rPr>
      <t xml:space="preserve">団体を </t>
    </r>
    <r>
      <rPr>
        <sz val="10"/>
        <color rgb="FF595959"/>
        <rFont val="Meiryo UI"/>
        <family val="0"/>
        <charset val="1"/>
      </rPr>
      <t xml:space="preserve">N </t>
    </r>
    <r>
      <rPr>
        <sz val="10"/>
        <color rgb="FF595959"/>
        <rFont val="WenQuanYi Zen Hei"/>
        <family val="2"/>
      </rPr>
      <t xml:space="preserve">にしています。振込方式の初期値は「合算」です。団体ごとに実態へ合わせて変更してください（入金照合の期待額が変わります）。</t>
    </r>
  </si>
  <si>
    <t xml:space="preserve">振込方式の期待入金額</t>
  </si>
  <si>
    <t xml:space="preserve">分類</t>
  </si>
  <si>
    <r>
      <rPr>
        <b val="true"/>
        <sz val="10"/>
        <color rgb="FFFFFFFF"/>
        <rFont val="WenQuanYi Zen Hei"/>
        <family val="2"/>
      </rPr>
      <t xml:space="preserve">検算対象（</t>
    </r>
    <r>
      <rPr>
        <b val="true"/>
        <sz val="10"/>
        <color rgb="FFFFFFFF"/>
        <rFont val="Meiryo UI"/>
        <family val="0"/>
        <charset val="1"/>
      </rPr>
      <t xml:space="preserve">Y/N</t>
    </r>
    <r>
      <rPr>
        <b val="true"/>
        <sz val="10"/>
        <color rgb="FFFFFFFF"/>
        <rFont val="WenQuanYi Zen Hei"/>
        <family val="2"/>
      </rPr>
      <t xml:space="preserve">）</t>
    </r>
  </si>
  <si>
    <t xml:space="preserve">合算：①総額</t>
  </si>
  <si>
    <t xml:space="preserve">市・局等</t>
  </si>
  <si>
    <t xml:space="preserve">N</t>
  </si>
  <si>
    <t xml:space="preserve">合算</t>
  </si>
  <si>
    <t xml:space="preserve">ヒアリングで検算対象外</t>
  </si>
  <si>
    <t xml:space="preserve">掛金・負担金別：①掛金計　②負担金計</t>
  </si>
  <si>
    <t xml:space="preserve">Y</t>
  </si>
  <si>
    <t xml:space="preserve">経理区分別：①長期計　②短期計　③介護計　④子ども・子育て計</t>
  </si>
  <si>
    <t xml:space="preserve">外郭団体等</t>
  </si>
  <si>
    <t xml:space="preserve">株式会社</t>
  </si>
  <si>
    <t xml:space="preserve">労働組合</t>
  </si>
  <si>
    <t xml:space="preserve">任意継続</t>
  </si>
  <si>
    <r>
      <rPr>
        <sz val="10"/>
        <rFont val="WenQuanYi Zen Hei"/>
        <family val="2"/>
      </rPr>
      <t xml:space="preserve">標準報酬月額による検算になじまないため </t>
    </r>
    <r>
      <rPr>
        <sz val="10"/>
        <rFont val="Meiryo UI"/>
        <family val="0"/>
        <charset val="1"/>
      </rPr>
      <t xml:space="preserve">N</t>
    </r>
  </si>
  <si>
    <t xml:space="preserve">伝票元（計算用シート：触らないでください）</t>
  </si>
  <si>
    <t xml:space="preserve">伝票入力シートの元データ。経理区分→団体→貸方科目の順に候補行を作り、対象の行だけを抜き出します。</t>
  </si>
  <si>
    <t xml:space="preserve">経理</t>
  </si>
  <si>
    <t xml:space="preserve">対象</t>
  </si>
  <si>
    <t xml:space="preserve">伝票キー</t>
  </si>
  <si>
    <t xml:space="preserve">伝票内件数</t>
  </si>
  <si>
    <t xml:space="preserve">対象連番</t>
  </si>
  <si>
    <t xml:space="preserve">伝票番号</t>
  </si>
  <si>
    <t xml:space="preserve">借方合計</t>
  </si>
  <si>
    <r>
      <rPr>
        <sz val="14"/>
        <color rgb="FF993300"/>
        <rFont val="WenQuanYi Zen Hei"/>
        <family val="2"/>
        <charset val="1"/>
      </rPr>
      <t xml:space="preserve">令和</t>
    </r>
    <r>
      <rPr>
        <sz val="14"/>
        <color rgb="FF993300"/>
        <rFont val="ＭＳ 明朝"/>
        <family val="1"/>
        <charset val="128"/>
      </rPr>
      <t xml:space="preserve">8</t>
    </r>
    <r>
      <rPr>
        <sz val="14"/>
        <color rgb="FF993300"/>
        <rFont val="WenQuanYi Zen Hei"/>
        <family val="2"/>
        <charset val="1"/>
      </rPr>
      <t xml:space="preserve">年度</t>
    </r>
  </si>
  <si>
    <r>
      <rPr>
        <sz val="14"/>
        <rFont val="ＭＳ 明朝"/>
        <family val="1"/>
        <charset val="128"/>
      </rPr>
      <t xml:space="preserve">2026-04 </t>
    </r>
    <r>
      <rPr>
        <sz val="14"/>
        <rFont val="WenQuanYi Zen Hei"/>
        <family val="2"/>
      </rPr>
      <t xml:space="preserve">月例</t>
    </r>
  </si>
  <si>
    <t xml:space="preserve">区　　分</t>
  </si>
  <si>
    <t xml:space="preserve">長　期　経　理</t>
  </si>
  <si>
    <t xml:space="preserve">短　期　経　理</t>
  </si>
  <si>
    <t xml:space="preserve">介　護　納　付　金</t>
  </si>
  <si>
    <t xml:space="preserve">組合員負担分</t>
  </si>
  <si>
    <t xml:space="preserve">事業主負担分</t>
  </si>
  <si>
    <t xml:space="preserve">計</t>
  </si>
  <si>
    <t xml:space="preserve">掛　金</t>
  </si>
  <si>
    <t xml:space="preserve">負担金</t>
  </si>
  <si>
    <t xml:space="preserve">厚生年金保険料</t>
  </si>
  <si>
    <t xml:space="preserve">退職等年金掛金</t>
  </si>
  <si>
    <t xml:space="preserve">退職等年金負担金</t>
  </si>
  <si>
    <r>
      <rPr>
        <sz val="11"/>
        <rFont val="WenQuanYi Zen Hei"/>
        <family val="2"/>
        <charset val="1"/>
      </rPr>
      <t xml:space="preserve">医療政策課</t>
    </r>
    <r>
      <rPr>
        <sz val="11"/>
        <rFont val="ＭＳ 明朝"/>
        <family val="1"/>
        <charset val="128"/>
      </rPr>
      <t xml:space="preserve">(</t>
    </r>
    <r>
      <rPr>
        <sz val="11"/>
        <rFont val="WenQuanYi Zen Hei"/>
        <family val="2"/>
        <charset val="1"/>
      </rPr>
      <t xml:space="preserve">安芸市民</t>
    </r>
    <r>
      <rPr>
        <sz val="11"/>
        <rFont val="ＭＳ 明朝"/>
        <family val="1"/>
        <charset val="128"/>
      </rPr>
      <t xml:space="preserve">)</t>
    </r>
  </si>
  <si>
    <t xml:space="preserve">　</t>
  </si>
  <si>
    <t xml:space="preserve">小　計</t>
  </si>
  <si>
    <r>
      <rPr>
        <b val="true"/>
        <sz val="12"/>
        <color rgb="FFFFFFFF"/>
        <rFont val="ＭＳ 明朝"/>
        <family val="1"/>
        <charset val="128"/>
      </rPr>
      <t xml:space="preserve">←4</t>
    </r>
    <r>
      <rPr>
        <b val="true"/>
        <sz val="12"/>
        <color rgb="FFFFFFFF"/>
        <rFont val="WenQuanYi Zen Hei"/>
        <family val="2"/>
        <charset val="1"/>
      </rPr>
      <t xml:space="preserve">月のみ前受収益分等を含む</t>
    </r>
  </si>
  <si>
    <t xml:space="preserve">総　　計</t>
  </si>
  <si>
    <t xml:space="preserve"> </t>
  </si>
  <si>
    <r>
      <rPr>
        <sz val="14"/>
        <rFont val="ＭＳ ゴシック"/>
        <family val="3"/>
        <charset val="128"/>
      </rPr>
      <t xml:space="preserve">2026-05 </t>
    </r>
    <r>
      <rPr>
        <sz val="14"/>
        <rFont val="WenQuanYi Zen Hei"/>
        <family val="2"/>
      </rPr>
      <t xml:space="preserve">月例</t>
    </r>
  </si>
  <si>
    <r>
      <rPr>
        <sz val="14"/>
        <rFont val="ＭＳ ゴシック"/>
        <family val="3"/>
        <charset val="128"/>
      </rPr>
      <t xml:space="preserve">2026-06 </t>
    </r>
    <r>
      <rPr>
        <sz val="14"/>
        <rFont val="WenQuanYi Zen Hei"/>
        <family val="2"/>
      </rPr>
      <t xml:space="preserve">月例</t>
    </r>
  </si>
  <si>
    <r>
      <rPr>
        <sz val="14"/>
        <rFont val="ＭＳ ゴシック"/>
        <family val="3"/>
        <charset val="128"/>
      </rPr>
      <t xml:space="preserve">2026-06 </t>
    </r>
    <r>
      <rPr>
        <sz val="14"/>
        <rFont val="WenQuanYi Zen Hei"/>
        <family val="2"/>
      </rPr>
      <t xml:space="preserve">賞与</t>
    </r>
  </si>
  <si>
    <r>
      <rPr>
        <sz val="14"/>
        <rFont val="ＭＳ ゴシック"/>
        <family val="3"/>
        <charset val="128"/>
      </rPr>
      <t xml:space="preserve">2026-07 </t>
    </r>
    <r>
      <rPr>
        <sz val="14"/>
        <rFont val="WenQuanYi Zen Hei"/>
        <family val="2"/>
      </rPr>
      <t xml:space="preserve">月例</t>
    </r>
  </si>
  <si>
    <r>
      <rPr>
        <sz val="14"/>
        <rFont val="ＭＳ ゴシック"/>
        <family val="3"/>
        <charset val="128"/>
      </rPr>
      <t xml:space="preserve">2026-08 </t>
    </r>
    <r>
      <rPr>
        <sz val="14"/>
        <rFont val="WenQuanYi Zen Hei"/>
        <family val="2"/>
      </rPr>
      <t xml:space="preserve">月例</t>
    </r>
  </si>
  <si>
    <r>
      <rPr>
        <sz val="14"/>
        <rFont val="ＭＳ ゴシック"/>
        <family val="3"/>
        <charset val="128"/>
      </rPr>
      <t xml:space="preserve">2026-09 </t>
    </r>
    <r>
      <rPr>
        <sz val="14"/>
        <rFont val="WenQuanYi Zen Hei"/>
        <family val="2"/>
      </rPr>
      <t xml:space="preserve">月例</t>
    </r>
  </si>
  <si>
    <r>
      <rPr>
        <sz val="14"/>
        <rFont val="ＭＳ ゴシック"/>
        <family val="3"/>
        <charset val="128"/>
      </rPr>
      <t xml:space="preserve">2026-10 </t>
    </r>
    <r>
      <rPr>
        <sz val="14"/>
        <rFont val="WenQuanYi Zen Hei"/>
        <family val="2"/>
      </rPr>
      <t xml:space="preserve">月例</t>
    </r>
  </si>
  <si>
    <r>
      <rPr>
        <sz val="14"/>
        <rFont val="ＭＳ ゴシック"/>
        <family val="3"/>
        <charset val="128"/>
      </rPr>
      <t xml:space="preserve">2026-11 </t>
    </r>
    <r>
      <rPr>
        <sz val="14"/>
        <rFont val="WenQuanYi Zen Hei"/>
        <family val="2"/>
      </rPr>
      <t xml:space="preserve">月例</t>
    </r>
  </si>
  <si>
    <t xml:space="preserve">                                                                                                                                                                                               </t>
  </si>
  <si>
    <r>
      <rPr>
        <sz val="14"/>
        <rFont val="ＭＳ ゴシック"/>
        <family val="3"/>
        <charset val="128"/>
      </rPr>
      <t xml:space="preserve">2026-12 </t>
    </r>
    <r>
      <rPr>
        <sz val="14"/>
        <rFont val="WenQuanYi Zen Hei"/>
        <family val="2"/>
      </rPr>
      <t xml:space="preserve">賞与</t>
    </r>
  </si>
  <si>
    <r>
      <rPr>
        <sz val="14"/>
        <rFont val="ＭＳ ゴシック"/>
        <family val="3"/>
        <charset val="128"/>
      </rPr>
      <t xml:space="preserve">2026-12 </t>
    </r>
    <r>
      <rPr>
        <sz val="14"/>
        <rFont val="WenQuanYi Zen Hei"/>
        <family val="2"/>
      </rPr>
      <t xml:space="preserve">月例</t>
    </r>
  </si>
  <si>
    <t xml:space="preserve">　　　　</t>
  </si>
  <si>
    <r>
      <rPr>
        <sz val="14"/>
        <rFont val="ＭＳ ゴシック"/>
        <family val="3"/>
        <charset val="128"/>
      </rPr>
      <t xml:space="preserve">2027-01 </t>
    </r>
    <r>
      <rPr>
        <sz val="14"/>
        <rFont val="WenQuanYi Zen Hei"/>
        <family val="2"/>
      </rPr>
      <t xml:space="preserve">月例</t>
    </r>
  </si>
  <si>
    <r>
      <rPr>
        <sz val="14"/>
        <rFont val="ＭＳ ゴシック"/>
        <family val="3"/>
        <charset val="128"/>
      </rPr>
      <t xml:space="preserve">2027-02 </t>
    </r>
    <r>
      <rPr>
        <sz val="14"/>
        <rFont val="WenQuanYi Zen Hei"/>
        <family val="2"/>
      </rPr>
      <t xml:space="preserve">月例</t>
    </r>
  </si>
  <si>
    <r>
      <rPr>
        <sz val="14"/>
        <rFont val="ＭＳ ゴシック"/>
        <family val="3"/>
        <charset val="128"/>
      </rPr>
      <t xml:space="preserve">2027-03 </t>
    </r>
    <r>
      <rPr>
        <sz val="14"/>
        <rFont val="WenQuanYi Zen Hei"/>
        <family val="2"/>
      </rPr>
      <t xml:space="preserve">賞与</t>
    </r>
  </si>
  <si>
    <r>
      <rPr>
        <sz val="14"/>
        <rFont val="ＭＳ ゴシック"/>
        <family val="3"/>
        <charset val="128"/>
      </rPr>
      <t xml:space="preserve">2027-03 </t>
    </r>
    <r>
      <rPr>
        <sz val="14"/>
        <rFont val="WenQuanYi Zen Hei"/>
        <family val="2"/>
      </rPr>
      <t xml:space="preserve">月例</t>
    </r>
  </si>
  <si>
    <r>
      <rPr>
        <b val="true"/>
        <sz val="14"/>
        <color rgb="FF0000FF"/>
        <rFont val="WenQuanYi Zen Hei"/>
        <family val="2"/>
        <charset val="1"/>
      </rPr>
      <t xml:space="preserve">給与改定差額分（賞与）　</t>
    </r>
    <r>
      <rPr>
        <b val="true"/>
        <sz val="14"/>
        <color rgb="FF0000FF"/>
        <rFont val="ＭＳ ゴシック"/>
        <family val="3"/>
        <charset val="128"/>
      </rPr>
      <t xml:space="preserve">6</t>
    </r>
    <r>
      <rPr>
        <b val="true"/>
        <sz val="14"/>
        <color rgb="FF0000FF"/>
        <rFont val="WenQuanYi Zen Hei"/>
        <family val="2"/>
        <charset val="1"/>
      </rPr>
      <t xml:space="preserve">月分 </t>
    </r>
  </si>
  <si>
    <t xml:space="preserve">市長部局等　計</t>
  </si>
  <si>
    <t xml:space="preserve">派遣団体　計</t>
  </si>
  <si>
    <t xml:space="preserve">株式会社　計</t>
  </si>
  <si>
    <t xml:space="preserve">労働組合　計</t>
  </si>
  <si>
    <r>
      <rPr>
        <b val="true"/>
        <sz val="14"/>
        <color rgb="FF0000FF"/>
        <rFont val="WenQuanYi Zen Hei"/>
        <family val="2"/>
        <charset val="1"/>
      </rPr>
      <t xml:space="preserve">給与改定差額分（賞与）　</t>
    </r>
    <r>
      <rPr>
        <b val="true"/>
        <sz val="14"/>
        <color rgb="FF0000FF"/>
        <rFont val="ＭＳ ゴシック"/>
        <family val="3"/>
        <charset val="128"/>
      </rPr>
      <t xml:space="preserve">12</t>
    </r>
    <r>
      <rPr>
        <b val="true"/>
        <sz val="14"/>
        <color rgb="FF0000FF"/>
        <rFont val="WenQuanYi Zen Hei"/>
        <family val="2"/>
        <charset val="1"/>
      </rPr>
      <t xml:space="preserve">月分 </t>
    </r>
  </si>
  <si>
    <t xml:space="preserve">追加費用</t>
  </si>
  <si>
    <t xml:space="preserve">追加費用
（厚生年金）</t>
  </si>
  <si>
    <t xml:space="preserve">追加費用
（経過的長期）</t>
  </si>
  <si>
    <t xml:space="preserve">教育委員会</t>
  </si>
  <si>
    <t xml:space="preserve">総　計</t>
  </si>
  <si>
    <r>
      <rPr>
        <b val="true"/>
        <sz val="14"/>
        <color rgb="FF0000FF"/>
        <rFont val="WenQuanYi Zen Hei"/>
        <family val="2"/>
        <charset val="1"/>
      </rPr>
      <t xml:space="preserve">給与改定差額分（賞与）　</t>
    </r>
    <r>
      <rPr>
        <b val="true"/>
        <sz val="14"/>
        <color rgb="FF0000FF"/>
        <rFont val="ＭＳ ゴシック"/>
        <family val="3"/>
        <charset val="128"/>
      </rPr>
      <t xml:space="preserve">6</t>
    </r>
    <r>
      <rPr>
        <b val="true"/>
        <sz val="14"/>
        <color rgb="FF0000FF"/>
        <rFont val="WenQuanYi Zen Hei"/>
        <family val="2"/>
        <charset val="1"/>
      </rPr>
      <t xml:space="preserve">月</t>
    </r>
    <r>
      <rPr>
        <b val="true"/>
        <sz val="14"/>
        <color rgb="FF0000FF"/>
        <rFont val="ＭＳ ゴシック"/>
        <family val="3"/>
        <charset val="128"/>
      </rPr>
      <t xml:space="preserve">+12</t>
    </r>
    <r>
      <rPr>
        <b val="true"/>
        <sz val="14"/>
        <color rgb="FF0000FF"/>
        <rFont val="WenQuanYi Zen Hei"/>
        <family val="2"/>
        <charset val="1"/>
      </rPr>
      <t xml:space="preserve">月分 </t>
    </r>
  </si>
  <si>
    <r>
      <rPr>
        <sz val="12"/>
        <rFont val="WenQuanYi Zen Hei"/>
        <family val="2"/>
        <charset val="1"/>
      </rPr>
      <t xml:space="preserve">【参考】賞与支給率　※差額分</t>
    </r>
    <r>
      <rPr>
        <sz val="12"/>
        <rFont val="ＭＳ 明朝"/>
        <family val="1"/>
        <charset val="128"/>
      </rPr>
      <t xml:space="preserve">6</t>
    </r>
    <r>
      <rPr>
        <sz val="12"/>
        <rFont val="WenQuanYi Zen Hei"/>
        <family val="2"/>
        <charset val="1"/>
      </rPr>
      <t xml:space="preserve">月と</t>
    </r>
    <r>
      <rPr>
        <sz val="12"/>
        <rFont val="ＭＳ 明朝"/>
        <family val="1"/>
        <charset val="128"/>
      </rPr>
      <t xml:space="preserve">12</t>
    </r>
    <r>
      <rPr>
        <sz val="12"/>
        <rFont val="WenQuanYi Zen Hei"/>
        <family val="2"/>
        <charset val="1"/>
      </rPr>
      <t xml:space="preserve">月の按分に使用</t>
    </r>
  </si>
  <si>
    <r>
      <rPr>
        <sz val="12"/>
        <rFont val="ＭＳ ゴシック"/>
        <family val="3"/>
        <charset val="128"/>
      </rPr>
      <t xml:space="preserve">6</t>
    </r>
    <r>
      <rPr>
        <sz val="12"/>
        <rFont val="WenQuanYi Zen Hei"/>
        <family val="2"/>
        <charset val="1"/>
      </rPr>
      <t xml:space="preserve">月</t>
    </r>
  </si>
  <si>
    <r>
      <rPr>
        <sz val="12"/>
        <rFont val="ＭＳ ゴシック"/>
        <family val="3"/>
        <charset val="128"/>
      </rPr>
      <t xml:space="preserve">12</t>
    </r>
    <r>
      <rPr>
        <sz val="12"/>
        <rFont val="WenQuanYi Zen Hei"/>
        <family val="2"/>
        <charset val="1"/>
      </rPr>
      <t xml:space="preserve">月</t>
    </r>
  </si>
  <si>
    <t xml:space="preserve">情報システム機構</t>
  </si>
  <si>
    <t xml:space="preserve">掛金還付額</t>
  </si>
  <si>
    <t xml:space="preserve">★掛金免除者還付額</t>
  </si>
  <si>
    <t xml:space="preserve">（単位：円）</t>
  </si>
  <si>
    <t xml:space="preserve">★短期任意継続掛金還付額</t>
  </si>
  <si>
    <t xml:space="preserve">還付月</t>
  </si>
  <si>
    <t xml:space="preserve">厚生年金</t>
  </si>
  <si>
    <t xml:space="preserve">退職等</t>
  </si>
  <si>
    <t xml:space="preserve">子ども・子育て支援</t>
  </si>
  <si>
    <t xml:space="preserve">月合計</t>
  </si>
  <si>
    <t xml:space="preserve">区　分</t>
  </si>
  <si>
    <t xml:space="preserve">短期任継
還付額</t>
  </si>
  <si>
    <t xml:space="preserve">①</t>
  </si>
  <si>
    <t xml:space="preserve">②</t>
  </si>
  <si>
    <t xml:space="preserve">③</t>
  </si>
  <si>
    <t xml:space="preserve">④</t>
  </si>
  <si>
    <t xml:space="preserve">⑤</t>
  </si>
  <si>
    <t xml:space="preserve">⑥</t>
  </si>
  <si>
    <t xml:space="preserve">⑦</t>
  </si>
  <si>
    <t xml:space="preserve">⑧</t>
  </si>
  <si>
    <t xml:space="preserve">⑨</t>
  </si>
  <si>
    <t xml:space="preserve">⑩</t>
  </si>
  <si>
    <t xml:space="preserve">⑪</t>
  </si>
  <si>
    <t xml:space="preserve">⑫</t>
  </si>
  <si>
    <t xml:space="preserve">⑬</t>
  </si>
  <si>
    <t xml:space="preserve">⑭</t>
  </si>
  <si>
    <t xml:space="preserve">⑮</t>
  </si>
  <si>
    <t xml:space="preserve">４月</t>
  </si>
  <si>
    <t xml:space="preserve">５月</t>
  </si>
  <si>
    <t xml:space="preserve">６月</t>
  </si>
  <si>
    <t xml:space="preserve">７月</t>
  </si>
  <si>
    <t xml:space="preserve">８月</t>
  </si>
  <si>
    <t xml:space="preserve">９月</t>
  </si>
  <si>
    <t xml:space="preserve">１０月</t>
  </si>
  <si>
    <t xml:space="preserve">１１月</t>
  </si>
  <si>
    <t xml:space="preserve">１２月</t>
  </si>
  <si>
    <t xml:space="preserve">１月</t>
  </si>
  <si>
    <t xml:space="preserve">２月</t>
  </si>
  <si>
    <t xml:space="preserve">３月</t>
  </si>
  <si>
    <t xml:space="preserve">年度計</t>
  </si>
  <si>
    <t xml:space="preserve">★その他還付額（個人別内訳は別表）</t>
  </si>
  <si>
    <t xml:space="preserve">★介護任意継続掛金還付額</t>
  </si>
  <si>
    <t xml:space="preserve">介護任継
還付額</t>
  </si>
  <si>
    <t xml:space="preserve">★その他還付の内訳</t>
  </si>
  <si>
    <r>
      <rPr>
        <sz val="11"/>
        <color rgb="FF000000"/>
        <rFont val="ＭＳ 明朝"/>
        <family val="1"/>
        <charset val="128"/>
      </rPr>
      <t xml:space="preserve">(6080162 </t>
    </r>
    <r>
      <rPr>
        <sz val="11"/>
        <color rgb="FF000000"/>
        <rFont val="WenQuanYi Zen Hei"/>
        <family val="2"/>
        <charset val="1"/>
      </rPr>
      <t xml:space="preserve">長尾くみ子外</t>
    </r>
    <r>
      <rPr>
        <sz val="11"/>
        <color rgb="FF000000"/>
        <rFont val="ＭＳ 明朝"/>
        <family val="1"/>
        <charset val="128"/>
      </rPr>
      <t xml:space="preserve">2</t>
    </r>
    <r>
      <rPr>
        <sz val="11"/>
        <color rgb="FF000000"/>
        <rFont val="WenQuanYi Zen Hei"/>
        <family val="2"/>
        <charset val="1"/>
      </rPr>
      <t xml:space="preserve">名　加入情報削除による還付）</t>
    </r>
  </si>
  <si>
    <t xml:space="preserve">★子ども・子育て支援任意継続掛金還付額</t>
  </si>
  <si>
    <r>
      <rPr>
        <sz val="11"/>
        <color rgb="FFFF0000"/>
        <rFont val="ＭＳ 明朝"/>
        <family val="1"/>
        <charset val="128"/>
      </rPr>
      <t xml:space="preserve">(6284038</t>
    </r>
    <r>
      <rPr>
        <sz val="11"/>
        <color rgb="FFFF0000"/>
        <rFont val="WenQuanYi Zen Hei"/>
        <family val="2"/>
        <charset val="1"/>
      </rPr>
      <t xml:space="preserve">黒川和美ほか</t>
    </r>
    <r>
      <rPr>
        <sz val="11"/>
        <color rgb="FFFF0000"/>
        <rFont val="ＭＳ 明朝"/>
        <family val="1"/>
        <charset val="128"/>
      </rPr>
      <t xml:space="preserve">1</t>
    </r>
    <r>
      <rPr>
        <sz val="11"/>
        <color rgb="FFFF0000"/>
        <rFont val="WenQuanYi Zen Hei"/>
        <family val="2"/>
        <charset val="1"/>
      </rPr>
      <t xml:space="preserve">名 </t>
    </r>
    <r>
      <rPr>
        <sz val="11"/>
        <color rgb="FFFF0000"/>
        <rFont val="ＭＳ 明朝"/>
        <family val="1"/>
        <charset val="128"/>
      </rPr>
      <t xml:space="preserve">R5.4.1</t>
    </r>
    <r>
      <rPr>
        <sz val="11"/>
        <color rgb="FFFF0000"/>
        <rFont val="WenQuanYi Zen Hei"/>
        <family val="2"/>
        <charset val="1"/>
      </rPr>
      <t xml:space="preserve">から共済組合非加入</t>
    </r>
    <r>
      <rPr>
        <sz val="11"/>
        <color rgb="FFFF0000"/>
        <rFont val="ＭＳ 明朝"/>
        <family val="1"/>
        <charset val="128"/>
      </rPr>
      <t xml:space="preserve">)</t>
    </r>
  </si>
  <si>
    <r>
      <rPr>
        <sz val="11"/>
        <color rgb="FFFF0000"/>
        <rFont val="ＭＳ 明朝"/>
        <family val="1"/>
        <charset val="128"/>
      </rPr>
      <t xml:space="preserve">(5387121</t>
    </r>
    <r>
      <rPr>
        <sz val="11"/>
        <color rgb="FFFF0000"/>
        <rFont val="WenQuanYi Zen Hei"/>
        <family val="2"/>
        <charset val="1"/>
      </rPr>
      <t xml:space="preserve">田中寿美子ほか</t>
    </r>
    <r>
      <rPr>
        <sz val="11"/>
        <color rgb="FFFF0000"/>
        <rFont val="ＭＳ 明朝"/>
        <family val="1"/>
        <charset val="128"/>
      </rPr>
      <t xml:space="preserve">2</t>
    </r>
    <r>
      <rPr>
        <sz val="11"/>
        <color rgb="FFFF0000"/>
        <rFont val="WenQuanYi Zen Hei"/>
        <family val="2"/>
        <charset val="1"/>
      </rPr>
      <t xml:space="preserve">名 </t>
    </r>
    <r>
      <rPr>
        <sz val="11"/>
        <color rgb="FFFF0000"/>
        <rFont val="ＭＳ 明朝"/>
        <family val="1"/>
        <charset val="128"/>
      </rPr>
      <t xml:space="preserve">R5.5.1</t>
    </r>
    <r>
      <rPr>
        <sz val="11"/>
        <color rgb="FFFF0000"/>
        <rFont val="WenQuanYi Zen Hei"/>
        <family val="2"/>
        <charset val="1"/>
      </rPr>
      <t xml:space="preserve">資格喪失</t>
    </r>
    <r>
      <rPr>
        <sz val="11"/>
        <color rgb="FFFF0000"/>
        <rFont val="ＭＳ 明朝"/>
        <family val="1"/>
        <charset val="128"/>
      </rPr>
      <t xml:space="preserve">)</t>
    </r>
  </si>
  <si>
    <r>
      <rPr>
        <sz val="10"/>
        <color rgb="FFFF0000"/>
        <rFont val="WenQuanYi Zen Hei"/>
        <family val="2"/>
        <charset val="1"/>
      </rPr>
      <t xml:space="preserve">（ </t>
    </r>
    <r>
      <rPr>
        <sz val="10"/>
        <color rgb="FFFF0000"/>
        <rFont val="ＭＳ 明朝"/>
        <family val="1"/>
        <charset val="128"/>
      </rPr>
      <t xml:space="preserve">6783534 </t>
    </r>
    <r>
      <rPr>
        <sz val="10"/>
        <color rgb="FFFF0000"/>
        <rFont val="WenQuanYi Zen Hei"/>
        <family val="2"/>
        <charset val="1"/>
      </rPr>
      <t xml:space="preserve">中井伊都子 定時決定に係る標準報酬月額修正）</t>
    </r>
  </si>
  <si>
    <r>
      <rPr>
        <sz val="11"/>
        <color rgb="FFFF0000"/>
        <rFont val="ＭＳ 明朝"/>
        <family val="1"/>
        <charset val="128"/>
      </rPr>
      <t xml:space="preserve">(4972410</t>
    </r>
    <r>
      <rPr>
        <sz val="11"/>
        <color rgb="FFFF0000"/>
        <rFont val="WenQuanYi Zen Hei"/>
        <family val="2"/>
        <charset val="1"/>
      </rPr>
      <t xml:space="preserve">田邊貢枝ほか</t>
    </r>
    <r>
      <rPr>
        <sz val="11"/>
        <color rgb="FFFF0000"/>
        <rFont val="ＭＳ 明朝"/>
        <family val="1"/>
        <charset val="128"/>
      </rPr>
      <t xml:space="preserve">1</t>
    </r>
    <r>
      <rPr>
        <sz val="11"/>
        <color rgb="FFFF0000"/>
        <rFont val="WenQuanYi Zen Hei"/>
        <family val="2"/>
        <charset val="1"/>
      </rPr>
      <t xml:space="preserve">名 共済組合非加入</t>
    </r>
    <r>
      <rPr>
        <sz val="11"/>
        <color rgb="FFFF0000"/>
        <rFont val="ＭＳ 明朝"/>
        <family val="1"/>
        <charset val="128"/>
      </rPr>
      <t xml:space="preserve">)</t>
    </r>
  </si>
  <si>
    <t xml:space="preserve">（                           ）</t>
  </si>
  <si>
    <t xml:space="preserve">掛金未納者等の入金額</t>
  </si>
  <si>
    <t xml:space="preserve">★掛金未納者等の入金額の合計</t>
  </si>
  <si>
    <t xml:space="preserve">★掛金未納者の入金額（             　）</t>
  </si>
  <si>
    <t xml:space="preserve">預り金
（入金額）</t>
  </si>
  <si>
    <t xml:space="preserve">入金月</t>
  </si>
  <si>
    <r>
      <rPr>
        <sz val="12"/>
        <rFont val="WenQuanYi Zen Hei"/>
        <family val="2"/>
        <charset val="1"/>
      </rPr>
      <t xml:space="preserve">介護
</t>
    </r>
    <r>
      <rPr>
        <sz val="9"/>
        <rFont val="WenQuanYi Zen Hei"/>
        <family val="2"/>
        <charset val="1"/>
      </rPr>
      <t xml:space="preserve">（本人入金</t>
    </r>
    <r>
      <rPr>
        <sz val="9"/>
        <rFont val="ＭＳ 明朝"/>
        <family val="1"/>
        <charset val="128"/>
      </rPr>
      <t xml:space="preserve">+</t>
    </r>
    <r>
      <rPr>
        <sz val="9"/>
        <rFont val="WenQuanYi Zen Hei"/>
        <family val="2"/>
        <charset val="1"/>
      </rPr>
      <t xml:space="preserve">預りから充当）</t>
    </r>
  </si>
  <si>
    <r>
      <rPr>
        <sz val="12"/>
        <rFont val="WenQuanYi Zen Hei"/>
        <family val="2"/>
        <charset val="1"/>
      </rPr>
      <t xml:space="preserve">子ども・子育て支援
</t>
    </r>
    <r>
      <rPr>
        <sz val="9"/>
        <rFont val="WenQuanYi Zen Hei"/>
        <family val="2"/>
        <charset val="1"/>
      </rPr>
      <t xml:space="preserve">（本人入金</t>
    </r>
    <r>
      <rPr>
        <sz val="9"/>
        <rFont val="ＭＳ 明朝"/>
        <family val="1"/>
        <charset val="128"/>
      </rPr>
      <t xml:space="preserve">+</t>
    </r>
    <r>
      <rPr>
        <sz val="9"/>
        <rFont val="WenQuanYi Zen Hei"/>
        <family val="2"/>
        <charset val="1"/>
      </rPr>
      <t xml:space="preserve">預りから充当）</t>
    </r>
  </si>
  <si>
    <r>
      <rPr>
        <sz val="12"/>
        <rFont val="WenQuanYi Zen Hei"/>
        <family val="2"/>
        <charset val="1"/>
      </rPr>
      <t xml:space="preserve">介護
</t>
    </r>
    <r>
      <rPr>
        <sz val="7.5"/>
        <rFont val="WenQuanYi Zen Hei"/>
        <family val="2"/>
        <charset val="1"/>
      </rPr>
      <t xml:space="preserve">（預りから充当）</t>
    </r>
  </si>
  <si>
    <t xml:space="preserve">子・子</t>
  </si>
  <si>
    <r>
      <rPr>
        <sz val="12"/>
        <rFont val="WenQuanYi Zen Hei"/>
        <family val="2"/>
        <charset val="1"/>
      </rPr>
      <t xml:space="preserve">子・子
</t>
    </r>
    <r>
      <rPr>
        <sz val="7.5"/>
        <rFont val="WenQuanYi Zen Hei"/>
        <family val="2"/>
        <charset val="1"/>
      </rPr>
      <t xml:space="preserve">（預りから充当）</t>
    </r>
  </si>
  <si>
    <r>
      <rPr>
        <sz val="10"/>
        <rFont val="ＭＳ 明朝"/>
        <family val="1"/>
        <charset val="128"/>
      </rPr>
      <t xml:space="preserve">2</t>
    </r>
    <r>
      <rPr>
        <sz val="10"/>
        <rFont val="WenQuanYi Zen Hei"/>
        <family val="2"/>
        <charset val="1"/>
      </rPr>
      <t xml:space="preserve">年度末</t>
    </r>
  </si>
  <si>
    <r>
      <rPr>
        <sz val="12"/>
        <rFont val="WenQuanYi Zen Hei"/>
        <family val="2"/>
        <charset val="1"/>
      </rPr>
      <t xml:space="preserve">差額賞与</t>
    </r>
    <r>
      <rPr>
        <sz val="12"/>
        <rFont val="ＭＳ 明朝"/>
        <family val="1"/>
        <charset val="128"/>
      </rPr>
      <t xml:space="preserve">6</t>
    </r>
    <r>
      <rPr>
        <sz val="12"/>
        <rFont val="WenQuanYi Zen Hei"/>
        <family val="2"/>
        <charset val="1"/>
      </rPr>
      <t xml:space="preserve">月</t>
    </r>
  </si>
  <si>
    <r>
      <rPr>
        <sz val="12"/>
        <rFont val="WenQuanYi Zen Hei"/>
        <family val="2"/>
        <charset val="1"/>
      </rPr>
      <t xml:space="preserve">差額賞与</t>
    </r>
    <r>
      <rPr>
        <sz val="12"/>
        <rFont val="ＭＳ 明朝"/>
        <family val="1"/>
        <charset val="128"/>
      </rPr>
      <t xml:space="preserve">12</t>
    </r>
    <r>
      <rPr>
        <sz val="12"/>
        <rFont val="WenQuanYi Zen Hei"/>
        <family val="2"/>
        <charset val="1"/>
      </rPr>
      <t xml:space="preserve">月</t>
    </r>
  </si>
  <si>
    <r>
      <rPr>
        <b val="true"/>
        <sz val="12"/>
        <rFont val="WenQuanYi Zen Hei"/>
        <family val="2"/>
        <charset val="1"/>
      </rPr>
      <t xml:space="preserve">★掛金未納者の入金額（</t>
    </r>
    <r>
      <rPr>
        <b val="true"/>
        <sz val="12"/>
        <rFont val="ＭＳ ゴシック"/>
        <family val="3"/>
        <charset val="128"/>
      </rPr>
      <t xml:space="preserve">0000000</t>
    </r>
    <r>
      <rPr>
        <b val="true"/>
        <sz val="12"/>
        <rFont val="WenQuanYi Zen Hei"/>
        <family val="2"/>
        <charset val="1"/>
      </rPr>
      <t xml:space="preserve">　　　　　　　　）</t>
    </r>
  </si>
  <si>
    <r>
      <rPr>
        <b val="true"/>
        <sz val="12"/>
        <rFont val="WenQuanYi Zen Hei"/>
        <family val="2"/>
        <charset val="1"/>
      </rPr>
      <t xml:space="preserve">★配偶者同行休業者の入金額（</t>
    </r>
    <r>
      <rPr>
        <b val="true"/>
        <sz val="12"/>
        <rFont val="ＭＳ ゴシック"/>
        <family val="3"/>
        <charset val="128"/>
      </rPr>
      <t xml:space="preserve">0000000</t>
    </r>
    <r>
      <rPr>
        <b val="true"/>
        <sz val="12"/>
        <rFont val="WenQuanYi Zen Hei"/>
        <family val="2"/>
        <charset val="1"/>
      </rPr>
      <t xml:space="preserve">　　　　　　　　）</t>
    </r>
  </si>
  <si>
    <t xml:space="preserve">標準報酬月額</t>
  </si>
  <si>
    <t xml:space="preserve">掛金・負担金集計（長期・短期・介護・子子）</t>
  </si>
  <si>
    <t xml:space="preserve">※長期は、厚年・退職・経過の合計。短期は、保健経理・連合会拠出金振替え前、任継掛金還付前。</t>
  </si>
  <si>
    <t xml:space="preserve">①負担金合計（長期・短期・介護・子子合計）Ⓐ＋Ⓑ＋Ⓒ＋Ⓓ</t>
  </si>
  <si>
    <t xml:space="preserve">②掛金合計（長期・短期・介護・子子合計）</t>
  </si>
  <si>
    <t xml:space="preserve">全体合計（長期・短期・介護・子子合計）①＋②</t>
  </si>
  <si>
    <r>
      <rPr>
        <sz val="12"/>
        <rFont val="WenQuanYi Zen Hei"/>
        <family val="2"/>
        <charset val="1"/>
      </rPr>
      <t xml:space="preserve">追加費用
</t>
    </r>
    <r>
      <rPr>
        <sz val="9"/>
        <rFont val="ＭＳ 明朝"/>
        <family val="1"/>
        <charset val="128"/>
      </rPr>
      <t xml:space="preserve">(</t>
    </r>
    <r>
      <rPr>
        <sz val="9"/>
        <rFont val="WenQuanYi Zen Hei"/>
        <family val="2"/>
        <charset val="1"/>
      </rPr>
      <t xml:space="preserve">全て事業主負担</t>
    </r>
    <r>
      <rPr>
        <sz val="9"/>
        <rFont val="ＭＳ 明朝"/>
        <family val="1"/>
        <charset val="128"/>
      </rPr>
      <t xml:space="preserve">)</t>
    </r>
  </si>
  <si>
    <r>
      <rPr>
        <sz val="14"/>
        <rFont val="ＭＳ 明朝"/>
        <family val="1"/>
        <charset val="128"/>
      </rPr>
      <t xml:space="preserve">(</t>
    </r>
    <r>
      <rPr>
        <sz val="14"/>
        <rFont val="WenQuanYi Zen Hei"/>
        <family val="2"/>
        <charset val="1"/>
      </rPr>
      <t xml:space="preserve">ア</t>
    </r>
    <r>
      <rPr>
        <sz val="14"/>
        <rFont val="ＭＳ 明朝"/>
        <family val="1"/>
        <charset val="128"/>
      </rPr>
      <t xml:space="preserve">)</t>
    </r>
    <r>
      <rPr>
        <sz val="14"/>
        <rFont val="WenQuanYi Zen Hei"/>
        <family val="2"/>
        <charset val="1"/>
      </rPr>
      <t xml:space="preserve">長期合計（厚年・退職・経過の合計）</t>
    </r>
  </si>
  <si>
    <r>
      <rPr>
        <sz val="12"/>
        <rFont val="ＭＳ Ｐ明朝"/>
        <family val="1"/>
        <charset val="128"/>
      </rPr>
      <t xml:space="preserve">※OFFSET</t>
    </r>
    <r>
      <rPr>
        <sz val="12"/>
        <rFont val="WenQuanYi Zen Hei"/>
        <family val="2"/>
        <charset val="1"/>
      </rPr>
      <t xml:space="preserve">関数計算用</t>
    </r>
    <r>
      <rPr>
        <sz val="12"/>
        <rFont val="ＭＳ Ｐ明朝"/>
        <family val="1"/>
        <charset val="128"/>
      </rPr>
      <t xml:space="preserve">(</t>
    </r>
    <r>
      <rPr>
        <sz val="12"/>
        <rFont val="WenQuanYi Zen Hei"/>
        <family val="2"/>
        <charset val="1"/>
      </rPr>
      <t xml:space="preserve">移動・削除・数値変更しないこと</t>
    </r>
    <r>
      <rPr>
        <sz val="12"/>
        <rFont val="ＭＳ Ｐ明朝"/>
        <family val="1"/>
        <charset val="128"/>
      </rPr>
      <t xml:space="preserve">!)</t>
    </r>
  </si>
  <si>
    <t xml:space="preserve">広島市</t>
  </si>
  <si>
    <t xml:space="preserve">派遣団体</t>
  </si>
  <si>
    <t xml:space="preserve">負担金合計</t>
  </si>
  <si>
    <t xml:space="preserve">長　期</t>
  </si>
  <si>
    <r>
      <rPr>
        <sz val="12"/>
        <rFont val="WenQuanYi Zen Hei"/>
        <family val="2"/>
        <charset val="1"/>
      </rPr>
      <t xml:space="preserve">短　期
</t>
    </r>
    <r>
      <rPr>
        <sz val="12"/>
        <rFont val="ＭＳ 明朝"/>
        <family val="1"/>
        <charset val="128"/>
      </rPr>
      <t xml:space="preserve">(</t>
    </r>
    <r>
      <rPr>
        <sz val="12"/>
        <rFont val="WenQuanYi Zen Hei"/>
        <family val="2"/>
        <charset val="1"/>
      </rPr>
      <t xml:space="preserve">任継含む</t>
    </r>
    <r>
      <rPr>
        <sz val="12"/>
        <rFont val="ＭＳ 明朝"/>
        <family val="1"/>
        <charset val="128"/>
      </rPr>
      <t xml:space="preserve">)</t>
    </r>
  </si>
  <si>
    <r>
      <rPr>
        <sz val="12"/>
        <rFont val="WenQuanYi Zen Hei"/>
        <family val="2"/>
        <charset val="1"/>
      </rPr>
      <t xml:space="preserve">介　護
</t>
    </r>
    <r>
      <rPr>
        <sz val="12"/>
        <rFont val="ＭＳ 明朝"/>
        <family val="1"/>
        <charset val="128"/>
      </rPr>
      <t xml:space="preserve">(</t>
    </r>
    <r>
      <rPr>
        <sz val="12"/>
        <rFont val="WenQuanYi Zen Hei"/>
        <family val="2"/>
        <charset val="1"/>
      </rPr>
      <t xml:space="preserve">任継含む</t>
    </r>
    <r>
      <rPr>
        <sz val="12"/>
        <rFont val="ＭＳ 明朝"/>
        <family val="1"/>
        <charset val="128"/>
      </rPr>
      <t xml:space="preserve">)</t>
    </r>
  </si>
  <si>
    <r>
      <rPr>
        <sz val="12"/>
        <rFont val="WenQuanYi Zen Hei"/>
        <family val="2"/>
        <charset val="1"/>
      </rPr>
      <t xml:space="preserve">子・子
</t>
    </r>
    <r>
      <rPr>
        <sz val="12"/>
        <rFont val="ＭＳ 明朝"/>
        <family val="1"/>
        <charset val="128"/>
      </rPr>
      <t xml:space="preserve">(</t>
    </r>
    <r>
      <rPr>
        <sz val="12"/>
        <rFont val="WenQuanYi Zen Hei"/>
        <family val="2"/>
        <charset val="1"/>
      </rPr>
      <t xml:space="preserve">任継含む</t>
    </r>
    <r>
      <rPr>
        <sz val="12"/>
        <rFont val="ＭＳ 明朝"/>
        <family val="1"/>
        <charset val="128"/>
      </rPr>
      <t xml:space="preserve">)</t>
    </r>
  </si>
  <si>
    <t xml:space="preserve">掛金合計</t>
  </si>
  <si>
    <t xml:space="preserve">掛金負担金
還付・入金前計</t>
  </si>
  <si>
    <r>
      <rPr>
        <sz val="9"/>
        <rFont val="WenQuanYi Zen Hei"/>
        <family val="2"/>
        <charset val="1"/>
      </rPr>
      <t xml:space="preserve">還付・入金額
</t>
    </r>
    <r>
      <rPr>
        <sz val="9"/>
        <rFont val="ＭＳ 明朝"/>
        <family val="1"/>
        <charset val="128"/>
      </rPr>
      <t xml:space="preserve">(</t>
    </r>
    <r>
      <rPr>
        <sz val="9"/>
        <rFont val="WenQuanYi Zen Hei"/>
        <family val="2"/>
        <charset val="1"/>
      </rPr>
      <t xml:space="preserve">長期</t>
    </r>
    <r>
      <rPr>
        <sz val="9"/>
        <rFont val="ＭＳ 明朝"/>
        <family val="1"/>
        <charset val="128"/>
      </rPr>
      <t xml:space="preserve">)</t>
    </r>
  </si>
  <si>
    <r>
      <rPr>
        <sz val="9"/>
        <rFont val="WenQuanYi Zen Hei"/>
        <family val="2"/>
        <charset val="1"/>
      </rPr>
      <t xml:space="preserve">還付・入金額
</t>
    </r>
    <r>
      <rPr>
        <sz val="9"/>
        <rFont val="ＭＳ 明朝"/>
        <family val="1"/>
        <charset val="128"/>
      </rPr>
      <t xml:space="preserve">(</t>
    </r>
    <r>
      <rPr>
        <sz val="9"/>
        <rFont val="WenQuanYi Zen Hei"/>
        <family val="2"/>
        <charset val="1"/>
      </rPr>
      <t xml:space="preserve">短期</t>
    </r>
    <r>
      <rPr>
        <sz val="9"/>
        <rFont val="ＭＳ 明朝"/>
        <family val="1"/>
        <charset val="128"/>
      </rPr>
      <t xml:space="preserve">)</t>
    </r>
  </si>
  <si>
    <r>
      <rPr>
        <sz val="9"/>
        <rFont val="WenQuanYi Zen Hei"/>
        <family val="2"/>
        <charset val="1"/>
      </rPr>
      <t xml:space="preserve">還付・入金額
</t>
    </r>
    <r>
      <rPr>
        <sz val="9"/>
        <rFont val="ＭＳ 明朝"/>
        <family val="1"/>
        <charset val="128"/>
      </rPr>
      <t xml:space="preserve">(</t>
    </r>
    <r>
      <rPr>
        <sz val="9"/>
        <rFont val="WenQuanYi Zen Hei"/>
        <family val="2"/>
        <charset val="1"/>
      </rPr>
      <t xml:space="preserve">介護</t>
    </r>
    <r>
      <rPr>
        <sz val="9"/>
        <rFont val="ＭＳ 明朝"/>
        <family val="1"/>
        <charset val="128"/>
      </rPr>
      <t xml:space="preserve">)</t>
    </r>
  </si>
  <si>
    <r>
      <rPr>
        <sz val="9"/>
        <rFont val="WenQuanYi Zen Hei"/>
        <family val="2"/>
        <charset val="1"/>
      </rPr>
      <t xml:space="preserve">還付・入金額
</t>
    </r>
    <r>
      <rPr>
        <sz val="9"/>
        <rFont val="ＭＳ 明朝"/>
        <family val="1"/>
        <charset val="128"/>
      </rPr>
      <t xml:space="preserve">(</t>
    </r>
    <r>
      <rPr>
        <sz val="9"/>
        <rFont val="WenQuanYi Zen Hei"/>
        <family val="2"/>
        <charset val="1"/>
      </rPr>
      <t xml:space="preserve">子・子</t>
    </r>
    <r>
      <rPr>
        <sz val="9"/>
        <rFont val="ＭＳ 明朝"/>
        <family val="1"/>
        <charset val="128"/>
      </rPr>
      <t xml:space="preserve">)</t>
    </r>
  </si>
  <si>
    <t xml:space="preserve">掛　　金
還付・入金後計</t>
  </si>
  <si>
    <t xml:space="preserve">掛金負担金
最終合計</t>
  </si>
  <si>
    <t xml:space="preserve">追加費用
合　計</t>
  </si>
  <si>
    <r>
      <rPr>
        <sz val="12"/>
        <rFont val="WenQuanYi Zen Hei"/>
        <family val="2"/>
        <charset val="1"/>
      </rPr>
      <t xml:space="preserve">掛金等
</t>
    </r>
    <r>
      <rPr>
        <sz val="12"/>
        <rFont val="ＭＳ 明朝"/>
        <family val="1"/>
        <charset val="128"/>
      </rPr>
      <t xml:space="preserve">(</t>
    </r>
    <r>
      <rPr>
        <sz val="12"/>
        <rFont val="WenQuanYi Zen Hei"/>
        <family val="2"/>
        <charset val="1"/>
      </rPr>
      <t xml:space="preserve">厚生年金</t>
    </r>
    <r>
      <rPr>
        <sz val="12"/>
        <rFont val="ＭＳ 明朝"/>
        <family val="1"/>
        <charset val="128"/>
      </rPr>
      <t xml:space="preserve">)</t>
    </r>
  </si>
  <si>
    <r>
      <rPr>
        <sz val="12"/>
        <rFont val="WenQuanYi Zen Hei"/>
        <family val="2"/>
        <charset val="1"/>
      </rPr>
      <t xml:space="preserve">掛金等
</t>
    </r>
    <r>
      <rPr>
        <sz val="12"/>
        <rFont val="ＭＳ 明朝"/>
        <family val="1"/>
        <charset val="128"/>
      </rPr>
      <t xml:space="preserve">(</t>
    </r>
    <r>
      <rPr>
        <sz val="12"/>
        <rFont val="WenQuanYi Zen Hei"/>
        <family val="2"/>
        <charset val="1"/>
      </rPr>
      <t xml:space="preserve">退職年金</t>
    </r>
    <r>
      <rPr>
        <sz val="12"/>
        <rFont val="ＭＳ 明朝"/>
        <family val="1"/>
        <charset val="128"/>
      </rPr>
      <t xml:space="preserve">)</t>
    </r>
  </si>
  <si>
    <t xml:space="preserve">掛金等計</t>
  </si>
  <si>
    <r>
      <rPr>
        <sz val="12"/>
        <rFont val="WenQuanYi Zen Hei"/>
        <family val="2"/>
        <charset val="1"/>
      </rPr>
      <t xml:space="preserve">負担金等
</t>
    </r>
    <r>
      <rPr>
        <sz val="12"/>
        <rFont val="ＭＳ 明朝"/>
        <family val="1"/>
        <charset val="128"/>
      </rPr>
      <t xml:space="preserve">(</t>
    </r>
    <r>
      <rPr>
        <sz val="12"/>
        <rFont val="WenQuanYi Zen Hei"/>
        <family val="2"/>
        <charset val="1"/>
      </rPr>
      <t xml:space="preserve">厚生年金</t>
    </r>
    <r>
      <rPr>
        <sz val="12"/>
        <rFont val="ＭＳ 明朝"/>
        <family val="1"/>
        <charset val="128"/>
      </rPr>
      <t xml:space="preserve">)</t>
    </r>
  </si>
  <si>
    <r>
      <rPr>
        <sz val="12"/>
        <rFont val="WenQuanYi Zen Hei"/>
        <family val="2"/>
        <charset val="1"/>
      </rPr>
      <t xml:space="preserve">負担金等
</t>
    </r>
    <r>
      <rPr>
        <sz val="12"/>
        <rFont val="ＭＳ 明朝"/>
        <family val="1"/>
        <charset val="128"/>
      </rPr>
      <t xml:space="preserve">(</t>
    </r>
    <r>
      <rPr>
        <sz val="12"/>
        <rFont val="WenQuanYi Zen Hei"/>
        <family val="2"/>
        <charset val="1"/>
      </rPr>
      <t xml:space="preserve">退職年金</t>
    </r>
    <r>
      <rPr>
        <sz val="12"/>
        <rFont val="ＭＳ 明朝"/>
        <family val="1"/>
        <charset val="128"/>
      </rPr>
      <t xml:space="preserve">)</t>
    </r>
  </si>
  <si>
    <r>
      <rPr>
        <sz val="12"/>
        <rFont val="WenQuanYi Zen Hei"/>
        <family val="2"/>
        <charset val="1"/>
      </rPr>
      <t xml:space="preserve">負担金等
</t>
    </r>
    <r>
      <rPr>
        <sz val="12"/>
        <rFont val="ＭＳ 明朝"/>
        <family val="1"/>
        <charset val="128"/>
      </rPr>
      <t xml:space="preserve">(</t>
    </r>
    <r>
      <rPr>
        <sz val="12"/>
        <rFont val="WenQuanYi Zen Hei"/>
        <family val="2"/>
        <charset val="1"/>
      </rPr>
      <t xml:space="preserve">経過的</t>
    </r>
    <r>
      <rPr>
        <sz val="12"/>
        <rFont val="ＭＳ 明朝"/>
        <family val="1"/>
        <charset val="128"/>
      </rPr>
      <t xml:space="preserve">)</t>
    </r>
  </si>
  <si>
    <t xml:space="preserve">負担金等計</t>
  </si>
  <si>
    <t xml:space="preserve">長期合計</t>
  </si>
  <si>
    <r>
      <rPr>
        <sz val="12"/>
        <rFont val="WenQuanYi Zen Hei"/>
        <family val="2"/>
        <charset val="1"/>
      </rPr>
      <t xml:space="preserve">長期計欄
</t>
    </r>
    <r>
      <rPr>
        <sz val="10"/>
        <rFont val="WenQuanYi Zen Hei"/>
        <family val="2"/>
        <charset val="1"/>
      </rPr>
      <t xml:space="preserve">（チェック用）</t>
    </r>
  </si>
  <si>
    <r>
      <rPr>
        <sz val="12"/>
        <rFont val="WenQuanYi Zen Hei"/>
        <family val="2"/>
        <charset val="1"/>
      </rPr>
      <t xml:space="preserve">※チェック
　</t>
    </r>
    <r>
      <rPr>
        <sz val="12"/>
        <rFont val="Century"/>
        <family val="1"/>
        <charset val="1"/>
      </rPr>
      <t xml:space="preserve">(AC=AD)</t>
    </r>
  </si>
  <si>
    <r>
      <rPr>
        <sz val="10"/>
        <rFont val="WenQuanYi Zen Hei"/>
        <family val="2"/>
        <charset val="1"/>
      </rPr>
      <t xml:space="preserve">全体合計
</t>
    </r>
    <r>
      <rPr>
        <sz val="9"/>
        <rFont val="ＭＳ 明朝"/>
        <family val="1"/>
        <charset val="128"/>
      </rPr>
      <t xml:space="preserve">(</t>
    </r>
    <r>
      <rPr>
        <sz val="9"/>
        <rFont val="WenQuanYi Zen Hei"/>
        <family val="2"/>
        <charset val="1"/>
      </rPr>
      <t xml:space="preserve">ア＋イ＋ウ＋エ</t>
    </r>
    <r>
      <rPr>
        <sz val="9"/>
        <rFont val="ＭＳ 明朝"/>
        <family val="1"/>
        <charset val="128"/>
      </rPr>
      <t xml:space="preserve">)</t>
    </r>
  </si>
  <si>
    <r>
      <rPr>
        <sz val="12"/>
        <rFont val="WenQuanYi Zen Hei"/>
        <family val="2"/>
        <charset val="1"/>
      </rPr>
      <t xml:space="preserve">全体合計
</t>
    </r>
    <r>
      <rPr>
        <sz val="12"/>
        <rFont val="ＭＳ 明朝"/>
        <family val="1"/>
        <charset val="128"/>
      </rPr>
      <t xml:space="preserve">(M</t>
    </r>
    <r>
      <rPr>
        <sz val="12"/>
        <rFont val="WenQuanYi Zen Hei"/>
        <family val="2"/>
        <charset val="1"/>
      </rPr>
      <t xml:space="preserve">欄</t>
    </r>
    <r>
      <rPr>
        <sz val="12"/>
        <rFont val="ＭＳ 明朝"/>
        <family val="1"/>
        <charset val="128"/>
      </rPr>
      <t xml:space="preserve">)</t>
    </r>
  </si>
  <si>
    <r>
      <rPr>
        <sz val="12"/>
        <rFont val="WenQuanYi Zen Hei"/>
        <family val="2"/>
        <charset val="1"/>
      </rPr>
      <t xml:space="preserve">※チェック
　</t>
    </r>
    <r>
      <rPr>
        <sz val="12"/>
        <rFont val="Century"/>
        <family val="1"/>
        <charset val="1"/>
      </rPr>
      <t xml:space="preserve">(AH=AI)</t>
    </r>
  </si>
  <si>
    <t xml:space="preserve">－</t>
  </si>
  <si>
    <t xml:space="preserve">６期末勤勉</t>
  </si>
  <si>
    <t xml:space="preserve">１２期末勤勉</t>
  </si>
  <si>
    <t xml:space="preserve">３期末</t>
  </si>
  <si>
    <r>
      <rPr>
        <sz val="12"/>
        <rFont val="WenQuanYi Zen Hei"/>
        <family val="2"/>
        <charset val="1"/>
      </rPr>
      <t xml:space="preserve">差額賞与</t>
    </r>
    <r>
      <rPr>
        <sz val="12"/>
        <rFont val="Century"/>
        <family val="1"/>
        <charset val="1"/>
      </rPr>
      <t xml:space="preserve">6</t>
    </r>
    <r>
      <rPr>
        <sz val="12"/>
        <rFont val="WenQuanYi Zen Hei"/>
        <family val="2"/>
        <charset val="1"/>
      </rPr>
      <t xml:space="preserve">月</t>
    </r>
  </si>
  <si>
    <r>
      <rPr>
        <sz val="12"/>
        <rFont val="WenQuanYi Zen Hei"/>
        <family val="2"/>
        <charset val="1"/>
      </rPr>
      <t xml:space="preserve">差額賞与</t>
    </r>
    <r>
      <rPr>
        <sz val="12"/>
        <rFont val="Century"/>
        <family val="1"/>
        <charset val="1"/>
      </rPr>
      <t xml:space="preserve">12</t>
    </r>
    <r>
      <rPr>
        <sz val="12"/>
        <rFont val="WenQuanYi Zen Hei"/>
        <family val="2"/>
        <charset val="1"/>
      </rPr>
      <t xml:space="preserve">月</t>
    </r>
  </si>
  <si>
    <t xml:space="preserve">Ⓐ長期分負担金（厚年・退職・経過の合計）</t>
  </si>
  <si>
    <t xml:space="preserve">Ⓑ短期分負担金（保健経理・連合会拠出金分含む）</t>
  </si>
  <si>
    <t xml:space="preserve">Ⓒ介護分負担金</t>
  </si>
  <si>
    <t xml:space="preserve">Ⓓ子ども・子育て支援分負担金</t>
  </si>
  <si>
    <r>
      <rPr>
        <sz val="14"/>
        <rFont val="ＭＳ 明朝"/>
        <family val="1"/>
        <charset val="128"/>
      </rPr>
      <t xml:space="preserve">(</t>
    </r>
    <r>
      <rPr>
        <sz val="14"/>
        <rFont val="WenQuanYi Zen Hei"/>
        <family val="2"/>
        <charset val="1"/>
      </rPr>
      <t xml:space="preserve">イ</t>
    </r>
    <r>
      <rPr>
        <sz val="14"/>
        <rFont val="ＭＳ 明朝"/>
        <family val="1"/>
        <charset val="128"/>
      </rPr>
      <t xml:space="preserve">)</t>
    </r>
    <r>
      <rPr>
        <sz val="14"/>
        <rFont val="WenQuanYi Zen Hei"/>
        <family val="2"/>
        <charset val="1"/>
      </rPr>
      <t xml:space="preserve">短期合計</t>
    </r>
    <r>
      <rPr>
        <sz val="10"/>
        <rFont val="WenQuanYi Zen Hei"/>
        <family val="2"/>
        <charset val="1"/>
      </rPr>
      <t xml:space="preserve">（保健経理・連合会拠出金分含む）</t>
    </r>
  </si>
  <si>
    <r>
      <rPr>
        <sz val="14"/>
        <rFont val="ＭＳ 明朝"/>
        <family val="1"/>
        <charset val="128"/>
      </rPr>
      <t xml:space="preserve">(</t>
    </r>
    <r>
      <rPr>
        <sz val="14"/>
        <rFont val="WenQuanYi Zen Hei"/>
        <family val="2"/>
        <charset val="1"/>
      </rPr>
      <t xml:space="preserve">ウ</t>
    </r>
    <r>
      <rPr>
        <sz val="14"/>
        <rFont val="ＭＳ 明朝"/>
        <family val="1"/>
        <charset val="128"/>
      </rPr>
      <t xml:space="preserve">)</t>
    </r>
    <r>
      <rPr>
        <sz val="14"/>
        <rFont val="WenQuanYi Zen Hei"/>
        <family val="2"/>
        <charset val="1"/>
      </rPr>
      <t xml:space="preserve">介護合計</t>
    </r>
  </si>
  <si>
    <r>
      <rPr>
        <sz val="14"/>
        <rFont val="ＭＳ 明朝"/>
        <family val="1"/>
        <charset val="128"/>
      </rPr>
      <t xml:space="preserve">(</t>
    </r>
    <r>
      <rPr>
        <sz val="14"/>
        <rFont val="WenQuanYi Zen Hei"/>
        <family val="2"/>
        <charset val="1"/>
      </rPr>
      <t xml:space="preserve">エ</t>
    </r>
    <r>
      <rPr>
        <sz val="14"/>
        <rFont val="ＭＳ 明朝"/>
        <family val="1"/>
        <charset val="128"/>
      </rPr>
      <t xml:space="preserve">)</t>
    </r>
    <r>
      <rPr>
        <sz val="14"/>
        <rFont val="WenQuanYi Zen Hei"/>
        <family val="2"/>
        <charset val="1"/>
      </rPr>
      <t xml:space="preserve">子子合計</t>
    </r>
  </si>
  <si>
    <r>
      <rPr>
        <sz val="12"/>
        <rFont val="WenQuanYi Zen Hei"/>
        <family val="2"/>
        <charset val="1"/>
      </rPr>
      <t xml:space="preserve">負担金合計
</t>
    </r>
    <r>
      <rPr>
        <sz val="12"/>
        <rFont val="ＭＳ 明朝"/>
        <family val="1"/>
        <charset val="128"/>
      </rPr>
      <t xml:space="preserve">(</t>
    </r>
    <r>
      <rPr>
        <sz val="12"/>
        <rFont val="WenQuanYi Zen Hei"/>
        <family val="2"/>
        <charset val="1"/>
      </rPr>
      <t xml:space="preserve">長期</t>
    </r>
    <r>
      <rPr>
        <sz val="12"/>
        <rFont val="ＭＳ 明朝"/>
        <family val="1"/>
        <charset val="128"/>
      </rPr>
      <t xml:space="preserve">)</t>
    </r>
  </si>
  <si>
    <r>
      <rPr>
        <sz val="12"/>
        <rFont val="WenQuanYi Zen Hei"/>
        <family val="2"/>
        <charset val="1"/>
      </rPr>
      <t xml:space="preserve">負担金合計
</t>
    </r>
    <r>
      <rPr>
        <sz val="12"/>
        <rFont val="ＭＳ 明朝"/>
        <family val="1"/>
        <charset val="128"/>
      </rPr>
      <t xml:space="preserve">(</t>
    </r>
    <r>
      <rPr>
        <sz val="12"/>
        <rFont val="WenQuanYi Zen Hei"/>
        <family val="2"/>
        <charset val="1"/>
      </rPr>
      <t xml:space="preserve">短期</t>
    </r>
    <r>
      <rPr>
        <sz val="12"/>
        <rFont val="ＭＳ 明朝"/>
        <family val="1"/>
        <charset val="128"/>
      </rPr>
      <t xml:space="preserve">)</t>
    </r>
  </si>
  <si>
    <r>
      <rPr>
        <sz val="12"/>
        <rFont val="WenQuanYi Zen Hei"/>
        <family val="2"/>
        <charset val="1"/>
      </rPr>
      <t xml:space="preserve">負担金合計
</t>
    </r>
    <r>
      <rPr>
        <sz val="12"/>
        <rFont val="ＭＳ 明朝"/>
        <family val="1"/>
        <charset val="128"/>
      </rPr>
      <t xml:space="preserve">(</t>
    </r>
    <r>
      <rPr>
        <sz val="12"/>
        <rFont val="WenQuanYi Zen Hei"/>
        <family val="2"/>
        <charset val="1"/>
      </rPr>
      <t xml:space="preserve">介護</t>
    </r>
    <r>
      <rPr>
        <sz val="12"/>
        <rFont val="ＭＳ 明朝"/>
        <family val="1"/>
        <charset val="128"/>
      </rPr>
      <t xml:space="preserve">)</t>
    </r>
  </si>
  <si>
    <r>
      <rPr>
        <sz val="12"/>
        <rFont val="WenQuanYi Zen Hei"/>
        <family val="2"/>
        <charset val="1"/>
      </rPr>
      <t xml:space="preserve">負担金
</t>
    </r>
    <r>
      <rPr>
        <sz val="12"/>
        <rFont val="ＭＳ 明朝"/>
        <family val="1"/>
        <charset val="128"/>
      </rPr>
      <t xml:space="preserve">(</t>
    </r>
    <r>
      <rPr>
        <sz val="12"/>
        <rFont val="WenQuanYi Zen Hei"/>
        <family val="2"/>
        <charset val="1"/>
      </rPr>
      <t xml:space="preserve">任継含む</t>
    </r>
    <r>
      <rPr>
        <sz val="12"/>
        <rFont val="ＭＳ 明朝"/>
        <family val="1"/>
        <charset val="128"/>
      </rPr>
      <t xml:space="preserve">)</t>
    </r>
  </si>
  <si>
    <t xml:space="preserve">短期合計</t>
  </si>
  <si>
    <r>
      <rPr>
        <sz val="12"/>
        <rFont val="WenQuanYi Zen Hei"/>
        <family val="2"/>
        <charset val="1"/>
      </rPr>
      <t xml:space="preserve">短期計欄
</t>
    </r>
    <r>
      <rPr>
        <sz val="10"/>
        <rFont val="WenQuanYi Zen Hei"/>
        <family val="2"/>
        <charset val="1"/>
      </rPr>
      <t xml:space="preserve">（チェック用）</t>
    </r>
  </si>
  <si>
    <r>
      <rPr>
        <sz val="12"/>
        <rFont val="WenQuanYi Zen Hei"/>
        <family val="2"/>
        <charset val="1"/>
      </rPr>
      <t xml:space="preserve">※チェック
　</t>
    </r>
    <r>
      <rPr>
        <sz val="12"/>
        <rFont val="Century"/>
        <family val="1"/>
        <charset val="1"/>
      </rPr>
      <t xml:space="preserve">(X=Y)</t>
    </r>
  </si>
  <si>
    <t xml:space="preserve">介護合計</t>
  </si>
  <si>
    <r>
      <rPr>
        <sz val="12"/>
        <rFont val="WenQuanYi Zen Hei"/>
        <family val="2"/>
        <charset val="1"/>
      </rPr>
      <t xml:space="preserve">介護計欄
</t>
    </r>
    <r>
      <rPr>
        <sz val="10"/>
        <rFont val="WenQuanYi Zen Hei"/>
        <family val="2"/>
        <charset val="1"/>
      </rPr>
      <t xml:space="preserve">（チェック用）</t>
    </r>
  </si>
  <si>
    <r>
      <rPr>
        <sz val="12"/>
        <rFont val="WenQuanYi Zen Hei"/>
        <family val="2"/>
        <charset val="1"/>
      </rPr>
      <t xml:space="preserve">※チェック
　</t>
    </r>
    <r>
      <rPr>
        <sz val="12"/>
        <rFont val="Century"/>
        <family val="1"/>
        <charset val="1"/>
      </rPr>
      <t xml:space="preserve">(AE=AF)</t>
    </r>
  </si>
  <si>
    <t xml:space="preserve">子子合計</t>
  </si>
  <si>
    <r>
      <rPr>
        <sz val="12"/>
        <rFont val="WenQuanYi Zen Hei"/>
        <family val="2"/>
        <charset val="1"/>
      </rPr>
      <t xml:space="preserve">子子計欄
</t>
    </r>
    <r>
      <rPr>
        <sz val="10"/>
        <rFont val="WenQuanYi Zen Hei"/>
        <family val="2"/>
        <charset val="1"/>
      </rPr>
      <t xml:space="preserve">（チェック用）</t>
    </r>
  </si>
  <si>
    <t xml:space="preserve">専従職員分短期公的負担金</t>
  </si>
  <si>
    <t xml:space="preserve">短期公的負担金率</t>
  </si>
  <si>
    <t xml:space="preserve">‰</t>
  </si>
  <si>
    <t xml:space="preserve">給与課負担分（市職労・自治労分）</t>
  </si>
  <si>
    <t xml:space="preserve">水道局負担分（水道労組分）</t>
  </si>
  <si>
    <t xml:space="preserve">公的負担額計
　　（円）</t>
  </si>
  <si>
    <t xml:space="preserve">標準報酬月額
標準期末手当等額</t>
  </si>
  <si>
    <t xml:space="preserve">公的負担額</t>
  </si>
  <si>
    <t xml:space="preserve">６賞</t>
  </si>
  <si>
    <t xml:space="preserve">１２賞</t>
  </si>
  <si>
    <t xml:space="preserve">:</t>
  </si>
  <si>
    <t xml:space="preserve">３賞</t>
  </si>
  <si>
    <r>
      <rPr>
        <sz val="9"/>
        <rFont val="WenQuanYi Zen Hei"/>
        <family val="2"/>
        <charset val="1"/>
      </rPr>
      <t xml:space="preserve">差額賞与
（</t>
    </r>
    <r>
      <rPr>
        <sz val="9"/>
        <rFont val="ＭＳ 明朝"/>
        <family val="1"/>
        <charset val="128"/>
      </rPr>
      <t xml:space="preserve">6</t>
    </r>
    <r>
      <rPr>
        <sz val="9"/>
        <rFont val="WenQuanYi Zen Hei"/>
        <family val="2"/>
        <charset val="1"/>
      </rPr>
      <t xml:space="preserve">月）</t>
    </r>
  </si>
  <si>
    <r>
      <rPr>
        <sz val="9"/>
        <rFont val="WenQuanYi Zen Hei"/>
        <family val="2"/>
        <charset val="1"/>
      </rPr>
      <t xml:space="preserve">差額賞与
（</t>
    </r>
    <r>
      <rPr>
        <sz val="9"/>
        <rFont val="ＭＳ 明朝"/>
        <family val="1"/>
        <charset val="128"/>
      </rPr>
      <t xml:space="preserve">12</t>
    </r>
    <r>
      <rPr>
        <sz val="9"/>
        <rFont val="WenQuanYi Zen Hei"/>
        <family val="2"/>
        <charset val="1"/>
      </rPr>
      <t xml:space="preserve">月）</t>
    </r>
  </si>
  <si>
    <t xml:space="preserve">※病院労組の職員については、一般独法の職員であるため、短期公的負担金は対象外</t>
  </si>
  <si>
    <r>
      <rPr>
        <sz val="9"/>
        <rFont val="WenQuanYi Zen Hei"/>
        <family val="2"/>
        <charset val="1"/>
      </rPr>
      <t xml:space="preserve">（法第</t>
    </r>
    <r>
      <rPr>
        <sz val="9"/>
        <rFont val="ＭＳ 明朝"/>
        <family val="1"/>
        <charset val="128"/>
      </rPr>
      <t xml:space="preserve">113-4-1</t>
    </r>
    <r>
      <rPr>
        <sz val="9"/>
        <rFont val="WenQuanYi Zen Hei"/>
        <family val="2"/>
        <charset val="1"/>
      </rPr>
      <t xml:space="preserve">、施行令第</t>
    </r>
    <r>
      <rPr>
        <sz val="9"/>
        <rFont val="ＭＳ 明朝"/>
        <family val="1"/>
        <charset val="128"/>
      </rPr>
      <t xml:space="preserve">29</t>
    </r>
    <r>
      <rPr>
        <sz val="9"/>
        <rFont val="WenQuanYi Zen Hei"/>
        <family val="2"/>
        <charset val="1"/>
      </rPr>
      <t xml:space="preserve">条）　職員引継一般地方独立行政法人の職員を算定に含まない</t>
    </r>
  </si>
  <si>
    <t xml:space="preserve">（別紙様式第１号の２）</t>
  </si>
  <si>
    <r>
      <rPr>
        <sz val="11"/>
        <rFont val="WenQuanYi Zen Hei"/>
        <family val="2"/>
        <charset val="1"/>
      </rPr>
      <t xml:space="preserve">（別紙様式第</t>
    </r>
    <r>
      <rPr>
        <sz val="11"/>
        <rFont val="ＭＳ 明朝"/>
        <family val="1"/>
        <charset val="128"/>
      </rPr>
      <t xml:space="preserve">2</t>
    </r>
    <r>
      <rPr>
        <sz val="11"/>
        <rFont val="WenQuanYi Zen Hei"/>
        <family val="2"/>
        <charset val="1"/>
      </rPr>
      <t xml:space="preserve">号）</t>
    </r>
  </si>
  <si>
    <t xml:space="preserve">育児休業等給付拠出金払込明細書</t>
  </si>
  <si>
    <t xml:space="preserve">特別財政調整事業拠出金払込明細書</t>
  </si>
  <si>
    <t xml:space="preserve">財政調整事業拠出金払込明細書</t>
  </si>
  <si>
    <t xml:space="preserve">災害給付積立金払込明細書</t>
  </si>
  <si>
    <t xml:space="preserve">保健給付等事業に係る組合分担金払込明細書</t>
  </si>
  <si>
    <t xml:space="preserve">組合名　　　　広島市職員共済組合</t>
  </si>
  <si>
    <t xml:space="preserve">　　　（単位：円）</t>
  </si>
  <si>
    <t xml:space="preserve">区　　　　　　分</t>
  </si>
  <si>
    <t xml:space="preserve">　　　　　拠　　　出　　　金　　　額　　</t>
  </si>
  <si>
    <t xml:space="preserve">拠 出 金 額 （拠出金率</t>
  </si>
  <si>
    <t xml:space="preserve">標準報酬等合計額総額</t>
  </si>
  <si>
    <t xml:space="preserve">区　　　分</t>
  </si>
  <si>
    <t xml:space="preserve">標準報酬等合計額</t>
  </si>
  <si>
    <r>
      <rPr>
        <sz val="14"/>
        <rFont val="WenQuanYi Zen Hei"/>
        <family val="2"/>
        <charset val="1"/>
      </rPr>
      <t xml:space="preserve">払 込 金 額 （払込金率</t>
    </r>
    <r>
      <rPr>
        <sz val="14"/>
        <rFont val="ＭＳ 明朝"/>
        <family val="1"/>
        <charset val="128"/>
      </rPr>
      <t xml:space="preserve">:</t>
    </r>
  </si>
  <si>
    <t xml:space="preserve">分担金額</t>
  </si>
  <si>
    <t xml:space="preserve">掛金・負担金分</t>
  </si>
  <si>
    <t xml:space="preserve">公的負担金分</t>
  </si>
  <si>
    <t xml:space="preserve">合　　　　計</t>
  </si>
  <si>
    <r>
      <rPr>
        <sz val="14"/>
        <rFont val="WenQuanYi Zen Hei"/>
        <family val="2"/>
        <charset val="1"/>
      </rPr>
      <t xml:space="preserve">（標準報酬等合計額総額</t>
    </r>
    <r>
      <rPr>
        <sz val="14"/>
        <rFont val="ＭＳ 明朝"/>
        <family val="1"/>
        <charset val="128"/>
      </rPr>
      <t xml:space="preserve">×</t>
    </r>
  </si>
  <si>
    <t xml:space="preserve">前回払込（概
算額）の修正</t>
  </si>
  <si>
    <t xml:space="preserve">前回３月分確定額　Ａ</t>
  </si>
  <si>
    <t xml:space="preserve">前回払込（見
込額）の修正</t>
  </si>
  <si>
    <t xml:space="preserve">４　　月</t>
  </si>
  <si>
    <t xml:space="preserve">前回３月分概算額　Ｂ</t>
  </si>
  <si>
    <t xml:space="preserve">前回３月分見込額　Ｂ</t>
  </si>
  <si>
    <t xml:space="preserve">小　　　計　（Ａ － Ｂ）</t>
  </si>
  <si>
    <t xml:space="preserve">小　　　　計　（Ａ － Ｂ）</t>
  </si>
  <si>
    <t xml:space="preserve">５　　月</t>
  </si>
  <si>
    <t xml:space="preserve">　　　　４</t>
  </si>
  <si>
    <t xml:space="preserve">　   月</t>
  </si>
  <si>
    <t xml:space="preserve">　　　　５</t>
  </si>
  <si>
    <t xml:space="preserve">　　 月</t>
  </si>
  <si>
    <t xml:space="preserve">６　　月</t>
  </si>
  <si>
    <t xml:space="preserve">　　　　６</t>
  </si>
  <si>
    <t xml:space="preserve">　　 月（概算額）</t>
  </si>
  <si>
    <t xml:space="preserve">　　 月（見込額）</t>
  </si>
  <si>
    <t xml:space="preserve">小　　　　　　計</t>
  </si>
  <si>
    <t xml:space="preserve">合　　　　　　計</t>
  </si>
  <si>
    <r>
      <rPr>
        <sz val="11"/>
        <rFont val="WenQuanYi Zen Hei"/>
        <family val="2"/>
        <charset val="1"/>
      </rPr>
      <t xml:space="preserve">（注）１　標準報酬等合計額総額（政令第</t>
    </r>
    <r>
      <rPr>
        <sz val="11"/>
        <rFont val="ＭＳ Ｐ明朝"/>
        <family val="1"/>
        <charset val="128"/>
      </rPr>
      <t xml:space="preserve">18</t>
    </r>
    <r>
      <rPr>
        <sz val="11"/>
        <rFont val="WenQuanYi Zen Hei"/>
        <family val="2"/>
        <charset val="1"/>
      </rPr>
      <t xml:space="preserve">条に規定する標準報酬等合計額の総額をいう。以下同じ。）</t>
    </r>
  </si>
  <si>
    <r>
      <rPr>
        <sz val="11"/>
        <rFont val="WenQuanYi Zen Hei"/>
        <family val="2"/>
        <charset val="1"/>
      </rPr>
      <t xml:space="preserve">（注）１　標準報酬等合計額総額（地方公務員等共済組合法施行令（昭和</t>
    </r>
    <r>
      <rPr>
        <sz val="11"/>
        <rFont val="ＭＳ Ｐ明朝"/>
        <family val="1"/>
        <charset val="128"/>
      </rPr>
      <t xml:space="preserve">37</t>
    </r>
    <r>
      <rPr>
        <sz val="11"/>
        <rFont val="WenQuanYi Zen Hei"/>
        <family val="2"/>
        <charset val="1"/>
      </rPr>
      <t xml:space="preserve">年政令第</t>
    </r>
    <r>
      <rPr>
        <sz val="11"/>
        <rFont val="ＭＳ Ｐ明朝"/>
        <family val="1"/>
        <charset val="128"/>
      </rPr>
      <t xml:space="preserve">352</t>
    </r>
    <r>
      <rPr>
        <sz val="11"/>
        <rFont val="WenQuanYi Zen Hei"/>
        <family val="2"/>
        <charset val="1"/>
      </rPr>
      <t xml:space="preserve">号）第</t>
    </r>
    <r>
      <rPr>
        <sz val="11"/>
        <rFont val="ＭＳ Ｐ明朝"/>
        <family val="1"/>
        <charset val="128"/>
      </rPr>
      <t xml:space="preserve">18</t>
    </r>
    <r>
      <rPr>
        <sz val="11"/>
        <rFont val="WenQuanYi Zen Hei"/>
        <family val="2"/>
        <charset val="1"/>
      </rPr>
      <t xml:space="preserve">条に規定する標準報酬等合計額の総額をいう。以下同じ。）</t>
    </r>
  </si>
  <si>
    <t xml:space="preserve">　　　　（１）　掛金・負担金分</t>
  </si>
  <si>
    <t xml:space="preserve">　　　　（１）　標準報酬等合計額総額に含めるものは次のとおりとする。</t>
  </si>
  <si>
    <t xml:space="preserve">　　　　　　①　任意継続組合員に係る標準報酬の月額を含むこと。</t>
  </si>
  <si>
    <t xml:space="preserve">　　　　　　①　船員組合員に係る標準報酬等合計額</t>
  </si>
  <si>
    <t xml:space="preserve">　　　　　　①　任意継続組合員に係る標準報酬の月額</t>
  </si>
  <si>
    <r>
      <rPr>
        <sz val="11"/>
        <rFont val="WenQuanYi Zen Hei"/>
        <family val="2"/>
        <charset val="1"/>
      </rPr>
      <t xml:space="preserve">　　　　　　②　法第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及び第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の</t>
    </r>
    <r>
      <rPr>
        <sz val="11"/>
        <rFont val="ＭＳ Ｐ明朝"/>
        <family val="1"/>
        <charset val="128"/>
      </rPr>
      <t xml:space="preserve">2</t>
    </r>
    <r>
      <rPr>
        <sz val="11"/>
        <rFont val="WenQuanYi Zen Hei"/>
        <family val="2"/>
        <charset val="1"/>
      </rPr>
      <t xml:space="preserve">の規定により掛金を徴収しないこととされている者に係る標準報酬の月額及び標準期末手当等の額を除くこと。</t>
    </r>
  </si>
  <si>
    <r>
      <rPr>
        <sz val="11"/>
        <rFont val="WenQuanYi Zen Hei"/>
        <family val="2"/>
        <charset val="1"/>
      </rPr>
      <t xml:space="preserve">　　　　　　②　法第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及び第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の</t>
    </r>
    <r>
      <rPr>
        <sz val="11"/>
        <rFont val="ＭＳ Ｐ明朝"/>
        <family val="1"/>
        <charset val="128"/>
      </rPr>
      <t xml:space="preserve">2</t>
    </r>
    <r>
      <rPr>
        <sz val="11"/>
        <rFont val="WenQuanYi Zen Hei"/>
        <family val="2"/>
        <charset val="1"/>
      </rPr>
      <t xml:space="preserve">の規定により掛金を徴収しないこととされている者に係る標準報酬の月額及び標準期末手当等の額</t>
    </r>
  </si>
  <si>
    <t xml:space="preserve">　　　　　　②　船員組合員に係る標準報酬等合計額</t>
  </si>
  <si>
    <t xml:space="preserve">　　　　（２）　公的負担金分</t>
  </si>
  <si>
    <t xml:space="preserve">　　　　（２）　標準報酬等合計額総額から除くものは次のとおりとする。</t>
  </si>
  <si>
    <t xml:space="preserve">　 　　　 　 　組合役職員に係る標準報酬等合計額及び任意継続組合員に係る標準報酬の月額を除くこと。　</t>
  </si>
  <si>
    <t xml:space="preserve">　　　   　　　任意継続組合員に係る標準報酬の月額</t>
  </si>
  <si>
    <r>
      <rPr>
        <sz val="11"/>
        <rFont val="WenQuanYi Zen Hei"/>
        <family val="2"/>
        <charset val="1"/>
      </rPr>
      <t xml:space="preserve">　　　　　　　 法第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及び第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の</t>
    </r>
    <r>
      <rPr>
        <sz val="11"/>
        <rFont val="ＭＳ Ｐ明朝"/>
        <family val="1"/>
        <charset val="128"/>
      </rPr>
      <t xml:space="preserve">2</t>
    </r>
    <r>
      <rPr>
        <sz val="11"/>
        <rFont val="WenQuanYi Zen Hei"/>
        <family val="2"/>
        <charset val="1"/>
      </rPr>
      <t xml:space="preserve">の規定により掛金を徴収しないこととされている者の当該標準報酬の月額及び標準期末手当等の額</t>
    </r>
  </si>
  <si>
    <r>
      <rPr>
        <sz val="11"/>
        <rFont val="WenQuanYi Zen Hei"/>
        <family val="2"/>
        <charset val="1"/>
      </rPr>
      <t xml:space="preserve">　　　　　　 　 　地方公務員等共済組合法（昭和</t>
    </r>
    <r>
      <rPr>
        <sz val="11"/>
        <rFont val="ＭＳ Ｐ明朝"/>
        <family val="1"/>
        <charset val="128"/>
      </rPr>
      <t xml:space="preserve">37</t>
    </r>
    <r>
      <rPr>
        <sz val="11"/>
        <rFont val="WenQuanYi Zen Hei"/>
        <family val="2"/>
        <charset val="1"/>
      </rPr>
      <t xml:space="preserve">年法律第</t>
    </r>
    <r>
      <rPr>
        <sz val="11"/>
        <rFont val="ＭＳ Ｐ明朝"/>
        <family val="1"/>
        <charset val="128"/>
      </rPr>
      <t xml:space="preserve">152</t>
    </r>
    <r>
      <rPr>
        <sz val="11"/>
        <rFont val="WenQuanYi Zen Hei"/>
        <family val="2"/>
        <charset val="1"/>
      </rPr>
      <t xml:space="preserve">号）第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及び第</t>
    </r>
    <r>
      <rPr>
        <sz val="11"/>
        <rFont val="ＭＳ Ｐ明朝"/>
        <family val="1"/>
        <charset val="128"/>
      </rPr>
      <t xml:space="preserve">114</t>
    </r>
    <r>
      <rPr>
        <sz val="11"/>
        <rFont val="WenQuanYi Zen Hei"/>
        <family val="2"/>
        <charset val="1"/>
      </rPr>
      <t xml:space="preserve">条の</t>
    </r>
    <r>
      <rPr>
        <sz val="11"/>
        <rFont val="ＭＳ Ｐ明朝"/>
        <family val="1"/>
        <charset val="128"/>
      </rPr>
      <t xml:space="preserve">2</t>
    </r>
    <r>
      <rPr>
        <sz val="11"/>
        <rFont val="WenQuanYi Zen Hei"/>
        <family val="2"/>
        <charset val="1"/>
      </rPr>
      <t xml:space="preserve">の</t>
    </r>
    <r>
      <rPr>
        <sz val="11"/>
        <rFont val="ＭＳ Ｐ明朝"/>
        <family val="1"/>
        <charset val="128"/>
      </rPr>
      <t xml:space="preserve">2</t>
    </r>
    <r>
      <rPr>
        <sz val="11"/>
        <rFont val="WenQuanYi Zen Hei"/>
        <family val="2"/>
        <charset val="1"/>
      </rPr>
      <t xml:space="preserve">の規定により掛金を徴収しないこととされている者の当該標準報酬の月額及び</t>
    </r>
  </si>
  <si>
    <t xml:space="preserve">　　　２　拠出金額に円未満の端数があるときは、これを切り捨てること。</t>
  </si>
  <si>
    <r>
      <rPr>
        <sz val="11"/>
        <rFont val="WenQuanYi Zen Hei"/>
        <family val="2"/>
        <charset val="1"/>
      </rPr>
      <t xml:space="preserve">　　　２　拠出金額は、標準報酬等合計額総額に拠出金率を乗じて得た額を記入すること。（</t>
    </r>
    <r>
      <rPr>
        <sz val="11"/>
        <rFont val="ＭＳ Ｐ明朝"/>
        <family val="1"/>
        <charset val="128"/>
      </rPr>
      <t xml:space="preserve">1</t>
    </r>
    <r>
      <rPr>
        <sz val="11"/>
        <rFont val="WenQuanYi Zen Hei"/>
        <family val="2"/>
        <charset val="1"/>
      </rPr>
      <t xml:space="preserve">円未満切捨て。）</t>
    </r>
  </si>
  <si>
    <r>
      <rPr>
        <sz val="11"/>
        <rFont val="WenQuanYi Zen Hei"/>
        <family val="2"/>
        <charset val="1"/>
      </rPr>
      <t xml:space="preserve">　　　２　払込金額は、標準報酬等合計額総額に払込金率を乗じて得た額を記入すること。（</t>
    </r>
    <r>
      <rPr>
        <sz val="11"/>
        <rFont val="ＭＳ Ｐ明朝"/>
        <family val="1"/>
        <charset val="128"/>
      </rPr>
      <t xml:space="preserve">1</t>
    </r>
    <r>
      <rPr>
        <sz val="11"/>
        <rFont val="WenQuanYi Zen Hei"/>
        <family val="2"/>
        <charset val="1"/>
      </rPr>
      <t xml:space="preserve">円未満切捨て。）</t>
    </r>
  </si>
  <si>
    <t xml:space="preserve">　　　　　　 　標準期末手当等の額</t>
  </si>
  <si>
    <r>
      <rPr>
        <sz val="11"/>
        <rFont val="WenQuanYi Zen Hei"/>
        <family val="2"/>
        <charset val="1"/>
      </rPr>
      <t xml:space="preserve">を乗じて得た額を記入すること。（</t>
    </r>
    <r>
      <rPr>
        <sz val="11"/>
        <rFont val="ＭＳ Ｐ明朝"/>
        <family val="1"/>
        <charset val="128"/>
      </rPr>
      <t xml:space="preserve">1</t>
    </r>
    <r>
      <rPr>
        <sz val="11"/>
        <rFont val="WenQuanYi Zen Hei"/>
        <family val="2"/>
        <charset val="1"/>
      </rPr>
      <t xml:space="preserve">円未満切捨て。）</t>
    </r>
  </si>
  <si>
    <t xml:space="preserve">遡及差額払込明細書</t>
  </si>
  <si>
    <t xml:space="preserve">遡  及  差  額  払  込  明  細  書</t>
  </si>
  <si>
    <t xml:space="preserve">遡及差額等払込明細書</t>
  </si>
  <si>
    <t xml:space="preserve">２　令和　　　年度払込分</t>
  </si>
  <si>
    <t xml:space="preserve">拠　　出　　金　　差　　額　　（率：‰）</t>
  </si>
  <si>
    <t xml:space="preserve">拠出金額</t>
  </si>
  <si>
    <t xml:space="preserve">拠　　　出　　　金　　　額　　</t>
  </si>
  <si>
    <t xml:space="preserve">払　　込　　金　　額</t>
  </si>
  <si>
    <t xml:space="preserve">分　　　担　　　金　　　額　　</t>
  </si>
  <si>
    <t xml:space="preserve">変　更　後</t>
  </si>
  <si>
    <t xml:space="preserve">変　更　前</t>
  </si>
  <si>
    <t xml:space="preserve">差　　　額</t>
  </si>
  <si>
    <t xml:space="preserve">変　　更　　後</t>
  </si>
  <si>
    <t xml:space="preserve">変　　更　　前</t>
  </si>
  <si>
    <t xml:space="preserve">差　　　　額</t>
  </si>
  <si>
    <t xml:space="preserve">変更後</t>
  </si>
  <si>
    <t xml:space="preserve">変更前</t>
  </si>
  <si>
    <t xml:space="preserve">差額</t>
  </si>
  <si>
    <r>
      <rPr>
        <sz val="14"/>
        <rFont val="ＭＳ 明朝"/>
        <family val="1"/>
        <charset val="128"/>
      </rPr>
      <t xml:space="preserve">4</t>
    </r>
    <r>
      <rPr>
        <sz val="14"/>
        <rFont val="WenQuanYi Zen Hei"/>
        <family val="2"/>
        <charset val="1"/>
      </rPr>
      <t xml:space="preserve">月　～　</t>
    </r>
    <r>
      <rPr>
        <sz val="14"/>
        <rFont val="ＭＳ 明朝"/>
        <family val="1"/>
        <charset val="128"/>
      </rPr>
      <t xml:space="preserve">6</t>
    </r>
    <r>
      <rPr>
        <sz val="14"/>
        <rFont val="WenQuanYi Zen Hei"/>
        <family val="2"/>
        <charset val="1"/>
      </rPr>
      <t xml:space="preserve">月</t>
    </r>
  </si>
  <si>
    <r>
      <rPr>
        <sz val="14"/>
        <rFont val="ＭＳ 明朝"/>
        <family val="1"/>
        <charset val="128"/>
      </rPr>
      <t xml:space="preserve"> 4</t>
    </r>
    <r>
      <rPr>
        <sz val="14"/>
        <rFont val="WenQuanYi Zen Hei"/>
        <family val="2"/>
        <charset val="1"/>
      </rPr>
      <t xml:space="preserve">月払込分　（</t>
    </r>
    <r>
      <rPr>
        <sz val="14"/>
        <rFont val="ＭＳ 明朝"/>
        <family val="1"/>
        <charset val="128"/>
      </rPr>
      <t xml:space="preserve">1</t>
    </r>
    <r>
      <rPr>
        <sz val="14"/>
        <rFont val="WenQuanYi Zen Hei"/>
        <family val="2"/>
        <charset val="1"/>
      </rPr>
      <t xml:space="preserve">月～</t>
    </r>
    <r>
      <rPr>
        <sz val="14"/>
        <rFont val="ＭＳ 明朝"/>
        <family val="1"/>
        <charset val="128"/>
      </rPr>
      <t xml:space="preserve">3</t>
    </r>
    <r>
      <rPr>
        <sz val="14"/>
        <rFont val="WenQuanYi Zen Hei"/>
        <family val="2"/>
        <charset val="1"/>
      </rPr>
      <t xml:space="preserve">月）</t>
    </r>
  </si>
  <si>
    <r>
      <rPr>
        <sz val="14"/>
        <rFont val="ＭＳ 明朝"/>
        <family val="1"/>
        <charset val="128"/>
      </rPr>
      <t xml:space="preserve">7</t>
    </r>
    <r>
      <rPr>
        <sz val="14"/>
        <rFont val="WenQuanYi Zen Hei"/>
        <family val="2"/>
        <charset val="1"/>
      </rPr>
      <t xml:space="preserve">月　～　</t>
    </r>
    <r>
      <rPr>
        <sz val="14"/>
        <rFont val="ＭＳ 明朝"/>
        <family val="1"/>
        <charset val="128"/>
      </rPr>
      <t xml:space="preserve">9</t>
    </r>
    <r>
      <rPr>
        <sz val="14"/>
        <rFont val="WenQuanYi Zen Hei"/>
        <family val="2"/>
        <charset val="1"/>
      </rPr>
      <t xml:space="preserve">月</t>
    </r>
  </si>
  <si>
    <r>
      <rPr>
        <sz val="14"/>
        <rFont val="ＭＳ 明朝"/>
        <family val="1"/>
        <charset val="128"/>
      </rPr>
      <t xml:space="preserve"> 7</t>
    </r>
    <r>
      <rPr>
        <sz val="14"/>
        <rFont val="WenQuanYi Zen Hei"/>
        <family val="2"/>
        <charset val="1"/>
      </rPr>
      <t xml:space="preserve">月払込分　（</t>
    </r>
    <r>
      <rPr>
        <sz val="14"/>
        <rFont val="ＭＳ 明朝"/>
        <family val="1"/>
        <charset val="128"/>
      </rPr>
      <t xml:space="preserve">4</t>
    </r>
    <r>
      <rPr>
        <sz val="14"/>
        <rFont val="WenQuanYi Zen Hei"/>
        <family val="2"/>
        <charset val="1"/>
      </rPr>
      <t xml:space="preserve">月～</t>
    </r>
    <r>
      <rPr>
        <sz val="14"/>
        <rFont val="ＭＳ 明朝"/>
        <family val="1"/>
        <charset val="128"/>
      </rPr>
      <t xml:space="preserve">6</t>
    </r>
    <r>
      <rPr>
        <sz val="14"/>
        <rFont val="WenQuanYi Zen Hei"/>
        <family val="2"/>
        <charset val="1"/>
      </rPr>
      <t xml:space="preserve">月）</t>
    </r>
  </si>
  <si>
    <r>
      <rPr>
        <sz val="14"/>
        <rFont val="ＭＳ 明朝"/>
        <family val="1"/>
        <charset val="128"/>
      </rPr>
      <t xml:space="preserve">10</t>
    </r>
    <r>
      <rPr>
        <sz val="14"/>
        <rFont val="WenQuanYi Zen Hei"/>
        <family val="2"/>
        <charset val="1"/>
      </rPr>
      <t xml:space="preserve">月　～　</t>
    </r>
    <r>
      <rPr>
        <sz val="14"/>
        <rFont val="ＭＳ 明朝"/>
        <family val="1"/>
        <charset val="128"/>
      </rPr>
      <t xml:space="preserve">12</t>
    </r>
    <r>
      <rPr>
        <sz val="14"/>
        <rFont val="WenQuanYi Zen Hei"/>
        <family val="2"/>
        <charset val="1"/>
      </rPr>
      <t xml:space="preserve">月</t>
    </r>
  </si>
  <si>
    <r>
      <rPr>
        <sz val="14"/>
        <rFont val="ＭＳ 明朝"/>
        <family val="1"/>
        <charset val="128"/>
      </rPr>
      <t xml:space="preserve">10</t>
    </r>
    <r>
      <rPr>
        <sz val="14"/>
        <rFont val="WenQuanYi Zen Hei"/>
        <family val="2"/>
        <charset val="1"/>
      </rPr>
      <t xml:space="preserve">月払込分　（</t>
    </r>
    <r>
      <rPr>
        <sz val="14"/>
        <rFont val="ＭＳ 明朝"/>
        <family val="1"/>
        <charset val="128"/>
      </rPr>
      <t xml:space="preserve">7</t>
    </r>
    <r>
      <rPr>
        <sz val="14"/>
        <rFont val="WenQuanYi Zen Hei"/>
        <family val="2"/>
        <charset val="1"/>
      </rPr>
      <t xml:space="preserve">月～</t>
    </r>
    <r>
      <rPr>
        <sz val="14"/>
        <rFont val="ＭＳ 明朝"/>
        <family val="1"/>
        <charset val="128"/>
      </rPr>
      <t xml:space="preserve">9</t>
    </r>
    <r>
      <rPr>
        <sz val="14"/>
        <rFont val="WenQuanYi Zen Hei"/>
        <family val="2"/>
        <charset val="1"/>
      </rPr>
      <t xml:space="preserve">月）</t>
    </r>
  </si>
  <si>
    <r>
      <rPr>
        <sz val="14"/>
        <rFont val="ＭＳ 明朝"/>
        <family val="1"/>
        <charset val="128"/>
      </rPr>
      <t xml:space="preserve">1</t>
    </r>
    <r>
      <rPr>
        <sz val="14"/>
        <rFont val="WenQuanYi Zen Hei"/>
        <family val="2"/>
        <charset val="1"/>
      </rPr>
      <t xml:space="preserve">月　～　</t>
    </r>
    <r>
      <rPr>
        <sz val="14"/>
        <rFont val="ＭＳ 明朝"/>
        <family val="1"/>
        <charset val="128"/>
      </rPr>
      <t xml:space="preserve">3</t>
    </r>
    <r>
      <rPr>
        <sz val="14"/>
        <rFont val="WenQuanYi Zen Hei"/>
        <family val="2"/>
        <charset val="1"/>
      </rPr>
      <t xml:space="preserve">月</t>
    </r>
  </si>
  <si>
    <r>
      <rPr>
        <sz val="14"/>
        <rFont val="ＭＳ 明朝"/>
        <family val="1"/>
        <charset val="128"/>
      </rPr>
      <t xml:space="preserve">   1</t>
    </r>
    <r>
      <rPr>
        <sz val="14"/>
        <rFont val="WenQuanYi Zen Hei"/>
        <family val="2"/>
        <charset val="1"/>
      </rPr>
      <t xml:space="preserve">月払込分　（</t>
    </r>
    <r>
      <rPr>
        <sz val="14"/>
        <rFont val="ＭＳ 明朝"/>
        <family val="1"/>
        <charset val="128"/>
      </rPr>
      <t xml:space="preserve">10</t>
    </r>
    <r>
      <rPr>
        <sz val="14"/>
        <rFont val="WenQuanYi Zen Hei"/>
        <family val="2"/>
        <charset val="1"/>
      </rPr>
      <t xml:space="preserve">月～</t>
    </r>
    <r>
      <rPr>
        <sz val="14"/>
        <rFont val="ＭＳ 明朝"/>
        <family val="1"/>
        <charset val="128"/>
      </rPr>
      <t xml:space="preserve">12</t>
    </r>
    <r>
      <rPr>
        <sz val="14"/>
        <rFont val="WenQuanYi Zen Hei"/>
        <family val="2"/>
        <charset val="1"/>
      </rPr>
      <t xml:space="preserve">月）</t>
    </r>
  </si>
  <si>
    <t xml:space="preserve">合　　　計</t>
  </si>
  <si>
    <t xml:space="preserve">１　令和８年度　９月払込分</t>
  </si>
  <si>
    <t xml:space="preserve">前回６月分確定額　Ａ</t>
  </si>
  <si>
    <t xml:space="preserve">７　　月</t>
  </si>
  <si>
    <t xml:space="preserve">前回６月分概算額　Ｂ</t>
  </si>
  <si>
    <t xml:space="preserve">前回６月分見込額　Ｂ</t>
  </si>
  <si>
    <t xml:space="preserve">８　　月</t>
  </si>
  <si>
    <t xml:space="preserve">　　　　７</t>
  </si>
  <si>
    <t xml:space="preserve">　　　　８</t>
  </si>
  <si>
    <t xml:space="preserve">９　　月</t>
  </si>
  <si>
    <t xml:space="preserve">　　　　９</t>
  </si>
  <si>
    <t xml:space="preserve">前回９月分確定額　Ａ</t>
  </si>
  <si>
    <t xml:space="preserve">１０　　月</t>
  </si>
  <si>
    <t xml:space="preserve">前回９月分概算額　Ｂ</t>
  </si>
  <si>
    <t xml:space="preserve">前回９月分見込額　Ｂ</t>
  </si>
  <si>
    <t xml:space="preserve">１１　　月</t>
  </si>
  <si>
    <t xml:space="preserve">　　　　１０</t>
  </si>
  <si>
    <t xml:space="preserve">　　　　１１</t>
  </si>
  <si>
    <t xml:space="preserve">１２　　月</t>
  </si>
  <si>
    <t xml:space="preserve">　　　　１２</t>
  </si>
  <si>
    <r>
      <rPr>
        <sz val="12"/>
        <rFont val="WenQuanYi Zen Hei"/>
        <family val="2"/>
        <charset val="1"/>
      </rPr>
      <t xml:space="preserve">前回</t>
    </r>
    <r>
      <rPr>
        <sz val="12"/>
        <rFont val="ＭＳ 明朝"/>
        <family val="1"/>
        <charset val="128"/>
      </rPr>
      <t xml:space="preserve">12</t>
    </r>
    <r>
      <rPr>
        <sz val="12"/>
        <rFont val="WenQuanYi Zen Hei"/>
        <family val="2"/>
        <charset val="1"/>
      </rPr>
      <t xml:space="preserve">月分確定額　Ａ</t>
    </r>
  </si>
  <si>
    <r>
      <rPr>
        <sz val="13"/>
        <rFont val="WenQuanYi Zen Hei"/>
        <family val="2"/>
        <charset val="1"/>
      </rPr>
      <t xml:space="preserve">前回</t>
    </r>
    <r>
      <rPr>
        <sz val="13"/>
        <rFont val="ＭＳ 明朝"/>
        <family val="1"/>
        <charset val="128"/>
      </rPr>
      <t xml:space="preserve">12</t>
    </r>
    <r>
      <rPr>
        <sz val="13"/>
        <rFont val="WenQuanYi Zen Hei"/>
        <family val="2"/>
        <charset val="1"/>
      </rPr>
      <t xml:space="preserve">月分確定額　Ａ</t>
    </r>
  </si>
  <si>
    <t xml:space="preserve">１　　月</t>
  </si>
  <si>
    <r>
      <rPr>
        <sz val="12"/>
        <rFont val="WenQuanYi Zen Hei"/>
        <family val="2"/>
        <charset val="1"/>
      </rPr>
      <t xml:space="preserve">前回</t>
    </r>
    <r>
      <rPr>
        <sz val="12"/>
        <rFont val="ＭＳ 明朝"/>
        <family val="1"/>
        <charset val="128"/>
      </rPr>
      <t xml:space="preserve">12</t>
    </r>
    <r>
      <rPr>
        <sz val="12"/>
        <rFont val="WenQuanYi Zen Hei"/>
        <family val="2"/>
        <charset val="1"/>
      </rPr>
      <t xml:space="preserve">月分概算額　Ｂ</t>
    </r>
  </si>
  <si>
    <r>
      <rPr>
        <sz val="13"/>
        <rFont val="WenQuanYi Zen Hei"/>
        <family val="2"/>
        <charset val="1"/>
      </rPr>
      <t xml:space="preserve">前回</t>
    </r>
    <r>
      <rPr>
        <sz val="13"/>
        <rFont val="ＭＳ 明朝"/>
        <family val="1"/>
        <charset val="128"/>
      </rPr>
      <t xml:space="preserve">12</t>
    </r>
    <r>
      <rPr>
        <sz val="13"/>
        <rFont val="WenQuanYi Zen Hei"/>
        <family val="2"/>
        <charset val="1"/>
      </rPr>
      <t xml:space="preserve">月分見込額　Ｂ</t>
    </r>
  </si>
  <si>
    <t xml:space="preserve">２　　月</t>
  </si>
  <si>
    <t xml:space="preserve">　　　　１</t>
  </si>
  <si>
    <t xml:space="preserve">　　　　２</t>
  </si>
  <si>
    <t xml:space="preserve">３　　月</t>
  </si>
  <si>
    <t xml:space="preserve">　　　　３</t>
  </si>
  <si>
    <t xml:space="preserve">　　　　　拠　　　出　　　金　　　差　　　額　　</t>
  </si>
  <si>
    <t xml:space="preserve">育児介護拠出金　支払実績</t>
  </si>
  <si>
    <t xml:space="preserve">特別財政調整拠出金　支払実績</t>
  </si>
  <si>
    <t xml:space="preserve">財政調整拠出金　支払実績</t>
  </si>
  <si>
    <t xml:space="preserve">災害積立金払込金　支払実績</t>
  </si>
  <si>
    <t xml:space="preserve">保健事業分担金　支払実績</t>
  </si>
  <si>
    <t xml:space="preserve">支払月</t>
  </si>
  <si>
    <t xml:space="preserve">支払額</t>
  </si>
  <si>
    <t xml:space="preserve">月例分</t>
  </si>
  <si>
    <r>
      <rPr>
        <sz val="11"/>
        <rFont val="WenQuanYi Zen Hei"/>
        <family val="2"/>
        <charset val="1"/>
      </rPr>
      <t xml:space="preserve">拠出金率</t>
    </r>
    <r>
      <rPr>
        <sz val="10"/>
        <rFont val="WenQuanYi Zen Hei"/>
        <family val="2"/>
        <charset val="1"/>
      </rPr>
      <t xml:space="preserve">（‰）</t>
    </r>
  </si>
  <si>
    <t xml:space="preserve">育児介護
掛金負担金</t>
  </si>
  <si>
    <t xml:space="preserve">育児介護
公的負担金</t>
  </si>
  <si>
    <t xml:space="preserve">特別財政調整</t>
  </si>
  <si>
    <t xml:space="preserve">財政調整</t>
  </si>
  <si>
    <t xml:space="preserve">災害給付積立</t>
  </si>
  <si>
    <t xml:space="preserve">保健事業分担</t>
  </si>
  <si>
    <r>
      <rPr>
        <b val="true"/>
        <u val="single"/>
        <sz val="9"/>
        <rFont val="ＭＳ 明朝"/>
        <family val="1"/>
        <charset val="128"/>
      </rPr>
      <t xml:space="preserve">R8</t>
    </r>
    <r>
      <rPr>
        <b val="true"/>
        <u val="single"/>
        <sz val="9"/>
        <rFont val="WenQuanYi Zen Hei"/>
        <family val="2"/>
        <charset val="1"/>
      </rPr>
      <t xml:space="preserve">掛率改定</t>
    </r>
  </si>
  <si>
    <r>
      <rPr>
        <sz val="9"/>
        <rFont val="WenQuanYi Zen Hei"/>
        <family val="2"/>
        <charset val="1"/>
      </rPr>
      <t xml:space="preserve">据置</t>
    </r>
    <r>
      <rPr>
        <sz val="9"/>
        <rFont val="ＭＳ 明朝"/>
        <family val="1"/>
        <charset val="128"/>
      </rPr>
      <t xml:space="preserve">(R7</t>
    </r>
    <r>
      <rPr>
        <sz val="9"/>
        <rFont val="WenQuanYi Zen Hei"/>
        <family val="2"/>
        <charset val="1"/>
      </rPr>
      <t xml:space="preserve">と同率</t>
    </r>
    <r>
      <rPr>
        <sz val="9"/>
        <rFont val="ＭＳ 明朝"/>
        <family val="1"/>
        <charset val="128"/>
      </rPr>
      <t xml:space="preserve">)</t>
    </r>
  </si>
  <si>
    <t xml:space="preserve">短期掛金（任継・免除者等還付後、未納者等入金後）</t>
  </si>
  <si>
    <t xml:space="preserve">保健経理への振替分</t>
  </si>
  <si>
    <t xml:space="preserve">収入額</t>
  </si>
  <si>
    <t xml:space="preserve">当組合短期分</t>
  </si>
  <si>
    <t xml:space="preserve">育児介護拠出金</t>
  </si>
  <si>
    <t xml:space="preserve">特別財政調整拠出金</t>
  </si>
  <si>
    <t xml:space="preserve">財政調整拠出金</t>
  </si>
  <si>
    <t xml:space="preserve">災害積立払込金</t>
  </si>
  <si>
    <t xml:space="preserve">保健事業分担金</t>
  </si>
  <si>
    <t xml:space="preserve">当組合保健分</t>
  </si>
  <si>
    <r>
      <rPr>
        <sz val="11"/>
        <rFont val="WenQuanYi Zen Hei"/>
        <family val="2"/>
        <charset val="1"/>
      </rPr>
      <t xml:space="preserve">保健分担金</t>
    </r>
    <r>
      <rPr>
        <sz val="11"/>
        <rFont val="ＭＳ 明朝"/>
        <family val="1"/>
        <charset val="128"/>
      </rPr>
      <t xml:space="preserve">+
</t>
    </r>
    <r>
      <rPr>
        <sz val="11"/>
        <rFont val="WenQuanYi Zen Hei"/>
        <family val="2"/>
        <charset val="1"/>
      </rPr>
      <t xml:space="preserve">当組合保健</t>
    </r>
  </si>
  <si>
    <t xml:space="preserve">特別職・一般職
・短期</t>
  </si>
  <si>
    <t xml:space="preserve">（率：‰）</t>
  </si>
  <si>
    <t xml:space="preserve">→</t>
  </si>
  <si>
    <r>
      <rPr>
        <sz val="11"/>
        <rFont val="WenQuanYi Zen Hei"/>
        <family val="2"/>
        <charset val="1"/>
      </rPr>
      <t xml:space="preserve">任意継続組合員
</t>
    </r>
    <r>
      <rPr>
        <sz val="8"/>
        <rFont val="WenQuanYi Zen Hei"/>
        <family val="2"/>
        <charset val="1"/>
      </rPr>
      <t xml:space="preserve">（収入－還付）</t>
    </r>
  </si>
  <si>
    <t xml:space="preserve">（ア）</t>
  </si>
  <si>
    <t xml:space="preserve">（イ）</t>
  </si>
  <si>
    <t xml:space="preserve">（ウ）</t>
  </si>
  <si>
    <t xml:space="preserve">（エ）</t>
  </si>
  <si>
    <t xml:space="preserve">（オ）</t>
  </si>
  <si>
    <t xml:space="preserve">（カ）</t>
  </si>
  <si>
    <t xml:space="preserve">（キ）</t>
  </si>
  <si>
    <t xml:space="preserve">公的負担金
（掛金免除者含む）</t>
  </si>
  <si>
    <t xml:space="preserve">特別財政調整拠出金
（掛金免除者含む）</t>
  </si>
  <si>
    <r>
      <rPr>
        <sz val="9"/>
        <rFont val="WenQuanYi Zen Hei"/>
        <family val="2"/>
        <charset val="1"/>
      </rPr>
      <t xml:space="preserve">特別職・一般職・短期
</t>
    </r>
    <r>
      <rPr>
        <sz val="8"/>
        <rFont val="WenQuanYi Zen Hei"/>
        <family val="2"/>
        <charset val="1"/>
      </rPr>
      <t xml:space="preserve">（病院・共済以外）</t>
    </r>
  </si>
  <si>
    <t xml:space="preserve">病院機構職員
共済組合職員</t>
  </si>
  <si>
    <t xml:space="preserve">（公的負担対象者分）</t>
  </si>
  <si>
    <t xml:space="preserve">職員団体専従</t>
  </si>
  <si>
    <t xml:space="preserve">（任命権者負担分）</t>
  </si>
  <si>
    <t xml:space="preserve">掛・負最終総収入</t>
  </si>
  <si>
    <r>
      <rPr>
        <sz val="11"/>
        <rFont val="WenQuanYi Zen Hei"/>
        <family val="2"/>
        <charset val="1"/>
      </rPr>
      <t xml:space="preserve">当組合短期分（</t>
    </r>
    <r>
      <rPr>
        <sz val="11"/>
        <rFont val="ＭＳ ゴシック"/>
        <family val="3"/>
        <charset val="128"/>
      </rPr>
      <t xml:space="preserve">(</t>
    </r>
    <r>
      <rPr>
        <sz val="11"/>
        <rFont val="WenQuanYi Zen Hei"/>
        <family val="2"/>
        <charset val="1"/>
      </rPr>
      <t xml:space="preserve">ｱ</t>
    </r>
    <r>
      <rPr>
        <sz val="11"/>
        <rFont val="ＭＳ ゴシック"/>
        <family val="3"/>
        <charset val="128"/>
      </rPr>
      <t xml:space="preserve">)</t>
    </r>
    <r>
      <rPr>
        <sz val="11"/>
        <rFont val="WenQuanYi Zen Hei"/>
        <family val="2"/>
        <charset val="1"/>
      </rPr>
      <t xml:space="preserve">の合計）</t>
    </r>
  </si>
  <si>
    <r>
      <rPr>
        <sz val="11"/>
        <rFont val="WenQuanYi Zen Hei"/>
        <family val="2"/>
        <charset val="1"/>
      </rPr>
      <t xml:space="preserve">財政調整拠出金（</t>
    </r>
    <r>
      <rPr>
        <sz val="11"/>
        <rFont val="ＭＳ ゴシック"/>
        <family val="3"/>
        <charset val="128"/>
      </rPr>
      <t xml:space="preserve">(</t>
    </r>
    <r>
      <rPr>
        <sz val="11"/>
        <rFont val="WenQuanYi Zen Hei"/>
        <family val="2"/>
        <charset val="1"/>
      </rPr>
      <t xml:space="preserve">ｴ</t>
    </r>
    <r>
      <rPr>
        <sz val="11"/>
        <rFont val="ＭＳ ゴシック"/>
        <family val="3"/>
        <charset val="128"/>
      </rPr>
      <t xml:space="preserve">)</t>
    </r>
    <r>
      <rPr>
        <sz val="11"/>
        <rFont val="WenQuanYi Zen Hei"/>
        <family val="2"/>
        <charset val="1"/>
      </rPr>
      <t xml:space="preserve">の合計）</t>
    </r>
  </si>
  <si>
    <t xml:space="preserve">（参考）</t>
  </si>
  <si>
    <r>
      <rPr>
        <sz val="11"/>
        <rFont val="WenQuanYi Zen Hei"/>
        <family val="2"/>
        <charset val="1"/>
      </rPr>
      <t xml:space="preserve">育児介護拠出金（</t>
    </r>
    <r>
      <rPr>
        <sz val="11"/>
        <rFont val="ＭＳ ゴシック"/>
        <family val="3"/>
        <charset val="128"/>
      </rPr>
      <t xml:space="preserve">(</t>
    </r>
    <r>
      <rPr>
        <sz val="11"/>
        <rFont val="WenQuanYi Zen Hei"/>
        <family val="2"/>
        <charset val="1"/>
      </rPr>
      <t xml:space="preserve">ｲ</t>
    </r>
    <r>
      <rPr>
        <sz val="11"/>
        <rFont val="ＭＳ ゴシック"/>
        <family val="3"/>
        <charset val="128"/>
      </rPr>
      <t xml:space="preserve">)</t>
    </r>
    <r>
      <rPr>
        <sz val="11"/>
        <rFont val="WenQuanYi Zen Hei"/>
        <family val="2"/>
        <charset val="1"/>
      </rPr>
      <t xml:space="preserve">の合計）</t>
    </r>
  </si>
  <si>
    <r>
      <rPr>
        <sz val="11"/>
        <rFont val="WenQuanYi Zen Hei"/>
        <family val="2"/>
        <charset val="1"/>
      </rPr>
      <t xml:space="preserve">災害積立払込金（</t>
    </r>
    <r>
      <rPr>
        <sz val="11"/>
        <rFont val="ＭＳ ゴシック"/>
        <family val="3"/>
        <charset val="128"/>
      </rPr>
      <t xml:space="preserve">(</t>
    </r>
    <r>
      <rPr>
        <sz val="11"/>
        <rFont val="WenQuanYi Zen Hei"/>
        <family val="2"/>
        <charset val="1"/>
      </rPr>
      <t xml:space="preserve">ｵ</t>
    </r>
    <r>
      <rPr>
        <sz val="11"/>
        <rFont val="ＭＳ ゴシック"/>
        <family val="3"/>
        <charset val="128"/>
      </rPr>
      <t xml:space="preserve">)</t>
    </r>
    <r>
      <rPr>
        <sz val="11"/>
        <rFont val="WenQuanYi Zen Hei"/>
        <family val="2"/>
        <charset val="1"/>
      </rPr>
      <t xml:space="preserve">の合計）</t>
    </r>
  </si>
  <si>
    <t xml:space="preserve">病院機構のうち公的負担算定対象者の標準報酬等合計額</t>
  </si>
  <si>
    <r>
      <rPr>
        <sz val="11"/>
        <rFont val="WenQuanYi Zen Hei"/>
        <family val="2"/>
        <charset val="1"/>
      </rPr>
      <t xml:space="preserve">特別財政調整拠出金（</t>
    </r>
    <r>
      <rPr>
        <sz val="11"/>
        <rFont val="ＭＳ ゴシック"/>
        <family val="3"/>
        <charset val="128"/>
      </rPr>
      <t xml:space="preserve">(</t>
    </r>
    <r>
      <rPr>
        <sz val="11"/>
        <rFont val="WenQuanYi Zen Hei"/>
        <family val="2"/>
        <charset val="1"/>
      </rPr>
      <t xml:space="preserve">ｳ</t>
    </r>
    <r>
      <rPr>
        <sz val="11"/>
        <rFont val="ＭＳ ゴシック"/>
        <family val="3"/>
        <charset val="128"/>
      </rPr>
      <t xml:space="preserve">)</t>
    </r>
    <r>
      <rPr>
        <sz val="11"/>
        <rFont val="WenQuanYi Zen Hei"/>
        <family val="2"/>
        <charset val="1"/>
      </rPr>
      <t xml:space="preserve">の合計）</t>
    </r>
  </si>
  <si>
    <r>
      <rPr>
        <sz val="11"/>
        <rFont val="WenQuanYi Zen Hei"/>
        <family val="2"/>
        <charset val="1"/>
      </rPr>
      <t xml:space="preserve">保健事業分担金（</t>
    </r>
    <r>
      <rPr>
        <sz val="11"/>
        <rFont val="ＭＳ ゴシック"/>
        <family val="3"/>
        <charset val="128"/>
      </rPr>
      <t xml:space="preserve">(</t>
    </r>
    <r>
      <rPr>
        <sz val="11"/>
        <rFont val="WenQuanYi Zen Hei"/>
        <family val="2"/>
        <charset val="1"/>
      </rPr>
      <t xml:space="preserve">ｶ</t>
    </r>
    <r>
      <rPr>
        <sz val="11"/>
        <rFont val="ＭＳ ゴシック"/>
        <family val="3"/>
        <charset val="128"/>
      </rPr>
      <t xml:space="preserve">)</t>
    </r>
    <r>
      <rPr>
        <sz val="11"/>
        <rFont val="WenQuanYi Zen Hei"/>
        <family val="2"/>
        <charset val="1"/>
      </rPr>
      <t xml:space="preserve">の合計）</t>
    </r>
  </si>
  <si>
    <r>
      <rPr>
        <sz val="11"/>
        <rFont val="WenQuanYi Zen Hei"/>
        <family val="2"/>
        <charset val="1"/>
      </rPr>
      <t xml:space="preserve">当組合保健分（</t>
    </r>
    <r>
      <rPr>
        <sz val="11"/>
        <rFont val="ＭＳ ゴシック"/>
        <family val="3"/>
        <charset val="128"/>
      </rPr>
      <t xml:space="preserve">(</t>
    </r>
    <r>
      <rPr>
        <sz val="11"/>
        <rFont val="WenQuanYi Zen Hei"/>
        <family val="2"/>
        <charset val="1"/>
      </rPr>
      <t xml:space="preserve">ｷ</t>
    </r>
    <r>
      <rPr>
        <sz val="11"/>
        <rFont val="ＭＳ ゴシック"/>
        <family val="3"/>
        <charset val="128"/>
      </rPr>
      <t xml:space="preserve">)</t>
    </r>
    <r>
      <rPr>
        <sz val="11"/>
        <rFont val="WenQuanYi Zen Hei"/>
        <family val="2"/>
        <charset val="1"/>
      </rPr>
      <t xml:space="preserve">の合計）</t>
    </r>
  </si>
  <si>
    <t xml:space="preserve">※①、②、③については、連合会に提出する払込明細書中に、標準報酬等合計額の報告欄あり。</t>
  </si>
  <si>
    <t xml:space="preserve">任意継続組合員
（収入－還付）</t>
  </si>
  <si>
    <r>
      <rPr>
        <sz val="11"/>
        <rFont val="WenQuanYi Zen Hei"/>
        <family val="2"/>
        <charset val="1"/>
      </rPr>
      <t xml:space="preserve">公的負担金
</t>
    </r>
    <r>
      <rPr>
        <sz val="8"/>
        <rFont val="WenQuanYi Zen Hei"/>
        <family val="2"/>
        <charset val="1"/>
      </rPr>
      <t xml:space="preserve">（掛金免除者含む）</t>
    </r>
  </si>
  <si>
    <t xml:space="preserve">賞与分</t>
  </si>
  <si>
    <r>
      <rPr>
        <sz val="11"/>
        <rFont val="WenQuanYi Zen Hei"/>
        <family val="2"/>
        <charset val="1"/>
      </rPr>
      <t xml:space="preserve">保健経理へ振替分</t>
    </r>
    <r>
      <rPr>
        <sz val="11"/>
        <rFont val="ＭＳ 明朝"/>
        <family val="1"/>
        <charset val="128"/>
      </rPr>
      <t xml:space="preserve">4</t>
    </r>
    <r>
      <rPr>
        <sz val="11"/>
        <rFont val="WenQuanYi Zen Hei"/>
        <family val="2"/>
        <charset val="1"/>
      </rPr>
      <t xml:space="preserve">～</t>
    </r>
    <r>
      <rPr>
        <sz val="11"/>
        <rFont val="ＭＳ 明朝"/>
        <family val="1"/>
        <charset val="128"/>
      </rPr>
      <t xml:space="preserve">6</t>
    </r>
    <r>
      <rPr>
        <sz val="11"/>
        <rFont val="WenQuanYi Zen Hei"/>
        <family val="2"/>
        <charset val="1"/>
      </rPr>
      <t xml:space="preserve">月計　</t>
    </r>
    <r>
      <rPr>
        <sz val="8"/>
        <rFont val="WenQuanYi Zen Hei"/>
        <family val="2"/>
        <charset val="1"/>
      </rPr>
      <t xml:space="preserve">　（単位：円）</t>
    </r>
  </si>
  <si>
    <t xml:space="preserve">月例掛金</t>
  </si>
  <si>
    <t xml:space="preserve">期末等掛金</t>
  </si>
  <si>
    <t xml:space="preserve">任意継続掛金</t>
  </si>
  <si>
    <t xml:space="preserve">月例・地方公共団体負担金</t>
  </si>
  <si>
    <t xml:space="preserve">病院機構のうち公的負担算定対象者の標準期末手当等合計額</t>
  </si>
  <si>
    <t xml:space="preserve">期末・地方公共団体負担金</t>
  </si>
  <si>
    <t xml:space="preserve">月例・職員団体負担金</t>
  </si>
  <si>
    <t xml:space="preserve">期末・職員団体負担金</t>
  </si>
  <si>
    <r>
      <rPr>
        <sz val="11"/>
        <rFont val="WenQuanYi Zen Hei"/>
        <family val="2"/>
        <charset val="1"/>
      </rPr>
      <t xml:space="preserve">保健経理へ振替分</t>
    </r>
    <r>
      <rPr>
        <sz val="11"/>
        <rFont val="ＭＳ 明朝"/>
        <family val="1"/>
        <charset val="128"/>
      </rPr>
      <t xml:space="preserve">7</t>
    </r>
    <r>
      <rPr>
        <sz val="11"/>
        <rFont val="WenQuanYi Zen Hei"/>
        <family val="2"/>
        <charset val="1"/>
      </rPr>
      <t xml:space="preserve">～</t>
    </r>
    <r>
      <rPr>
        <sz val="11"/>
        <rFont val="ＭＳ 明朝"/>
        <family val="1"/>
        <charset val="128"/>
      </rPr>
      <t xml:space="preserve">9</t>
    </r>
    <r>
      <rPr>
        <sz val="11"/>
        <rFont val="WenQuanYi Zen Hei"/>
        <family val="2"/>
        <charset val="1"/>
      </rPr>
      <t xml:space="preserve">月計　</t>
    </r>
    <r>
      <rPr>
        <sz val="8"/>
        <rFont val="WenQuanYi Zen Hei"/>
        <family val="2"/>
        <charset val="1"/>
      </rPr>
      <t xml:space="preserve">　（単位：円）</t>
    </r>
  </si>
  <si>
    <t xml:space="preserve">地方公共団体負担金</t>
  </si>
  <si>
    <t xml:space="preserve">職員団体負担金</t>
  </si>
  <si>
    <t xml:space="preserve">特別職・一般職・短期
（病院・共済以外）</t>
  </si>
  <si>
    <r>
      <rPr>
        <sz val="11"/>
        <rFont val="WenQuanYi Zen Hei"/>
        <family val="2"/>
        <charset val="1"/>
      </rPr>
      <t xml:space="preserve">保健経理へ振替分</t>
    </r>
    <r>
      <rPr>
        <sz val="11"/>
        <rFont val="ＭＳ 明朝"/>
        <family val="1"/>
        <charset val="128"/>
      </rPr>
      <t xml:space="preserve">10</t>
    </r>
    <r>
      <rPr>
        <sz val="11"/>
        <rFont val="WenQuanYi Zen Hei"/>
        <family val="2"/>
        <charset val="1"/>
      </rPr>
      <t xml:space="preserve">～</t>
    </r>
    <r>
      <rPr>
        <sz val="11"/>
        <rFont val="ＭＳ 明朝"/>
        <family val="1"/>
        <charset val="128"/>
      </rPr>
      <t xml:space="preserve">12</t>
    </r>
    <r>
      <rPr>
        <sz val="11"/>
        <rFont val="WenQuanYi Zen Hei"/>
        <family val="2"/>
        <charset val="1"/>
      </rPr>
      <t xml:space="preserve">月計</t>
    </r>
    <r>
      <rPr>
        <sz val="8"/>
        <rFont val="WenQuanYi Zen Hei"/>
        <family val="2"/>
        <charset val="1"/>
      </rPr>
      <t xml:space="preserve">　（単位：円）</t>
    </r>
  </si>
  <si>
    <r>
      <rPr>
        <sz val="11"/>
        <rFont val="WenQuanYi Zen Hei"/>
        <family val="2"/>
        <charset val="1"/>
      </rPr>
      <t xml:space="preserve">保健経理へ振替分</t>
    </r>
    <r>
      <rPr>
        <sz val="11"/>
        <rFont val="ＭＳ 明朝"/>
        <family val="1"/>
        <charset val="128"/>
      </rPr>
      <t xml:space="preserve">1</t>
    </r>
    <r>
      <rPr>
        <sz val="11"/>
        <rFont val="WenQuanYi Zen Hei"/>
        <family val="2"/>
        <charset val="1"/>
      </rPr>
      <t xml:space="preserve">～</t>
    </r>
    <r>
      <rPr>
        <sz val="11"/>
        <rFont val="ＭＳ 明朝"/>
        <family val="1"/>
        <charset val="128"/>
      </rPr>
      <t xml:space="preserve">3</t>
    </r>
    <r>
      <rPr>
        <sz val="11"/>
        <rFont val="WenQuanYi Zen Hei"/>
        <family val="2"/>
        <charset val="1"/>
      </rPr>
      <t xml:space="preserve">月計　</t>
    </r>
    <r>
      <rPr>
        <sz val="8"/>
        <rFont val="WenQuanYi Zen Hei"/>
        <family val="2"/>
        <charset val="1"/>
      </rPr>
      <t xml:space="preserve">　（単位：円）</t>
    </r>
  </si>
  <si>
    <t xml:space="preserve">差額賞与分</t>
  </si>
  <si>
    <r>
      <rPr>
        <sz val="11"/>
        <rFont val="WenQuanYi Zen Hei"/>
        <family val="2"/>
        <charset val="1"/>
      </rPr>
      <t xml:space="preserve">保健経理へ振替分　差額賞与</t>
    </r>
    <r>
      <rPr>
        <sz val="8"/>
        <rFont val="WenQuanYi Zen Hei"/>
        <family val="2"/>
        <charset val="1"/>
      </rPr>
      <t xml:space="preserve">　（単位：円）</t>
    </r>
  </si>
  <si>
    <r>
      <rPr>
        <sz val="11"/>
        <rFont val="ＭＳ 明朝"/>
        <family val="1"/>
        <charset val="128"/>
      </rPr>
      <t xml:space="preserve">1</t>
    </r>
    <r>
      <rPr>
        <sz val="11"/>
        <rFont val="WenQuanYi Zen Hei"/>
        <family val="2"/>
        <charset val="1"/>
      </rPr>
      <t xml:space="preserve">～</t>
    </r>
    <r>
      <rPr>
        <sz val="11"/>
        <rFont val="ＭＳ 明朝"/>
        <family val="1"/>
        <charset val="128"/>
      </rPr>
      <t xml:space="preserve">3</t>
    </r>
    <r>
      <rPr>
        <sz val="11"/>
        <rFont val="WenQuanYi Zen Hei"/>
        <family val="2"/>
        <charset val="1"/>
      </rPr>
      <t xml:space="preserve">月分振替金額</t>
    </r>
  </si>
  <si>
    <r>
      <rPr>
        <sz val="11"/>
        <rFont val="WenQuanYi Zen Hei"/>
        <family val="2"/>
        <charset val="1"/>
      </rPr>
      <t xml:space="preserve">差額</t>
    </r>
    <r>
      <rPr>
        <sz val="11"/>
        <rFont val="ＭＳ 明朝"/>
        <family val="1"/>
        <charset val="128"/>
      </rPr>
      <t xml:space="preserve">+1</t>
    </r>
    <r>
      <rPr>
        <sz val="11"/>
        <rFont val="WenQuanYi Zen Hei"/>
        <family val="2"/>
        <charset val="1"/>
      </rPr>
      <t xml:space="preserve">～</t>
    </r>
    <r>
      <rPr>
        <sz val="11"/>
        <rFont val="ＭＳ 明朝"/>
        <family val="1"/>
        <charset val="128"/>
      </rPr>
      <t xml:space="preserve">3</t>
    </r>
    <r>
      <rPr>
        <sz val="11"/>
        <rFont val="WenQuanYi Zen Hei"/>
        <family val="2"/>
        <charset val="1"/>
      </rPr>
      <t xml:space="preserve">月振替金額総計</t>
    </r>
  </si>
  <si>
    <t xml:space="preserve">短期掛金・負担金振替集計</t>
  </si>
  <si>
    <r>
      <rPr>
        <sz val="12"/>
        <rFont val="WenQuanYi Zen Hei"/>
        <family val="2"/>
        <charset val="1"/>
      </rPr>
      <t xml:space="preserve">☆短期全体分収入（①</t>
    </r>
    <r>
      <rPr>
        <sz val="12"/>
        <rFont val="Century"/>
        <family val="1"/>
        <charset val="1"/>
      </rPr>
      <t xml:space="preserve">+</t>
    </r>
    <r>
      <rPr>
        <sz val="12"/>
        <rFont val="ＭＳ ゴシック"/>
        <family val="3"/>
        <charset val="128"/>
      </rPr>
      <t xml:space="preserve">②</t>
    </r>
    <r>
      <rPr>
        <sz val="12"/>
        <rFont val="Century"/>
        <family val="1"/>
        <charset val="1"/>
      </rPr>
      <t xml:space="preserve">+</t>
    </r>
    <r>
      <rPr>
        <sz val="12"/>
        <rFont val="ＭＳ ゴシック"/>
        <family val="3"/>
        <charset val="128"/>
      </rPr>
      <t xml:space="preserve">③</t>
    </r>
    <r>
      <rPr>
        <sz val="12"/>
        <rFont val="Century"/>
        <family val="1"/>
        <charset val="1"/>
      </rPr>
      <t xml:space="preserve">+</t>
    </r>
    <r>
      <rPr>
        <sz val="12"/>
        <rFont val="ＭＳ ゴシック"/>
        <family val="3"/>
        <charset val="128"/>
      </rPr>
      <t xml:space="preserve">④</t>
    </r>
    <r>
      <rPr>
        <sz val="12"/>
        <rFont val="Century"/>
        <family val="1"/>
        <charset val="1"/>
      </rPr>
      <t xml:space="preserve">+</t>
    </r>
    <r>
      <rPr>
        <sz val="12"/>
        <rFont val="ＭＳ ゴシック"/>
        <family val="3"/>
        <charset val="128"/>
      </rPr>
      <t xml:space="preserve">⑤</t>
    </r>
    <r>
      <rPr>
        <sz val="12"/>
        <rFont val="Century"/>
        <family val="1"/>
        <charset val="1"/>
      </rPr>
      <t xml:space="preserve">+</t>
    </r>
    <r>
      <rPr>
        <sz val="12"/>
        <rFont val="ＭＳ ゴシック"/>
        <family val="3"/>
        <charset val="128"/>
      </rPr>
      <t xml:space="preserve">⑥</t>
    </r>
    <r>
      <rPr>
        <sz val="12"/>
        <rFont val="Century"/>
        <family val="1"/>
        <charset val="1"/>
      </rPr>
      <t xml:space="preserve">+</t>
    </r>
    <r>
      <rPr>
        <sz val="12"/>
        <rFont val="ＭＳ ゴシック"/>
        <family val="3"/>
        <charset val="128"/>
      </rPr>
      <t xml:space="preserve">⑦</t>
    </r>
    <r>
      <rPr>
        <sz val="12"/>
        <rFont val="WenQuanYi Zen Hei"/>
        <family val="2"/>
        <charset val="1"/>
      </rPr>
      <t xml:space="preserve">）</t>
    </r>
  </si>
  <si>
    <t xml:space="preserve">※任継・免除者掛金還付後、未納者入金後</t>
  </si>
  <si>
    <t xml:space="preserve">①短期分収入</t>
  </si>
  <si>
    <r>
      <rPr>
        <sz val="12"/>
        <rFont val="WenQuanYi Zen Hei"/>
        <family val="2"/>
        <charset val="1"/>
      </rPr>
      <t xml:space="preserve">掛金</t>
    </r>
    <r>
      <rPr>
        <sz val="9"/>
        <rFont val="WenQuanYi Zen Hei"/>
        <family val="2"/>
        <charset val="1"/>
      </rPr>
      <t xml:space="preserve">（免除者還付後・未納者入金後）</t>
    </r>
  </si>
  <si>
    <r>
      <rPr>
        <sz val="12"/>
        <rFont val="WenQuanYi Zen Hei"/>
        <family val="2"/>
        <charset val="1"/>
      </rPr>
      <t xml:space="preserve">任意継続掛金
</t>
    </r>
    <r>
      <rPr>
        <sz val="10"/>
        <rFont val="WenQuanYi Zen Hei"/>
        <family val="2"/>
        <charset val="1"/>
      </rPr>
      <t xml:space="preserve">（還付後）</t>
    </r>
  </si>
  <si>
    <r>
      <rPr>
        <sz val="12"/>
        <rFont val="WenQuanYi Zen Hei"/>
        <family val="2"/>
        <charset val="1"/>
      </rPr>
      <t xml:space="preserve">月合計 </t>
    </r>
    <r>
      <rPr>
        <sz val="12"/>
        <rFont val="Century"/>
        <family val="1"/>
        <charset val="1"/>
      </rPr>
      <t xml:space="preserve">A
</t>
    </r>
    <r>
      <rPr>
        <sz val="12"/>
        <rFont val="WenQuanYi Zen Hei"/>
        <family val="2"/>
        <charset val="1"/>
      </rPr>
      <t xml:space="preserve">（①～⑦）</t>
    </r>
  </si>
  <si>
    <r>
      <rPr>
        <sz val="12"/>
        <rFont val="WenQuanYi Zen Hei"/>
        <family val="2"/>
        <charset val="1"/>
      </rPr>
      <t xml:space="preserve">月合計 </t>
    </r>
    <r>
      <rPr>
        <sz val="12"/>
        <rFont val="Century"/>
        <family val="1"/>
        <charset val="1"/>
      </rPr>
      <t xml:space="preserve">B
</t>
    </r>
    <r>
      <rPr>
        <sz val="12"/>
        <rFont val="WenQuanYi Zen Hei"/>
        <family val="2"/>
        <charset val="1"/>
      </rPr>
      <t xml:space="preserve">（☆振替：収入計）</t>
    </r>
  </si>
  <si>
    <r>
      <rPr>
        <sz val="12"/>
        <rFont val="WenQuanYi Zen Hei"/>
        <family val="2"/>
        <charset val="1"/>
      </rPr>
      <t xml:space="preserve">月合計 </t>
    </r>
    <r>
      <rPr>
        <sz val="12"/>
        <rFont val="Century"/>
        <family val="1"/>
        <charset val="1"/>
      </rPr>
      <t xml:space="preserve">C
</t>
    </r>
    <r>
      <rPr>
        <sz val="10"/>
        <rFont val="WenQuanYi Zen Hei"/>
        <family val="2"/>
        <charset val="1"/>
      </rPr>
      <t xml:space="preserve">（☆掛負調定計）</t>
    </r>
  </si>
  <si>
    <r>
      <rPr>
        <sz val="10"/>
        <rFont val="WenQuanYi Zen Hei"/>
        <family val="2"/>
        <charset val="1"/>
      </rPr>
      <t xml:space="preserve">※チェック
　</t>
    </r>
    <r>
      <rPr>
        <sz val="10"/>
        <rFont val="Century"/>
        <family val="1"/>
        <charset val="1"/>
      </rPr>
      <t xml:space="preserve">(A=B=C)</t>
    </r>
  </si>
  <si>
    <r>
      <rPr>
        <sz val="12"/>
        <rFont val="WenQuanYi Zen Hei"/>
        <family val="2"/>
        <charset val="1"/>
      </rPr>
      <t xml:space="preserve">月合計 </t>
    </r>
    <r>
      <rPr>
        <sz val="12"/>
        <rFont val="Century"/>
        <family val="1"/>
        <charset val="1"/>
      </rPr>
      <t xml:space="preserve">D</t>
    </r>
  </si>
  <si>
    <r>
      <rPr>
        <sz val="12"/>
        <rFont val="WenQuanYi Zen Hei"/>
        <family val="2"/>
        <charset val="1"/>
      </rPr>
      <t xml:space="preserve">月合計 </t>
    </r>
    <r>
      <rPr>
        <sz val="12"/>
        <rFont val="Century"/>
        <family val="1"/>
        <charset val="1"/>
      </rPr>
      <t xml:space="preserve">E
</t>
    </r>
    <r>
      <rPr>
        <sz val="10"/>
        <rFont val="WenQuanYi Zen Hei"/>
        <family val="2"/>
        <charset val="1"/>
      </rPr>
      <t xml:space="preserve">（☆振替：ア計）</t>
    </r>
  </si>
  <si>
    <t xml:space="preserve">※チェック
　(D=E)</t>
  </si>
  <si>
    <t xml:space="preserve">６月賞与</t>
  </si>
  <si>
    <t xml:space="preserve">１２月賞与</t>
  </si>
  <si>
    <t xml:space="preserve">３月賞与</t>
  </si>
  <si>
    <t xml:space="preserve">②育児介護拠出分（連合会払込金）</t>
  </si>
  <si>
    <t xml:space="preserve">③特別財政調整拠出分（調整負担金）（連合会払込金）</t>
  </si>
  <si>
    <t xml:space="preserve">公的負担金</t>
  </si>
  <si>
    <r>
      <rPr>
        <sz val="12"/>
        <rFont val="WenQuanYi Zen Hei"/>
        <family val="2"/>
        <charset val="1"/>
      </rPr>
      <t xml:space="preserve">月合計 </t>
    </r>
    <r>
      <rPr>
        <sz val="12"/>
        <rFont val="Century"/>
        <family val="1"/>
        <charset val="1"/>
      </rPr>
      <t xml:space="preserve">F</t>
    </r>
  </si>
  <si>
    <r>
      <rPr>
        <sz val="12"/>
        <rFont val="WenQuanYi Zen Hei"/>
        <family val="2"/>
        <charset val="1"/>
      </rPr>
      <t xml:space="preserve">月合計 </t>
    </r>
    <r>
      <rPr>
        <sz val="12"/>
        <rFont val="Century"/>
        <family val="1"/>
        <charset val="1"/>
      </rPr>
      <t xml:space="preserve">G
</t>
    </r>
    <r>
      <rPr>
        <sz val="10"/>
        <rFont val="WenQuanYi Zen Hei"/>
        <family val="2"/>
        <charset val="1"/>
      </rPr>
      <t xml:space="preserve">（☆振替：イ計）</t>
    </r>
  </si>
  <si>
    <r>
      <rPr>
        <sz val="10"/>
        <rFont val="WenQuanYi Zen Hei"/>
        <family val="2"/>
        <charset val="1"/>
      </rPr>
      <t xml:space="preserve">※チェック
　</t>
    </r>
    <r>
      <rPr>
        <sz val="10"/>
        <rFont val="Century"/>
        <family val="1"/>
        <charset val="1"/>
      </rPr>
      <t xml:space="preserve">(F=G)</t>
    </r>
  </si>
  <si>
    <r>
      <rPr>
        <sz val="12"/>
        <rFont val="WenQuanYi Zen Hei"/>
        <family val="2"/>
        <charset val="1"/>
      </rPr>
      <t xml:space="preserve">月合計 </t>
    </r>
    <r>
      <rPr>
        <sz val="12"/>
        <rFont val="Century"/>
        <family val="1"/>
        <charset val="1"/>
      </rPr>
      <t xml:space="preserve">H</t>
    </r>
  </si>
  <si>
    <r>
      <rPr>
        <sz val="12"/>
        <rFont val="WenQuanYi Zen Hei"/>
        <family val="2"/>
        <charset val="1"/>
      </rPr>
      <t xml:space="preserve">月合計 </t>
    </r>
    <r>
      <rPr>
        <sz val="12"/>
        <rFont val="Century"/>
        <family val="1"/>
        <charset val="1"/>
      </rPr>
      <t xml:space="preserve">I
</t>
    </r>
    <r>
      <rPr>
        <sz val="10"/>
        <rFont val="WenQuanYi Zen Hei"/>
        <family val="2"/>
        <charset val="1"/>
      </rPr>
      <t xml:space="preserve">（☆振替：ウ計）</t>
    </r>
  </si>
  <si>
    <r>
      <rPr>
        <sz val="10"/>
        <rFont val="WenQuanYi Zen Hei"/>
        <family val="2"/>
        <charset val="1"/>
      </rPr>
      <t xml:space="preserve">※チェック
　</t>
    </r>
    <r>
      <rPr>
        <sz val="10"/>
        <rFont val="Century"/>
        <family val="1"/>
        <charset val="1"/>
      </rPr>
      <t xml:space="preserve">(H=I)</t>
    </r>
  </si>
  <si>
    <t xml:space="preserve">④財政調整拠出分（連合会払込金）</t>
  </si>
  <si>
    <t xml:space="preserve">⑤災害積立払込金（連合会払込金）</t>
  </si>
  <si>
    <t xml:space="preserve">任意継続掛金
（還付後）</t>
  </si>
  <si>
    <r>
      <rPr>
        <sz val="12"/>
        <rFont val="WenQuanYi Zen Hei"/>
        <family val="2"/>
        <charset val="1"/>
      </rPr>
      <t xml:space="preserve">月合計 </t>
    </r>
    <r>
      <rPr>
        <sz val="12"/>
        <rFont val="Century"/>
        <family val="1"/>
        <charset val="1"/>
      </rPr>
      <t xml:space="preserve">J</t>
    </r>
  </si>
  <si>
    <r>
      <rPr>
        <sz val="12"/>
        <rFont val="WenQuanYi Zen Hei"/>
        <family val="2"/>
        <charset val="1"/>
      </rPr>
      <t xml:space="preserve">月合計 </t>
    </r>
    <r>
      <rPr>
        <sz val="12"/>
        <rFont val="Century"/>
        <family val="1"/>
        <charset val="1"/>
      </rPr>
      <t xml:space="preserve">K
</t>
    </r>
    <r>
      <rPr>
        <sz val="12"/>
        <rFont val="WenQuanYi Zen Hei"/>
        <family val="2"/>
        <charset val="1"/>
      </rPr>
      <t xml:space="preserve">（☆振替：エ計）</t>
    </r>
  </si>
  <si>
    <r>
      <rPr>
        <sz val="10"/>
        <rFont val="WenQuanYi Zen Hei"/>
        <family val="2"/>
        <charset val="1"/>
      </rPr>
      <t xml:space="preserve">※チェック
　</t>
    </r>
    <r>
      <rPr>
        <sz val="10"/>
        <rFont val="Century"/>
        <family val="1"/>
        <charset val="1"/>
      </rPr>
      <t xml:space="preserve">(J=K)</t>
    </r>
  </si>
  <si>
    <r>
      <rPr>
        <sz val="12"/>
        <rFont val="WenQuanYi Zen Hei"/>
        <family val="2"/>
        <charset val="1"/>
      </rPr>
      <t xml:space="preserve">月合計 </t>
    </r>
    <r>
      <rPr>
        <sz val="12"/>
        <rFont val="Century"/>
        <family val="1"/>
        <charset val="1"/>
      </rPr>
      <t xml:space="preserve">L</t>
    </r>
  </si>
  <si>
    <r>
      <rPr>
        <sz val="12"/>
        <rFont val="WenQuanYi Zen Hei"/>
        <family val="2"/>
        <charset val="1"/>
      </rPr>
      <t xml:space="preserve">月合計 </t>
    </r>
    <r>
      <rPr>
        <sz val="12"/>
        <rFont val="Century"/>
        <family val="1"/>
        <charset val="1"/>
      </rPr>
      <t xml:space="preserve">M
</t>
    </r>
    <r>
      <rPr>
        <sz val="10"/>
        <rFont val="WenQuanYi Zen Hei"/>
        <family val="2"/>
        <charset val="1"/>
      </rPr>
      <t xml:space="preserve">（☆振替：オ計）</t>
    </r>
  </si>
  <si>
    <r>
      <rPr>
        <sz val="10"/>
        <rFont val="WenQuanYi Zen Hei"/>
        <family val="2"/>
        <charset val="1"/>
      </rPr>
      <t xml:space="preserve">※チェック
　</t>
    </r>
    <r>
      <rPr>
        <sz val="10"/>
        <rFont val="Century"/>
        <family val="1"/>
        <charset val="1"/>
      </rPr>
      <t xml:space="preserve">(L=M)</t>
    </r>
  </si>
  <si>
    <t xml:space="preserve">⑥保健事業分担金分</t>
  </si>
  <si>
    <t xml:space="preserve">⑦当組合保健分</t>
  </si>
  <si>
    <r>
      <rPr>
        <sz val="12"/>
        <rFont val="WenQuanYi Zen Hei"/>
        <family val="2"/>
        <charset val="1"/>
      </rPr>
      <t xml:space="preserve">月合計 </t>
    </r>
    <r>
      <rPr>
        <sz val="12"/>
        <rFont val="Century"/>
        <family val="1"/>
        <charset val="1"/>
      </rPr>
      <t xml:space="preserve">N</t>
    </r>
  </si>
  <si>
    <r>
      <rPr>
        <sz val="12"/>
        <rFont val="WenQuanYi Zen Hei"/>
        <family val="2"/>
        <charset val="1"/>
      </rPr>
      <t xml:space="preserve">月合計 </t>
    </r>
    <r>
      <rPr>
        <sz val="12"/>
        <rFont val="Century"/>
        <family val="1"/>
        <charset val="1"/>
      </rPr>
      <t xml:space="preserve">O
</t>
    </r>
    <r>
      <rPr>
        <sz val="10"/>
        <rFont val="WenQuanYi Zen Hei"/>
        <family val="2"/>
        <charset val="1"/>
      </rPr>
      <t xml:space="preserve">（☆振替：カ計）</t>
    </r>
  </si>
  <si>
    <r>
      <rPr>
        <sz val="10"/>
        <rFont val="WenQuanYi Zen Hei"/>
        <family val="2"/>
        <charset val="1"/>
      </rPr>
      <t xml:space="preserve">※チェック
　</t>
    </r>
    <r>
      <rPr>
        <sz val="10"/>
        <rFont val="Century"/>
        <family val="1"/>
        <charset val="1"/>
      </rPr>
      <t xml:space="preserve">(N=O)</t>
    </r>
  </si>
  <si>
    <r>
      <rPr>
        <sz val="12"/>
        <rFont val="WenQuanYi Zen Hei"/>
        <family val="2"/>
        <charset val="1"/>
      </rPr>
      <t xml:space="preserve">月合計 </t>
    </r>
    <r>
      <rPr>
        <sz val="12"/>
        <rFont val="Century"/>
        <family val="1"/>
        <charset val="1"/>
      </rPr>
      <t xml:space="preserve">P</t>
    </r>
  </si>
  <si>
    <r>
      <rPr>
        <sz val="12"/>
        <rFont val="WenQuanYi Zen Hei"/>
        <family val="2"/>
        <charset val="1"/>
      </rPr>
      <t xml:space="preserve">月合計 </t>
    </r>
    <r>
      <rPr>
        <sz val="12"/>
        <rFont val="Century"/>
        <family val="1"/>
        <charset val="1"/>
      </rPr>
      <t xml:space="preserve">Q
</t>
    </r>
    <r>
      <rPr>
        <sz val="10"/>
        <rFont val="WenQuanYi Zen Hei"/>
        <family val="2"/>
        <charset val="1"/>
      </rPr>
      <t xml:space="preserve">（☆振替：キ計）</t>
    </r>
  </si>
  <si>
    <r>
      <rPr>
        <sz val="10"/>
        <rFont val="WenQuanYi Zen Hei"/>
        <family val="2"/>
        <charset val="1"/>
      </rPr>
      <t xml:space="preserve">※チェック
　</t>
    </r>
    <r>
      <rPr>
        <sz val="10"/>
        <rFont val="Century"/>
        <family val="1"/>
        <charset val="1"/>
      </rPr>
      <t xml:space="preserve">(P=Q)</t>
    </r>
  </si>
  <si>
    <t xml:space="preserve">厚生年金保険料等収入実績</t>
  </si>
  <si>
    <r>
      <rPr>
        <sz val="14"/>
        <rFont val="WenQuanYi Zen Hei"/>
        <family val="2"/>
        <charset val="1"/>
      </rPr>
      <t xml:space="preserve">★厚生年金保険料（免除者等還付前、未納者等入金前）　　</t>
    </r>
    <r>
      <rPr>
        <sz val="11"/>
        <rFont val="WenQuanYi Zen Hei"/>
        <family val="2"/>
        <charset val="1"/>
      </rPr>
      <t xml:space="preserve">（単位：円）</t>
    </r>
  </si>
  <si>
    <t xml:space="preserve">★厚生年金保険料（免除者等還付後、未納者等入金後）</t>
  </si>
  <si>
    <r>
      <rPr>
        <sz val="14"/>
        <color rgb="FF800080"/>
        <rFont val="ＭＳ ゴシック"/>
        <family val="3"/>
        <charset val="128"/>
      </rPr>
      <t xml:space="preserve">※OFFSET</t>
    </r>
    <r>
      <rPr>
        <sz val="14"/>
        <color rgb="FF800080"/>
        <rFont val="WenQuanYi Zen Hei"/>
        <family val="2"/>
        <charset val="1"/>
      </rPr>
      <t xml:space="preserve">関数計算用</t>
    </r>
    <r>
      <rPr>
        <sz val="14"/>
        <color rgb="FF800080"/>
        <rFont val="ＭＳ ゴシック"/>
        <family val="3"/>
        <charset val="128"/>
      </rPr>
      <t xml:space="preserve">(</t>
    </r>
    <r>
      <rPr>
        <sz val="14"/>
        <color rgb="FF800080"/>
        <rFont val="WenQuanYi Zen Hei"/>
        <family val="2"/>
        <charset val="1"/>
      </rPr>
      <t xml:space="preserve">移動・削除・数値変更しないこと</t>
    </r>
    <r>
      <rPr>
        <sz val="14"/>
        <color rgb="FF800080"/>
        <rFont val="ＭＳ ゴシック"/>
        <family val="3"/>
        <charset val="128"/>
      </rPr>
      <t xml:space="preserve">!)</t>
    </r>
  </si>
  <si>
    <r>
      <rPr>
        <sz val="14"/>
        <rFont val="WenQuanYi Zen Hei"/>
        <family val="2"/>
        <charset val="1"/>
      </rPr>
      <t xml:space="preserve">組合員負担分
</t>
    </r>
    <r>
      <rPr>
        <sz val="12"/>
        <rFont val="WenQuanYi Zen Hei"/>
        <family val="2"/>
        <charset val="1"/>
      </rPr>
      <t xml:space="preserve">（免除者等還付前、未納者等入金前）</t>
    </r>
  </si>
  <si>
    <r>
      <rPr>
        <sz val="14"/>
        <rFont val="WenQuanYi Zen Hei"/>
        <family val="2"/>
        <charset val="1"/>
      </rPr>
      <t xml:space="preserve">組合員負担分
</t>
    </r>
    <r>
      <rPr>
        <sz val="12"/>
        <rFont val="WenQuanYi Zen Hei"/>
        <family val="2"/>
        <charset val="1"/>
      </rPr>
      <t xml:space="preserve">（免除者等還付後、未納者等入金後）</t>
    </r>
  </si>
  <si>
    <r>
      <rPr>
        <sz val="14"/>
        <rFont val="WenQuanYi Zen Hei"/>
        <family val="2"/>
        <charset val="1"/>
      </rPr>
      <t xml:space="preserve">差額賞与</t>
    </r>
    <r>
      <rPr>
        <sz val="14"/>
        <rFont val="ＭＳ ゴシック"/>
        <family val="3"/>
        <charset val="128"/>
      </rPr>
      <t xml:space="preserve">6</t>
    </r>
    <r>
      <rPr>
        <sz val="14"/>
        <rFont val="WenQuanYi Zen Hei"/>
        <family val="2"/>
        <charset val="1"/>
      </rPr>
      <t xml:space="preserve">月</t>
    </r>
  </si>
  <si>
    <r>
      <rPr>
        <sz val="14"/>
        <rFont val="WenQuanYi Zen Hei"/>
        <family val="2"/>
        <charset val="1"/>
      </rPr>
      <t xml:space="preserve">差額賞与</t>
    </r>
    <r>
      <rPr>
        <sz val="14"/>
        <rFont val="ＭＳ ゴシック"/>
        <family val="3"/>
        <charset val="128"/>
      </rPr>
      <t xml:space="preserve">12</t>
    </r>
    <r>
      <rPr>
        <sz val="14"/>
        <rFont val="WenQuanYi Zen Hei"/>
        <family val="2"/>
        <charset val="1"/>
      </rPr>
      <t xml:space="preserve">月</t>
    </r>
  </si>
  <si>
    <t xml:space="preserve">（左下、「負担金の連合会データ伝送用内訳」へ）</t>
  </si>
  <si>
    <t xml:space="preserve">（負担金の連合会データ伝送用内訳）</t>
  </si>
  <si>
    <t xml:space="preserve">★追加費用</t>
  </si>
  <si>
    <t xml:space="preserve">厚生年金保険負担金</t>
  </si>
  <si>
    <t xml:space="preserve">厚生年金分</t>
  </si>
  <si>
    <r>
      <rPr>
        <sz val="14"/>
        <rFont val="WenQuanYi Zen Hei"/>
        <family val="2"/>
        <charset val="1"/>
      </rPr>
      <t xml:space="preserve">★未納者等入金額
＜厚年＞　　</t>
    </r>
    <r>
      <rPr>
        <sz val="10"/>
        <rFont val="WenQuanYi Zen Hei"/>
        <family val="2"/>
        <charset val="1"/>
      </rPr>
      <t xml:space="preserve">　（単位：円）</t>
    </r>
  </si>
  <si>
    <t xml:space="preserve">厚年分入金</t>
  </si>
  <si>
    <r>
      <rPr>
        <sz val="14"/>
        <rFont val="WenQuanYi Zen Hei"/>
        <family val="2"/>
        <charset val="1"/>
      </rPr>
      <t xml:space="preserve">★免除者等還付額
＜厚年＞　　　</t>
    </r>
    <r>
      <rPr>
        <sz val="10"/>
        <rFont val="WenQuanYi Zen Hei"/>
        <family val="2"/>
        <charset val="1"/>
      </rPr>
      <t xml:space="preserve">（単位：円）</t>
    </r>
  </si>
  <si>
    <t xml:space="preserve">厚年分還付</t>
  </si>
  <si>
    <t xml:space="preserve">退職等年金掛金・負担金及び経過的長期負担金収入実績</t>
  </si>
  <si>
    <t xml:space="preserve">所属からの入金のとおり</t>
  </si>
  <si>
    <r>
      <rPr>
        <sz val="14"/>
        <rFont val="WenQuanYi Zen Hei"/>
        <family val="2"/>
        <charset val="1"/>
      </rPr>
      <t xml:space="preserve">★退職等年金掛金・負担金（免除者等還付前、未納者等入金後）</t>
    </r>
    <r>
      <rPr>
        <sz val="9"/>
        <rFont val="ＭＳ ゴシック"/>
        <family val="3"/>
        <charset val="128"/>
      </rPr>
      <t xml:space="preserve">(</t>
    </r>
    <r>
      <rPr>
        <sz val="9"/>
        <rFont val="WenQuanYi Zen Hei"/>
        <family val="2"/>
        <charset val="1"/>
      </rPr>
      <t xml:space="preserve">単位：円</t>
    </r>
    <r>
      <rPr>
        <sz val="9"/>
        <rFont val="ＭＳ ゴシック"/>
        <family val="3"/>
        <charset val="128"/>
      </rPr>
      <t xml:space="preserve">)</t>
    </r>
  </si>
  <si>
    <r>
      <rPr>
        <sz val="14"/>
        <rFont val="WenQuanYi Zen Hei"/>
        <family val="2"/>
        <charset val="1"/>
      </rPr>
      <t xml:space="preserve">★退職等年金掛金・負担金（免除者等還付後、未納者等入金後）</t>
    </r>
    <r>
      <rPr>
        <sz val="9"/>
        <rFont val="ＭＳ ゴシック"/>
        <family val="3"/>
        <charset val="128"/>
      </rPr>
      <t xml:space="preserve">(</t>
    </r>
    <r>
      <rPr>
        <sz val="9"/>
        <rFont val="WenQuanYi Zen Hei"/>
        <family val="2"/>
        <charset val="1"/>
      </rPr>
      <t xml:space="preserve">単位：円</t>
    </r>
    <r>
      <rPr>
        <sz val="9"/>
        <rFont val="ＭＳ ゴシック"/>
        <family val="3"/>
        <charset val="128"/>
      </rPr>
      <t xml:space="preserve">)</t>
    </r>
  </si>
  <si>
    <r>
      <rPr>
        <sz val="14"/>
        <rFont val="WenQuanYi Zen Hei"/>
        <family val="2"/>
        <charset val="1"/>
      </rPr>
      <t xml:space="preserve">★退職等年金掛金・負担金（免除者還付前、未納者入金前）</t>
    </r>
    <r>
      <rPr>
        <sz val="11"/>
        <rFont val="WenQuanYi Zen Hei"/>
        <family val="2"/>
        <charset val="1"/>
      </rPr>
      <t xml:space="preserve"> （単位：円）</t>
    </r>
  </si>
  <si>
    <r>
      <rPr>
        <sz val="14"/>
        <rFont val="WenQuanYi Zen Hei"/>
        <family val="2"/>
        <charset val="1"/>
      </rPr>
      <t xml:space="preserve">掛　金
</t>
    </r>
    <r>
      <rPr>
        <sz val="12"/>
        <rFont val="WenQuanYi Zen Hei"/>
        <family val="2"/>
        <charset val="1"/>
      </rPr>
      <t xml:space="preserve">（免除者等還付前、未納者等入金後）</t>
    </r>
  </si>
  <si>
    <r>
      <rPr>
        <sz val="14"/>
        <rFont val="WenQuanYi Zen Hei"/>
        <family val="2"/>
        <charset val="1"/>
      </rPr>
      <t xml:space="preserve">掛　金
</t>
    </r>
    <r>
      <rPr>
        <sz val="12"/>
        <rFont val="WenQuanYi Zen Hei"/>
        <family val="2"/>
        <charset val="1"/>
      </rPr>
      <t xml:space="preserve">（免除者等還付後、未納者等入金後）</t>
    </r>
  </si>
  <si>
    <r>
      <rPr>
        <sz val="14"/>
        <rFont val="WenQuanYi Zen Hei"/>
        <family val="2"/>
        <charset val="1"/>
      </rPr>
      <t xml:space="preserve">掛　金
</t>
    </r>
    <r>
      <rPr>
        <sz val="12"/>
        <rFont val="WenQuanYi Zen Hei"/>
        <family val="2"/>
        <charset val="1"/>
      </rPr>
      <t xml:space="preserve">（免除者還付前、未納者入金前）</t>
    </r>
  </si>
  <si>
    <t xml:space="preserve">※月末に、厚年→退職等の経理間振替をする段階の数字</t>
  </si>
  <si>
    <r>
      <rPr>
        <sz val="14"/>
        <rFont val="WenQuanYi Zen Hei"/>
        <family val="2"/>
        <charset val="1"/>
      </rPr>
      <t xml:space="preserve">★経過的長期負担金</t>
    </r>
    <r>
      <rPr>
        <sz val="11"/>
        <rFont val="WenQuanYi Zen Hei"/>
        <family val="2"/>
        <charset val="1"/>
      </rPr>
      <t xml:space="preserve">　　（単位：円）</t>
    </r>
  </si>
  <si>
    <r>
      <rPr>
        <sz val="14"/>
        <rFont val="WenQuanYi Zen Hei"/>
        <family val="2"/>
        <charset val="1"/>
      </rPr>
      <t xml:space="preserve">★追加費用</t>
    </r>
    <r>
      <rPr>
        <sz val="11"/>
        <rFont val="WenQuanYi Zen Hei"/>
        <family val="2"/>
        <charset val="1"/>
      </rPr>
      <t xml:space="preserve">　</t>
    </r>
  </si>
  <si>
    <r>
      <rPr>
        <sz val="14"/>
        <rFont val="WenQuanYi Zen Hei"/>
        <family val="2"/>
        <charset val="1"/>
      </rPr>
      <t xml:space="preserve">★免除者等還付額
＜退職等＞　　</t>
    </r>
    <r>
      <rPr>
        <sz val="10"/>
        <rFont val="WenQuanYi Zen Hei"/>
        <family val="2"/>
        <charset val="1"/>
      </rPr>
      <t xml:space="preserve">（単位：円）</t>
    </r>
  </si>
  <si>
    <r>
      <rPr>
        <sz val="14"/>
        <rFont val="WenQuanYi Zen Hei"/>
        <family val="2"/>
        <charset val="1"/>
      </rPr>
      <t xml:space="preserve">★未納者等入金額
＜退職等＞　</t>
    </r>
    <r>
      <rPr>
        <sz val="10"/>
        <rFont val="WenQuanYi Zen Hei"/>
        <family val="2"/>
        <charset val="1"/>
      </rPr>
      <t xml:space="preserve">　（単位：円）</t>
    </r>
  </si>
  <si>
    <t xml:space="preserve">経過的長期分</t>
  </si>
  <si>
    <t xml:space="preserve">退職等分還付</t>
  </si>
  <si>
    <t xml:space="preserve">退職等分入金</t>
  </si>
  <si>
    <t xml:space="preserve">（円）</t>
  </si>
  <si>
    <t xml:space="preserve">短期掛金・負担金収入実績　※短期経理へ入金したもの（保健経理分も含む）</t>
  </si>
  <si>
    <t xml:space="preserve">★短期全体分（任継・免除者等：還付前、未納者等：入金前）　</t>
  </si>
  <si>
    <r>
      <rPr>
        <sz val="14"/>
        <rFont val="WenQuanYi Zen Hei"/>
        <family val="2"/>
        <charset val="1"/>
      </rPr>
      <t xml:space="preserve">★短期任意継続掛金還付金　　</t>
    </r>
    <r>
      <rPr>
        <sz val="11"/>
        <rFont val="WenQuanYi Zen Hei"/>
        <family val="2"/>
        <charset val="1"/>
      </rPr>
      <t xml:space="preserve">（円）</t>
    </r>
  </si>
  <si>
    <r>
      <rPr>
        <sz val="14"/>
        <rFont val="WenQuanYi Zen Hei"/>
        <family val="2"/>
        <charset val="1"/>
      </rPr>
      <t xml:space="preserve">★免除・その他還付額【短期】</t>
    </r>
    <r>
      <rPr>
        <sz val="11"/>
        <rFont val="WenQuanYi Zen Hei"/>
        <family val="2"/>
        <charset val="1"/>
      </rPr>
      <t xml:space="preserve">（円）</t>
    </r>
  </si>
  <si>
    <r>
      <rPr>
        <sz val="14"/>
        <rFont val="WenQuanYi Zen Hei"/>
        <family val="2"/>
        <charset val="1"/>
      </rPr>
      <t xml:space="preserve">掛金</t>
    </r>
    <r>
      <rPr>
        <sz val="11"/>
        <rFont val="WenQuanYi Zen Hei"/>
        <family val="2"/>
        <charset val="1"/>
      </rPr>
      <t xml:space="preserve">（免除者等還付前、未納者等入金前）</t>
    </r>
  </si>
  <si>
    <r>
      <rPr>
        <sz val="14"/>
        <rFont val="WenQuanYi Zen Hei"/>
        <family val="2"/>
        <charset val="1"/>
      </rPr>
      <t xml:space="preserve">任意継続掛金
</t>
    </r>
    <r>
      <rPr>
        <sz val="11"/>
        <rFont val="WenQuanYi Zen Hei"/>
        <family val="2"/>
        <charset val="1"/>
      </rPr>
      <t xml:space="preserve">（還付前）</t>
    </r>
  </si>
  <si>
    <t xml:space="preserve">還付額</t>
  </si>
  <si>
    <t xml:space="preserve">★短期全体分＜最終＞（任継・免除者等：還付後、未納者等：入金後）</t>
  </si>
  <si>
    <r>
      <rPr>
        <sz val="10"/>
        <color rgb="FF800080"/>
        <rFont val="ＭＳ ゴシック"/>
        <family val="3"/>
        <charset val="128"/>
      </rPr>
      <t xml:space="preserve">※OFFSET</t>
    </r>
    <r>
      <rPr>
        <sz val="10"/>
        <color rgb="FF800080"/>
        <rFont val="WenQuanYi Zen Hei"/>
        <family val="2"/>
        <charset val="1"/>
      </rPr>
      <t xml:space="preserve">関数計算用</t>
    </r>
    <r>
      <rPr>
        <sz val="10"/>
        <color rgb="FF800080"/>
        <rFont val="ＭＳ ゴシック"/>
        <family val="3"/>
        <charset val="128"/>
      </rPr>
      <t xml:space="preserve">(</t>
    </r>
    <r>
      <rPr>
        <sz val="10"/>
        <color rgb="FF800080"/>
        <rFont val="WenQuanYi Zen Hei"/>
        <family val="2"/>
        <charset val="1"/>
      </rPr>
      <t xml:space="preserve">移動・削除・数値変更しないこと</t>
    </r>
    <r>
      <rPr>
        <sz val="10"/>
        <color rgb="FF800080"/>
        <rFont val="ＭＳ ゴシック"/>
        <family val="3"/>
        <charset val="128"/>
      </rPr>
      <t xml:space="preserve">!)</t>
    </r>
  </si>
  <si>
    <r>
      <rPr>
        <sz val="14"/>
        <rFont val="WenQuanYi Zen Hei"/>
        <family val="2"/>
        <charset val="1"/>
      </rPr>
      <t xml:space="preserve">★未納者等入金額【短期】　</t>
    </r>
    <r>
      <rPr>
        <sz val="11"/>
        <rFont val="WenQuanYi Zen Hei"/>
        <family val="2"/>
        <charset val="1"/>
      </rPr>
      <t xml:space="preserve">（円）</t>
    </r>
  </si>
  <si>
    <r>
      <rPr>
        <sz val="14"/>
        <rFont val="WenQuanYi Zen Hei"/>
        <family val="2"/>
        <charset val="1"/>
      </rPr>
      <t xml:space="preserve">掛金</t>
    </r>
    <r>
      <rPr>
        <sz val="11"/>
        <rFont val="WenQuanYi Zen Hei"/>
        <family val="2"/>
        <charset val="1"/>
      </rPr>
      <t xml:space="preserve">（免除者等還付後、未納者等入金後）</t>
    </r>
  </si>
  <si>
    <r>
      <rPr>
        <sz val="14"/>
        <rFont val="WenQuanYi Zen Hei"/>
        <family val="2"/>
        <charset val="1"/>
      </rPr>
      <t xml:space="preserve">任意継続掛金
</t>
    </r>
    <r>
      <rPr>
        <sz val="11"/>
        <rFont val="WenQuanYi Zen Hei"/>
        <family val="2"/>
        <charset val="1"/>
      </rPr>
      <t xml:space="preserve">（還付後）</t>
    </r>
  </si>
  <si>
    <t xml:space="preserve">入金額</t>
  </si>
  <si>
    <t xml:space="preserve">短期経理分・保健経理分　各収入実績　※短期経理へ入金したものを保健経理分と分けたもの</t>
  </si>
  <si>
    <r>
      <rPr>
        <sz val="14"/>
        <rFont val="WenQuanYi Zen Hei"/>
        <family val="2"/>
        <charset val="1"/>
      </rPr>
      <t xml:space="preserve">★保健経理分＜最終＞（保健事業分担金</t>
    </r>
    <r>
      <rPr>
        <sz val="14"/>
        <rFont val="ＭＳ ゴシック"/>
        <family val="3"/>
        <charset val="128"/>
      </rPr>
      <t xml:space="preserve">+</t>
    </r>
    <r>
      <rPr>
        <sz val="14"/>
        <rFont val="WenQuanYi Zen Hei"/>
        <family val="2"/>
        <charset val="1"/>
      </rPr>
      <t xml:space="preserve">当組合保健分）</t>
    </r>
  </si>
  <si>
    <r>
      <rPr>
        <sz val="12"/>
        <color rgb="FF800080"/>
        <rFont val="ＭＳ ゴシック"/>
        <family val="3"/>
        <charset val="128"/>
      </rPr>
      <t xml:space="preserve">※OFFSET</t>
    </r>
    <r>
      <rPr>
        <sz val="12"/>
        <color rgb="FF800080"/>
        <rFont val="WenQuanYi Zen Hei"/>
        <family val="2"/>
        <charset val="1"/>
      </rPr>
      <t xml:space="preserve">関数計算用</t>
    </r>
    <r>
      <rPr>
        <sz val="12"/>
        <color rgb="FF800080"/>
        <rFont val="ＭＳ ゴシック"/>
        <family val="3"/>
        <charset val="128"/>
      </rPr>
      <t xml:space="preserve">(</t>
    </r>
    <r>
      <rPr>
        <sz val="12"/>
        <color rgb="FF800080"/>
        <rFont val="WenQuanYi Zen Hei"/>
        <family val="2"/>
        <charset val="1"/>
      </rPr>
      <t xml:space="preserve">移動・削除・数値変更しないこと</t>
    </r>
    <r>
      <rPr>
        <sz val="12"/>
        <color rgb="FF800080"/>
        <rFont val="ＭＳ ゴシック"/>
        <family val="3"/>
        <charset val="128"/>
      </rPr>
      <t xml:space="preserve">!)</t>
    </r>
  </si>
  <si>
    <t xml:space="preserve">掛金</t>
  </si>
  <si>
    <t xml:space="preserve">★短期経理分＜最終＞（任継・免除者等：還付後、未納者等：入金後）</t>
  </si>
  <si>
    <t xml:space="preserve">介護掛金・負担金収入実績</t>
  </si>
  <si>
    <t xml:space="preserve">★介護分（任継・免除者等：還付前、未納者等：入金前）</t>
  </si>
  <si>
    <r>
      <rPr>
        <sz val="14"/>
        <rFont val="WenQuanYi Zen Hei"/>
        <family val="2"/>
        <charset val="1"/>
      </rPr>
      <t xml:space="preserve">★介護任意継続掛金還付金　　</t>
    </r>
    <r>
      <rPr>
        <sz val="11"/>
        <rFont val="WenQuanYi Zen Hei"/>
        <family val="2"/>
        <charset val="1"/>
      </rPr>
      <t xml:space="preserve">（円）</t>
    </r>
  </si>
  <si>
    <r>
      <rPr>
        <sz val="14"/>
        <rFont val="WenQuanYi Zen Hei"/>
        <family val="2"/>
        <charset val="1"/>
      </rPr>
      <t xml:space="preserve">★免除・その他還付額【介護】</t>
    </r>
    <r>
      <rPr>
        <sz val="11"/>
        <rFont val="WenQuanYi Zen Hei"/>
        <family val="2"/>
        <charset val="1"/>
      </rPr>
      <t xml:space="preserve">（円）</t>
    </r>
  </si>
  <si>
    <t xml:space="preserve">★介護分＜最終＞（任継・免除者等：還付後、未納者等：入金後）</t>
  </si>
  <si>
    <r>
      <rPr>
        <sz val="14"/>
        <rFont val="WenQuanYi Zen Hei"/>
        <family val="2"/>
        <charset val="1"/>
      </rPr>
      <t xml:space="preserve">★未納者等入金額【介護】　</t>
    </r>
    <r>
      <rPr>
        <sz val="11"/>
        <rFont val="WenQuanYi Zen Hei"/>
        <family val="2"/>
        <charset val="1"/>
      </rPr>
      <t xml:space="preserve">（円）</t>
    </r>
  </si>
  <si>
    <t xml:space="preserve">子ども・子育て支援掛金・負担金収入実績</t>
  </si>
  <si>
    <t xml:space="preserve">★子ども・子育て支援分（任継・免除者等：還付前、未納者等：入金前）</t>
  </si>
  <si>
    <r>
      <rPr>
        <sz val="14"/>
        <rFont val="WenQuanYi Zen Hei"/>
        <family val="2"/>
        <charset val="1"/>
      </rPr>
      <t xml:space="preserve">★子・子任意継続掛金還付金　　</t>
    </r>
    <r>
      <rPr>
        <sz val="11"/>
        <rFont val="WenQuanYi Zen Hei"/>
        <family val="2"/>
        <charset val="1"/>
      </rPr>
      <t xml:space="preserve">（円）</t>
    </r>
  </si>
  <si>
    <r>
      <rPr>
        <sz val="14"/>
        <rFont val="WenQuanYi Zen Hei"/>
        <family val="2"/>
        <charset val="1"/>
      </rPr>
      <t xml:space="preserve">★免除・その他還付額【子・子】</t>
    </r>
    <r>
      <rPr>
        <sz val="11"/>
        <rFont val="WenQuanYi Zen Hei"/>
        <family val="2"/>
        <charset val="1"/>
      </rPr>
      <t xml:space="preserve">（円）</t>
    </r>
  </si>
  <si>
    <t xml:space="preserve">★子ども・子育て支援分＜最終＞（任継・免除者等：還付後、未納者等：入金後）</t>
  </si>
  <si>
    <r>
      <rPr>
        <sz val="14"/>
        <rFont val="WenQuanYi Zen Hei"/>
        <family val="2"/>
        <charset val="1"/>
      </rPr>
      <t xml:space="preserve">★未納者等入金額【子・子】　</t>
    </r>
    <r>
      <rPr>
        <sz val="11"/>
        <rFont val="WenQuanYi Zen Hei"/>
        <family val="2"/>
        <charset val="1"/>
      </rPr>
      <t xml:space="preserve">（円）</t>
    </r>
  </si>
  <si>
    <r>
      <rPr>
        <sz val="14"/>
        <color rgb="FF993300"/>
        <rFont val="ＭＳ Ｐ明朝"/>
        <family val="1"/>
        <charset val="128"/>
      </rPr>
      <t xml:space="preserve">※OFFSET</t>
    </r>
    <r>
      <rPr>
        <sz val="14"/>
        <color rgb="FF993300"/>
        <rFont val="WenQuanYi Zen Hei"/>
        <family val="2"/>
        <charset val="1"/>
      </rPr>
      <t xml:space="preserve">関数用</t>
    </r>
    <r>
      <rPr>
        <sz val="14"/>
        <color rgb="FF993300"/>
        <rFont val="ＭＳ Ｐ明朝"/>
        <family val="1"/>
        <charset val="128"/>
      </rPr>
      <t xml:space="preserve">(</t>
    </r>
    <r>
      <rPr>
        <sz val="14"/>
        <color rgb="FF993300"/>
        <rFont val="WenQuanYi Zen Hei"/>
        <family val="2"/>
        <charset val="1"/>
      </rPr>
      <t xml:space="preserve">移動・削除・数値変更しない</t>
    </r>
    <r>
      <rPr>
        <sz val="14"/>
        <color rgb="FF993300"/>
        <rFont val="ＭＳ Ｐ明朝"/>
        <family val="1"/>
        <charset val="128"/>
      </rPr>
      <t xml:space="preserve">!)</t>
    </r>
  </si>
  <si>
    <t xml:space="preserve">※任意継続掛金還付後</t>
  </si>
  <si>
    <r>
      <rPr>
        <sz val="12"/>
        <rFont val="WenQuanYi Zen Hei"/>
        <family val="2"/>
        <charset val="1"/>
      </rPr>
      <t xml:space="preserve">月合計 </t>
    </r>
    <r>
      <rPr>
        <sz val="12"/>
        <rFont val="Century"/>
        <family val="1"/>
        <charset val="1"/>
      </rPr>
      <t xml:space="preserve">B
</t>
    </r>
    <r>
      <rPr>
        <sz val="9"/>
        <rFont val="WenQuanYi Zen Hei"/>
        <family val="2"/>
        <charset val="1"/>
      </rPr>
      <t xml:space="preserve">（☆振替：収入計）</t>
    </r>
  </si>
  <si>
    <t xml:space="preserve">※チェック
　(A=B=C)</t>
  </si>
  <si>
    <r>
      <rPr>
        <sz val="10"/>
        <rFont val="WenQuanYi Zen Hei"/>
        <family val="2"/>
        <charset val="1"/>
      </rPr>
      <t xml:space="preserve">※チェック
　</t>
    </r>
    <r>
      <rPr>
        <sz val="10"/>
        <rFont val="Century"/>
        <family val="1"/>
        <charset val="1"/>
      </rPr>
      <t xml:space="preserve">(D=E)</t>
    </r>
  </si>
  <si>
    <t xml:space="preserve">②育児介護拠出分（連合会拠出金）</t>
  </si>
  <si>
    <t xml:space="preserve">③特別財政調整拠出分（調整負担金）（連合会拠出金）</t>
  </si>
  <si>
    <t xml:space="preserve">※　考え方</t>
  </si>
  <si>
    <r>
      <rPr>
        <sz val="12"/>
        <rFont val="WenQuanYi Zen Hei"/>
        <family val="2"/>
        <charset val="1"/>
      </rPr>
      <t xml:space="preserve">　・</t>
    </r>
    <r>
      <rPr>
        <sz val="12"/>
        <rFont val="ＭＳ Ｐゴシック"/>
        <family val="3"/>
        <charset val="128"/>
      </rPr>
      <t xml:space="preserve">4</t>
    </r>
    <r>
      <rPr>
        <sz val="12"/>
        <rFont val="WenQuanYi Zen Hei"/>
        <family val="2"/>
        <charset val="1"/>
      </rPr>
      <t xml:space="preserve">月～</t>
    </r>
    <r>
      <rPr>
        <sz val="12"/>
        <rFont val="ＭＳ Ｐゴシック"/>
        <family val="3"/>
        <charset val="128"/>
      </rPr>
      <t xml:space="preserve">11</t>
    </r>
    <r>
      <rPr>
        <sz val="12"/>
        <rFont val="WenQuanYi Zen Hei"/>
        <family val="2"/>
        <charset val="1"/>
      </rPr>
      <t xml:space="preserve">月　実績、</t>
    </r>
    <r>
      <rPr>
        <sz val="12"/>
        <rFont val="ＭＳ Ｐゴシック"/>
        <family val="3"/>
        <charset val="128"/>
      </rPr>
      <t xml:space="preserve">12</t>
    </r>
    <r>
      <rPr>
        <sz val="12"/>
        <rFont val="WenQuanYi Zen Hei"/>
        <family val="2"/>
        <charset val="1"/>
      </rPr>
      <t xml:space="preserve">月～</t>
    </r>
    <r>
      <rPr>
        <sz val="12"/>
        <rFont val="ＭＳ Ｐゴシック"/>
        <family val="3"/>
        <charset val="128"/>
      </rPr>
      <t xml:space="preserve">3</t>
    </r>
    <r>
      <rPr>
        <sz val="12"/>
        <rFont val="WenQuanYi Zen Hei"/>
        <family val="2"/>
        <charset val="1"/>
      </rPr>
      <t xml:space="preserve">月　見込</t>
    </r>
  </si>
  <si>
    <r>
      <rPr>
        <sz val="12"/>
        <rFont val="WenQuanYi Zen Hei"/>
        <family val="2"/>
        <charset val="1"/>
      </rPr>
      <t xml:space="preserve">　・</t>
    </r>
    <r>
      <rPr>
        <sz val="12"/>
        <rFont val="ＭＳ Ｐゴシック"/>
        <family val="3"/>
        <charset val="128"/>
      </rPr>
      <t xml:space="preserve">12</t>
    </r>
    <r>
      <rPr>
        <sz val="12"/>
        <rFont val="WenQuanYi Zen Hei"/>
        <family val="2"/>
        <charset val="1"/>
      </rPr>
      <t xml:space="preserve">月以降の月例は</t>
    </r>
    <r>
      <rPr>
        <sz val="12"/>
        <rFont val="ＭＳ Ｐゴシック"/>
        <family val="3"/>
        <charset val="128"/>
      </rPr>
      <t xml:space="preserve">11</t>
    </r>
    <r>
      <rPr>
        <sz val="12"/>
        <rFont val="WenQuanYi Zen Hei"/>
        <family val="2"/>
        <charset val="1"/>
      </rPr>
      <t xml:space="preserve">月に同じ。</t>
    </r>
  </si>
  <si>
    <r>
      <rPr>
        <sz val="12"/>
        <rFont val="WenQuanYi Zen Hei"/>
        <family val="2"/>
        <charset val="1"/>
      </rPr>
      <t xml:space="preserve">　・</t>
    </r>
    <r>
      <rPr>
        <sz val="12"/>
        <rFont val="ＭＳ Ｐゴシック"/>
        <family val="3"/>
        <charset val="128"/>
      </rPr>
      <t xml:space="preserve">12</t>
    </r>
    <r>
      <rPr>
        <sz val="12"/>
        <rFont val="WenQuanYi Zen Hei"/>
        <family val="2"/>
        <charset val="1"/>
      </rPr>
      <t xml:space="preserve">月・</t>
    </r>
    <r>
      <rPr>
        <sz val="12"/>
        <rFont val="ＭＳ Ｐゴシック"/>
        <family val="3"/>
        <charset val="128"/>
      </rPr>
      <t xml:space="preserve">3</t>
    </r>
    <r>
      <rPr>
        <sz val="12"/>
        <rFont val="WenQuanYi Zen Hei"/>
        <family val="2"/>
        <charset val="1"/>
      </rPr>
      <t xml:space="preserve">月期末は</t>
    </r>
    <r>
      <rPr>
        <sz val="12"/>
        <rFont val="ＭＳ Ｐゴシック"/>
        <family val="3"/>
        <charset val="128"/>
      </rPr>
      <t xml:space="preserve">6</t>
    </r>
    <r>
      <rPr>
        <sz val="12"/>
        <rFont val="WenQuanYi Zen Hei"/>
        <family val="2"/>
        <charset val="1"/>
      </rPr>
      <t xml:space="preserve">月賞与収入分</t>
    </r>
    <r>
      <rPr>
        <sz val="12"/>
        <rFont val="ＭＳ Ｐゴシック"/>
        <family val="3"/>
        <charset val="128"/>
      </rPr>
      <t xml:space="preserve">/6</t>
    </r>
    <r>
      <rPr>
        <sz val="12"/>
        <rFont val="WenQuanYi Zen Hei"/>
        <family val="2"/>
        <charset val="1"/>
      </rPr>
      <t xml:space="preserve">月支給率</t>
    </r>
    <r>
      <rPr>
        <sz val="12"/>
        <rFont val="ＭＳ Ｐゴシック"/>
        <family val="3"/>
        <charset val="128"/>
      </rPr>
      <t xml:space="preserve">×12</t>
    </r>
    <r>
      <rPr>
        <sz val="12"/>
        <rFont val="WenQuanYi Zen Hei"/>
        <family val="2"/>
        <charset val="1"/>
      </rPr>
      <t xml:space="preserve">・</t>
    </r>
    <r>
      <rPr>
        <sz val="12"/>
        <rFont val="ＭＳ Ｐゴシック"/>
        <family val="3"/>
        <charset val="128"/>
      </rPr>
      <t xml:space="preserve">3</t>
    </r>
    <r>
      <rPr>
        <sz val="12"/>
        <rFont val="WenQuanYi Zen Hei"/>
        <family val="2"/>
        <charset val="1"/>
      </rPr>
      <t xml:space="preserve">月支給率</t>
    </r>
  </si>
  <si>
    <r>
      <rPr>
        <sz val="12"/>
        <rFont val="WenQuanYi Zen Hei"/>
        <family val="2"/>
        <charset val="1"/>
      </rPr>
      <t xml:space="preserve">　・差額分は、</t>
    </r>
    <r>
      <rPr>
        <sz val="12"/>
        <rFont val="ＭＳ Ｐゴシック"/>
        <family val="3"/>
        <charset val="128"/>
      </rPr>
      <t xml:space="preserve">6</t>
    </r>
    <r>
      <rPr>
        <sz val="12"/>
        <rFont val="WenQuanYi Zen Hei"/>
        <family val="2"/>
        <charset val="1"/>
      </rPr>
      <t xml:space="preserve">月・</t>
    </r>
    <r>
      <rPr>
        <sz val="12"/>
        <rFont val="ＭＳ Ｐゴシック"/>
        <family val="3"/>
        <charset val="128"/>
      </rPr>
      <t xml:space="preserve">12</t>
    </r>
    <r>
      <rPr>
        <sz val="12"/>
        <rFont val="WenQuanYi Zen Hei"/>
        <family val="2"/>
        <charset val="1"/>
      </rPr>
      <t xml:space="preserve">月賞与それぞれに</t>
    </r>
    <r>
      <rPr>
        <sz val="12"/>
        <rFont val="ＭＳ Ｐゴシック"/>
        <family val="3"/>
        <charset val="128"/>
      </rPr>
      <t xml:space="preserve">7</t>
    </r>
    <r>
      <rPr>
        <sz val="12"/>
        <rFont val="WenQuanYi Zen Hei"/>
        <family val="2"/>
        <charset val="1"/>
      </rPr>
      <t xml:space="preserve">年度給与改定平均予定率をかけたもの</t>
    </r>
  </si>
  <si>
    <r>
      <rPr>
        <sz val="12"/>
        <rFont val="ＭＳ Ｐゴシック"/>
        <family val="3"/>
        <charset val="128"/>
      </rPr>
      <t xml:space="preserve">★6</t>
    </r>
    <r>
      <rPr>
        <sz val="12"/>
        <rFont val="WenQuanYi Zen Hei"/>
        <family val="2"/>
        <charset val="1"/>
      </rPr>
      <t xml:space="preserve">月賞与支給率</t>
    </r>
  </si>
  <si>
    <r>
      <rPr>
        <sz val="12"/>
        <rFont val="ＭＳ Ｐゴシック"/>
        <family val="3"/>
        <charset val="128"/>
      </rPr>
      <t xml:space="preserve">★12</t>
    </r>
    <r>
      <rPr>
        <sz val="12"/>
        <rFont val="WenQuanYi Zen Hei"/>
        <family val="2"/>
        <charset val="1"/>
      </rPr>
      <t xml:space="preserve">月賞与支給率</t>
    </r>
  </si>
  <si>
    <r>
      <rPr>
        <sz val="12"/>
        <rFont val="ＭＳ Ｐゴシック"/>
        <family val="3"/>
        <charset val="128"/>
      </rPr>
      <t xml:space="preserve">★3</t>
    </r>
    <r>
      <rPr>
        <sz val="12"/>
        <rFont val="WenQuanYi Zen Hei"/>
        <family val="2"/>
        <charset val="1"/>
      </rPr>
      <t xml:space="preserve">月賞与支給率</t>
    </r>
  </si>
  <si>
    <t xml:space="preserve">★給与改定平均予定率</t>
  </si>
  <si>
    <t xml:space="preserve">●短期掛金・負担金の合計額</t>
  </si>
  <si>
    <r>
      <rPr>
        <b val="true"/>
        <sz val="11"/>
        <rFont val="WenQuanYi Zen Hei"/>
        <family val="2"/>
        <charset val="1"/>
      </rPr>
      <t xml:space="preserve">（収入全体</t>
    </r>
    <r>
      <rPr>
        <b val="true"/>
        <sz val="11"/>
        <rFont val="ＭＳ Ｐゴシック"/>
        <family val="3"/>
        <charset val="128"/>
      </rPr>
      <t xml:space="preserve">-</t>
    </r>
    <r>
      <rPr>
        <b val="true"/>
        <sz val="11"/>
        <rFont val="WenQuanYi Zen Hei"/>
        <family val="2"/>
        <charset val="1"/>
      </rPr>
      <t xml:space="preserve">保健分担金</t>
    </r>
    <r>
      <rPr>
        <b val="true"/>
        <sz val="11"/>
        <rFont val="ＭＳ Ｐゴシック"/>
        <family val="3"/>
        <charset val="128"/>
      </rPr>
      <t xml:space="preserve">-</t>
    </r>
    <r>
      <rPr>
        <b val="true"/>
        <sz val="11"/>
        <rFont val="WenQuanYi Zen Hei"/>
        <family val="2"/>
        <charset val="1"/>
      </rPr>
      <t xml:space="preserve">当組合保健</t>
    </r>
    <r>
      <rPr>
        <b val="true"/>
        <sz val="11"/>
        <rFont val="ＭＳ Ｐゴシック"/>
        <family val="3"/>
        <charset val="128"/>
      </rPr>
      <t xml:space="preserve">-</t>
    </r>
    <r>
      <rPr>
        <b val="true"/>
        <sz val="11"/>
        <rFont val="WenQuanYi Zen Hei"/>
        <family val="2"/>
        <charset val="1"/>
      </rPr>
      <t xml:space="preserve">調整負担</t>
    </r>
    <r>
      <rPr>
        <b val="true"/>
        <sz val="11"/>
        <rFont val="ＭＳ Ｐゴシック"/>
        <family val="3"/>
        <charset val="128"/>
      </rPr>
      <t xml:space="preserve">-</t>
    </r>
    <r>
      <rPr>
        <b val="true"/>
        <sz val="11"/>
        <rFont val="WenQuanYi Zen Hei"/>
        <family val="2"/>
        <charset val="1"/>
      </rPr>
      <t xml:space="preserve">公的負担）</t>
    </r>
  </si>
  <si>
    <t xml:space="preserve">●連合会払込金</t>
  </si>
  <si>
    <r>
      <rPr>
        <b val="true"/>
        <sz val="11"/>
        <rFont val="WenQuanYi Zen Hei"/>
        <family val="2"/>
        <charset val="1"/>
      </rPr>
      <t xml:space="preserve">（財政調整</t>
    </r>
    <r>
      <rPr>
        <b val="true"/>
        <sz val="11"/>
        <rFont val="ＭＳ Ｐゴシック"/>
        <family val="3"/>
        <charset val="128"/>
      </rPr>
      <t xml:space="preserve">+</t>
    </r>
    <r>
      <rPr>
        <b val="true"/>
        <sz val="11"/>
        <rFont val="WenQuanYi Zen Hei"/>
        <family val="2"/>
        <charset val="1"/>
      </rPr>
      <t xml:space="preserve">災害積立）</t>
    </r>
  </si>
  <si>
    <t xml:space="preserve">●育・介拠出金（公的負担除く）</t>
  </si>
  <si>
    <t xml:space="preserve">●調整負担金</t>
  </si>
  <si>
    <t xml:space="preserve">●公的負担金</t>
  </si>
  <si>
    <r>
      <rPr>
        <sz val="12"/>
        <rFont val="WenQuanYi Zen Hei"/>
        <family val="2"/>
        <charset val="1"/>
      </rPr>
      <t xml:space="preserve">月合計 </t>
    </r>
    <r>
      <rPr>
        <sz val="12"/>
        <rFont val="Century"/>
        <family val="1"/>
        <charset val="1"/>
      </rPr>
      <t xml:space="preserve">K
</t>
    </r>
    <r>
      <rPr>
        <sz val="10"/>
        <rFont val="WenQuanYi Zen Hei"/>
        <family val="2"/>
        <charset val="1"/>
      </rPr>
      <t xml:space="preserve">（☆振替：エ計）</t>
    </r>
  </si>
</sst>
</file>

<file path=xl/styles.xml><?xml version="1.0" encoding="utf-8"?>
<styleSheet xmlns="http://schemas.openxmlformats.org/spreadsheetml/2006/main">
  <numFmts count="65">
    <numFmt numFmtId="164" formatCode="General"/>
    <numFmt numFmtId="165" formatCode="[$-409]#,##0_);[RED]\(#,##0\)"/>
    <numFmt numFmtId="166" formatCode="0"/>
    <numFmt numFmtId="167" formatCode="0.0%"/>
    <numFmt numFmtId="168" formatCode="yyyy/m/d"/>
    <numFmt numFmtId="169" formatCode="#,##0;\-#,##0;0"/>
    <numFmt numFmtId="170" formatCode="#,##0;\-#,##0;;@"/>
    <numFmt numFmtId="171" formatCode="0.0000"/>
    <numFmt numFmtId="172" formatCode="yyyy\年m\月"/>
    <numFmt numFmtId="173" formatCode="[$-409]#,##0_);\(#,##0\)"/>
    <numFmt numFmtId="174" formatCode="[$-409]m/d/yyyy"/>
    <numFmt numFmtId="175" formatCode="[$-1030411]ggge\年m&quot;月分&quot;"/>
    <numFmt numFmtId="176" formatCode="@"/>
    <numFmt numFmtId="177" formatCode="[$-1030411]ggge\年m&quot;月賞与分&quot;"/>
    <numFmt numFmtId="178" formatCode="#,##0_);[RED]\(#,##0\)"/>
    <numFmt numFmtId="179" formatCode="#,##0.000;\-#,##0.000"/>
    <numFmt numFmtId="180" formatCode="[$-1030411]ggge&quot;年度預り金&quot;"/>
    <numFmt numFmtId="181" formatCode="[$-1030411]ggge\年m\月"/>
    <numFmt numFmtId="182" formatCode="#,##0;&quot;▲ &quot;#,##0"/>
    <numFmt numFmtId="183" formatCode="[$-1030411]ggge\年m&quot;月賞与&quot;"/>
    <numFmt numFmtId="184" formatCode="[$-409]#,##0.00_);[RED]\(#,##0.00\)"/>
    <numFmt numFmtId="185" formatCode="#,##0.0;[RED]\-#,##0.0"/>
    <numFmt numFmtId="186" formatCode="0.00_ "/>
    <numFmt numFmtId="187" formatCode="#,##0.0000;[RED]\-#,##0.0000"/>
    <numFmt numFmtId="188" formatCode="&quot;１ &quot;@&quot;  ６月払込分&quot;"/>
    <numFmt numFmtId="189" formatCode="&quot;１ &quot;@&quot; ６月払込分&quot;"/>
    <numFmt numFmtId="190" formatCode="&quot;１ &quot;@&quot; ７月払込分&quot;"/>
    <numFmt numFmtId="191" formatCode="&quot;（率： &quot;0.00&quot;  ‰)&quot;"/>
    <numFmt numFmtId="192" formatCode="0.00&quot; ‰)&quot;"/>
    <numFmt numFmtId="193" formatCode="&quot;（ 率：　&quot;0.00&quot;  ‰ )&quot;"/>
    <numFmt numFmtId="194" formatCode="0.000&quot; ‰)&quot;"/>
    <numFmt numFmtId="195" formatCode="&quot;２　分担金額は、標準報酬等合計額総額に&quot;0.000\‰"/>
    <numFmt numFmtId="196" formatCode="&quot;２　分担金額は、標準報酬等合計額総額に&quot;0.00\‰"/>
    <numFmt numFmtId="197" formatCode="&quot;１ &quot;@&quot;  ９月払込分&quot;"/>
    <numFmt numFmtId="198" formatCode="&quot;２ &quot;@&quot; ９月払込分&quot;"/>
    <numFmt numFmtId="199" formatCode="&quot;１ &quot;@&quot; １０月払込分&quot;"/>
    <numFmt numFmtId="200" formatCode="0.0&quot; ‰)&quot;"/>
    <numFmt numFmtId="201" formatCode="&quot;１ &quot;@&quot;  １２月払込分&quot;"/>
    <numFmt numFmtId="202" formatCode="&quot;１ &quot;@&quot; １月払込分&quot;"/>
    <numFmt numFmtId="203" formatCode="&quot;１ &quot;@&quot;  ３月払込分&quot;"/>
    <numFmt numFmtId="204" formatCode="&quot;２ &quot;@&quot;払込分&quot;"/>
    <numFmt numFmtId="205" formatCode="#,##0"/>
    <numFmt numFmtId="206" formatCode="0.00"/>
    <numFmt numFmtId="207" formatCode="\(#.00\)"/>
    <numFmt numFmtId="208" formatCode="\(#.###\)"/>
    <numFmt numFmtId="209" formatCode="\(0.00\)"/>
    <numFmt numFmtId="210" formatCode="\(0.#####\)"/>
    <numFmt numFmtId="211" formatCode="\(#,###.00\)"/>
    <numFmt numFmtId="212" formatCode="\(#,###.0\)"/>
    <numFmt numFmtId="213" formatCode="\(0.##########\)"/>
    <numFmt numFmtId="214" formatCode="\(0.#########\)"/>
    <numFmt numFmtId="215" formatCode="\(0.0\)"/>
    <numFmt numFmtId="216" formatCode="\(0.0000\)"/>
    <numFmt numFmtId="217" formatCode="\(#,###.000\)"/>
    <numFmt numFmtId="218" formatCode="\(0.######\)"/>
    <numFmt numFmtId="219" formatCode="#,###\円"/>
    <numFmt numFmtId="220" formatCode="\（#,###"/>
    <numFmt numFmtId="221" formatCode="\×0.0&quot; ‰)&quot;"/>
    <numFmt numFmtId="222" formatCode="\×0.000#&quot; ‰)&quot;"/>
    <numFmt numFmtId="223" formatCode="General"/>
    <numFmt numFmtId="224" formatCode="[$-409]General"/>
    <numFmt numFmtId="225" formatCode="&quot;2月分 &quot;#,##0"/>
    <numFmt numFmtId="226" formatCode="&quot;3月分 &quot;#,##0"/>
    <numFmt numFmtId="227" formatCode="#,##0.000;&quot;▲ &quot;#,##0.000"/>
    <numFmt numFmtId="228" formatCode="0.######&quot;  ％ &quot;"/>
  </numFmts>
  <fonts count="201">
    <font>
      <sz val="14"/>
      <name val="ＭＳ 明朝"/>
      <family val="1"/>
      <charset val="128"/>
    </font>
    <font>
      <sz val="10"/>
      <name val="Arial"/>
      <family val="0"/>
    </font>
    <font>
      <sz val="10"/>
      <name val="Arial"/>
      <family val="0"/>
    </font>
    <font>
      <sz val="10"/>
      <name val="Arial"/>
      <family val="0"/>
    </font>
    <font>
      <b val="true"/>
      <sz val="16"/>
      <color rgb="FF1F3864"/>
      <name val="WenQuanYi Zen Hei"/>
      <family val="2"/>
    </font>
    <font>
      <sz val="10"/>
      <color rgb="FF595959"/>
      <name val="WenQuanYi Zen Hei"/>
      <family val="2"/>
    </font>
    <font>
      <sz val="10"/>
      <color rgb="FF595959"/>
      <name val="Meiryo UI"/>
      <family val="0"/>
      <charset val="1"/>
    </font>
    <font>
      <b val="true"/>
      <sz val="10"/>
      <color rgb="FFFFFFFF"/>
      <name val="WenQuanYi Zen Hei"/>
      <family val="2"/>
    </font>
    <font>
      <b val="true"/>
      <sz val="12"/>
      <name val="Meiryo UI"/>
      <family val="0"/>
      <charset val="1"/>
    </font>
    <font>
      <b val="true"/>
      <sz val="12"/>
      <name val="WenQuanYi Zen Hei"/>
      <family val="2"/>
    </font>
    <font>
      <sz val="9"/>
      <color rgb="FF595959"/>
      <name val="WenQuanYi Zen Hei"/>
      <family val="2"/>
    </font>
    <font>
      <sz val="10"/>
      <name val="WenQuanYi Zen Hei"/>
      <family val="2"/>
    </font>
    <font>
      <sz val="10"/>
      <name val="Meiryo UI"/>
      <family val="0"/>
      <charset val="1"/>
    </font>
    <font>
      <b val="true"/>
      <sz val="10"/>
      <name val="WenQuanYi Zen Hei"/>
      <family val="2"/>
    </font>
    <font>
      <b val="true"/>
      <sz val="10"/>
      <name val="Meiryo UI"/>
      <family val="0"/>
      <charset val="1"/>
    </font>
    <font>
      <sz val="9"/>
      <color rgb="FF595959"/>
      <name val="Meiryo UI"/>
      <family val="0"/>
      <charset val="1"/>
    </font>
    <font>
      <b val="true"/>
      <sz val="12"/>
      <color rgb="FF2F5597"/>
      <name val="WenQuanYi Zen Hei"/>
      <family val="2"/>
    </font>
    <font>
      <b val="true"/>
      <sz val="12"/>
      <color rgb="FF2F5597"/>
      <name val="Meiryo UI"/>
      <family val="0"/>
      <charset val="1"/>
    </font>
    <font>
      <b val="true"/>
      <sz val="14"/>
      <color rgb="FF1F3864"/>
      <name val="WenQuanYi Zen Hei"/>
      <family val="2"/>
    </font>
    <font>
      <b val="true"/>
      <sz val="14"/>
      <color rgb="FF1F3864"/>
      <name val="Meiryo UI"/>
      <family val="0"/>
      <charset val="1"/>
    </font>
    <font>
      <b val="true"/>
      <sz val="10"/>
      <color rgb="FFFFFFFF"/>
      <name val="Meiryo UI"/>
      <family val="0"/>
      <charset val="1"/>
    </font>
    <font>
      <sz val="10"/>
      <color rgb="FF7F7F7F"/>
      <name val="Meiryo UI"/>
      <family val="0"/>
      <charset val="1"/>
    </font>
    <font>
      <b val="true"/>
      <sz val="12"/>
      <color rgb="FFC00000"/>
      <name val="Meiryo UI"/>
      <family val="0"/>
      <charset val="1"/>
    </font>
    <font>
      <sz val="11"/>
      <color theme="1"/>
      <name val="Calibri"/>
      <family val="2"/>
      <charset val="1"/>
    </font>
    <font>
      <sz val="9"/>
      <color rgb="FFC00000"/>
      <name val="WenQuanYi Zen Hei"/>
      <family val="2"/>
    </font>
    <font>
      <sz val="9"/>
      <color rgb="FFC00000"/>
      <name val="Meiryo UI"/>
      <family val="0"/>
      <charset val="1"/>
    </font>
    <font>
      <sz val="9"/>
      <color rgb="FF7F7F7F"/>
      <name val="Meiryo UI"/>
      <family val="0"/>
      <charset val="1"/>
    </font>
    <font>
      <sz val="14"/>
      <name val="WenQuanYi Zen Hei"/>
      <family val="2"/>
    </font>
    <font>
      <b val="true"/>
      <sz val="12"/>
      <color rgb="FFFFFFFF"/>
      <name val="WenQuanYi Zen Hei"/>
      <family val="2"/>
    </font>
    <font>
      <b val="true"/>
      <sz val="12"/>
      <color rgb="FFFFFFFF"/>
      <name val="Meiryo UI"/>
      <family val="0"/>
      <charset val="1"/>
    </font>
    <font>
      <b val="true"/>
      <sz val="16"/>
      <name val="Meiryo UI"/>
      <family val="0"/>
      <charset val="1"/>
    </font>
    <font>
      <sz val="12"/>
      <name val="WenQuanYi Zen Hei"/>
      <family val="2"/>
    </font>
    <font>
      <sz val="12"/>
      <name val="Meiryo UI"/>
      <family val="0"/>
      <charset val="1"/>
    </font>
    <font>
      <b val="true"/>
      <sz val="13"/>
      <name val="Meiryo UI"/>
      <family val="0"/>
      <charset val="1"/>
    </font>
    <font>
      <sz val="9"/>
      <color rgb="FFBFBFBF"/>
      <name val="Meiryo UI"/>
      <family val="0"/>
      <charset val="1"/>
    </font>
    <font>
      <sz val="10"/>
      <color rgb="FF7F7F7F"/>
      <name val="WenQuanYi Zen Hei"/>
      <family val="2"/>
    </font>
    <font>
      <b val="true"/>
      <sz val="12"/>
      <color rgb="FF2E7D32"/>
      <name val="Meiryo UI"/>
      <family val="0"/>
      <charset val="1"/>
    </font>
    <font>
      <b val="true"/>
      <sz val="10"/>
      <color rgb="FF2F5597"/>
      <name val="WenQuanYi Zen Hei"/>
      <family val="2"/>
    </font>
    <font>
      <b val="true"/>
      <sz val="10"/>
      <color rgb="FF2F5597"/>
      <name val="Meiryo UI"/>
      <family val="0"/>
      <charset val="1"/>
    </font>
    <font>
      <b val="true"/>
      <sz val="12"/>
      <color rgb="FF7F7F7F"/>
      <name val="WenQuanYi Zen Hei"/>
      <family val="2"/>
    </font>
    <font>
      <sz val="12"/>
      <name val="ＭＳ 明朝"/>
      <family val="1"/>
      <charset val="128"/>
    </font>
    <font>
      <sz val="14"/>
      <color rgb="FF993300"/>
      <name val="WenQuanYi Zen Hei"/>
      <family val="2"/>
      <charset val="1"/>
    </font>
    <font>
      <sz val="14"/>
      <color rgb="FF993300"/>
      <name val="ＭＳ 明朝"/>
      <family val="1"/>
      <charset val="128"/>
    </font>
    <font>
      <sz val="14"/>
      <color rgb="FF993300"/>
      <name val="ＭＳ ゴシック"/>
      <family val="3"/>
      <charset val="128"/>
    </font>
    <font>
      <sz val="14"/>
      <color rgb="FF0000FF"/>
      <name val="ＭＳ ゴシック"/>
      <family val="3"/>
      <charset val="128"/>
    </font>
    <font>
      <sz val="14"/>
      <name val="WenQuanYi Zen Hei"/>
      <family val="2"/>
      <charset val="1"/>
    </font>
    <font>
      <sz val="12"/>
      <name val="WenQuanYi Zen Hei"/>
      <family val="2"/>
      <charset val="1"/>
    </font>
    <font>
      <sz val="10"/>
      <name val="WenQuanYi Zen Hei"/>
      <family val="2"/>
      <charset val="1"/>
    </font>
    <font>
      <sz val="11"/>
      <name val="WenQuanYi Zen Hei"/>
      <family val="2"/>
      <charset val="1"/>
    </font>
    <font>
      <sz val="12"/>
      <color rgb="FF0000FF"/>
      <name val="ＭＳ 明朝"/>
      <family val="1"/>
      <charset val="128"/>
    </font>
    <font>
      <sz val="11"/>
      <name val="ＭＳ 明朝"/>
      <family val="1"/>
      <charset val="128"/>
    </font>
    <font>
      <sz val="12"/>
      <color rgb="FFFF0000"/>
      <name val="ＭＳ 明朝"/>
      <family val="1"/>
      <charset val="128"/>
    </font>
    <font>
      <sz val="12"/>
      <color rgb="FF000000"/>
      <name val="ＭＳ 明朝"/>
      <family val="1"/>
      <charset val="128"/>
    </font>
    <font>
      <sz val="12"/>
      <color rgb="FF993300"/>
      <name val="ＭＳ 明朝"/>
      <family val="1"/>
      <charset val="128"/>
    </font>
    <font>
      <b val="true"/>
      <sz val="12"/>
      <color rgb="FFFFFFFF"/>
      <name val="ＭＳ 明朝"/>
      <family val="1"/>
      <charset val="128"/>
    </font>
    <font>
      <b val="true"/>
      <sz val="12"/>
      <color rgb="FFFFFFFF"/>
      <name val="WenQuanYi Zen Hei"/>
      <family val="2"/>
      <charset val="1"/>
    </font>
    <font>
      <sz val="12"/>
      <color rgb="FF0000FF"/>
      <name val="ＭＳ ゴシック"/>
      <family val="3"/>
      <charset val="128"/>
    </font>
    <font>
      <sz val="14"/>
      <name val="ＭＳ ゴシック"/>
      <family val="3"/>
      <charset val="128"/>
    </font>
    <font>
      <b val="true"/>
      <sz val="12"/>
      <color rgb="FF800080"/>
      <name val="ＭＳ 明朝"/>
      <family val="1"/>
      <charset val="128"/>
    </font>
    <font>
      <sz val="12"/>
      <color rgb="FF003366"/>
      <name val="ＭＳ 明朝"/>
      <family val="1"/>
      <charset val="128"/>
    </font>
    <font>
      <sz val="12"/>
      <color rgb="FF333399"/>
      <name val="ＭＳ 明朝"/>
      <family val="1"/>
      <charset val="128"/>
    </font>
    <font>
      <sz val="11"/>
      <color rgb="FF000000"/>
      <name val="WenQuanYi Zen Hei"/>
      <family val="2"/>
      <charset val="1"/>
    </font>
    <font>
      <sz val="12"/>
      <color rgb="FF800080"/>
      <name val="ＭＳ 明朝"/>
      <family val="1"/>
      <charset val="128"/>
    </font>
    <font>
      <sz val="11"/>
      <color rgb="FF000000"/>
      <name val="ＭＳ 明朝"/>
      <family val="1"/>
      <charset val="128"/>
    </font>
    <font>
      <b val="true"/>
      <sz val="14"/>
      <color rgb="FF0000FF"/>
      <name val="ＭＳ ゴシック"/>
      <family val="3"/>
      <charset val="128"/>
    </font>
    <font>
      <b val="true"/>
      <sz val="14"/>
      <color rgb="FF0000FF"/>
      <name val="WenQuanYi Zen Hei"/>
      <family val="2"/>
      <charset val="1"/>
    </font>
    <font>
      <sz val="14"/>
      <color rgb="FF0000FF"/>
      <name val="ＭＳ 明朝"/>
      <family val="1"/>
      <charset val="128"/>
    </font>
    <font>
      <sz val="12"/>
      <name val="ＭＳ ゴシック"/>
      <family val="3"/>
      <charset val="128"/>
    </font>
    <font>
      <b val="true"/>
      <sz val="12"/>
      <name val="ＭＳ ゴシック"/>
      <family val="3"/>
      <charset val="128"/>
    </font>
    <font>
      <sz val="10"/>
      <name val="Arial"/>
      <family val="2"/>
    </font>
    <font>
      <b val="true"/>
      <sz val="11"/>
      <color rgb="FF000000"/>
      <name val="WenQuanYi Zen Hei"/>
      <family val="2"/>
      <charset val="1"/>
    </font>
    <font>
      <b val="true"/>
      <sz val="9"/>
      <color rgb="FF000000"/>
      <name val="WenQuanYi Zen Hei"/>
      <family val="2"/>
      <charset val="1"/>
    </font>
    <font>
      <b val="true"/>
      <sz val="12"/>
      <color rgb="FF000000"/>
      <name val="MS P ゴシック"/>
      <family val="3"/>
      <charset val="128"/>
    </font>
    <font>
      <b val="true"/>
      <sz val="12"/>
      <color rgb="FF000000"/>
      <name val="WenQuanYi Zen Hei"/>
      <family val="2"/>
      <charset val="1"/>
    </font>
    <font>
      <b val="true"/>
      <sz val="10"/>
      <color rgb="FF000000"/>
      <name val="MS P ゴシック"/>
      <family val="3"/>
      <charset val="128"/>
    </font>
    <font>
      <b val="true"/>
      <sz val="10"/>
      <color rgb="FF000000"/>
      <name val="WenQuanYi Zen Hei"/>
      <family val="2"/>
      <charset val="1"/>
    </font>
    <font>
      <b val="true"/>
      <sz val="11"/>
      <color rgb="FF000000"/>
      <name val="MS P ゴシック"/>
      <family val="3"/>
      <charset val="128"/>
    </font>
    <font>
      <b val="true"/>
      <u val="single"/>
      <sz val="11"/>
      <color rgb="FF000000"/>
      <name val="WenQuanYi Zen Hei"/>
      <family val="2"/>
      <charset val="1"/>
    </font>
    <font>
      <sz val="11"/>
      <color rgb="FF000000"/>
      <name val="ＭＳ ゴシック"/>
      <family val="0"/>
    </font>
    <font>
      <sz val="11"/>
      <color rgb="FF000000"/>
      <name val="DejaVu Sans"/>
      <family val="0"/>
    </font>
    <font>
      <sz val="9"/>
      <color rgb="FF000000"/>
      <name val="DejaVu Sans"/>
      <family val="0"/>
    </font>
    <font>
      <sz val="9"/>
      <color rgb="FF000000"/>
      <name val="Calibri"/>
      <family val="0"/>
    </font>
    <font>
      <b val="true"/>
      <sz val="10.5"/>
      <color rgb="FF000000"/>
      <name val="DejaVu Sans"/>
      <family val="0"/>
    </font>
    <font>
      <b val="true"/>
      <sz val="10.5"/>
      <color rgb="FF000000"/>
      <name val="Calibri"/>
      <family val="0"/>
    </font>
    <font>
      <sz val="10.5"/>
      <color rgb="FF000000"/>
      <name val="DejaVu Sans"/>
      <family val="0"/>
    </font>
    <font>
      <sz val="11"/>
      <color rgb="FF000000"/>
      <name val="Calibri"/>
      <family val="0"/>
    </font>
    <font>
      <sz val="10"/>
      <name val="ＭＳ 明朝"/>
      <family val="1"/>
      <charset val="128"/>
    </font>
    <font>
      <sz val="9"/>
      <name val="ＭＳ 明朝"/>
      <family val="1"/>
      <charset val="128"/>
    </font>
    <font>
      <sz val="11"/>
      <color rgb="FF0000FF"/>
      <name val="ＭＳ 明朝"/>
      <family val="1"/>
      <charset val="128"/>
    </font>
    <font>
      <b val="true"/>
      <sz val="14"/>
      <color rgb="FFFF0000"/>
      <name val="ＭＳ ゴシック"/>
      <family val="3"/>
      <charset val="128"/>
    </font>
    <font>
      <b val="true"/>
      <u val="single"/>
      <sz val="11"/>
      <name val="WenQuanYi Zen Hei"/>
      <family val="2"/>
      <charset val="1"/>
    </font>
    <font>
      <b val="true"/>
      <sz val="12"/>
      <name val="WenQuanYi Zen Hei"/>
      <family val="2"/>
      <charset val="1"/>
    </font>
    <font>
      <sz val="12"/>
      <color rgb="FFFF0000"/>
      <name val="ＭＳ ゴシック"/>
      <family val="3"/>
      <charset val="128"/>
    </font>
    <font>
      <b val="true"/>
      <sz val="11"/>
      <name val="WenQuanYi Zen Hei"/>
      <family val="2"/>
      <charset val="1"/>
    </font>
    <font>
      <sz val="9"/>
      <name val="WenQuanYi Zen Hei"/>
      <family val="2"/>
      <charset val="1"/>
    </font>
    <font>
      <sz val="12"/>
      <color rgb="FF99CC00"/>
      <name val="ＭＳ 明朝"/>
      <family val="1"/>
      <charset val="128"/>
    </font>
    <font>
      <sz val="11"/>
      <color rgb="FFFF0000"/>
      <name val="ＭＳ 明朝"/>
      <family val="1"/>
      <charset val="128"/>
    </font>
    <font>
      <sz val="11"/>
      <color rgb="FFFF0000"/>
      <name val="WenQuanYi Zen Hei"/>
      <family val="2"/>
      <charset val="1"/>
    </font>
    <font>
      <sz val="10"/>
      <color rgb="FFFF0000"/>
      <name val="WenQuanYi Zen Hei"/>
      <family val="2"/>
      <charset val="1"/>
    </font>
    <font>
      <sz val="10"/>
      <color rgb="FFFF0000"/>
      <name val="ＭＳ 明朝"/>
      <family val="1"/>
      <charset val="128"/>
    </font>
    <font>
      <sz val="10"/>
      <color rgb="FF0000FF"/>
      <name val="ＭＳ 明朝"/>
      <family val="1"/>
      <charset val="128"/>
    </font>
    <font>
      <sz val="7.5"/>
      <name val="WenQuanYi Zen Hei"/>
      <family val="2"/>
      <charset val="1"/>
    </font>
    <font>
      <sz val="12"/>
      <color rgb="FF00FF00"/>
      <name val="ＭＳ 明朝"/>
      <family val="1"/>
      <charset val="128"/>
    </font>
    <font>
      <sz val="12"/>
      <color rgb="FF008000"/>
      <name val="ＭＳ 明朝"/>
      <family val="1"/>
      <charset val="128"/>
    </font>
    <font>
      <sz val="11"/>
      <color rgb="FF993300"/>
      <name val="ＭＳ 明朝"/>
      <family val="1"/>
      <charset val="128"/>
    </font>
    <font>
      <sz val="11"/>
      <color rgb="FF993300"/>
      <name val="WenQuanYi Zen Hei"/>
      <family val="2"/>
      <charset val="1"/>
    </font>
    <font>
      <sz val="12"/>
      <color rgb="FF000000"/>
      <name val="WenQuanYi Zen Hei"/>
      <family val="2"/>
      <charset val="1"/>
    </font>
    <font>
      <sz val="12"/>
      <color rgb="FF000000"/>
      <name val="DejaVu Sans"/>
      <family val="0"/>
    </font>
    <font>
      <sz val="12"/>
      <name val="ＭＳ Ｐ明朝"/>
      <family val="1"/>
      <charset val="128"/>
    </font>
    <font>
      <sz val="12"/>
      <name val="Century"/>
      <family val="1"/>
      <charset val="1"/>
    </font>
    <font>
      <sz val="8"/>
      <name val="WenQuanYi Zen Hei"/>
      <family val="2"/>
      <charset val="1"/>
    </font>
    <font>
      <sz val="11"/>
      <color rgb="FF0000FF"/>
      <name val="Century"/>
      <family val="1"/>
      <charset val="1"/>
    </font>
    <font>
      <sz val="11"/>
      <color rgb="FFFF6600"/>
      <name val="Century"/>
      <family val="1"/>
      <charset val="1"/>
    </font>
    <font>
      <sz val="11"/>
      <color rgb="FF0000FF"/>
      <name val="ＭＳ Ｐゴシック"/>
      <family val="3"/>
      <charset val="128"/>
    </font>
    <font>
      <sz val="14"/>
      <name val="Century"/>
      <family val="1"/>
      <charset val="1"/>
    </font>
    <font>
      <sz val="11"/>
      <name val="Century"/>
      <family val="1"/>
      <charset val="1"/>
    </font>
    <font>
      <sz val="9"/>
      <color rgb="FF000000"/>
      <name val="WenQuanYi Zen Hei"/>
      <family val="2"/>
      <charset val="1"/>
    </font>
    <font>
      <sz val="9"/>
      <color rgb="FFFF0000"/>
      <name val="ＭＳ 明朝"/>
      <family val="1"/>
      <charset val="128"/>
    </font>
    <font>
      <b val="true"/>
      <sz val="10"/>
      <name val="WenQuanYi Zen Hei"/>
      <family val="2"/>
      <charset val="1"/>
    </font>
    <font>
      <sz val="10"/>
      <color rgb="FF000000"/>
      <name val="ＭＳ 明朝"/>
      <family val="1"/>
      <charset val="128"/>
    </font>
    <font>
      <b val="true"/>
      <sz val="10"/>
      <color rgb="FF0000FF"/>
      <name val="ＭＳ ゴシック"/>
      <family val="3"/>
      <charset val="128"/>
    </font>
    <font>
      <sz val="10"/>
      <color rgb="FF00FF00"/>
      <name val="ＭＳ 明朝"/>
      <family val="1"/>
      <charset val="128"/>
    </font>
    <font>
      <b val="true"/>
      <sz val="9"/>
      <color rgb="FF000000"/>
      <name val="MS P ゴシック"/>
      <family val="3"/>
      <charset val="128"/>
    </font>
    <font>
      <b val="true"/>
      <sz val="9"/>
      <color rgb="FF000000"/>
      <name val="ＭＳ Ｐゴシック"/>
      <family val="3"/>
      <charset val="128"/>
    </font>
    <font>
      <sz val="11"/>
      <name val="ＭＳ Ｐゴシック"/>
      <family val="3"/>
      <charset val="128"/>
    </font>
    <font>
      <sz val="14"/>
      <name val="ＭＳ Ｐゴシック"/>
      <family val="3"/>
      <charset val="128"/>
    </font>
    <font>
      <u val="single"/>
      <sz val="14"/>
      <name val="WenQuanYi Zen Hei"/>
      <family val="2"/>
      <charset val="1"/>
    </font>
    <font>
      <u val="single"/>
      <sz val="14"/>
      <name val="ＭＳ Ｐゴシック"/>
      <family val="3"/>
      <charset val="128"/>
    </font>
    <font>
      <u val="single"/>
      <sz val="11"/>
      <name val="ＭＳ Ｐゴシック"/>
      <family val="3"/>
      <charset val="128"/>
    </font>
    <font>
      <sz val="14"/>
      <color rgb="FF33CCCC"/>
      <name val="ＭＳ 明朝"/>
      <family val="1"/>
      <charset val="128"/>
    </font>
    <font>
      <sz val="14"/>
      <color rgb="FF800080"/>
      <name val="ＭＳ 明朝"/>
      <family val="1"/>
      <charset val="128"/>
    </font>
    <font>
      <sz val="13"/>
      <name val="WenQuanYi Zen Hei"/>
      <family val="2"/>
      <charset val="1"/>
    </font>
    <font>
      <sz val="14"/>
      <color rgb="FF008000"/>
      <name val="ＭＳ 明朝"/>
      <family val="1"/>
      <charset val="128"/>
    </font>
    <font>
      <sz val="11"/>
      <name val="ＭＳ Ｐ明朝"/>
      <family val="1"/>
      <charset val="128"/>
    </font>
    <font>
      <sz val="11"/>
      <color rgb="FF0000FF"/>
      <name val="ＭＳ Ｐ明朝"/>
      <family val="1"/>
      <charset val="128"/>
    </font>
    <font>
      <sz val="14"/>
      <color rgb="FF0000FF"/>
      <name val="WenQuanYi Zen Hei"/>
      <family val="2"/>
      <charset val="1"/>
    </font>
    <font>
      <sz val="14"/>
      <color rgb="FF339966"/>
      <name val="ＭＳ 明朝"/>
      <family val="1"/>
      <charset val="128"/>
    </font>
    <font>
      <sz val="13"/>
      <name val="ＭＳ 明朝"/>
      <family val="1"/>
      <charset val="128"/>
    </font>
    <font>
      <sz val="14"/>
      <color rgb="FF99CC00"/>
      <name val="ＭＳ 明朝"/>
      <family val="1"/>
      <charset val="128"/>
    </font>
    <font>
      <sz val="14"/>
      <color rgb="FF0000FF"/>
      <name val="WenQuanYi Zen Hei"/>
      <family val="2"/>
    </font>
    <font>
      <u val="single"/>
      <sz val="12"/>
      <color rgb="FF000000"/>
      <name val="WenQuanYi Zen Hei"/>
      <family val="2"/>
      <charset val="1"/>
    </font>
    <font>
      <sz val="12"/>
      <color rgb="FF000000"/>
      <name val="ＭＳ Ｐゴシック"/>
      <family val="3"/>
      <charset val="128"/>
    </font>
    <font>
      <sz val="12"/>
      <color rgb="FF000000"/>
      <name val="MS P ゴシック"/>
      <family val="3"/>
      <charset val="128"/>
    </font>
    <font>
      <b val="true"/>
      <sz val="11"/>
      <color rgb="FF993300"/>
      <name val="ＭＳ 明朝"/>
      <family val="1"/>
      <charset val="128"/>
    </font>
    <font>
      <b val="true"/>
      <u val="single"/>
      <sz val="9"/>
      <name val="ＭＳ 明朝"/>
      <family val="1"/>
      <charset val="128"/>
    </font>
    <font>
      <b val="true"/>
      <u val="single"/>
      <sz val="9"/>
      <name val="WenQuanYi Zen Hei"/>
      <family val="2"/>
      <charset val="1"/>
    </font>
    <font>
      <sz val="9"/>
      <color rgb="FFFF0000"/>
      <name val="WenQuanYi Zen Hei"/>
      <family val="2"/>
      <charset val="1"/>
    </font>
    <font>
      <sz val="9"/>
      <color rgb="FF0000FF"/>
      <name val="ＭＳ 明朝"/>
      <family val="1"/>
      <charset val="128"/>
    </font>
    <font>
      <sz val="9"/>
      <color rgb="FF993300"/>
      <name val="ＭＳ 明朝"/>
      <family val="1"/>
      <charset val="128"/>
    </font>
    <font>
      <sz val="12"/>
      <color rgb="FF993300"/>
      <name val="WenQuanYi Zen Hei"/>
      <family val="2"/>
      <charset val="1"/>
    </font>
    <font>
      <b val="true"/>
      <sz val="14"/>
      <name val="ＭＳ 明朝"/>
      <family val="1"/>
      <charset val="128"/>
    </font>
    <font>
      <b val="true"/>
      <sz val="11"/>
      <color rgb="FF0000FF"/>
      <name val="ＭＳ 明朝"/>
      <family val="1"/>
      <charset val="128"/>
    </font>
    <font>
      <b val="true"/>
      <sz val="9"/>
      <color rgb="FF000000"/>
      <name val="UD デジタル 教科書体 N-B"/>
      <family val="1"/>
      <charset val="128"/>
    </font>
    <font>
      <sz val="11"/>
      <name val="ＭＳ ゴシック"/>
      <family val="3"/>
      <charset val="128"/>
    </font>
    <font>
      <sz val="11"/>
      <color rgb="FF0000FF"/>
      <name val="ＭＳ ゴシック"/>
      <family val="3"/>
      <charset val="128"/>
    </font>
    <font>
      <sz val="11"/>
      <color rgb="FF000000"/>
      <name val="WenQuanYi Zen Hei"/>
      <family val="2"/>
    </font>
    <font>
      <sz val="9"/>
      <color rgb="FF0000FF"/>
      <name val="ＭＳ ゴシック"/>
      <family val="3"/>
      <charset val="128"/>
    </font>
    <font>
      <sz val="9"/>
      <color rgb="FF0000FF"/>
      <name val="WenQuanYi Zen Hei"/>
      <family val="2"/>
      <charset val="1"/>
    </font>
    <font>
      <sz val="12"/>
      <color rgb="FF0000FF"/>
      <name val="WenQuanYi Zen Hei"/>
      <family val="2"/>
      <charset val="1"/>
    </font>
    <font>
      <sz val="11"/>
      <color rgb="FF99CC00"/>
      <name val="ＭＳ 明朝"/>
      <family val="1"/>
      <charset val="128"/>
    </font>
    <font>
      <sz val="9"/>
      <color rgb="FF000000"/>
      <name val="MS P ゴシック"/>
      <family val="3"/>
      <charset val="128"/>
    </font>
    <font>
      <sz val="9"/>
      <color rgb="FF000000"/>
      <name val="ＭＳ Ｐゴシック"/>
      <family val="3"/>
      <charset val="128"/>
    </font>
    <font>
      <sz val="11"/>
      <color rgb="FF000000"/>
      <name val="ＭＳ Ｐゴシック"/>
      <family val="3"/>
      <charset val="128"/>
    </font>
    <font>
      <sz val="10"/>
      <name val="Century"/>
      <family val="1"/>
      <charset val="1"/>
    </font>
    <font>
      <sz val="12"/>
      <color rgb="FF0000FF"/>
      <name val="ＭＳ Ｐゴシック"/>
      <family val="3"/>
      <charset val="128"/>
    </font>
    <font>
      <sz val="12"/>
      <color rgb="FF0000FF"/>
      <name val="Century"/>
      <family val="1"/>
      <charset val="1"/>
    </font>
    <font>
      <b val="true"/>
      <sz val="12"/>
      <color rgb="FF0000FF"/>
      <name val="Century"/>
      <family val="1"/>
      <charset val="1"/>
    </font>
    <font>
      <sz val="9"/>
      <name val="Century"/>
      <family val="1"/>
      <charset val="1"/>
    </font>
    <font>
      <sz val="14"/>
      <color rgb="FF0000FF"/>
      <name val="Century"/>
      <family val="1"/>
      <charset val="1"/>
    </font>
    <font>
      <sz val="16"/>
      <color rgb="FF0000FF"/>
      <name val="WenQuanYi Zen Hei"/>
      <family val="2"/>
    </font>
    <font>
      <sz val="16"/>
      <name val="WenQuanYi Zen Hei"/>
      <family val="2"/>
      <charset val="1"/>
    </font>
    <font>
      <sz val="24"/>
      <name val="ＭＳ ゴシック"/>
      <family val="3"/>
      <charset val="128"/>
    </font>
    <font>
      <sz val="14"/>
      <color rgb="FF800080"/>
      <name val="ＭＳ ゴシック"/>
      <family val="3"/>
      <charset val="128"/>
    </font>
    <font>
      <sz val="14"/>
      <color rgb="FF800080"/>
      <name val="WenQuanYi Zen Hei"/>
      <family val="2"/>
      <charset val="1"/>
    </font>
    <font>
      <sz val="10"/>
      <color rgb="FF0000FF"/>
      <name val="ＭＳ ゴシック"/>
      <family val="3"/>
      <charset val="128"/>
    </font>
    <font>
      <sz val="14"/>
      <color rgb="FF000000"/>
      <name val="ＭＳ ゴシック"/>
      <family val="3"/>
      <charset val="128"/>
    </font>
    <font>
      <sz val="11"/>
      <color rgb="FF993300"/>
      <name val="ＭＳ ゴシック"/>
      <family val="3"/>
      <charset val="128"/>
    </font>
    <font>
      <sz val="18"/>
      <name val="WenQuanYi Zen Hei"/>
      <family val="2"/>
      <charset val="1"/>
    </font>
    <font>
      <sz val="9"/>
      <name val="ＭＳ ゴシック"/>
      <family val="3"/>
      <charset val="128"/>
    </font>
    <font>
      <b val="true"/>
      <sz val="14"/>
      <color rgb="FF993300"/>
      <name val="WenQuanYi Zen Hei"/>
      <family val="2"/>
      <charset val="1"/>
    </font>
    <font>
      <sz val="16"/>
      <name val="ＭＳ ゴシック"/>
      <family val="3"/>
      <charset val="128"/>
    </font>
    <font>
      <sz val="10"/>
      <color rgb="FF800080"/>
      <name val="ＭＳ ゴシック"/>
      <family val="3"/>
      <charset val="128"/>
    </font>
    <font>
      <sz val="10"/>
      <color rgb="FF800080"/>
      <name val="WenQuanYi Zen Hei"/>
      <family val="2"/>
      <charset val="1"/>
    </font>
    <font>
      <sz val="12"/>
      <color rgb="FF800080"/>
      <name val="ＭＳ ゴシック"/>
      <family val="3"/>
      <charset val="128"/>
    </font>
    <font>
      <sz val="12"/>
      <color rgb="FF800080"/>
      <name val="WenQuanYi Zen Hei"/>
      <family val="2"/>
      <charset val="1"/>
    </font>
    <font>
      <sz val="12"/>
      <color rgb="FF993300"/>
      <name val="ＭＳ ゴシック"/>
      <family val="3"/>
      <charset val="128"/>
    </font>
    <font>
      <sz val="14"/>
      <color rgb="FFFF0000"/>
      <name val="ＭＳ ゴシック"/>
      <family val="3"/>
      <charset val="128"/>
    </font>
    <font>
      <sz val="14"/>
      <color rgb="FF993300"/>
      <name val="ＭＳ Ｐ明朝"/>
      <family val="1"/>
      <charset val="128"/>
    </font>
    <font>
      <sz val="12"/>
      <color rgb="FF993300"/>
      <name val="Century"/>
      <family val="1"/>
      <charset val="1"/>
    </font>
    <font>
      <sz val="14"/>
      <color rgb="FF993300"/>
      <name val="Century"/>
      <family val="1"/>
      <charset val="1"/>
    </font>
    <font>
      <sz val="10"/>
      <color rgb="FF993300"/>
      <name val="Century"/>
      <family val="1"/>
      <charset val="1"/>
    </font>
    <font>
      <sz val="12"/>
      <name val="ＭＳ Ｐゴシック"/>
      <family val="3"/>
      <charset val="128"/>
    </font>
    <font>
      <sz val="12"/>
      <color rgb="FFFF0000"/>
      <name val="Century"/>
      <family val="1"/>
      <charset val="1"/>
    </font>
    <font>
      <sz val="11"/>
      <color rgb="FF993300"/>
      <name val="Century"/>
      <family val="1"/>
      <charset val="1"/>
    </font>
    <font>
      <b val="true"/>
      <sz val="12"/>
      <name val="Century"/>
      <family val="1"/>
      <charset val="1"/>
    </font>
    <font>
      <b val="true"/>
      <sz val="11"/>
      <color rgb="FF0000FF"/>
      <name val="Century"/>
      <family val="1"/>
      <charset val="1"/>
    </font>
    <font>
      <b val="true"/>
      <sz val="11"/>
      <name val="ＭＳ Ｐゴシック"/>
      <family val="3"/>
      <charset val="128"/>
    </font>
    <font>
      <b val="true"/>
      <sz val="14"/>
      <color rgb="FF0000FF"/>
      <name val="Century"/>
      <family val="1"/>
      <charset val="1"/>
    </font>
    <font>
      <sz val="9"/>
      <color rgb="FF993300"/>
      <name val="Century"/>
      <family val="1"/>
      <charset val="1"/>
    </font>
    <font>
      <b val="true"/>
      <sz val="9"/>
      <name val="Century"/>
      <family val="1"/>
      <charset val="1"/>
    </font>
    <font>
      <sz val="11"/>
      <color rgb="FF000000"/>
      <name val="HGP創英角ｺﾞｼｯｸUB"/>
      <family val="3"/>
      <charset val="128"/>
    </font>
  </fonts>
  <fills count="27">
    <fill>
      <patternFill patternType="none"/>
    </fill>
    <fill>
      <patternFill patternType="gray125"/>
    </fill>
    <fill>
      <patternFill patternType="solid">
        <fgColor rgb="FF1F3864"/>
        <bgColor rgb="FF003366"/>
      </patternFill>
    </fill>
    <fill>
      <patternFill patternType="solid">
        <fgColor rgb="FFFFF2CC"/>
        <bgColor rgb="FFFFFFCC"/>
      </patternFill>
    </fill>
    <fill>
      <patternFill patternType="solid">
        <fgColor rgb="FFC00000"/>
        <bgColor rgb="FFFF0000"/>
      </patternFill>
    </fill>
    <fill>
      <patternFill patternType="solid">
        <fgColor rgb="FFD9E2F3"/>
        <bgColor rgb="FFDDEBF7"/>
      </patternFill>
    </fill>
    <fill>
      <patternFill patternType="solid">
        <fgColor rgb="FF2F5597"/>
        <bgColor rgb="FF333399"/>
      </patternFill>
    </fill>
    <fill>
      <patternFill patternType="solid">
        <fgColor rgb="FF7F7F7F"/>
        <bgColor rgb="FF808080"/>
      </patternFill>
    </fill>
    <fill>
      <patternFill patternType="solid">
        <fgColor rgb="FFF2F2F2"/>
        <bgColor rgb="FFDDEBF7"/>
      </patternFill>
    </fill>
    <fill>
      <patternFill patternType="solid">
        <fgColor rgb="FF006666"/>
        <bgColor rgb="FF2F5597"/>
      </patternFill>
    </fill>
    <fill>
      <patternFill patternType="solid">
        <fgColor rgb="FFBF9000"/>
        <bgColor rgb="FFED7D31"/>
      </patternFill>
    </fill>
    <fill>
      <patternFill patternType="solid">
        <fgColor rgb="FFCCFFFF"/>
        <bgColor rgb="FFCCFFCC"/>
      </patternFill>
    </fill>
    <fill>
      <patternFill patternType="solid">
        <fgColor rgb="FF99CC00"/>
        <bgColor rgb="FFBF9000"/>
      </patternFill>
    </fill>
    <fill>
      <patternFill patternType="solid">
        <fgColor rgb="FF808080"/>
        <bgColor rgb="FF7F7F7F"/>
      </patternFill>
    </fill>
    <fill>
      <patternFill patternType="solid">
        <fgColor rgb="FFFFFFFF"/>
        <bgColor rgb="FFF2F2F2"/>
      </patternFill>
    </fill>
    <fill>
      <patternFill patternType="solid">
        <fgColor rgb="FFCC99FF"/>
        <bgColor rgb="FFFF99CC"/>
      </patternFill>
    </fill>
    <fill>
      <patternFill patternType="solid">
        <fgColor rgb="FFFFCC99"/>
        <bgColor rgb="FFF8CBAD"/>
      </patternFill>
    </fill>
    <fill>
      <patternFill patternType="solid">
        <fgColor rgb="FFCCFFCC"/>
        <bgColor rgb="FFCCFFFF"/>
      </patternFill>
    </fill>
    <fill>
      <patternFill patternType="solid">
        <fgColor rgb="FFFF99CC"/>
        <bgColor rgb="FFFF8080"/>
      </patternFill>
    </fill>
    <fill>
      <patternFill patternType="solid">
        <fgColor rgb="FF969696"/>
        <bgColor rgb="FF808080"/>
      </patternFill>
    </fill>
    <fill>
      <patternFill patternType="solid">
        <fgColor rgb="FFFFCC00"/>
        <bgColor rgb="FFFFD966"/>
      </patternFill>
    </fill>
    <fill>
      <patternFill patternType="solid">
        <fgColor rgb="FFFFFF00"/>
        <bgColor rgb="FFFFCC00"/>
      </patternFill>
    </fill>
    <fill>
      <patternFill patternType="solid">
        <fgColor rgb="FFFFFF99"/>
        <bgColor rgb="FFFFEB9C"/>
      </patternFill>
    </fill>
    <fill>
      <patternFill patternType="solid">
        <fgColor rgb="FFC0C0C0"/>
        <bgColor rgb="FFBFBFBF"/>
      </patternFill>
    </fill>
    <fill>
      <patternFill patternType="solid">
        <fgColor rgb="FFFFFFCC"/>
        <bgColor rgb="FFFFF2CC"/>
      </patternFill>
    </fill>
    <fill>
      <patternFill patternType="solid">
        <fgColor rgb="FF99CCFF"/>
        <bgColor rgb="FFC0C0C0"/>
      </patternFill>
    </fill>
    <fill>
      <patternFill patternType="solid">
        <fgColor rgb="FFFF8080"/>
        <bgColor rgb="FFED7D31"/>
      </patternFill>
    </fill>
  </fills>
  <borders count="23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medium"/>
      <right style="thin"/>
      <top style="medium"/>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style="medium"/>
      <right style="thin"/>
      <top style="medium"/>
      <bottom style="thin"/>
      <diagonal/>
    </border>
    <border diagonalUp="false" diagonalDown="false">
      <left/>
      <right style="medium"/>
      <top style="medium"/>
      <bottom style="thin"/>
      <diagonal/>
    </border>
    <border diagonalUp="false" diagonalDown="false">
      <left/>
      <right style="thin"/>
      <top/>
      <bottom style="thin"/>
      <diagonal/>
    </border>
    <border diagonalUp="false" diagonalDown="false">
      <left style="thin"/>
      <right style="medium"/>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bottom style="thin"/>
      <diagonal/>
    </border>
    <border diagonalUp="false" diagonalDown="false">
      <left style="medium"/>
      <right/>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right/>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medium"/>
      <right style="medium"/>
      <top/>
      <bottom/>
      <diagonal/>
    </border>
    <border diagonalUp="false" diagonalDown="false">
      <left style="medium"/>
      <right style="thin"/>
      <top style="thin"/>
      <bottom/>
      <diagonal/>
    </border>
    <border diagonalUp="false" diagonalDown="false">
      <left/>
      <right style="medium"/>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style="medium"/>
      <diagonal/>
    </border>
    <border diagonalUp="false" diagonalDown="false">
      <left style="medium"/>
      <right style="medium"/>
      <top style="medium"/>
      <bottom style="thin"/>
      <diagonal/>
    </border>
    <border diagonalUp="false" diagonalDown="false">
      <left style="medium"/>
      <right style="medium"/>
      <top style="thin"/>
      <bottom/>
      <diagonal/>
    </border>
    <border diagonalUp="false" diagonalDown="false">
      <left/>
      <right/>
      <top style="thin"/>
      <bottom/>
      <diagonal/>
    </border>
    <border diagonalUp="false" diagonalDown="false">
      <left style="thin"/>
      <right/>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right style="thin"/>
      <top/>
      <bottom/>
      <diagonal/>
    </border>
    <border diagonalUp="false" diagonalDown="false">
      <left style="thin"/>
      <right style="thin"/>
      <top/>
      <bottom/>
      <diagonal/>
    </border>
    <border diagonalUp="false" diagonalDown="false">
      <left/>
      <right style="medium"/>
      <top/>
      <bottom/>
      <diagonal/>
    </border>
    <border diagonalUp="true" diagonalDown="false">
      <left/>
      <right/>
      <top style="medium"/>
      <bottom/>
      <diagonal style="thin"/>
    </border>
    <border diagonalUp="true" diagonalDown="false">
      <left/>
      <right style="medium"/>
      <top style="medium"/>
      <bottom/>
      <diagonal style="thin"/>
    </border>
    <border diagonalUp="true" diagonalDown="true">
      <left style="medium"/>
      <right/>
      <top style="medium"/>
      <bottom/>
      <diagonal style="medium"/>
    </border>
    <border diagonalUp="true" diagonalDown="true">
      <left/>
      <right/>
      <top style="medium"/>
      <bottom/>
      <diagonal style="medium"/>
    </border>
    <border diagonalUp="true" diagonalDown="true">
      <left/>
      <right style="medium"/>
      <top style="medium"/>
      <bottom/>
      <diagonal style="medium"/>
    </border>
    <border diagonalUp="true" diagonalDown="false">
      <left/>
      <right/>
      <top/>
      <bottom/>
      <diagonal style="thin"/>
    </border>
    <border diagonalUp="true" diagonalDown="false">
      <left/>
      <right style="medium"/>
      <top/>
      <bottom/>
      <diagonal style="thin"/>
    </border>
    <border diagonalUp="true" diagonalDown="true">
      <left style="medium"/>
      <right/>
      <top/>
      <bottom/>
      <diagonal style="medium"/>
    </border>
    <border diagonalUp="true" diagonalDown="true">
      <left/>
      <right/>
      <top/>
      <bottom/>
      <diagonal style="medium"/>
    </border>
    <border diagonalUp="true" diagonalDown="true">
      <left/>
      <right style="medium"/>
      <top/>
      <bottom/>
      <diagonal style="medium"/>
    </border>
    <border diagonalUp="false" diagonalDown="false">
      <left style="medium"/>
      <right style="thin"/>
      <top/>
      <bottom style="medium"/>
      <diagonal/>
    </border>
    <border diagonalUp="false" diagonalDown="false">
      <left style="thin"/>
      <right style="medium"/>
      <top/>
      <bottom style="medium"/>
      <diagonal/>
    </border>
    <border diagonalUp="false" diagonalDown="false">
      <left style="thin"/>
      <right/>
      <top/>
      <bottom style="medium"/>
      <diagonal/>
    </border>
    <border diagonalUp="false" diagonalDown="false">
      <left style="medium"/>
      <right/>
      <top/>
      <bottom style="medium"/>
      <diagonal/>
    </border>
    <border diagonalUp="false" diagonalDown="false">
      <left/>
      <right/>
      <top style="medium"/>
      <bottom style="medium"/>
      <diagonal/>
    </border>
    <border diagonalUp="false" diagonalDown="false">
      <left style="medium"/>
      <right style="medium"/>
      <top/>
      <bottom style="medium"/>
      <diagonal/>
    </border>
    <border diagonalUp="false" diagonalDown="false">
      <left style="thin"/>
      <right style="thin"/>
      <top/>
      <bottom style="medium"/>
      <diagonal/>
    </border>
    <border diagonalUp="false" diagonalDown="false">
      <left style="medium"/>
      <right/>
      <top style="thin"/>
      <bottom/>
      <diagonal/>
    </border>
    <border diagonalUp="false" diagonalDown="false">
      <left style="medium"/>
      <right/>
      <top style="thin"/>
      <bottom style="thin"/>
      <diagonal/>
    </border>
    <border diagonalUp="false" diagonalDown="false">
      <left style="medium"/>
      <right/>
      <top/>
      <bottom/>
      <diagonal/>
    </border>
    <border diagonalUp="false" diagonalDown="false">
      <left style="medium"/>
      <right style="thin"/>
      <top style="thin"/>
      <bottom style="medium"/>
      <diagonal/>
    </border>
    <border diagonalUp="true" diagonalDown="false">
      <left style="medium"/>
      <right/>
      <top style="medium"/>
      <bottom/>
      <diagonal style="thin"/>
    </border>
    <border diagonalUp="true" diagonalDown="false">
      <left style="medium"/>
      <right/>
      <top/>
      <bottom/>
      <diagonal style="thin"/>
    </border>
    <border diagonalUp="false" diagonalDown="false">
      <left style="medium"/>
      <right/>
      <top style="medium"/>
      <bottom style="medium"/>
      <diagonal/>
    </border>
    <border diagonalUp="false" diagonalDown="false">
      <left/>
      <right style="thin"/>
      <top/>
      <bottom style="medium"/>
      <diagonal/>
    </border>
    <border diagonalUp="false" diagonalDown="false">
      <left style="medium"/>
      <right/>
      <top style="medium"/>
      <bottom style="thin"/>
      <diagonal/>
    </border>
    <border diagonalUp="false" diagonalDown="false">
      <left style="medium"/>
      <right style="thin"/>
      <top style="medium"/>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true" diagonalDown="false">
      <left style="medium"/>
      <right style="medium"/>
      <top/>
      <bottom style="medium"/>
      <diagonal style="thin"/>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thin"/>
      <right/>
      <top style="medium"/>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right style="thin"/>
      <top style="medium"/>
      <bottom/>
      <diagonal/>
    </border>
    <border diagonalUp="false" diagonalDown="false">
      <left/>
      <right style="thin"/>
      <top style="thin"/>
      <bottom/>
      <diagonal/>
    </border>
    <border diagonalUp="false" diagonalDown="false">
      <left style="thin"/>
      <right/>
      <top/>
      <bottom/>
      <diagonal/>
    </border>
    <border diagonalUp="false" diagonalDown="false">
      <left/>
      <right style="thin"/>
      <top style="thin"/>
      <bottom style="medium"/>
      <diagonal/>
    </border>
    <border diagonalUp="false" diagonalDown="false">
      <left style="medium"/>
      <right style="medium"/>
      <top style="thin"/>
      <bottom style="medium"/>
      <diagonal/>
    </border>
    <border diagonalUp="false" diagonalDown="false">
      <left style="thin"/>
      <right style="double"/>
      <top style="medium"/>
      <bottom style="medium"/>
      <diagonal/>
    </border>
    <border diagonalUp="false" diagonalDown="false">
      <left style="thin"/>
      <right style="dashed"/>
      <top style="medium"/>
      <bottom style="medium"/>
      <diagonal/>
    </border>
    <border diagonalUp="false" diagonalDown="false">
      <left style="dashed"/>
      <right style="dashed"/>
      <top style="medium"/>
      <bottom style="medium"/>
      <diagonal/>
    </border>
    <border diagonalUp="false" diagonalDown="false">
      <left/>
      <right style="dashed"/>
      <top style="medium"/>
      <bottom style="medium"/>
      <diagonal/>
    </border>
    <border diagonalUp="false" diagonalDown="false">
      <left style="dashed"/>
      <right/>
      <top style="medium"/>
      <bottom style="medium"/>
      <diagonal/>
    </border>
    <border diagonalUp="false" diagonalDown="false">
      <left style="dotted"/>
      <right style="dotted"/>
      <top style="medium"/>
      <bottom style="medium"/>
      <diagonal/>
    </border>
    <border diagonalUp="false" diagonalDown="false">
      <left style="dotted"/>
      <right style="medium"/>
      <top style="medium"/>
      <bottom style="medium"/>
      <diagonal/>
    </border>
    <border diagonalUp="false" diagonalDown="false">
      <left style="thin"/>
      <right style="double"/>
      <top/>
      <bottom style="thin"/>
      <diagonal/>
    </border>
    <border diagonalUp="false" diagonalDown="false">
      <left style="thin"/>
      <right/>
      <top style="medium"/>
      <bottom style="thin"/>
      <diagonal/>
    </border>
    <border diagonalUp="false" diagonalDown="false">
      <left style="thin"/>
      <right style="dashed"/>
      <top style="medium"/>
      <bottom style="thin"/>
      <diagonal/>
    </border>
    <border diagonalUp="false" diagonalDown="false">
      <left style="dashed"/>
      <right style="dashed"/>
      <top style="medium"/>
      <bottom style="thin"/>
      <diagonal/>
    </border>
    <border diagonalUp="false" diagonalDown="false">
      <left/>
      <right style="dashed"/>
      <top style="medium"/>
      <bottom style="thin"/>
      <diagonal/>
    </border>
    <border diagonalUp="false" diagonalDown="false">
      <left style="dashed"/>
      <right/>
      <top style="medium"/>
      <bottom style="thin"/>
      <diagonal/>
    </border>
    <border diagonalUp="false" diagonalDown="false">
      <left style="dotted"/>
      <right style="dotted"/>
      <top style="medium"/>
      <bottom style="thin"/>
      <diagonal/>
    </border>
    <border diagonalUp="false" diagonalDown="false">
      <left style="dotted"/>
      <right style="medium"/>
      <top style="medium"/>
      <bottom style="thin"/>
      <diagonal/>
    </border>
    <border diagonalUp="false" diagonalDown="false">
      <left style="thin"/>
      <right style="dashed"/>
      <top style="thin"/>
      <bottom style="thin"/>
      <diagonal/>
    </border>
    <border diagonalUp="false" diagonalDown="false">
      <left style="dashed"/>
      <right style="dashed"/>
      <top style="thin"/>
      <bottom style="thin"/>
      <diagonal/>
    </border>
    <border diagonalUp="false" diagonalDown="false">
      <left/>
      <right style="dashed"/>
      <top style="thin"/>
      <bottom style="thin"/>
      <diagonal/>
    </border>
    <border diagonalUp="false" diagonalDown="false">
      <left style="dashed"/>
      <right/>
      <top/>
      <bottom style="thin"/>
      <diagonal/>
    </border>
    <border diagonalUp="false" diagonalDown="false">
      <left style="dotted"/>
      <right style="dotted"/>
      <top style="thin"/>
      <bottom style="thin"/>
      <diagonal/>
    </border>
    <border diagonalUp="false" diagonalDown="false">
      <left style="dotted"/>
      <right style="medium"/>
      <top style="thin"/>
      <bottom style="thin"/>
      <diagonal/>
    </border>
    <border diagonalUp="false" diagonalDown="false">
      <left style="dashed"/>
      <right/>
      <top style="thin"/>
      <bottom style="thin"/>
      <diagonal/>
    </border>
    <border diagonalUp="false" diagonalDown="false">
      <left style="dashed"/>
      <right style="dotted"/>
      <top style="thin"/>
      <bottom style="thin"/>
      <diagonal/>
    </border>
    <border diagonalUp="false" diagonalDown="false">
      <left/>
      <right style="dotted"/>
      <top style="thin"/>
      <bottom style="thin"/>
      <diagonal/>
    </border>
    <border diagonalUp="false" diagonalDown="false">
      <left style="dashed"/>
      <right style="dashed"/>
      <top/>
      <bottom/>
      <diagonal/>
    </border>
    <border diagonalUp="false" diagonalDown="false">
      <left style="thin"/>
      <right/>
      <top style="thin"/>
      <bottom style="medium"/>
      <diagonal/>
    </border>
    <border diagonalUp="false" diagonalDown="false">
      <left style="thin"/>
      <right style="double"/>
      <top style="thin"/>
      <bottom style="medium"/>
      <diagonal/>
    </border>
    <border diagonalUp="false" diagonalDown="false">
      <left style="thin"/>
      <right style="dashed"/>
      <top style="thin"/>
      <bottom style="medium"/>
      <diagonal/>
    </border>
    <border diagonalUp="false" diagonalDown="false">
      <left style="dashed"/>
      <right style="dashed"/>
      <top style="thin"/>
      <bottom style="medium"/>
      <diagonal/>
    </border>
    <border diagonalUp="false" diagonalDown="false">
      <left/>
      <right style="dashed"/>
      <top style="thin"/>
      <bottom style="medium"/>
      <diagonal/>
    </border>
    <border diagonalUp="false" diagonalDown="false">
      <left style="dashed"/>
      <right/>
      <top style="thin"/>
      <bottom style="medium"/>
      <diagonal/>
    </border>
    <border diagonalUp="false" diagonalDown="false">
      <left style="dotted"/>
      <right style="dotted"/>
      <top style="thin"/>
      <bottom style="medium"/>
      <diagonal/>
    </border>
    <border diagonalUp="false" diagonalDown="false">
      <left style="dotted"/>
      <right style="medium"/>
      <top style="thin"/>
      <bottom style="medium"/>
      <diagonal/>
    </border>
    <border diagonalUp="false" diagonalDown="false">
      <left style="double"/>
      <right style="medium"/>
      <top style="medium"/>
      <bottom style="medium"/>
      <diagonal/>
    </border>
    <border diagonalUp="false" diagonalDown="false">
      <left style="double"/>
      <right style="medium"/>
      <top/>
      <bottom style="thin"/>
      <diagonal/>
    </border>
    <border diagonalUp="false" diagonalDown="false">
      <left style="dashed"/>
      <right style="dotted"/>
      <top style="medium"/>
      <bottom style="thin"/>
      <diagonal/>
    </border>
    <border diagonalUp="false" diagonalDown="false">
      <left/>
      <right style="dotted"/>
      <top style="medium"/>
      <bottom style="thin"/>
      <diagonal/>
    </border>
    <border diagonalUp="false" diagonalDown="false">
      <left style="dotted"/>
      <right/>
      <top style="medium"/>
      <bottom style="thin"/>
      <diagonal/>
    </border>
    <border diagonalUp="false" diagonalDown="false">
      <left style="dashed"/>
      <right style="dashed"/>
      <top/>
      <bottom style="thin"/>
      <diagonal/>
    </border>
    <border diagonalUp="false" diagonalDown="false">
      <left style="dotted"/>
      <right/>
      <top style="thin"/>
      <bottom style="thin"/>
      <diagonal/>
    </border>
    <border diagonalUp="false" diagonalDown="false">
      <left style="dashed"/>
      <right style="dotted"/>
      <top/>
      <bottom style="thin"/>
      <diagonal/>
    </border>
    <border diagonalUp="false" diagonalDown="false">
      <left style="double"/>
      <right style="medium"/>
      <top style="thin"/>
      <bottom style="medium"/>
      <diagonal/>
    </border>
    <border diagonalUp="false" diagonalDown="false">
      <left style="dashed"/>
      <right style="dotted"/>
      <top style="thin"/>
      <bottom style="medium"/>
      <diagonal/>
    </border>
    <border diagonalUp="false" diagonalDown="false">
      <left/>
      <right style="dotted"/>
      <top style="thin"/>
      <bottom style="medium"/>
      <diagonal/>
    </border>
    <border diagonalUp="false" diagonalDown="false">
      <left style="dotted"/>
      <right/>
      <top style="thin"/>
      <bottom style="medium"/>
      <diagonal/>
    </border>
    <border diagonalUp="false" diagonalDown="false">
      <left style="double"/>
      <right style="medium"/>
      <top/>
      <bottom style="medium"/>
      <diagonal/>
    </border>
    <border diagonalUp="false" diagonalDown="false">
      <left style="dashed"/>
      <right style="dotted"/>
      <top style="medium"/>
      <bottom style="medium"/>
      <diagonal/>
    </border>
    <border diagonalUp="false" diagonalDown="false">
      <left/>
      <right style="dotted"/>
      <top style="medium"/>
      <bottom style="medium"/>
      <diagonal/>
    </border>
    <border diagonalUp="false" diagonalDown="false">
      <left style="dotted"/>
      <right/>
      <top style="medium"/>
      <bottom style="medium"/>
      <diagonal/>
    </border>
    <border diagonalUp="false" diagonalDown="false">
      <left style="dashed"/>
      <right style="thin"/>
      <top style="medium"/>
      <bottom style="medium"/>
      <diagonal/>
    </border>
    <border diagonalUp="false" diagonalDown="false">
      <left style="dashed"/>
      <right style="double"/>
      <top style="medium"/>
      <bottom style="medium"/>
      <diagonal/>
    </border>
    <border diagonalUp="false" diagonalDown="false">
      <left/>
      <right style="double"/>
      <top style="medium"/>
      <bottom style="thin"/>
      <diagonal/>
    </border>
    <border diagonalUp="false" diagonalDown="false">
      <left style="dashed"/>
      <right style="thin"/>
      <top style="medium"/>
      <bottom style="thin"/>
      <diagonal/>
    </border>
    <border diagonalUp="false" diagonalDown="false">
      <left style="dashed"/>
      <right style="double"/>
      <top style="medium"/>
      <bottom style="thin"/>
      <diagonal/>
    </border>
    <border diagonalUp="false" diagonalDown="false">
      <left/>
      <right style="double"/>
      <top/>
      <bottom style="thin"/>
      <diagonal/>
    </border>
    <border diagonalUp="false" diagonalDown="false">
      <left style="dashed"/>
      <right style="thin"/>
      <top style="thin"/>
      <bottom style="thin"/>
      <diagonal/>
    </border>
    <border diagonalUp="false" diagonalDown="false">
      <left/>
      <right style="double"/>
      <top style="thin"/>
      <bottom style="thin"/>
      <diagonal/>
    </border>
    <border diagonalUp="false" diagonalDown="false">
      <left/>
      <right style="double"/>
      <top/>
      <bottom/>
      <diagonal/>
    </border>
    <border diagonalUp="false" diagonalDown="false">
      <left style="double"/>
      <right style="medium"/>
      <top/>
      <bottom/>
      <diagonal/>
    </border>
    <border diagonalUp="false" diagonalDown="false">
      <left style="thin"/>
      <right style="dashed"/>
      <top style="thin"/>
      <bottom/>
      <diagonal/>
    </border>
    <border diagonalUp="false" diagonalDown="false">
      <left style="dashed"/>
      <right style="thin"/>
      <top style="thin"/>
      <bottom/>
      <diagonal/>
    </border>
    <border diagonalUp="false" diagonalDown="false">
      <left/>
      <right style="dashed"/>
      <top style="thin"/>
      <bottom/>
      <diagonal/>
    </border>
    <border diagonalUp="false" diagonalDown="false">
      <left/>
      <right style="double"/>
      <top style="thin"/>
      <bottom/>
      <diagonal/>
    </border>
    <border diagonalUp="false" diagonalDown="false">
      <left style="double"/>
      <right style="medium"/>
      <top style="thin"/>
      <bottom style="thin"/>
      <diagonal/>
    </border>
    <border diagonalUp="false" diagonalDown="false">
      <left/>
      <right style="double"/>
      <top style="medium"/>
      <bottom style="medium"/>
      <diagonal/>
    </border>
    <border diagonalUp="false" diagonalDown="false">
      <left style="hair"/>
      <right style="thin"/>
      <top style="thin"/>
      <bottom style="thin"/>
      <diagonal/>
    </border>
    <border diagonalUp="false" diagonalDown="false">
      <left style="hair"/>
      <right/>
      <top style="thin"/>
      <bottom style="thin"/>
      <diagonal/>
    </border>
    <border diagonalUp="false" diagonalDown="false">
      <left style="hair"/>
      <right style="hair"/>
      <top style="thin"/>
      <bottom style="thin"/>
      <diagonal/>
    </border>
    <border diagonalUp="false" diagonalDown="false">
      <left/>
      <right/>
      <top style="thin"/>
      <bottom style="medium"/>
      <diagonal/>
    </border>
    <border diagonalUp="false" diagonalDown="false">
      <left style="medium"/>
      <right style="thin"/>
      <top style="thin"/>
      <bottom style="double"/>
      <diagonal/>
    </border>
    <border diagonalUp="false" diagonalDown="false">
      <left style="thin"/>
      <right style="medium"/>
      <top/>
      <bottom style="double"/>
      <diagonal/>
    </border>
    <border diagonalUp="false" diagonalDown="false">
      <left style="thin"/>
      <right style="medium"/>
      <top style="thin"/>
      <bottom style="double"/>
      <diagonal/>
    </border>
    <border diagonalUp="false" diagonalDown="false">
      <left style="medium"/>
      <right/>
      <top style="thin"/>
      <bottom style="double"/>
      <diagonal/>
    </border>
    <border diagonalUp="false" diagonalDown="false">
      <left style="medium"/>
      <right style="thin"/>
      <top style="double"/>
      <bottom style="medium"/>
      <diagonal/>
    </border>
    <border diagonalUp="false" diagonalDown="false">
      <left style="thin"/>
      <right style="medium"/>
      <top style="double"/>
      <bottom style="medium"/>
      <diagonal/>
    </border>
    <border diagonalUp="false" diagonalDown="false">
      <left style="medium"/>
      <right/>
      <top style="double"/>
      <bottom style="medium"/>
      <diagonal/>
    </border>
    <border diagonalUp="false" diagonalDown="false">
      <left style="medium"/>
      <right style="thin"/>
      <top/>
      <bottom style="dotted"/>
      <diagonal/>
    </border>
    <border diagonalUp="false" diagonalDown="false">
      <left style="thin"/>
      <right style="double"/>
      <top/>
      <bottom style="dotted"/>
      <diagonal/>
    </border>
    <border diagonalUp="false" diagonalDown="false">
      <left/>
      <right style="thin"/>
      <top/>
      <bottom style="dotted"/>
      <diagonal/>
    </border>
    <border diagonalUp="false" diagonalDown="false">
      <left style="thin"/>
      <right style="thin"/>
      <top style="medium"/>
      <bottom style="dotted"/>
      <diagonal/>
    </border>
    <border diagonalUp="false" diagonalDown="false">
      <left/>
      <right style="thin"/>
      <top style="medium"/>
      <bottom style="dotted"/>
      <diagonal/>
    </border>
    <border diagonalUp="false" diagonalDown="false">
      <left style="thin"/>
      <right style="medium"/>
      <top style="medium"/>
      <bottom style="dotted"/>
      <diagonal/>
    </border>
    <border diagonalUp="false" diagonalDown="false">
      <left style="thin"/>
      <right style="thin"/>
      <top style="thin"/>
      <bottom style="dotted"/>
      <diagonal/>
    </border>
    <border diagonalUp="false" diagonalDown="false">
      <left style="thin"/>
      <right style="thin"/>
      <top style="dotted"/>
      <bottom style="thin"/>
      <diagonal/>
    </border>
    <border diagonalUp="false" diagonalDown="false">
      <left/>
      <right style="thin"/>
      <top style="dotted"/>
      <bottom style="thin"/>
      <diagonal/>
    </border>
    <border diagonalUp="false" diagonalDown="false">
      <left style="thin"/>
      <right style="medium"/>
      <top style="dotted"/>
      <bottom style="thin"/>
      <diagonal/>
    </border>
    <border diagonalUp="false" diagonalDown="false">
      <left style="thin"/>
      <right style="thin"/>
      <top/>
      <bottom style="dotted"/>
      <diagonal/>
    </border>
    <border diagonalUp="false" diagonalDown="false">
      <left style="thin"/>
      <right style="medium"/>
      <top/>
      <bottom style="dotted"/>
      <diagonal/>
    </border>
    <border diagonalUp="false" diagonalDown="false">
      <left style="medium"/>
      <right style="thin"/>
      <top style="dotted"/>
      <bottom style="double"/>
      <diagonal/>
    </border>
    <border diagonalUp="false" diagonalDown="false">
      <left style="thin"/>
      <right style="double"/>
      <top style="dotted"/>
      <bottom style="double"/>
      <diagonal/>
    </border>
    <border diagonalUp="false" diagonalDown="false">
      <left/>
      <right style="thin"/>
      <top style="dotted"/>
      <bottom style="double"/>
      <diagonal/>
    </border>
    <border diagonalUp="false" diagonalDown="false">
      <left style="thin"/>
      <right style="thin"/>
      <top style="dotted"/>
      <bottom style="double"/>
      <diagonal/>
    </border>
    <border diagonalUp="false" diagonalDown="false">
      <left style="thin"/>
      <right style="double"/>
      <top/>
      <bottom style="medium"/>
      <diagonal/>
    </border>
    <border diagonalUp="false" diagonalDown="false">
      <left/>
      <right style="thin"/>
      <top style="double"/>
      <bottom style="medium"/>
      <diagonal/>
    </border>
    <border diagonalUp="false" diagonalDown="false">
      <left style="thin"/>
      <right style="thin"/>
      <top style="double"/>
      <bottom style="medium"/>
      <diagonal/>
    </border>
    <border diagonalUp="false" diagonalDown="false">
      <left style="thin"/>
      <right style="thin"/>
      <top style="double"/>
      <bottom style="thin"/>
      <diagonal/>
    </border>
    <border diagonalUp="false" diagonalDown="false">
      <left style="thin"/>
      <right style="hair"/>
      <top style="medium"/>
      <bottom style="medium"/>
      <diagonal/>
    </border>
    <border diagonalUp="false" diagonalDown="false">
      <left style="hair"/>
      <right style="thin"/>
      <top style="medium"/>
      <bottom style="medium"/>
      <diagonal/>
    </border>
    <border diagonalUp="false" diagonalDown="false">
      <left style="thin"/>
      <right style="hair"/>
      <top style="medium"/>
      <bottom style="dotted"/>
      <diagonal/>
    </border>
    <border diagonalUp="false" diagonalDown="false">
      <left style="hair"/>
      <right style="thin"/>
      <top style="medium"/>
      <bottom style="dotted"/>
      <diagonal/>
    </border>
    <border diagonalUp="false" diagonalDown="false">
      <left style="thin"/>
      <right style="double"/>
      <top style="dotted"/>
      <bottom style="thin"/>
      <diagonal/>
    </border>
    <border diagonalUp="false" diagonalDown="false">
      <left style="thin"/>
      <right style="hair"/>
      <top style="dotted"/>
      <bottom style="thin"/>
      <diagonal/>
    </border>
    <border diagonalUp="false" diagonalDown="false">
      <left style="hair"/>
      <right style="thin"/>
      <top style="dotted"/>
      <bottom style="thin"/>
      <diagonal/>
    </border>
    <border diagonalUp="false" diagonalDown="false">
      <left style="thin"/>
      <right style="hair"/>
      <top/>
      <bottom style="dotted"/>
      <diagonal/>
    </border>
    <border diagonalUp="false" diagonalDown="false">
      <left style="hair"/>
      <right style="thin"/>
      <top/>
      <bottom style="dotted"/>
      <diagonal/>
    </border>
    <border diagonalUp="false" diagonalDown="false">
      <left style="medium"/>
      <right style="thin"/>
      <top style="dotted"/>
      <bottom style="thin"/>
      <diagonal/>
    </border>
    <border diagonalUp="false" diagonalDown="false">
      <left style="double"/>
      <right style="thin"/>
      <top style="dotted"/>
      <bottom style="thin"/>
      <diagonal/>
    </border>
    <border diagonalUp="false" diagonalDown="false">
      <left style="hair"/>
      <right style="thin"/>
      <top style="thin"/>
      <bottom style="dotted"/>
      <diagonal/>
    </border>
    <border diagonalUp="false" diagonalDown="false">
      <left style="thin"/>
      <right style="medium"/>
      <top style="dotted"/>
      <bottom style="double"/>
      <diagonal/>
    </border>
    <border diagonalUp="false" diagonalDown="false">
      <left style="double"/>
      <right style="thin"/>
      <top style="double"/>
      <bottom style="medium"/>
      <diagonal/>
    </border>
    <border diagonalUp="false" diagonalDown="false">
      <left style="thin"/>
      <right style="hair"/>
      <top style="double"/>
      <bottom style="medium"/>
      <diagonal/>
    </border>
    <border diagonalUp="false" diagonalDown="false">
      <left style="hair"/>
      <right style="thin"/>
      <top style="double"/>
      <bottom style="medium"/>
      <diagonal/>
    </border>
    <border diagonalUp="false" diagonalDown="false">
      <left/>
      <right/>
      <top style="double"/>
      <bottom style="medium"/>
      <diagonal/>
    </border>
    <border diagonalUp="false" diagonalDown="false">
      <left style="thin"/>
      <right style="double"/>
      <top style="medium"/>
      <bottom style="dashed"/>
      <diagonal/>
    </border>
    <border diagonalUp="false" diagonalDown="false">
      <left style="thin"/>
      <right/>
      <top style="medium"/>
      <bottom style="dashed"/>
      <diagonal/>
    </border>
    <border diagonalUp="false" diagonalDown="false">
      <left style="thin"/>
      <right style="dashed"/>
      <top style="dashed"/>
      <bottom style="medium"/>
      <diagonal/>
    </border>
    <border diagonalUp="false" diagonalDown="false">
      <left style="dashed"/>
      <right style="double"/>
      <top style="dashed"/>
      <bottom style="medium"/>
      <diagonal/>
    </border>
    <border diagonalUp="false" diagonalDown="false">
      <left style="thin"/>
      <right style="dashed"/>
      <top/>
      <bottom style="medium"/>
      <diagonal/>
    </border>
    <border diagonalUp="false" diagonalDown="false">
      <left style="dashed"/>
      <right style="dashed"/>
      <top style="dashed"/>
      <bottom style="medium"/>
      <diagonal/>
    </border>
    <border diagonalUp="false" diagonalDown="false">
      <left style="thin"/>
      <right style="dashed"/>
      <top/>
      <bottom style="thin"/>
      <diagonal/>
    </border>
    <border diagonalUp="false" diagonalDown="false">
      <left style="dashed"/>
      <right style="double"/>
      <top/>
      <bottom style="thin"/>
      <diagonal/>
    </border>
    <border diagonalUp="false" diagonalDown="false">
      <left style="dashed"/>
      <right style="double"/>
      <top style="thin"/>
      <bottom style="thin"/>
      <diagonal/>
    </border>
    <border diagonalUp="false" diagonalDown="false">
      <left style="medium"/>
      <right style="thin"/>
      <top/>
      <bottom style="double"/>
      <diagonal/>
    </border>
    <border diagonalUp="false" diagonalDown="false">
      <left style="thin"/>
      <right style="thin"/>
      <top style="thin"/>
      <bottom style="double"/>
      <diagonal/>
    </border>
    <border diagonalUp="false" diagonalDown="false">
      <left style="thin"/>
      <right style="dashed"/>
      <top style="double"/>
      <bottom style="medium"/>
      <diagonal/>
    </border>
    <border diagonalUp="false" diagonalDown="false">
      <left style="dashed"/>
      <right style="dashed"/>
      <top style="double"/>
      <bottom style="medium"/>
      <diagonal/>
    </border>
    <border diagonalUp="false" diagonalDown="false">
      <left style="double"/>
      <right style="medium"/>
      <top style="double"/>
      <bottom style="medium"/>
      <diagonal/>
    </border>
    <border diagonalUp="false" diagonalDown="false">
      <left/>
      <right style="medium"/>
      <top/>
      <bottom style="double"/>
      <diagonal/>
    </border>
    <border diagonalUp="false" diagonalDown="false">
      <left/>
      <right style="double"/>
      <top style="dashed"/>
      <bottom style="medium"/>
      <diagonal/>
    </border>
    <border diagonalUp="false" diagonalDown="false">
      <left style="thin"/>
      <right style="dashed"/>
      <top style="thin"/>
      <bottom style="double"/>
      <diagonal/>
    </border>
    <border diagonalUp="false" diagonalDown="false">
      <left style="dashed"/>
      <right style="double"/>
      <top style="thin"/>
      <bottom style="double"/>
      <diagonal/>
    </border>
    <border diagonalUp="false" diagonalDown="false">
      <left style="dashed"/>
      <right style="double"/>
      <top style="double"/>
      <bottom style="medium"/>
      <diagonal/>
    </border>
    <border diagonalUp="false" diagonalDown="false">
      <left style="medium"/>
      <right style="medium"/>
      <top style="medium"/>
      <bottom/>
      <diagonal/>
    </border>
    <border diagonalUp="false" diagonalDown="false">
      <left style="thin"/>
      <right style="double"/>
      <top style="thin"/>
      <bottom style="thin"/>
      <diagonal/>
    </border>
    <border diagonalUp="false" diagonalDown="false">
      <left style="thin"/>
      <right style="double"/>
      <top style="thin"/>
      <bottom/>
      <diagonal/>
    </border>
    <border diagonalUp="false" diagonalDown="false">
      <left style="thin"/>
      <right style="thin"/>
      <top/>
      <bottom style="double"/>
      <diagonal/>
    </border>
    <border diagonalUp="false" diagonalDown="false">
      <left style="thin"/>
      <right style="double"/>
      <top/>
      <bottom style="double"/>
      <diagonal/>
    </border>
    <border diagonalUp="false" diagonalDown="false">
      <left style="thin">
        <color rgb="FF800080"/>
      </left>
      <right style="thin">
        <color rgb="FF800080"/>
      </right>
      <top style="thin">
        <color rgb="FF800080"/>
      </top>
      <bottom/>
      <diagonal/>
    </border>
    <border diagonalUp="false" diagonalDown="false">
      <left style="thin">
        <color rgb="FF800080"/>
      </left>
      <right style="thin">
        <color rgb="FF800080"/>
      </right>
      <top/>
      <bottom/>
      <diagonal/>
    </border>
    <border diagonalUp="false" diagonalDown="false">
      <left style="thin">
        <color rgb="FF800080"/>
      </left>
      <right style="thin">
        <color rgb="FF800080"/>
      </right>
      <top/>
      <bottom style="thin">
        <color rgb="FF800080"/>
      </bottom>
      <diagonal/>
    </border>
    <border diagonalUp="false" diagonalDown="false">
      <left style="thin"/>
      <right style="double"/>
      <top/>
      <bottom/>
      <diagonal/>
    </border>
    <border diagonalUp="false" diagonalDown="false">
      <left style="thin"/>
      <right style="double"/>
      <top style="double"/>
      <bottom style="medium"/>
      <diagonal/>
    </border>
    <border diagonalUp="false" diagonalDown="false">
      <left/>
      <right/>
      <top style="thin">
        <color rgb="FF800080"/>
      </top>
      <bottom/>
      <diagonal/>
    </border>
    <border diagonalUp="false" diagonalDown="false">
      <left/>
      <right style="thin">
        <color rgb="FF993300"/>
      </right>
      <top/>
      <bottom/>
      <diagonal/>
    </border>
    <border diagonalUp="false" diagonalDown="false">
      <left/>
      <right style="thin">
        <color rgb="FF993300"/>
      </right>
      <top style="thin">
        <color rgb="FF993300"/>
      </top>
      <bottom/>
      <diagonal/>
    </border>
    <border diagonalUp="false" diagonalDown="false">
      <left/>
      <right/>
      <top/>
      <bottom style="thin">
        <color rgb="FF993300"/>
      </bottom>
      <diagonal/>
    </border>
    <border diagonalUp="false" diagonalDown="false">
      <left/>
      <right/>
      <top style="thin">
        <color rgb="FF993300"/>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cellStyleXfs>
  <cellXfs count="18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center"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9" fontId="12" fillId="3" borderId="1" xfId="0" applyFont="true" applyBorder="true" applyAlignment="false" applyProtection="false">
      <alignment horizontal="general" vertical="bottom" textRotation="0" wrapText="false" indent="0" shrinkToFit="false"/>
      <protection locked="true" hidden="false"/>
    </xf>
    <xf numFmtId="168" fontId="12" fillId="3"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9" fontId="21" fillId="8" borderId="1" xfId="0" applyFont="true" applyBorder="true" applyAlignment="false" applyProtection="false">
      <alignment horizontal="general" vertical="bottom" textRotation="0" wrapText="false" indent="0" shrinkToFit="false"/>
      <protection locked="true" hidden="false"/>
    </xf>
    <xf numFmtId="167" fontId="21" fillId="8" borderId="1" xfId="0" applyFont="true" applyBorder="true" applyAlignment="false" applyProtection="false">
      <alignment horizontal="general" vertical="bottom" textRotation="0" wrapText="false" indent="0" shrinkToFit="false"/>
      <protection locked="true" hidden="false"/>
    </xf>
    <xf numFmtId="164" fontId="21" fillId="8" borderId="1" xfId="0" applyFont="true" applyBorder="true" applyAlignment="false" applyProtection="false">
      <alignment horizontal="general" vertical="bottom" textRotation="0" wrapText="false" indent="0" shrinkToFit="false"/>
      <protection locked="true" hidden="false"/>
    </xf>
    <xf numFmtId="164" fontId="21" fillId="8" borderId="1" xfId="0" applyFont="tru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23" fillId="7" borderId="0"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9" borderId="1"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68" fontId="32" fillId="0" borderId="1" xfId="0" applyFont="true" applyBorder="true" applyAlignment="true" applyProtection="false">
      <alignment horizontal="center" vertical="center" textRotation="0" wrapText="true" indent="0" shrinkToFit="false"/>
      <protection locked="true" hidden="false"/>
    </xf>
    <xf numFmtId="164" fontId="28" fillId="1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true" applyProtection="false">
      <alignment horizontal="right" vertical="bottom" textRotation="0" wrapText="false" indent="0" shrinkToFit="false"/>
      <protection locked="true" hidden="false"/>
    </xf>
    <xf numFmtId="164" fontId="34" fillId="0" borderId="0" xfId="0" applyFont="true" applyBorder="true" applyAlignment="false" applyProtection="false">
      <alignment horizontal="general" vertical="bottom" textRotation="0" wrapText="false" indent="0" shrinkToFit="false"/>
      <protection locked="true" hidden="false"/>
    </xf>
    <xf numFmtId="164" fontId="35" fillId="8" borderId="1" xfId="0" applyFont="true" applyBorder="true" applyAlignment="true" applyProtection="false">
      <alignment horizontal="center" vertical="center" textRotation="0" wrapText="true" indent="0" shrinkToFit="false"/>
      <protection locked="true" hidden="false"/>
    </xf>
    <xf numFmtId="164" fontId="32" fillId="8" borderId="1" xfId="0" applyFont="true" applyBorder="true" applyAlignment="true" applyProtection="false">
      <alignment horizontal="left" vertical="center" textRotation="0" wrapText="true" indent="0" shrinkToFit="false"/>
      <protection locked="true" hidden="false"/>
    </xf>
    <xf numFmtId="164" fontId="28" fillId="7" borderId="1" xfId="0" applyFont="true" applyBorder="true" applyAlignment="true" applyProtection="false">
      <alignment horizontal="center" vertical="center" textRotation="0" wrapText="true" indent="0" shrinkToFit="false"/>
      <protection locked="true" hidden="false"/>
    </xf>
    <xf numFmtId="164" fontId="36" fillId="0" borderId="1" xfId="0" applyFont="true" applyBorder="true" applyAlignment="true" applyProtection="false">
      <alignment horizontal="center" vertical="center" textRotation="0" wrapText="true" indent="0" shrinkToFit="false"/>
      <protection locked="true" hidden="false"/>
    </xf>
    <xf numFmtId="164" fontId="37" fillId="0" borderId="0" xfId="0" applyFont="true" applyBorder="true" applyAlignment="false" applyProtection="false">
      <alignment horizontal="general" vertical="bottom" textRotation="0" wrapText="false" indent="0" shrinkToFit="false"/>
      <protection locked="true" hidden="false"/>
    </xf>
    <xf numFmtId="167" fontId="12"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71" fontId="12" fillId="3" borderId="1" xfId="0" applyFont="true" applyBorder="true" applyAlignment="true" applyProtection="false">
      <alignment horizontal="right" vertical="bottom" textRotation="0" wrapText="false" indent="0" shrinkToFit="false"/>
      <protection locked="true" hidden="false"/>
    </xf>
    <xf numFmtId="171" fontId="12" fillId="3"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true" applyProtection="false">
      <alignment horizontal="right"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35" fillId="0" borderId="0"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73" fontId="40" fillId="0" borderId="0" xfId="0" applyFont="true" applyBorder="false" applyAlignment="true" applyProtection="true">
      <alignment horizontal="general" vertical="bottom" textRotation="0" wrapText="false" indent="0" shrinkToFit="false"/>
      <protection locked="true" hidden="false"/>
    </xf>
    <xf numFmtId="174" fontId="0" fillId="0" borderId="0" xfId="0" applyFont="false" applyBorder="true" applyAlignment="true" applyProtection="true">
      <alignment horizontal="left" vertical="bottom" textRotation="0" wrapText="false" indent="0" shrinkToFit="false"/>
      <protection locked="true" hidden="false"/>
    </xf>
    <xf numFmtId="173" fontId="0" fillId="0" borderId="0" xfId="0" applyFont="false" applyBorder="true" applyAlignment="true" applyProtection="true">
      <alignment horizontal="general" vertical="bottom" textRotation="0" wrapText="false" indent="0" shrinkToFit="false"/>
      <protection locked="true" hidden="false"/>
    </xf>
    <xf numFmtId="173" fontId="40" fillId="0" borderId="0" xfId="0" applyFont="true" applyBorder="true" applyAlignment="true" applyProtection="true">
      <alignment horizontal="general" vertical="bottom" textRotation="0" wrapText="false" indent="0" shrinkToFit="false"/>
      <protection locked="true" hidden="false"/>
    </xf>
    <xf numFmtId="173" fontId="41" fillId="0" borderId="3" xfId="0" applyFont="true" applyBorder="true" applyAlignment="true" applyProtection="true">
      <alignment horizontal="general" vertical="center" textRotation="0" wrapText="false" indent="0" shrinkToFit="false"/>
      <protection locked="true" hidden="false"/>
    </xf>
    <xf numFmtId="175" fontId="43" fillId="0" borderId="3" xfId="0" applyFont="true" applyBorder="true" applyAlignment="true" applyProtection="true">
      <alignment horizontal="center" vertical="center" textRotation="0" wrapText="false" indent="0" shrinkToFit="false"/>
      <protection locked="true" hidden="false"/>
    </xf>
    <xf numFmtId="175" fontId="44" fillId="0" borderId="3" xfId="0" applyFont="true" applyBorder="true" applyAlignment="true" applyProtection="true">
      <alignment horizontal="center" vertical="center" textRotation="0" wrapText="false" indent="0" shrinkToFit="false"/>
      <protection locked="true" hidden="false"/>
    </xf>
    <xf numFmtId="173" fontId="0" fillId="0" borderId="0" xfId="0" applyFont="false" applyBorder="false" applyAlignment="true" applyProtection="true">
      <alignment horizontal="general" vertical="center" textRotation="0" wrapText="false" indent="0" shrinkToFit="false"/>
      <protection locked="true" hidden="false"/>
    </xf>
    <xf numFmtId="173" fontId="45" fillId="0" borderId="4" xfId="0" applyFont="true" applyBorder="true" applyAlignment="true" applyProtection="true">
      <alignment horizontal="center" vertical="center" textRotation="0" wrapText="false" indent="0" shrinkToFit="false"/>
      <protection locked="true" hidden="false"/>
    </xf>
    <xf numFmtId="173" fontId="45" fillId="0" borderId="5" xfId="0" applyFont="true" applyBorder="true" applyAlignment="true" applyProtection="true">
      <alignment horizontal="center" vertical="bottom" textRotation="0" wrapText="false" indent="0" shrinkToFit="false"/>
      <protection locked="true" hidden="false"/>
    </xf>
    <xf numFmtId="173" fontId="45" fillId="0" borderId="4" xfId="0" applyFont="true" applyBorder="true" applyAlignment="true" applyProtection="true">
      <alignment horizontal="center" vertical="bottom" textRotation="0" wrapText="false" indent="0" shrinkToFit="false"/>
      <protection locked="true" hidden="false"/>
    </xf>
    <xf numFmtId="173" fontId="46" fillId="0" borderId="4" xfId="0" applyFont="true" applyBorder="true" applyAlignment="true" applyProtection="true">
      <alignment horizontal="center" vertical="center" textRotation="0" wrapText="false" indent="0" shrinkToFit="false"/>
      <protection locked="true" hidden="false"/>
    </xf>
    <xf numFmtId="173" fontId="45" fillId="0" borderId="6" xfId="0" applyFont="true" applyBorder="true" applyAlignment="true" applyProtection="true">
      <alignment horizontal="center" vertical="center" textRotation="0" wrapText="false" indent="0" shrinkToFit="false"/>
      <protection locked="true" hidden="false"/>
    </xf>
    <xf numFmtId="173" fontId="45" fillId="0" borderId="7" xfId="0" applyFont="true" applyBorder="true" applyAlignment="true" applyProtection="true">
      <alignment horizontal="center" vertical="center" textRotation="0" wrapText="false" indent="0" shrinkToFit="false"/>
      <protection locked="true" hidden="false"/>
    </xf>
    <xf numFmtId="173" fontId="45" fillId="0" borderId="5" xfId="0" applyFont="true" applyBorder="true" applyAlignment="true" applyProtection="true">
      <alignment horizontal="center" vertical="center" textRotation="0" wrapText="false" indent="0" shrinkToFit="false"/>
      <protection locked="true" hidden="false"/>
    </xf>
    <xf numFmtId="173" fontId="45" fillId="0" borderId="8" xfId="0" applyFont="true" applyBorder="true" applyAlignment="true" applyProtection="true">
      <alignment horizontal="center" vertical="center" textRotation="0" wrapText="false" indent="0" shrinkToFit="false"/>
      <protection locked="true" hidden="false"/>
    </xf>
    <xf numFmtId="173" fontId="47" fillId="0" borderId="8" xfId="0" applyFont="true" applyBorder="true" applyAlignment="true" applyProtection="true">
      <alignment horizontal="center" vertical="center" textRotation="0" wrapText="false" indent="0" shrinkToFit="true"/>
      <protection locked="true" hidden="false"/>
    </xf>
    <xf numFmtId="173" fontId="47" fillId="0" borderId="9" xfId="0" applyFont="true" applyBorder="true" applyAlignment="true" applyProtection="true">
      <alignment horizontal="center" vertical="center" textRotation="0" wrapText="false" indent="0" shrinkToFit="true"/>
      <protection locked="true" hidden="false"/>
    </xf>
    <xf numFmtId="173" fontId="47" fillId="0" borderId="6" xfId="0" applyFont="true" applyBorder="true" applyAlignment="true" applyProtection="true">
      <alignment horizontal="center" vertical="center" textRotation="0" wrapText="false" indent="0" shrinkToFit="true"/>
      <protection locked="true" hidden="false"/>
    </xf>
    <xf numFmtId="173" fontId="48" fillId="11" borderId="10" xfId="0" applyFont="true" applyBorder="true" applyAlignment="true" applyProtection="true">
      <alignment horizontal="left" vertical="bottom" textRotation="0" wrapText="false" indent="0" shrinkToFit="false"/>
      <protection locked="true" hidden="false"/>
    </xf>
    <xf numFmtId="173" fontId="40" fillId="12" borderId="11" xfId="0" applyFont="true" applyBorder="true" applyAlignment="true" applyProtection="true">
      <alignment horizontal="general" vertical="bottom" textRotation="0" wrapText="false" indent="0" shrinkToFit="false"/>
      <protection locked="true" hidden="false"/>
    </xf>
    <xf numFmtId="173" fontId="40" fillId="12" borderId="12" xfId="0" applyFont="true" applyBorder="true" applyAlignment="true" applyProtection="true">
      <alignment horizontal="general" vertical="bottom" textRotation="0" wrapText="false" indent="0" shrinkToFit="false"/>
      <protection locked="true" hidden="false"/>
    </xf>
    <xf numFmtId="173" fontId="40" fillId="12" borderId="13" xfId="0" applyFont="true" applyBorder="true" applyAlignment="true" applyProtection="true">
      <alignment horizontal="general" vertical="bottom" textRotation="0" wrapText="false" indent="0" shrinkToFit="false"/>
      <protection locked="true" hidden="false"/>
    </xf>
    <xf numFmtId="173" fontId="40" fillId="12" borderId="14" xfId="0" applyFont="true" applyBorder="true" applyAlignment="true" applyProtection="true">
      <alignment horizontal="general" vertical="bottom" textRotation="0" wrapText="false" indent="0" shrinkToFit="false"/>
      <protection locked="true" hidden="false"/>
    </xf>
    <xf numFmtId="173" fontId="49" fillId="12" borderId="12" xfId="0" applyFont="true" applyBorder="true" applyAlignment="true" applyProtection="true">
      <alignment horizontal="general" vertical="bottom" textRotation="0" wrapText="false" indent="0" shrinkToFit="false"/>
      <protection locked="true" hidden="false"/>
    </xf>
    <xf numFmtId="173" fontId="40" fillId="12" borderId="15" xfId="0" applyFont="true" applyBorder="true" applyAlignment="true" applyProtection="true">
      <alignment horizontal="general" vertical="bottom" textRotation="0" wrapText="false" indent="0" shrinkToFit="false"/>
      <protection locked="true" hidden="false"/>
    </xf>
    <xf numFmtId="173" fontId="40" fillId="12" borderId="16" xfId="0" applyFont="true" applyBorder="true" applyAlignment="true" applyProtection="true">
      <alignment horizontal="general" vertical="bottom" textRotation="0" wrapText="false" indent="0" shrinkToFit="false"/>
      <protection locked="true" hidden="false"/>
    </xf>
    <xf numFmtId="173" fontId="49" fillId="12" borderId="17" xfId="0" applyFont="true" applyBorder="true" applyAlignment="true" applyProtection="true">
      <alignment horizontal="general" vertical="bottom" textRotation="0" wrapText="false" indent="0" shrinkToFit="false"/>
      <protection locked="true" hidden="false"/>
    </xf>
    <xf numFmtId="173" fontId="40" fillId="12" borderId="18" xfId="0" applyFont="true" applyBorder="true" applyAlignment="true" applyProtection="true">
      <alignment horizontal="general" vertical="bottom" textRotation="0" wrapText="false" indent="0" shrinkToFit="false"/>
      <protection locked="true" hidden="false"/>
    </xf>
    <xf numFmtId="173" fontId="50" fillId="0" borderId="0" xfId="0" applyFont="true" applyBorder="false" applyAlignment="true" applyProtection="true">
      <alignment horizontal="general" vertical="bottom" textRotation="0" wrapText="false" indent="0" shrinkToFit="false"/>
      <protection locked="true" hidden="false"/>
    </xf>
    <xf numFmtId="173" fontId="40" fillId="12" borderId="19" xfId="0" applyFont="true" applyBorder="true" applyAlignment="true" applyProtection="true">
      <alignment horizontal="general" vertical="bottom" textRotation="0" wrapText="false" indent="0" shrinkToFit="false"/>
      <protection locked="true" hidden="false"/>
    </xf>
    <xf numFmtId="173" fontId="40" fillId="12" borderId="17" xfId="0" applyFont="true" applyBorder="true" applyAlignment="true" applyProtection="true">
      <alignment horizontal="general" vertical="bottom" textRotation="0" wrapText="false" indent="0" shrinkToFit="false"/>
      <protection locked="true" hidden="false"/>
    </xf>
    <xf numFmtId="173" fontId="40" fillId="12" borderId="20" xfId="0" applyFont="true" applyBorder="true" applyAlignment="true" applyProtection="true">
      <alignment horizontal="general" vertical="bottom" textRotation="0" wrapText="false" indent="0" shrinkToFit="false"/>
      <protection locked="true" hidden="false"/>
    </xf>
    <xf numFmtId="173" fontId="40" fillId="12" borderId="21" xfId="0" applyFont="true" applyBorder="true" applyAlignment="true" applyProtection="true">
      <alignment horizontal="general" vertical="bottom" textRotation="0" wrapText="false" indent="0" shrinkToFit="false"/>
      <protection locked="true" hidden="false"/>
    </xf>
    <xf numFmtId="173" fontId="40" fillId="12" borderId="22" xfId="0" applyFont="true" applyBorder="true" applyAlignment="true" applyProtection="true">
      <alignment horizontal="general" vertical="bottom" textRotation="0" wrapText="false" indent="0" shrinkToFit="false"/>
      <protection locked="true" hidden="false"/>
    </xf>
    <xf numFmtId="173" fontId="49" fillId="12" borderId="20" xfId="0" applyFont="true" applyBorder="true" applyAlignment="true" applyProtection="true">
      <alignment horizontal="general" vertical="bottom" textRotation="0" wrapText="false" indent="0" shrinkToFit="false"/>
      <protection locked="true" hidden="false"/>
    </xf>
    <xf numFmtId="173" fontId="40" fillId="12" borderId="23" xfId="0" applyFont="true" applyBorder="true" applyAlignment="true" applyProtection="true">
      <alignment horizontal="general" vertical="bottom" textRotation="0" wrapText="false" indent="0" shrinkToFit="false"/>
      <protection locked="true" hidden="false"/>
    </xf>
    <xf numFmtId="173" fontId="40" fillId="12" borderId="24" xfId="0" applyFont="true" applyBorder="true" applyAlignment="true" applyProtection="true">
      <alignment horizontal="general" vertical="bottom" textRotation="0" wrapText="false" indent="0" shrinkToFit="false"/>
      <protection locked="true" hidden="false"/>
    </xf>
    <xf numFmtId="173" fontId="49" fillId="12" borderId="25" xfId="0" applyFont="true" applyBorder="true" applyAlignment="true" applyProtection="true">
      <alignment horizontal="general" vertical="bottom" textRotation="0" wrapText="false" indent="0" shrinkToFit="false"/>
      <protection locked="true" hidden="false"/>
    </xf>
    <xf numFmtId="173" fontId="49" fillId="12" borderId="26" xfId="0" applyFont="true" applyBorder="true" applyAlignment="true" applyProtection="true">
      <alignment horizontal="general" vertical="bottom" textRotation="0" wrapText="false" indent="0" shrinkToFit="false"/>
      <protection locked="true" hidden="false"/>
    </xf>
    <xf numFmtId="173" fontId="48" fillId="11" borderId="27" xfId="0" applyFont="true" applyBorder="true" applyAlignment="true" applyProtection="true">
      <alignment horizontal="left" vertical="bottom" textRotation="0" wrapText="false" indent="0" shrinkToFit="false"/>
      <protection locked="true" hidden="false"/>
    </xf>
    <xf numFmtId="173" fontId="40" fillId="12" borderId="25" xfId="0" applyFont="true" applyBorder="true" applyAlignment="true" applyProtection="true">
      <alignment horizontal="general" vertical="bottom" textRotation="0" wrapText="false" indent="0" shrinkToFit="false"/>
      <protection locked="true" hidden="false"/>
    </xf>
    <xf numFmtId="173" fontId="40" fillId="12" borderId="26" xfId="0" applyFont="true" applyBorder="true" applyAlignment="true" applyProtection="true">
      <alignment horizontal="general" vertical="bottom" textRotation="0" wrapText="false" indent="0" shrinkToFit="false"/>
      <protection locked="true" hidden="false"/>
    </xf>
    <xf numFmtId="173" fontId="40" fillId="12" borderId="28" xfId="0" applyFont="true" applyBorder="true" applyAlignment="true" applyProtection="true">
      <alignment horizontal="general" vertical="bottom" textRotation="0" wrapText="false" indent="0" shrinkToFit="false"/>
      <protection locked="true" hidden="false"/>
    </xf>
    <xf numFmtId="173" fontId="40" fillId="12" borderId="29" xfId="0" applyFont="true" applyBorder="true" applyAlignment="true" applyProtection="true">
      <alignment horizontal="general" vertical="bottom" textRotation="0" wrapText="false" indent="0" shrinkToFit="false"/>
      <protection locked="true" hidden="false"/>
    </xf>
    <xf numFmtId="173" fontId="48" fillId="11" borderId="10" xfId="0" applyFont="true" applyBorder="true" applyAlignment="true" applyProtection="true">
      <alignment horizontal="left" vertical="bottom" textRotation="0" wrapText="false" indent="0" shrinkToFit="true"/>
      <protection locked="true" hidden="false"/>
    </xf>
    <xf numFmtId="173" fontId="40" fillId="13" borderId="23" xfId="0" applyFont="true" applyBorder="true" applyAlignment="true" applyProtection="true">
      <alignment horizontal="general" vertical="bottom" textRotation="0" wrapText="false" indent="0" shrinkToFit="false"/>
      <protection locked="true" hidden="false"/>
    </xf>
    <xf numFmtId="173" fontId="40" fillId="13" borderId="17" xfId="0" applyFont="true" applyBorder="true" applyAlignment="true" applyProtection="true">
      <alignment horizontal="general" vertical="bottom" textRotation="0" wrapText="false" indent="0" shrinkToFit="false"/>
      <protection locked="true" hidden="false"/>
    </xf>
    <xf numFmtId="173" fontId="40" fillId="13" borderId="19" xfId="0" applyFont="true" applyBorder="true" applyAlignment="true" applyProtection="true">
      <alignment horizontal="general" vertical="bottom" textRotation="0" wrapText="false" indent="0" shrinkToFit="false"/>
      <protection locked="true" hidden="false"/>
    </xf>
    <xf numFmtId="173" fontId="40" fillId="13" borderId="30" xfId="0" applyFont="true" applyBorder="true" applyAlignment="true" applyProtection="true">
      <alignment horizontal="general" vertical="bottom" textRotation="0" wrapText="false" indent="0" shrinkToFit="false"/>
      <protection locked="true" hidden="false"/>
    </xf>
    <xf numFmtId="173" fontId="40" fillId="13" borderId="26" xfId="0" applyFont="true" applyBorder="true" applyAlignment="true" applyProtection="true">
      <alignment horizontal="general" vertical="bottom" textRotation="0" wrapText="false" indent="0" shrinkToFit="false"/>
      <protection locked="true" hidden="false"/>
    </xf>
    <xf numFmtId="173" fontId="49" fillId="13" borderId="25" xfId="0" applyFont="true" applyBorder="true" applyAlignment="true" applyProtection="true">
      <alignment horizontal="general" vertical="bottom" textRotation="0" wrapText="false" indent="0" shrinkToFit="false"/>
      <protection locked="true" hidden="false"/>
    </xf>
    <xf numFmtId="173" fontId="40" fillId="0" borderId="21" xfId="0" applyFont="true" applyBorder="true" applyAlignment="true" applyProtection="true">
      <alignment horizontal="general" vertical="bottom" textRotation="0" wrapText="false" indent="0" shrinkToFit="false"/>
      <protection locked="true" hidden="false"/>
    </xf>
    <xf numFmtId="173" fontId="40" fillId="0" borderId="22" xfId="0" applyFont="true" applyBorder="true" applyAlignment="true" applyProtection="true">
      <alignment horizontal="general" vertical="bottom" textRotation="0" wrapText="false" indent="0" shrinkToFit="false"/>
      <protection locked="true" hidden="false"/>
    </xf>
    <xf numFmtId="173" fontId="49" fillId="0" borderId="20" xfId="0" applyFont="true" applyBorder="true" applyAlignment="true" applyProtection="true">
      <alignment horizontal="general" vertical="bottom" textRotation="0" wrapText="false" indent="0" shrinkToFit="false"/>
      <protection locked="true" hidden="false"/>
    </xf>
    <xf numFmtId="173" fontId="40" fillId="0" borderId="18" xfId="0" applyFont="true" applyBorder="true" applyAlignment="true" applyProtection="true">
      <alignment horizontal="general" vertical="bottom" textRotation="0" wrapText="false" indent="0" shrinkToFit="false"/>
      <protection locked="true" hidden="false"/>
    </xf>
    <xf numFmtId="173" fontId="50" fillId="14" borderId="0" xfId="0" applyFont="true" applyBorder="false" applyAlignment="true" applyProtection="true">
      <alignment horizontal="general" vertical="bottom" textRotation="0" wrapText="false" indent="0" shrinkToFit="false"/>
      <protection locked="true" hidden="false"/>
    </xf>
    <xf numFmtId="173" fontId="48" fillId="14" borderId="10" xfId="0" applyFont="true" applyBorder="true" applyAlignment="true" applyProtection="true">
      <alignment horizontal="left" vertical="bottom" textRotation="0" wrapText="false" indent="0" shrinkToFit="false"/>
      <protection locked="true" hidden="false"/>
    </xf>
    <xf numFmtId="173" fontId="51" fillId="14" borderId="19" xfId="0" applyFont="true" applyBorder="true" applyAlignment="true" applyProtection="true">
      <alignment horizontal="general" vertical="bottom" textRotation="0" wrapText="false" indent="0" shrinkToFit="false"/>
      <protection locked="true" hidden="false"/>
    </xf>
    <xf numFmtId="173" fontId="51" fillId="14" borderId="17" xfId="0" applyFont="true" applyBorder="true" applyAlignment="true" applyProtection="true">
      <alignment horizontal="general" vertical="bottom" textRotation="0" wrapText="false" indent="0" shrinkToFit="false"/>
      <protection locked="true" hidden="false"/>
    </xf>
    <xf numFmtId="173" fontId="51" fillId="14" borderId="31" xfId="0" applyFont="true" applyBorder="true" applyAlignment="true" applyProtection="true">
      <alignment horizontal="general" vertical="bottom" textRotation="0" wrapText="false" indent="0" shrinkToFit="false"/>
      <protection locked="true" hidden="false"/>
    </xf>
    <xf numFmtId="173" fontId="51" fillId="14" borderId="20" xfId="0" applyFont="true" applyBorder="true" applyAlignment="true" applyProtection="true">
      <alignment horizontal="general" vertical="bottom" textRotation="0" wrapText="false" indent="0" shrinkToFit="false"/>
      <protection locked="true" hidden="false"/>
    </xf>
    <xf numFmtId="173" fontId="40" fillId="14" borderId="17" xfId="0" applyFont="true" applyBorder="true" applyAlignment="true" applyProtection="true">
      <alignment horizontal="general" vertical="bottom" textRotation="0" wrapText="false" indent="0" shrinkToFit="false"/>
      <protection locked="true" hidden="false"/>
    </xf>
    <xf numFmtId="173" fontId="51" fillId="14" borderId="21" xfId="0" applyFont="true" applyBorder="true" applyAlignment="true" applyProtection="true">
      <alignment horizontal="general" vertical="bottom" textRotation="0" wrapText="false" indent="0" shrinkToFit="false"/>
      <protection locked="true" hidden="false"/>
    </xf>
    <xf numFmtId="173" fontId="51" fillId="14" borderId="22" xfId="0" applyFont="true" applyBorder="true" applyAlignment="true" applyProtection="true">
      <alignment horizontal="general" vertical="bottom" textRotation="0" wrapText="false" indent="0" shrinkToFit="false"/>
      <protection locked="true" hidden="false"/>
    </xf>
    <xf numFmtId="173" fontId="40" fillId="14" borderId="20" xfId="0" applyFont="true" applyBorder="true" applyAlignment="true" applyProtection="true">
      <alignment horizontal="general" vertical="bottom" textRotation="0" wrapText="false" indent="0" shrinkToFit="false"/>
      <protection locked="true" hidden="false"/>
    </xf>
    <xf numFmtId="173" fontId="40" fillId="14" borderId="18" xfId="0" applyFont="true" applyBorder="true" applyAlignment="true" applyProtection="true">
      <alignment horizontal="general" vertical="bottom" textRotation="0" wrapText="false" indent="0" shrinkToFit="false"/>
      <protection locked="true" hidden="false"/>
    </xf>
    <xf numFmtId="173" fontId="40" fillId="14" borderId="22" xfId="0" applyFont="true" applyBorder="true" applyAlignment="true" applyProtection="true">
      <alignment horizontal="general" vertical="bottom" textRotation="0" wrapText="false" indent="0" shrinkToFit="false"/>
      <protection locked="true" hidden="false"/>
    </xf>
    <xf numFmtId="173" fontId="48" fillId="14" borderId="27" xfId="0" applyFont="true" applyBorder="true" applyAlignment="true" applyProtection="true">
      <alignment horizontal="left" vertical="bottom" textRotation="0" wrapText="false" indent="0" shrinkToFit="false"/>
      <protection locked="true" hidden="false"/>
    </xf>
    <xf numFmtId="173" fontId="51" fillId="14" borderId="23" xfId="0" applyFont="true" applyBorder="true" applyAlignment="true" applyProtection="true">
      <alignment horizontal="general" vertical="bottom" textRotation="0" wrapText="false" indent="0" shrinkToFit="false"/>
      <protection locked="true" hidden="false"/>
    </xf>
    <xf numFmtId="173" fontId="51" fillId="14" borderId="25" xfId="0" applyFont="true" applyBorder="true" applyAlignment="true" applyProtection="true">
      <alignment horizontal="general" vertical="bottom" textRotation="0" wrapText="false" indent="0" shrinkToFit="false"/>
      <protection locked="true" hidden="false"/>
    </xf>
    <xf numFmtId="173" fontId="51" fillId="14" borderId="30" xfId="0" applyFont="true" applyBorder="true" applyAlignment="true" applyProtection="true">
      <alignment horizontal="general" vertical="bottom" textRotation="0" wrapText="false" indent="0" shrinkToFit="false"/>
      <protection locked="true" hidden="false"/>
    </xf>
    <xf numFmtId="173" fontId="51" fillId="14" borderId="26" xfId="0" applyFont="true" applyBorder="true" applyAlignment="true" applyProtection="true">
      <alignment horizontal="general" vertical="bottom" textRotation="0" wrapText="false" indent="0" shrinkToFit="false"/>
      <protection locked="true" hidden="false"/>
    </xf>
    <xf numFmtId="173" fontId="40" fillId="14" borderId="25" xfId="0" applyFont="true" applyBorder="true" applyAlignment="true" applyProtection="true">
      <alignment horizontal="general" vertical="bottom" textRotation="0" wrapText="false" indent="0" shrinkToFit="false"/>
      <protection locked="true" hidden="false"/>
    </xf>
    <xf numFmtId="173" fontId="51" fillId="14" borderId="24" xfId="0" applyFont="true" applyBorder="true" applyAlignment="true" applyProtection="true">
      <alignment horizontal="general" vertical="bottom" textRotation="0" wrapText="false" indent="0" shrinkToFit="false"/>
      <protection locked="true" hidden="false"/>
    </xf>
    <xf numFmtId="173" fontId="40" fillId="14" borderId="26" xfId="0" applyFont="true" applyBorder="true" applyAlignment="true" applyProtection="true">
      <alignment horizontal="general" vertical="bottom" textRotation="0" wrapText="false" indent="0" shrinkToFit="false"/>
      <protection locked="true" hidden="false"/>
    </xf>
    <xf numFmtId="173" fontId="40" fillId="14" borderId="23" xfId="0" applyFont="true" applyBorder="true" applyAlignment="true" applyProtection="true">
      <alignment horizontal="general" vertical="bottom" textRotation="0" wrapText="false" indent="0" shrinkToFit="false"/>
      <protection locked="true" hidden="false"/>
    </xf>
    <xf numFmtId="173" fontId="40" fillId="14" borderId="30" xfId="0" applyFont="true" applyBorder="true" applyAlignment="true" applyProtection="true">
      <alignment horizontal="general" vertical="bottom" textRotation="0" wrapText="false" indent="0" shrinkToFit="false"/>
      <protection locked="true" hidden="false"/>
    </xf>
    <xf numFmtId="173" fontId="51" fillId="14" borderId="13" xfId="0" applyFont="true" applyBorder="true" applyAlignment="true" applyProtection="true">
      <alignment horizontal="general" vertical="bottom" textRotation="0" wrapText="false" indent="0" shrinkToFit="false"/>
      <protection locked="true" hidden="false"/>
    </xf>
    <xf numFmtId="173" fontId="40" fillId="14" borderId="19" xfId="0" applyFont="true" applyBorder="true" applyAlignment="true" applyProtection="true">
      <alignment horizontal="general" vertical="bottom" textRotation="0" wrapText="false" indent="0" shrinkToFit="false"/>
      <protection locked="true" hidden="false"/>
    </xf>
    <xf numFmtId="173" fontId="40" fillId="14" borderId="31" xfId="0" applyFont="true" applyBorder="true" applyAlignment="true" applyProtection="true">
      <alignment horizontal="general" vertical="bottom" textRotation="0" wrapText="false" indent="0" shrinkToFit="false"/>
      <protection locked="true" hidden="false"/>
    </xf>
    <xf numFmtId="173" fontId="48" fillId="14" borderId="32" xfId="0" applyFont="true" applyBorder="true" applyAlignment="true" applyProtection="true">
      <alignment horizontal="left" vertical="bottom" textRotation="0" wrapText="false" indent="0" shrinkToFit="false"/>
      <protection locked="true" hidden="false"/>
    </xf>
    <xf numFmtId="173" fontId="51" fillId="14" borderId="33" xfId="0" applyFont="true" applyBorder="true" applyAlignment="true" applyProtection="true">
      <alignment horizontal="general" vertical="bottom" textRotation="0" wrapText="false" indent="0" shrinkToFit="false"/>
      <protection locked="true" hidden="false"/>
    </xf>
    <xf numFmtId="173" fontId="51" fillId="14" borderId="34" xfId="0" applyFont="true" applyBorder="true" applyAlignment="true" applyProtection="true">
      <alignment horizontal="general" vertical="bottom" textRotation="0" wrapText="false" indent="0" shrinkToFit="false"/>
      <protection locked="true" hidden="false"/>
    </xf>
    <xf numFmtId="173" fontId="51" fillId="14" borderId="35" xfId="0" applyFont="true" applyBorder="true" applyAlignment="true" applyProtection="true">
      <alignment horizontal="general" vertical="bottom" textRotation="0" wrapText="false" indent="0" shrinkToFit="false"/>
      <protection locked="true" hidden="false"/>
    </xf>
    <xf numFmtId="173" fontId="51" fillId="14" borderId="36" xfId="0" applyFont="true" applyBorder="true" applyAlignment="true" applyProtection="true">
      <alignment horizontal="general" vertical="bottom" textRotation="0" wrapText="false" indent="0" shrinkToFit="false"/>
      <protection locked="true" hidden="false"/>
    </xf>
    <xf numFmtId="173" fontId="40" fillId="14" borderId="34" xfId="0" applyFont="true" applyBorder="true" applyAlignment="true" applyProtection="true">
      <alignment horizontal="general" vertical="bottom" textRotation="0" wrapText="false" indent="0" shrinkToFit="false"/>
      <protection locked="true" hidden="false"/>
    </xf>
    <xf numFmtId="173" fontId="51" fillId="14" borderId="37" xfId="0" applyFont="true" applyBorder="true" applyAlignment="true" applyProtection="true">
      <alignment horizontal="general" vertical="bottom" textRotation="0" wrapText="false" indent="0" shrinkToFit="false"/>
      <protection locked="true" hidden="false"/>
    </xf>
    <xf numFmtId="173" fontId="40" fillId="14" borderId="38" xfId="0" applyFont="true" applyBorder="true" applyAlignment="true" applyProtection="true">
      <alignment horizontal="general" vertical="bottom" textRotation="0" wrapText="false" indent="0" shrinkToFit="false"/>
      <protection locked="true" hidden="false"/>
    </xf>
    <xf numFmtId="173" fontId="40" fillId="14" borderId="37" xfId="0" applyFont="true" applyBorder="true" applyAlignment="true" applyProtection="true">
      <alignment horizontal="general" vertical="bottom" textRotation="0" wrapText="false" indent="0" shrinkToFit="false"/>
      <protection locked="true" hidden="false"/>
    </xf>
    <xf numFmtId="173" fontId="48" fillId="15" borderId="4" xfId="0" applyFont="true" applyBorder="true" applyAlignment="true" applyProtection="true">
      <alignment horizontal="center" vertical="center" textRotation="0" wrapText="false" indent="0" shrinkToFit="false"/>
      <protection locked="true" hidden="false"/>
    </xf>
    <xf numFmtId="173" fontId="49" fillId="15" borderId="8" xfId="0" applyFont="true" applyBorder="true" applyAlignment="true" applyProtection="true">
      <alignment horizontal="general" vertical="bottom" textRotation="0" wrapText="false" indent="0" shrinkToFit="false"/>
      <protection locked="true" hidden="false"/>
    </xf>
    <xf numFmtId="173" fontId="49" fillId="15" borderId="6" xfId="0" applyFont="true" applyBorder="true" applyAlignment="true" applyProtection="true">
      <alignment horizontal="general" vertical="bottom" textRotation="0" wrapText="false" indent="0" shrinkToFit="false"/>
      <protection locked="true" hidden="false"/>
    </xf>
    <xf numFmtId="173" fontId="49" fillId="15" borderId="7" xfId="0" applyFont="true" applyBorder="true" applyAlignment="true" applyProtection="true">
      <alignment horizontal="general" vertical="bottom" textRotation="0" wrapText="false" indent="0" shrinkToFit="false"/>
      <protection locked="true" hidden="false"/>
    </xf>
    <xf numFmtId="173" fontId="49" fillId="15" borderId="39" xfId="0" applyFont="true" applyBorder="true" applyAlignment="true" applyProtection="true">
      <alignment horizontal="general" vertical="bottom" textRotation="0" wrapText="false" indent="0" shrinkToFit="false"/>
      <protection locked="true" hidden="false"/>
    </xf>
    <xf numFmtId="173" fontId="49" fillId="15" borderId="5" xfId="0" applyFont="true" applyBorder="true" applyAlignment="true" applyProtection="true">
      <alignment horizontal="general" vertical="bottom" textRotation="0" wrapText="false" indent="0" shrinkToFit="false"/>
      <protection locked="true" hidden="false"/>
    </xf>
    <xf numFmtId="173" fontId="48" fillId="11" borderId="40" xfId="0" applyFont="true" applyBorder="true" applyAlignment="true" applyProtection="true">
      <alignment horizontal="left" vertical="bottom" textRotation="0" wrapText="false" indent="0" shrinkToFit="false"/>
      <protection locked="true" hidden="false"/>
    </xf>
    <xf numFmtId="173" fontId="51" fillId="0" borderId="19" xfId="0" applyFont="true" applyBorder="true" applyAlignment="true" applyProtection="true">
      <alignment horizontal="general" vertical="bottom" textRotation="0" wrapText="false" indent="0" shrinkToFit="false"/>
      <protection locked="true" hidden="false"/>
    </xf>
    <xf numFmtId="173" fontId="51" fillId="0" borderId="17" xfId="0" applyFont="true" applyBorder="true" applyAlignment="true" applyProtection="true">
      <alignment horizontal="general" vertical="bottom" textRotation="0" wrapText="false" indent="0" shrinkToFit="false"/>
      <protection locked="true" hidden="false"/>
    </xf>
    <xf numFmtId="173" fontId="51" fillId="0" borderId="16" xfId="0" applyFont="true" applyBorder="true" applyAlignment="true" applyProtection="true">
      <alignment horizontal="general" vertical="bottom" textRotation="0" wrapText="false" indent="0" shrinkToFit="false"/>
      <protection locked="true" hidden="false"/>
    </xf>
    <xf numFmtId="173" fontId="49" fillId="0" borderId="17" xfId="0" applyFont="true" applyBorder="true" applyAlignment="true" applyProtection="true">
      <alignment horizontal="general" vertical="bottom" textRotation="0" wrapText="false" indent="0" shrinkToFit="false"/>
      <protection locked="true" hidden="false"/>
    </xf>
    <xf numFmtId="173" fontId="51" fillId="0" borderId="21" xfId="0" applyFont="true" applyBorder="true" applyAlignment="true" applyProtection="true">
      <alignment horizontal="general" vertical="bottom" textRotation="0" wrapText="false" indent="0" shrinkToFit="false"/>
      <protection locked="true" hidden="false"/>
    </xf>
    <xf numFmtId="173" fontId="51" fillId="0" borderId="22" xfId="0" applyFont="true" applyBorder="true" applyAlignment="true" applyProtection="true">
      <alignment horizontal="general" vertical="bottom" textRotation="0" wrapText="false" indent="0" shrinkToFit="false"/>
      <protection locked="true" hidden="false"/>
    </xf>
    <xf numFmtId="173" fontId="49" fillId="0" borderId="14" xfId="0" applyFont="true" applyBorder="true" applyAlignment="true" applyProtection="true">
      <alignment horizontal="general" vertical="bottom" textRotation="0" wrapText="false" indent="0" shrinkToFit="false"/>
      <protection locked="true" hidden="false"/>
    </xf>
    <xf numFmtId="173" fontId="40" fillId="12" borderId="33" xfId="0" applyFont="true" applyBorder="true" applyAlignment="true" applyProtection="true">
      <alignment horizontal="general" vertical="bottom" textRotation="0" wrapText="false" indent="0" shrinkToFit="false"/>
      <protection locked="true" hidden="false"/>
    </xf>
    <xf numFmtId="173" fontId="51" fillId="13" borderId="19" xfId="0" applyFont="true" applyBorder="true" applyAlignment="true" applyProtection="true">
      <alignment horizontal="general" vertical="bottom" textRotation="0" wrapText="false" indent="0" shrinkToFit="false"/>
      <protection locked="true" hidden="false"/>
    </xf>
    <xf numFmtId="173" fontId="51" fillId="13" borderId="17" xfId="0" applyFont="true" applyBorder="true" applyAlignment="true" applyProtection="true">
      <alignment horizontal="general" vertical="bottom" textRotation="0" wrapText="false" indent="0" shrinkToFit="false"/>
      <protection locked="true" hidden="false"/>
    </xf>
    <xf numFmtId="173" fontId="51" fillId="13" borderId="21" xfId="0" applyFont="true" applyBorder="true" applyAlignment="true" applyProtection="true">
      <alignment horizontal="general" vertical="bottom" textRotation="0" wrapText="false" indent="0" shrinkToFit="false"/>
      <protection locked="true" hidden="false"/>
    </xf>
    <xf numFmtId="173" fontId="48" fillId="11" borderId="41" xfId="0" applyFont="true" applyBorder="true" applyAlignment="true" applyProtection="true">
      <alignment horizontal="left" vertical="bottom" textRotation="0" wrapText="false" indent="0" shrinkToFit="false"/>
      <protection locked="true" hidden="false"/>
    </xf>
    <xf numFmtId="173" fontId="40" fillId="13" borderId="21" xfId="0" applyFont="true" applyBorder="true" applyAlignment="true" applyProtection="true">
      <alignment horizontal="general" vertical="bottom" textRotation="0" wrapText="false" indent="0" shrinkToFit="false"/>
      <protection locked="true" hidden="false"/>
    </xf>
    <xf numFmtId="173" fontId="51" fillId="13" borderId="26" xfId="0" applyFont="true" applyBorder="true" applyAlignment="true" applyProtection="true">
      <alignment horizontal="general" vertical="bottom" textRotation="0" wrapText="false" indent="0" shrinkToFit="false"/>
      <protection locked="true" hidden="false"/>
    </xf>
    <xf numFmtId="173" fontId="48" fillId="16" borderId="27" xfId="0" applyFont="true" applyBorder="true" applyAlignment="true" applyProtection="true">
      <alignment horizontal="left" vertical="bottom" textRotation="0" wrapText="false" indent="0" shrinkToFit="false"/>
      <protection locked="true" hidden="false"/>
    </xf>
    <xf numFmtId="173" fontId="51" fillId="13" borderId="20" xfId="0" applyFont="true" applyBorder="true" applyAlignment="true" applyProtection="true">
      <alignment horizontal="general" vertical="bottom" textRotation="0" wrapText="false" indent="0" shrinkToFit="false"/>
      <protection locked="true" hidden="false"/>
    </xf>
    <xf numFmtId="176" fontId="48" fillId="11" borderId="10" xfId="0" applyFont="true" applyBorder="true" applyAlignment="true" applyProtection="true">
      <alignment horizontal="left" vertical="bottom" textRotation="0" wrapText="false" indent="0" shrinkToFit="true"/>
      <protection locked="true" hidden="false"/>
    </xf>
    <xf numFmtId="173" fontId="40" fillId="13" borderId="22" xfId="0" applyFont="true" applyBorder="true" applyAlignment="true" applyProtection="true">
      <alignment horizontal="general" vertical="bottom" textRotation="0" wrapText="false" indent="0" shrinkToFit="false"/>
      <protection locked="true" hidden="false"/>
    </xf>
    <xf numFmtId="173" fontId="49" fillId="13" borderId="20" xfId="0" applyFont="true" applyBorder="true" applyAlignment="true" applyProtection="true">
      <alignment horizontal="general" vertical="bottom" textRotation="0" wrapText="false" indent="0" shrinkToFit="false"/>
      <protection locked="true" hidden="false"/>
    </xf>
    <xf numFmtId="173" fontId="48" fillId="16" borderId="10" xfId="0" applyFont="true" applyBorder="true" applyAlignment="true" applyProtection="true">
      <alignment horizontal="left" vertical="bottom" textRotation="0" wrapText="false" indent="0" shrinkToFit="false"/>
      <protection locked="true" hidden="false"/>
    </xf>
    <xf numFmtId="173" fontId="40" fillId="12" borderId="42" xfId="0" applyFont="true" applyBorder="true" applyAlignment="true" applyProtection="true">
      <alignment horizontal="general" vertical="bottom" textRotation="0" wrapText="false" indent="0" shrinkToFit="false"/>
      <protection locked="true" hidden="false"/>
    </xf>
    <xf numFmtId="173" fontId="40" fillId="12" borderId="36" xfId="0" applyFont="true" applyBorder="true" applyAlignment="true" applyProtection="true">
      <alignment horizontal="general" vertical="bottom" textRotation="0" wrapText="false" indent="0" shrinkToFit="false"/>
      <protection locked="true" hidden="false"/>
    </xf>
    <xf numFmtId="173" fontId="40" fillId="12" borderId="43" xfId="0" applyFont="true" applyBorder="true" applyAlignment="true" applyProtection="true">
      <alignment horizontal="general" vertical="bottom" textRotation="0" wrapText="false" indent="0" shrinkToFit="false"/>
      <protection locked="true" hidden="false"/>
    </xf>
    <xf numFmtId="173" fontId="51" fillId="13" borderId="23" xfId="0" applyFont="true" applyBorder="true" applyAlignment="true" applyProtection="true">
      <alignment horizontal="general" vertical="bottom" textRotation="0" wrapText="false" indent="0" shrinkToFit="false"/>
      <protection locked="true" hidden="false"/>
    </xf>
    <xf numFmtId="173" fontId="51" fillId="13" borderId="28" xfId="0" applyFont="true" applyBorder="true" applyAlignment="true" applyProtection="true">
      <alignment horizontal="general" vertical="bottom" textRotation="0" wrapText="false" indent="0" shrinkToFit="false"/>
      <protection locked="true" hidden="false"/>
    </xf>
    <xf numFmtId="173" fontId="48" fillId="11" borderId="27" xfId="0" applyFont="true" applyBorder="true" applyAlignment="true" applyProtection="true">
      <alignment horizontal="left" vertical="bottom" textRotation="0" wrapText="false" indent="0" shrinkToFit="true"/>
      <protection locked="true" hidden="false"/>
    </xf>
    <xf numFmtId="173" fontId="48" fillId="16" borderId="27" xfId="0" applyFont="true" applyBorder="true" applyAlignment="true" applyProtection="true">
      <alignment horizontal="left" vertical="bottom" textRotation="0" wrapText="false" indent="0" shrinkToFit="true"/>
      <protection locked="true" hidden="false"/>
    </xf>
    <xf numFmtId="173" fontId="40" fillId="12" borderId="30" xfId="0" applyFont="true" applyBorder="true" applyAlignment="true" applyProtection="true">
      <alignment horizontal="general" vertical="bottom" textRotation="0" wrapText="false" indent="0" shrinkToFit="false"/>
      <protection locked="true" hidden="false"/>
    </xf>
    <xf numFmtId="164" fontId="47" fillId="17" borderId="30" xfId="0" applyFont="true" applyBorder="true" applyAlignment="true" applyProtection="true">
      <alignment horizontal="general" vertical="center" textRotation="0" wrapText="true" indent="0" shrinkToFit="true"/>
      <protection locked="true" hidden="false"/>
    </xf>
    <xf numFmtId="173" fontId="48" fillId="16" borderId="32" xfId="0" applyFont="true" applyBorder="true" applyAlignment="true" applyProtection="true">
      <alignment horizontal="general" vertical="bottom" textRotation="0" wrapText="false" indent="0" shrinkToFit="false"/>
      <protection locked="true" hidden="false"/>
    </xf>
    <xf numFmtId="173" fontId="48" fillId="16" borderId="41" xfId="0" applyFont="true" applyBorder="true" applyAlignment="true" applyProtection="true">
      <alignment horizontal="left" vertical="bottom" textRotation="0" wrapText="false" indent="0" shrinkToFit="false"/>
      <protection locked="true" hidden="false"/>
    </xf>
    <xf numFmtId="173" fontId="40" fillId="13" borderId="28" xfId="0" applyFont="true" applyBorder="true" applyAlignment="true" applyProtection="true">
      <alignment horizontal="general" vertical="bottom" textRotation="0" wrapText="false" indent="0" shrinkToFit="false"/>
      <protection locked="true" hidden="false"/>
    </xf>
    <xf numFmtId="173" fontId="49" fillId="13" borderId="17" xfId="0" applyFont="true" applyBorder="true" applyAlignment="true" applyProtection="true">
      <alignment horizontal="general" vertical="bottom" textRotation="0" wrapText="false" indent="0" shrinkToFit="false"/>
      <protection locked="true" hidden="false"/>
    </xf>
    <xf numFmtId="173" fontId="48" fillId="11" borderId="41" xfId="0" applyFont="true" applyBorder="true" applyAlignment="true" applyProtection="true">
      <alignment horizontal="left" vertical="bottom" textRotation="0" wrapText="true" indent="0" shrinkToFit="true"/>
      <protection locked="true" hidden="false"/>
    </xf>
    <xf numFmtId="173" fontId="51" fillId="0" borderId="20" xfId="0" applyFont="true" applyBorder="true" applyAlignment="true" applyProtection="true">
      <alignment horizontal="general" vertical="bottom" textRotation="0" wrapText="false" indent="0" shrinkToFit="false"/>
      <protection locked="true" hidden="false"/>
    </xf>
    <xf numFmtId="173" fontId="51" fillId="0" borderId="24" xfId="0" applyFont="true" applyBorder="true" applyAlignment="true" applyProtection="true">
      <alignment horizontal="general" vertical="bottom" textRotation="0" wrapText="false" indent="0" shrinkToFit="false"/>
      <protection locked="true" hidden="false"/>
    </xf>
    <xf numFmtId="173" fontId="51" fillId="0" borderId="30" xfId="0" applyFont="true" applyBorder="true" applyAlignment="true" applyProtection="true">
      <alignment horizontal="general" vertical="bottom" textRotation="0" wrapText="false" indent="0" shrinkToFit="false"/>
      <protection locked="true" hidden="false"/>
    </xf>
    <xf numFmtId="173" fontId="51" fillId="0" borderId="23" xfId="0" applyFont="true" applyBorder="true" applyAlignment="true" applyProtection="true">
      <alignment horizontal="general" vertical="bottom" textRotation="0" wrapText="false" indent="0" shrinkToFit="false"/>
      <protection locked="true" hidden="false"/>
    </xf>
    <xf numFmtId="164" fontId="50" fillId="17" borderId="30" xfId="0" applyFont="true" applyBorder="true" applyAlignment="true" applyProtection="true">
      <alignment horizontal="general" vertical="center" textRotation="0" wrapText="true" indent="0" shrinkToFit="true"/>
      <protection locked="true" hidden="false"/>
    </xf>
    <xf numFmtId="173" fontId="40" fillId="0" borderId="19" xfId="0" applyFont="true" applyBorder="true" applyAlignment="true" applyProtection="true">
      <alignment horizontal="general" vertical="bottom" textRotation="0" wrapText="false" indent="0" shrinkToFit="false"/>
      <protection locked="true" hidden="false"/>
    </xf>
    <xf numFmtId="173" fontId="40" fillId="0" borderId="26" xfId="0" applyFont="true" applyBorder="true" applyAlignment="true" applyProtection="true">
      <alignment horizontal="general" vertical="bottom" textRotation="0" wrapText="false" indent="0" shrinkToFit="false"/>
      <protection locked="true" hidden="false"/>
    </xf>
    <xf numFmtId="173" fontId="40" fillId="0" borderId="29" xfId="0" applyFont="true" applyBorder="true" applyAlignment="true" applyProtection="true">
      <alignment horizontal="general" vertical="bottom" textRotation="0" wrapText="false" indent="0" shrinkToFit="false"/>
      <protection locked="true" hidden="false"/>
    </xf>
    <xf numFmtId="173" fontId="40" fillId="14" borderId="24" xfId="0" applyFont="true" applyBorder="true" applyAlignment="true" applyProtection="true">
      <alignment horizontal="general" vertical="bottom" textRotation="0" wrapText="false" indent="0" shrinkToFit="false"/>
      <protection locked="true" hidden="false"/>
    </xf>
    <xf numFmtId="173" fontId="49" fillId="14" borderId="25" xfId="0" applyFont="true" applyBorder="true" applyAlignment="true" applyProtection="true">
      <alignment horizontal="general" vertical="bottom" textRotation="0" wrapText="false" indent="0" shrinkToFit="false"/>
      <protection locked="true" hidden="false"/>
    </xf>
    <xf numFmtId="173" fontId="40" fillId="14" borderId="13" xfId="0" applyFont="true" applyBorder="true" applyAlignment="true" applyProtection="true">
      <alignment horizontal="general" vertical="bottom" textRotation="0" wrapText="false" indent="0" shrinkToFit="false"/>
      <protection locked="true" hidden="false"/>
    </xf>
    <xf numFmtId="173" fontId="49" fillId="14" borderId="20" xfId="0" applyFont="true" applyBorder="true" applyAlignment="true" applyProtection="true">
      <alignment horizontal="general" vertical="bottom" textRotation="0" wrapText="false" indent="0" shrinkToFit="false"/>
      <protection locked="true" hidden="false"/>
    </xf>
    <xf numFmtId="173" fontId="51" fillId="14" borderId="44" xfId="0" applyFont="true" applyBorder="true" applyAlignment="true" applyProtection="true">
      <alignment horizontal="general" vertical="bottom" textRotation="0" wrapText="false" indent="0" shrinkToFit="false"/>
      <protection locked="true" hidden="false"/>
    </xf>
    <xf numFmtId="173" fontId="51" fillId="14" borderId="45" xfId="0" applyFont="true" applyBorder="true" applyAlignment="true" applyProtection="true">
      <alignment horizontal="general" vertical="bottom" textRotation="0" wrapText="false" indent="0" shrinkToFit="false"/>
      <protection locked="true" hidden="false"/>
    </xf>
    <xf numFmtId="173" fontId="51" fillId="14" borderId="46" xfId="0" applyFont="true" applyBorder="true" applyAlignment="true" applyProtection="true">
      <alignment horizontal="general" vertical="bottom" textRotation="0" wrapText="false" indent="0" shrinkToFit="false"/>
      <protection locked="true" hidden="false"/>
    </xf>
    <xf numFmtId="173" fontId="51" fillId="14" borderId="47" xfId="0" applyFont="true" applyBorder="true" applyAlignment="true" applyProtection="true">
      <alignment horizontal="general" vertical="bottom" textRotation="0" wrapText="false" indent="0" shrinkToFit="false"/>
      <protection locked="true" hidden="false"/>
    </xf>
    <xf numFmtId="173" fontId="49" fillId="14" borderId="48" xfId="0" applyFont="true" applyBorder="true" applyAlignment="true" applyProtection="true">
      <alignment horizontal="general" vertical="bottom" textRotation="0" wrapText="false" indent="0" shrinkToFit="false"/>
      <protection locked="true" hidden="false"/>
    </xf>
    <xf numFmtId="173" fontId="40" fillId="14" borderId="46" xfId="0" applyFont="true" applyBorder="true" applyAlignment="true" applyProtection="true">
      <alignment horizontal="general" vertical="bottom" textRotation="0" wrapText="false" indent="0" shrinkToFit="false"/>
      <protection locked="true" hidden="false"/>
    </xf>
    <xf numFmtId="173" fontId="49" fillId="14" borderId="45" xfId="0" applyFont="true" applyBorder="true" applyAlignment="true" applyProtection="true">
      <alignment horizontal="general" vertical="bottom" textRotation="0" wrapText="false" indent="0" shrinkToFit="false"/>
      <protection locked="true" hidden="false"/>
    </xf>
    <xf numFmtId="173" fontId="40" fillId="14" borderId="44" xfId="0" applyFont="true" applyBorder="true" applyAlignment="true" applyProtection="true">
      <alignment horizontal="general" vertical="bottom" textRotation="0" wrapText="false" indent="0" shrinkToFit="false"/>
      <protection locked="true" hidden="false"/>
    </xf>
    <xf numFmtId="173" fontId="40" fillId="14" borderId="45" xfId="0" applyFont="true" applyBorder="true" applyAlignment="true" applyProtection="true">
      <alignment horizontal="general" vertical="bottom" textRotation="0" wrapText="false" indent="0" shrinkToFit="false"/>
      <protection locked="true" hidden="false"/>
    </xf>
    <xf numFmtId="173" fontId="40" fillId="14" borderId="47" xfId="0" applyFont="true" applyBorder="true" applyAlignment="true" applyProtection="true">
      <alignment horizontal="general" vertical="bottom" textRotation="0" wrapText="false" indent="0" shrinkToFit="false"/>
      <protection locked="true" hidden="false"/>
    </xf>
    <xf numFmtId="173" fontId="40" fillId="14" borderId="14" xfId="0" applyFont="true" applyBorder="true" applyAlignment="true" applyProtection="true">
      <alignment horizontal="general" vertical="bottom" textRotation="0" wrapText="false" indent="0" shrinkToFit="false"/>
      <protection locked="true" hidden="false"/>
    </xf>
    <xf numFmtId="173" fontId="49" fillId="14" borderId="12" xfId="0" applyFont="true" applyBorder="true" applyAlignment="true" applyProtection="true">
      <alignment horizontal="general" vertical="bottom" textRotation="0" wrapText="false" indent="0" shrinkToFit="false"/>
      <protection locked="true" hidden="false"/>
    </xf>
    <xf numFmtId="173" fontId="40" fillId="14" borderId="49" xfId="0" applyFont="true" applyBorder="true" applyAlignment="true" applyProtection="true">
      <alignment horizontal="general" vertical="bottom" textRotation="0" wrapText="false" indent="0" shrinkToFit="false"/>
      <protection locked="true" hidden="false"/>
    </xf>
    <xf numFmtId="173" fontId="40" fillId="14" borderId="50" xfId="0" applyFont="true" applyBorder="true" applyAlignment="true" applyProtection="true">
      <alignment horizontal="general" vertical="bottom" textRotation="0" wrapText="false" indent="0" shrinkToFit="false"/>
      <protection locked="true" hidden="false"/>
    </xf>
    <xf numFmtId="173" fontId="40" fillId="14" borderId="51" xfId="0" applyFont="true" applyBorder="true" applyAlignment="true" applyProtection="true">
      <alignment horizontal="general" vertical="center" textRotation="0" wrapText="false" indent="0" shrinkToFit="false"/>
      <protection locked="true" hidden="false"/>
    </xf>
    <xf numFmtId="173" fontId="40" fillId="14" borderId="52" xfId="0" applyFont="true" applyBorder="true" applyAlignment="true" applyProtection="true">
      <alignment horizontal="general" vertical="center" textRotation="0" wrapText="false" indent="0" shrinkToFit="false"/>
      <protection locked="true" hidden="false"/>
    </xf>
    <xf numFmtId="173" fontId="40" fillId="14" borderId="53" xfId="0" applyFont="true" applyBorder="true" applyAlignment="true" applyProtection="true">
      <alignment horizontal="general" vertical="center" textRotation="0" wrapText="false" indent="0" shrinkToFit="false"/>
      <protection locked="true" hidden="false"/>
    </xf>
    <xf numFmtId="173" fontId="48" fillId="14" borderId="41" xfId="0" applyFont="true" applyBorder="true" applyAlignment="true" applyProtection="true">
      <alignment horizontal="left" vertical="bottom" textRotation="0" wrapText="false" indent="0" shrinkToFit="false"/>
      <protection locked="true" hidden="false"/>
    </xf>
    <xf numFmtId="173" fontId="40" fillId="14" borderId="33" xfId="0" applyFont="true" applyBorder="true" applyAlignment="true" applyProtection="true">
      <alignment horizontal="general" vertical="bottom" textRotation="0" wrapText="false" indent="0" shrinkToFit="false"/>
      <protection locked="true" hidden="false"/>
    </xf>
    <xf numFmtId="173" fontId="40" fillId="14" borderId="36" xfId="0" applyFont="true" applyBorder="true" applyAlignment="true" applyProtection="true">
      <alignment horizontal="general" vertical="bottom" textRotation="0" wrapText="false" indent="0" shrinkToFit="false"/>
      <protection locked="true" hidden="false"/>
    </xf>
    <xf numFmtId="173" fontId="40" fillId="14" borderId="54" xfId="0" applyFont="true" applyBorder="true" applyAlignment="true" applyProtection="true">
      <alignment horizontal="general" vertical="bottom" textRotation="0" wrapText="false" indent="0" shrinkToFit="false"/>
      <protection locked="true" hidden="false"/>
    </xf>
    <xf numFmtId="173" fontId="40" fillId="14" borderId="55" xfId="0" applyFont="true" applyBorder="true" applyAlignment="true" applyProtection="true">
      <alignment horizontal="general" vertical="bottom" textRotation="0" wrapText="false" indent="0" shrinkToFit="false"/>
      <protection locked="true" hidden="false"/>
    </xf>
    <xf numFmtId="173" fontId="40" fillId="14" borderId="56" xfId="0" applyFont="true" applyBorder="true" applyAlignment="true" applyProtection="true">
      <alignment horizontal="general" vertical="center" textRotation="0" wrapText="false" indent="0" shrinkToFit="false"/>
      <protection locked="true" hidden="false"/>
    </xf>
    <xf numFmtId="173" fontId="40" fillId="14" borderId="57" xfId="0" applyFont="true" applyBorder="true" applyAlignment="true" applyProtection="true">
      <alignment horizontal="general" vertical="center" textRotation="0" wrapText="false" indent="0" shrinkToFit="false"/>
      <protection locked="true" hidden="false"/>
    </xf>
    <xf numFmtId="173" fontId="40" fillId="14" borderId="58" xfId="0" applyFont="true" applyBorder="true" applyAlignment="true" applyProtection="true">
      <alignment horizontal="general" vertical="center" textRotation="0" wrapText="false" indent="0" shrinkToFit="false"/>
      <protection locked="true" hidden="false"/>
    </xf>
    <xf numFmtId="173" fontId="40" fillId="12" borderId="46" xfId="0" applyFont="true" applyBorder="true" applyAlignment="true" applyProtection="true">
      <alignment horizontal="general" vertical="bottom" textRotation="0" wrapText="false" indent="0" shrinkToFit="false"/>
      <protection locked="true" hidden="false"/>
    </xf>
    <xf numFmtId="173" fontId="40" fillId="12" borderId="47" xfId="0" applyFont="true" applyBorder="true" applyAlignment="true" applyProtection="true">
      <alignment horizontal="general" vertical="bottom" textRotation="0" wrapText="false" indent="0" shrinkToFit="false"/>
      <protection locked="true" hidden="false"/>
    </xf>
    <xf numFmtId="173" fontId="40" fillId="12" borderId="45" xfId="0" applyFont="true" applyBorder="true" applyAlignment="true" applyProtection="true">
      <alignment horizontal="general" vertical="bottom" textRotation="0" wrapText="false" indent="0" shrinkToFit="false"/>
      <protection locked="true" hidden="false"/>
    </xf>
    <xf numFmtId="173" fontId="40" fillId="13" borderId="35" xfId="0" applyFont="true" applyBorder="true" applyAlignment="true" applyProtection="true">
      <alignment horizontal="general" vertical="bottom" textRotation="0" wrapText="false" indent="0" shrinkToFit="false"/>
      <protection locked="true" hidden="false"/>
    </xf>
    <xf numFmtId="173" fontId="49" fillId="13" borderId="45" xfId="0" applyFont="true" applyBorder="true" applyAlignment="true" applyProtection="true">
      <alignment horizontal="general" vertical="bottom" textRotation="0" wrapText="false" indent="0" shrinkToFit="false"/>
      <protection locked="true" hidden="false"/>
    </xf>
    <xf numFmtId="173" fontId="49" fillId="15" borderId="59" xfId="0" applyFont="true" applyBorder="true" applyAlignment="true" applyProtection="true">
      <alignment horizontal="general" vertical="bottom" textRotation="0" wrapText="false" indent="0" shrinkToFit="false"/>
      <protection locked="true" hidden="false"/>
    </xf>
    <xf numFmtId="173" fontId="49" fillId="15" borderId="60" xfId="0" applyFont="true" applyBorder="true" applyAlignment="true" applyProtection="true">
      <alignment horizontal="general" vertical="bottom" textRotation="0" wrapText="false" indent="0" shrinkToFit="false"/>
      <protection locked="true" hidden="false"/>
    </xf>
    <xf numFmtId="173" fontId="49" fillId="13" borderId="8" xfId="0" applyFont="true" applyBorder="true" applyAlignment="true" applyProtection="true">
      <alignment horizontal="general" vertical="bottom" textRotation="0" wrapText="false" indent="0" shrinkToFit="false"/>
      <protection locked="true" hidden="false"/>
    </xf>
    <xf numFmtId="173" fontId="49" fillId="13" borderId="7" xfId="0" applyFont="true" applyBorder="true" applyAlignment="true" applyProtection="true">
      <alignment horizontal="general" vertical="bottom" textRotation="0" wrapText="false" indent="0" shrinkToFit="false"/>
      <protection locked="true" hidden="false"/>
    </xf>
    <xf numFmtId="173" fontId="49" fillId="13" borderId="39" xfId="0" applyFont="true" applyBorder="true" applyAlignment="true" applyProtection="true">
      <alignment horizontal="general" vertical="bottom" textRotation="0" wrapText="false" indent="0" shrinkToFit="false"/>
      <protection locked="true" hidden="false"/>
    </xf>
    <xf numFmtId="173" fontId="40" fillId="12" borderId="31" xfId="0" applyFont="true" applyBorder="true" applyAlignment="true" applyProtection="true">
      <alignment horizontal="general" vertical="bottom" textRotation="0" wrapText="false" indent="0" shrinkToFit="false"/>
      <protection locked="true" hidden="false"/>
    </xf>
    <xf numFmtId="173" fontId="51" fillId="13" borderId="31" xfId="0" applyFont="true" applyBorder="true" applyAlignment="true" applyProtection="true">
      <alignment horizontal="general" vertical="bottom" textRotation="0" wrapText="false" indent="0" shrinkToFit="false"/>
      <protection locked="true" hidden="false"/>
    </xf>
    <xf numFmtId="173" fontId="51" fillId="13" borderId="22" xfId="0" applyFont="true" applyBorder="true" applyAlignment="true" applyProtection="true">
      <alignment horizontal="general" vertical="bottom" textRotation="0" wrapText="false" indent="0" shrinkToFit="false"/>
      <protection locked="true" hidden="false"/>
    </xf>
    <xf numFmtId="173" fontId="51" fillId="0" borderId="18" xfId="0" applyFont="true" applyBorder="true" applyAlignment="true" applyProtection="true">
      <alignment horizontal="general" vertical="bottom" textRotation="0" wrapText="false" indent="0" shrinkToFit="false"/>
      <protection locked="true" hidden="false"/>
    </xf>
    <xf numFmtId="173" fontId="51" fillId="13" borderId="18" xfId="0" applyFont="true" applyBorder="true" applyAlignment="true" applyProtection="true">
      <alignment horizontal="general" vertical="bottom" textRotation="0" wrapText="false" indent="0" shrinkToFit="false"/>
      <protection locked="true" hidden="false"/>
    </xf>
    <xf numFmtId="173" fontId="51" fillId="13" borderId="59" xfId="0" applyFont="true" applyBorder="true" applyAlignment="true" applyProtection="true">
      <alignment horizontal="general" vertical="bottom" textRotation="0" wrapText="false" indent="0" shrinkToFit="false"/>
      <protection locked="true" hidden="false"/>
    </xf>
    <xf numFmtId="173" fontId="51" fillId="13" borderId="9" xfId="0" applyFont="true" applyBorder="true" applyAlignment="true" applyProtection="true">
      <alignment horizontal="general" vertical="bottom" textRotation="0" wrapText="false" indent="0" shrinkToFit="false"/>
      <protection locked="true" hidden="false"/>
    </xf>
    <xf numFmtId="173" fontId="51" fillId="13" borderId="37" xfId="0" applyFont="true" applyBorder="true" applyAlignment="true" applyProtection="true">
      <alignment horizontal="general" vertical="bottom" textRotation="0" wrapText="false" indent="0" shrinkToFit="false"/>
      <protection locked="true" hidden="false"/>
    </xf>
    <xf numFmtId="173" fontId="40" fillId="13" borderId="60" xfId="0" applyFont="true" applyBorder="true" applyAlignment="true" applyProtection="true">
      <alignment horizontal="general" vertical="bottom" textRotation="0" wrapText="false" indent="0" shrinkToFit="false"/>
      <protection locked="true" hidden="false"/>
    </xf>
    <xf numFmtId="173" fontId="49" fillId="13" borderId="9" xfId="0" applyFont="true" applyBorder="true" applyAlignment="true" applyProtection="true">
      <alignment horizontal="general" vertical="bottom" textRotation="0" wrapText="false" indent="0" shrinkToFit="false"/>
      <protection locked="true" hidden="false"/>
    </xf>
    <xf numFmtId="173" fontId="52" fillId="13" borderId="3" xfId="0" applyFont="true" applyBorder="true" applyAlignment="true" applyProtection="true">
      <alignment horizontal="general" vertical="bottom" textRotation="0" wrapText="false" indent="0" shrinkToFit="false"/>
      <protection locked="true" hidden="false"/>
    </xf>
    <xf numFmtId="173" fontId="52" fillId="13" borderId="61" xfId="0" applyFont="true" applyBorder="true" applyAlignment="true" applyProtection="true">
      <alignment horizontal="general" vertical="bottom" textRotation="0" wrapText="false" indent="0" shrinkToFit="false"/>
      <protection locked="true" hidden="false"/>
    </xf>
    <xf numFmtId="173" fontId="49" fillId="13" borderId="60" xfId="0" applyFont="true" applyBorder="true" applyAlignment="true" applyProtection="true">
      <alignment horizontal="general" vertical="bottom" textRotation="0" wrapText="false" indent="0" shrinkToFit="false"/>
      <protection locked="true" hidden="false"/>
    </xf>
    <xf numFmtId="173" fontId="40" fillId="13" borderId="62" xfId="0" applyFont="true" applyBorder="true" applyAlignment="true" applyProtection="true">
      <alignment horizontal="general" vertical="bottom" textRotation="0" wrapText="false" indent="0" shrinkToFit="false"/>
      <protection locked="true" hidden="false"/>
    </xf>
    <xf numFmtId="173" fontId="40" fillId="13" borderId="61" xfId="0" applyFont="true" applyBorder="true" applyAlignment="true" applyProtection="true">
      <alignment horizontal="general" vertical="bottom" textRotation="0" wrapText="false" indent="0" shrinkToFit="false"/>
      <protection locked="true" hidden="false"/>
    </xf>
    <xf numFmtId="173" fontId="51" fillId="13" borderId="62" xfId="0" applyFont="true" applyBorder="true" applyAlignment="true" applyProtection="true">
      <alignment horizontal="general" vertical="bottom" textRotation="0" wrapText="false" indent="0" shrinkToFit="false"/>
      <protection locked="true" hidden="false"/>
    </xf>
    <xf numFmtId="173" fontId="51" fillId="13" borderId="61" xfId="0" applyFont="true" applyBorder="true" applyAlignment="true" applyProtection="true">
      <alignment horizontal="general" vertical="bottom" textRotation="0" wrapText="false" indent="0" shrinkToFit="false"/>
      <protection locked="true" hidden="false"/>
    </xf>
    <xf numFmtId="173" fontId="49" fillId="15" borderId="63" xfId="0" applyFont="true" applyBorder="true" applyAlignment="true" applyProtection="true">
      <alignment horizontal="general" vertical="bottom" textRotation="0" wrapText="false" indent="0" shrinkToFit="false"/>
      <protection locked="true" hidden="false"/>
    </xf>
    <xf numFmtId="173" fontId="48" fillId="11" borderId="64" xfId="0" applyFont="true" applyBorder="true" applyAlignment="true" applyProtection="true">
      <alignment horizontal="left" vertical="bottom" textRotation="0" wrapText="false" indent="0" shrinkToFit="false"/>
      <protection locked="true" hidden="false"/>
    </xf>
    <xf numFmtId="173" fontId="40" fillId="13" borderId="8" xfId="0" applyFont="true" applyBorder="true" applyAlignment="true" applyProtection="true">
      <alignment horizontal="general" vertical="bottom" textRotation="0" wrapText="false" indent="0" shrinkToFit="false"/>
      <protection locked="true" hidden="false"/>
    </xf>
    <xf numFmtId="173" fontId="40" fillId="13" borderId="5" xfId="0" applyFont="true" applyBorder="true" applyAlignment="true" applyProtection="true">
      <alignment horizontal="general" vertical="bottom" textRotation="0" wrapText="false" indent="0" shrinkToFit="false"/>
      <protection locked="true" hidden="false"/>
    </xf>
    <xf numFmtId="173" fontId="40" fillId="13" borderId="59" xfId="0" applyFont="true" applyBorder="true" applyAlignment="true" applyProtection="true">
      <alignment horizontal="general" vertical="bottom" textRotation="0" wrapText="false" indent="0" shrinkToFit="false"/>
      <protection locked="true" hidden="false"/>
    </xf>
    <xf numFmtId="173" fontId="40" fillId="13" borderId="65" xfId="0" applyFont="true" applyBorder="true" applyAlignment="true" applyProtection="true">
      <alignment horizontal="general" vertical="bottom" textRotation="0" wrapText="false" indent="0" shrinkToFit="false"/>
      <protection locked="true" hidden="false"/>
    </xf>
    <xf numFmtId="173" fontId="53" fillId="0" borderId="3" xfId="0" applyFont="true" applyBorder="true" applyAlignment="true" applyProtection="true">
      <alignment horizontal="general" vertical="bottom" textRotation="0" wrapText="false" indent="0" shrinkToFit="false"/>
      <protection locked="true" hidden="false"/>
    </xf>
    <xf numFmtId="173" fontId="54" fillId="13" borderId="7" xfId="0" applyFont="true" applyBorder="true" applyAlignment="true" applyProtection="true">
      <alignment horizontal="general" vertical="bottom" textRotation="0" wrapText="false" indent="0" shrinkToFit="true"/>
      <protection locked="true" hidden="false"/>
    </xf>
    <xf numFmtId="173" fontId="49" fillId="0" borderId="60" xfId="0" applyFont="true" applyBorder="true" applyAlignment="true" applyProtection="true">
      <alignment horizontal="general" vertical="bottom" textRotation="0" wrapText="false" indent="0" shrinkToFit="false"/>
      <protection locked="true" hidden="false"/>
    </xf>
    <xf numFmtId="173" fontId="45" fillId="18" borderId="4" xfId="0" applyFont="true" applyBorder="true" applyAlignment="true" applyProtection="true">
      <alignment horizontal="center" vertical="center" textRotation="0" wrapText="false" indent="0" shrinkToFit="false"/>
      <protection locked="true" hidden="false"/>
    </xf>
    <xf numFmtId="173" fontId="56" fillId="18" borderId="8" xfId="0" applyFont="true" applyBorder="true" applyAlignment="true" applyProtection="true">
      <alignment horizontal="general" vertical="bottom" textRotation="0" wrapText="false" indent="0" shrinkToFit="false"/>
      <protection locked="true" hidden="false"/>
    </xf>
    <xf numFmtId="173" fontId="56" fillId="18" borderId="39" xfId="0" applyFont="true" applyBorder="true" applyAlignment="true" applyProtection="true">
      <alignment horizontal="general" vertical="bottom" textRotation="0" wrapText="false" indent="0" shrinkToFit="false"/>
      <protection locked="true" hidden="false"/>
    </xf>
    <xf numFmtId="173" fontId="56" fillId="18" borderId="6" xfId="0" applyFont="true" applyBorder="true" applyAlignment="true" applyProtection="true">
      <alignment horizontal="general" vertical="bottom" textRotation="0" wrapText="false" indent="0" shrinkToFit="false"/>
      <protection locked="true" hidden="false"/>
    </xf>
    <xf numFmtId="173" fontId="56" fillId="18" borderId="4" xfId="0" applyFont="true" applyBorder="true" applyAlignment="true" applyProtection="true">
      <alignment horizontal="general" vertical="bottom" textRotation="0" wrapText="false" indent="0" shrinkToFit="false"/>
      <protection locked="true" hidden="false"/>
    </xf>
    <xf numFmtId="173" fontId="49" fillId="18" borderId="6" xfId="0" applyFont="true" applyBorder="true" applyAlignment="true" applyProtection="true">
      <alignment horizontal="general" vertical="bottom" textRotation="0" wrapText="false" indent="0" shrinkToFit="false"/>
      <protection locked="true" hidden="false"/>
    </xf>
    <xf numFmtId="173" fontId="49" fillId="18" borderId="60" xfId="0" applyFont="true" applyBorder="true" applyAlignment="true" applyProtection="true">
      <alignment horizontal="general" vertical="bottom" textRotation="0" wrapText="false" indent="0" shrinkToFit="false"/>
      <protection locked="true" hidden="false"/>
    </xf>
    <xf numFmtId="173" fontId="49" fillId="18" borderId="8" xfId="0" applyFont="true" applyBorder="true" applyAlignment="true" applyProtection="true">
      <alignment horizontal="general" vertical="bottom" textRotation="0" wrapText="false" indent="0" shrinkToFit="false"/>
      <protection locked="true" hidden="false"/>
    </xf>
    <xf numFmtId="176" fontId="50" fillId="0" borderId="0" xfId="0" applyFont="true" applyBorder="true" applyAlignment="true" applyProtection="true">
      <alignment horizontal="center" vertical="bottom" textRotation="0" wrapText="true" indent="0" shrinkToFit="true"/>
      <protection locked="true" hidden="false"/>
    </xf>
    <xf numFmtId="173" fontId="40" fillId="0" borderId="0" xfId="0" applyFont="true" applyBorder="true" applyAlignment="true" applyProtection="true">
      <alignment horizontal="general" vertical="bottom" textRotation="0" wrapText="false" indent="0" shrinkToFit="true"/>
      <protection locked="true" hidden="false"/>
    </xf>
    <xf numFmtId="173" fontId="57" fillId="0" borderId="3" xfId="0" applyFont="true" applyBorder="true" applyAlignment="true" applyProtection="true">
      <alignment horizontal="general" vertical="center" textRotation="0" wrapText="false" indent="0" shrinkToFit="false"/>
      <protection locked="true" hidden="false"/>
    </xf>
    <xf numFmtId="175" fontId="44" fillId="0" borderId="0" xfId="0" applyFont="true" applyBorder="true" applyAlignment="true" applyProtection="true">
      <alignment horizontal="center" vertical="center" textRotation="0" wrapText="false" indent="0" shrinkToFit="false"/>
      <protection locked="true" hidden="false"/>
    </xf>
    <xf numFmtId="173" fontId="57" fillId="0" borderId="0" xfId="0" applyFont="true" applyBorder="false" applyAlignment="true" applyProtection="true">
      <alignment horizontal="general" vertical="center" textRotation="0" wrapText="false" indent="0" shrinkToFit="false"/>
      <protection locked="true" hidden="false"/>
    </xf>
    <xf numFmtId="173" fontId="49" fillId="12" borderId="30" xfId="0" applyFont="true" applyBorder="true" applyAlignment="true" applyProtection="true">
      <alignment horizontal="general" vertical="bottom" textRotation="0" wrapText="false" indent="0" shrinkToFit="false"/>
      <protection locked="true" hidden="false"/>
    </xf>
    <xf numFmtId="173" fontId="51" fillId="19" borderId="19" xfId="0" applyFont="true" applyBorder="true" applyAlignment="true" applyProtection="true">
      <alignment horizontal="general" vertical="bottom" textRotation="0" wrapText="false" indent="0" shrinkToFit="false"/>
      <protection locked="true" hidden="false"/>
    </xf>
    <xf numFmtId="173" fontId="51" fillId="19" borderId="17" xfId="0" applyFont="true" applyBorder="true" applyAlignment="true" applyProtection="true">
      <alignment horizontal="general" vertical="bottom" textRotation="0" wrapText="false" indent="0" shrinkToFit="false"/>
      <protection locked="true" hidden="false"/>
    </xf>
    <xf numFmtId="173" fontId="51" fillId="19" borderId="16" xfId="0" applyFont="true" applyBorder="true" applyAlignment="true" applyProtection="true">
      <alignment horizontal="general" vertical="bottom" textRotation="0" wrapText="false" indent="0" shrinkToFit="false"/>
      <protection locked="true" hidden="false"/>
    </xf>
    <xf numFmtId="173" fontId="49" fillId="19" borderId="17" xfId="0" applyFont="true" applyBorder="true" applyAlignment="true" applyProtection="true">
      <alignment horizontal="general" vertical="bottom" textRotation="0" wrapText="false" indent="0" shrinkToFit="false"/>
      <protection locked="true" hidden="false"/>
    </xf>
    <xf numFmtId="173" fontId="51" fillId="19" borderId="21" xfId="0" applyFont="true" applyBorder="true" applyAlignment="true" applyProtection="true">
      <alignment horizontal="general" vertical="bottom" textRotation="0" wrapText="false" indent="0" shrinkToFit="false"/>
      <protection locked="true" hidden="false"/>
    </xf>
    <xf numFmtId="173" fontId="51" fillId="19" borderId="22" xfId="0" applyFont="true" applyBorder="true" applyAlignment="true" applyProtection="true">
      <alignment horizontal="general" vertical="bottom" textRotation="0" wrapText="false" indent="0" shrinkToFit="false"/>
      <protection locked="true" hidden="false"/>
    </xf>
    <xf numFmtId="173" fontId="49" fillId="19" borderId="20" xfId="0" applyFont="true" applyBorder="true" applyAlignment="true" applyProtection="true">
      <alignment horizontal="general" vertical="bottom" textRotation="0" wrapText="false" indent="0" shrinkToFit="false"/>
      <protection locked="true" hidden="false"/>
    </xf>
    <xf numFmtId="173" fontId="49" fillId="19" borderId="14" xfId="0" applyFont="true" applyBorder="true" applyAlignment="true" applyProtection="true">
      <alignment horizontal="general" vertical="bottom" textRotation="0" wrapText="false" indent="0" shrinkToFit="false"/>
      <protection locked="true" hidden="false"/>
    </xf>
    <xf numFmtId="173" fontId="49" fillId="12" borderId="21" xfId="0" applyFont="true" applyBorder="true" applyAlignment="true" applyProtection="true">
      <alignment horizontal="general" vertical="bottom" textRotation="0" wrapText="false" indent="0" shrinkToFit="false"/>
      <protection locked="true" hidden="false"/>
    </xf>
    <xf numFmtId="173" fontId="51" fillId="19" borderId="20" xfId="0" applyFont="true" applyBorder="true" applyAlignment="true" applyProtection="true">
      <alignment horizontal="general" vertical="bottom" textRotation="0" wrapText="false" indent="0" shrinkToFit="false"/>
      <protection locked="true" hidden="false"/>
    </xf>
    <xf numFmtId="173" fontId="51" fillId="19" borderId="24" xfId="0" applyFont="true" applyBorder="true" applyAlignment="true" applyProtection="true">
      <alignment horizontal="general" vertical="bottom" textRotation="0" wrapText="false" indent="0" shrinkToFit="false"/>
      <protection locked="true" hidden="false"/>
    </xf>
    <xf numFmtId="173" fontId="51" fillId="19" borderId="30" xfId="0" applyFont="true" applyBorder="true" applyAlignment="true" applyProtection="true">
      <alignment horizontal="general" vertical="bottom" textRotation="0" wrapText="false" indent="0" shrinkToFit="false"/>
      <protection locked="true" hidden="false"/>
    </xf>
    <xf numFmtId="173" fontId="51" fillId="19" borderId="23" xfId="0" applyFont="true" applyBorder="true" applyAlignment="true" applyProtection="true">
      <alignment horizontal="general" vertical="bottom" textRotation="0" wrapText="false" indent="0" shrinkToFit="false"/>
      <protection locked="true" hidden="false"/>
    </xf>
    <xf numFmtId="173" fontId="40" fillId="13" borderId="20" xfId="0" applyFont="true" applyBorder="true" applyAlignment="true" applyProtection="true">
      <alignment horizontal="general" vertical="bottom" textRotation="0" wrapText="false" indent="0" shrinkToFit="false"/>
      <protection locked="true" hidden="false"/>
    </xf>
    <xf numFmtId="173" fontId="51" fillId="13" borderId="3" xfId="0" applyFont="true" applyBorder="true" applyAlignment="true" applyProtection="true">
      <alignment horizontal="general" vertical="bottom" textRotation="0" wrapText="false" indent="0" shrinkToFit="false"/>
      <protection locked="true" hidden="false"/>
    </xf>
    <xf numFmtId="173" fontId="58" fillId="13" borderId="7" xfId="0" applyFont="true" applyBorder="true" applyAlignment="true" applyProtection="true">
      <alignment horizontal="general" vertical="bottom" textRotation="0" wrapText="false" indent="0" shrinkToFit="true"/>
      <protection locked="true" hidden="false"/>
    </xf>
    <xf numFmtId="173" fontId="50" fillId="0" borderId="0" xfId="0" applyFont="true" applyBorder="true" applyAlignment="true" applyProtection="true">
      <alignment horizontal="left" vertical="bottom" textRotation="0" wrapText="false" indent="0" shrinkToFit="false"/>
      <protection locked="true" hidden="false"/>
    </xf>
    <xf numFmtId="173" fontId="50" fillId="0" borderId="0" xfId="0" applyFont="true" applyBorder="true" applyAlignment="true" applyProtection="true">
      <alignment horizontal="general" vertical="bottom" textRotation="0" wrapText="false" indent="0" shrinkToFit="false"/>
      <protection locked="true" hidden="false"/>
    </xf>
    <xf numFmtId="173" fontId="59" fillId="12" borderId="20" xfId="0" applyFont="true" applyBorder="true" applyAlignment="true" applyProtection="true">
      <alignment horizontal="general" vertical="bottom" textRotation="0" wrapText="false" indent="0" shrinkToFit="false"/>
      <protection locked="true" hidden="false"/>
    </xf>
    <xf numFmtId="173" fontId="60" fillId="14" borderId="20" xfId="0" applyFont="true" applyBorder="true" applyAlignment="true" applyProtection="true">
      <alignment horizontal="general" vertical="bottom" textRotation="0" wrapText="false" indent="0" shrinkToFit="false"/>
      <protection locked="true" hidden="false"/>
    </xf>
    <xf numFmtId="173" fontId="60" fillId="14" borderId="26" xfId="0" applyFont="true" applyBorder="true" applyAlignment="true" applyProtection="true">
      <alignment horizontal="general" vertical="bottom" textRotation="0" wrapText="false" indent="0" shrinkToFit="false"/>
      <protection locked="true" hidden="false"/>
    </xf>
    <xf numFmtId="173" fontId="60" fillId="14" borderId="38" xfId="0" applyFont="true" applyBorder="true" applyAlignment="true" applyProtection="true">
      <alignment horizontal="general" vertical="bottom" textRotation="0" wrapText="false" indent="0" shrinkToFit="false"/>
      <protection locked="true" hidden="false"/>
    </xf>
    <xf numFmtId="173" fontId="52" fillId="12" borderId="23" xfId="0" applyFont="true" applyBorder="true" applyAlignment="true" applyProtection="true">
      <alignment horizontal="general" vertical="bottom" textRotation="0" wrapText="false" indent="0" shrinkToFit="false"/>
      <protection locked="true" hidden="false"/>
    </xf>
    <xf numFmtId="173" fontId="52" fillId="12" borderId="20" xfId="0" applyFont="true" applyBorder="true" applyAlignment="true" applyProtection="true">
      <alignment horizontal="general" vertical="bottom" textRotation="0" wrapText="false" indent="0" shrinkToFit="false"/>
      <protection locked="true" hidden="false"/>
    </xf>
    <xf numFmtId="173" fontId="52" fillId="12" borderId="19" xfId="0" applyFont="true" applyBorder="true" applyAlignment="true" applyProtection="true">
      <alignment horizontal="general" vertical="bottom" textRotation="0" wrapText="false" indent="0" shrinkToFit="false"/>
      <protection locked="true" hidden="false"/>
    </xf>
    <xf numFmtId="173" fontId="52" fillId="12" borderId="21" xfId="0" applyFont="true" applyBorder="true" applyAlignment="true" applyProtection="true">
      <alignment horizontal="general" vertical="bottom" textRotation="0" wrapText="false" indent="0" shrinkToFit="false"/>
      <protection locked="true" hidden="false"/>
    </xf>
    <xf numFmtId="173" fontId="52" fillId="12" borderId="30" xfId="0" applyFont="true" applyBorder="true" applyAlignment="true" applyProtection="true">
      <alignment horizontal="general" vertical="bottom" textRotation="0" wrapText="false" indent="0" shrinkToFit="false"/>
      <protection locked="true" hidden="false"/>
    </xf>
    <xf numFmtId="173" fontId="52" fillId="12" borderId="22" xfId="0" applyFont="true" applyBorder="true" applyAlignment="true" applyProtection="true">
      <alignment horizontal="general" vertical="bottom" textRotation="0" wrapText="false" indent="0" shrinkToFit="false"/>
      <protection locked="true" hidden="false"/>
    </xf>
    <xf numFmtId="173" fontId="61" fillId="11" borderId="27" xfId="0" applyFont="true" applyBorder="true" applyAlignment="true" applyProtection="true">
      <alignment horizontal="left" vertical="bottom" textRotation="0" wrapText="false" indent="0" shrinkToFit="false"/>
      <protection locked="true" hidden="false"/>
    </xf>
    <xf numFmtId="173" fontId="40" fillId="0" borderId="23" xfId="0" applyFont="true" applyBorder="true" applyAlignment="true" applyProtection="true">
      <alignment horizontal="general" vertical="bottom" textRotation="0" wrapText="false" indent="0" shrinkToFit="false"/>
      <protection locked="true" hidden="false"/>
    </xf>
    <xf numFmtId="173" fontId="40" fillId="0" borderId="28" xfId="0" applyFont="true" applyBorder="true" applyAlignment="true" applyProtection="true">
      <alignment horizontal="general" vertical="bottom" textRotation="0" wrapText="false" indent="0" shrinkToFit="false"/>
      <protection locked="true" hidden="false"/>
    </xf>
    <xf numFmtId="173" fontId="51" fillId="19" borderId="25" xfId="0" applyFont="true" applyBorder="true" applyAlignment="true" applyProtection="true">
      <alignment horizontal="general" vertical="bottom" textRotation="0" wrapText="false" indent="0" shrinkToFit="false"/>
      <protection locked="true" hidden="false"/>
    </xf>
    <xf numFmtId="173" fontId="51" fillId="19" borderId="26" xfId="0" applyFont="true" applyBorder="true" applyAlignment="true" applyProtection="true">
      <alignment horizontal="general" vertical="bottom" textRotation="0" wrapText="false" indent="0" shrinkToFit="false"/>
      <protection locked="true" hidden="false"/>
    </xf>
    <xf numFmtId="173" fontId="51" fillId="0" borderId="3" xfId="0" applyFont="true" applyBorder="true" applyAlignment="true" applyProtection="true">
      <alignment horizontal="general" vertical="bottom" textRotation="0" wrapText="false" indent="0" shrinkToFit="false"/>
      <protection locked="true" hidden="false"/>
    </xf>
    <xf numFmtId="173" fontId="51" fillId="0" borderId="61" xfId="0" applyFont="true" applyBorder="true" applyAlignment="true" applyProtection="true">
      <alignment horizontal="general" vertical="bottom" textRotation="0" wrapText="false" indent="0" shrinkToFit="false"/>
      <protection locked="true" hidden="false"/>
    </xf>
    <xf numFmtId="173" fontId="51" fillId="0" borderId="62" xfId="0" applyFont="true" applyBorder="true" applyAlignment="true" applyProtection="true">
      <alignment horizontal="general" vertical="bottom" textRotation="0" wrapText="false" indent="0" shrinkToFit="false"/>
      <protection locked="true" hidden="false"/>
    </xf>
    <xf numFmtId="173" fontId="57" fillId="20" borderId="3" xfId="0" applyFont="true" applyBorder="true" applyAlignment="true" applyProtection="true">
      <alignment horizontal="general" vertical="center" textRotation="0" wrapText="false" indent="0" shrinkToFit="false"/>
      <protection locked="true" hidden="false"/>
    </xf>
    <xf numFmtId="177" fontId="44" fillId="20" borderId="3" xfId="0" applyFont="true" applyBorder="true" applyAlignment="true" applyProtection="true">
      <alignment horizontal="center" vertical="center" textRotation="0" wrapText="false" indent="0" shrinkToFit="false"/>
      <protection locked="true" hidden="false"/>
    </xf>
    <xf numFmtId="173" fontId="40" fillId="13" borderId="7" xfId="0" applyFont="true" applyBorder="true" applyAlignment="true" applyProtection="true">
      <alignment horizontal="general" vertical="bottom" textRotation="0" wrapText="false" indent="0" shrinkToFit="false"/>
      <protection locked="true" hidden="false"/>
    </xf>
    <xf numFmtId="173" fontId="51" fillId="19" borderId="11" xfId="0" applyFont="true" applyBorder="true" applyAlignment="true" applyProtection="true">
      <alignment horizontal="general" vertical="bottom" textRotation="0" wrapText="false" indent="0" shrinkToFit="false"/>
      <protection locked="true" hidden="false"/>
    </xf>
    <xf numFmtId="173" fontId="51" fillId="19" borderId="14" xfId="0" applyFont="true" applyBorder="true" applyAlignment="true" applyProtection="true">
      <alignment horizontal="general" vertical="bottom" textRotation="0" wrapText="false" indent="0" shrinkToFit="false"/>
      <protection locked="true" hidden="false"/>
    </xf>
    <xf numFmtId="173" fontId="51" fillId="19" borderId="13" xfId="0" applyFont="true" applyBorder="true" applyAlignment="true" applyProtection="true">
      <alignment horizontal="general" vertical="bottom" textRotation="0" wrapText="false" indent="0" shrinkToFit="false"/>
      <protection locked="true" hidden="false"/>
    </xf>
    <xf numFmtId="173" fontId="48" fillId="11" borderId="18" xfId="0" applyFont="true" applyBorder="true" applyAlignment="true" applyProtection="true">
      <alignment horizontal="left" vertical="bottom" textRotation="0" wrapText="false" indent="0" shrinkToFit="false"/>
      <protection locked="true" hidden="false"/>
    </xf>
    <xf numFmtId="173" fontId="48" fillId="11" borderId="66" xfId="0" applyFont="true" applyBorder="true" applyAlignment="true" applyProtection="true">
      <alignment horizontal="left" vertical="bottom" textRotation="0" wrapText="false" indent="0" shrinkToFit="false"/>
      <protection locked="true" hidden="false"/>
    </xf>
    <xf numFmtId="173" fontId="48" fillId="11" borderId="67" xfId="0" applyFont="true" applyBorder="true" applyAlignment="true" applyProtection="true">
      <alignment horizontal="left" vertical="bottom" textRotation="0" wrapText="false" indent="0" shrinkToFit="false"/>
      <protection locked="true" hidden="false"/>
    </xf>
    <xf numFmtId="173" fontId="48" fillId="16" borderId="67" xfId="0" applyFont="true" applyBorder="true" applyAlignment="true" applyProtection="true">
      <alignment horizontal="left" vertical="bottom" textRotation="0" wrapText="false" indent="0" shrinkToFit="false"/>
      <protection locked="true" hidden="false"/>
    </xf>
    <xf numFmtId="173" fontId="48" fillId="16" borderId="18" xfId="0" applyFont="true" applyBorder="true" applyAlignment="true" applyProtection="true">
      <alignment horizontal="left" vertical="bottom" textRotation="0" wrapText="false" indent="0" shrinkToFit="false"/>
      <protection locked="true" hidden="false"/>
    </xf>
    <xf numFmtId="173" fontId="48" fillId="11" borderId="67" xfId="0" applyFont="true" applyBorder="true" applyAlignment="true" applyProtection="true">
      <alignment horizontal="left" vertical="bottom" textRotation="0" wrapText="false" indent="0" shrinkToFit="true"/>
      <protection locked="true" hidden="false"/>
    </xf>
    <xf numFmtId="173" fontId="48" fillId="16" borderId="67" xfId="0" applyFont="true" applyBorder="true" applyAlignment="true" applyProtection="true">
      <alignment horizontal="left" vertical="bottom" textRotation="0" wrapText="false" indent="0" shrinkToFit="true"/>
      <protection locked="true" hidden="false"/>
    </xf>
    <xf numFmtId="173" fontId="48" fillId="16" borderId="68" xfId="0" applyFont="true" applyBorder="true" applyAlignment="true" applyProtection="true">
      <alignment horizontal="general" vertical="bottom" textRotation="0" wrapText="false" indent="0" shrinkToFit="false"/>
      <protection locked="true" hidden="false"/>
    </xf>
    <xf numFmtId="173" fontId="50" fillId="14" borderId="67" xfId="0" applyFont="true" applyBorder="true" applyAlignment="true" applyProtection="true">
      <alignment horizontal="left" vertical="bottom" textRotation="0" wrapText="false" indent="0" shrinkToFit="false"/>
      <protection locked="true" hidden="false"/>
    </xf>
    <xf numFmtId="173" fontId="40" fillId="14" borderId="69" xfId="0" applyFont="true" applyBorder="true" applyAlignment="true" applyProtection="true">
      <alignment horizontal="general" vertical="bottom" textRotation="0" wrapText="false" indent="0" shrinkToFit="false"/>
      <protection locked="true" hidden="false"/>
    </xf>
    <xf numFmtId="173" fontId="50" fillId="18" borderId="0" xfId="0" applyFont="true" applyBorder="false" applyAlignment="true" applyProtection="true">
      <alignment horizontal="general" vertical="bottom" textRotation="0" wrapText="false" indent="0" shrinkToFit="false"/>
      <protection locked="true" hidden="false"/>
    </xf>
    <xf numFmtId="173" fontId="48" fillId="0" borderId="41" xfId="0" applyFont="true" applyBorder="true" applyAlignment="true" applyProtection="true">
      <alignment horizontal="left" vertical="bottom" textRotation="0" wrapText="false" indent="0" shrinkToFit="false"/>
      <protection locked="true" hidden="false"/>
    </xf>
    <xf numFmtId="173" fontId="50" fillId="12" borderId="0" xfId="0" applyFont="true" applyBorder="false" applyAlignment="true" applyProtection="true">
      <alignment horizontal="general" vertical="bottom" textRotation="0" wrapText="false" indent="0" shrinkToFit="false"/>
      <protection locked="true" hidden="false"/>
    </xf>
    <xf numFmtId="176" fontId="48" fillId="21" borderId="10" xfId="0" applyFont="true" applyBorder="true" applyAlignment="true" applyProtection="true">
      <alignment horizontal="left" vertical="bottom" textRotation="0" wrapText="false" indent="0" shrinkToFit="true"/>
      <protection locked="true" hidden="false"/>
    </xf>
    <xf numFmtId="173" fontId="40" fillId="21" borderId="19" xfId="0" applyFont="true" applyBorder="true" applyAlignment="true" applyProtection="true">
      <alignment horizontal="general" vertical="bottom" textRotation="0" wrapText="false" indent="0" shrinkToFit="false"/>
      <protection locked="true" hidden="false"/>
    </xf>
    <xf numFmtId="173" fontId="40" fillId="21" borderId="20" xfId="0" applyFont="true" applyBorder="true" applyAlignment="true" applyProtection="true">
      <alignment horizontal="general" vertical="bottom" textRotation="0" wrapText="false" indent="0" shrinkToFit="false"/>
      <protection locked="true" hidden="false"/>
    </xf>
    <xf numFmtId="173" fontId="40" fillId="21" borderId="21" xfId="0" applyFont="true" applyBorder="true" applyAlignment="true" applyProtection="true">
      <alignment horizontal="general" vertical="bottom" textRotation="0" wrapText="false" indent="0" shrinkToFit="false"/>
      <protection locked="true" hidden="false"/>
    </xf>
    <xf numFmtId="173" fontId="49" fillId="21" borderId="17" xfId="0" applyFont="true" applyBorder="true" applyAlignment="true" applyProtection="true">
      <alignment horizontal="general" vertical="bottom" textRotation="0" wrapText="false" indent="0" shrinkToFit="false"/>
      <protection locked="true" hidden="false"/>
    </xf>
    <xf numFmtId="173" fontId="62" fillId="0" borderId="3" xfId="0" applyFont="true" applyBorder="true" applyAlignment="true" applyProtection="true">
      <alignment horizontal="general" vertical="bottom" textRotation="0" wrapText="false" indent="0" shrinkToFit="false"/>
      <protection locked="true" hidden="false"/>
    </xf>
    <xf numFmtId="173" fontId="51" fillId="0" borderId="11" xfId="0" applyFont="true" applyBorder="true" applyAlignment="true" applyProtection="true">
      <alignment horizontal="general" vertical="bottom" textRotation="0" wrapText="false" indent="0" shrinkToFit="false"/>
      <protection locked="true" hidden="false"/>
    </xf>
    <xf numFmtId="173" fontId="51" fillId="0" borderId="12" xfId="0" applyFont="true" applyBorder="true" applyAlignment="true" applyProtection="true">
      <alignment horizontal="general" vertical="bottom" textRotation="0" wrapText="false" indent="0" shrinkToFit="false"/>
      <protection locked="true" hidden="false"/>
    </xf>
    <xf numFmtId="173" fontId="51" fillId="0" borderId="13" xfId="0" applyFont="true" applyBorder="true" applyAlignment="true" applyProtection="true">
      <alignment horizontal="general" vertical="bottom" textRotation="0" wrapText="false" indent="0" shrinkToFit="false"/>
      <protection locked="true" hidden="false"/>
    </xf>
    <xf numFmtId="173" fontId="51" fillId="0" borderId="14" xfId="0" applyFont="true" applyBorder="true" applyAlignment="true" applyProtection="true">
      <alignment horizontal="general" vertical="bottom" textRotation="0" wrapText="false" indent="0" shrinkToFit="false"/>
      <protection locked="true" hidden="false"/>
    </xf>
    <xf numFmtId="173" fontId="49" fillId="0" borderId="12" xfId="0" applyFont="true" applyBorder="true" applyAlignment="true" applyProtection="true">
      <alignment horizontal="general" vertical="bottom" textRotation="0" wrapText="false" indent="0" shrinkToFit="false"/>
      <protection locked="true" hidden="false"/>
    </xf>
    <xf numFmtId="173" fontId="51" fillId="0" borderId="15" xfId="0" applyFont="true" applyBorder="true" applyAlignment="true" applyProtection="true">
      <alignment horizontal="general" vertical="bottom" textRotation="0" wrapText="false" indent="0" shrinkToFit="false"/>
      <protection locked="true" hidden="false"/>
    </xf>
    <xf numFmtId="173" fontId="49" fillId="0" borderId="25" xfId="0" applyFont="true" applyBorder="true" applyAlignment="true" applyProtection="true">
      <alignment horizontal="general" vertical="bottom" textRotation="0" wrapText="false" indent="0" shrinkToFit="false"/>
      <protection locked="true" hidden="false"/>
    </xf>
    <xf numFmtId="173" fontId="51" fillId="0" borderId="25" xfId="0" applyFont="true" applyBorder="true" applyAlignment="true" applyProtection="true">
      <alignment horizontal="general" vertical="bottom" textRotation="0" wrapText="false" indent="0" shrinkToFit="false"/>
      <protection locked="true" hidden="false"/>
    </xf>
    <xf numFmtId="173" fontId="51" fillId="0" borderId="26" xfId="0" applyFont="true" applyBorder="true" applyAlignment="true" applyProtection="true">
      <alignment horizontal="general" vertical="bottom" textRotation="0" wrapText="false" indent="0" shrinkToFit="false"/>
      <protection locked="true" hidden="false"/>
    </xf>
    <xf numFmtId="173" fontId="51" fillId="0" borderId="28" xfId="0" applyFont="true" applyBorder="true" applyAlignment="true" applyProtection="true">
      <alignment horizontal="general" vertical="bottom" textRotation="0" wrapText="false" indent="0" shrinkToFit="false"/>
      <protection locked="true" hidden="false"/>
    </xf>
    <xf numFmtId="173" fontId="51" fillId="0" borderId="29" xfId="0" applyFont="true" applyBorder="true" applyAlignment="true" applyProtection="true">
      <alignment horizontal="general" vertical="bottom" textRotation="0" wrapText="false" indent="0" shrinkToFit="false"/>
      <protection locked="true" hidden="false"/>
    </xf>
    <xf numFmtId="173" fontId="40" fillId="0" borderId="20" xfId="0" applyFont="true" applyBorder="true" applyAlignment="true" applyProtection="true">
      <alignment horizontal="general" vertical="bottom" textRotation="0" wrapText="false" indent="0" shrinkToFit="false"/>
      <protection locked="true" hidden="false"/>
    </xf>
    <xf numFmtId="173" fontId="40" fillId="0" borderId="30" xfId="0" applyFont="true" applyBorder="true" applyAlignment="true" applyProtection="true">
      <alignment horizontal="general" vertical="bottom" textRotation="0" wrapText="false" indent="0" shrinkToFit="false"/>
      <protection locked="true" hidden="false"/>
    </xf>
    <xf numFmtId="173" fontId="40" fillId="0" borderId="17" xfId="0" applyFont="true" applyBorder="true" applyAlignment="true" applyProtection="true">
      <alignment horizontal="general" vertical="bottom" textRotation="0" wrapText="false" indent="0" shrinkToFit="false"/>
      <protection locked="true" hidden="false"/>
    </xf>
    <xf numFmtId="173" fontId="48" fillId="17" borderId="41" xfId="0" applyFont="true" applyBorder="true" applyAlignment="true" applyProtection="true">
      <alignment horizontal="left" vertical="bottom" textRotation="0" wrapText="false" indent="0" shrinkToFit="false"/>
      <protection locked="true" hidden="false"/>
    </xf>
    <xf numFmtId="173" fontId="40" fillId="0" borderId="25" xfId="0" applyFont="true" applyBorder="true" applyAlignment="true" applyProtection="true">
      <alignment horizontal="general" vertical="bottom" textRotation="0" wrapText="false" indent="0" shrinkToFit="false"/>
      <protection locked="true" hidden="false"/>
    </xf>
    <xf numFmtId="173" fontId="40" fillId="0" borderId="24" xfId="0" applyFont="true" applyBorder="true" applyAlignment="true" applyProtection="true">
      <alignment horizontal="general" vertical="bottom" textRotation="0" wrapText="false" indent="0" shrinkToFit="false"/>
      <protection locked="true" hidden="false"/>
    </xf>
    <xf numFmtId="173" fontId="49" fillId="14" borderId="17" xfId="0" applyFont="true" applyBorder="true" applyAlignment="true" applyProtection="true">
      <alignment horizontal="general" vertical="bottom" textRotation="0" wrapText="false" indent="0" shrinkToFit="false"/>
      <protection locked="true" hidden="false"/>
    </xf>
    <xf numFmtId="173" fontId="50" fillId="0" borderId="32" xfId="0" applyFont="true" applyBorder="true" applyAlignment="true" applyProtection="true">
      <alignment horizontal="center" vertical="center" textRotation="0" wrapText="false" indent="0" shrinkToFit="false"/>
      <protection locked="true" hidden="false"/>
    </xf>
    <xf numFmtId="173" fontId="49" fillId="0" borderId="44" xfId="0" applyFont="true" applyBorder="true" applyAlignment="true" applyProtection="true">
      <alignment horizontal="general" vertical="bottom" textRotation="0" wrapText="false" indent="0" shrinkToFit="false"/>
      <protection locked="true" hidden="false"/>
    </xf>
    <xf numFmtId="173" fontId="49" fillId="0" borderId="45" xfId="0" applyFont="true" applyBorder="true" applyAlignment="true" applyProtection="true">
      <alignment horizontal="general" vertical="bottom" textRotation="0" wrapText="false" indent="0" shrinkToFit="false"/>
      <protection locked="true" hidden="false"/>
    </xf>
    <xf numFmtId="173" fontId="49" fillId="0" borderId="46" xfId="0" applyFont="true" applyBorder="true" applyAlignment="true" applyProtection="true">
      <alignment horizontal="general" vertical="bottom" textRotation="0" wrapText="false" indent="0" shrinkToFit="false"/>
      <protection locked="true" hidden="false"/>
    </xf>
    <xf numFmtId="173" fontId="49" fillId="0" borderId="47" xfId="0" applyFont="true" applyBorder="true" applyAlignment="true" applyProtection="true">
      <alignment horizontal="general" vertical="bottom" textRotation="0" wrapText="false" indent="0" shrinkToFit="false"/>
      <protection locked="true" hidden="false"/>
    </xf>
    <xf numFmtId="173" fontId="49" fillId="0" borderId="48" xfId="0" applyFont="true" applyBorder="true" applyAlignment="true" applyProtection="true">
      <alignment horizontal="general" vertical="bottom" textRotation="0" wrapText="false" indent="0" shrinkToFit="false"/>
      <protection locked="true" hidden="false"/>
    </xf>
    <xf numFmtId="173" fontId="51" fillId="0" borderId="33" xfId="0" applyFont="true" applyBorder="true" applyAlignment="true" applyProtection="true">
      <alignment horizontal="general" vertical="bottom" textRotation="0" wrapText="false" indent="0" shrinkToFit="false"/>
      <protection locked="true" hidden="false"/>
    </xf>
    <xf numFmtId="173" fontId="51" fillId="0" borderId="36" xfId="0" applyFont="true" applyBorder="true" applyAlignment="true" applyProtection="true">
      <alignment horizontal="general" vertical="bottom" textRotation="0" wrapText="false" indent="0" shrinkToFit="false"/>
      <protection locked="true" hidden="false"/>
    </xf>
    <xf numFmtId="173" fontId="40" fillId="0" borderId="33" xfId="0" applyFont="true" applyBorder="true" applyAlignment="true" applyProtection="true">
      <alignment horizontal="general" vertical="bottom" textRotation="0" wrapText="false" indent="0" shrinkToFit="false"/>
      <protection locked="true" hidden="false"/>
    </xf>
    <xf numFmtId="173" fontId="40" fillId="0" borderId="36" xfId="0" applyFont="true" applyBorder="true" applyAlignment="true" applyProtection="true">
      <alignment horizontal="general" vertical="bottom" textRotation="0" wrapText="false" indent="0" shrinkToFit="false"/>
      <protection locked="true" hidden="false"/>
    </xf>
    <xf numFmtId="173" fontId="40" fillId="0" borderId="46" xfId="0" applyFont="true" applyBorder="true" applyAlignment="true" applyProtection="true">
      <alignment horizontal="general" vertical="bottom" textRotation="0" wrapText="false" indent="0" shrinkToFit="false"/>
      <protection locked="true" hidden="false"/>
    </xf>
    <xf numFmtId="173" fontId="40" fillId="0" borderId="47" xfId="0" applyFont="true" applyBorder="true" applyAlignment="true" applyProtection="true">
      <alignment horizontal="general" vertical="bottom" textRotation="0" wrapText="false" indent="0" shrinkToFit="false"/>
      <protection locked="true" hidden="false"/>
    </xf>
    <xf numFmtId="173" fontId="40" fillId="0" borderId="45" xfId="0" applyFont="true" applyBorder="true" applyAlignment="true" applyProtection="true">
      <alignment horizontal="general" vertical="bottom" textRotation="0" wrapText="false" indent="0" shrinkToFit="false"/>
      <protection locked="true" hidden="false"/>
    </xf>
    <xf numFmtId="175" fontId="57" fillId="0" borderId="3" xfId="0" applyFont="true" applyBorder="true" applyAlignment="true" applyProtection="true">
      <alignment horizontal="center" vertical="center" textRotation="0" wrapText="false" indent="0" shrinkToFit="false"/>
      <protection locked="true" hidden="false"/>
    </xf>
    <xf numFmtId="173" fontId="49" fillId="0" borderId="27" xfId="0" applyFont="true" applyBorder="true" applyAlignment="true" applyProtection="true">
      <alignment horizontal="general" vertical="bottom" textRotation="0" wrapText="false" indent="0" shrinkToFit="false"/>
      <protection locked="true" hidden="false"/>
    </xf>
    <xf numFmtId="173" fontId="49" fillId="0" borderId="26" xfId="0" applyFont="true" applyBorder="true" applyAlignment="true" applyProtection="true">
      <alignment horizontal="general" vertical="bottom" textRotation="0" wrapText="false" indent="0" shrinkToFit="false"/>
      <protection locked="true" hidden="false"/>
    </xf>
    <xf numFmtId="173" fontId="51" fillId="14" borderId="18" xfId="0" applyFont="true" applyBorder="true" applyAlignment="true" applyProtection="true">
      <alignment horizontal="general" vertical="bottom" textRotation="0" wrapText="false" indent="0" shrinkToFit="false"/>
      <protection locked="true" hidden="false"/>
    </xf>
    <xf numFmtId="173" fontId="49" fillId="19" borderId="27" xfId="0" applyFont="true" applyBorder="true" applyAlignment="true" applyProtection="true">
      <alignment horizontal="general" vertical="bottom" textRotation="0" wrapText="false" indent="0" shrinkToFit="false"/>
      <protection locked="true" hidden="false"/>
    </xf>
    <xf numFmtId="173" fontId="49" fillId="19" borderId="26" xfId="0" applyFont="true" applyBorder="true" applyAlignment="true" applyProtection="true">
      <alignment horizontal="general" vertical="bottom" textRotation="0" wrapText="false" indent="0" shrinkToFit="false"/>
      <protection locked="true" hidden="false"/>
    </xf>
    <xf numFmtId="173" fontId="51" fillId="13" borderId="67" xfId="0" applyFont="true" applyBorder="true" applyAlignment="true" applyProtection="true">
      <alignment horizontal="general" vertical="bottom" textRotation="0" wrapText="false" indent="0" shrinkToFit="false"/>
      <protection locked="true" hidden="false"/>
    </xf>
    <xf numFmtId="173" fontId="40" fillId="14" borderId="70" xfId="0" applyFont="true" applyBorder="true" applyAlignment="true" applyProtection="true">
      <alignment horizontal="general" vertical="bottom" textRotation="0" wrapText="false" indent="0" shrinkToFit="false"/>
      <protection locked="true" hidden="false"/>
    </xf>
    <xf numFmtId="173" fontId="40" fillId="14" borderId="71" xfId="0" applyFont="true" applyBorder="true" applyAlignment="true" applyProtection="true">
      <alignment horizontal="general" vertical="bottom" textRotation="0" wrapText="false" indent="0" shrinkToFit="false"/>
      <protection locked="true" hidden="false"/>
    </xf>
    <xf numFmtId="173" fontId="51" fillId="0" borderId="46" xfId="0" applyFont="true" applyBorder="true" applyAlignment="true" applyProtection="true">
      <alignment horizontal="general" vertical="bottom" textRotation="0" wrapText="false" indent="0" shrinkToFit="false"/>
      <protection locked="true" hidden="false"/>
    </xf>
    <xf numFmtId="173" fontId="51" fillId="0" borderId="47" xfId="0" applyFont="true" applyBorder="true" applyAlignment="true" applyProtection="true">
      <alignment horizontal="general" vertical="bottom" textRotation="0" wrapText="false" indent="0" shrinkToFit="false"/>
      <protection locked="true" hidden="false"/>
    </xf>
    <xf numFmtId="173" fontId="51" fillId="0" borderId="45" xfId="0" applyFont="true" applyBorder="true" applyAlignment="true" applyProtection="true">
      <alignment horizontal="general" vertical="bottom" textRotation="0" wrapText="false" indent="0" shrinkToFit="false"/>
      <protection locked="true" hidden="false"/>
    </xf>
    <xf numFmtId="173" fontId="40" fillId="13" borderId="33" xfId="0" applyFont="true" applyBorder="true" applyAlignment="true" applyProtection="true">
      <alignment horizontal="general" vertical="bottom" textRotation="0" wrapText="false" indent="0" shrinkToFit="false"/>
      <protection locked="true" hidden="false"/>
    </xf>
    <xf numFmtId="173" fontId="49" fillId="15" borderId="72" xfId="0" applyFont="true" applyBorder="true" applyAlignment="true" applyProtection="true">
      <alignment horizontal="general" vertical="bottom" textRotation="0" wrapText="false" indent="0" shrinkToFit="false"/>
      <protection locked="true" hidden="false"/>
    </xf>
    <xf numFmtId="177" fontId="57" fillId="20" borderId="3" xfId="0" applyFont="true" applyBorder="true" applyAlignment="true" applyProtection="true">
      <alignment horizontal="center" vertical="center" textRotation="0" wrapText="false" indent="0" shrinkToFit="false"/>
      <protection locked="true" hidden="false"/>
    </xf>
    <xf numFmtId="173" fontId="49" fillId="0" borderId="19" xfId="0" applyFont="true" applyBorder="true" applyAlignment="true" applyProtection="true">
      <alignment horizontal="general" vertical="bottom" textRotation="0" wrapText="false" indent="0" shrinkToFit="false"/>
      <protection locked="true" hidden="false"/>
    </xf>
    <xf numFmtId="173" fontId="49" fillId="0" borderId="29" xfId="0" applyFont="true" applyBorder="true" applyAlignment="true" applyProtection="true">
      <alignment horizontal="general" vertical="bottom" textRotation="0" wrapText="false" indent="0" shrinkToFit="false"/>
      <protection locked="true" hidden="false"/>
    </xf>
    <xf numFmtId="173" fontId="49" fillId="0" borderId="8" xfId="0" applyFont="true" applyBorder="true" applyAlignment="true" applyProtection="true">
      <alignment horizontal="general" vertical="bottom" textRotation="0" wrapText="false" indent="0" shrinkToFit="false"/>
      <protection locked="true" hidden="false"/>
    </xf>
    <xf numFmtId="173" fontId="49" fillId="0" borderId="39" xfId="0" applyFont="true" applyBorder="true" applyAlignment="true" applyProtection="true">
      <alignment horizontal="general" vertical="bottom" textRotation="0" wrapText="false" indent="0" shrinkToFit="false"/>
      <protection locked="true" hidden="false"/>
    </xf>
    <xf numFmtId="173" fontId="49" fillId="0" borderId="6" xfId="0" applyFont="true" applyBorder="true" applyAlignment="true" applyProtection="true">
      <alignment horizontal="general" vertical="bottom" textRotation="0" wrapText="false" indent="0" shrinkToFit="false"/>
      <protection locked="true" hidden="false"/>
    </xf>
    <xf numFmtId="173" fontId="49" fillId="0" borderId="7" xfId="0" applyFont="true" applyBorder="true" applyAlignment="true" applyProtection="true">
      <alignment horizontal="general" vertical="bottom" textRotation="0" wrapText="false" indent="0" shrinkToFit="false"/>
      <protection locked="true" hidden="false"/>
    </xf>
    <xf numFmtId="173" fontId="49" fillId="0" borderId="5" xfId="0" applyFont="true" applyBorder="true" applyAlignment="true" applyProtection="true">
      <alignment horizontal="general" vertical="bottom" textRotation="0" wrapText="false" indent="0" shrinkToFit="false"/>
      <protection locked="true" hidden="false"/>
    </xf>
    <xf numFmtId="173" fontId="40" fillId="0" borderId="44" xfId="0" applyFont="true" applyBorder="true" applyAlignment="true" applyProtection="true">
      <alignment horizontal="general" vertical="bottom" textRotation="0" wrapText="false" indent="0" shrinkToFit="false"/>
      <protection locked="true" hidden="false"/>
    </xf>
    <xf numFmtId="173" fontId="40" fillId="0" borderId="14" xfId="0" applyFont="true" applyBorder="true" applyAlignment="true" applyProtection="true">
      <alignment horizontal="general" vertical="bottom" textRotation="0" wrapText="false" indent="0" shrinkToFit="false"/>
      <protection locked="true" hidden="false"/>
    </xf>
    <xf numFmtId="173" fontId="51" fillId="0" borderId="31" xfId="0" applyFont="true" applyBorder="true" applyAlignment="true" applyProtection="true">
      <alignment horizontal="general" vertical="bottom" textRotation="0" wrapText="false" indent="0" shrinkToFit="false"/>
      <protection locked="true" hidden="false"/>
    </xf>
    <xf numFmtId="173" fontId="51" fillId="0" borderId="59" xfId="0" applyFont="true" applyBorder="true" applyAlignment="true" applyProtection="true">
      <alignment horizontal="general" vertical="bottom" textRotation="0" wrapText="false" indent="0" shrinkToFit="false"/>
      <protection locked="true" hidden="false"/>
    </xf>
    <xf numFmtId="173" fontId="51" fillId="0" borderId="9" xfId="0" applyFont="true" applyBorder="true" applyAlignment="true" applyProtection="true">
      <alignment horizontal="general" vertical="bottom" textRotation="0" wrapText="false" indent="0" shrinkToFit="false"/>
      <protection locked="true" hidden="false"/>
    </xf>
    <xf numFmtId="173" fontId="51" fillId="0" borderId="37" xfId="0" applyFont="true" applyBorder="true" applyAlignment="true" applyProtection="true">
      <alignment horizontal="general" vertical="bottom" textRotation="0" wrapText="false" indent="0" shrinkToFit="false"/>
      <protection locked="true" hidden="false"/>
    </xf>
    <xf numFmtId="173" fontId="49" fillId="0" borderId="9" xfId="0" applyFont="true" applyBorder="true" applyAlignment="true" applyProtection="true">
      <alignment horizontal="general" vertical="bottom" textRotation="0" wrapText="false" indent="0" shrinkToFit="false"/>
      <protection locked="true" hidden="false"/>
    </xf>
    <xf numFmtId="173" fontId="51" fillId="0" borderId="66" xfId="0" applyFont="true" applyBorder="true" applyAlignment="true" applyProtection="true">
      <alignment horizontal="general" vertical="bottom" textRotation="0" wrapText="false" indent="0" shrinkToFit="false"/>
      <protection locked="true" hidden="false"/>
    </xf>
    <xf numFmtId="173" fontId="51" fillId="0" borderId="43" xfId="0" applyFont="true" applyBorder="true" applyAlignment="true" applyProtection="true">
      <alignment horizontal="general" vertical="bottom" textRotation="0" wrapText="false" indent="0" shrinkToFit="false"/>
      <protection locked="true" hidden="false"/>
    </xf>
    <xf numFmtId="173" fontId="59" fillId="0" borderId="20" xfId="0" applyFont="true" applyBorder="true" applyAlignment="true" applyProtection="true">
      <alignment horizontal="general" vertical="bottom" textRotation="0" wrapText="false" indent="0" shrinkToFit="false"/>
      <protection locked="true" hidden="false"/>
    </xf>
    <xf numFmtId="173" fontId="46" fillId="14" borderId="30" xfId="0" applyFont="true" applyBorder="true" applyAlignment="true" applyProtection="true">
      <alignment horizontal="general" vertical="bottom" textRotation="0" wrapText="false" indent="0" shrinkToFit="false"/>
      <protection locked="true" hidden="false"/>
    </xf>
    <xf numFmtId="173" fontId="49" fillId="0" borderId="22" xfId="0" applyFont="true" applyBorder="true" applyAlignment="true" applyProtection="true">
      <alignment horizontal="general" vertical="bottom" textRotation="0" wrapText="false" indent="0" shrinkToFit="false"/>
      <protection locked="true" hidden="false"/>
    </xf>
    <xf numFmtId="173" fontId="51" fillId="19" borderId="33" xfId="0" applyFont="true" applyBorder="true" applyAlignment="true" applyProtection="true">
      <alignment horizontal="general" vertical="bottom" textRotation="0" wrapText="false" indent="0" shrinkToFit="false"/>
      <protection locked="true" hidden="false"/>
    </xf>
    <xf numFmtId="173" fontId="61" fillId="11" borderId="10" xfId="0" applyFont="true" applyBorder="true" applyAlignment="true" applyProtection="true">
      <alignment horizontal="left" vertical="bottom" textRotation="0" wrapText="false" indent="0" shrinkToFit="false"/>
      <protection locked="true" hidden="false"/>
    </xf>
    <xf numFmtId="173" fontId="52" fillId="13" borderId="19" xfId="0" applyFont="true" applyBorder="true" applyAlignment="true" applyProtection="true">
      <alignment horizontal="general" vertical="bottom" textRotation="0" wrapText="false" indent="0" shrinkToFit="false"/>
      <protection locked="true" hidden="false"/>
    </xf>
    <xf numFmtId="173" fontId="52" fillId="13" borderId="20" xfId="0" applyFont="true" applyBorder="true" applyAlignment="true" applyProtection="true">
      <alignment horizontal="general" vertical="bottom" textRotation="0" wrapText="false" indent="0" shrinkToFit="false"/>
      <protection locked="true" hidden="false"/>
    </xf>
    <xf numFmtId="173" fontId="52" fillId="0" borderId="17" xfId="0" applyFont="true" applyBorder="true" applyAlignment="true" applyProtection="true">
      <alignment horizontal="general" vertical="bottom" textRotation="0" wrapText="false" indent="0" shrinkToFit="false"/>
      <protection locked="true" hidden="false"/>
    </xf>
    <xf numFmtId="173" fontId="52" fillId="13" borderId="21" xfId="0" applyFont="true" applyBorder="true" applyAlignment="true" applyProtection="true">
      <alignment horizontal="general" vertical="bottom" textRotation="0" wrapText="false" indent="0" shrinkToFit="false"/>
      <protection locked="true" hidden="false"/>
    </xf>
    <xf numFmtId="173" fontId="52" fillId="0" borderId="20" xfId="0" applyFont="true" applyBorder="true" applyAlignment="true" applyProtection="true">
      <alignment horizontal="general" vertical="bottom" textRotation="0" wrapText="false" indent="0" shrinkToFit="false"/>
      <protection locked="true" hidden="false"/>
    </xf>
    <xf numFmtId="173" fontId="63" fillId="0" borderId="0" xfId="0" applyFont="true" applyBorder="false" applyAlignment="true" applyProtection="true">
      <alignment horizontal="general" vertical="bottom" textRotation="0" wrapText="false" indent="0" shrinkToFit="false"/>
      <protection locked="true" hidden="false"/>
    </xf>
    <xf numFmtId="173" fontId="51" fillId="19" borderId="44" xfId="0" applyFont="true" applyBorder="true" applyAlignment="true" applyProtection="true">
      <alignment horizontal="general" vertical="bottom" textRotation="0" wrapText="false" indent="0" shrinkToFit="false"/>
      <protection locked="true" hidden="false"/>
    </xf>
    <xf numFmtId="173" fontId="51" fillId="19" borderId="31" xfId="0" applyFont="true" applyBorder="true" applyAlignment="true" applyProtection="true">
      <alignment horizontal="general" vertical="bottom" textRotation="0" wrapText="false" indent="0" shrinkToFit="false"/>
      <protection locked="true" hidden="false"/>
    </xf>
    <xf numFmtId="173" fontId="51" fillId="13" borderId="24" xfId="0" applyFont="true" applyBorder="true" applyAlignment="true" applyProtection="true">
      <alignment horizontal="general" vertical="bottom" textRotation="0" wrapText="false" indent="0" shrinkToFit="false"/>
      <protection locked="true" hidden="false"/>
    </xf>
    <xf numFmtId="173" fontId="40" fillId="19" borderId="24" xfId="0" applyFont="true" applyBorder="true" applyAlignment="true" applyProtection="true">
      <alignment horizontal="general" vertical="bottom" textRotation="0" wrapText="false" indent="0" shrinkToFit="false"/>
      <protection locked="true" hidden="false"/>
    </xf>
    <xf numFmtId="173" fontId="40" fillId="19" borderId="30" xfId="0" applyFont="true" applyBorder="true" applyAlignment="true" applyProtection="true">
      <alignment horizontal="general" vertical="bottom" textRotation="0" wrapText="false" indent="0" shrinkToFit="false"/>
      <protection locked="true" hidden="false"/>
    </xf>
    <xf numFmtId="173" fontId="51" fillId="0" borderId="42" xfId="0" applyFont="true" applyBorder="true" applyAlignment="true" applyProtection="true">
      <alignment horizontal="general" vertical="bottom" textRotation="0" wrapText="false" indent="0" shrinkToFit="false"/>
      <protection locked="true" hidden="false"/>
    </xf>
    <xf numFmtId="173" fontId="49" fillId="0" borderId="21" xfId="0" applyFont="true" applyBorder="true" applyAlignment="true" applyProtection="true">
      <alignment horizontal="general" vertical="bottom" textRotation="0" wrapText="false" indent="0" shrinkToFit="false"/>
      <protection locked="true" hidden="false"/>
    </xf>
    <xf numFmtId="173" fontId="49" fillId="0" borderId="30" xfId="0" applyFont="true" applyBorder="true" applyAlignment="true" applyProtection="true">
      <alignment horizontal="general" vertical="bottom" textRotation="0" wrapText="false" indent="0" shrinkToFit="false"/>
      <protection locked="true" hidden="false"/>
    </xf>
    <xf numFmtId="173" fontId="51" fillId="13" borderId="30" xfId="0" applyFont="true" applyBorder="true" applyAlignment="true" applyProtection="true">
      <alignment horizontal="general" vertical="bottom" textRotation="0" wrapText="false" indent="0" shrinkToFit="false"/>
      <protection locked="true" hidden="false"/>
    </xf>
    <xf numFmtId="173" fontId="64" fillId="20" borderId="3" xfId="0" applyFont="true" applyBorder="true" applyAlignment="true" applyProtection="true">
      <alignment horizontal="right" vertical="center" textRotation="0" wrapText="false" indent="1" shrinkToFit="false"/>
      <protection locked="true" hidden="false"/>
    </xf>
    <xf numFmtId="173" fontId="65" fillId="20" borderId="3" xfId="0" applyFont="true" applyBorder="true" applyAlignment="true" applyProtection="true">
      <alignment horizontal="left" vertical="center" textRotation="0" wrapText="false" indent="0" shrinkToFit="false"/>
      <protection locked="true" hidden="false"/>
    </xf>
    <xf numFmtId="173" fontId="49" fillId="14" borderId="11" xfId="0" applyFont="true" applyBorder="true" applyAlignment="true" applyProtection="true">
      <alignment horizontal="general" vertical="bottom" textRotation="0" wrapText="false" indent="0" shrinkToFit="false"/>
      <protection locked="true" hidden="false"/>
    </xf>
    <xf numFmtId="173" fontId="49" fillId="14" borderId="13" xfId="0" applyFont="true" applyBorder="true" applyAlignment="true" applyProtection="true">
      <alignment horizontal="general" vertical="bottom" textRotation="0" wrapText="false" indent="0" shrinkToFit="false"/>
      <protection locked="true" hidden="false"/>
    </xf>
    <xf numFmtId="173" fontId="49" fillId="14" borderId="14" xfId="0" applyFont="true" applyBorder="true" applyAlignment="true" applyProtection="true">
      <alignment horizontal="general" vertical="bottom" textRotation="0" wrapText="false" indent="0" shrinkToFit="false"/>
      <protection locked="true" hidden="false"/>
    </xf>
    <xf numFmtId="173" fontId="49" fillId="14" borderId="16" xfId="0" applyFont="true" applyBorder="true" applyAlignment="true" applyProtection="true">
      <alignment horizontal="general" vertical="bottom" textRotation="0" wrapText="false" indent="0" shrinkToFit="false"/>
      <protection locked="true" hidden="false"/>
    </xf>
    <xf numFmtId="173" fontId="49" fillId="14" borderId="18" xfId="0" applyFont="true" applyBorder="true" applyAlignment="true" applyProtection="true">
      <alignment horizontal="general" vertical="bottom" textRotation="0" wrapText="false" indent="0" shrinkToFit="false"/>
      <protection locked="true" hidden="false"/>
    </xf>
    <xf numFmtId="173" fontId="49" fillId="14" borderId="19" xfId="0" applyFont="true" applyBorder="true" applyAlignment="true" applyProtection="true">
      <alignment horizontal="general" vertical="bottom" textRotation="0" wrapText="false" indent="0" shrinkToFit="false"/>
      <protection locked="true" hidden="false"/>
    </xf>
    <xf numFmtId="173" fontId="49" fillId="14" borderId="22" xfId="0" applyFont="true" applyBorder="true" applyAlignment="true" applyProtection="true">
      <alignment horizontal="general" vertical="bottom" textRotation="0" wrapText="false" indent="0" shrinkToFit="false"/>
      <protection locked="true" hidden="false"/>
    </xf>
    <xf numFmtId="173" fontId="49" fillId="14" borderId="23" xfId="0" applyFont="true" applyBorder="true" applyAlignment="true" applyProtection="true">
      <alignment horizontal="general" vertical="bottom" textRotation="0" wrapText="false" indent="0" shrinkToFit="false"/>
      <protection locked="true" hidden="false"/>
    </xf>
    <xf numFmtId="173" fontId="49" fillId="14" borderId="24" xfId="0" applyFont="true" applyBorder="true" applyAlignment="true" applyProtection="true">
      <alignment horizontal="general" vertical="bottom" textRotation="0" wrapText="false" indent="0" shrinkToFit="false"/>
      <protection locked="true" hidden="false"/>
    </xf>
    <xf numFmtId="173" fontId="49" fillId="14" borderId="21" xfId="0" applyFont="true" applyBorder="true" applyAlignment="true" applyProtection="true">
      <alignment horizontal="general" vertical="bottom" textRotation="0" wrapText="false" indent="0" shrinkToFit="false"/>
      <protection locked="true" hidden="false"/>
    </xf>
    <xf numFmtId="173" fontId="49" fillId="14" borderId="26" xfId="0" applyFont="true" applyBorder="true" applyAlignment="true" applyProtection="true">
      <alignment horizontal="general" vertical="bottom" textRotation="0" wrapText="false" indent="0" shrinkToFit="false"/>
      <protection locked="true" hidden="false"/>
    </xf>
    <xf numFmtId="173" fontId="49" fillId="14" borderId="67" xfId="0" applyFont="true" applyBorder="true" applyAlignment="true" applyProtection="true">
      <alignment horizontal="general" vertical="bottom" textRotation="0" wrapText="false" indent="0" shrinkToFit="false"/>
      <protection locked="true" hidden="false"/>
    </xf>
    <xf numFmtId="173" fontId="49" fillId="14" borderId="29" xfId="0" applyFont="true" applyBorder="true" applyAlignment="true" applyProtection="true">
      <alignment horizontal="general" vertical="bottom" textRotation="0" wrapText="false" indent="0" shrinkToFit="false"/>
      <protection locked="true" hidden="false"/>
    </xf>
    <xf numFmtId="173" fontId="49" fillId="13" borderId="23" xfId="0" applyFont="true" applyBorder="true" applyAlignment="true" applyProtection="true">
      <alignment horizontal="general" vertical="bottom" textRotation="0" wrapText="false" indent="0" shrinkToFit="false"/>
      <protection locked="true" hidden="false"/>
    </xf>
    <xf numFmtId="173" fontId="49" fillId="13" borderId="30" xfId="0" applyFont="true" applyBorder="true" applyAlignment="true" applyProtection="true">
      <alignment horizontal="general" vertical="bottom" textRotation="0" wrapText="false" indent="0" shrinkToFit="false"/>
      <protection locked="true" hidden="false"/>
    </xf>
    <xf numFmtId="173" fontId="49" fillId="13" borderId="26" xfId="0" applyFont="true" applyBorder="true" applyAlignment="true" applyProtection="true">
      <alignment horizontal="general" vertical="bottom" textRotation="0" wrapText="false" indent="0" shrinkToFit="false"/>
      <protection locked="true" hidden="false"/>
    </xf>
    <xf numFmtId="173" fontId="49" fillId="14" borderId="35" xfId="0" applyFont="true" applyBorder="true" applyAlignment="true" applyProtection="true">
      <alignment horizontal="general" vertical="bottom" textRotation="0" wrapText="false" indent="0" shrinkToFit="false"/>
      <protection locked="true" hidden="false"/>
    </xf>
    <xf numFmtId="173" fontId="49" fillId="14" borderId="27" xfId="0" applyFont="true" applyBorder="true" applyAlignment="true" applyProtection="true">
      <alignment horizontal="general" vertical="bottom" textRotation="0" wrapText="false" indent="0" shrinkToFit="false"/>
      <protection locked="true" hidden="false"/>
    </xf>
    <xf numFmtId="173" fontId="49" fillId="14" borderId="30" xfId="0" applyFont="true" applyBorder="true" applyAlignment="true" applyProtection="true">
      <alignment horizontal="general" vertical="bottom" textRotation="0" wrapText="false" indent="0" shrinkToFit="false"/>
      <protection locked="true" hidden="false"/>
    </xf>
    <xf numFmtId="173" fontId="49" fillId="14" borderId="31" xfId="0" applyFont="true" applyBorder="true" applyAlignment="true" applyProtection="true">
      <alignment horizontal="general" vertical="bottom" textRotation="0" wrapText="false" indent="0" shrinkToFit="false"/>
      <protection locked="true" hidden="false"/>
    </xf>
    <xf numFmtId="173" fontId="49" fillId="14" borderId="33" xfId="0" applyFont="true" applyBorder="true" applyAlignment="true" applyProtection="true">
      <alignment horizontal="general" vertical="bottom" textRotation="0" wrapText="false" indent="0" shrinkToFit="false"/>
      <protection locked="true" hidden="false"/>
    </xf>
    <xf numFmtId="173" fontId="49" fillId="14" borderId="34" xfId="0" applyFont="true" applyBorder="true" applyAlignment="true" applyProtection="true">
      <alignment horizontal="general" vertical="bottom" textRotation="0" wrapText="false" indent="0" shrinkToFit="false"/>
      <protection locked="true" hidden="false"/>
    </xf>
    <xf numFmtId="173" fontId="49" fillId="14" borderId="36" xfId="0" applyFont="true" applyBorder="true" applyAlignment="true" applyProtection="true">
      <alignment horizontal="general" vertical="bottom" textRotation="0" wrapText="false" indent="0" shrinkToFit="false"/>
      <protection locked="true" hidden="false"/>
    </xf>
    <xf numFmtId="173" fontId="49" fillId="14" borderId="37" xfId="0" applyFont="true" applyBorder="true" applyAlignment="true" applyProtection="true">
      <alignment horizontal="general" vertical="bottom" textRotation="0" wrapText="false" indent="0" shrinkToFit="false"/>
      <protection locked="true" hidden="false"/>
    </xf>
    <xf numFmtId="173" fontId="49" fillId="14" borderId="38" xfId="0" applyFont="true" applyBorder="true" applyAlignment="true" applyProtection="true">
      <alignment horizontal="general" vertical="bottom" textRotation="0" wrapText="false" indent="0" shrinkToFit="false"/>
      <protection locked="true" hidden="false"/>
    </xf>
    <xf numFmtId="173" fontId="49" fillId="14" borderId="44" xfId="0" applyFont="true" applyBorder="true" applyAlignment="true" applyProtection="true">
      <alignment horizontal="general" vertical="bottom" textRotation="0" wrapText="false" indent="0" shrinkToFit="false"/>
      <protection locked="true" hidden="false"/>
    </xf>
    <xf numFmtId="173" fontId="49" fillId="14" borderId="42" xfId="0" applyFont="true" applyBorder="true" applyAlignment="true" applyProtection="true">
      <alignment horizontal="general" vertical="bottom" textRotation="0" wrapText="false" indent="0" shrinkToFit="false"/>
      <protection locked="true" hidden="false"/>
    </xf>
    <xf numFmtId="173" fontId="49" fillId="14" borderId="66" xfId="0" applyFont="true" applyBorder="true" applyAlignment="true" applyProtection="true">
      <alignment horizontal="general" vertical="bottom" textRotation="0" wrapText="false" indent="0" shrinkToFit="false"/>
      <protection locked="true" hidden="false"/>
    </xf>
    <xf numFmtId="173" fontId="49" fillId="14" borderId="43" xfId="0" applyFont="true" applyBorder="true" applyAlignment="true" applyProtection="true">
      <alignment horizontal="general" vertical="bottom" textRotation="0" wrapText="false" indent="0" shrinkToFit="false"/>
      <protection locked="true" hidden="false"/>
    </xf>
    <xf numFmtId="173" fontId="49" fillId="14" borderId="28" xfId="0" applyFont="true" applyBorder="true" applyAlignment="true" applyProtection="true">
      <alignment horizontal="general" vertical="bottom" textRotation="0" wrapText="false" indent="0" shrinkToFit="false"/>
      <protection locked="true" hidden="false"/>
    </xf>
    <xf numFmtId="173" fontId="48" fillId="14" borderId="27" xfId="0" applyFont="true" applyBorder="true" applyAlignment="true" applyProtection="true">
      <alignment horizontal="left" vertical="bottom" textRotation="0" wrapText="false" indent="0" shrinkToFit="true"/>
      <protection locked="true" hidden="false"/>
    </xf>
    <xf numFmtId="173" fontId="48" fillId="14" borderId="32" xfId="0" applyFont="true" applyBorder="true" applyAlignment="true" applyProtection="true">
      <alignment horizontal="general" vertical="bottom" textRotation="0" wrapText="false" indent="0" shrinkToFit="false"/>
      <protection locked="true" hidden="false"/>
    </xf>
    <xf numFmtId="173" fontId="49" fillId="14" borderId="46" xfId="0" applyFont="true" applyBorder="true" applyAlignment="true" applyProtection="true">
      <alignment horizontal="general" vertical="bottom" textRotation="0" wrapText="false" indent="0" shrinkToFit="false"/>
      <protection locked="true" hidden="false"/>
    </xf>
    <xf numFmtId="173" fontId="49" fillId="14" borderId="47" xfId="0" applyFont="true" applyBorder="true" applyAlignment="true" applyProtection="true">
      <alignment horizontal="general" vertical="bottom" textRotation="0" wrapText="false" indent="0" shrinkToFit="false"/>
      <protection locked="true" hidden="false"/>
    </xf>
    <xf numFmtId="173" fontId="49" fillId="14" borderId="70" xfId="0" applyFont="true" applyBorder="true" applyAlignment="true" applyProtection="true">
      <alignment horizontal="general" vertical="bottom" textRotation="0" wrapText="false" indent="0" shrinkToFit="false"/>
      <protection locked="true" hidden="false"/>
    </xf>
    <xf numFmtId="173" fontId="49" fillId="14" borderId="49" xfId="0" applyFont="true" applyBorder="true" applyAlignment="true" applyProtection="true">
      <alignment horizontal="general" vertical="bottom" textRotation="0" wrapText="false" indent="0" shrinkToFit="false"/>
      <protection locked="true" hidden="false"/>
    </xf>
    <xf numFmtId="173" fontId="49" fillId="14" borderId="50" xfId="0" applyFont="true" applyBorder="true" applyAlignment="true" applyProtection="true">
      <alignment horizontal="general" vertical="bottom" textRotation="0" wrapText="false" indent="0" shrinkToFit="false"/>
      <protection locked="true" hidden="false"/>
    </xf>
    <xf numFmtId="173" fontId="49" fillId="14" borderId="51" xfId="0" applyFont="true" applyBorder="true" applyAlignment="true" applyProtection="true">
      <alignment horizontal="general" vertical="center" textRotation="0" wrapText="false" indent="0" shrinkToFit="false"/>
      <protection locked="true" hidden="false"/>
    </xf>
    <xf numFmtId="173" fontId="49" fillId="14" borderId="52" xfId="0" applyFont="true" applyBorder="true" applyAlignment="true" applyProtection="true">
      <alignment horizontal="general" vertical="center" textRotation="0" wrapText="false" indent="0" shrinkToFit="false"/>
      <protection locked="true" hidden="false"/>
    </xf>
    <xf numFmtId="173" fontId="49" fillId="14" borderId="53" xfId="0" applyFont="true" applyBorder="true" applyAlignment="true" applyProtection="true">
      <alignment horizontal="general" vertical="center" textRotation="0" wrapText="false" indent="0" shrinkToFit="false"/>
      <protection locked="true" hidden="false"/>
    </xf>
    <xf numFmtId="173" fontId="49" fillId="14" borderId="71" xfId="0" applyFont="true" applyBorder="true" applyAlignment="true" applyProtection="true">
      <alignment horizontal="general" vertical="bottom" textRotation="0" wrapText="false" indent="0" shrinkToFit="false"/>
      <protection locked="true" hidden="false"/>
    </xf>
    <xf numFmtId="173" fontId="49" fillId="14" borderId="54" xfId="0" applyFont="true" applyBorder="true" applyAlignment="true" applyProtection="true">
      <alignment horizontal="general" vertical="bottom" textRotation="0" wrapText="false" indent="0" shrinkToFit="false"/>
      <protection locked="true" hidden="false"/>
    </xf>
    <xf numFmtId="173" fontId="49" fillId="14" borderId="55" xfId="0" applyFont="true" applyBorder="true" applyAlignment="true" applyProtection="true">
      <alignment horizontal="general" vertical="bottom" textRotation="0" wrapText="false" indent="0" shrinkToFit="false"/>
      <protection locked="true" hidden="false"/>
    </xf>
    <xf numFmtId="173" fontId="49" fillId="14" borderId="56" xfId="0" applyFont="true" applyBorder="true" applyAlignment="true" applyProtection="true">
      <alignment horizontal="general" vertical="center" textRotation="0" wrapText="false" indent="0" shrinkToFit="false"/>
      <protection locked="true" hidden="false"/>
    </xf>
    <xf numFmtId="173" fontId="49" fillId="14" borderId="57" xfId="0" applyFont="true" applyBorder="true" applyAlignment="true" applyProtection="true">
      <alignment horizontal="general" vertical="center" textRotation="0" wrapText="false" indent="0" shrinkToFit="false"/>
      <protection locked="true" hidden="false"/>
    </xf>
    <xf numFmtId="173" fontId="49" fillId="14" borderId="58" xfId="0" applyFont="true" applyBorder="true" applyAlignment="true" applyProtection="true">
      <alignment horizontal="general" vertical="center" textRotation="0" wrapText="false" indent="0" shrinkToFit="false"/>
      <protection locked="true" hidden="false"/>
    </xf>
    <xf numFmtId="173" fontId="49" fillId="13" borderId="35" xfId="0" applyFont="true" applyBorder="true" applyAlignment="true" applyProtection="true">
      <alignment horizontal="general" vertical="bottom" textRotation="0" wrapText="false" indent="0" shrinkToFit="false"/>
      <protection locked="true" hidden="false"/>
    </xf>
    <xf numFmtId="173" fontId="49" fillId="14" borderId="59" xfId="0" applyFont="true" applyBorder="true" applyAlignment="true" applyProtection="true">
      <alignment horizontal="general" vertical="bottom" textRotation="0" wrapText="false" indent="0" shrinkToFit="false"/>
      <protection locked="true" hidden="false"/>
    </xf>
    <xf numFmtId="173" fontId="49" fillId="14" borderId="9" xfId="0" applyFont="true" applyBorder="true" applyAlignment="true" applyProtection="true">
      <alignment horizontal="general" vertical="bottom" textRotation="0" wrapText="false" indent="0" shrinkToFit="false"/>
      <protection locked="true" hidden="false"/>
    </xf>
    <xf numFmtId="173" fontId="49" fillId="14" borderId="3" xfId="0" applyFont="true" applyBorder="true" applyAlignment="true" applyProtection="true">
      <alignment horizontal="general" vertical="bottom" textRotation="0" wrapText="false" indent="0" shrinkToFit="false"/>
      <protection locked="true" hidden="false"/>
    </xf>
    <xf numFmtId="173" fontId="49" fillId="14" borderId="61" xfId="0" applyFont="true" applyBorder="true" applyAlignment="true" applyProtection="true">
      <alignment horizontal="general" vertical="bottom" textRotation="0" wrapText="false" indent="0" shrinkToFit="false"/>
      <protection locked="true" hidden="false"/>
    </xf>
    <xf numFmtId="173" fontId="49" fillId="14" borderId="60" xfId="0" applyFont="true" applyBorder="true" applyAlignment="true" applyProtection="true">
      <alignment horizontal="general" vertical="bottom" textRotation="0" wrapText="false" indent="0" shrinkToFit="false"/>
      <protection locked="true" hidden="false"/>
    </xf>
    <xf numFmtId="173" fontId="49" fillId="14" borderId="62" xfId="0" applyFont="true" applyBorder="true" applyAlignment="true" applyProtection="true">
      <alignment horizontal="general" vertical="bottom" textRotation="0" wrapText="false" indent="0" shrinkToFit="false"/>
      <protection locked="true" hidden="false"/>
    </xf>
    <xf numFmtId="173" fontId="48" fillId="14" borderId="64" xfId="0" applyFont="true" applyBorder="true" applyAlignment="true" applyProtection="true">
      <alignment horizontal="center" vertical="center" textRotation="0" wrapText="false" indent="0" shrinkToFit="false"/>
      <protection locked="true" hidden="false"/>
    </xf>
    <xf numFmtId="173" fontId="49" fillId="13" borderId="5" xfId="0" applyFont="true" applyBorder="true" applyAlignment="true" applyProtection="true">
      <alignment horizontal="general" vertical="bottom" textRotation="0" wrapText="false" indent="0" shrinkToFit="false"/>
      <protection locked="true" hidden="false"/>
    </xf>
    <xf numFmtId="173" fontId="49" fillId="13" borderId="59" xfId="0" applyFont="true" applyBorder="true" applyAlignment="true" applyProtection="true">
      <alignment horizontal="general" vertical="bottom" textRotation="0" wrapText="false" indent="0" shrinkToFit="false"/>
      <protection locked="true" hidden="false"/>
    </xf>
    <xf numFmtId="173" fontId="49" fillId="13" borderId="65" xfId="0" applyFont="true" applyBorder="true" applyAlignment="true" applyProtection="true">
      <alignment horizontal="general" vertical="bottom" textRotation="0" wrapText="false" indent="0" shrinkToFit="false"/>
      <protection locked="true" hidden="false"/>
    </xf>
    <xf numFmtId="173" fontId="49" fillId="13" borderId="3" xfId="0" applyFont="true" applyBorder="true" applyAlignment="true" applyProtection="true">
      <alignment horizontal="general" vertical="bottom" textRotation="0" wrapText="false" indent="0" shrinkToFit="false"/>
      <protection locked="true" hidden="false"/>
    </xf>
    <xf numFmtId="173" fontId="49" fillId="13" borderId="7" xfId="0" applyFont="true" applyBorder="true" applyAlignment="true" applyProtection="true">
      <alignment horizontal="general" vertical="bottom" textRotation="0" wrapText="false" indent="0" shrinkToFit="true"/>
      <protection locked="true" hidden="false"/>
    </xf>
    <xf numFmtId="173" fontId="56" fillId="18" borderId="5" xfId="0" applyFont="true" applyBorder="true" applyAlignment="true" applyProtection="true">
      <alignment horizontal="general" vertical="bottom" textRotation="0" wrapText="false" indent="0" shrinkToFit="false"/>
      <protection locked="true" hidden="false"/>
    </xf>
    <xf numFmtId="173" fontId="56" fillId="18" borderId="9" xfId="0" applyFont="true" applyBorder="true" applyAlignment="true" applyProtection="true">
      <alignment horizontal="general" vertical="bottom" textRotation="0" wrapText="false" indent="0" shrinkToFit="false"/>
      <protection locked="true" hidden="false"/>
    </xf>
    <xf numFmtId="173" fontId="57" fillId="12" borderId="3" xfId="0" applyFont="true" applyBorder="true" applyAlignment="true" applyProtection="true">
      <alignment horizontal="general" vertical="center" textRotation="0" wrapText="false" indent="0" shrinkToFit="false"/>
      <protection locked="true" hidden="false"/>
    </xf>
    <xf numFmtId="173" fontId="44" fillId="12" borderId="3" xfId="0" applyFont="true" applyBorder="true" applyAlignment="true" applyProtection="true">
      <alignment horizontal="right" vertical="center" textRotation="0" wrapText="false" indent="1" shrinkToFit="false"/>
      <protection locked="true" hidden="false"/>
    </xf>
    <xf numFmtId="173" fontId="45" fillId="12" borderId="3" xfId="0" applyFont="true" applyBorder="true" applyAlignment="true" applyProtection="true">
      <alignment horizontal="left" vertical="center" textRotation="0" wrapText="false" indent="1" shrinkToFit="false"/>
      <protection locked="true" hidden="false"/>
    </xf>
    <xf numFmtId="173" fontId="57" fillId="0" borderId="3" xfId="0" applyFont="true" applyBorder="true" applyAlignment="true" applyProtection="true">
      <alignment horizontal="center" vertical="center" textRotation="0" wrapText="false" indent="0" shrinkToFit="false"/>
      <protection locked="true" hidden="false"/>
    </xf>
    <xf numFmtId="173" fontId="0" fillId="13" borderId="40" xfId="0" applyFont="true" applyBorder="true" applyAlignment="true" applyProtection="true">
      <alignment horizontal="center"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73" fontId="45" fillId="13" borderId="4" xfId="0" applyFont="true" applyBorder="true" applyAlignment="true" applyProtection="true">
      <alignment horizontal="center" vertical="center" textRotation="0" wrapText="false" indent="0" shrinkToFit="false"/>
      <protection locked="true" hidden="false"/>
    </xf>
    <xf numFmtId="173" fontId="0" fillId="13" borderId="67" xfId="0" applyFont="true" applyBorder="true" applyAlignment="true" applyProtection="true">
      <alignment horizontal="center" vertical="bottom" textRotation="0" wrapText="false" indent="0" shrinkToFit="false"/>
      <protection locked="true" hidden="false"/>
    </xf>
    <xf numFmtId="173" fontId="0" fillId="13" borderId="30" xfId="0" applyFont="true" applyBorder="true" applyAlignment="true" applyProtection="true">
      <alignment horizontal="center" vertical="bottom" textRotation="0" wrapText="false" indent="0" shrinkToFit="false"/>
      <protection locked="true" hidden="false"/>
    </xf>
    <xf numFmtId="173" fontId="0" fillId="13" borderId="28" xfId="0" applyFont="true" applyBorder="true" applyAlignment="true" applyProtection="true">
      <alignment horizontal="center" vertical="bottom" textRotation="0" wrapText="false" indent="0" shrinkToFit="false"/>
      <protection locked="true" hidden="false"/>
    </xf>
    <xf numFmtId="173" fontId="0" fillId="13" borderId="8" xfId="0" applyFont="true" applyBorder="true" applyAlignment="true" applyProtection="true">
      <alignment horizontal="center" vertical="center" textRotation="0" wrapText="false" indent="0" shrinkToFit="false"/>
      <protection locked="true" hidden="false"/>
    </xf>
    <xf numFmtId="173" fontId="0" fillId="13" borderId="9" xfId="0" applyFont="true" applyBorder="true" applyAlignment="true" applyProtection="true">
      <alignment horizontal="center" vertical="center" textRotation="0" wrapText="false" indent="0" shrinkToFit="false"/>
      <protection locked="true" hidden="false"/>
    </xf>
    <xf numFmtId="173" fontId="45" fillId="0" borderId="8" xfId="0" applyFont="true" applyBorder="true" applyAlignment="true" applyProtection="true">
      <alignment horizontal="center" vertical="center" textRotation="0" wrapText="true" indent="0" shrinkToFit="false"/>
      <protection locked="true" hidden="false"/>
    </xf>
    <xf numFmtId="173" fontId="45" fillId="0" borderId="39" xfId="0" applyFont="true" applyBorder="true" applyAlignment="true" applyProtection="true">
      <alignment horizontal="center" vertical="center" textRotation="0" wrapText="true" indent="0" shrinkToFit="false"/>
      <protection locked="true" hidden="false"/>
    </xf>
    <xf numFmtId="173" fontId="0" fillId="13" borderId="3" xfId="0" applyFont="true" applyBorder="true" applyAlignment="true" applyProtection="true">
      <alignment horizontal="center" vertical="bottom" textRotation="0" wrapText="false" indent="0" shrinkToFit="false"/>
      <protection locked="true" hidden="false"/>
    </xf>
    <xf numFmtId="173" fontId="0" fillId="13" borderId="61" xfId="0" applyFont="true" applyBorder="true" applyAlignment="true" applyProtection="true">
      <alignment horizontal="center" vertical="bottom" textRotation="0" wrapText="false" indent="0" shrinkToFit="false"/>
      <protection locked="true" hidden="false"/>
    </xf>
    <xf numFmtId="173" fontId="0" fillId="13" borderId="37" xfId="0" applyFont="true" applyBorder="true" applyAlignment="true" applyProtection="true">
      <alignment horizontal="center" vertical="bottom" textRotation="0" wrapText="false" indent="0" shrinkToFit="false"/>
      <protection locked="true" hidden="false"/>
    </xf>
    <xf numFmtId="173" fontId="45" fillId="0" borderId="10" xfId="0" applyFont="true" applyBorder="true" applyAlignment="true" applyProtection="true">
      <alignment horizontal="left" vertical="bottom" textRotation="0" wrapText="false" indent="0" shrinkToFit="false"/>
      <protection locked="true" hidden="false"/>
    </xf>
    <xf numFmtId="173" fontId="0" fillId="13" borderId="19" xfId="0" applyFont="true" applyBorder="true" applyAlignment="true" applyProtection="true">
      <alignment horizontal="general" vertical="bottom" textRotation="0" wrapText="false" indent="0" shrinkToFit="false"/>
      <protection locked="true" hidden="false"/>
    </xf>
    <xf numFmtId="173" fontId="0" fillId="13" borderId="17" xfId="0" applyFont="true" applyBorder="true" applyAlignment="true" applyProtection="true">
      <alignment horizontal="general" vertical="bottom" textRotation="0" wrapText="false" indent="0" shrinkToFit="false"/>
      <protection locked="true" hidden="false"/>
    </xf>
    <xf numFmtId="165" fontId="0" fillId="12" borderId="30" xfId="21" applyFont="true" applyBorder="true" applyAlignment="true" applyProtection="true">
      <alignment horizontal="general" vertical="bottom" textRotation="0" wrapText="false" indent="0" shrinkToFit="false"/>
      <protection locked="true" hidden="false"/>
    </xf>
    <xf numFmtId="173" fontId="66" fillId="12" borderId="10" xfId="0" applyFont="true" applyBorder="true" applyAlignment="true" applyProtection="true">
      <alignment horizontal="right" vertical="bottom" textRotation="0" wrapText="false" indent="0" shrinkToFit="true"/>
      <protection locked="true" hidden="false"/>
    </xf>
    <xf numFmtId="173" fontId="0" fillId="13" borderId="21" xfId="0" applyFont="true" applyBorder="true" applyAlignment="true" applyProtection="true">
      <alignment horizontal="general" vertical="bottom" textRotation="0" wrapText="false" indent="0" shrinkToFit="false"/>
      <protection locked="true" hidden="false"/>
    </xf>
    <xf numFmtId="173" fontId="0" fillId="13" borderId="22" xfId="0" applyFont="true" applyBorder="true" applyAlignment="true" applyProtection="true">
      <alignment horizontal="general" vertical="bottom" textRotation="0" wrapText="false" indent="0" shrinkToFit="false"/>
      <protection locked="true" hidden="false"/>
    </xf>
    <xf numFmtId="173" fontId="66" fillId="13" borderId="20" xfId="0" applyFont="true" applyBorder="true" applyAlignment="true" applyProtection="true">
      <alignment horizontal="general" vertical="bottom" textRotation="0" wrapText="false" indent="0" shrinkToFit="false"/>
      <protection locked="true" hidden="false"/>
    </xf>
    <xf numFmtId="173" fontId="0" fillId="13" borderId="18" xfId="0" applyFont="true" applyBorder="true" applyAlignment="true" applyProtection="true">
      <alignment horizontal="general" vertical="bottom" textRotation="0" wrapText="false" indent="0" shrinkToFit="false"/>
      <protection locked="true" hidden="false"/>
    </xf>
    <xf numFmtId="178" fontId="0" fillId="12" borderId="23" xfId="0" applyFont="true" applyBorder="true" applyAlignment="true" applyProtection="true">
      <alignment horizontal="right" vertical="bottom" textRotation="0" wrapText="false" indent="0" shrinkToFit="true"/>
      <protection locked="true" hidden="false"/>
    </xf>
    <xf numFmtId="178" fontId="0" fillId="12" borderId="26" xfId="0" applyFont="true" applyBorder="true" applyAlignment="true" applyProtection="true">
      <alignment horizontal="right" vertical="bottom" textRotation="0" wrapText="false" indent="0" shrinkToFit="true"/>
      <protection locked="true" hidden="false"/>
    </xf>
    <xf numFmtId="173" fontId="0" fillId="13" borderId="23" xfId="0" applyFont="true" applyBorder="true" applyAlignment="true" applyProtection="true">
      <alignment horizontal="general" vertical="bottom" textRotation="0" wrapText="false" indent="0" shrinkToFit="false"/>
      <protection locked="true" hidden="false"/>
    </xf>
    <xf numFmtId="173" fontId="0" fillId="13" borderId="24" xfId="0" applyFont="true" applyBorder="true" applyAlignment="true" applyProtection="true">
      <alignment horizontal="general" vertical="bottom" textRotation="0" wrapText="false" indent="0" shrinkToFit="false"/>
      <protection locked="true" hidden="false"/>
    </xf>
    <xf numFmtId="173" fontId="0" fillId="13" borderId="13" xfId="0" applyFont="true" applyBorder="true" applyAlignment="true" applyProtection="true">
      <alignment horizontal="general" vertical="bottom" textRotation="0" wrapText="false" indent="0" shrinkToFit="false"/>
      <protection locked="true" hidden="false"/>
    </xf>
    <xf numFmtId="165" fontId="0" fillId="12" borderId="30" xfId="21" applyFont="true" applyBorder="true" applyAlignment="true" applyProtection="true">
      <alignment horizontal="right" vertical="bottom" textRotation="0" wrapText="false" indent="0" shrinkToFit="false"/>
      <protection locked="true" hidden="false"/>
    </xf>
    <xf numFmtId="173" fontId="48" fillId="0" borderId="27" xfId="0" applyFont="true" applyBorder="true" applyAlignment="true" applyProtection="true">
      <alignment horizontal="left" vertical="bottom" textRotation="0" wrapText="false" indent="0" shrinkToFit="false"/>
      <protection locked="true" hidden="false"/>
    </xf>
    <xf numFmtId="173" fontId="0" fillId="13" borderId="28" xfId="0" applyFont="true" applyBorder="true" applyAlignment="true" applyProtection="true">
      <alignment horizontal="general" vertical="bottom" textRotation="0" wrapText="false" indent="0" shrinkToFit="false"/>
      <protection locked="true" hidden="false"/>
    </xf>
    <xf numFmtId="173" fontId="0" fillId="13" borderId="29" xfId="0" applyFont="true" applyBorder="true" applyAlignment="true" applyProtection="true">
      <alignment horizontal="general" vertical="bottom" textRotation="0" wrapText="false" indent="0" shrinkToFit="false"/>
      <protection locked="true" hidden="false"/>
    </xf>
    <xf numFmtId="173" fontId="45" fillId="0" borderId="32" xfId="0" applyFont="true" applyBorder="true" applyAlignment="true" applyProtection="true">
      <alignment horizontal="general" vertical="bottom" textRotation="0" wrapText="false" indent="0" shrinkToFit="false"/>
      <protection locked="true" hidden="false"/>
    </xf>
    <xf numFmtId="173" fontId="0" fillId="14" borderId="41" xfId="0" applyFont="true" applyBorder="true" applyAlignment="true" applyProtection="true">
      <alignment horizontal="left" vertical="bottom" textRotation="0" wrapText="false" indent="0" shrinkToFit="false"/>
      <protection locked="true" hidden="false"/>
    </xf>
    <xf numFmtId="173" fontId="0" fillId="13" borderId="26" xfId="0" applyFont="true" applyBorder="true" applyAlignment="true" applyProtection="true">
      <alignment horizontal="general" vertical="bottom" textRotation="0" wrapText="false" indent="0" shrinkToFit="false"/>
      <protection locked="true" hidden="false"/>
    </xf>
    <xf numFmtId="178" fontId="0" fillId="14" borderId="23" xfId="0" applyFont="true" applyBorder="true" applyAlignment="true" applyProtection="true">
      <alignment horizontal="right" vertical="bottom" textRotation="0" wrapText="false" indent="0" shrinkToFit="true"/>
      <protection locked="true" hidden="false"/>
    </xf>
    <xf numFmtId="178" fontId="0" fillId="14" borderId="26" xfId="0" applyFont="true" applyBorder="true" applyAlignment="true" applyProtection="true">
      <alignment horizontal="right" vertical="bottom" textRotation="0" wrapText="false" indent="0" shrinkToFit="true"/>
      <protection locked="true" hidden="false"/>
    </xf>
    <xf numFmtId="173" fontId="66" fillId="14" borderId="10" xfId="0" applyFont="true" applyBorder="true" applyAlignment="true" applyProtection="true">
      <alignment horizontal="right" vertical="bottom" textRotation="0" wrapText="false" indent="0" shrinkToFit="true"/>
      <protection locked="true" hidden="false"/>
    </xf>
    <xf numFmtId="173" fontId="0" fillId="13" borderId="25" xfId="0" applyFont="true" applyBorder="true" applyAlignment="true" applyProtection="true">
      <alignment horizontal="general" vertical="bottom" textRotation="0" wrapText="false" indent="0" shrinkToFit="false"/>
      <protection locked="true" hidden="false"/>
    </xf>
    <xf numFmtId="173" fontId="0" fillId="13" borderId="30" xfId="0" applyFont="true" applyBorder="true" applyAlignment="true" applyProtection="true">
      <alignment horizontal="general" vertical="bottom" textRotation="0" wrapText="false" indent="0" shrinkToFit="false"/>
      <protection locked="true" hidden="false"/>
    </xf>
    <xf numFmtId="173" fontId="0" fillId="14" borderId="27" xfId="0" applyFont="true" applyBorder="true" applyAlignment="true" applyProtection="true">
      <alignment horizontal="left" vertical="bottom" textRotation="0" wrapText="false" indent="0" shrinkToFit="false"/>
      <protection locked="true" hidden="false"/>
    </xf>
    <xf numFmtId="173" fontId="0" fillId="13" borderId="31" xfId="0" applyFont="true" applyBorder="true" applyAlignment="true" applyProtection="true">
      <alignment horizontal="general" vertical="bottom" textRotation="0" wrapText="false" indent="0" shrinkToFit="false"/>
      <protection locked="true" hidden="false"/>
    </xf>
    <xf numFmtId="178" fontId="0" fillId="14" borderId="69" xfId="0" applyFont="true" applyBorder="true" applyAlignment="true" applyProtection="true">
      <alignment horizontal="right" vertical="bottom" textRotation="0" wrapText="false" indent="0" shrinkToFit="true"/>
      <protection locked="true" hidden="false"/>
    </xf>
    <xf numFmtId="178" fontId="0" fillId="14" borderId="38" xfId="0" applyFont="true" applyBorder="true" applyAlignment="true" applyProtection="true">
      <alignment horizontal="right" vertical="bottom" textRotation="0" wrapText="false" indent="0" shrinkToFit="true"/>
      <protection locked="true" hidden="false"/>
    </xf>
    <xf numFmtId="173" fontId="45" fillId="14" borderId="4" xfId="0" applyFont="true" applyBorder="true" applyAlignment="true" applyProtection="true">
      <alignment horizontal="center" vertical="center" textRotation="0" wrapText="false" indent="0" shrinkToFit="false"/>
      <protection locked="true" hidden="false"/>
    </xf>
    <xf numFmtId="173" fontId="66" fillId="13" borderId="8" xfId="0" applyFont="true" applyBorder="true" applyAlignment="true" applyProtection="true">
      <alignment horizontal="general" vertical="bottom" textRotation="0" wrapText="false" indent="0" shrinkToFit="false"/>
      <protection locked="true" hidden="false"/>
    </xf>
    <xf numFmtId="173" fontId="66" fillId="13" borderId="5" xfId="0" applyFont="true" applyBorder="true" applyAlignment="true" applyProtection="true">
      <alignment horizontal="general" vertical="bottom" textRotation="0" wrapText="false" indent="0" shrinkToFit="false"/>
      <protection locked="true" hidden="false"/>
    </xf>
    <xf numFmtId="178" fontId="66" fillId="14" borderId="72" xfId="0" applyFont="true" applyBorder="true" applyAlignment="true" applyProtection="true">
      <alignment horizontal="right" vertical="bottom" textRotation="0" wrapText="false" indent="0" shrinkToFit="true"/>
      <protection locked="true" hidden="false"/>
    </xf>
    <xf numFmtId="178" fontId="66" fillId="14" borderId="39" xfId="0" applyFont="true" applyBorder="true" applyAlignment="true" applyProtection="true">
      <alignment horizontal="right" vertical="bottom" textRotation="0" wrapText="false" indent="0" shrinkToFit="true"/>
      <protection locked="true" hidden="false"/>
    </xf>
    <xf numFmtId="173" fontId="66" fillId="14" borderId="4" xfId="0" applyFont="true" applyBorder="true" applyAlignment="true" applyProtection="true">
      <alignment horizontal="right" vertical="bottom" textRotation="0" wrapText="false" indent="0" shrinkToFit="true"/>
      <protection locked="true" hidden="false"/>
    </xf>
    <xf numFmtId="173" fontId="66" fillId="13" borderId="6" xfId="0" applyFont="true" applyBorder="true" applyAlignment="true" applyProtection="true">
      <alignment horizontal="general" vertical="bottom" textRotation="0" wrapText="false" indent="0" shrinkToFit="false"/>
      <protection locked="true" hidden="false"/>
    </xf>
    <xf numFmtId="173" fontId="66" fillId="13" borderId="73" xfId="0" applyFont="true" applyBorder="true" applyAlignment="true" applyProtection="true">
      <alignment horizontal="general" vertical="bottom" textRotation="0" wrapText="false" indent="0" shrinkToFit="false"/>
      <protection locked="true" hidden="false"/>
    </xf>
    <xf numFmtId="173" fontId="66" fillId="13" borderId="60" xfId="0" applyFont="true" applyBorder="true" applyAlignment="true" applyProtection="true">
      <alignment horizontal="general" vertical="bottom" textRotation="0" wrapText="false" indent="0" shrinkToFit="false"/>
      <protection locked="true" hidden="false"/>
    </xf>
    <xf numFmtId="173" fontId="0" fillId="14" borderId="0" xfId="0" applyFont="true" applyBorder="false" applyAlignment="true" applyProtection="true">
      <alignment horizontal="general" vertical="bottom" textRotation="0" wrapText="false" indent="0" shrinkToFit="false"/>
      <protection locked="true" hidden="false"/>
    </xf>
    <xf numFmtId="173" fontId="45" fillId="14" borderId="5" xfId="0" applyFont="true" applyBorder="true" applyAlignment="true" applyProtection="true">
      <alignment horizontal="center" vertical="center" textRotation="0" wrapText="false" indent="0" shrinkToFit="false"/>
      <protection locked="true" hidden="false"/>
    </xf>
    <xf numFmtId="173" fontId="51" fillId="0" borderId="67" xfId="0" applyFont="true" applyBorder="true" applyAlignment="true" applyProtection="true">
      <alignment horizontal="general" vertical="bottom" textRotation="0" wrapText="false" indent="0" shrinkToFit="false"/>
      <protection locked="true" hidden="false"/>
    </xf>
    <xf numFmtId="173" fontId="49" fillId="13" borderId="24" xfId="0" applyFont="true" applyBorder="true" applyAlignment="true" applyProtection="true">
      <alignment horizontal="general" vertical="bottom" textRotation="0" wrapText="false" indent="0" shrinkToFit="false"/>
      <protection locked="true" hidden="false"/>
    </xf>
    <xf numFmtId="173" fontId="51" fillId="19" borderId="18" xfId="0" applyFont="true" applyBorder="true" applyAlignment="true" applyProtection="true">
      <alignment horizontal="general" vertical="bottom" textRotation="0" wrapText="false" indent="0" shrinkToFit="false"/>
      <protection locked="true" hidden="false"/>
    </xf>
    <xf numFmtId="173" fontId="51" fillId="19" borderId="29" xfId="0" applyFont="true" applyBorder="true" applyAlignment="true" applyProtection="true">
      <alignment horizontal="general" vertical="bottom" textRotation="0" wrapText="false" indent="0" shrinkToFit="false"/>
      <protection locked="true" hidden="false"/>
    </xf>
    <xf numFmtId="173" fontId="40" fillId="14" borderId="59" xfId="0" applyFont="true" applyBorder="true" applyAlignment="true" applyProtection="true">
      <alignment horizontal="general" vertical="bottom" textRotation="0" wrapText="false" indent="0" shrinkToFit="false"/>
      <protection locked="true" hidden="false"/>
    </xf>
    <xf numFmtId="173" fontId="40" fillId="14" borderId="9" xfId="0" applyFont="true" applyBorder="true" applyAlignment="true" applyProtection="true">
      <alignment horizontal="general" vertical="bottom" textRotation="0" wrapText="false" indent="0" shrinkToFit="false"/>
      <protection locked="true" hidden="false"/>
    </xf>
    <xf numFmtId="173" fontId="51" fillId="14" borderId="3" xfId="0" applyFont="true" applyBorder="true" applyAlignment="true" applyProtection="true">
      <alignment horizontal="general" vertical="bottom" textRotation="0" wrapText="false" indent="0" shrinkToFit="false"/>
      <protection locked="true" hidden="false"/>
    </xf>
    <xf numFmtId="173" fontId="51" fillId="14" borderId="61" xfId="0" applyFont="true" applyBorder="true" applyAlignment="true" applyProtection="true">
      <alignment horizontal="general" vertical="bottom" textRotation="0" wrapText="false" indent="0" shrinkToFit="false"/>
      <protection locked="true" hidden="false"/>
    </xf>
    <xf numFmtId="173" fontId="51" fillId="14" borderId="62" xfId="0" applyFont="true" applyBorder="true" applyAlignment="true" applyProtection="true">
      <alignment horizontal="general" vertical="bottom" textRotation="0" wrapText="false" indent="0" shrinkToFit="false"/>
      <protection locked="true" hidden="false"/>
    </xf>
    <xf numFmtId="173" fontId="46" fillId="0" borderId="0" xfId="0" applyFont="true" applyBorder="false" applyAlignment="true" applyProtection="true">
      <alignment horizontal="general" vertical="bottom" textRotation="0" wrapText="false" indent="0" shrinkToFit="false"/>
      <protection locked="true" hidden="false"/>
    </xf>
    <xf numFmtId="173" fontId="56" fillId="14" borderId="4" xfId="0" applyFont="true" applyBorder="true" applyAlignment="true" applyProtection="true">
      <alignment horizontal="center" vertical="center" textRotation="0" wrapText="false" indent="0" shrinkToFit="false"/>
      <protection locked="true" hidden="false"/>
    </xf>
    <xf numFmtId="173" fontId="67" fillId="14" borderId="8" xfId="0" applyFont="true" applyBorder="true" applyAlignment="true" applyProtection="true">
      <alignment horizontal="center" vertical="center" textRotation="0" wrapText="false" indent="0" shrinkToFit="false"/>
      <protection locked="true" hidden="false"/>
    </xf>
    <xf numFmtId="179" fontId="68" fillId="14" borderId="5" xfId="0" applyFont="true" applyBorder="true" applyAlignment="true" applyProtection="true">
      <alignment horizontal="center" vertical="center" textRotation="0" wrapText="false" indent="0" shrinkToFit="false"/>
      <protection locked="true" hidden="false"/>
    </xf>
    <xf numFmtId="179" fontId="67" fillId="14" borderId="8" xfId="0" applyFont="true" applyBorder="true" applyAlignment="true" applyProtection="true">
      <alignment horizontal="center" vertical="center" textRotation="0" wrapText="false" indent="0" shrinkToFit="false"/>
      <protection locked="true" hidden="false"/>
    </xf>
    <xf numFmtId="179" fontId="67" fillId="14" borderId="0" xfId="0" applyFont="true" applyBorder="true" applyAlignment="true" applyProtection="true">
      <alignment horizontal="center" vertical="center" textRotation="0" wrapText="false" indent="0" shrinkToFit="false"/>
      <protection locked="true" hidden="false"/>
    </xf>
    <xf numFmtId="179" fontId="67" fillId="14" borderId="3" xfId="0" applyFont="true" applyBorder="true" applyAlignment="true" applyProtection="true">
      <alignment horizontal="center" vertical="center" textRotation="0" wrapText="false" indent="0" shrinkToFit="false"/>
      <protection locked="true" hidden="false"/>
    </xf>
    <xf numFmtId="173" fontId="67" fillId="14" borderId="0" xfId="0" applyFont="true" applyBorder="true" applyAlignment="true" applyProtection="true">
      <alignment horizontal="center" vertical="center" textRotation="0" wrapText="false" indent="0" shrinkToFit="false"/>
      <protection locked="true" hidden="false"/>
    </xf>
    <xf numFmtId="173" fontId="40" fillId="14" borderId="0" xfId="0" applyFont="true" applyBorder="true" applyAlignment="true" applyProtection="true">
      <alignment horizontal="center" vertical="center" textRotation="0" wrapText="false" indent="0" shrinkToFit="false"/>
      <protection locked="true" hidden="false"/>
    </xf>
    <xf numFmtId="173" fontId="40" fillId="14"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73"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73" fontId="0" fillId="0" borderId="3" xfId="0" applyFont="false" applyBorder="true" applyAlignment="true" applyProtection="true">
      <alignment horizontal="general" vertical="center" textRotation="0" wrapText="false" indent="0" shrinkToFit="false"/>
      <protection locked="true" hidden="false"/>
    </xf>
    <xf numFmtId="173" fontId="0" fillId="0" borderId="4" xfId="0" applyFont="true" applyBorder="true" applyAlignment="true" applyProtection="true">
      <alignment horizontal="center" vertical="center" textRotation="0" wrapText="false" indent="0" shrinkToFit="false"/>
      <protection locked="true" hidden="false"/>
    </xf>
    <xf numFmtId="173" fontId="86" fillId="0" borderId="8" xfId="0" applyFont="true" applyBorder="true" applyAlignment="true" applyProtection="true">
      <alignment horizontal="center" vertical="center" textRotation="0" wrapText="false" indent="0" shrinkToFit="false"/>
      <protection locked="true" hidden="false"/>
    </xf>
    <xf numFmtId="173" fontId="86" fillId="0" borderId="9" xfId="0" applyFont="true" applyBorder="true" applyAlignment="true" applyProtection="true">
      <alignment horizontal="center" vertical="center" textRotation="0" wrapText="false" indent="0" shrinkToFit="false"/>
      <protection locked="true" hidden="false"/>
    </xf>
    <xf numFmtId="173" fontId="86" fillId="0" borderId="6" xfId="0" applyFont="true" applyBorder="true" applyAlignment="true" applyProtection="true">
      <alignment horizontal="center" vertical="center" textRotation="0" wrapText="false" indent="0" shrinkToFit="false"/>
      <protection locked="true" hidden="false"/>
    </xf>
    <xf numFmtId="173" fontId="87" fillId="0" borderId="9" xfId="0" applyFont="true" applyBorder="true" applyAlignment="true" applyProtection="true">
      <alignment horizontal="center" vertical="center" textRotation="0" wrapText="false" indent="0" shrinkToFit="false"/>
      <protection locked="true" hidden="false"/>
    </xf>
    <xf numFmtId="173" fontId="49" fillId="0" borderId="11" xfId="0" applyFont="true" applyBorder="true" applyAlignment="true" applyProtection="true">
      <alignment horizontal="general" vertical="bottom" textRotation="0" wrapText="false" indent="0" shrinkToFit="false"/>
      <protection locked="true" hidden="false"/>
    </xf>
    <xf numFmtId="173" fontId="49" fillId="0" borderId="13" xfId="0" applyFont="true" applyBorder="true" applyAlignment="true" applyProtection="true">
      <alignment horizontal="general" vertical="bottom" textRotation="0" wrapText="false" indent="0" shrinkToFit="false"/>
      <protection locked="true" hidden="false"/>
    </xf>
    <xf numFmtId="173" fontId="49" fillId="0" borderId="16" xfId="0" applyFont="true" applyBorder="true" applyAlignment="true" applyProtection="true">
      <alignment horizontal="general" vertical="bottom" textRotation="0" wrapText="false" indent="0" shrinkToFit="false"/>
      <protection locked="true" hidden="false"/>
    </xf>
    <xf numFmtId="173" fontId="49" fillId="0" borderId="18" xfId="0" applyFont="true" applyBorder="true" applyAlignment="true" applyProtection="true">
      <alignment horizontal="general" vertical="bottom" textRotation="0" wrapText="false" indent="0" shrinkToFit="false"/>
      <protection locked="true" hidden="false"/>
    </xf>
    <xf numFmtId="173" fontId="49" fillId="0" borderId="23" xfId="0" applyFont="true" applyBorder="true" applyAlignment="true" applyProtection="true">
      <alignment horizontal="general" vertical="bottom" textRotation="0" wrapText="false" indent="0" shrinkToFit="false"/>
      <protection locked="true" hidden="false"/>
    </xf>
    <xf numFmtId="173" fontId="49" fillId="0" borderId="24" xfId="0" applyFont="true" applyBorder="true" applyAlignment="true" applyProtection="true">
      <alignment horizontal="general" vertical="bottom" textRotation="0" wrapText="false" indent="0" shrinkToFit="false"/>
      <protection locked="true" hidden="false"/>
    </xf>
    <xf numFmtId="173" fontId="49" fillId="0" borderId="67" xfId="0" applyFont="true" applyBorder="true" applyAlignment="true" applyProtection="true">
      <alignment horizontal="general" vertical="bottom" textRotation="0" wrapText="false" indent="0" shrinkToFit="false"/>
      <protection locked="true" hidden="false"/>
    </xf>
    <xf numFmtId="173" fontId="49" fillId="0" borderId="37" xfId="0" applyFont="true" applyBorder="true" applyAlignment="true" applyProtection="true">
      <alignment horizontal="general" vertical="bottom" textRotation="0" wrapText="false" indent="0" shrinkToFit="false"/>
      <protection locked="true" hidden="false"/>
    </xf>
    <xf numFmtId="173" fontId="50" fillId="13" borderId="10" xfId="0" applyFont="true" applyBorder="true" applyAlignment="true" applyProtection="true">
      <alignment horizontal="left" vertical="bottom" textRotation="0" wrapText="false" indent="0" shrinkToFit="false"/>
      <protection locked="true" hidden="false"/>
    </xf>
    <xf numFmtId="173" fontId="49" fillId="13" borderId="19" xfId="0" applyFont="true" applyBorder="true" applyAlignment="true" applyProtection="true">
      <alignment horizontal="general" vertical="bottom" textRotation="0" wrapText="false" indent="0" shrinkToFit="false"/>
      <protection locked="true" hidden="false"/>
    </xf>
    <xf numFmtId="173" fontId="49" fillId="13" borderId="31" xfId="0" applyFont="true" applyBorder="true" applyAlignment="true" applyProtection="true">
      <alignment horizontal="general" vertical="bottom" textRotation="0" wrapText="false" indent="0" shrinkToFit="false"/>
      <protection locked="true" hidden="false"/>
    </xf>
    <xf numFmtId="173" fontId="49" fillId="13" borderId="18" xfId="0" applyFont="true" applyBorder="true" applyAlignment="true" applyProtection="true">
      <alignment horizontal="general" vertical="bottom" textRotation="0" wrapText="false" indent="0" shrinkToFit="false"/>
      <protection locked="true" hidden="false"/>
    </xf>
    <xf numFmtId="173" fontId="49" fillId="13" borderId="22" xfId="0" applyFont="true" applyBorder="true" applyAlignment="true" applyProtection="true">
      <alignment horizontal="general" vertical="bottom" textRotation="0" wrapText="false" indent="0" shrinkToFit="false"/>
      <protection locked="true" hidden="false"/>
    </xf>
    <xf numFmtId="173" fontId="50" fillId="13" borderId="27" xfId="0" applyFont="true" applyBorder="true" applyAlignment="true" applyProtection="true">
      <alignment horizontal="left" vertical="bottom" textRotation="0" wrapText="false" indent="0" shrinkToFit="false"/>
      <protection locked="true" hidden="false"/>
    </xf>
    <xf numFmtId="173" fontId="50" fillId="13" borderId="32" xfId="0" applyFont="true" applyBorder="true" applyAlignment="true" applyProtection="true">
      <alignment horizontal="left" vertical="bottom" textRotation="0" wrapText="false" indent="0" shrinkToFit="false"/>
      <protection locked="true" hidden="false"/>
    </xf>
    <xf numFmtId="173" fontId="49" fillId="13" borderId="33" xfId="0" applyFont="true" applyBorder="true" applyAlignment="true" applyProtection="true">
      <alignment horizontal="general" vertical="bottom" textRotation="0" wrapText="false" indent="0" shrinkToFit="false"/>
      <protection locked="true" hidden="false"/>
    </xf>
    <xf numFmtId="173" fontId="49" fillId="13" borderId="34" xfId="0" applyFont="true" applyBorder="true" applyAlignment="true" applyProtection="true">
      <alignment horizontal="general" vertical="bottom" textRotation="0" wrapText="false" indent="0" shrinkToFit="false"/>
      <protection locked="true" hidden="false"/>
    </xf>
    <xf numFmtId="173" fontId="49" fillId="13" borderId="36" xfId="0" applyFont="true" applyBorder="true" applyAlignment="true" applyProtection="true">
      <alignment horizontal="general" vertical="bottom" textRotation="0" wrapText="false" indent="0" shrinkToFit="false"/>
      <protection locked="true" hidden="false"/>
    </xf>
    <xf numFmtId="173" fontId="49" fillId="13" borderId="37" xfId="0" applyFont="true" applyBorder="true" applyAlignment="true" applyProtection="true">
      <alignment horizontal="general" vertical="bottom" textRotation="0" wrapText="false" indent="0" shrinkToFit="false"/>
      <protection locked="true" hidden="false"/>
    </xf>
    <xf numFmtId="173" fontId="50" fillId="11" borderId="74" xfId="0" applyFont="true" applyBorder="true" applyAlignment="true" applyProtection="true">
      <alignment horizontal="left" vertical="bottom" textRotation="0" wrapText="false" indent="0" shrinkToFit="false"/>
      <protection locked="true" hidden="false"/>
    </xf>
    <xf numFmtId="173" fontId="49" fillId="14" borderId="75" xfId="0" applyFont="true" applyBorder="true" applyAlignment="true" applyProtection="true">
      <alignment horizontal="general" vertical="bottom" textRotation="0" wrapText="false" indent="0" shrinkToFit="false"/>
      <protection locked="true" hidden="false"/>
    </xf>
    <xf numFmtId="173" fontId="49" fillId="13" borderId="21" xfId="0" applyFont="true" applyBorder="true" applyAlignment="true" applyProtection="true">
      <alignment horizontal="general" vertical="bottom" textRotation="0" wrapText="false" indent="0" shrinkToFit="false"/>
      <protection locked="true" hidden="false"/>
    </xf>
    <xf numFmtId="173" fontId="49" fillId="0" borderId="66" xfId="0" applyFont="true" applyBorder="true" applyAlignment="true" applyProtection="true">
      <alignment horizontal="general" vertical="bottom" textRotation="0" wrapText="false" indent="0" shrinkToFit="false"/>
      <protection locked="true" hidden="false"/>
    </xf>
    <xf numFmtId="173" fontId="49" fillId="0" borderId="43" xfId="0" applyFont="true" applyBorder="true" applyAlignment="true" applyProtection="true">
      <alignment horizontal="general" vertical="bottom" textRotation="0" wrapText="false" indent="0" shrinkToFit="false"/>
      <protection locked="true" hidden="false"/>
    </xf>
    <xf numFmtId="173" fontId="49" fillId="0" borderId="42" xfId="0" applyFont="true" applyBorder="true" applyAlignment="true" applyProtection="true">
      <alignment horizontal="general" vertical="bottom" textRotation="0" wrapText="false" indent="0" shrinkToFit="false"/>
      <protection locked="true" hidden="false"/>
    </xf>
    <xf numFmtId="173" fontId="49" fillId="13" borderId="67" xfId="0" applyFont="true" applyBorder="true" applyAlignment="true" applyProtection="true">
      <alignment horizontal="general" vertical="bottom" textRotation="0" wrapText="false" indent="0" shrinkToFit="false"/>
      <protection locked="true" hidden="false"/>
    </xf>
    <xf numFmtId="173" fontId="49" fillId="13" borderId="28" xfId="0" applyFont="true" applyBorder="true" applyAlignment="true" applyProtection="true">
      <alignment horizontal="general" vertical="bottom" textRotation="0" wrapText="false" indent="0" shrinkToFit="false"/>
      <protection locked="true" hidden="false"/>
    </xf>
    <xf numFmtId="173" fontId="48" fillId="11" borderId="66" xfId="0" applyFont="true" applyBorder="true" applyAlignment="true" applyProtection="true">
      <alignment horizontal="left" vertical="bottom" textRotation="0" wrapText="false" indent="0" shrinkToFit="true"/>
      <protection locked="true" hidden="false"/>
    </xf>
    <xf numFmtId="173" fontId="49" fillId="0" borderId="31" xfId="0" applyFont="true" applyBorder="true" applyAlignment="true" applyProtection="true">
      <alignment horizontal="general" vertical="bottom" textRotation="0" wrapText="false" indent="0" shrinkToFit="false"/>
      <protection locked="true" hidden="false"/>
    </xf>
    <xf numFmtId="173" fontId="50" fillId="13" borderId="68" xfId="0" applyFont="true" applyBorder="true" applyAlignment="true" applyProtection="true">
      <alignment horizontal="left" vertical="bottom" textRotation="0" wrapText="false" indent="0" shrinkToFit="false"/>
      <protection locked="true" hidden="false"/>
    </xf>
    <xf numFmtId="173" fontId="49" fillId="13" borderId="48" xfId="0" applyFont="true" applyBorder="true" applyAlignment="true" applyProtection="true">
      <alignment horizontal="general" vertical="bottom" textRotation="0" wrapText="false" indent="0" shrinkToFit="false"/>
      <protection locked="true" hidden="false"/>
    </xf>
    <xf numFmtId="173" fontId="49" fillId="13" borderId="44" xfId="0" applyFont="true" applyBorder="true" applyAlignment="true" applyProtection="true">
      <alignment horizontal="general" vertical="bottom" textRotation="0" wrapText="false" indent="0" shrinkToFit="false"/>
      <protection locked="true" hidden="false"/>
    </xf>
    <xf numFmtId="173" fontId="49" fillId="13" borderId="46" xfId="0" applyFont="true" applyBorder="true" applyAlignment="true" applyProtection="true">
      <alignment horizontal="general" vertical="bottom" textRotation="0" wrapText="false" indent="0" shrinkToFit="false"/>
      <protection locked="true" hidden="false"/>
    </xf>
    <xf numFmtId="173" fontId="49" fillId="13" borderId="47" xfId="0" applyFont="true" applyBorder="true" applyAlignment="true" applyProtection="true">
      <alignment horizontal="general" vertical="bottom" textRotation="0" wrapText="false" indent="0" shrinkToFit="false"/>
      <protection locked="true" hidden="false"/>
    </xf>
    <xf numFmtId="173" fontId="49" fillId="13" borderId="14" xfId="0" applyFont="true" applyBorder="true" applyAlignment="true" applyProtection="true">
      <alignment horizontal="general" vertical="bottom" textRotation="0" wrapText="false" indent="0" shrinkToFit="false"/>
      <protection locked="true" hidden="false"/>
    </xf>
    <xf numFmtId="173" fontId="49" fillId="13" borderId="12" xfId="0" applyFont="true" applyBorder="true" applyAlignment="true" applyProtection="true">
      <alignment horizontal="general" vertical="bottom" textRotation="0" wrapText="false" indent="0" shrinkToFit="false"/>
      <protection locked="true" hidden="false"/>
    </xf>
    <xf numFmtId="173" fontId="49" fillId="0" borderId="76" xfId="0" applyFont="true" applyBorder="true" applyAlignment="true" applyProtection="true">
      <alignment horizontal="general" vertical="bottom" textRotation="0" wrapText="false" indent="0" shrinkToFit="false"/>
      <protection locked="true" hidden="false"/>
    </xf>
    <xf numFmtId="173" fontId="49" fillId="0" borderId="77" xfId="0" applyFont="true" applyBorder="true" applyAlignment="true" applyProtection="true">
      <alignment horizontal="general" vertical="bottom" textRotation="0" wrapText="false" indent="0" shrinkToFit="false"/>
      <protection locked="true" hidden="false"/>
    </xf>
    <xf numFmtId="173" fontId="49" fillId="0" borderId="78" xfId="0" applyFont="true" applyBorder="true" applyAlignment="true" applyProtection="true">
      <alignment horizontal="general" vertical="bottom" textRotation="0" wrapText="false" indent="0" shrinkToFit="false"/>
      <protection locked="true" hidden="false"/>
    </xf>
    <xf numFmtId="173" fontId="49" fillId="0" borderId="76" xfId="0" applyFont="true" applyBorder="true" applyAlignment="true" applyProtection="true">
      <alignment horizontal="general" vertical="center" textRotation="0" wrapText="false" indent="0" shrinkToFit="false"/>
      <protection locked="true" hidden="false"/>
    </xf>
    <xf numFmtId="173" fontId="49" fillId="0" borderId="77" xfId="0" applyFont="true" applyBorder="true" applyAlignment="true" applyProtection="true">
      <alignment horizontal="general" vertical="center" textRotation="0" wrapText="false" indent="0" shrinkToFit="false"/>
      <protection locked="true" hidden="false"/>
    </xf>
    <xf numFmtId="173" fontId="40" fillId="0" borderId="78" xfId="0" applyFont="true" applyBorder="true" applyAlignment="true" applyProtection="true">
      <alignment horizontal="general" vertical="center" textRotation="0" wrapText="false" indent="0" shrinkToFit="false"/>
      <protection locked="true" hidden="false"/>
    </xf>
    <xf numFmtId="173" fontId="50" fillId="13" borderId="41" xfId="0" applyFont="true" applyBorder="true" applyAlignment="true" applyProtection="true">
      <alignment horizontal="left" vertical="bottom" textRotation="0" wrapText="false" indent="0" shrinkToFit="false"/>
      <protection locked="true" hidden="false"/>
    </xf>
    <xf numFmtId="173" fontId="49" fillId="0" borderId="68" xfId="0" applyFont="true" applyBorder="true" applyAlignment="true" applyProtection="true">
      <alignment horizontal="general" vertical="bottom" textRotation="0" wrapText="false" indent="0" shrinkToFit="false"/>
      <protection locked="true" hidden="false"/>
    </xf>
    <xf numFmtId="173" fontId="49" fillId="0" borderId="0" xfId="0" applyFont="true" applyBorder="true" applyAlignment="true" applyProtection="true">
      <alignment horizontal="general" vertical="bottom" textRotation="0" wrapText="false" indent="0" shrinkToFit="false"/>
      <protection locked="true" hidden="false"/>
    </xf>
    <xf numFmtId="173" fontId="49" fillId="0" borderId="68" xfId="0" applyFont="true" applyBorder="true" applyAlignment="true" applyProtection="true">
      <alignment horizontal="general" vertical="center" textRotation="0" wrapText="false" indent="0" shrinkToFit="false"/>
      <protection locked="true" hidden="false"/>
    </xf>
    <xf numFmtId="173" fontId="49" fillId="0" borderId="0" xfId="0" applyFont="true" applyBorder="true" applyAlignment="true" applyProtection="true">
      <alignment horizontal="general" vertical="center" textRotation="0" wrapText="false" indent="0" shrinkToFit="false"/>
      <protection locked="true" hidden="false"/>
    </xf>
    <xf numFmtId="173" fontId="40" fillId="0" borderId="48" xfId="0" applyFont="true" applyBorder="true" applyAlignment="true" applyProtection="true">
      <alignment horizontal="general" vertical="center" textRotation="0" wrapText="false" indent="0" shrinkToFit="false"/>
      <protection locked="true" hidden="false"/>
    </xf>
    <xf numFmtId="173" fontId="50" fillId="11" borderId="76" xfId="0" applyFont="true" applyBorder="true" applyAlignment="true" applyProtection="true">
      <alignment horizontal="left" vertical="bottom" textRotation="0" wrapText="false" indent="0" shrinkToFit="false"/>
      <protection locked="true" hidden="false"/>
    </xf>
    <xf numFmtId="173" fontId="49" fillId="0" borderId="79" xfId="0" applyFont="true" applyBorder="true" applyAlignment="true" applyProtection="true">
      <alignment horizontal="center" vertical="bottom" textRotation="0" wrapText="false" indent="0" shrinkToFit="false"/>
      <protection locked="true" hidden="false"/>
    </xf>
    <xf numFmtId="173" fontId="48" fillId="11" borderId="80" xfId="0" applyFont="true" applyBorder="true" applyAlignment="true" applyProtection="true">
      <alignment horizontal="left" vertical="bottom" textRotation="0" wrapText="false" indent="0" shrinkToFit="false"/>
      <protection locked="true" hidden="false"/>
    </xf>
    <xf numFmtId="173" fontId="49" fillId="14" borderId="69" xfId="0" applyFont="true" applyBorder="true" applyAlignment="true" applyProtection="true">
      <alignment horizontal="general" vertical="bottom" textRotation="0" wrapText="false" indent="0" shrinkToFit="false"/>
      <protection locked="true" hidden="false"/>
    </xf>
    <xf numFmtId="173" fontId="49" fillId="0" borderId="81" xfId="0" applyFont="true" applyBorder="true" applyAlignment="true" applyProtection="true">
      <alignment horizontal="general" vertical="bottom" textRotation="0" wrapText="false" indent="0" shrinkToFit="false"/>
      <protection locked="true" hidden="false"/>
    </xf>
    <xf numFmtId="173" fontId="50" fillId="15" borderId="64" xfId="0" applyFont="true" applyBorder="true" applyAlignment="true" applyProtection="true">
      <alignment horizontal="center" vertical="center" textRotation="0" wrapText="false" indent="0" shrinkToFit="false"/>
      <protection locked="true" hidden="false"/>
    </xf>
    <xf numFmtId="173" fontId="49" fillId="15" borderId="61" xfId="0" applyFont="true" applyBorder="true" applyAlignment="true" applyProtection="true">
      <alignment horizontal="general" vertical="bottom" textRotation="0" wrapText="false" indent="0" shrinkToFit="false"/>
      <protection locked="true" hidden="false"/>
    </xf>
    <xf numFmtId="173" fontId="49" fillId="15" borderId="65" xfId="0" applyFont="true" applyBorder="true" applyAlignment="true" applyProtection="true">
      <alignment horizontal="general" vertical="bottom" textRotation="0" wrapText="false" indent="0" shrinkToFit="false"/>
      <protection locked="true" hidden="false"/>
    </xf>
    <xf numFmtId="173" fontId="49" fillId="15" borderId="9" xfId="0" applyFont="true" applyBorder="true" applyAlignment="true" applyProtection="true">
      <alignment horizontal="general" vertical="bottom" textRotation="0" wrapText="false" indent="0" shrinkToFit="false"/>
      <protection locked="true" hidden="false"/>
    </xf>
    <xf numFmtId="173" fontId="49" fillId="0" borderId="59" xfId="0" applyFont="true" applyBorder="true" applyAlignment="true" applyProtection="true">
      <alignment horizontal="general" vertical="bottom" textRotation="0" wrapText="false" indent="0" shrinkToFit="false"/>
      <protection locked="true" hidden="false"/>
    </xf>
    <xf numFmtId="173" fontId="49" fillId="0" borderId="62" xfId="0" applyFont="true" applyBorder="true" applyAlignment="true" applyProtection="true">
      <alignment horizontal="general" vertical="bottom" textRotation="0" wrapText="false" indent="0" shrinkToFit="false"/>
      <protection locked="true" hidden="false"/>
    </xf>
    <xf numFmtId="173" fontId="49" fillId="0" borderId="61" xfId="0" applyFont="true" applyBorder="true" applyAlignment="true" applyProtection="true">
      <alignment horizontal="general" vertical="bottom" textRotation="0" wrapText="false" indent="0" shrinkToFit="false"/>
      <protection locked="true" hidden="false"/>
    </xf>
    <xf numFmtId="173" fontId="49" fillId="0" borderId="69" xfId="0" applyFont="true" applyBorder="true" applyAlignment="true" applyProtection="true">
      <alignment horizontal="general" vertical="bottom" textRotation="0" wrapText="false" indent="0" shrinkToFit="false"/>
      <protection locked="true" hidden="false"/>
    </xf>
    <xf numFmtId="173" fontId="49" fillId="0" borderId="3" xfId="0" applyFont="true" applyBorder="true" applyAlignment="true" applyProtection="true">
      <alignment horizontal="general" vertical="bottom" textRotation="0" wrapText="false" indent="0" shrinkToFit="false"/>
      <protection locked="true" hidden="false"/>
    </xf>
    <xf numFmtId="173" fontId="49" fillId="13" borderId="62" xfId="0" applyFont="true" applyBorder="true" applyAlignment="true" applyProtection="true">
      <alignment horizontal="general" vertical="bottom" textRotation="0" wrapText="false" indent="0" shrinkToFit="false"/>
      <protection locked="true" hidden="false"/>
    </xf>
    <xf numFmtId="173" fontId="49" fillId="13" borderId="6" xfId="0" applyFont="true" applyBorder="true" applyAlignment="true" applyProtection="true">
      <alignment horizontal="general" vertical="bottom" textRotation="0" wrapText="false" indent="0" shrinkToFit="false"/>
      <protection locked="true" hidden="false"/>
    </xf>
    <xf numFmtId="173" fontId="0" fillId="15" borderId="4" xfId="0" applyFont="true" applyBorder="true" applyAlignment="true" applyProtection="true">
      <alignment horizontal="center" vertical="center" textRotation="0" wrapText="false" indent="0" shrinkToFit="false"/>
      <protection locked="true" hidden="false"/>
    </xf>
    <xf numFmtId="173" fontId="49" fillId="15" borderId="82" xfId="0" applyFont="true" applyBorder="true" applyAlignment="true" applyProtection="true">
      <alignment horizontal="general" vertical="bottom" textRotation="0" wrapText="false" indent="0" shrinkToFit="false"/>
      <protection locked="true" hidden="false"/>
    </xf>
    <xf numFmtId="173" fontId="49" fillId="15" borderId="76" xfId="0" applyFont="true" applyBorder="true" applyAlignment="true" applyProtection="true">
      <alignment horizontal="general" vertical="bottom" textRotation="0" wrapText="false" indent="0" shrinkToFit="false"/>
      <protection locked="true" hidden="false"/>
    </xf>
    <xf numFmtId="173" fontId="49" fillId="15" borderId="83" xfId="0" applyFont="true" applyBorder="true" applyAlignment="true" applyProtection="true">
      <alignment horizontal="general" vertical="bottom" textRotation="0" wrapText="false" indent="0" shrinkToFit="false"/>
      <protection locked="true" hidden="false"/>
    </xf>
    <xf numFmtId="173" fontId="49" fillId="15" borderId="84" xfId="0" applyFont="true" applyBorder="true" applyAlignment="true" applyProtection="true">
      <alignment horizontal="general" vertical="bottom" textRotation="0" wrapText="false" indent="0" shrinkToFit="false"/>
      <protection locked="true" hidden="false"/>
    </xf>
    <xf numFmtId="173" fontId="49" fillId="15" borderId="75" xfId="0" applyFont="true" applyBorder="true" applyAlignment="true" applyProtection="true">
      <alignment horizontal="general" vertical="bottom" textRotation="0" wrapText="false" indent="0" shrinkToFit="false"/>
      <protection locked="true" hidden="false"/>
    </xf>
    <xf numFmtId="173" fontId="49" fillId="15" borderId="85" xfId="0" applyFont="true" applyBorder="true" applyAlignment="true" applyProtection="true">
      <alignment horizontal="general" vertical="bottom" textRotation="0" wrapText="false" indent="0" shrinkToFit="false"/>
      <protection locked="true" hidden="false"/>
    </xf>
    <xf numFmtId="175" fontId="57" fillId="0" borderId="0" xfId="0" applyFont="true" applyBorder="true" applyAlignment="true" applyProtection="true">
      <alignment horizontal="center" vertical="center" textRotation="0" wrapText="false" indent="0" shrinkToFit="false"/>
      <protection locked="true" hidden="false"/>
    </xf>
    <xf numFmtId="173" fontId="49" fillId="0" borderId="74" xfId="0" applyFont="true" applyBorder="true" applyAlignment="true" applyProtection="true">
      <alignment horizontal="general" vertical="bottom" textRotation="0" wrapText="false" indent="0" shrinkToFit="false"/>
      <protection locked="true" hidden="false"/>
    </xf>
    <xf numFmtId="173" fontId="51" fillId="13" borderId="35" xfId="0" applyFont="true" applyBorder="true" applyAlignment="true" applyProtection="true">
      <alignment horizontal="general" vertical="bottom" textRotation="0" wrapText="false" indent="0" shrinkToFit="false"/>
      <protection locked="true" hidden="false"/>
    </xf>
    <xf numFmtId="173" fontId="49" fillId="13" borderId="38" xfId="0" applyFont="true" applyBorder="true" applyAlignment="true" applyProtection="true">
      <alignment horizontal="general" vertical="bottom" textRotation="0" wrapText="false" indent="0" shrinkToFit="false"/>
      <protection locked="true" hidden="false"/>
    </xf>
    <xf numFmtId="173" fontId="49" fillId="0" borderId="40" xfId="0" applyFont="true" applyBorder="true" applyAlignment="true" applyProtection="true">
      <alignment horizontal="general" vertical="bottom" textRotation="0" wrapText="false" indent="0" shrinkToFit="false"/>
      <protection locked="true" hidden="false"/>
    </xf>
    <xf numFmtId="173" fontId="49" fillId="14" borderId="86" xfId="0" applyFont="true" applyBorder="true" applyAlignment="true" applyProtection="true">
      <alignment horizontal="general" vertical="bottom" textRotation="0" wrapText="false" indent="0" shrinkToFit="false"/>
      <protection locked="true" hidden="false"/>
    </xf>
    <xf numFmtId="173" fontId="49" fillId="0" borderId="10" xfId="0" applyFont="true" applyBorder="true" applyAlignment="true" applyProtection="true">
      <alignment horizontal="general" vertical="bottom" textRotation="0" wrapText="false" indent="0" shrinkToFit="false"/>
      <protection locked="true" hidden="false"/>
    </xf>
    <xf numFmtId="173" fontId="50" fillId="16" borderId="66" xfId="0" applyFont="true" applyBorder="true" applyAlignment="true" applyProtection="true">
      <alignment horizontal="left" vertical="bottom" textRotation="0" wrapText="false" indent="0" shrinkToFit="false"/>
      <protection locked="true" hidden="false"/>
    </xf>
    <xf numFmtId="173" fontId="49" fillId="13" borderId="87" xfId="0" applyFont="true" applyBorder="true" applyAlignment="true" applyProtection="true">
      <alignment horizontal="general" vertical="bottom" textRotation="0" wrapText="false" indent="0" shrinkToFit="false"/>
      <protection locked="true" hidden="false"/>
    </xf>
    <xf numFmtId="173" fontId="49" fillId="13" borderId="64" xfId="0" applyFont="true" applyBorder="true" applyAlignment="true" applyProtection="true">
      <alignment horizontal="general" vertical="bottom" textRotation="0" wrapText="false" indent="0" shrinkToFit="false"/>
      <protection locked="true" hidden="false"/>
    </xf>
    <xf numFmtId="173" fontId="49" fillId="13" borderId="73" xfId="0" applyFont="true" applyBorder="true" applyAlignment="true" applyProtection="true">
      <alignment horizontal="general" vertical="bottom" textRotation="0" wrapText="false" indent="0" shrinkToFit="false"/>
      <protection locked="true" hidden="false"/>
    </xf>
    <xf numFmtId="173" fontId="40" fillId="13" borderId="9" xfId="0" applyFont="true" applyBorder="true" applyAlignment="true" applyProtection="true">
      <alignment horizontal="general" vertical="bottom" textRotation="0" wrapText="false" indent="0" shrinkToFit="false"/>
      <protection locked="true" hidden="false"/>
    </xf>
    <xf numFmtId="173" fontId="50" fillId="13" borderId="74" xfId="0" applyFont="true" applyBorder="true" applyAlignment="true" applyProtection="true">
      <alignment horizontal="left" vertical="bottom" textRotation="0" wrapText="false" indent="0" shrinkToFit="false"/>
      <protection locked="true" hidden="false"/>
    </xf>
    <xf numFmtId="173" fontId="49" fillId="13" borderId="75" xfId="0" applyFont="true" applyBorder="true" applyAlignment="true" applyProtection="true">
      <alignment horizontal="general" vertical="bottom" textRotation="0" wrapText="false" indent="0" shrinkToFit="false"/>
      <protection locked="true" hidden="false"/>
    </xf>
    <xf numFmtId="173" fontId="49" fillId="13" borderId="84" xfId="0" applyFont="true" applyBorder="true" applyAlignment="true" applyProtection="true">
      <alignment horizontal="general" vertical="bottom" textRotation="0" wrapText="false" indent="0" shrinkToFit="false"/>
      <protection locked="true" hidden="false"/>
    </xf>
    <xf numFmtId="173" fontId="49" fillId="13" borderId="11" xfId="0" applyFont="true" applyBorder="true" applyAlignment="true" applyProtection="true">
      <alignment horizontal="general" vertical="bottom" textRotation="0" wrapText="false" indent="0" shrinkToFit="false"/>
      <protection locked="true" hidden="false"/>
    </xf>
    <xf numFmtId="173" fontId="49" fillId="13" borderId="16" xfId="0" applyFont="true" applyBorder="true" applyAlignment="true" applyProtection="true">
      <alignment horizontal="general" vertical="bottom" textRotation="0" wrapText="false" indent="0" shrinkToFit="false"/>
      <protection locked="true" hidden="false"/>
    </xf>
    <xf numFmtId="173" fontId="49" fillId="13" borderId="40" xfId="0" applyFont="true" applyBorder="true" applyAlignment="true" applyProtection="true">
      <alignment horizontal="general" vertical="bottom" textRotation="0" wrapText="false" indent="0" shrinkToFit="false"/>
      <protection locked="true" hidden="false"/>
    </xf>
    <xf numFmtId="173" fontId="50" fillId="13" borderId="66" xfId="0" applyFont="true" applyBorder="true" applyAlignment="true" applyProtection="true">
      <alignment horizontal="left" vertical="bottom" textRotation="0" wrapText="false" indent="0" shrinkToFit="false"/>
      <protection locked="true" hidden="false"/>
    </xf>
    <xf numFmtId="173" fontId="49" fillId="13" borderId="32" xfId="0" applyFont="true" applyBorder="true" applyAlignment="true" applyProtection="true">
      <alignment horizontal="general" vertical="bottom" textRotation="0" wrapText="false" indent="0" shrinkToFit="false"/>
      <protection locked="true" hidden="false"/>
    </xf>
    <xf numFmtId="173" fontId="50" fillId="11" borderId="66" xfId="0" applyFont="true" applyBorder="true" applyAlignment="true" applyProtection="true">
      <alignment horizontal="left" vertical="bottom" textRotation="0" wrapText="false" indent="0" shrinkToFit="false"/>
      <protection locked="true" hidden="false"/>
    </xf>
    <xf numFmtId="173" fontId="49" fillId="0" borderId="64" xfId="0" applyFont="true" applyBorder="true" applyAlignment="true" applyProtection="true">
      <alignment horizontal="center" vertical="bottom" textRotation="0" wrapText="false" indent="0" shrinkToFit="false"/>
      <protection locked="true" hidden="false"/>
    </xf>
    <xf numFmtId="173" fontId="49" fillId="0" borderId="9" xfId="0" applyFont="true" applyBorder="true" applyAlignment="true" applyProtection="true">
      <alignment horizontal="center" vertical="bottom" textRotation="0" wrapText="false" indent="0" shrinkToFit="false"/>
      <protection locked="true" hidden="false"/>
    </xf>
    <xf numFmtId="173" fontId="50" fillId="15" borderId="62" xfId="0" applyFont="true" applyBorder="true" applyAlignment="true" applyProtection="true">
      <alignment horizontal="center" vertical="center" textRotation="0" wrapText="false" indent="0" shrinkToFit="false"/>
      <protection locked="true" hidden="false"/>
    </xf>
    <xf numFmtId="173" fontId="49" fillId="0" borderId="88" xfId="0" applyFont="true" applyBorder="true" applyAlignment="true" applyProtection="true">
      <alignment horizontal="general" vertical="bottom" textRotation="0" wrapText="false" indent="0" shrinkToFit="false"/>
      <protection locked="true" hidden="false"/>
    </xf>
    <xf numFmtId="173" fontId="51" fillId="13" borderId="13" xfId="0" applyFont="true" applyBorder="true" applyAlignment="true" applyProtection="true">
      <alignment horizontal="general" vertical="bottom" textRotation="0" wrapText="false" indent="0" shrinkToFit="false"/>
      <protection locked="true" hidden="false"/>
    </xf>
    <xf numFmtId="173" fontId="49" fillId="13" borderId="13" xfId="0" applyFont="true" applyBorder="true" applyAlignment="true" applyProtection="true">
      <alignment horizontal="general" vertical="bottom" textRotation="0" wrapText="false" indent="0" shrinkToFit="false"/>
      <protection locked="true" hidden="false"/>
    </xf>
    <xf numFmtId="173" fontId="51" fillId="13" borderId="86" xfId="0" applyFont="true" applyBorder="true" applyAlignment="true" applyProtection="true">
      <alignment horizontal="general" vertical="bottom" textRotation="0" wrapText="false" indent="0" shrinkToFit="false"/>
      <protection locked="true" hidden="false"/>
    </xf>
    <xf numFmtId="173" fontId="40" fillId="13" borderId="48" xfId="0" applyFont="true" applyBorder="true" applyAlignment="true" applyProtection="true">
      <alignment horizontal="general" vertical="bottom" textRotation="0" wrapText="false" indent="0" shrinkToFit="false"/>
      <protection locked="true" hidden="false"/>
    </xf>
    <xf numFmtId="173" fontId="49" fillId="14" borderId="84" xfId="0" applyFont="true" applyBorder="true" applyAlignment="true" applyProtection="true">
      <alignment horizontal="general" vertical="bottom" textRotation="0" wrapText="false" indent="0" shrinkToFit="false"/>
      <protection locked="true" hidden="false"/>
    </xf>
    <xf numFmtId="173" fontId="49" fillId="14" borderId="15" xfId="0" applyFont="true" applyBorder="true" applyAlignment="true" applyProtection="true">
      <alignment horizontal="general" vertical="bottom" textRotation="0" wrapText="false" indent="0" shrinkToFit="false"/>
      <protection locked="true" hidden="false"/>
    </xf>
    <xf numFmtId="173" fontId="49" fillId="14" borderId="88" xfId="0" applyFont="true" applyBorder="true" applyAlignment="true" applyProtection="true">
      <alignment horizontal="general" vertical="bottom" textRotation="0" wrapText="false" indent="0" shrinkToFit="false"/>
      <protection locked="true" hidden="false"/>
    </xf>
    <xf numFmtId="173" fontId="49" fillId="14" borderId="81" xfId="0" applyFont="true" applyBorder="true" applyAlignment="true" applyProtection="true">
      <alignment horizontal="general" vertical="bottom" textRotation="0" wrapText="false" indent="0" shrinkToFit="false"/>
      <protection locked="true" hidden="false"/>
    </xf>
    <xf numFmtId="177" fontId="57" fillId="20" borderId="0" xfId="0" applyFont="true" applyBorder="true" applyAlignment="true" applyProtection="true">
      <alignment horizontal="center" vertical="center" textRotation="0" wrapText="false" indent="0" shrinkToFit="false"/>
      <protection locked="true" hidden="false"/>
    </xf>
    <xf numFmtId="173" fontId="40" fillId="13" borderId="31" xfId="0" applyFont="true" applyBorder="true" applyAlignment="true" applyProtection="true">
      <alignment horizontal="general" vertical="bottom" textRotation="0" wrapText="false" indent="0" shrinkToFit="false"/>
      <protection locked="true" hidden="false"/>
    </xf>
    <xf numFmtId="173" fontId="40" fillId="13" borderId="46" xfId="0" applyFont="true" applyBorder="true" applyAlignment="true" applyProtection="true">
      <alignment horizontal="general" vertical="bottom" textRotation="0" wrapText="false" indent="0" shrinkToFit="false"/>
      <protection locked="true" hidden="false"/>
    </xf>
    <xf numFmtId="173" fontId="50" fillId="11" borderId="89" xfId="0" applyFont="true" applyBorder="true" applyAlignment="true" applyProtection="true">
      <alignment horizontal="left" vertical="bottom" textRotation="0" wrapText="false" indent="0" shrinkToFit="false"/>
      <protection locked="true" hidden="false"/>
    </xf>
    <xf numFmtId="173" fontId="49" fillId="0" borderId="33" xfId="0" applyFont="true" applyBorder="true" applyAlignment="true" applyProtection="true">
      <alignment horizontal="general" vertical="bottom" textRotation="0" wrapText="false" indent="0" shrinkToFit="false"/>
      <protection locked="true" hidden="false"/>
    </xf>
    <xf numFmtId="173" fontId="49" fillId="0" borderId="36" xfId="0" applyFont="true" applyBorder="true" applyAlignment="true" applyProtection="true">
      <alignment horizontal="general" vertical="bottom" textRotation="0" wrapText="false" indent="0" shrinkToFit="false"/>
      <protection locked="true" hidden="false"/>
    </xf>
    <xf numFmtId="173" fontId="88" fillId="0" borderId="23" xfId="0" applyFont="true" applyBorder="true" applyAlignment="true" applyProtection="true">
      <alignment horizontal="general" vertical="bottom" textRotation="0" wrapText="false" indent="0" shrinkToFit="false"/>
      <protection locked="true" hidden="false"/>
    </xf>
    <xf numFmtId="173" fontId="88" fillId="0" borderId="17" xfId="0" applyFont="true" applyBorder="true" applyAlignment="true" applyProtection="true">
      <alignment horizontal="general" vertical="bottom" textRotation="0" wrapText="false" indent="0" shrinkToFit="false"/>
      <protection locked="true" hidden="false"/>
    </xf>
    <xf numFmtId="173" fontId="88" fillId="0" borderId="19" xfId="0" applyFont="true" applyBorder="true" applyAlignment="true" applyProtection="true">
      <alignment horizontal="general" vertical="bottom" textRotation="0" wrapText="false" indent="0" shrinkToFit="false"/>
      <protection locked="true" hidden="false"/>
    </xf>
    <xf numFmtId="173" fontId="88" fillId="0" borderId="35" xfId="0" applyFont="true" applyBorder="true" applyAlignment="true" applyProtection="true">
      <alignment horizontal="general" vertical="bottom" textRotation="0" wrapText="false" indent="0" shrinkToFit="false"/>
      <protection locked="true" hidden="false"/>
    </xf>
    <xf numFmtId="173" fontId="88" fillId="0" borderId="45" xfId="0" applyFont="true" applyBorder="true" applyAlignment="true" applyProtection="true">
      <alignment horizontal="general" vertical="bottom" textRotation="0" wrapText="false" indent="0" shrinkToFit="false"/>
      <protection locked="true" hidden="false"/>
    </xf>
    <xf numFmtId="173" fontId="88" fillId="0" borderId="18" xfId="0" applyFont="true" applyBorder="true" applyAlignment="true" applyProtection="true">
      <alignment horizontal="general" vertical="bottom" textRotation="0" wrapText="false" indent="0" shrinkToFit="false"/>
      <protection locked="true" hidden="false"/>
    </xf>
    <xf numFmtId="173" fontId="88" fillId="13" borderId="19" xfId="0" applyFont="true" applyBorder="true" applyAlignment="true" applyProtection="true">
      <alignment horizontal="general" vertical="bottom" textRotation="0" wrapText="false" indent="0" shrinkToFit="false"/>
      <protection locked="true" hidden="false"/>
    </xf>
    <xf numFmtId="173" fontId="88" fillId="13" borderId="17" xfId="0" applyFont="true" applyBorder="true" applyAlignment="true" applyProtection="true">
      <alignment horizontal="general" vertical="bottom" textRotation="0" wrapText="false" indent="0" shrinkToFit="false"/>
      <protection locked="true" hidden="false"/>
    </xf>
    <xf numFmtId="173" fontId="88" fillId="13" borderId="30" xfId="0" applyFont="true" applyBorder="true" applyAlignment="true" applyProtection="true">
      <alignment horizontal="general" vertical="bottom" textRotation="0" wrapText="false" indent="0" shrinkToFit="false"/>
      <protection locked="true" hidden="false"/>
    </xf>
    <xf numFmtId="173" fontId="88" fillId="13" borderId="26" xfId="0" applyFont="true" applyBorder="true" applyAlignment="true" applyProtection="true">
      <alignment horizontal="general" vertical="bottom" textRotation="0" wrapText="false" indent="0" shrinkToFit="false"/>
      <protection locked="true" hidden="false"/>
    </xf>
    <xf numFmtId="173" fontId="88" fillId="13" borderId="18" xfId="0" applyFont="true" applyBorder="true" applyAlignment="true" applyProtection="true">
      <alignment horizontal="general" vertical="bottom" textRotation="0" wrapText="false" indent="0" shrinkToFit="false"/>
      <protection locked="true" hidden="false"/>
    </xf>
    <xf numFmtId="173" fontId="88" fillId="13" borderId="22" xfId="0" applyFont="true" applyBorder="true" applyAlignment="true" applyProtection="true">
      <alignment horizontal="general" vertical="bottom" textRotation="0" wrapText="false" indent="0" shrinkToFit="false"/>
      <protection locked="true" hidden="false"/>
    </xf>
    <xf numFmtId="173" fontId="88" fillId="13" borderId="23" xfId="0" applyFont="true" applyBorder="true" applyAlignment="true" applyProtection="true">
      <alignment horizontal="general" vertical="bottom" textRotation="0" wrapText="false" indent="0" shrinkToFit="false"/>
      <protection locked="true" hidden="false"/>
    </xf>
    <xf numFmtId="173" fontId="88" fillId="13" borderId="25" xfId="0" applyFont="true" applyBorder="true" applyAlignment="true" applyProtection="true">
      <alignment horizontal="general" vertical="bottom" textRotation="0" wrapText="false" indent="0" shrinkToFit="false"/>
      <protection locked="true" hidden="false"/>
    </xf>
    <xf numFmtId="173" fontId="88" fillId="13" borderId="31" xfId="0" applyFont="true" applyBorder="true" applyAlignment="true" applyProtection="true">
      <alignment horizontal="general" vertical="bottom" textRotation="0" wrapText="false" indent="0" shrinkToFit="false"/>
      <protection locked="true" hidden="false"/>
    </xf>
    <xf numFmtId="173" fontId="88" fillId="13" borderId="20" xfId="0" applyFont="true" applyBorder="true" applyAlignment="true" applyProtection="true">
      <alignment horizontal="general" vertical="bottom" textRotation="0" wrapText="false" indent="0" shrinkToFit="false"/>
      <protection locked="true" hidden="false"/>
    </xf>
    <xf numFmtId="173" fontId="88" fillId="13" borderId="33" xfId="0" applyFont="true" applyBorder="true" applyAlignment="true" applyProtection="true">
      <alignment horizontal="general" vertical="bottom" textRotation="0" wrapText="false" indent="0" shrinkToFit="false"/>
      <protection locked="true" hidden="false"/>
    </xf>
    <xf numFmtId="173" fontId="88" fillId="13" borderId="34" xfId="0" applyFont="true" applyBorder="true" applyAlignment="true" applyProtection="true">
      <alignment horizontal="general" vertical="bottom" textRotation="0" wrapText="false" indent="0" shrinkToFit="false"/>
      <protection locked="true" hidden="false"/>
    </xf>
    <xf numFmtId="173" fontId="88" fillId="13" borderId="35" xfId="0" applyFont="true" applyBorder="true" applyAlignment="true" applyProtection="true">
      <alignment horizontal="general" vertical="bottom" textRotation="0" wrapText="false" indent="0" shrinkToFit="false"/>
      <protection locked="true" hidden="false"/>
    </xf>
    <xf numFmtId="173" fontId="88" fillId="13" borderId="36" xfId="0" applyFont="true" applyBorder="true" applyAlignment="true" applyProtection="true">
      <alignment horizontal="general" vertical="bottom" textRotation="0" wrapText="false" indent="0" shrinkToFit="false"/>
      <protection locked="true" hidden="false"/>
    </xf>
    <xf numFmtId="173" fontId="88" fillId="13" borderId="37" xfId="0" applyFont="true" applyBorder="true" applyAlignment="true" applyProtection="true">
      <alignment horizontal="general" vertical="bottom" textRotation="0" wrapText="false" indent="0" shrinkToFit="false"/>
      <protection locked="true" hidden="false"/>
    </xf>
    <xf numFmtId="173" fontId="88" fillId="13" borderId="59" xfId="0" applyFont="true" applyBorder="true" applyAlignment="true" applyProtection="true">
      <alignment horizontal="general" vertical="bottom" textRotation="0" wrapText="false" indent="0" shrinkToFit="false"/>
      <protection locked="true" hidden="false"/>
    </xf>
    <xf numFmtId="173" fontId="88" fillId="13" borderId="60" xfId="0" applyFont="true" applyBorder="true" applyAlignment="true" applyProtection="true">
      <alignment horizontal="general" vertical="bottom" textRotation="0" wrapText="false" indent="0" shrinkToFit="false"/>
      <protection locked="true" hidden="false"/>
    </xf>
    <xf numFmtId="173" fontId="88" fillId="13" borderId="73" xfId="0" applyFont="true" applyBorder="true" applyAlignment="true" applyProtection="true">
      <alignment horizontal="general" vertical="bottom" textRotation="0" wrapText="false" indent="0" shrinkToFit="false"/>
      <protection locked="true" hidden="false"/>
    </xf>
    <xf numFmtId="173" fontId="88" fillId="13" borderId="65" xfId="0" applyFont="true" applyBorder="true" applyAlignment="true" applyProtection="true">
      <alignment horizontal="general" vertical="bottom" textRotation="0" wrapText="false" indent="0" shrinkToFit="false"/>
      <protection locked="true" hidden="false"/>
    </xf>
    <xf numFmtId="173" fontId="88" fillId="13" borderId="44" xfId="0" applyFont="true" applyBorder="true" applyAlignment="true" applyProtection="true">
      <alignment horizontal="general" vertical="bottom" textRotation="0" wrapText="false" indent="0" shrinkToFit="false"/>
      <protection locked="true" hidden="false"/>
    </xf>
    <xf numFmtId="173" fontId="88" fillId="13" borderId="46" xfId="0" applyFont="true" applyBorder="true" applyAlignment="true" applyProtection="true">
      <alignment horizontal="general" vertical="bottom" textRotation="0" wrapText="false" indent="0" shrinkToFit="false"/>
      <protection locked="true" hidden="false"/>
    </xf>
    <xf numFmtId="173" fontId="88" fillId="13" borderId="45" xfId="0" applyFont="true" applyBorder="true" applyAlignment="true" applyProtection="true">
      <alignment horizontal="general" vertical="bottom" textRotation="0" wrapText="false" indent="0" shrinkToFit="false"/>
      <protection locked="true" hidden="false"/>
    </xf>
    <xf numFmtId="173" fontId="88" fillId="13" borderId="47" xfId="0" applyFont="true" applyBorder="true" applyAlignment="true" applyProtection="true">
      <alignment horizontal="general" vertical="bottom" textRotation="0" wrapText="false" indent="0" shrinkToFit="false"/>
      <protection locked="true" hidden="false"/>
    </xf>
    <xf numFmtId="173" fontId="88" fillId="13" borderId="14" xfId="0" applyFont="true" applyBorder="true" applyAlignment="true" applyProtection="true">
      <alignment horizontal="general" vertical="bottom" textRotation="0" wrapText="false" indent="0" shrinkToFit="false"/>
      <protection locked="true" hidden="false"/>
    </xf>
    <xf numFmtId="173" fontId="88" fillId="0" borderId="76" xfId="0" applyFont="true" applyBorder="true" applyAlignment="true" applyProtection="true">
      <alignment horizontal="general" vertical="bottom" textRotation="0" wrapText="false" indent="0" shrinkToFit="false"/>
      <protection locked="true" hidden="false"/>
    </xf>
    <xf numFmtId="173" fontId="88" fillId="0" borderId="77" xfId="0" applyFont="true" applyBorder="true" applyAlignment="true" applyProtection="true">
      <alignment horizontal="general" vertical="bottom" textRotation="0" wrapText="false" indent="0" shrinkToFit="false"/>
      <protection locked="true" hidden="false"/>
    </xf>
    <xf numFmtId="173" fontId="88" fillId="0" borderId="76" xfId="0" applyFont="true" applyBorder="true" applyAlignment="true" applyProtection="true">
      <alignment horizontal="general" vertical="center" textRotation="0" wrapText="false" indent="0" shrinkToFit="false"/>
      <protection locked="true" hidden="false"/>
    </xf>
    <xf numFmtId="173" fontId="88" fillId="0" borderId="77" xfId="0" applyFont="true" applyBorder="true" applyAlignment="true" applyProtection="true">
      <alignment horizontal="general" vertical="center" textRotation="0" wrapText="false" indent="0" shrinkToFit="false"/>
      <protection locked="true" hidden="false"/>
    </xf>
    <xf numFmtId="173" fontId="88" fillId="0" borderId="68" xfId="0" applyFont="true" applyBorder="true" applyAlignment="true" applyProtection="true">
      <alignment horizontal="general" vertical="bottom" textRotation="0" wrapText="false" indent="0" shrinkToFit="false"/>
      <protection locked="true" hidden="false"/>
    </xf>
    <xf numFmtId="173" fontId="88" fillId="0" borderId="0" xfId="0" applyFont="true" applyBorder="true" applyAlignment="true" applyProtection="true">
      <alignment horizontal="general" vertical="bottom" textRotation="0" wrapText="false" indent="0" shrinkToFit="false"/>
      <protection locked="true" hidden="false"/>
    </xf>
    <xf numFmtId="173" fontId="88" fillId="0" borderId="68" xfId="0" applyFont="true" applyBorder="true" applyAlignment="true" applyProtection="true">
      <alignment horizontal="general" vertical="center" textRotation="0" wrapText="false" indent="0" shrinkToFit="false"/>
      <protection locked="true" hidden="false"/>
    </xf>
    <xf numFmtId="173" fontId="88" fillId="0" borderId="0" xfId="0" applyFont="true" applyBorder="true" applyAlignment="true" applyProtection="true">
      <alignment horizontal="general" vertical="center" textRotation="0" wrapText="false" indent="0" shrinkToFit="false"/>
      <protection locked="true" hidden="false"/>
    </xf>
    <xf numFmtId="173" fontId="88" fillId="0" borderId="33" xfId="0" applyFont="true" applyBorder="true" applyAlignment="true" applyProtection="true">
      <alignment horizontal="general" vertical="bottom" textRotation="0" wrapText="false" indent="0" shrinkToFit="false"/>
      <protection locked="true" hidden="false"/>
    </xf>
    <xf numFmtId="173" fontId="88" fillId="0" borderId="36" xfId="0" applyFont="true" applyBorder="true" applyAlignment="true" applyProtection="true">
      <alignment horizontal="general" vertical="bottom" textRotation="0" wrapText="false" indent="0" shrinkToFit="false"/>
      <protection locked="true" hidden="false"/>
    </xf>
    <xf numFmtId="173" fontId="88" fillId="0" borderId="46" xfId="0" applyFont="true" applyBorder="true" applyAlignment="true" applyProtection="true">
      <alignment horizontal="general" vertical="bottom" textRotation="0" wrapText="false" indent="0" shrinkToFit="false"/>
      <protection locked="true" hidden="false"/>
    </xf>
    <xf numFmtId="173" fontId="88" fillId="0" borderId="47" xfId="0" applyFont="true" applyBorder="true" applyAlignment="true" applyProtection="true">
      <alignment horizontal="general" vertical="bottom" textRotation="0" wrapText="false" indent="0" shrinkToFit="false"/>
      <protection locked="true" hidden="false"/>
    </xf>
    <xf numFmtId="173" fontId="88" fillId="0" borderId="60" xfId="0" applyFont="true" applyBorder="true" applyAlignment="true" applyProtection="true">
      <alignment horizontal="general" vertical="bottom" textRotation="0" wrapText="false" indent="0" shrinkToFit="false"/>
      <protection locked="true" hidden="false"/>
    </xf>
    <xf numFmtId="173" fontId="88" fillId="13" borderId="8" xfId="0" applyFont="true" applyBorder="true" applyAlignment="true" applyProtection="true">
      <alignment horizontal="general" vertical="bottom" textRotation="0" wrapText="false" indent="0" shrinkToFit="false"/>
      <protection locked="true" hidden="false"/>
    </xf>
    <xf numFmtId="173" fontId="88" fillId="13" borderId="5" xfId="0" applyFont="true" applyBorder="true" applyAlignment="true" applyProtection="true">
      <alignment horizontal="general" vertical="bottom" textRotation="0" wrapText="false" indent="0" shrinkToFit="false"/>
      <protection locked="true" hidden="false"/>
    </xf>
    <xf numFmtId="173" fontId="49" fillId="0" borderId="89" xfId="0" applyFont="true" applyBorder="true" applyAlignment="true" applyProtection="true">
      <alignment horizontal="general" vertical="bottom" textRotation="0" wrapText="false" indent="0" shrinkToFit="false"/>
      <protection locked="true" hidden="false"/>
    </xf>
    <xf numFmtId="173" fontId="49" fillId="15" borderId="4" xfId="0" applyFont="true" applyBorder="true" applyAlignment="true" applyProtection="true">
      <alignment horizontal="general" vertical="bottom" textRotation="0" wrapText="false" indent="0" shrinkToFit="false"/>
      <protection locked="true" hidden="false"/>
    </xf>
    <xf numFmtId="173" fontId="49" fillId="0" borderId="72" xfId="0" applyFont="true" applyBorder="true" applyAlignment="true" applyProtection="true">
      <alignment horizontal="general" vertical="bottom" textRotation="0" wrapText="false" indent="0" shrinkToFit="false"/>
      <protection locked="true" hidden="false"/>
    </xf>
    <xf numFmtId="173" fontId="49" fillId="0" borderId="63" xfId="0" applyFont="true" applyBorder="true" applyAlignment="true" applyProtection="true">
      <alignment horizontal="general" vertical="bottom" textRotation="0" wrapText="false" indent="0" shrinkToFit="false"/>
      <protection locked="true" hidden="false"/>
    </xf>
    <xf numFmtId="164" fontId="66" fillId="13" borderId="48" xfId="0" applyFont="tru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center" textRotation="0" wrapText="false" indent="0" shrinkToFit="false"/>
      <protection locked="true" hidden="false"/>
    </xf>
    <xf numFmtId="173" fontId="89" fillId="0" borderId="3" xfId="0" applyFont="true" applyBorder="true" applyAlignment="true" applyProtection="true">
      <alignment horizontal="right" vertical="center" textRotation="0" wrapText="false" indent="1" shrinkToFit="false"/>
      <protection locked="true" hidden="false"/>
    </xf>
    <xf numFmtId="173" fontId="89" fillId="0" borderId="3" xfId="0" applyFont="true" applyBorder="true" applyAlignment="true" applyProtection="true">
      <alignment horizontal="left" vertical="center" textRotation="0" wrapText="false" indent="1" shrinkToFit="false"/>
      <protection locked="true" hidden="false"/>
    </xf>
    <xf numFmtId="173" fontId="89" fillId="0" borderId="3" xfId="0" applyFont="true" applyBorder="true" applyAlignment="true" applyProtection="true">
      <alignment horizontal="center" vertical="center" textRotation="0" wrapText="false" indent="0" shrinkToFit="false"/>
      <protection locked="true" hidden="false"/>
    </xf>
    <xf numFmtId="164" fontId="66" fillId="0" borderId="48" xfId="0" applyFont="true" applyBorder="true" applyAlignment="true" applyProtection="true">
      <alignment horizontal="general" vertical="bottom" textRotation="0" wrapText="false" indent="0" shrinkToFit="false"/>
      <protection locked="true" hidden="false"/>
    </xf>
    <xf numFmtId="164" fontId="66" fillId="0" borderId="9" xfId="0" applyFont="true" applyBorder="true" applyAlignment="true" applyProtection="true">
      <alignment horizontal="general" vertical="bottom" textRotation="0" wrapText="false" indent="0" shrinkToFit="false"/>
      <protection locked="true" hidden="false"/>
    </xf>
    <xf numFmtId="173" fontId="49" fillId="0" borderId="62" xfId="0" applyFont="true" applyBorder="true" applyAlignment="true" applyProtection="true">
      <alignment horizontal="general" vertical="center" textRotation="0" wrapText="false" indent="0" shrinkToFit="false"/>
      <protection locked="true" hidden="false"/>
    </xf>
    <xf numFmtId="173" fontId="49" fillId="0" borderId="3" xfId="0" applyFont="true" applyBorder="true" applyAlignment="true" applyProtection="true">
      <alignment horizontal="general"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73" fontId="49" fillId="0" borderId="35" xfId="0" applyFont="true" applyBorder="true" applyAlignment="true" applyProtection="true">
      <alignment horizontal="general" vertical="bottom" textRotation="0" wrapText="false" indent="0" shrinkToFit="false"/>
      <protection locked="true" hidden="false"/>
    </xf>
    <xf numFmtId="173" fontId="49" fillId="13" borderId="43" xfId="0" applyFont="true" applyBorder="true" applyAlignment="true" applyProtection="true">
      <alignment horizontal="general" vertical="bottom" textRotation="0" wrapText="false" indent="0" shrinkToFit="false"/>
      <protection locked="true" hidden="false"/>
    </xf>
    <xf numFmtId="173" fontId="49" fillId="14" borderId="19" xfId="0" applyFont="true" applyBorder="true" applyAlignment="true" applyProtection="true">
      <alignment horizontal="general" vertical="center" textRotation="0" wrapText="false" indent="0" shrinkToFit="false"/>
      <protection locked="true" hidden="false"/>
    </xf>
    <xf numFmtId="173" fontId="90" fillId="11" borderId="27" xfId="0" applyFont="true" applyBorder="true" applyAlignment="true" applyProtection="true">
      <alignment horizontal="left" vertical="center" textRotation="0" wrapText="false" indent="0" shrinkToFit="tru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5" fontId="40" fillId="0" borderId="0" xfId="21" applyFont="true" applyBorder="tru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left" vertical="bottom" textRotation="0" wrapText="false" indent="0" shrinkToFit="false"/>
      <protection locked="true" hidden="false"/>
    </xf>
    <xf numFmtId="173" fontId="64" fillId="0" borderId="0" xfId="0" applyFont="true" applyBorder="false" applyAlignment="true" applyProtection="true">
      <alignment horizontal="general" vertical="bottom" textRotation="0" wrapText="false" indent="0" shrinkToFit="false"/>
      <protection locked="true" hidden="false"/>
    </xf>
    <xf numFmtId="165" fontId="45" fillId="0" borderId="0" xfId="21" applyFont="true" applyBorder="true" applyAlignment="true" applyProtection="true">
      <alignment horizontal="general" vertical="bottom" textRotation="0" wrapText="false" indent="0" shrinkToFit="false"/>
      <protection locked="true" hidden="false"/>
    </xf>
    <xf numFmtId="164" fontId="91" fillId="0" borderId="0" xfId="0" applyFont="true" applyBorder="false" applyAlignment="true" applyProtection="true">
      <alignment horizontal="general" vertical="center" textRotation="0" wrapText="false" indent="0" shrinkToFit="false"/>
      <protection locked="true" hidden="false"/>
    </xf>
    <xf numFmtId="165" fontId="46" fillId="0" borderId="0" xfId="20" applyFont="true" applyBorder="true" applyAlignment="true" applyProtection="true">
      <alignment horizontal="right" vertical="bottom" textRotation="0" wrapText="false" indent="0" shrinkToFit="false"/>
      <protection locked="true" hidden="false"/>
    </xf>
    <xf numFmtId="164" fontId="91"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true" applyAlignment="true" applyProtection="true">
      <alignment horizontal="general" vertical="bottom" textRotation="0" wrapText="false" indent="0" shrinkToFit="false"/>
      <protection locked="true" hidden="false"/>
    </xf>
    <xf numFmtId="165" fontId="48" fillId="0" borderId="0" xfId="20" applyFont="true" applyBorder="true" applyAlignment="true" applyProtection="true">
      <alignment horizontal="right" vertical="bottom" textRotation="0" wrapText="false" indent="0" shrinkToFit="false"/>
      <protection locked="true" hidden="false"/>
    </xf>
    <xf numFmtId="164" fontId="46" fillId="0" borderId="8" xfId="0" applyFont="true" applyBorder="true" applyAlignment="true" applyProtection="true">
      <alignment horizontal="center" vertical="center" textRotation="0" wrapText="false" indent="0" shrinkToFit="false"/>
      <protection locked="true" hidden="false"/>
    </xf>
    <xf numFmtId="165" fontId="46" fillId="0" borderId="7" xfId="21" applyFont="true" applyBorder="true" applyAlignment="true" applyProtection="true">
      <alignment horizontal="center" vertical="center" textRotation="0" wrapText="true" indent="0" shrinkToFit="false"/>
      <protection locked="true" hidden="false"/>
    </xf>
    <xf numFmtId="165" fontId="46" fillId="0" borderId="7" xfId="21" applyFont="true" applyBorder="true" applyAlignment="true" applyProtection="true">
      <alignment horizontal="center" vertical="center" textRotation="0" wrapText="false" indent="0" shrinkToFit="false"/>
      <protection locked="true" hidden="false"/>
    </xf>
    <xf numFmtId="165" fontId="46" fillId="0" borderId="82" xfId="21" applyFont="true" applyBorder="true" applyAlignment="true" applyProtection="true">
      <alignment horizontal="center" vertical="center" textRotation="0" wrapText="true" indent="0" shrinkToFit="false"/>
      <protection locked="true" hidden="false"/>
    </xf>
    <xf numFmtId="165" fontId="46" fillId="0" borderId="90" xfId="21" applyFont="true" applyBorder="true" applyAlignment="true" applyProtection="true">
      <alignment horizontal="center" vertical="center" textRotation="0" wrapText="false" indent="0" shrinkToFit="true"/>
      <protection locked="true" hidden="false"/>
    </xf>
    <xf numFmtId="165" fontId="46" fillId="14" borderId="5" xfId="21" applyFont="true" applyBorder="true" applyAlignment="true" applyProtection="true">
      <alignment horizontal="center" vertical="center" textRotation="0" wrapText="false" indent="0" shrinkToFit="false"/>
      <protection locked="true" hidden="false"/>
    </xf>
    <xf numFmtId="165" fontId="40" fillId="0" borderId="0" xfId="21" applyFont="true" applyBorder="true" applyAlignment="true" applyProtection="true">
      <alignment horizontal="center" vertical="center" textRotation="0" wrapText="false" indent="0" shrinkToFit="false"/>
      <protection locked="true" hidden="false"/>
    </xf>
    <xf numFmtId="164" fontId="46" fillId="18" borderId="82" xfId="0" applyFont="true" applyBorder="true" applyAlignment="true" applyProtection="true">
      <alignment horizontal="center" vertical="center" textRotation="0" wrapText="true" indent="0" shrinkToFit="false"/>
      <protection locked="true" hidden="false"/>
    </xf>
    <xf numFmtId="164" fontId="67" fillId="0" borderId="91" xfId="0" applyFont="true" applyBorder="true" applyAlignment="true" applyProtection="true">
      <alignment horizontal="center" vertical="center" textRotation="0" wrapText="false" indent="0" shrinkToFit="false"/>
      <protection locked="true" hidden="false"/>
    </xf>
    <xf numFmtId="164" fontId="67" fillId="0" borderId="92" xfId="0" applyFont="true" applyBorder="true" applyAlignment="true" applyProtection="true">
      <alignment horizontal="center" vertical="center" textRotation="0" wrapText="false" indent="0" shrinkToFit="false"/>
      <protection locked="true" hidden="false"/>
    </xf>
    <xf numFmtId="164" fontId="67" fillId="0" borderId="93" xfId="0" applyFont="true" applyBorder="true" applyAlignment="true" applyProtection="true">
      <alignment horizontal="center" vertical="center" textRotation="0" wrapText="false" indent="0" shrinkToFit="false"/>
      <protection locked="true" hidden="false"/>
    </xf>
    <xf numFmtId="164" fontId="67" fillId="0" borderId="94" xfId="0" applyFont="true" applyBorder="true" applyAlignment="true" applyProtection="true">
      <alignment horizontal="center" vertical="center" textRotation="0" wrapText="false" indent="0" shrinkToFit="false"/>
      <protection locked="true" hidden="false"/>
    </xf>
    <xf numFmtId="164" fontId="67" fillId="0" borderId="95" xfId="0" applyFont="true" applyBorder="true" applyAlignment="true" applyProtection="true">
      <alignment horizontal="center" vertical="center" textRotation="0" wrapText="false" indent="0" shrinkToFit="false"/>
      <protection locked="true" hidden="false"/>
    </xf>
    <xf numFmtId="165" fontId="67" fillId="0" borderId="95" xfId="21" applyFont="true" applyBorder="true" applyAlignment="true" applyProtection="true">
      <alignment horizontal="center" vertical="center" textRotation="0" wrapText="false" indent="0" shrinkToFit="true"/>
      <protection locked="true" hidden="false"/>
    </xf>
    <xf numFmtId="165" fontId="67" fillId="0" borderId="96" xfId="21" applyFont="true" applyBorder="true" applyAlignment="true" applyProtection="true">
      <alignment horizontal="center" vertical="center" textRotation="0" wrapText="false" indent="0" shrinkToFit="true"/>
      <protection locked="true" hidden="false"/>
    </xf>
    <xf numFmtId="164" fontId="46" fillId="14" borderId="19" xfId="0" applyFont="true" applyBorder="true" applyAlignment="true" applyProtection="true">
      <alignment horizontal="general" vertical="bottom" textRotation="0" wrapText="false" indent="0" shrinkToFit="false"/>
      <protection locked="true" hidden="false"/>
    </xf>
    <xf numFmtId="165" fontId="40" fillId="14" borderId="31" xfId="20" applyFont="true" applyBorder="true" applyAlignment="true" applyProtection="true">
      <alignment horizontal="general" vertical="bottom" textRotation="0" wrapText="false" indent="0" shrinkToFit="true"/>
      <protection locked="true" hidden="false"/>
    </xf>
    <xf numFmtId="165" fontId="40" fillId="14" borderId="22" xfId="21" applyFont="true" applyBorder="true" applyAlignment="true" applyProtection="true">
      <alignment horizontal="general" vertical="bottom" textRotation="0" wrapText="false" indent="0" shrinkToFit="true"/>
      <protection locked="true" hidden="false"/>
    </xf>
    <xf numFmtId="165" fontId="40" fillId="14" borderId="97" xfId="21" applyFont="true" applyBorder="true" applyAlignment="true" applyProtection="true">
      <alignment horizontal="general" vertical="bottom" textRotation="0" wrapText="false" indent="0" shrinkToFit="true"/>
      <protection locked="true" hidden="false"/>
    </xf>
    <xf numFmtId="165" fontId="49" fillId="14" borderId="17" xfId="21" applyFont="true" applyBorder="true" applyAlignment="true" applyProtection="true">
      <alignment horizontal="general" vertical="bottom" textRotation="0" wrapText="false" indent="0" shrinkToFit="true"/>
      <protection locked="true" hidden="false"/>
    </xf>
    <xf numFmtId="165" fontId="49" fillId="0" borderId="0" xfId="21" applyFont="true" applyBorder="true" applyAlignment="true" applyProtection="true">
      <alignment horizontal="general" vertical="bottom" textRotation="0" wrapText="false" indent="0" shrinkToFit="false"/>
      <protection locked="true" hidden="false"/>
    </xf>
    <xf numFmtId="164" fontId="46" fillId="0" borderId="11" xfId="0" applyFont="true" applyBorder="true" applyAlignment="true" applyProtection="true">
      <alignment horizontal="general" vertical="bottom" textRotation="0" wrapText="false" indent="0" shrinkToFit="true"/>
      <protection locked="true" hidden="false"/>
    </xf>
    <xf numFmtId="173" fontId="56" fillId="18" borderId="98" xfId="0" applyFont="true" applyBorder="true" applyAlignment="true" applyProtection="true">
      <alignment horizontal="general" vertical="bottom" textRotation="0" wrapText="false" indent="0" shrinkToFit="true"/>
      <protection locked="true" hidden="false"/>
    </xf>
    <xf numFmtId="165" fontId="67" fillId="0" borderId="99" xfId="21" applyFont="true" applyBorder="true" applyAlignment="true" applyProtection="true">
      <alignment horizontal="general" vertical="bottom" textRotation="0" wrapText="false" indent="0" shrinkToFit="true"/>
      <protection locked="true" hidden="false"/>
    </xf>
    <xf numFmtId="165" fontId="67" fillId="0" borderId="100" xfId="21" applyFont="true" applyBorder="true" applyAlignment="true" applyProtection="true">
      <alignment horizontal="general" vertical="bottom" textRotation="0" wrapText="false" indent="0" shrinkToFit="true"/>
      <protection locked="true" hidden="false"/>
    </xf>
    <xf numFmtId="165" fontId="67" fillId="0" borderId="101" xfId="21" applyFont="true" applyBorder="true" applyAlignment="true" applyProtection="true">
      <alignment horizontal="general" vertical="bottom" textRotation="0" wrapText="false" indent="0" shrinkToFit="true"/>
      <protection locked="true" hidden="false"/>
    </xf>
    <xf numFmtId="165" fontId="67" fillId="0" borderId="102" xfId="21" applyFont="true" applyBorder="true" applyAlignment="true" applyProtection="true">
      <alignment horizontal="general" vertical="bottom" textRotation="0" wrapText="false" indent="0" shrinkToFit="true"/>
      <protection locked="true" hidden="false"/>
    </xf>
    <xf numFmtId="165" fontId="67" fillId="0" borderId="103" xfId="21" applyFont="true" applyBorder="true" applyAlignment="true" applyProtection="true">
      <alignment horizontal="general" vertical="bottom" textRotation="0" wrapText="false" indent="0" shrinkToFit="true"/>
      <protection locked="true" hidden="false"/>
    </xf>
    <xf numFmtId="165" fontId="67" fillId="0" borderId="104" xfId="21" applyFont="true" applyBorder="true" applyAlignment="true" applyProtection="true">
      <alignment horizontal="general" vertical="bottom" textRotation="0" wrapText="false" indent="0" shrinkToFit="true"/>
      <protection locked="true" hidden="false"/>
    </xf>
    <xf numFmtId="164" fontId="46" fillId="0" borderId="23" xfId="0" applyFont="true" applyBorder="true" applyAlignment="true" applyProtection="true">
      <alignment horizontal="general" vertical="bottom" textRotation="0" wrapText="false" indent="0" shrinkToFit="false"/>
      <protection locked="true" hidden="false"/>
    </xf>
    <xf numFmtId="165" fontId="52" fillId="0" borderId="30" xfId="21" applyFont="true" applyBorder="true" applyAlignment="true" applyProtection="true">
      <alignment horizontal="general" vertical="bottom" textRotation="0" wrapText="false" indent="0" shrinkToFit="true"/>
      <protection locked="true" hidden="false"/>
    </xf>
    <xf numFmtId="165" fontId="52" fillId="0" borderId="31" xfId="21" applyFont="true" applyBorder="true" applyAlignment="true" applyProtection="true">
      <alignment horizontal="general" vertical="bottom" textRotation="0" wrapText="false" indent="0" shrinkToFit="true"/>
      <protection locked="true" hidden="false"/>
    </xf>
    <xf numFmtId="165" fontId="52" fillId="0" borderId="29" xfId="21" applyFont="true" applyBorder="true" applyAlignment="true" applyProtection="true">
      <alignment horizontal="general" vertical="bottom" textRotation="0" wrapText="false" indent="0" shrinkToFit="true"/>
      <protection locked="true" hidden="false"/>
    </xf>
    <xf numFmtId="165" fontId="52" fillId="0" borderId="97" xfId="21" applyFont="true" applyBorder="true" applyAlignment="true" applyProtection="true">
      <alignment horizontal="general" vertical="bottom" textRotation="0" wrapText="false" indent="0" shrinkToFit="true"/>
      <protection locked="true" hidden="false"/>
    </xf>
    <xf numFmtId="164" fontId="46" fillId="0" borderId="23" xfId="0" applyFont="true" applyBorder="true" applyAlignment="true" applyProtection="true">
      <alignment horizontal="general" vertical="bottom" textRotation="0" wrapText="false" indent="0" shrinkToFit="true"/>
      <protection locked="true" hidden="false"/>
    </xf>
    <xf numFmtId="173" fontId="56" fillId="18" borderId="29" xfId="0" applyFont="true" applyBorder="true" applyAlignment="true" applyProtection="true">
      <alignment horizontal="general" vertical="bottom" textRotation="0" wrapText="false" indent="0" shrinkToFit="true"/>
      <protection locked="true" hidden="false"/>
    </xf>
    <xf numFmtId="165" fontId="67" fillId="0" borderId="105" xfId="21" applyFont="true" applyBorder="true" applyAlignment="true" applyProtection="true">
      <alignment horizontal="general" vertical="bottom" textRotation="0" wrapText="false" indent="0" shrinkToFit="true"/>
      <protection locked="true" hidden="false"/>
    </xf>
    <xf numFmtId="165" fontId="67" fillId="0" borderId="106" xfId="21" applyFont="true" applyBorder="true" applyAlignment="true" applyProtection="true">
      <alignment horizontal="general" vertical="bottom" textRotation="0" wrapText="false" indent="0" shrinkToFit="true"/>
      <protection locked="true" hidden="false"/>
    </xf>
    <xf numFmtId="165" fontId="67" fillId="0" borderId="107" xfId="21" applyFont="true" applyBorder="true" applyAlignment="true" applyProtection="true">
      <alignment horizontal="general" vertical="bottom" textRotation="0" wrapText="false" indent="0" shrinkToFit="true"/>
      <protection locked="true" hidden="false"/>
    </xf>
    <xf numFmtId="165" fontId="67" fillId="0" borderId="108" xfId="21" applyFont="true" applyBorder="true" applyAlignment="true" applyProtection="true">
      <alignment horizontal="general" vertical="bottom" textRotation="0" wrapText="false" indent="0" shrinkToFit="true"/>
      <protection locked="true" hidden="false"/>
    </xf>
    <xf numFmtId="165" fontId="67" fillId="0" borderId="109" xfId="21" applyFont="true" applyBorder="true" applyAlignment="true" applyProtection="true">
      <alignment horizontal="general" vertical="bottom" textRotation="0" wrapText="false" indent="0" shrinkToFit="true"/>
      <protection locked="true" hidden="false"/>
    </xf>
    <xf numFmtId="165" fontId="67" fillId="0" borderId="110" xfId="21" applyFont="true" applyBorder="true" applyAlignment="true" applyProtection="true">
      <alignment horizontal="general" vertical="bottom" textRotation="0" wrapText="false" indent="0" shrinkToFit="true"/>
      <protection locked="true" hidden="false"/>
    </xf>
    <xf numFmtId="165" fontId="40" fillId="0" borderId="30" xfId="21" applyFont="true" applyBorder="true" applyAlignment="true" applyProtection="true">
      <alignment horizontal="general" vertical="bottom" textRotation="0" wrapText="false" indent="0" shrinkToFit="true"/>
      <protection locked="true" hidden="false"/>
    </xf>
    <xf numFmtId="165" fontId="40" fillId="0" borderId="31" xfId="21" applyFont="true" applyBorder="true" applyAlignment="true" applyProtection="true">
      <alignment horizontal="general" vertical="bottom" textRotation="0" wrapText="false" indent="0" shrinkToFit="true"/>
      <protection locked="true" hidden="false"/>
    </xf>
    <xf numFmtId="165" fontId="40" fillId="0" borderId="29" xfId="21" applyFont="true" applyBorder="true" applyAlignment="true" applyProtection="true">
      <alignment horizontal="general" vertical="bottom" textRotation="0" wrapText="false" indent="0" shrinkToFit="true"/>
      <protection locked="true" hidden="false"/>
    </xf>
    <xf numFmtId="165" fontId="40" fillId="0" borderId="97" xfId="21" applyFont="true" applyBorder="true" applyAlignment="true" applyProtection="true">
      <alignment horizontal="general" vertical="bottom" textRotation="0" wrapText="false" indent="0" shrinkToFit="true"/>
      <protection locked="true" hidden="false"/>
    </xf>
    <xf numFmtId="173" fontId="56" fillId="18" borderId="30" xfId="0" applyFont="true" applyBorder="true" applyAlignment="true" applyProtection="true">
      <alignment horizontal="general" vertical="bottom" textRotation="0" wrapText="false" indent="0" shrinkToFit="true"/>
      <protection locked="true" hidden="false"/>
    </xf>
    <xf numFmtId="165" fontId="67" fillId="0" borderId="111" xfId="21" applyFont="true" applyBorder="true" applyAlignment="true" applyProtection="true">
      <alignment horizontal="general" vertical="bottom" textRotation="0" wrapText="false" indent="0" shrinkToFit="true"/>
      <protection locked="true" hidden="false"/>
    </xf>
    <xf numFmtId="165" fontId="67" fillId="0" borderId="112" xfId="21" applyFont="true" applyBorder="true" applyAlignment="true" applyProtection="true">
      <alignment horizontal="general" vertical="bottom" textRotation="0" wrapText="false" indent="0" shrinkToFit="true"/>
      <protection locked="true" hidden="false"/>
    </xf>
    <xf numFmtId="165" fontId="67" fillId="0" borderId="113" xfId="21" applyFont="true" applyBorder="true" applyAlignment="true" applyProtection="true">
      <alignment horizontal="general" vertical="bottom" textRotation="0" wrapText="false" indent="0" shrinkToFit="true"/>
      <protection locked="true" hidden="false"/>
    </xf>
    <xf numFmtId="165" fontId="40" fillId="14" borderId="30" xfId="21" applyFont="true" applyBorder="true" applyAlignment="true" applyProtection="true">
      <alignment horizontal="general" vertical="bottom" textRotation="0" wrapText="false" indent="0" shrinkToFit="true"/>
      <protection locked="true" hidden="false"/>
    </xf>
    <xf numFmtId="165" fontId="40" fillId="14" borderId="29" xfId="21" applyFont="true" applyBorder="true" applyAlignment="true" applyProtection="true">
      <alignment horizontal="general" vertical="bottom" textRotation="0" wrapText="false" indent="0" shrinkToFit="true"/>
      <protection locked="true" hidden="false"/>
    </xf>
    <xf numFmtId="165" fontId="40" fillId="0" borderId="30" xfId="21" applyFont="true" applyBorder="true" applyAlignment="true" applyProtection="true">
      <alignment horizontal="general" vertical="bottom" textRotation="0" wrapText="false" indent="0" shrinkToFit="false"/>
      <protection locked="true" hidden="false"/>
    </xf>
    <xf numFmtId="165" fontId="67" fillId="0" borderId="105" xfId="20" applyFont="true" applyBorder="true" applyAlignment="true" applyProtection="true">
      <alignment horizontal="general" vertical="bottom" textRotation="0" wrapText="false" indent="0" shrinkToFit="true"/>
      <protection locked="true" hidden="false"/>
    </xf>
    <xf numFmtId="165" fontId="67" fillId="0" borderId="114" xfId="21" applyFont="true" applyBorder="true" applyAlignment="true" applyProtection="true">
      <alignment horizontal="general" vertical="bottom" textRotation="0" wrapText="false" indent="0" shrinkToFit="true"/>
      <protection locked="true" hidden="false"/>
    </xf>
    <xf numFmtId="165" fontId="67" fillId="0" borderId="107" xfId="20" applyFont="true" applyBorder="true" applyAlignment="true" applyProtection="true">
      <alignment horizontal="general" vertical="bottom" textRotation="0" wrapText="false" indent="0" shrinkToFit="true"/>
      <protection locked="true" hidden="false"/>
    </xf>
    <xf numFmtId="165" fontId="67" fillId="0" borderId="106" xfId="20" applyFont="true" applyBorder="true" applyAlignment="true" applyProtection="true">
      <alignment horizontal="general" vertical="bottom" textRotation="0" wrapText="false" indent="0" shrinkToFit="true"/>
      <protection locked="true" hidden="false"/>
    </xf>
    <xf numFmtId="164" fontId="46" fillId="14" borderId="69" xfId="0" applyFont="true" applyBorder="true" applyAlignment="true" applyProtection="true">
      <alignment horizontal="general" vertical="bottom" textRotation="0" wrapText="false" indent="0" shrinkToFit="false"/>
      <protection locked="true" hidden="false"/>
    </xf>
    <xf numFmtId="165" fontId="52" fillId="0" borderId="37" xfId="21" applyFont="true" applyBorder="true" applyAlignment="true" applyProtection="true">
      <alignment horizontal="general" vertical="bottom" textRotation="0" wrapText="false" indent="0" shrinkToFit="true"/>
      <protection locked="true" hidden="false"/>
    </xf>
    <xf numFmtId="165" fontId="52" fillId="0" borderId="115" xfId="21" applyFont="true" applyBorder="true" applyAlignment="true" applyProtection="true">
      <alignment horizontal="general" vertical="bottom" textRotation="0" wrapText="false" indent="0" shrinkToFit="true"/>
      <protection locked="true" hidden="false"/>
    </xf>
    <xf numFmtId="165" fontId="52" fillId="0" borderId="116" xfId="21" applyFont="true" applyBorder="true" applyAlignment="true" applyProtection="true">
      <alignment horizontal="general" vertical="bottom" textRotation="0" wrapText="false" indent="0" shrinkToFit="true"/>
      <protection locked="true" hidden="false"/>
    </xf>
    <xf numFmtId="165" fontId="49" fillId="14" borderId="81" xfId="21" applyFont="true" applyBorder="true" applyAlignment="true" applyProtection="true">
      <alignment horizontal="general" vertical="bottom" textRotation="0" wrapText="false" indent="0" shrinkToFit="true"/>
      <protection locked="true" hidden="false"/>
    </xf>
    <xf numFmtId="164" fontId="46" fillId="0" borderId="69" xfId="0" applyFont="true" applyBorder="true" applyAlignment="true" applyProtection="true">
      <alignment horizontal="general" vertical="bottom" textRotation="0" wrapText="false" indent="0" shrinkToFit="true"/>
      <protection locked="true" hidden="false"/>
    </xf>
    <xf numFmtId="173" fontId="56" fillId="18" borderId="115" xfId="0" applyFont="true" applyBorder="true" applyAlignment="true" applyProtection="true">
      <alignment horizontal="general" vertical="bottom" textRotation="0" wrapText="false" indent="0" shrinkToFit="true"/>
      <protection locked="true" hidden="false"/>
    </xf>
    <xf numFmtId="165" fontId="67" fillId="0" borderId="117" xfId="21" applyFont="true" applyBorder="true" applyAlignment="true" applyProtection="true">
      <alignment horizontal="general" vertical="bottom" textRotation="0" wrapText="false" indent="0" shrinkToFit="true"/>
      <protection locked="true" hidden="false"/>
    </xf>
    <xf numFmtId="165" fontId="67" fillId="0" borderId="118" xfId="21" applyFont="true" applyBorder="true" applyAlignment="true" applyProtection="true">
      <alignment horizontal="general" vertical="bottom" textRotation="0" wrapText="false" indent="0" shrinkToFit="true"/>
      <protection locked="true" hidden="false"/>
    </xf>
    <xf numFmtId="165" fontId="67" fillId="0" borderId="119" xfId="21" applyFont="true" applyBorder="true" applyAlignment="true" applyProtection="true">
      <alignment horizontal="general" vertical="bottom" textRotation="0" wrapText="false" indent="0" shrinkToFit="true"/>
      <protection locked="true" hidden="false"/>
    </xf>
    <xf numFmtId="165" fontId="67" fillId="0" borderId="120" xfId="21" applyFont="true" applyBorder="true" applyAlignment="true" applyProtection="true">
      <alignment horizontal="general" vertical="bottom" textRotation="0" wrapText="false" indent="0" shrinkToFit="true"/>
      <protection locked="true" hidden="false"/>
    </xf>
    <xf numFmtId="165" fontId="67" fillId="0" borderId="121" xfId="21" applyFont="true" applyBorder="true" applyAlignment="true" applyProtection="true">
      <alignment horizontal="general" vertical="bottom" textRotation="0" wrapText="false" indent="0" shrinkToFit="true"/>
      <protection locked="true" hidden="false"/>
    </xf>
    <xf numFmtId="165" fontId="67" fillId="0" borderId="122" xfId="21" applyFont="true" applyBorder="true" applyAlignment="true" applyProtection="true">
      <alignment horizontal="general" vertical="bottom" textRotation="0" wrapText="false" indent="0" shrinkToFit="true"/>
      <protection locked="true" hidden="false"/>
    </xf>
    <xf numFmtId="164" fontId="46" fillId="14" borderId="59" xfId="0" applyFont="true" applyBorder="true" applyAlignment="true" applyProtection="true">
      <alignment horizontal="center" vertical="center" textRotation="0" wrapText="false" indent="0" shrinkToFit="false"/>
      <protection locked="true" hidden="false"/>
    </xf>
    <xf numFmtId="165" fontId="49" fillId="14" borderId="65" xfId="21" applyFont="true" applyBorder="true" applyAlignment="true" applyProtection="true">
      <alignment horizontal="general" vertical="bottom" textRotation="0" wrapText="false" indent="0" shrinkToFit="true"/>
      <protection locked="true" hidden="false"/>
    </xf>
    <xf numFmtId="165" fontId="49" fillId="14" borderId="61" xfId="21" applyFont="true" applyBorder="true" applyAlignment="true" applyProtection="true">
      <alignment horizontal="general" vertical="bottom" textRotation="0" wrapText="false" indent="0" shrinkToFit="true"/>
      <protection locked="true" hidden="false"/>
    </xf>
    <xf numFmtId="165" fontId="49" fillId="14" borderId="90" xfId="21" applyFont="true" applyBorder="true" applyAlignment="true" applyProtection="true">
      <alignment horizontal="general" vertical="bottom" textRotation="0" wrapText="false" indent="0" shrinkToFit="true"/>
      <protection locked="true" hidden="false"/>
    </xf>
    <xf numFmtId="165" fontId="49" fillId="14" borderId="5" xfId="21" applyFont="true" applyBorder="true" applyAlignment="true" applyProtection="true">
      <alignment horizontal="general" vertical="bottom" textRotation="0" wrapText="false" indent="0" shrinkToFit="true"/>
      <protection locked="true" hidden="false"/>
    </xf>
    <xf numFmtId="164" fontId="46" fillId="0" borderId="8" xfId="0" applyFont="true" applyBorder="true" applyAlignment="true" applyProtection="true">
      <alignment horizontal="general" vertical="bottom" textRotation="0" wrapText="false" indent="0" shrinkToFit="true"/>
      <protection locked="true" hidden="false"/>
    </xf>
    <xf numFmtId="173" fontId="56" fillId="18" borderId="82" xfId="0" applyFont="true" applyBorder="true" applyAlignment="true" applyProtection="true">
      <alignment horizontal="general" vertical="bottom" textRotation="0" wrapText="false" indent="0" shrinkToFit="true"/>
      <protection locked="true" hidden="false"/>
    </xf>
    <xf numFmtId="165" fontId="92" fillId="0" borderId="91" xfId="21" applyFont="true" applyBorder="true" applyAlignment="true" applyProtection="true">
      <alignment horizontal="general" vertical="bottom" textRotation="0" wrapText="false" indent="0" shrinkToFit="true"/>
      <protection locked="true" hidden="false"/>
    </xf>
    <xf numFmtId="165" fontId="92" fillId="0" borderId="92" xfId="21" applyFont="true" applyBorder="true" applyAlignment="true" applyProtection="true">
      <alignment horizontal="general" vertical="bottom" textRotation="0" wrapText="false" indent="0" shrinkToFit="true"/>
      <protection locked="true" hidden="false"/>
    </xf>
    <xf numFmtId="165" fontId="92" fillId="0" borderId="93" xfId="21" applyFont="true" applyBorder="true" applyAlignment="true" applyProtection="true">
      <alignment horizontal="general" vertical="bottom" textRotation="0" wrapText="false" indent="0" shrinkToFit="true"/>
      <protection locked="true" hidden="false"/>
    </xf>
    <xf numFmtId="165" fontId="67" fillId="0" borderId="94" xfId="21" applyFont="true" applyBorder="true" applyAlignment="true" applyProtection="true">
      <alignment horizontal="general" vertical="bottom" textRotation="0" wrapText="false" indent="0" shrinkToFit="true"/>
      <protection locked="true" hidden="false"/>
    </xf>
    <xf numFmtId="165" fontId="67" fillId="0" borderId="95" xfId="21" applyFont="true" applyBorder="true" applyAlignment="true" applyProtection="true">
      <alignment horizontal="general" vertical="bottom" textRotation="0" wrapText="false" indent="0" shrinkToFit="true"/>
      <protection locked="true" hidden="false"/>
    </xf>
    <xf numFmtId="165" fontId="67" fillId="0" borderId="96" xfId="21" applyFont="true" applyBorder="true" applyAlignment="true" applyProtection="true">
      <alignment horizontal="general" vertical="bottom" textRotation="0" wrapText="false" indent="0" shrinkToFit="true"/>
      <protection locked="true" hidden="false"/>
    </xf>
    <xf numFmtId="165" fontId="40"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left" vertical="bottom" textRotation="0" wrapText="false" indent="0" shrinkToFit="false"/>
      <protection locked="true" hidden="false"/>
    </xf>
    <xf numFmtId="164" fontId="57" fillId="0" borderId="3"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46" fillId="18" borderId="8" xfId="0" applyFont="true" applyBorder="true" applyAlignment="true" applyProtection="true">
      <alignment horizontal="center" vertical="center" textRotation="0" wrapText="false" indent="0" shrinkToFit="false"/>
      <protection locked="true" hidden="false"/>
    </xf>
    <xf numFmtId="165" fontId="46" fillId="18" borderId="7" xfId="21" applyFont="true" applyBorder="true" applyAlignment="true" applyProtection="true">
      <alignment horizontal="center" vertical="center" textRotation="0" wrapText="true" indent="0" shrinkToFit="false"/>
      <protection locked="true" hidden="false"/>
    </xf>
    <xf numFmtId="165" fontId="46" fillId="18" borderId="7" xfId="21" applyFont="true" applyBorder="true" applyAlignment="true" applyProtection="true">
      <alignment horizontal="center" vertical="center" textRotation="0" wrapText="false" indent="0" shrinkToFit="false"/>
      <protection locked="true" hidden="false"/>
    </xf>
    <xf numFmtId="165" fontId="46" fillId="18" borderId="63" xfId="21" applyFont="true" applyBorder="true" applyAlignment="true" applyProtection="true">
      <alignment horizontal="center" vertical="center" textRotation="0" wrapText="false" indent="0" shrinkToFit="true"/>
      <protection locked="true" hidden="false"/>
    </xf>
    <xf numFmtId="165" fontId="46" fillId="18" borderId="123" xfId="21" applyFont="true" applyBorder="true" applyAlignment="true" applyProtection="true">
      <alignment horizontal="center" vertical="center" textRotation="0" wrapText="false" indent="0" shrinkToFit="false"/>
      <protection locked="true" hidden="false"/>
    </xf>
    <xf numFmtId="164" fontId="46" fillId="18" borderId="19" xfId="0" applyFont="true" applyBorder="true" applyAlignment="true" applyProtection="true">
      <alignment horizontal="general" vertical="bottom" textRotation="0" wrapText="false" indent="0" shrinkToFit="false"/>
      <protection locked="true" hidden="false"/>
    </xf>
    <xf numFmtId="165" fontId="49" fillId="18" borderId="31" xfId="21" applyFont="true" applyBorder="true" applyAlignment="true" applyProtection="true">
      <alignment horizontal="general" vertical="bottom" textRotation="0" wrapText="false" indent="0" shrinkToFit="true"/>
      <protection locked="true" hidden="false"/>
    </xf>
    <xf numFmtId="165" fontId="49" fillId="18" borderId="22" xfId="21" applyFont="true" applyBorder="true" applyAlignment="true" applyProtection="true">
      <alignment horizontal="general" vertical="bottom" textRotation="0" wrapText="false" indent="0" shrinkToFit="true"/>
      <protection locked="true" hidden="false"/>
    </xf>
    <xf numFmtId="165" fontId="49" fillId="18" borderId="124" xfId="21" applyFont="true" applyBorder="true" applyAlignment="true" applyProtection="true">
      <alignment horizontal="general" vertical="bottom" textRotation="0" wrapText="false" indent="0" shrinkToFit="true"/>
      <protection locked="true" hidden="false"/>
    </xf>
    <xf numFmtId="165" fontId="67" fillId="0" borderId="125" xfId="21" applyFont="true" applyBorder="true" applyAlignment="true" applyProtection="true">
      <alignment horizontal="general" vertical="bottom" textRotation="0" wrapText="false" indent="0" shrinkToFit="true"/>
      <protection locked="true" hidden="false"/>
    </xf>
    <xf numFmtId="165" fontId="67" fillId="0" borderId="126" xfId="21" applyFont="true" applyBorder="true" applyAlignment="true" applyProtection="true">
      <alignment horizontal="general" vertical="bottom" textRotation="0" wrapText="false" indent="0" shrinkToFit="true"/>
      <protection locked="true" hidden="false"/>
    </xf>
    <xf numFmtId="165" fontId="67" fillId="0" borderId="127" xfId="21" applyFont="true" applyBorder="true" applyAlignment="true" applyProtection="true">
      <alignment horizontal="general" vertical="bottom" textRotation="0" wrapText="false" indent="0" shrinkToFit="true"/>
      <protection locked="true" hidden="false"/>
    </xf>
    <xf numFmtId="164" fontId="46" fillId="18" borderId="23" xfId="0" applyFont="true" applyBorder="true" applyAlignment="true" applyProtection="true">
      <alignment horizontal="general" vertical="bottom" textRotation="0" wrapText="false" indent="0" shrinkToFit="false"/>
      <protection locked="true" hidden="false"/>
    </xf>
    <xf numFmtId="165" fontId="49" fillId="18" borderId="30" xfId="21" applyFont="true" applyBorder="true" applyAlignment="true" applyProtection="true">
      <alignment horizontal="general" vertical="bottom" textRotation="0" wrapText="false" indent="0" shrinkToFit="true"/>
      <protection locked="true" hidden="false"/>
    </xf>
    <xf numFmtId="165" fontId="49" fillId="18" borderId="29" xfId="21" applyFont="true" applyBorder="true" applyAlignment="true" applyProtection="true">
      <alignment horizontal="general" vertical="bottom" textRotation="0" wrapText="false" indent="0" shrinkToFit="true"/>
      <protection locked="true" hidden="false"/>
    </xf>
    <xf numFmtId="165" fontId="67" fillId="0" borderId="128" xfId="21" applyFont="true" applyBorder="true" applyAlignment="true" applyProtection="true">
      <alignment horizontal="general" vertical="bottom" textRotation="0" wrapText="false" indent="0" shrinkToFit="true"/>
      <protection locked="true" hidden="false"/>
    </xf>
    <xf numFmtId="165" fontId="67" fillId="0" borderId="129" xfId="21" applyFont="true" applyBorder="true" applyAlignment="true" applyProtection="true">
      <alignment horizontal="general" vertical="bottom" textRotation="0" wrapText="false" indent="0" shrinkToFit="true"/>
      <protection locked="true" hidden="false"/>
    </xf>
    <xf numFmtId="165" fontId="67" fillId="0" borderId="130" xfId="21" applyFont="true" applyBorder="true" applyAlignment="true" applyProtection="true">
      <alignment horizontal="general" vertical="bottom" textRotation="0" wrapText="false" indent="0" shrinkToFit="true"/>
      <protection locked="true" hidden="false"/>
    </xf>
    <xf numFmtId="164" fontId="46" fillId="18" borderId="69" xfId="0" applyFont="true" applyBorder="true" applyAlignment="true" applyProtection="true">
      <alignment horizontal="general" vertical="bottom" textRotation="0" wrapText="false" indent="0" shrinkToFit="false"/>
      <protection locked="true" hidden="false"/>
    </xf>
    <xf numFmtId="165" fontId="49" fillId="18" borderId="37" xfId="21" applyFont="true" applyBorder="true" applyAlignment="true" applyProtection="true">
      <alignment horizontal="general" vertical="bottom" textRotation="0" wrapText="false" indent="0" shrinkToFit="true"/>
      <protection locked="true" hidden="false"/>
    </xf>
    <xf numFmtId="165" fontId="49" fillId="18" borderId="115" xfId="21" applyFont="true" applyBorder="true" applyAlignment="true" applyProtection="true">
      <alignment horizontal="general" vertical="bottom" textRotation="0" wrapText="false" indent="0" shrinkToFit="true"/>
      <protection locked="true" hidden="false"/>
    </xf>
    <xf numFmtId="165" fontId="49" fillId="18" borderId="131" xfId="21" applyFont="true" applyBorder="true" applyAlignment="true" applyProtection="true">
      <alignment horizontal="general" vertical="bottom" textRotation="0" wrapText="false" indent="0" shrinkToFit="true"/>
      <protection locked="true" hidden="false"/>
    </xf>
    <xf numFmtId="165" fontId="67" fillId="0" borderId="132" xfId="21" applyFont="true" applyBorder="true" applyAlignment="true" applyProtection="true">
      <alignment horizontal="general" vertical="bottom" textRotation="0" wrapText="false" indent="0" shrinkToFit="true"/>
      <protection locked="true" hidden="false"/>
    </xf>
    <xf numFmtId="165" fontId="67" fillId="0" borderId="133" xfId="21" applyFont="true" applyBorder="true" applyAlignment="true" applyProtection="true">
      <alignment horizontal="general" vertical="bottom" textRotation="0" wrapText="false" indent="0" shrinkToFit="true"/>
      <protection locked="true" hidden="false"/>
    </xf>
    <xf numFmtId="165" fontId="67" fillId="0" borderId="134" xfId="21" applyFont="true" applyBorder="true" applyAlignment="true" applyProtection="true">
      <alignment horizontal="general" vertical="bottom" textRotation="0" wrapText="false" indent="0" shrinkToFit="true"/>
      <protection locked="true" hidden="false"/>
    </xf>
    <xf numFmtId="164" fontId="46" fillId="18" borderId="59" xfId="0" applyFont="true" applyBorder="true" applyAlignment="true" applyProtection="true">
      <alignment horizontal="center" vertical="center" textRotation="0" wrapText="false" indent="0" shrinkToFit="false"/>
      <protection locked="true" hidden="false"/>
    </xf>
    <xf numFmtId="165" fontId="49" fillId="18" borderId="65" xfId="21" applyFont="true" applyBorder="true" applyAlignment="true" applyProtection="true">
      <alignment horizontal="general" vertical="bottom" textRotation="0" wrapText="false" indent="0" shrinkToFit="true"/>
      <protection locked="true" hidden="false"/>
    </xf>
    <xf numFmtId="165" fontId="49" fillId="18" borderId="135" xfId="21" applyFont="true" applyBorder="true" applyAlignment="true" applyProtection="true">
      <alignment horizontal="general" vertical="bottom" textRotation="0" wrapText="false" indent="0" shrinkToFit="true"/>
      <protection locked="true" hidden="false"/>
    </xf>
    <xf numFmtId="165" fontId="67" fillId="0" borderId="92" xfId="21" applyFont="true" applyBorder="true" applyAlignment="true" applyProtection="true">
      <alignment horizontal="general" vertical="bottom" textRotation="0" wrapText="false" indent="0" shrinkToFit="true"/>
      <protection locked="true" hidden="false"/>
    </xf>
    <xf numFmtId="165" fontId="67" fillId="0" borderId="136" xfId="21" applyFont="true" applyBorder="true" applyAlignment="true" applyProtection="true">
      <alignment horizontal="general" vertical="bottom" textRotation="0" wrapText="false" indent="0" shrinkToFit="true"/>
      <protection locked="true" hidden="false"/>
    </xf>
    <xf numFmtId="165" fontId="67" fillId="0" borderId="137" xfId="21" applyFont="true" applyBorder="true" applyAlignment="true" applyProtection="true">
      <alignment horizontal="general" vertical="bottom" textRotation="0" wrapText="false" indent="0" shrinkToFit="true"/>
      <protection locked="true" hidden="false"/>
    </xf>
    <xf numFmtId="165" fontId="67" fillId="0" borderId="138" xfId="21" applyFont="true" applyBorder="true" applyAlignment="true" applyProtection="true">
      <alignment horizontal="general" vertical="bottom" textRotation="0" wrapText="false" indent="0" shrinkToFit="true"/>
      <protection locked="true" hidden="false"/>
    </xf>
    <xf numFmtId="165" fontId="40" fillId="0" borderId="0" xfId="0" applyFont="true" applyBorder="tru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center" textRotation="0" wrapText="false" indent="0" shrinkToFit="false"/>
      <protection locked="true" hidden="false"/>
    </xf>
    <xf numFmtId="164" fontId="50" fillId="0" borderId="0" xfId="0" applyFont="true" applyBorder="false" applyAlignment="true" applyProtection="true">
      <alignment horizontal="general" vertical="center" textRotation="0" wrapText="false" indent="0" shrinkToFit="false"/>
      <protection locked="true" hidden="false"/>
    </xf>
    <xf numFmtId="164" fontId="63" fillId="0" borderId="3" xfId="0" applyFont="true" applyBorder="true" applyAlignment="true" applyProtection="true">
      <alignment horizontal="center" vertical="center" textRotation="0" wrapText="false" indent="0" shrinkToFit="true"/>
      <protection locked="true" hidden="false"/>
    </xf>
    <xf numFmtId="164" fontId="63" fillId="0" borderId="0" xfId="0" applyFont="true" applyBorder="true" applyAlignment="true" applyProtection="true">
      <alignment horizontal="center" vertical="center" textRotation="0" wrapText="false" indent="0" shrinkToFit="true"/>
      <protection locked="true" hidden="false"/>
    </xf>
    <xf numFmtId="165" fontId="94" fillId="0" borderId="0" xfId="20" applyFont="true" applyBorder="true" applyAlignment="true" applyProtection="true">
      <alignment horizontal="right" vertical="center" textRotation="0" wrapText="false" indent="0" shrinkToFit="false"/>
      <protection locked="true" hidden="false"/>
    </xf>
    <xf numFmtId="165" fontId="46" fillId="0" borderId="5" xfId="21" applyFont="true" applyBorder="true" applyAlignment="true" applyProtection="true">
      <alignment horizontal="center" vertical="center" textRotation="0" wrapText="false" indent="0" shrinkToFit="false"/>
      <protection locked="true" hidden="false"/>
    </xf>
    <xf numFmtId="164" fontId="46" fillId="0" borderId="19" xfId="0" applyFont="true" applyBorder="true" applyAlignment="true" applyProtection="true">
      <alignment horizontal="general" vertical="bottom" textRotation="0" wrapText="false" indent="0" shrinkToFit="false"/>
      <protection locked="true" hidden="false"/>
    </xf>
    <xf numFmtId="165" fontId="95" fillId="0" borderId="30" xfId="21" applyFont="true" applyBorder="true" applyAlignment="true" applyProtection="true">
      <alignment horizontal="general" vertical="bottom" textRotation="0" wrapText="false" indent="0" shrinkToFit="true"/>
      <protection locked="true" hidden="false"/>
    </xf>
    <xf numFmtId="165" fontId="95" fillId="0" borderId="31" xfId="21" applyFont="true" applyBorder="true" applyAlignment="true" applyProtection="true">
      <alignment horizontal="general" vertical="bottom" textRotation="0" wrapText="false" indent="0" shrinkToFit="true"/>
      <protection locked="true" hidden="false"/>
    </xf>
    <xf numFmtId="165" fontId="95" fillId="14" borderId="30" xfId="21" applyFont="true" applyBorder="true" applyAlignment="true" applyProtection="true">
      <alignment horizontal="general" vertical="bottom" textRotation="0" wrapText="false" indent="0" shrinkToFit="true"/>
      <protection locked="true" hidden="false"/>
    </xf>
    <xf numFmtId="164" fontId="46" fillId="0" borderId="69" xfId="0" applyFont="true" applyBorder="true" applyAlignment="true" applyProtection="true">
      <alignment horizontal="general" vertical="bottom" textRotation="0" wrapText="false" indent="0" shrinkToFit="false"/>
      <protection locked="true" hidden="false"/>
    </xf>
    <xf numFmtId="165" fontId="95" fillId="0" borderId="37" xfId="21" applyFont="true" applyBorder="true" applyAlignment="true" applyProtection="true">
      <alignment horizontal="general" vertical="bottom" textRotation="0" wrapText="false" indent="0" shrinkToFit="true"/>
      <protection locked="true" hidden="false"/>
    </xf>
    <xf numFmtId="165" fontId="95" fillId="14" borderId="37" xfId="21" applyFont="true" applyBorder="true" applyAlignment="true" applyProtection="true">
      <alignment horizontal="general" vertical="bottom" textRotation="0" wrapText="false" indent="0" shrinkToFit="true"/>
      <protection locked="true" hidden="false"/>
    </xf>
    <xf numFmtId="164" fontId="46" fillId="0" borderId="59" xfId="0" applyFont="true" applyBorder="true" applyAlignment="true" applyProtection="true">
      <alignment horizontal="center" vertical="center" textRotation="0" wrapText="false" indent="0" shrinkToFit="false"/>
      <protection locked="true" hidden="false"/>
    </xf>
    <xf numFmtId="165" fontId="49" fillId="0" borderId="65" xfId="21" applyFont="true" applyBorder="true" applyAlignment="true" applyProtection="true">
      <alignment horizontal="general" vertical="bottom" textRotation="0" wrapText="false" indent="0" shrinkToFit="true"/>
      <protection locked="true" hidden="false"/>
    </xf>
    <xf numFmtId="165" fontId="49" fillId="0" borderId="0" xfId="21" applyFont="true" applyBorder="true" applyAlignment="true" applyProtection="true">
      <alignment horizontal="general" vertical="center" textRotation="0" wrapText="false" indent="0" shrinkToFit="false"/>
      <protection locked="true" hidden="false"/>
    </xf>
    <xf numFmtId="164" fontId="96" fillId="0" borderId="3" xfId="0" applyFont="true" applyBorder="true" applyAlignment="true" applyProtection="true">
      <alignment horizontal="center" vertical="center" textRotation="0" wrapText="false" indent="0" shrinkToFit="true"/>
      <protection locked="true" hidden="false"/>
    </xf>
    <xf numFmtId="164" fontId="96" fillId="0" borderId="0" xfId="0" applyFont="true" applyBorder="true" applyAlignment="true" applyProtection="true">
      <alignment horizontal="center" vertical="center" textRotation="0" wrapText="false" indent="0" shrinkToFit="true"/>
      <protection locked="true" hidden="false"/>
    </xf>
    <xf numFmtId="164" fontId="40" fillId="0" borderId="0" xfId="0" applyFont="true" applyBorder="false" applyAlignment="true" applyProtection="true">
      <alignment horizontal="general" vertical="center" textRotation="0" wrapText="false" indent="0" shrinkToFit="false"/>
      <protection locked="true" hidden="false"/>
    </xf>
    <xf numFmtId="165" fontId="40" fillId="0" borderId="0" xfId="21" applyFont="true" applyBorder="true" applyAlignment="true" applyProtection="true">
      <alignment horizontal="general" vertical="center" textRotation="0" wrapText="false" indent="0" shrinkToFit="false"/>
      <protection locked="true" hidden="false"/>
    </xf>
    <xf numFmtId="164" fontId="40" fillId="0" borderId="0" xfId="0" applyFont="true" applyBorder="false" applyAlignment="true" applyProtection="true">
      <alignment horizontal="left" vertical="center" textRotation="0" wrapText="false" indent="0" shrinkToFit="false"/>
      <protection locked="true" hidden="false"/>
    </xf>
    <xf numFmtId="164" fontId="40" fillId="0" borderId="0" xfId="0" applyFont="true" applyBorder="true" applyAlignment="true" applyProtection="true">
      <alignment horizontal="general" vertical="center" textRotation="0" wrapText="false" indent="0" shrinkToFit="false"/>
      <protection locked="true" hidden="false"/>
    </xf>
    <xf numFmtId="164" fontId="98" fillId="0" borderId="0" xfId="0" applyFont="true" applyBorder="false" applyAlignment="true" applyProtection="true">
      <alignment horizontal="general" vertical="center" textRotation="0" wrapText="false" indent="0" shrinkToFit="false"/>
      <protection locked="true" hidden="false"/>
    </xf>
    <xf numFmtId="165" fontId="40" fillId="0" borderId="30" xfId="20" applyFont="true" applyBorder="true" applyAlignment="true" applyProtection="true">
      <alignment horizontal="general" vertical="bottom" textRotation="0" wrapText="false" indent="0" shrinkToFit="true"/>
      <protection locked="true" hidden="false"/>
    </xf>
    <xf numFmtId="165" fontId="40" fillId="0" borderId="31" xfId="20" applyFont="true" applyBorder="true" applyAlignment="true" applyProtection="true">
      <alignment horizontal="general" vertical="bottom" textRotation="0" wrapText="false" indent="0" shrinkToFit="true"/>
      <protection locked="true" hidden="false"/>
    </xf>
    <xf numFmtId="164" fontId="48" fillId="0" borderId="0" xfId="0" applyFont="true" applyBorder="false" applyAlignment="true" applyProtection="true">
      <alignment horizontal="general" vertical="center" textRotation="0" wrapText="false" indent="0" shrinkToFit="false"/>
      <protection locked="true" hidden="false"/>
    </xf>
    <xf numFmtId="165" fontId="52" fillId="14" borderId="30" xfId="21" applyFont="true" applyBorder="true" applyAlignment="true" applyProtection="true">
      <alignment horizontal="general" vertical="bottom" textRotation="0" wrapText="false" indent="0" shrinkToFit="true"/>
      <protection locked="true" hidden="false"/>
    </xf>
    <xf numFmtId="164" fontId="86" fillId="0" borderId="0" xfId="0" applyFont="true" applyBorder="false" applyAlignment="true" applyProtection="true">
      <alignment horizontal="general" vertical="center" textRotation="0" wrapText="false" indent="0" shrinkToFit="false"/>
      <protection locked="true" hidden="false"/>
    </xf>
    <xf numFmtId="165" fontId="52" fillId="14" borderId="37" xfId="21" applyFont="true" applyBorder="true" applyAlignment="true" applyProtection="true">
      <alignment horizontal="general" vertical="bottom" textRotation="0" wrapText="false" indent="0" shrinkToFit="true"/>
      <protection locked="true" hidden="false"/>
    </xf>
    <xf numFmtId="173" fontId="44" fillId="0" borderId="0" xfId="0" applyFont="tru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right" vertical="bottom" textRotation="0" wrapText="false" indent="0" shrinkToFit="false"/>
      <protection locked="true" hidden="false"/>
    </xf>
    <xf numFmtId="164" fontId="47" fillId="0" borderId="0" xfId="0" applyFont="true" applyBorder="false" applyAlignment="true" applyProtection="true">
      <alignment horizontal="left" vertical="bottom" textRotation="0" wrapText="true" indent="0" shrinkToFit="false"/>
      <protection locked="true" hidden="false"/>
    </xf>
    <xf numFmtId="165" fontId="46" fillId="18" borderId="90" xfId="21" applyFont="true" applyBorder="true" applyAlignment="true" applyProtection="true">
      <alignment horizontal="center" vertical="center" textRotation="0" wrapText="true" indent="0" shrinkToFit="false"/>
      <protection locked="true" hidden="false"/>
    </xf>
    <xf numFmtId="165" fontId="46" fillId="18" borderId="123" xfId="21" applyFont="true" applyBorder="true" applyAlignment="true" applyProtection="true">
      <alignment horizontal="center" vertical="center" textRotation="0" wrapText="true" indent="0" shrinkToFit="false"/>
      <protection locked="true" hidden="false"/>
    </xf>
    <xf numFmtId="180" fontId="100" fillId="18" borderId="5" xfId="21" applyFont="true" applyBorder="true" applyAlignment="true" applyProtection="true">
      <alignment horizontal="center" vertical="center" textRotation="0" wrapText="true" indent="0" shrinkToFit="true"/>
      <protection locked="true" hidden="false"/>
    </xf>
    <xf numFmtId="165" fontId="46" fillId="0" borderId="91" xfId="21" applyFont="true" applyBorder="true" applyAlignment="true" applyProtection="true">
      <alignment horizontal="center" vertical="center" textRotation="0" wrapText="true" indent="0" shrinkToFit="false"/>
      <protection locked="true" hidden="false"/>
    </xf>
    <xf numFmtId="165" fontId="46" fillId="0" borderId="139" xfId="21" applyFont="true" applyBorder="true" applyAlignment="true" applyProtection="true">
      <alignment horizontal="center" vertical="center" textRotation="0" wrapText="true" indent="0" shrinkToFit="false"/>
      <protection locked="true" hidden="false"/>
    </xf>
    <xf numFmtId="165" fontId="46" fillId="0" borderId="93" xfId="21" applyFont="true" applyBorder="true" applyAlignment="true" applyProtection="true">
      <alignment horizontal="center" vertical="center" textRotation="0" wrapText="true" indent="0" shrinkToFit="false"/>
      <protection locked="true" hidden="false"/>
    </xf>
    <xf numFmtId="165" fontId="46" fillId="0" borderId="140" xfId="21" applyFont="true" applyBorder="true" applyAlignment="true" applyProtection="true">
      <alignment horizontal="center" vertical="center" textRotation="0" wrapText="true" indent="0" shrinkToFit="false"/>
      <protection locked="true" hidden="false"/>
    </xf>
    <xf numFmtId="164" fontId="86" fillId="0" borderId="0" xfId="0" applyFont="true" applyBorder="true" applyAlignment="true" applyProtection="true">
      <alignment horizontal="right" vertical="bottom" textRotation="0" wrapText="true" indent="0" shrinkToFit="false"/>
      <protection locked="true" hidden="false"/>
    </xf>
    <xf numFmtId="181" fontId="49" fillId="18" borderId="19" xfId="0" applyFont="true" applyBorder="true" applyAlignment="true" applyProtection="true">
      <alignment horizontal="left" vertical="bottom" textRotation="0" wrapText="false" indent="0" shrinkToFit="true"/>
      <protection locked="true" hidden="false"/>
    </xf>
    <xf numFmtId="182" fontId="49" fillId="18" borderId="31" xfId="21" applyFont="true" applyBorder="true" applyAlignment="true" applyProtection="true">
      <alignment horizontal="general" vertical="bottom" textRotation="0" wrapText="false" indent="0" shrinkToFit="true"/>
      <protection locked="true" hidden="false"/>
    </xf>
    <xf numFmtId="182" fontId="49" fillId="18" borderId="98" xfId="21" applyFont="true" applyBorder="true" applyAlignment="true" applyProtection="true">
      <alignment horizontal="general" vertical="bottom" textRotation="0" wrapText="false" indent="0" shrinkToFit="true"/>
      <protection locked="true" hidden="false"/>
    </xf>
    <xf numFmtId="182" fontId="49" fillId="18" borderId="141" xfId="21" applyFont="true" applyBorder="true" applyAlignment="true" applyProtection="true">
      <alignment horizontal="general" vertical="bottom" textRotation="0" wrapText="false" indent="0" shrinkToFit="true"/>
      <protection locked="true" hidden="false"/>
    </xf>
    <xf numFmtId="182" fontId="49" fillId="18" borderId="124" xfId="21" applyFont="true" applyBorder="true" applyAlignment="true" applyProtection="true">
      <alignment horizontal="general" vertical="bottom" textRotation="0" wrapText="false" indent="0" shrinkToFit="true"/>
      <protection locked="true" hidden="false"/>
    </xf>
    <xf numFmtId="182" fontId="49" fillId="18" borderId="17" xfId="21" applyFont="true" applyBorder="true" applyAlignment="true" applyProtection="true">
      <alignment horizontal="general" vertical="bottom" textRotation="0" wrapText="false" indent="0" shrinkToFit="true"/>
      <protection locked="true" hidden="false"/>
    </xf>
    <xf numFmtId="165" fontId="102" fillId="0" borderId="31" xfId="21" applyFont="true" applyBorder="true" applyAlignment="true" applyProtection="true">
      <alignment horizontal="general" vertical="bottom" textRotation="0" wrapText="false" indent="0" shrinkToFit="true"/>
      <protection locked="true" hidden="false"/>
    </xf>
    <xf numFmtId="182" fontId="102" fillId="0" borderId="31" xfId="21" applyFont="true" applyBorder="true" applyAlignment="true" applyProtection="true">
      <alignment horizontal="general" vertical="bottom" textRotation="0" wrapText="false" indent="0" shrinkToFit="true"/>
      <protection locked="true" hidden="false"/>
    </xf>
    <xf numFmtId="182" fontId="40" fillId="0" borderId="21" xfId="21" applyFont="true" applyBorder="true" applyAlignment="true" applyProtection="true">
      <alignment horizontal="general" vertical="bottom" textRotation="0" wrapText="false" indent="0" shrinkToFit="true"/>
      <protection locked="true" hidden="false"/>
    </xf>
    <xf numFmtId="182" fontId="40" fillId="0" borderId="142" xfId="21" applyFont="true" applyBorder="true" applyAlignment="true" applyProtection="true">
      <alignment horizontal="general" vertical="bottom" textRotation="0" wrapText="false" indent="0" shrinkToFit="true"/>
      <protection locked="true" hidden="false"/>
    </xf>
    <xf numFmtId="182" fontId="40" fillId="0" borderId="143" xfId="21" applyFont="true" applyBorder="true" applyAlignment="true" applyProtection="true">
      <alignment horizontal="general" vertical="bottom" textRotation="0" wrapText="false" indent="0" shrinkToFit="true"/>
      <protection locked="true" hidden="false"/>
    </xf>
    <xf numFmtId="165" fontId="49" fillId="0" borderId="17" xfId="21" applyFont="true" applyBorder="true" applyAlignment="true" applyProtection="true">
      <alignment horizontal="general" vertical="bottom" textRotation="0" wrapText="false" indent="0" shrinkToFit="true"/>
      <protection locked="true" hidden="false"/>
    </xf>
    <xf numFmtId="164" fontId="102" fillId="0" borderId="0" xfId="0" applyFont="true" applyBorder="true" applyAlignment="true" applyProtection="true">
      <alignment horizontal="general" vertical="bottom" textRotation="0" wrapText="false" indent="0" shrinkToFit="false"/>
      <protection locked="true" hidden="false"/>
    </xf>
    <xf numFmtId="182" fontId="40" fillId="21" borderId="0" xfId="0" applyFont="true" applyBorder="true" applyAlignment="true" applyProtection="true">
      <alignment horizontal="right" vertical="bottom" textRotation="0" wrapText="false" indent="0" shrinkToFit="false"/>
      <protection locked="true" hidden="false"/>
    </xf>
    <xf numFmtId="182" fontId="49" fillId="18" borderId="30" xfId="21" applyFont="true" applyBorder="true" applyAlignment="true" applyProtection="true">
      <alignment horizontal="general" vertical="bottom" textRotation="0" wrapText="false" indent="0" shrinkToFit="true"/>
      <protection locked="true" hidden="false"/>
    </xf>
    <xf numFmtId="182" fontId="49" fillId="18" borderId="22" xfId="21" applyFont="true" applyBorder="true" applyAlignment="true" applyProtection="true">
      <alignment horizontal="general" vertical="bottom" textRotation="0" wrapText="false" indent="0" shrinkToFit="true"/>
      <protection locked="true" hidden="false"/>
    </xf>
    <xf numFmtId="182" fontId="49" fillId="18" borderId="144" xfId="21" applyFont="true" applyBorder="true" applyAlignment="true" applyProtection="true">
      <alignment horizontal="general" vertical="bottom" textRotation="0" wrapText="false" indent="0" shrinkToFit="true"/>
      <protection locked="true" hidden="false"/>
    </xf>
    <xf numFmtId="165" fontId="102" fillId="0" borderId="30" xfId="21" applyFont="true" applyBorder="true" applyAlignment="true" applyProtection="true">
      <alignment horizontal="general" vertical="bottom" textRotation="0" wrapText="false" indent="0" shrinkToFit="true"/>
      <protection locked="true" hidden="false"/>
    </xf>
    <xf numFmtId="182" fontId="102" fillId="0" borderId="30" xfId="21" applyFont="true" applyBorder="true" applyAlignment="true" applyProtection="true">
      <alignment horizontal="general" vertical="bottom" textRotation="0" wrapText="false" indent="0" shrinkToFit="true"/>
      <protection locked="true" hidden="false"/>
    </xf>
    <xf numFmtId="182" fontId="40" fillId="0" borderId="105" xfId="21" applyFont="true" applyBorder="true" applyAlignment="true" applyProtection="true">
      <alignment horizontal="general" vertical="bottom" textRotation="0" wrapText="false" indent="0" shrinkToFit="true"/>
      <protection locked="true" hidden="false"/>
    </xf>
    <xf numFmtId="182" fontId="40" fillId="0" borderId="145" xfId="21" applyFont="true" applyBorder="true" applyAlignment="true" applyProtection="true">
      <alignment horizontal="general" vertical="bottom" textRotation="0" wrapText="false" indent="0" shrinkToFit="true"/>
      <protection locked="true" hidden="false"/>
    </xf>
    <xf numFmtId="182" fontId="40" fillId="0" borderId="107" xfId="21" applyFont="true" applyBorder="true" applyAlignment="true" applyProtection="true">
      <alignment horizontal="general" vertical="bottom" textRotation="0" wrapText="false" indent="0" shrinkToFit="true"/>
      <protection locked="true" hidden="false"/>
    </xf>
    <xf numFmtId="182" fontId="40" fillId="0" borderId="146" xfId="21" applyFont="true" applyBorder="true" applyAlignment="true" applyProtection="true">
      <alignment horizontal="general" vertical="bottom" textRotation="0" wrapText="false" indent="0" shrinkToFit="true"/>
      <protection locked="true" hidden="false"/>
    </xf>
    <xf numFmtId="182" fontId="40" fillId="0" borderId="30" xfId="21" applyFont="true" applyBorder="true" applyAlignment="true" applyProtection="true">
      <alignment horizontal="general" vertical="bottom" textRotation="0" wrapText="false" indent="0" shrinkToFit="true"/>
      <protection locked="true" hidden="false"/>
    </xf>
    <xf numFmtId="183" fontId="49" fillId="18" borderId="19" xfId="0" applyFont="true" applyBorder="true" applyAlignment="true" applyProtection="true">
      <alignment horizontal="left" vertical="bottom" textRotation="0" wrapText="false" indent="0" shrinkToFit="true"/>
      <protection locked="true" hidden="false"/>
    </xf>
    <xf numFmtId="182" fontId="49" fillId="18" borderId="29" xfId="21" applyFont="true" applyBorder="true" applyAlignment="true" applyProtection="true">
      <alignment horizontal="general" vertical="bottom" textRotation="0" wrapText="false" indent="0" shrinkToFit="true"/>
      <protection locked="true" hidden="false"/>
    </xf>
    <xf numFmtId="165" fontId="102" fillId="14" borderId="30" xfId="21" applyFont="true" applyBorder="true" applyAlignment="true" applyProtection="true">
      <alignment horizontal="general" vertical="bottom" textRotation="0" wrapText="false" indent="0" shrinkToFit="true"/>
      <protection locked="true" hidden="false"/>
    </xf>
    <xf numFmtId="182" fontId="102" fillId="14" borderId="30" xfId="21" applyFont="true" applyBorder="true" applyAlignment="true" applyProtection="true">
      <alignment horizontal="general" vertical="bottom" textRotation="0" wrapText="false" indent="0" shrinkToFit="true"/>
      <protection locked="true" hidden="false"/>
    </xf>
    <xf numFmtId="182" fontId="40" fillId="14" borderId="145" xfId="21" applyFont="true" applyBorder="true" applyAlignment="true" applyProtection="true">
      <alignment horizontal="general" vertical="bottom" textRotation="0" wrapText="false" indent="0" shrinkToFit="true"/>
      <protection locked="true" hidden="false"/>
    </xf>
    <xf numFmtId="182" fontId="40" fillId="14" borderId="146" xfId="21" applyFont="true" applyBorder="true" applyAlignment="true" applyProtection="true">
      <alignment horizontal="general" vertical="bottom" textRotation="0" wrapText="false" indent="0" shrinkToFit="true"/>
      <protection locked="true" hidden="false"/>
    </xf>
    <xf numFmtId="182" fontId="40" fillId="0" borderId="30" xfId="20" applyFont="true" applyBorder="true" applyAlignment="true" applyProtection="true">
      <alignment horizontal="general" vertical="bottom" textRotation="0" wrapText="false" indent="0" shrinkToFit="true"/>
      <protection locked="true" hidden="false"/>
    </xf>
    <xf numFmtId="182" fontId="95" fillId="0" borderId="145" xfId="21" applyFont="true" applyBorder="true" applyAlignment="true" applyProtection="true">
      <alignment horizontal="general" vertical="bottom" textRotation="0" wrapText="false" indent="0" shrinkToFit="true"/>
      <protection locked="true" hidden="false"/>
    </xf>
    <xf numFmtId="182" fontId="95" fillId="0" borderId="146" xfId="21" applyFont="true" applyBorder="true" applyAlignment="true" applyProtection="true">
      <alignment horizontal="general" vertical="bottom" textRotation="0" wrapText="false" indent="0" shrinkToFit="true"/>
      <protection locked="true" hidden="false"/>
    </xf>
    <xf numFmtId="182" fontId="95" fillId="14" borderId="145" xfId="21" applyFont="true" applyBorder="true" applyAlignment="true" applyProtection="true">
      <alignment horizontal="general" vertical="bottom" textRotation="0" wrapText="false" indent="0" shrinkToFit="true"/>
      <protection locked="true" hidden="false"/>
    </xf>
    <xf numFmtId="182" fontId="95" fillId="14" borderId="146" xfId="21" applyFont="true" applyBorder="true" applyAlignment="true" applyProtection="true">
      <alignment horizontal="general" vertical="bottom" textRotation="0" wrapText="false" indent="0" shrinkToFit="true"/>
      <protection locked="true" hidden="false"/>
    </xf>
    <xf numFmtId="165" fontId="103" fillId="0" borderId="30" xfId="21" applyFont="true" applyBorder="true" applyAlignment="true" applyProtection="true">
      <alignment horizontal="general" vertical="bottom" textRotation="0" wrapText="false" indent="0" shrinkToFit="true"/>
      <protection locked="true" hidden="false"/>
    </xf>
    <xf numFmtId="182" fontId="103" fillId="0" borderId="30" xfId="21" applyFont="true" applyBorder="true" applyAlignment="true" applyProtection="true">
      <alignment horizontal="general" vertical="bottom" textRotation="0" wrapText="false" indent="0" shrinkToFit="true"/>
      <protection locked="true" hidden="false"/>
    </xf>
    <xf numFmtId="182" fontId="49" fillId="18" borderId="146" xfId="21" applyFont="true" applyBorder="true" applyAlignment="true" applyProtection="true">
      <alignment horizontal="general" vertical="bottom" textRotation="0" wrapText="false" indent="0" shrinkToFit="true"/>
      <protection locked="true" hidden="false"/>
    </xf>
    <xf numFmtId="182" fontId="95" fillId="0" borderId="105" xfId="21" applyFont="true" applyBorder="true" applyAlignment="true" applyProtection="true">
      <alignment horizontal="general" vertical="bottom" textRotation="0" wrapText="false" indent="0" shrinkToFit="true"/>
      <protection locked="true" hidden="false"/>
    </xf>
    <xf numFmtId="182" fontId="95" fillId="0" borderId="107" xfId="21" applyFont="true" applyBorder="true" applyAlignment="true" applyProtection="true">
      <alignment horizontal="general" vertical="bottom" textRotation="0" wrapText="false" indent="0" shrinkToFit="true"/>
      <protection locked="true" hidden="false"/>
    </xf>
    <xf numFmtId="182" fontId="40" fillId="14" borderId="105" xfId="21" applyFont="true" applyBorder="true" applyAlignment="true" applyProtection="true">
      <alignment horizontal="general" vertical="bottom" textRotation="0" wrapText="false" indent="0" shrinkToFit="true"/>
      <protection locked="true" hidden="false"/>
    </xf>
    <xf numFmtId="182" fontId="40" fillId="14" borderId="107" xfId="21" applyFont="true" applyBorder="true" applyAlignment="true" applyProtection="true">
      <alignment horizontal="general" vertical="bottom" textRotation="0" wrapText="false" indent="0" shrinkToFit="true"/>
      <protection locked="true" hidden="false"/>
    </xf>
    <xf numFmtId="182" fontId="49" fillId="18" borderId="35" xfId="21" applyFont="true" applyBorder="true" applyAlignment="true" applyProtection="true">
      <alignment horizontal="general" vertical="bottom" textRotation="0" wrapText="false" indent="0" shrinkToFit="true"/>
      <protection locked="true" hidden="false"/>
    </xf>
    <xf numFmtId="182" fontId="49" fillId="18" borderId="43" xfId="21" applyFont="true" applyBorder="true" applyAlignment="true" applyProtection="true">
      <alignment horizontal="general" vertical="bottom" textRotation="0" wrapText="false" indent="0" shrinkToFit="true"/>
      <protection locked="true" hidden="false"/>
    </xf>
    <xf numFmtId="182" fontId="49" fillId="18" borderId="147" xfId="21" applyFont="true" applyBorder="true" applyAlignment="true" applyProtection="true">
      <alignment horizontal="general" vertical="bottom" textRotation="0" wrapText="false" indent="0" shrinkToFit="true"/>
      <protection locked="true" hidden="false"/>
    </xf>
    <xf numFmtId="182" fontId="49" fillId="18" borderId="148" xfId="21" applyFont="true" applyBorder="true" applyAlignment="true" applyProtection="true">
      <alignment horizontal="general" vertical="bottom" textRotation="0" wrapText="false" indent="0" shrinkToFit="true"/>
      <protection locked="true" hidden="false"/>
    </xf>
    <xf numFmtId="182" fontId="102" fillId="14" borderId="35" xfId="21" applyFont="true" applyBorder="true" applyAlignment="true" applyProtection="true">
      <alignment horizontal="general" vertical="bottom" textRotation="0" wrapText="false" indent="0" shrinkToFit="true"/>
      <protection locked="true" hidden="false"/>
    </xf>
    <xf numFmtId="182" fontId="40" fillId="14" borderId="149" xfId="21" applyFont="true" applyBorder="true" applyAlignment="true" applyProtection="true">
      <alignment horizontal="general" vertical="bottom" textRotation="0" wrapText="false" indent="0" shrinkToFit="true"/>
      <protection locked="true" hidden="false"/>
    </xf>
    <xf numFmtId="182" fontId="95" fillId="14" borderId="150" xfId="21" applyFont="true" applyBorder="true" applyAlignment="true" applyProtection="true">
      <alignment horizontal="general" vertical="bottom" textRotation="0" wrapText="false" indent="0" shrinkToFit="true"/>
      <protection locked="true" hidden="false"/>
    </xf>
    <xf numFmtId="182" fontId="40" fillId="14" borderId="151" xfId="21" applyFont="true" applyBorder="true" applyAlignment="true" applyProtection="true">
      <alignment horizontal="general" vertical="bottom" textRotation="0" wrapText="false" indent="0" shrinkToFit="true"/>
      <protection locked="true" hidden="false"/>
    </xf>
    <xf numFmtId="182" fontId="95" fillId="14" borderId="152" xfId="21" applyFont="true" applyBorder="true" applyAlignment="true" applyProtection="true">
      <alignment horizontal="general" vertical="bottom" textRotation="0" wrapText="false" indent="0" shrinkToFit="true"/>
      <protection locked="true" hidden="false"/>
    </xf>
    <xf numFmtId="182" fontId="49" fillId="18" borderId="153" xfId="21" applyFont="true" applyBorder="true" applyAlignment="true" applyProtection="true">
      <alignment horizontal="general" vertical="bottom" textRotation="0" wrapText="false" indent="0" shrinkToFit="true"/>
      <protection locked="true" hidden="false"/>
    </xf>
    <xf numFmtId="165" fontId="49" fillId="0" borderId="0" xfId="21" applyFont="true" applyBorder="true" applyAlignment="true" applyProtection="true">
      <alignment horizontal="general" vertical="bottom" textRotation="0" wrapText="false" indent="0" shrinkToFit="true"/>
      <protection locked="true" hidden="false"/>
    </xf>
    <xf numFmtId="176" fontId="46" fillId="18" borderId="23" xfId="0" applyFont="true" applyBorder="true" applyAlignment="true" applyProtection="true">
      <alignment horizontal="left" vertical="center" textRotation="0" wrapText="false" indent="0" shrinkToFit="true"/>
      <protection locked="true" hidden="false"/>
    </xf>
    <xf numFmtId="176" fontId="49" fillId="18" borderId="23" xfId="0" applyFont="true" applyBorder="true" applyAlignment="true" applyProtection="true">
      <alignment horizontal="left" vertical="center" textRotation="0" wrapText="false" indent="0" shrinkToFit="true"/>
      <protection locked="true" hidden="false"/>
    </xf>
    <xf numFmtId="165" fontId="102" fillId="13" borderId="30" xfId="21" applyFont="true" applyBorder="true" applyAlignment="true" applyProtection="true">
      <alignment horizontal="general" vertical="bottom" textRotation="0" wrapText="false" indent="0" shrinkToFit="true"/>
      <protection locked="true" hidden="false"/>
    </xf>
    <xf numFmtId="182" fontId="102" fillId="13" borderId="30" xfId="21" applyFont="true" applyBorder="true" applyAlignment="true" applyProtection="true">
      <alignment horizontal="general" vertical="bottom" textRotation="0" wrapText="false" indent="0" shrinkToFit="true"/>
      <protection locked="true" hidden="false"/>
    </xf>
    <xf numFmtId="165" fontId="49" fillId="13" borderId="17" xfId="21" applyFont="true" applyBorder="true" applyAlignment="true" applyProtection="true">
      <alignment horizontal="general" vertical="bottom" textRotation="0" wrapText="false" indent="0" shrinkToFit="true"/>
      <protection locked="true" hidden="false"/>
    </xf>
    <xf numFmtId="182" fontId="102" fillId="13" borderId="25" xfId="21" applyFont="true" applyBorder="true" applyAlignment="true" applyProtection="true">
      <alignment horizontal="general" vertical="bottom" textRotation="0" wrapText="false" indent="0" shrinkToFit="true"/>
      <protection locked="true" hidden="false"/>
    </xf>
    <xf numFmtId="182" fontId="40" fillId="0" borderId="0" xfId="0" applyFont="true" applyBorder="true" applyAlignment="true" applyProtection="true">
      <alignment horizontal="left" vertical="bottom" textRotation="0" wrapText="false" indent="0" shrinkToFit="false"/>
      <protection locked="true" hidden="false"/>
    </xf>
    <xf numFmtId="176" fontId="46" fillId="18" borderId="44" xfId="0" applyFont="true" applyBorder="true" applyAlignment="true" applyProtection="true">
      <alignment horizontal="left" vertical="center" textRotation="0" wrapText="false" indent="0" shrinkToFit="true"/>
      <protection locked="true" hidden="false"/>
    </xf>
    <xf numFmtId="182" fontId="49" fillId="18" borderId="47" xfId="21" applyFont="true" applyBorder="true" applyAlignment="true" applyProtection="true">
      <alignment horizontal="general" vertical="bottom" textRotation="0" wrapText="false" indent="0" shrinkToFit="true"/>
      <protection locked="true" hidden="false"/>
    </xf>
    <xf numFmtId="176" fontId="49" fillId="18" borderId="44" xfId="0" applyFont="true" applyBorder="true" applyAlignment="true" applyProtection="true">
      <alignment horizontal="left" vertical="center" textRotation="0" wrapText="false" indent="0" shrinkToFit="true"/>
      <protection locked="true" hidden="false"/>
    </xf>
    <xf numFmtId="165" fontId="102" fillId="13" borderId="47" xfId="21" applyFont="true" applyBorder="true" applyAlignment="true" applyProtection="true">
      <alignment horizontal="general" vertical="bottom" textRotation="0" wrapText="false" indent="0" shrinkToFit="true"/>
      <protection locked="true" hidden="false"/>
    </xf>
    <xf numFmtId="182" fontId="102" fillId="13" borderId="47" xfId="21" applyFont="true" applyBorder="true" applyAlignment="true" applyProtection="true">
      <alignment horizontal="general" vertical="bottom" textRotation="0" wrapText="false" indent="0" shrinkToFit="true"/>
      <protection locked="true" hidden="false"/>
    </xf>
    <xf numFmtId="165" fontId="49" fillId="13" borderId="48" xfId="21" applyFont="true" applyBorder="true" applyAlignment="true" applyProtection="true">
      <alignment horizontal="general" vertical="bottom" textRotation="0" wrapText="false" indent="0" shrinkToFit="true"/>
      <protection locked="true" hidden="false"/>
    </xf>
    <xf numFmtId="182" fontId="102" fillId="13" borderId="36" xfId="21" applyFont="true" applyBorder="true" applyAlignment="true" applyProtection="true">
      <alignment horizontal="general" vertical="bottom" textRotation="0" wrapText="false" indent="0" shrinkToFit="true"/>
      <protection locked="true" hidden="false"/>
    </xf>
    <xf numFmtId="182" fontId="49" fillId="18" borderId="7" xfId="21" applyFont="true" applyBorder="true" applyAlignment="true" applyProtection="true">
      <alignment horizontal="general" vertical="bottom" textRotation="0" wrapText="false" indent="0" shrinkToFit="true"/>
      <protection locked="true" hidden="false"/>
    </xf>
    <xf numFmtId="182" fontId="49" fillId="18" borderId="82" xfId="21" applyFont="true" applyBorder="true" applyAlignment="true" applyProtection="true">
      <alignment horizontal="general" vertical="bottom" textRotation="0" wrapText="false" indent="0" shrinkToFit="true"/>
      <protection locked="true" hidden="false"/>
    </xf>
    <xf numFmtId="182" fontId="49" fillId="18" borderId="154" xfId="21" applyFont="true" applyBorder="true" applyAlignment="true" applyProtection="true">
      <alignment horizontal="general" vertical="bottom" textRotation="0" wrapText="false" indent="0" shrinkToFit="true"/>
      <protection locked="true" hidden="false"/>
    </xf>
    <xf numFmtId="182" fontId="49" fillId="18" borderId="123" xfId="21" applyFont="true" applyBorder="true" applyAlignment="true" applyProtection="true">
      <alignment horizontal="general" vertical="bottom" textRotation="0" wrapText="false" indent="0" shrinkToFit="true"/>
      <protection locked="true" hidden="false"/>
    </xf>
    <xf numFmtId="182" fontId="49" fillId="18" borderId="5" xfId="21" applyFont="true" applyBorder="true" applyAlignment="true" applyProtection="true">
      <alignment horizontal="general" vertical="bottom" textRotation="0" wrapText="false" indent="0" shrinkToFit="true"/>
      <protection locked="true" hidden="false"/>
    </xf>
    <xf numFmtId="165" fontId="49" fillId="0" borderId="7" xfId="21" applyFont="true" applyBorder="true" applyAlignment="true" applyProtection="true">
      <alignment horizontal="general" vertical="bottom" textRotation="0" wrapText="false" indent="0" shrinkToFit="true"/>
      <protection locked="true" hidden="false"/>
    </xf>
    <xf numFmtId="165" fontId="49" fillId="0" borderId="91" xfId="21" applyFont="true" applyBorder="true" applyAlignment="true" applyProtection="true">
      <alignment horizontal="general" vertical="bottom" textRotation="0" wrapText="false" indent="0" shrinkToFit="true"/>
      <protection locked="true" hidden="false"/>
    </xf>
    <xf numFmtId="182" fontId="49" fillId="0" borderId="139" xfId="21" applyFont="true" applyBorder="true" applyAlignment="true" applyProtection="true">
      <alignment horizontal="general" vertical="bottom" textRotation="0" wrapText="false" indent="0" shrinkToFit="true"/>
      <protection locked="true" hidden="false"/>
    </xf>
    <xf numFmtId="165" fontId="49" fillId="0" borderId="93" xfId="21" applyFont="true" applyBorder="true" applyAlignment="true" applyProtection="true">
      <alignment horizontal="general" vertical="bottom" textRotation="0" wrapText="false" indent="0" shrinkToFit="true"/>
      <protection locked="true" hidden="false"/>
    </xf>
    <xf numFmtId="182" fontId="49" fillId="0" borderId="154" xfId="21" applyFont="true" applyBorder="true" applyAlignment="true" applyProtection="true">
      <alignment horizontal="general" vertical="bottom" textRotation="0" wrapText="false" indent="0" shrinkToFit="true"/>
      <protection locked="true" hidden="false"/>
    </xf>
    <xf numFmtId="165" fontId="49" fillId="0" borderId="5" xfId="21" applyFont="true" applyBorder="true" applyAlignment="true" applyProtection="true">
      <alignment horizontal="general" vertical="bottom" textRotation="0" wrapText="false" indent="0" shrinkToFit="true"/>
      <protection locked="true" hidden="false"/>
    </xf>
    <xf numFmtId="182" fontId="49" fillId="0" borderId="39" xfId="21" applyFont="true" applyBorder="true" applyAlignment="true" applyProtection="true">
      <alignment horizontal="general" vertical="bottom" textRotation="0" wrapText="false" indent="0" shrinkToFit="true"/>
      <protection locked="true" hidden="false"/>
    </xf>
    <xf numFmtId="164" fontId="68" fillId="14" borderId="0" xfId="0" applyFont="true" applyBorder="true" applyAlignment="true" applyProtection="true">
      <alignment horizontal="general" vertical="center" textRotation="0" wrapText="false" indent="0" shrinkToFit="false"/>
      <protection locked="true" hidden="false"/>
    </xf>
    <xf numFmtId="164" fontId="40" fillId="14" borderId="0" xfId="0" applyFont="true" applyBorder="true" applyAlignment="true" applyProtection="true">
      <alignment horizontal="general" vertical="bottom" textRotation="0" wrapText="false" indent="0" shrinkToFit="false"/>
      <protection locked="true" hidden="false"/>
    </xf>
    <xf numFmtId="165" fontId="40" fillId="14" borderId="0" xfId="20" applyFont="true" applyBorder="true" applyAlignment="true" applyProtection="true">
      <alignment horizontal="right" vertical="bottom" textRotation="0" wrapText="false" indent="0" shrinkToFit="false"/>
      <protection locked="true" hidden="false"/>
    </xf>
    <xf numFmtId="180" fontId="100" fillId="14" borderId="5" xfId="21" applyFont="true" applyBorder="true" applyAlignment="true" applyProtection="true">
      <alignment horizontal="center" vertical="center" textRotation="0" wrapText="true" indent="0" shrinkToFit="true"/>
      <protection locked="true" hidden="false"/>
    </xf>
    <xf numFmtId="182" fontId="40" fillId="0" borderId="31" xfId="21" applyFont="true" applyBorder="true" applyAlignment="true" applyProtection="true">
      <alignment horizontal="general" vertical="bottom" textRotation="0" wrapText="false" indent="0" shrinkToFit="true"/>
      <protection locked="true" hidden="false"/>
    </xf>
    <xf numFmtId="182" fontId="40" fillId="0" borderId="22" xfId="21" applyFont="true" applyBorder="true" applyAlignment="true" applyProtection="true">
      <alignment horizontal="general" vertical="bottom" textRotation="0" wrapText="false" indent="0" shrinkToFit="true"/>
      <protection locked="true" hidden="false"/>
    </xf>
    <xf numFmtId="182" fontId="40" fillId="0" borderId="17" xfId="21" applyFont="true" applyBorder="true" applyAlignment="true" applyProtection="true">
      <alignment horizontal="general" vertical="bottom" textRotation="0" wrapText="false" indent="0" shrinkToFit="true"/>
      <protection locked="true" hidden="false"/>
    </xf>
    <xf numFmtId="182" fontId="40" fillId="0" borderId="24" xfId="21" applyFont="true" applyBorder="true" applyAlignment="true" applyProtection="true">
      <alignment horizontal="general" vertical="bottom" textRotation="0" wrapText="false" indent="0" shrinkToFit="true"/>
      <protection locked="true" hidden="false"/>
    </xf>
    <xf numFmtId="182" fontId="40" fillId="0" borderId="25" xfId="21" applyFont="true" applyBorder="true" applyAlignment="true" applyProtection="true">
      <alignment horizontal="general" vertical="bottom" textRotation="0" wrapText="false" indent="0" shrinkToFit="true"/>
      <protection locked="true" hidden="false"/>
    </xf>
    <xf numFmtId="182" fontId="40" fillId="14" borderId="24" xfId="21" applyFont="true" applyBorder="true" applyAlignment="true" applyProtection="true">
      <alignment horizontal="general" vertical="bottom" textRotation="0" wrapText="false" indent="0" shrinkToFit="true"/>
      <protection locked="true" hidden="false"/>
    </xf>
    <xf numFmtId="182" fontId="40" fillId="14" borderId="25" xfId="21" applyFont="true" applyBorder="true" applyAlignment="true" applyProtection="true">
      <alignment horizontal="general" vertical="bottom" textRotation="0" wrapText="false" indent="0" shrinkToFit="true"/>
      <protection locked="true" hidden="false"/>
    </xf>
    <xf numFmtId="165" fontId="40" fillId="14" borderId="31" xfId="21" applyFont="true" applyBorder="true" applyAlignment="true" applyProtection="true">
      <alignment horizontal="general" vertical="bottom" textRotation="0" wrapText="false" indent="0" shrinkToFit="true"/>
      <protection locked="true" hidden="false"/>
    </xf>
    <xf numFmtId="182" fontId="40" fillId="14" borderId="31" xfId="21" applyFont="true" applyBorder="true" applyAlignment="true" applyProtection="true">
      <alignment horizontal="general" vertical="bottom" textRotation="0" wrapText="false" indent="0" shrinkToFit="true"/>
      <protection locked="true" hidden="false"/>
    </xf>
    <xf numFmtId="182" fontId="95" fillId="0" borderId="25" xfId="21" applyFont="true" applyBorder="true" applyAlignment="true" applyProtection="true">
      <alignment horizontal="general" vertical="bottom" textRotation="0" wrapText="false" indent="0" shrinkToFit="true"/>
      <protection locked="true" hidden="false"/>
    </xf>
    <xf numFmtId="182" fontId="40" fillId="14" borderId="30" xfId="21" applyFont="true" applyBorder="true" applyAlignment="true" applyProtection="true">
      <alignment horizontal="general" vertical="bottom" textRotation="0" wrapText="false" indent="0" shrinkToFit="true"/>
      <protection locked="true" hidden="false"/>
    </xf>
    <xf numFmtId="182" fontId="95" fillId="0" borderId="24" xfId="21" applyFont="true" applyBorder="true" applyAlignment="true" applyProtection="true">
      <alignment horizontal="general" vertical="bottom" textRotation="0" wrapText="false" indent="0" shrinkToFit="true"/>
      <protection locked="true" hidden="false"/>
    </xf>
    <xf numFmtId="182" fontId="95" fillId="14" borderId="24" xfId="21" applyFont="true" applyBorder="true" applyAlignment="true" applyProtection="true">
      <alignment horizontal="general" vertical="bottom" textRotation="0" wrapText="false" indent="0" shrinkToFit="true"/>
      <protection locked="true" hidden="false"/>
    </xf>
    <xf numFmtId="182" fontId="95" fillId="14" borderId="25" xfId="21" applyFont="true" applyBorder="true" applyAlignment="true" applyProtection="true">
      <alignment horizontal="general" vertical="bottom" textRotation="0" wrapText="false" indent="0" shrinkToFit="true"/>
      <protection locked="true" hidden="false"/>
    </xf>
    <xf numFmtId="182" fontId="95" fillId="0" borderId="31" xfId="21" applyFont="true" applyBorder="true" applyAlignment="true" applyProtection="true">
      <alignment horizontal="general" vertical="bottom" textRotation="0" wrapText="false" indent="0" shrinkToFit="true"/>
      <protection locked="true" hidden="false"/>
    </xf>
    <xf numFmtId="165" fontId="40" fillId="13" borderId="30" xfId="21" applyFont="true" applyBorder="true" applyAlignment="true" applyProtection="true">
      <alignment horizontal="general" vertical="bottom" textRotation="0" wrapText="false" indent="0" shrinkToFit="true"/>
      <protection locked="true" hidden="false"/>
    </xf>
    <xf numFmtId="182" fontId="40" fillId="13" borderId="35" xfId="21" applyFont="true" applyBorder="true" applyAlignment="true" applyProtection="true">
      <alignment horizontal="general" vertical="bottom" textRotation="0" wrapText="false" indent="0" shrinkToFit="true"/>
      <protection locked="true" hidden="false"/>
    </xf>
    <xf numFmtId="182" fontId="40" fillId="13" borderId="149" xfId="21" applyFont="true" applyBorder="true" applyAlignment="true" applyProtection="true">
      <alignment horizontal="general" vertical="bottom" textRotation="0" wrapText="false" indent="0" shrinkToFit="true"/>
      <protection locked="true" hidden="false"/>
    </xf>
    <xf numFmtId="182" fontId="95" fillId="13" borderId="86" xfId="21" applyFont="true" applyBorder="true" applyAlignment="true" applyProtection="true">
      <alignment horizontal="general" vertical="bottom" textRotation="0" wrapText="false" indent="0" shrinkToFit="true"/>
      <protection locked="true" hidden="false"/>
    </xf>
    <xf numFmtId="182" fontId="40" fillId="13" borderId="151" xfId="21" applyFont="true" applyBorder="true" applyAlignment="true" applyProtection="true">
      <alignment horizontal="general" vertical="bottom" textRotation="0" wrapText="false" indent="0" shrinkToFit="true"/>
      <protection locked="true" hidden="false"/>
    </xf>
    <xf numFmtId="182" fontId="95" fillId="13" borderId="152" xfId="21" applyFont="true" applyBorder="true" applyAlignment="true" applyProtection="true">
      <alignment horizontal="general" vertical="bottom" textRotation="0" wrapText="false" indent="0" shrinkToFit="true"/>
      <protection locked="true" hidden="false"/>
    </xf>
    <xf numFmtId="182" fontId="95" fillId="13" borderId="34" xfId="21" applyFont="true" applyBorder="true" applyAlignment="true" applyProtection="true">
      <alignment horizontal="general" vertical="bottom" textRotation="0" wrapText="false" indent="0" shrinkToFit="true"/>
      <protection locked="true" hidden="false"/>
    </xf>
    <xf numFmtId="182" fontId="95" fillId="14" borderId="34" xfId="21" applyFont="true" applyBorder="true" applyAlignment="true" applyProtection="true">
      <alignment horizontal="general" vertical="bottom" textRotation="0" wrapText="false" indent="0" shrinkToFit="true"/>
      <protection locked="true" hidden="false"/>
    </xf>
    <xf numFmtId="182" fontId="95" fillId="13" borderId="24" xfId="21" applyFont="true" applyBorder="true" applyAlignment="true" applyProtection="true">
      <alignment horizontal="general" vertical="bottom" textRotation="0" wrapText="false" indent="0" shrinkToFit="true"/>
      <protection locked="true" hidden="false"/>
    </xf>
    <xf numFmtId="182" fontId="95" fillId="13" borderId="146" xfId="21" applyFont="true" applyBorder="true" applyAlignment="true" applyProtection="true">
      <alignment horizontal="general" vertical="bottom" textRotation="0" wrapText="false" indent="0" shrinkToFit="true"/>
      <protection locked="true" hidden="false"/>
    </xf>
    <xf numFmtId="182" fontId="95" fillId="13" borderId="25" xfId="21" applyFont="true" applyBorder="true" applyAlignment="true" applyProtection="true">
      <alignment horizontal="general" vertical="bottom" textRotation="0" wrapText="false" indent="0" shrinkToFit="true"/>
      <protection locked="true" hidden="false"/>
    </xf>
    <xf numFmtId="182" fontId="40" fillId="13" borderId="30" xfId="21" applyFont="true" applyBorder="true" applyAlignment="true" applyProtection="true">
      <alignment horizontal="general" vertical="bottom" textRotation="0" wrapText="false" indent="0" shrinkToFit="true"/>
      <protection locked="true" hidden="false"/>
    </xf>
    <xf numFmtId="182" fontId="40" fillId="13" borderId="105" xfId="21" applyFont="true" applyBorder="true" applyAlignment="true" applyProtection="true">
      <alignment horizontal="general" vertical="bottom" textRotation="0" wrapText="false" indent="0" shrinkToFit="true"/>
      <protection locked="true" hidden="false"/>
    </xf>
    <xf numFmtId="182" fontId="40" fillId="13" borderId="24" xfId="21" applyFont="true" applyBorder="true" applyAlignment="true" applyProtection="true">
      <alignment horizontal="general" vertical="bottom" textRotation="0" wrapText="false" indent="0" shrinkToFit="true"/>
      <protection locked="true" hidden="false"/>
    </xf>
    <xf numFmtId="182" fontId="40" fillId="13" borderId="107" xfId="21" applyFont="true" applyBorder="true" applyAlignment="true" applyProtection="true">
      <alignment horizontal="general" vertical="bottom" textRotation="0" wrapText="false" indent="0" shrinkToFit="true"/>
      <protection locked="true" hidden="false"/>
    </xf>
    <xf numFmtId="182" fontId="40" fillId="13" borderId="146" xfId="21" applyFont="true" applyBorder="true" applyAlignment="true" applyProtection="true">
      <alignment horizontal="general" vertical="bottom" textRotation="0" wrapText="false" indent="0" shrinkToFit="true"/>
      <protection locked="true" hidden="false"/>
    </xf>
    <xf numFmtId="182" fontId="40" fillId="13" borderId="25" xfId="21" applyFont="true" applyBorder="true" applyAlignment="true" applyProtection="true">
      <alignment horizontal="general" vertical="bottom" textRotation="0" wrapText="false" indent="0" shrinkToFit="true"/>
      <protection locked="true" hidden="false"/>
    </xf>
    <xf numFmtId="182" fontId="95" fillId="14" borderId="30" xfId="21" applyFont="true" applyBorder="true" applyAlignment="true" applyProtection="true">
      <alignment horizontal="general" vertical="bottom" textRotation="0" wrapText="false" indent="0" shrinkToFit="true"/>
      <protection locked="true" hidden="false"/>
    </xf>
    <xf numFmtId="165" fontId="40" fillId="13" borderId="47" xfId="21" applyFont="true" applyBorder="true" applyAlignment="true" applyProtection="true">
      <alignment horizontal="general" vertical="bottom" textRotation="0" wrapText="false" indent="0" shrinkToFit="true"/>
      <protection locked="true" hidden="false"/>
    </xf>
    <xf numFmtId="182" fontId="40" fillId="13" borderId="47" xfId="21" applyFont="true" applyBorder="true" applyAlignment="true" applyProtection="true">
      <alignment horizontal="general" vertical="bottom" textRotation="0" wrapText="false" indent="0" shrinkToFit="true"/>
      <protection locked="true" hidden="false"/>
    </xf>
    <xf numFmtId="182" fontId="40" fillId="13" borderId="86" xfId="21" applyFont="true" applyBorder="true" applyAlignment="true" applyProtection="true">
      <alignment horizontal="general" vertical="bottom" textRotation="0" wrapText="false" indent="0" shrinkToFit="true"/>
      <protection locked="true" hidden="false"/>
    </xf>
    <xf numFmtId="182" fontId="40" fillId="13" borderId="152" xfId="21" applyFont="true" applyBorder="true" applyAlignment="true" applyProtection="true">
      <alignment horizontal="general" vertical="bottom" textRotation="0" wrapText="false" indent="0" shrinkToFit="true"/>
      <protection locked="true" hidden="false"/>
    </xf>
    <xf numFmtId="182" fontId="40" fillId="13" borderId="36" xfId="21" applyFont="true" applyBorder="true" applyAlignment="true" applyProtection="true">
      <alignment horizontal="general" vertical="bottom" textRotation="0" wrapText="false" indent="0" shrinkToFit="true"/>
      <protection locked="true" hidden="false"/>
    </xf>
    <xf numFmtId="165" fontId="95" fillId="14" borderId="47" xfId="21" applyFont="true" applyBorder="true" applyAlignment="true" applyProtection="true">
      <alignment horizontal="general" vertical="bottom" textRotation="0" wrapText="false" indent="0" shrinkToFit="true"/>
      <protection locked="true" hidden="false"/>
    </xf>
    <xf numFmtId="182" fontId="95" fillId="14" borderId="47" xfId="21" applyFont="true" applyBorder="true" applyAlignment="true" applyProtection="true">
      <alignment horizontal="general" vertical="bottom" textRotation="0" wrapText="false" indent="0" shrinkToFit="true"/>
      <protection locked="true" hidden="false"/>
    </xf>
    <xf numFmtId="182" fontId="40" fillId="14" borderId="150" xfId="21" applyFont="true" applyBorder="true" applyAlignment="true" applyProtection="true">
      <alignment horizontal="general" vertical="bottom" textRotation="0" wrapText="false" indent="0" shrinkToFit="true"/>
      <protection locked="true" hidden="false"/>
    </xf>
    <xf numFmtId="182" fontId="40" fillId="14" borderId="152" xfId="21" applyFont="true" applyBorder="true" applyAlignment="true" applyProtection="true">
      <alignment horizontal="general" vertical="bottom" textRotation="0" wrapText="false" indent="0" shrinkToFit="true"/>
      <protection locked="true" hidden="false"/>
    </xf>
    <xf numFmtId="165" fontId="49" fillId="14" borderId="48" xfId="21" applyFont="true" applyBorder="true" applyAlignment="true" applyProtection="true">
      <alignment horizontal="general" vertical="bottom" textRotation="0" wrapText="false" indent="0" shrinkToFit="true"/>
      <protection locked="true" hidden="false"/>
    </xf>
    <xf numFmtId="182" fontId="40" fillId="14" borderId="36" xfId="21" applyFont="true" applyBorder="true" applyAlignment="true" applyProtection="true">
      <alignment horizontal="general" vertical="bottom" textRotation="0" wrapText="false" indent="0" shrinkToFit="true"/>
      <protection locked="true" hidden="false"/>
    </xf>
    <xf numFmtId="182" fontId="49" fillId="0" borderId="6" xfId="21" applyFont="true" applyBorder="true" applyAlignment="true" applyProtection="true">
      <alignment horizontal="general" vertical="bottom" textRotation="0" wrapText="false" indent="0" shrinkToFit="tru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5" fontId="50" fillId="0" borderId="0" xfId="21" applyFont="true" applyBorder="true" applyAlignment="true" applyProtection="true">
      <alignment horizontal="general" vertical="bottom" textRotation="0" wrapText="false" indent="0" shrinkToFit="false"/>
      <protection locked="true" hidden="false"/>
    </xf>
    <xf numFmtId="164" fontId="104" fillId="0" borderId="0" xfId="0" applyFont="true" applyBorder="true" applyAlignment="true" applyProtection="true">
      <alignment horizontal="general" vertical="bottom" textRotation="0" wrapText="false" indent="0" shrinkToFit="false"/>
      <protection locked="true" hidden="false"/>
    </xf>
    <xf numFmtId="184" fontId="104" fillId="0" borderId="0" xfId="21" applyFont="true" applyBorder="true" applyAlignment="true" applyProtection="true">
      <alignment horizontal="general" vertical="bottom" textRotation="0" wrapText="false" indent="0" shrinkToFit="false"/>
      <protection locked="true" hidden="false"/>
    </xf>
    <xf numFmtId="185" fontId="104" fillId="0" borderId="0" xfId="21" applyFont="tru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left" vertical="bottom" textRotation="0" wrapText="false" indent="0" shrinkToFit="false"/>
      <protection locked="true" hidden="false"/>
    </xf>
    <xf numFmtId="164" fontId="50" fillId="0" borderId="0" xfId="0" applyFont="true" applyBorder="true" applyAlignment="true" applyProtection="true">
      <alignment horizontal="general" vertical="bottom" textRotation="0" wrapText="false" indent="0" shrinkToFit="false"/>
      <protection locked="true" hidden="false"/>
    </xf>
    <xf numFmtId="164" fontId="105" fillId="0" borderId="0" xfId="0" applyFont="true" applyBorder="true" applyAlignment="true" applyProtection="true">
      <alignment horizontal="general" vertical="bottom" textRotation="0" wrapText="false" indent="0" shrinkToFit="false"/>
      <protection locked="true" hidden="false"/>
    </xf>
    <xf numFmtId="165" fontId="88" fillId="0" borderId="0" xfId="21" applyFont="true" applyBorder="true" applyAlignment="true" applyProtection="true">
      <alignment horizontal="general" vertical="bottom" textRotation="0" wrapText="false" indent="0" shrinkToFit="false"/>
      <protection locked="true" hidden="false"/>
    </xf>
    <xf numFmtId="165" fontId="96" fillId="0" borderId="0" xfId="21" applyFont="true" applyBorder="true" applyAlignment="true" applyProtection="true">
      <alignment horizontal="center" vertical="bottom" textRotation="0" wrapText="false" indent="0" shrinkToFit="false"/>
      <protection locked="true" hidden="false"/>
    </xf>
    <xf numFmtId="165" fontId="104" fillId="0" borderId="0" xfId="21" applyFont="true" applyBorder="true" applyAlignment="true" applyProtection="true">
      <alignment horizontal="general" vertical="bottom" textRotation="0" wrapText="false" indent="0" shrinkToFit="false"/>
      <protection locked="true" hidden="false"/>
    </xf>
    <xf numFmtId="184" fontId="96" fillId="0" borderId="0" xfId="21" applyFont="true" applyBorder="true" applyAlignment="true" applyProtection="true">
      <alignment horizontal="general" vertical="bottom" textRotation="0" wrapText="false" indent="0" shrinkToFit="false"/>
      <protection locked="true" hidden="false"/>
    </xf>
    <xf numFmtId="185" fontId="96" fillId="0" borderId="0" xfId="21" applyFont="true" applyBorder="true" applyAlignment="true" applyProtection="true">
      <alignment horizontal="general" vertical="bottom" textRotation="0" wrapText="false" indent="0" shrinkToFit="false"/>
      <protection locked="true" hidden="false"/>
    </xf>
    <xf numFmtId="182" fontId="95" fillId="14" borderId="35" xfId="21" applyFont="true" applyBorder="true" applyAlignment="true" applyProtection="true">
      <alignment horizontal="general" vertical="bottom" textRotation="0" wrapText="false" indent="0" shrinkToFit="true"/>
      <protection locked="true" hidden="false"/>
    </xf>
    <xf numFmtId="164" fontId="96" fillId="0" borderId="0" xfId="0" applyFont="true" applyBorder="true" applyAlignment="true" applyProtection="true">
      <alignment horizontal="general" vertical="bottom" textRotation="0" wrapText="false" indent="0" shrinkToFit="false"/>
      <protection locked="true" hidden="false"/>
    </xf>
    <xf numFmtId="164" fontId="97" fillId="0" borderId="0" xfId="0" applyFont="true" applyBorder="true" applyAlignment="true" applyProtection="true">
      <alignment horizontal="general" vertical="bottom" textRotation="0" wrapText="false" indent="0" shrinkToFit="false"/>
      <protection locked="true" hidden="false"/>
    </xf>
    <xf numFmtId="165" fontId="96" fillId="0" borderId="0" xfId="21" applyFont="true" applyBorder="true" applyAlignment="true" applyProtection="true">
      <alignment horizontal="general" vertical="bottom" textRotation="0" wrapText="false" indent="0" shrinkToFit="false"/>
      <protection locked="true" hidden="false"/>
    </xf>
    <xf numFmtId="181" fontId="49" fillId="0" borderId="19" xfId="0" applyFont="true" applyBorder="true" applyAlignment="true" applyProtection="true">
      <alignment horizontal="left" vertical="bottom" textRotation="0" wrapText="false" indent="0" shrinkToFit="true"/>
      <protection locked="true" hidden="false"/>
    </xf>
    <xf numFmtId="173" fontId="66" fillId="0" borderId="0" xfId="0" applyFont="true" applyBorder="false" applyAlignment="true" applyProtection="true">
      <alignment horizontal="general" vertical="bottom" textRotation="0" wrapText="false" indent="0" shrinkToFit="true"/>
      <protection locked="true" hidden="false"/>
    </xf>
    <xf numFmtId="164" fontId="48" fillId="12" borderId="21" xfId="0" applyFont="true" applyBorder="true" applyAlignment="true" applyProtection="true">
      <alignment horizontal="left" vertical="bottom" textRotation="0" wrapText="false" indent="0" shrinkToFit="false"/>
      <protection locked="true" hidden="false"/>
    </xf>
    <xf numFmtId="164" fontId="47" fillId="0" borderId="0" xfId="0" applyFont="true" applyBorder="false" applyAlignment="true" applyProtection="true">
      <alignment horizontal="right" vertical="bottom" textRotation="0" wrapText="false" indent="0" shrinkToFit="false"/>
      <protection locked="true" hidden="false"/>
    </xf>
    <xf numFmtId="164" fontId="45" fillId="12"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tru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82" fontId="108" fillId="0" borderId="0" xfId="20" applyFont="true" applyBorder="true" applyAlignment="true" applyProtection="true">
      <alignment horizontal="general" vertical="bottom" textRotation="0" wrapText="false" indent="0" shrinkToFit="false"/>
      <protection locked="true" hidden="false"/>
    </xf>
    <xf numFmtId="182" fontId="109" fillId="0" borderId="0" xfId="20" applyFont="true" applyBorder="true" applyAlignment="true" applyProtection="true">
      <alignment horizontal="general" vertical="bottom" textRotation="0" wrapText="false" indent="0" shrinkToFit="false"/>
      <protection locked="true" hidden="false"/>
    </xf>
    <xf numFmtId="164" fontId="46" fillId="0" borderId="30" xfId="0" applyFont="true" applyBorder="true" applyAlignment="true" applyProtection="true">
      <alignment horizontal="center" vertical="center" textRotation="0" wrapText="false" indent="0" shrinkToFit="false"/>
      <protection locked="true" hidden="false"/>
    </xf>
    <xf numFmtId="164" fontId="46" fillId="0" borderId="30" xfId="0" applyFont="true" applyBorder="true" applyAlignment="true" applyProtection="true">
      <alignment horizontal="center" vertical="center" textRotation="0" wrapText="true" indent="0" shrinkToFit="false"/>
      <protection locked="true" hidden="false"/>
    </xf>
    <xf numFmtId="164" fontId="94" fillId="0" borderId="30" xfId="0" applyFont="true" applyBorder="true" applyAlignment="true" applyProtection="true">
      <alignment horizontal="center" vertical="center" textRotation="0" wrapText="true" indent="0" shrinkToFit="false"/>
      <protection locked="true" hidden="false"/>
    </xf>
    <xf numFmtId="164" fontId="94" fillId="15" borderId="30" xfId="0" applyFont="true" applyBorder="true" applyAlignment="true" applyProtection="true">
      <alignment horizontal="center" vertical="center" textRotation="0" wrapText="true" indent="0" shrinkToFit="false"/>
      <protection locked="true" hidden="false"/>
    </xf>
    <xf numFmtId="164" fontId="110" fillId="11" borderId="30" xfId="0" applyFont="true" applyBorder="true" applyAlignment="true" applyProtection="true">
      <alignment horizontal="center" vertical="center" textRotation="0" wrapText="true" indent="0" shrinkToFit="false"/>
      <protection locked="true" hidden="false"/>
    </xf>
    <xf numFmtId="164" fontId="87" fillId="0" borderId="0" xfId="0" applyFont="true" applyBorder="true" applyAlignment="true" applyProtection="true">
      <alignment horizontal="center" vertical="center" textRotation="0" wrapText="true" indent="0" shrinkToFit="false"/>
      <protection locked="true" hidden="false"/>
    </xf>
    <xf numFmtId="164" fontId="46" fillId="0" borderId="24" xfId="0" applyFont="true" applyBorder="true" applyAlignment="true" applyProtection="true">
      <alignment horizontal="center" vertical="center" textRotation="0" wrapText="false" indent="0" shrinkToFit="false"/>
      <protection locked="true" hidden="false"/>
    </xf>
    <xf numFmtId="164" fontId="46" fillId="0" borderId="29" xfId="0" applyFont="true" applyBorder="true" applyAlignment="true" applyProtection="true">
      <alignment horizontal="center" vertical="center" textRotation="0" wrapText="true" indent="0" shrinkToFit="false"/>
      <protection locked="true" hidden="false"/>
    </xf>
    <xf numFmtId="164" fontId="46" fillId="0" borderId="155" xfId="0" applyFont="true" applyBorder="true" applyAlignment="true" applyProtection="true">
      <alignment horizontal="center" vertical="center" textRotation="0" wrapText="true" indent="0" shrinkToFit="false"/>
      <protection locked="true" hidden="false"/>
    </xf>
    <xf numFmtId="164" fontId="46" fillId="0" borderId="156" xfId="0" applyFont="true" applyBorder="true" applyAlignment="true" applyProtection="true">
      <alignment horizontal="center" vertical="center" textRotation="0" wrapText="true" indent="0" shrinkToFit="false"/>
      <protection locked="true" hidden="false"/>
    </xf>
    <xf numFmtId="164" fontId="46" fillId="0" borderId="157" xfId="0" applyFont="true" applyBorder="true" applyAlignment="true" applyProtection="true">
      <alignment horizontal="center" vertical="center" textRotation="0" wrapText="true" indent="0" shrinkToFit="false"/>
      <protection locked="true" hidden="false"/>
    </xf>
    <xf numFmtId="164" fontId="46" fillId="0" borderId="24" xfId="0" applyFont="true" applyBorder="true" applyAlignment="true" applyProtection="true">
      <alignment horizontal="center" vertical="center" textRotation="0" wrapText="true" indent="0" shrinkToFit="false"/>
      <protection locked="true" hidden="false"/>
    </xf>
    <xf numFmtId="164" fontId="46" fillId="0" borderId="0" xfId="0" applyFont="true" applyBorder="true" applyAlignment="true" applyProtection="true">
      <alignment horizontal="center" vertical="center" textRotation="0" wrapText="true" indent="0" shrinkToFit="false"/>
      <protection locked="true" hidden="false"/>
    </xf>
    <xf numFmtId="182" fontId="46" fillId="0" borderId="0" xfId="20" applyFont="true" applyBorder="true" applyAlignment="true" applyProtection="true">
      <alignment horizontal="left" vertical="center" textRotation="0" wrapText="true" indent="0" shrinkToFit="false"/>
      <protection locked="true" hidden="false"/>
    </xf>
    <xf numFmtId="164" fontId="40" fillId="0" borderId="0" xfId="0" applyFont="true" applyBorder="true" applyAlignment="true" applyProtection="true">
      <alignment horizontal="center" vertical="center" textRotation="0" wrapText="false" indent="0" shrinkToFit="false"/>
      <protection locked="true" hidden="false"/>
    </xf>
    <xf numFmtId="164" fontId="47" fillId="0" borderId="30" xfId="0" applyFont="true" applyBorder="true" applyAlignment="true" applyProtection="true">
      <alignment horizontal="center" vertical="center" textRotation="0" wrapText="true" indent="0" shrinkToFit="false"/>
      <protection locked="true" hidden="false"/>
    </xf>
    <xf numFmtId="182" fontId="109" fillId="0" borderId="35" xfId="20" applyFont="true" applyBorder="true" applyAlignment="true" applyProtection="true">
      <alignment horizontal="general" vertical="bottom" textRotation="0" wrapText="false" indent="0" shrinkToFit="false"/>
      <protection locked="true" hidden="false"/>
    </xf>
    <xf numFmtId="164" fontId="46" fillId="0" borderId="30" xfId="0" applyFont="true" applyBorder="true" applyAlignment="true" applyProtection="true">
      <alignment horizontal="general" vertical="bottom" textRotation="0" wrapText="false" indent="0" shrinkToFit="false"/>
      <protection locked="true" hidden="false"/>
    </xf>
    <xf numFmtId="165" fontId="111" fillId="0" borderId="30" xfId="20" applyFont="true" applyBorder="true" applyAlignment="true" applyProtection="true">
      <alignment horizontal="general" vertical="bottom" textRotation="0" wrapText="false" indent="0" shrinkToFit="false"/>
      <protection locked="true" hidden="false"/>
    </xf>
    <xf numFmtId="165" fontId="112" fillId="0" borderId="30" xfId="20" applyFont="true" applyBorder="true" applyAlignment="true" applyProtection="true">
      <alignment horizontal="general" vertical="bottom" textRotation="0" wrapText="false" indent="0" shrinkToFit="false"/>
      <protection locked="true" hidden="false"/>
    </xf>
    <xf numFmtId="165" fontId="111" fillId="15" borderId="30" xfId="20" applyFont="true" applyBorder="true" applyAlignment="true" applyProtection="true">
      <alignment horizontal="general" vertical="bottom" textRotation="0" wrapText="false" indent="0" shrinkToFit="false"/>
      <protection locked="true" hidden="false"/>
    </xf>
    <xf numFmtId="165" fontId="48" fillId="11" borderId="30" xfId="20" applyFont="true" applyBorder="true" applyAlignment="true" applyProtection="true">
      <alignment horizontal="right" vertical="center" textRotation="0" wrapText="false" indent="0" shrinkToFit="false"/>
      <protection locked="true" hidden="false"/>
    </xf>
    <xf numFmtId="165" fontId="111" fillId="0" borderId="0" xfId="20" applyFont="true" applyBorder="true" applyAlignment="true" applyProtection="true">
      <alignment horizontal="general" vertical="bottom" textRotation="0" wrapText="false" indent="0" shrinkToFit="false"/>
      <protection locked="true" hidden="false"/>
    </xf>
    <xf numFmtId="165" fontId="112" fillId="0" borderId="0" xfId="20" applyFont="true" applyBorder="true" applyAlignment="true" applyProtection="true">
      <alignment horizontal="general" vertical="bottom" textRotation="0" wrapText="false" indent="0" shrinkToFit="false"/>
      <protection locked="true" hidden="false"/>
    </xf>
    <xf numFmtId="164" fontId="46" fillId="0" borderId="24" xfId="0" applyFont="true" applyBorder="true" applyAlignment="true" applyProtection="true">
      <alignment horizontal="general" vertical="bottom" textRotation="0" wrapText="false" indent="0" shrinkToFit="false"/>
      <protection locked="true" hidden="false"/>
    </xf>
    <xf numFmtId="165" fontId="112" fillId="0" borderId="29" xfId="20" applyFont="true" applyBorder="true" applyAlignment="true" applyProtection="true">
      <alignment horizontal="general" vertical="bottom" textRotation="0" wrapText="false" indent="0" shrinkToFit="false"/>
      <protection locked="true" hidden="false"/>
    </xf>
    <xf numFmtId="165" fontId="112" fillId="0" borderId="155" xfId="20" applyFont="true" applyBorder="true" applyAlignment="true" applyProtection="true">
      <alignment horizontal="general" vertical="bottom" textRotation="0" wrapText="false" indent="0" shrinkToFit="false"/>
      <protection locked="true" hidden="false"/>
    </xf>
    <xf numFmtId="165" fontId="112" fillId="0" borderId="157" xfId="20" applyFont="true" applyBorder="true" applyAlignment="true" applyProtection="true">
      <alignment horizontal="general" vertical="bottom" textRotation="0" wrapText="false" indent="0" shrinkToFit="false"/>
      <protection locked="true" hidden="false"/>
    </xf>
    <xf numFmtId="165" fontId="112" fillId="0" borderId="24" xfId="20" applyFont="true" applyBorder="true" applyAlignment="true" applyProtection="true">
      <alignment horizontal="general" vertical="bottom" textRotation="0" wrapText="false" indent="0" shrinkToFit="false"/>
      <protection locked="true" hidden="false"/>
    </xf>
    <xf numFmtId="165" fontId="112" fillId="0" borderId="0" xfId="21" applyFont="true" applyBorder="true" applyAlignment="true" applyProtection="true">
      <alignment horizontal="general" vertical="bottom" textRotation="0" wrapText="false" indent="0" shrinkToFit="false"/>
      <protection locked="true" hidden="false"/>
    </xf>
    <xf numFmtId="182" fontId="113" fillId="0" borderId="0" xfId="20" applyFont="true" applyBorder="true" applyAlignment="true" applyProtection="true">
      <alignment horizontal="center" vertical="bottom" textRotation="0" wrapText="false" indent="0" shrinkToFit="true"/>
      <protection locked="true" hidden="false"/>
    </xf>
    <xf numFmtId="182" fontId="109" fillId="0" borderId="47" xfId="20" applyFont="true" applyBorder="true" applyAlignment="true" applyProtection="true">
      <alignment horizontal="general" vertical="bottom" textRotation="0" wrapText="false" indent="0" shrinkToFit="false"/>
      <protection locked="true" hidden="false"/>
    </xf>
    <xf numFmtId="165" fontId="113" fillId="0" borderId="0" xfId="20" applyFont="true" applyBorder="true" applyAlignment="true" applyProtection="true">
      <alignment horizontal="center" vertical="bottom" textRotation="0" wrapText="false" indent="0" shrinkToFit="false"/>
      <protection locked="true" hidden="false"/>
    </xf>
    <xf numFmtId="165" fontId="111" fillId="11" borderId="30" xfId="20" applyFont="true" applyBorder="true" applyAlignment="true" applyProtection="true">
      <alignment horizontal="general" vertical="bottom" textRotation="0" wrapText="false" indent="0" shrinkToFit="false"/>
      <protection locked="true" hidden="false"/>
    </xf>
    <xf numFmtId="182" fontId="114" fillId="0" borderId="0" xfId="20" applyFont="true" applyBorder="true" applyAlignment="true" applyProtection="true">
      <alignment horizontal="general" vertical="bottom" textRotation="0" wrapText="false" indent="0" shrinkToFit="false"/>
      <protection locked="true" hidden="false"/>
    </xf>
    <xf numFmtId="164" fontId="46" fillId="0" borderId="30" xfId="0" applyFont="true" applyBorder="true" applyAlignment="true" applyProtection="true">
      <alignment horizontal="general" vertical="bottom" textRotation="0" wrapText="true" indent="0" shrinkToFit="false"/>
      <protection locked="true" hidden="false"/>
    </xf>
    <xf numFmtId="164" fontId="46" fillId="0" borderId="24" xfId="0" applyFont="true" applyBorder="true" applyAlignment="true" applyProtection="true">
      <alignment horizontal="general" vertical="bottom" textRotation="0" wrapText="true" indent="0" shrinkToFit="false"/>
      <protection locked="true" hidden="false"/>
    </xf>
    <xf numFmtId="165" fontId="112" fillId="0" borderId="0" xfId="21"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82" fontId="109" fillId="0" borderId="31" xfId="20" applyFont="true" applyBorder="true" applyAlignment="true" applyProtection="true">
      <alignment horizontal="general" vertical="bottom" textRotation="0" wrapText="false" indent="0" shrinkToFit="false"/>
      <protection locked="true" hidden="false"/>
    </xf>
    <xf numFmtId="165" fontId="111" fillId="0" borderId="29" xfId="20" applyFont="true" applyBorder="true" applyAlignment="true" applyProtection="true">
      <alignment horizontal="general" vertical="bottom" textRotation="0" wrapText="false" indent="0" shrinkToFit="false"/>
      <protection locked="true" hidden="false"/>
    </xf>
    <xf numFmtId="165" fontId="111" fillId="0" borderId="155" xfId="20" applyFont="true" applyBorder="true" applyAlignment="true" applyProtection="true">
      <alignment horizontal="general" vertical="bottom" textRotation="0" wrapText="false" indent="0" shrinkToFit="false"/>
      <protection locked="true" hidden="false"/>
    </xf>
    <xf numFmtId="165" fontId="111" fillId="0" borderId="157" xfId="20" applyFont="true" applyBorder="true" applyAlignment="true" applyProtection="true">
      <alignment horizontal="general" vertical="bottom" textRotation="0" wrapText="false" indent="0" shrinkToFit="false"/>
      <protection locked="true" hidden="false"/>
    </xf>
    <xf numFmtId="165" fontId="111" fillId="0" borderId="24" xfId="20" applyFont="true" applyBorder="true" applyAlignment="true" applyProtection="true">
      <alignment horizontal="general" vertical="bottom" textRotation="0" wrapText="false" indent="0" shrinkToFit="false"/>
      <protection locked="true" hidden="false"/>
    </xf>
    <xf numFmtId="173" fontId="111" fillId="11"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15" fillId="0" borderId="0" xfId="20" applyFont="true" applyBorder="true" applyAlignment="true" applyProtection="true">
      <alignment horizontal="general" vertical="bottom" textRotation="0" wrapText="false" indent="0" shrinkToFit="false"/>
      <protection locked="true" hidden="false"/>
    </xf>
    <xf numFmtId="165" fontId="50" fillId="0" borderId="0" xfId="21" applyFont="true" applyBorder="true" applyAlignment="true" applyProtection="true">
      <alignment horizontal="center" vertical="bottom" textRotation="0" wrapText="false" indent="0" shrinkToFit="false"/>
      <protection locked="true" hidden="false"/>
    </xf>
    <xf numFmtId="165" fontId="56" fillId="0" borderId="0" xfId="21" applyFont="true" applyBorder="true" applyAlignment="true" applyProtection="true">
      <alignment horizontal="left" vertical="center" textRotation="0" wrapText="false" indent="0" shrinkToFit="true"/>
      <protection locked="true" hidden="false"/>
    </xf>
    <xf numFmtId="165" fontId="46" fillId="0" borderId="0" xfId="21" applyFont="true" applyBorder="true" applyAlignment="true" applyProtection="true">
      <alignment horizontal="left" vertical="center" textRotation="0" wrapText="false" indent="0" shrinkToFit="false"/>
      <protection locked="true" hidden="false"/>
    </xf>
    <xf numFmtId="165" fontId="48" fillId="0" borderId="30" xfId="21" applyFont="true" applyBorder="true" applyAlignment="true" applyProtection="true">
      <alignment horizontal="center" vertical="center" textRotation="0" wrapText="false" indent="0" shrinkToFit="false"/>
      <protection locked="true" hidden="false"/>
    </xf>
    <xf numFmtId="186" fontId="88" fillId="0" borderId="29" xfId="21" applyFont="true" applyBorder="true" applyAlignment="true" applyProtection="true">
      <alignment horizontal="right" vertical="center" textRotation="0" wrapText="false" indent="0" shrinkToFit="false"/>
      <protection locked="true" hidden="false"/>
    </xf>
    <xf numFmtId="165" fontId="50" fillId="0" borderId="24" xfId="21" applyFont="true" applyBorder="true" applyAlignment="true" applyProtection="true">
      <alignment horizontal="left" vertical="center" textRotation="0" wrapText="false" indent="0" shrinkToFit="false"/>
      <protection locked="true" hidden="false"/>
    </xf>
    <xf numFmtId="184" fontId="117" fillId="0" borderId="0" xfId="21" applyFont="true" applyBorder="true" applyAlignment="true" applyProtection="true">
      <alignment horizontal="general" vertical="bottom" textRotation="0" wrapText="false" indent="0" shrinkToFit="false"/>
      <protection locked="true" hidden="false"/>
    </xf>
    <xf numFmtId="165" fontId="87" fillId="0" borderId="0" xfId="21" applyFont="true" applyBorder="true" applyAlignment="true" applyProtection="true">
      <alignment horizontal="general" vertical="bottom" textRotation="0" wrapText="false" indent="0" shrinkToFit="false"/>
      <protection locked="true" hidden="false"/>
    </xf>
    <xf numFmtId="165" fontId="87" fillId="0" borderId="0" xfId="21" applyFont="true" applyBorder="true" applyAlignment="true" applyProtection="true">
      <alignment horizontal="center" vertical="bottom" textRotation="0" wrapText="false" indent="0" shrinkToFit="false"/>
      <protection locked="true" hidden="false"/>
    </xf>
    <xf numFmtId="187" fontId="87" fillId="0" borderId="0" xfId="21" applyFont="true" applyBorder="true" applyAlignment="true" applyProtection="true">
      <alignment horizontal="center" vertical="bottom" textRotation="0" wrapText="false" indent="0" shrinkToFit="false"/>
      <protection locked="true" hidden="false"/>
    </xf>
    <xf numFmtId="165" fontId="87" fillId="0" borderId="158" xfId="21" applyFont="true" applyBorder="true" applyAlignment="true" applyProtection="true">
      <alignment horizontal="center" vertical="bottom" textRotation="0" wrapText="false" indent="0" shrinkToFit="false"/>
      <protection locked="true" hidden="false"/>
    </xf>
    <xf numFmtId="165" fontId="50" fillId="0" borderId="0" xfId="21" applyFont="true" applyBorder="true" applyAlignment="true" applyProtection="true">
      <alignment horizontal="right" vertical="bottom" textRotation="0" wrapText="false" indent="0" shrinkToFit="false"/>
      <protection locked="true" hidden="false"/>
    </xf>
    <xf numFmtId="187" fontId="96" fillId="0" borderId="0" xfId="21" applyFont="true" applyBorder="true" applyAlignment="true" applyProtection="true">
      <alignment horizontal="general" vertical="bottom" textRotation="0" wrapText="false" indent="0" shrinkToFit="false"/>
      <protection locked="true" hidden="false"/>
    </xf>
    <xf numFmtId="184" fontId="50" fillId="0" borderId="0" xfId="21" applyFont="true" applyBorder="true" applyAlignment="true" applyProtection="true">
      <alignment horizontal="general" vertical="bottom" textRotation="0" wrapText="false" indent="0" shrinkToFit="false"/>
      <protection locked="true" hidden="false"/>
    </xf>
    <xf numFmtId="187" fontId="50" fillId="0" borderId="0" xfId="21" applyFont="true" applyBorder="true" applyAlignment="true" applyProtection="true">
      <alignment horizontal="center" vertical="bottom" textRotation="0" wrapText="false" indent="0" shrinkToFit="false"/>
      <protection locked="true" hidden="false"/>
    </xf>
    <xf numFmtId="165" fontId="48" fillId="0" borderId="4" xfId="21" applyFont="true" applyBorder="true" applyAlignment="true" applyProtection="true">
      <alignment horizontal="center" vertical="center" textRotation="0" wrapText="true" indent="0" shrinkToFit="false"/>
      <protection locked="true" hidden="false"/>
    </xf>
    <xf numFmtId="165" fontId="47" fillId="0" borderId="40" xfId="21" applyFont="true" applyBorder="true" applyAlignment="true" applyProtection="true">
      <alignment horizontal="center" vertical="center" textRotation="0" wrapText="false" indent="0" shrinkToFit="true"/>
      <protection locked="true" hidden="false"/>
    </xf>
    <xf numFmtId="165" fontId="118" fillId="0" borderId="4" xfId="21" applyFont="true" applyBorder="true" applyAlignment="true" applyProtection="true">
      <alignment horizontal="center" vertical="center" textRotation="0" wrapText="true" indent="0" shrinkToFit="false"/>
      <protection locked="true" hidden="false"/>
    </xf>
    <xf numFmtId="165" fontId="47" fillId="0" borderId="37" xfId="21" applyFont="true" applyBorder="true" applyAlignment="true" applyProtection="true">
      <alignment horizontal="center" vertical="center" textRotation="0" wrapText="true" indent="0" shrinkToFit="false"/>
      <protection locked="true" hidden="false"/>
    </xf>
    <xf numFmtId="165" fontId="47" fillId="0" borderId="38" xfId="21" applyFont="true" applyBorder="true" applyAlignment="true" applyProtection="true">
      <alignment horizontal="center" vertical="center" textRotation="0" wrapText="true" indent="0" shrinkToFit="false"/>
      <protection locked="true" hidden="false"/>
    </xf>
    <xf numFmtId="165" fontId="47" fillId="0" borderId="3" xfId="21" applyFont="true" applyBorder="true" applyAlignment="true" applyProtection="true">
      <alignment horizontal="center" vertical="center" textRotation="0" wrapText="true" indent="0" shrinkToFit="false"/>
      <protection locked="true" hidden="false"/>
    </xf>
    <xf numFmtId="165" fontId="47" fillId="0" borderId="10" xfId="21" applyFont="true" applyBorder="true" applyAlignment="true" applyProtection="true">
      <alignment horizontal="center" vertical="bottom" textRotation="0" wrapText="false" indent="0" shrinkToFit="false"/>
      <protection locked="true" hidden="false"/>
    </xf>
    <xf numFmtId="165" fontId="119" fillId="0" borderId="13" xfId="21" applyFont="true" applyBorder="true" applyAlignment="true" applyProtection="true">
      <alignment horizontal="general" vertical="bottom" textRotation="0" wrapText="false" indent="0" shrinkToFit="false"/>
      <protection locked="true" hidden="false"/>
    </xf>
    <xf numFmtId="165" fontId="100" fillId="14" borderId="20" xfId="21" applyFont="true" applyBorder="true" applyAlignment="true" applyProtection="true">
      <alignment horizontal="general" vertical="bottom" textRotation="0" wrapText="false" indent="0" shrinkToFit="false"/>
      <protection locked="true" hidden="false"/>
    </xf>
    <xf numFmtId="165" fontId="119" fillId="0" borderId="31" xfId="21" applyFont="true" applyBorder="true" applyAlignment="true" applyProtection="true">
      <alignment horizontal="general" vertical="bottom" textRotation="0" wrapText="false" indent="0" shrinkToFit="false"/>
      <protection locked="true" hidden="false"/>
    </xf>
    <xf numFmtId="165" fontId="100" fillId="14" borderId="21" xfId="21" applyFont="true" applyBorder="true" applyAlignment="true" applyProtection="true">
      <alignment horizontal="general" vertical="bottom" textRotation="0" wrapText="false" indent="0" shrinkToFit="false"/>
      <protection locked="true" hidden="false"/>
    </xf>
    <xf numFmtId="165" fontId="120" fillId="0" borderId="10" xfId="21" applyFont="true" applyBorder="true" applyAlignment="true" applyProtection="true">
      <alignment horizontal="general" vertical="bottom" textRotation="0" wrapText="false" indent="0" shrinkToFit="false"/>
      <protection locked="true" hidden="false"/>
    </xf>
    <xf numFmtId="165" fontId="47" fillId="0" borderId="27" xfId="21" applyFont="true" applyBorder="true" applyAlignment="true" applyProtection="true">
      <alignment horizontal="center" vertical="bottom" textRotation="0" wrapText="false" indent="0" shrinkToFit="false"/>
      <protection locked="true" hidden="false"/>
    </xf>
    <xf numFmtId="165" fontId="100" fillId="14" borderId="26" xfId="21" applyFont="true" applyBorder="true" applyAlignment="true" applyProtection="true">
      <alignment horizontal="general" vertical="bottom" textRotation="0" wrapText="false" indent="0" shrinkToFit="false"/>
      <protection locked="true" hidden="false"/>
    </xf>
    <xf numFmtId="165" fontId="100" fillId="14" borderId="28" xfId="21" applyFont="true" applyBorder="true" applyAlignment="true" applyProtection="true">
      <alignment horizontal="general" vertical="bottom" textRotation="0" wrapText="false" indent="0" shrinkToFit="false"/>
      <protection locked="true" hidden="false"/>
    </xf>
    <xf numFmtId="165" fontId="120" fillId="0" borderId="27" xfId="21" applyFont="true" applyBorder="true" applyAlignment="true" applyProtection="true">
      <alignment horizontal="general" vertical="bottom" textRotation="0" wrapText="false" indent="0" shrinkToFit="false"/>
      <protection locked="true" hidden="false"/>
    </xf>
    <xf numFmtId="165" fontId="47" fillId="22" borderId="27" xfId="21" applyFont="true" applyBorder="true" applyAlignment="true" applyProtection="true">
      <alignment horizontal="center" vertical="bottom" textRotation="0" wrapText="false" indent="0" shrinkToFit="false"/>
      <protection locked="true" hidden="false"/>
    </xf>
    <xf numFmtId="165" fontId="119" fillId="22" borderId="30" xfId="21" applyFont="true" applyBorder="true" applyAlignment="true" applyProtection="true">
      <alignment horizontal="general" vertical="bottom" textRotation="0" wrapText="false" indent="0" shrinkToFit="false"/>
      <protection locked="true" hidden="false"/>
    </xf>
    <xf numFmtId="165" fontId="100" fillId="22" borderId="26" xfId="21" applyFont="true" applyBorder="true" applyAlignment="true" applyProtection="true">
      <alignment horizontal="general" vertical="bottom" textRotation="0" wrapText="false" indent="0" shrinkToFit="false"/>
      <protection locked="true" hidden="false"/>
    </xf>
    <xf numFmtId="165" fontId="100" fillId="22" borderId="28" xfId="21" applyFont="true" applyBorder="true" applyAlignment="true" applyProtection="true">
      <alignment horizontal="general" vertical="bottom" textRotation="0" wrapText="false" indent="0" shrinkToFit="false"/>
      <protection locked="true" hidden="false"/>
    </xf>
    <xf numFmtId="165" fontId="120" fillId="22" borderId="27" xfId="21" applyFont="true" applyBorder="true" applyAlignment="true" applyProtection="true">
      <alignment horizontal="general" vertical="bottom" textRotation="0" wrapText="false" indent="0" shrinkToFit="true"/>
      <protection locked="true" hidden="false"/>
    </xf>
    <xf numFmtId="165" fontId="119" fillId="14" borderId="31" xfId="21" applyFont="true" applyBorder="true" applyAlignment="true" applyProtection="true">
      <alignment horizontal="general" vertical="bottom" textRotation="0" wrapText="false" indent="0" shrinkToFit="false"/>
      <protection locked="true" hidden="false"/>
    </xf>
    <xf numFmtId="165" fontId="120" fillId="0" borderId="27" xfId="21" applyFont="true" applyBorder="true" applyAlignment="true" applyProtection="true">
      <alignment horizontal="general" vertical="bottom" textRotation="0" wrapText="false" indent="0" shrinkToFit="true"/>
      <protection locked="true" hidden="false"/>
    </xf>
    <xf numFmtId="165" fontId="86" fillId="0" borderId="13" xfId="21" applyFont="true" applyBorder="true" applyAlignment="true" applyProtection="true">
      <alignment horizontal="general" vertical="bottom" textRotation="0" wrapText="false" indent="0" shrinkToFit="false"/>
      <protection locked="true" hidden="false"/>
    </xf>
    <xf numFmtId="165" fontId="47" fillId="14" borderId="27" xfId="21" applyFont="true" applyBorder="true" applyAlignment="true" applyProtection="true">
      <alignment horizontal="center" vertical="bottom" textRotation="0" wrapText="false" indent="0" shrinkToFit="false"/>
      <protection locked="true" hidden="false"/>
    </xf>
    <xf numFmtId="165" fontId="99" fillId="0" borderId="13" xfId="21" applyFont="true" applyBorder="true" applyAlignment="true" applyProtection="true">
      <alignment horizontal="general" vertical="bottom" textRotation="0" wrapText="false" indent="0" shrinkToFit="false"/>
      <protection locked="true" hidden="false"/>
    </xf>
    <xf numFmtId="165" fontId="120" fillId="14" borderId="27" xfId="21" applyFont="true" applyBorder="true" applyAlignment="true" applyProtection="true">
      <alignment horizontal="general" vertical="bottom" textRotation="0" wrapText="false" indent="0" shrinkToFit="false"/>
      <protection locked="true" hidden="false"/>
    </xf>
    <xf numFmtId="165" fontId="99" fillId="22" borderId="30" xfId="21" applyFont="true" applyBorder="true" applyAlignment="true" applyProtection="true">
      <alignment horizontal="general" vertical="bottom" textRotation="0" wrapText="false" indent="0" shrinkToFit="false"/>
      <protection locked="true" hidden="false"/>
    </xf>
    <xf numFmtId="165" fontId="120" fillId="22" borderId="27" xfId="21" applyFont="true" applyBorder="true" applyAlignment="true" applyProtection="true">
      <alignment horizontal="general" vertical="bottom" textRotation="0" wrapText="false" indent="0" shrinkToFit="false"/>
      <protection locked="true" hidden="false"/>
    </xf>
    <xf numFmtId="165" fontId="47" fillId="22" borderId="41" xfId="21" applyFont="true" applyBorder="true" applyAlignment="true" applyProtection="true">
      <alignment horizontal="center" vertical="bottom" textRotation="0" wrapText="false" indent="0" shrinkToFit="false"/>
      <protection locked="true" hidden="false"/>
    </xf>
    <xf numFmtId="165" fontId="47" fillId="14" borderId="41" xfId="21" applyFont="true" applyBorder="true" applyAlignment="true" applyProtection="true">
      <alignment horizontal="center" vertical="bottom" textRotation="0" wrapText="false" indent="0" shrinkToFit="false"/>
      <protection locked="true" hidden="false"/>
    </xf>
    <xf numFmtId="165" fontId="94" fillId="23" borderId="41" xfId="21" applyFont="true" applyBorder="true" applyAlignment="true" applyProtection="true">
      <alignment horizontal="center" vertical="bottom" textRotation="0" wrapText="true" indent="0" shrinkToFit="false"/>
      <protection locked="true" hidden="false"/>
    </xf>
    <xf numFmtId="165" fontId="86" fillId="23" borderId="30" xfId="21" applyFont="true" applyBorder="true" applyAlignment="true" applyProtection="true">
      <alignment horizontal="general" vertical="bottom" textRotation="0" wrapText="false" indent="0" shrinkToFit="false"/>
      <protection locked="true" hidden="false"/>
    </xf>
    <xf numFmtId="165" fontId="100" fillId="23" borderId="26" xfId="21" applyFont="true" applyBorder="true" applyAlignment="true" applyProtection="true">
      <alignment horizontal="general" vertical="bottom" textRotation="0" wrapText="false" indent="0" shrinkToFit="false"/>
      <protection locked="true" hidden="false"/>
    </xf>
    <xf numFmtId="165" fontId="121" fillId="23" borderId="35" xfId="21" applyFont="true" applyBorder="true" applyAlignment="true" applyProtection="true">
      <alignment horizontal="general" vertical="bottom" textRotation="0" wrapText="false" indent="0" shrinkToFit="false"/>
      <protection locked="true" hidden="false"/>
    </xf>
    <xf numFmtId="165" fontId="100" fillId="23" borderId="42" xfId="21" applyFont="true" applyBorder="true" applyAlignment="true" applyProtection="true">
      <alignment horizontal="general" vertical="bottom" textRotation="0" wrapText="false" indent="0" shrinkToFit="false"/>
      <protection locked="true" hidden="false"/>
    </xf>
    <xf numFmtId="165" fontId="120" fillId="23" borderId="41" xfId="21" applyFont="true" applyBorder="true" applyAlignment="true" applyProtection="true">
      <alignment horizontal="general" vertical="bottom" textRotation="0" wrapText="false" indent="0" shrinkToFit="false"/>
      <protection locked="true" hidden="false"/>
    </xf>
    <xf numFmtId="165" fontId="94" fillId="23" borderId="89" xfId="21" applyFont="true" applyBorder="true" applyAlignment="true" applyProtection="true">
      <alignment horizontal="center" vertical="bottom" textRotation="0" wrapText="true" indent="0" shrinkToFit="false"/>
      <protection locked="true" hidden="false"/>
    </xf>
    <xf numFmtId="165" fontId="100" fillId="23" borderId="38" xfId="21" applyFont="true" applyBorder="true" applyAlignment="true" applyProtection="true">
      <alignment horizontal="general" vertical="bottom" textRotation="0" wrapText="false" indent="0" shrinkToFit="false"/>
      <protection locked="true" hidden="false"/>
    </xf>
    <xf numFmtId="165" fontId="121" fillId="23" borderId="37" xfId="21" applyFont="true" applyBorder="true" applyAlignment="true" applyProtection="true">
      <alignment horizontal="general" vertical="bottom" textRotation="0" wrapText="false" indent="0" shrinkToFit="false"/>
      <protection locked="true" hidden="false"/>
    </xf>
    <xf numFmtId="165" fontId="100" fillId="23" borderId="158" xfId="21" applyFont="true" applyBorder="true" applyAlignment="true" applyProtection="true">
      <alignment horizontal="general" vertical="bottom" textRotation="0" wrapText="false" indent="0" shrinkToFit="false"/>
      <protection locked="true" hidden="false"/>
    </xf>
    <xf numFmtId="165" fontId="120" fillId="23" borderId="89" xfId="21" applyFont="true" applyBorder="true" applyAlignment="true" applyProtection="true">
      <alignment horizontal="general" vertical="bottom" textRotation="0" wrapText="false" indent="0" shrinkToFit="false"/>
      <protection locked="true" hidden="false"/>
    </xf>
    <xf numFmtId="165" fontId="94" fillId="0" borderId="0" xfId="21"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8" fillId="0" borderId="0" xfId="0" applyFont="true" applyBorder="false" applyAlignment="true" applyProtection="true">
      <alignment horizontal="left" vertical="top" textRotation="0" wrapText="false" indent="0" shrinkToFit="false"/>
      <protection locked="true" hidden="false"/>
    </xf>
    <xf numFmtId="164" fontId="124" fillId="0" borderId="0" xfId="0" applyFont="true" applyBorder="false" applyAlignment="true" applyProtection="true">
      <alignment horizontal="general" vertical="center" textRotation="0" wrapText="false" indent="0" shrinkToFit="false"/>
      <protection locked="true" hidden="false"/>
    </xf>
    <xf numFmtId="164" fontId="124" fillId="0" borderId="0" xfId="0" applyFont="true" applyBorder="true" applyAlignment="true" applyProtection="true">
      <alignment horizontal="general" vertical="center" textRotation="0" wrapText="false" indent="0" shrinkToFit="false"/>
      <protection locked="true" hidden="false"/>
    </xf>
    <xf numFmtId="164" fontId="45" fillId="0" borderId="0" xfId="0" applyFont="true" applyBorder="true" applyAlignment="true" applyProtection="true">
      <alignment horizontal="center" vertical="center" textRotation="0" wrapText="false" indent="0" shrinkToFit="false"/>
      <protection locked="true" hidden="false"/>
    </xf>
    <xf numFmtId="164" fontId="125" fillId="0" borderId="0" xfId="0" applyFont="true" applyBorder="true" applyAlignment="true" applyProtection="true">
      <alignment horizontal="general" vertical="center" textRotation="0" wrapText="false" indent="0" shrinkToFit="false"/>
      <protection locked="true" hidden="false"/>
    </xf>
    <xf numFmtId="164" fontId="125" fillId="0" borderId="0" xfId="0" applyFont="true" applyBorder="false" applyAlignment="true" applyProtection="true">
      <alignment horizontal="general" vertical="center" textRotation="0" wrapText="false" indent="0" shrinkToFit="false"/>
      <protection locked="true" hidden="false"/>
    </xf>
    <xf numFmtId="164" fontId="45" fillId="0" borderId="0" xfId="0" applyFont="true" applyBorder="true" applyAlignment="true" applyProtection="true">
      <alignment horizontal="distributed" vertical="center" textRotation="0" wrapText="false" indent="5" shrinkToFit="false"/>
      <protection locked="true" hidden="false"/>
    </xf>
    <xf numFmtId="164" fontId="125" fillId="0" borderId="0" xfId="0" applyFont="true" applyBorder="false" applyAlignment="true" applyProtection="true">
      <alignment horizontal="center" vertical="center" textRotation="0" wrapText="false" indent="0" shrinkToFit="false"/>
      <protection locked="true" hidden="false"/>
    </xf>
    <xf numFmtId="164" fontId="45" fillId="0" borderId="0" xfId="0" applyFont="true" applyBorder="true" applyAlignment="true" applyProtection="true">
      <alignment horizontal="distributed" vertical="center" textRotation="0" wrapText="false" indent="6" shrinkToFit="false"/>
      <protection locked="true" hidden="false"/>
    </xf>
    <xf numFmtId="164" fontId="45" fillId="0" borderId="0" xfId="0" applyFont="true" applyBorder="true" applyAlignment="true" applyProtection="true">
      <alignment horizontal="distributed" vertical="center" textRotation="0" wrapText="false" indent="7" shrinkToFit="false"/>
      <protection locked="true" hidden="false"/>
    </xf>
    <xf numFmtId="164" fontId="126" fillId="0" borderId="0" xfId="0" applyFont="true" applyBorder="true" applyAlignment="true" applyProtection="true">
      <alignment horizontal="right" vertical="bottom"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125" fillId="0" borderId="0" xfId="0" applyFont="true" applyBorder="false" applyAlignment="true" applyProtection="true">
      <alignment horizontal="general" vertical="bottom" textRotation="0" wrapText="false" indent="0" shrinkToFit="false"/>
      <protection locked="true" hidden="false"/>
    </xf>
    <xf numFmtId="164" fontId="127" fillId="0" borderId="0" xfId="0" applyFont="true" applyBorder="false" applyAlignment="true" applyProtection="true">
      <alignment horizontal="general" vertical="center" textRotation="0" wrapText="false" indent="0" shrinkToFit="false"/>
      <protection locked="true" hidden="false"/>
    </xf>
    <xf numFmtId="164" fontId="128" fillId="0" borderId="0" xfId="0" applyFont="true" applyBorder="false" applyAlignment="true" applyProtection="true">
      <alignment horizontal="general" vertical="center" textRotation="0" wrapText="false" indent="0" shrinkToFit="false"/>
      <protection locked="true" hidden="false"/>
    </xf>
    <xf numFmtId="188" fontId="66"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tru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46" fillId="0" borderId="0" xfId="0" applyFont="true" applyBorder="false" applyAlignment="true" applyProtection="true">
      <alignment horizontal="right" vertical="center" textRotation="0" wrapText="false" indent="0" shrinkToFit="false"/>
      <protection locked="true" hidden="false"/>
    </xf>
    <xf numFmtId="189" fontId="66" fillId="0" borderId="0" xfId="0" applyFont="true" applyBorder="false" applyAlignment="true" applyProtection="true">
      <alignment horizontal="left" vertical="center" textRotation="0" wrapText="false" indent="0" shrinkToFit="false"/>
      <protection locked="true" hidden="false"/>
    </xf>
    <xf numFmtId="164" fontId="46" fillId="0" borderId="0" xfId="0" applyFont="true" applyBorder="true" applyAlignment="true" applyProtection="true">
      <alignment horizontal="right" vertical="center" textRotation="0" wrapText="false" indent="0" shrinkToFit="false"/>
      <protection locked="true" hidden="false"/>
    </xf>
    <xf numFmtId="189" fontId="66" fillId="0" borderId="0" xfId="0" applyFont="true" applyBorder="false" applyAlignment="true" applyProtection="true">
      <alignment horizontal="general" vertical="center" textRotation="0" wrapText="false" indent="0" shrinkToFit="false"/>
      <protection locked="true" hidden="false"/>
    </xf>
    <xf numFmtId="190" fontId="66" fillId="0" borderId="0" xfId="0" applyFont="true" applyBorder="false" applyAlignment="true" applyProtection="true">
      <alignment horizontal="general" vertical="center" textRotation="0" wrapText="false" indent="0" shrinkToFit="false"/>
      <protection locked="true" hidden="false"/>
    </xf>
    <xf numFmtId="164" fontId="45" fillId="0" borderId="30" xfId="0" applyFont="true" applyBorder="true" applyAlignment="true" applyProtection="true">
      <alignment horizontal="center" vertical="center" textRotation="0" wrapText="false" indent="0" shrinkToFit="false"/>
      <protection locked="true" hidden="false"/>
    </xf>
    <xf numFmtId="164" fontId="45" fillId="0" borderId="29" xfId="0" applyFont="true" applyBorder="true" applyAlignment="true" applyProtection="true">
      <alignment horizontal="center" vertical="center" textRotation="0" wrapText="false" indent="0" shrinkToFit="false"/>
      <protection locked="true" hidden="false"/>
    </xf>
    <xf numFmtId="191" fontId="66" fillId="0" borderId="86" xfId="0" applyFont="true" applyBorder="true" applyAlignment="true" applyProtection="true">
      <alignment horizontal="left" vertical="center" textRotation="0" wrapText="false" indent="0" shrinkToFit="false"/>
      <protection locked="true" hidden="false"/>
    </xf>
    <xf numFmtId="164" fontId="45" fillId="0" borderId="29" xfId="0" applyFont="true" applyBorder="true" applyAlignment="true" applyProtection="true">
      <alignment horizontal="right" vertical="center" textRotation="0" wrapText="false" indent="1" shrinkToFit="false"/>
      <protection locked="true" hidden="false"/>
    </xf>
    <xf numFmtId="192" fontId="129" fillId="0" borderId="24" xfId="0" applyFont="true" applyBorder="true" applyAlignment="true" applyProtection="true">
      <alignment horizontal="left" vertical="center" textRotation="0" wrapText="false" indent="0" shrinkToFit="false"/>
      <protection locked="true" hidden="false"/>
    </xf>
    <xf numFmtId="164" fontId="45" fillId="0" borderId="29" xfId="0" applyFont="true" applyBorder="true" applyAlignment="true" applyProtection="true">
      <alignment horizontal="right" vertical="center" textRotation="0" wrapText="false" indent="0" shrinkToFit="false"/>
      <protection locked="true" hidden="false"/>
    </xf>
    <xf numFmtId="192" fontId="66" fillId="0" borderId="24" xfId="0" applyFont="true" applyBorder="true" applyAlignment="true" applyProtection="true">
      <alignment horizontal="left" vertical="center" textRotation="0" wrapText="false" indent="1" shrinkToFit="false"/>
      <protection locked="true" hidden="false"/>
    </xf>
    <xf numFmtId="164" fontId="45" fillId="0" borderId="30" xfId="0" applyFont="true" applyBorder="true" applyAlignment="true" applyProtection="true">
      <alignment horizontal="distributed" vertical="center" textRotation="0" wrapText="false" indent="1" shrinkToFit="false"/>
      <protection locked="true" hidden="false"/>
    </xf>
    <xf numFmtId="164" fontId="45" fillId="0" borderId="35" xfId="0" applyFont="true" applyBorder="true" applyAlignment="true" applyProtection="true">
      <alignment horizontal="center" vertical="center" textRotation="0" wrapText="false" indent="0" shrinkToFit="false"/>
      <protection locked="true" hidden="false"/>
    </xf>
    <xf numFmtId="193" fontId="45" fillId="0" borderId="30" xfId="0" applyFont="true" applyBorder="true" applyAlignment="true" applyProtection="true">
      <alignment horizontal="center" vertical="center" textRotation="0" wrapText="false" indent="0" shrinkToFit="false"/>
      <protection locked="true" hidden="false"/>
    </xf>
    <xf numFmtId="164" fontId="0" fillId="0" borderId="87" xfId="0" applyFont="false" applyBorder="true" applyAlignment="true" applyProtection="true">
      <alignment horizontal="general" vertical="center" textRotation="0" wrapText="false" indent="0" shrinkToFit="false"/>
      <protection locked="true" hidden="false"/>
    </xf>
    <xf numFmtId="164" fontId="45" fillId="0" borderId="22" xfId="0" applyFont="true" applyBorder="true" applyAlignment="true" applyProtection="true">
      <alignment horizontal="right" vertical="center" textRotation="0" wrapText="false" indent="0" shrinkToFit="false"/>
      <protection locked="true" hidden="false"/>
    </xf>
    <xf numFmtId="194" fontId="66" fillId="0" borderId="13" xfId="0" applyFont="true" applyBorder="true" applyAlignment="true" applyProtection="true">
      <alignment horizontal="left" vertical="center" textRotation="0" wrapText="false" indent="0" shrinkToFit="false"/>
      <protection locked="true" hidden="false"/>
    </xf>
    <xf numFmtId="165" fontId="130" fillId="0" borderId="30" xfId="21" applyFont="true" applyBorder="true" applyAlignment="true" applyProtection="true">
      <alignment horizontal="general" vertical="center" textRotation="0" wrapText="false" indent="0" shrinkToFit="false"/>
      <protection locked="true" hidden="false"/>
    </xf>
    <xf numFmtId="165" fontId="66" fillId="0" borderId="30" xfId="21" applyFont="true" applyBorder="true" applyAlignment="true" applyProtection="true">
      <alignment horizontal="general" vertical="center" textRotation="0" wrapText="false" indent="0" shrinkToFit="false"/>
      <protection locked="true" hidden="false"/>
    </xf>
    <xf numFmtId="164" fontId="131" fillId="0" borderId="30" xfId="0" applyFont="true" applyBorder="true" applyAlignment="true" applyProtection="true">
      <alignment horizontal="center" vertical="center" textRotation="0" wrapText="true" indent="0" shrinkToFit="false"/>
      <protection locked="true" hidden="false"/>
    </xf>
    <xf numFmtId="164" fontId="131" fillId="0" borderId="30" xfId="0" applyFont="true" applyBorder="true" applyAlignment="true" applyProtection="true">
      <alignment horizontal="center" vertical="center" textRotation="0" wrapText="false" indent="0" shrinkToFit="false"/>
      <protection locked="true" hidden="false"/>
    </xf>
    <xf numFmtId="165" fontId="130" fillId="0" borderId="30" xfId="21" applyFont="true" applyBorder="true" applyAlignment="true" applyProtection="true">
      <alignment horizontal="right" vertical="center" textRotation="0" wrapText="false" indent="0" shrinkToFit="false"/>
      <protection locked="true" hidden="false"/>
    </xf>
    <xf numFmtId="165" fontId="66" fillId="0" borderId="0" xfId="21" applyFont="true" applyBorder="true" applyAlignment="true" applyProtection="true">
      <alignment horizontal="general" vertical="center" textRotation="0" wrapText="false" indent="0" shrinkToFit="false"/>
      <protection locked="true" hidden="false"/>
    </xf>
    <xf numFmtId="165" fontId="66" fillId="0" borderId="29" xfId="21" applyFont="true" applyBorder="true" applyAlignment="true" applyProtection="true">
      <alignment horizontal="right" vertical="center" textRotation="0" wrapText="false" indent="0" shrinkToFit="false"/>
      <protection locked="true" hidden="false"/>
    </xf>
    <xf numFmtId="165" fontId="66" fillId="0" borderId="30" xfId="21" applyFont="true" applyBorder="true" applyAlignment="true" applyProtection="true">
      <alignment horizontal="right" vertical="center" textRotation="0" wrapText="false" indent="0" shrinkToFit="false"/>
      <protection locked="true" hidden="false"/>
    </xf>
    <xf numFmtId="165" fontId="132" fillId="24" borderId="30" xfId="21" applyFont="true" applyBorder="true" applyAlignment="true" applyProtection="true">
      <alignment horizontal="general" vertical="center" textRotation="0" wrapText="false" indent="0" shrinkToFit="false"/>
      <protection locked="true" hidden="false"/>
    </xf>
    <xf numFmtId="165" fontId="132" fillId="24" borderId="30" xfId="21" applyFont="true" applyBorder="true" applyAlignment="true" applyProtection="true">
      <alignment horizontal="right" vertical="center" textRotation="0" wrapText="false" indent="0" shrinkToFit="false"/>
      <protection locked="true" hidden="false"/>
    </xf>
    <xf numFmtId="182" fontId="66" fillId="0" borderId="30" xfId="21" applyFont="true" applyBorder="true" applyAlignment="true" applyProtection="true">
      <alignment horizontal="general" vertical="center" textRotation="0" wrapText="false" indent="0" shrinkToFit="false"/>
      <protection locked="true" hidden="false"/>
    </xf>
    <xf numFmtId="182" fontId="66" fillId="0" borderId="30" xfId="21" applyFont="true" applyBorder="true" applyAlignment="true" applyProtection="true">
      <alignment horizontal="right" vertical="center" textRotation="0" wrapText="false" indent="0" shrinkToFit="false"/>
      <protection locked="true" hidden="false"/>
    </xf>
    <xf numFmtId="164" fontId="45" fillId="0" borderId="29" xfId="0" applyFont="true" applyBorder="true" applyAlignment="true" applyProtection="true">
      <alignment horizontal="general" vertical="center" textRotation="0" wrapText="false" indent="0" shrinkToFit="false"/>
      <protection locked="true" hidden="false"/>
    </xf>
    <xf numFmtId="164" fontId="45" fillId="0" borderId="24" xfId="0" applyFont="true" applyBorder="true" applyAlignment="true" applyProtection="true">
      <alignment horizontal="general" vertical="center" textRotation="0" wrapText="false" indent="0" shrinkToFit="false"/>
      <protection locked="true" hidden="false"/>
    </xf>
    <xf numFmtId="165" fontId="66" fillId="14" borderId="30" xfId="21" applyFont="true" applyBorder="true" applyAlignment="true" applyProtection="true">
      <alignment horizontal="general" vertical="center" textRotation="0" wrapText="false" indent="0" shrinkToFit="false"/>
      <protection locked="true" hidden="false"/>
    </xf>
    <xf numFmtId="165" fontId="66" fillId="14" borderId="0" xfId="21" applyFont="true" applyBorder="true" applyAlignment="true" applyProtection="true">
      <alignment horizontal="general" vertical="center" textRotation="0" wrapText="false" indent="0" shrinkToFit="false"/>
      <protection locked="true" hidden="false"/>
    </xf>
    <xf numFmtId="165" fontId="66" fillId="14" borderId="30" xfId="21" applyFont="true" applyBorder="true" applyAlignment="true" applyProtection="true">
      <alignment horizontal="right" vertical="center" textRotation="0" wrapText="false" indent="0" shrinkToFit="false"/>
      <protection locked="true" hidden="false"/>
    </xf>
    <xf numFmtId="164" fontId="48" fillId="0" borderId="0" xfId="0" applyFont="true" applyBorder="false" applyAlignment="true" applyProtection="true">
      <alignment horizontal="left" vertical="center" textRotation="0" wrapText="false" indent="0" shrinkToFit="false"/>
      <protection locked="true" hidden="false"/>
    </xf>
    <xf numFmtId="164" fontId="50" fillId="0" borderId="0" xfId="0" applyFont="true" applyBorder="false" applyAlignment="true" applyProtection="true">
      <alignment horizontal="left" vertical="center" textRotation="0" wrapText="false" indent="0" shrinkToFit="false"/>
      <protection locked="true" hidden="false"/>
    </xf>
    <xf numFmtId="164" fontId="50" fillId="0" borderId="0" xfId="0" applyFont="true" applyBorder="true" applyAlignment="true" applyProtection="true">
      <alignment horizontal="general" vertical="center" textRotation="0" wrapText="false" indent="0" shrinkToFit="false"/>
      <protection locked="true" hidden="false"/>
    </xf>
    <xf numFmtId="195" fontId="134" fillId="0" borderId="0" xfId="0" applyFont="true" applyBorder="true" applyAlignment="true" applyProtection="true">
      <alignment horizontal="left" vertical="center" textRotation="0" wrapText="false" indent="1" shrinkToFit="true"/>
      <protection locked="true" hidden="false"/>
    </xf>
    <xf numFmtId="196" fontId="48" fillId="0" borderId="0" xfId="0" applyFont="true" applyBorder="false" applyAlignment="true" applyProtection="true">
      <alignment horizontal="general" vertical="center" textRotation="0" wrapText="false" indent="0" shrinkToFit="false"/>
      <protection locked="true" hidden="false"/>
    </xf>
    <xf numFmtId="196" fontId="133" fillId="0" borderId="0" xfId="0" applyFont="true" applyBorder="false" applyAlignment="true" applyProtection="true">
      <alignment horizontal="general" vertical="center" textRotation="0" wrapText="true" indent="0" shrinkToFit="false"/>
      <protection locked="true" hidden="false"/>
    </xf>
    <xf numFmtId="164" fontId="45" fillId="0" borderId="0" xfId="0" applyFont="true" applyBorder="false" applyAlignment="true" applyProtection="true">
      <alignment horizontal="general" vertical="center" textRotation="0" wrapText="false" indent="0" shrinkToFit="false"/>
      <protection locked="true" hidden="false"/>
    </xf>
    <xf numFmtId="164" fontId="45" fillId="0" borderId="30" xfId="0" applyFont="true" applyBorder="true" applyAlignment="true" applyProtection="true">
      <alignment horizontal="distributed" vertical="center" textRotation="0" wrapText="false" indent="2" shrinkToFit="false"/>
      <protection locked="true" hidden="false"/>
    </xf>
    <xf numFmtId="164" fontId="45" fillId="0" borderId="24" xfId="0" applyFont="true" applyBorder="true" applyAlignment="true" applyProtection="true">
      <alignment horizontal="distributed" vertical="center" textRotation="0" wrapText="false" indent="1" shrinkToFit="false"/>
      <protection locked="true" hidden="false"/>
    </xf>
    <xf numFmtId="164" fontId="45" fillId="0" borderId="24" xfId="0" applyFont="true" applyBorder="true" applyAlignment="true" applyProtection="true">
      <alignment horizontal="center" vertical="center" textRotation="0" wrapText="false" indent="0" shrinkToFit="false"/>
      <protection locked="true" hidden="false"/>
    </xf>
    <xf numFmtId="164" fontId="45" fillId="0" borderId="13" xfId="0" applyFont="true" applyBorder="true" applyAlignment="true" applyProtection="true">
      <alignment horizontal="center" vertical="center" textRotation="0" wrapText="false" indent="0" shrinkToFit="false"/>
      <protection locked="true" hidden="false"/>
    </xf>
    <xf numFmtId="164" fontId="45" fillId="0" borderId="31" xfId="0" applyFont="true" applyBorder="true" applyAlignment="true" applyProtection="true">
      <alignment horizontal="center" vertical="center" textRotation="0" wrapText="false" indent="0" shrinkToFit="false"/>
      <protection locked="true" hidden="false"/>
    </xf>
    <xf numFmtId="164" fontId="0" fillId="0" borderId="30" xfId="0" applyFont="true" applyBorder="true" applyAlignment="true" applyProtection="true">
      <alignment horizontal="center" vertical="center" textRotation="0" wrapText="false" indent="0" shrinkToFit="false"/>
      <protection locked="true" hidden="false"/>
    </xf>
    <xf numFmtId="164" fontId="0" fillId="0" borderId="30" xfId="0" applyFont="false" applyBorder="true" applyAlignment="true" applyProtection="true">
      <alignment horizontal="general" vertical="center" textRotation="0" wrapText="false" indent="0" shrinkToFit="false"/>
      <protection locked="true" hidden="false"/>
    </xf>
    <xf numFmtId="165" fontId="0" fillId="0" borderId="30" xfId="21" applyFont="true" applyBorder="true" applyAlignment="true" applyProtection="true">
      <alignment horizontal="right" vertical="center" textRotation="0" wrapText="false" indent="0" shrinkToFit="false"/>
      <protection locked="true" hidden="false"/>
    </xf>
    <xf numFmtId="165" fontId="0" fillId="0" borderId="30" xfId="21" applyFont="true" applyBorder="true" applyAlignment="true" applyProtection="true">
      <alignment horizontal="general" vertical="center" textRotation="0" wrapText="false" indent="0" shrinkToFit="false"/>
      <protection locked="true" hidden="false"/>
    </xf>
    <xf numFmtId="173" fontId="0" fillId="0" borderId="30" xfId="0" applyFont="false" applyBorder="true" applyAlignment="true" applyProtection="true">
      <alignment horizontal="general" vertical="center" textRotation="0" wrapText="false" indent="0" shrinkToFit="false"/>
      <protection locked="true" hidden="false"/>
    </xf>
    <xf numFmtId="173" fontId="66" fillId="0" borderId="30" xfId="0" applyFont="true" applyBorder="true" applyAlignment="true" applyProtection="true">
      <alignment horizontal="general" vertical="center" textRotation="0" wrapText="false" indent="0" shrinkToFit="false"/>
      <protection locked="true" hidden="false"/>
    </xf>
    <xf numFmtId="197" fontId="66" fillId="0" borderId="0" xfId="0" applyFont="true" applyBorder="false" applyAlignment="true" applyProtection="true">
      <alignment horizontal="left" vertical="center" textRotation="0" wrapText="false" indent="0" shrinkToFit="false"/>
      <protection locked="true" hidden="false"/>
    </xf>
    <xf numFmtId="198" fontId="66" fillId="0" borderId="21" xfId="0" applyFont="true" applyBorder="true" applyAlignment="true" applyProtection="true">
      <alignment horizontal="general" vertical="center" textRotation="0" wrapText="false" indent="0" shrinkToFit="false"/>
      <protection locked="true" hidden="false"/>
    </xf>
    <xf numFmtId="176" fontId="66" fillId="0" borderId="21" xfId="0" applyFont="true" applyBorder="true" applyAlignment="true" applyProtection="true">
      <alignment horizontal="general" vertical="center" textRotation="0" wrapText="false" indent="0" shrinkToFit="false"/>
      <protection locked="true" hidden="false"/>
    </xf>
    <xf numFmtId="176" fontId="0" fillId="0" borderId="0" xfId="0" applyFont="false" applyBorder="false" applyAlignment="true" applyProtection="true">
      <alignment horizontal="general" vertical="center" textRotation="0" wrapText="false" indent="0" shrinkToFit="false"/>
      <protection locked="true" hidden="false"/>
    </xf>
    <xf numFmtId="176" fontId="135" fillId="0" borderId="0" xfId="0" applyFont="true" applyBorder="false" applyAlignment="true" applyProtection="true">
      <alignment horizontal="left" vertical="center" textRotation="0" wrapText="false" indent="0" shrinkToFit="false"/>
      <protection locked="true" hidden="false"/>
    </xf>
    <xf numFmtId="199" fontId="66" fillId="0" borderId="0" xfId="0" applyFont="true" applyBorder="false" applyAlignment="true" applyProtection="true">
      <alignment horizontal="general" vertical="center" textRotation="0" wrapText="false" indent="0" shrinkToFit="false"/>
      <protection locked="true" hidden="false"/>
    </xf>
    <xf numFmtId="200" fontId="66" fillId="0" borderId="24" xfId="0" applyFont="true" applyBorder="true" applyAlignment="true" applyProtection="true">
      <alignment horizontal="left" vertical="center" textRotation="0" wrapText="false" indent="0" shrinkToFit="false"/>
      <protection locked="true" hidden="false"/>
    </xf>
    <xf numFmtId="200" fontId="66" fillId="0" borderId="24" xfId="0" applyFont="true" applyBorder="true" applyAlignment="true" applyProtection="true">
      <alignment horizontal="left" vertical="center" textRotation="0" wrapText="false" indent="1" shrinkToFit="false"/>
      <protection locked="true" hidden="false"/>
    </xf>
    <xf numFmtId="201" fontId="66" fillId="0" borderId="0" xfId="0" applyFont="true" applyBorder="false" applyAlignment="true" applyProtection="true">
      <alignment horizontal="left" vertical="center" textRotation="0" wrapText="false" indent="0" shrinkToFit="false"/>
      <protection locked="true" hidden="false"/>
    </xf>
    <xf numFmtId="201" fontId="66" fillId="0" borderId="0" xfId="0" applyFont="true" applyBorder="false" applyAlignment="true" applyProtection="true">
      <alignment horizontal="general" vertical="center" textRotation="0" wrapText="false" indent="0" shrinkToFit="false"/>
      <protection locked="true" hidden="false"/>
    </xf>
    <xf numFmtId="202" fontId="66" fillId="0" borderId="0" xfId="0" applyFont="true" applyBorder="false" applyAlignment="true" applyProtection="true">
      <alignment horizontal="general" vertical="center" textRotation="0" wrapText="false" indent="0" shrinkToFit="false"/>
      <protection locked="true" hidden="false"/>
    </xf>
    <xf numFmtId="165" fontId="132" fillId="14" borderId="30" xfId="21" applyFont="true" applyBorder="true" applyAlignment="true" applyProtection="true">
      <alignment horizontal="general" vertical="center" textRotation="0" wrapText="false" indent="0" shrinkToFit="false"/>
      <protection locked="true" hidden="false"/>
    </xf>
    <xf numFmtId="165" fontId="129" fillId="0" borderId="30" xfId="21" applyFont="true" applyBorder="true" applyAlignment="true" applyProtection="true">
      <alignment horizontal="right" vertical="center" textRotation="0" wrapText="false" indent="0" shrinkToFit="false"/>
      <protection locked="true" hidden="false"/>
    </xf>
    <xf numFmtId="165" fontId="132" fillId="14" borderId="30" xfId="21" applyFont="true" applyBorder="true" applyAlignment="true" applyProtection="true">
      <alignment horizontal="right" vertical="center" textRotation="0" wrapText="false" indent="0" shrinkToFit="false"/>
      <protection locked="true" hidden="false"/>
    </xf>
    <xf numFmtId="203" fontId="66" fillId="0" borderId="0" xfId="0" applyFont="true" applyBorder="false" applyAlignment="true" applyProtection="true">
      <alignment horizontal="left" vertical="center" textRotation="0" wrapText="false" indent="0" shrinkToFit="false"/>
      <protection locked="true" hidden="false"/>
    </xf>
    <xf numFmtId="203" fontId="66" fillId="0" borderId="0" xfId="0" applyFont="true" applyBorder="false" applyAlignment="true" applyProtection="true">
      <alignment horizontal="general" vertical="center" textRotation="0" wrapText="false" indent="0" shrinkToFit="false"/>
      <protection locked="true" hidden="false"/>
    </xf>
    <xf numFmtId="181" fontId="66" fillId="0" borderId="0" xfId="0" applyFont="true" applyBorder="false" applyAlignment="true" applyProtection="true">
      <alignment horizontal="left" vertical="center" textRotation="0" wrapText="false" indent="0" shrinkToFit="false"/>
      <protection locked="true" hidden="false"/>
    </xf>
    <xf numFmtId="164" fontId="136" fillId="14" borderId="0" xfId="0" applyFont="true" applyBorder="false" applyAlignment="true" applyProtection="true">
      <alignment horizontal="general" vertical="center" textRotation="0" wrapText="false" indent="0" shrinkToFit="false"/>
      <protection locked="true" hidden="false"/>
    </xf>
    <xf numFmtId="165" fontId="138" fillId="14" borderId="30" xfId="21" applyFont="true" applyBorder="true" applyAlignment="true" applyProtection="true">
      <alignment horizontal="general" vertical="center" textRotation="0" wrapText="false" indent="0" shrinkToFit="false"/>
      <protection locked="true" hidden="false"/>
    </xf>
    <xf numFmtId="165" fontId="138" fillId="0" borderId="30" xfId="21" applyFont="true" applyBorder="true" applyAlignment="true" applyProtection="true">
      <alignment horizontal="right" vertical="center" textRotation="0" wrapText="false" indent="0" shrinkToFit="false"/>
      <protection locked="true" hidden="false"/>
    </xf>
    <xf numFmtId="165" fontId="138" fillId="14" borderId="30" xfId="21" applyFont="true" applyBorder="true" applyAlignment="true" applyProtection="true">
      <alignment horizontal="right" vertical="center" textRotation="0" wrapText="false" indent="0" shrinkToFit="false"/>
      <protection locked="true" hidden="false"/>
    </xf>
    <xf numFmtId="204" fontId="66" fillId="0" borderId="0" xfId="0" applyFont="true" applyBorder="false" applyAlignment="true" applyProtection="true">
      <alignment horizontal="general" vertical="center" textRotation="0" wrapText="false" indent="0" shrinkToFit="false"/>
      <protection locked="true" hidden="false"/>
    </xf>
    <xf numFmtId="165" fontId="66" fillId="0" borderId="30" xfId="0" applyFont="true" applyBorder="true" applyAlignment="true" applyProtection="true">
      <alignment horizontal="general" vertical="center" textRotation="0" wrapText="false" indent="0" shrinkToFit="false"/>
      <protection locked="true" hidden="false"/>
    </xf>
    <xf numFmtId="164" fontId="66" fillId="0" borderId="3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73" fontId="66" fillId="0" borderId="0" xfId="0" applyFont="true" applyBorder="true" applyAlignment="true" applyProtection="true">
      <alignment horizontal="general" vertical="center" textRotation="0" wrapText="false" indent="0" shrinkToFit="false"/>
      <protection locked="true" hidden="false"/>
    </xf>
    <xf numFmtId="165" fontId="66" fillId="0" borderId="0" xfId="21" applyFont="true" applyBorder="true" applyAlignment="true" applyProtection="true">
      <alignment horizontal="right" vertical="center" textRotation="0" wrapText="false" indent="0" shrinkToFit="false"/>
      <protection locked="true" hidden="false"/>
    </xf>
    <xf numFmtId="173" fontId="66" fillId="0" borderId="0" xfId="0" applyFont="true" applyBorder="false" applyAlignment="true" applyProtection="true">
      <alignment horizontal="general" vertical="bottom" textRotation="0" wrapText="false" indent="0" shrinkToFit="false"/>
      <protection locked="true" hidden="false"/>
    </xf>
    <xf numFmtId="164" fontId="139" fillId="0" borderId="0" xfId="0" applyFont="true" applyBorder="false" applyAlignment="true" applyProtection="true">
      <alignment horizontal="general" vertical="bottom" textRotation="0" wrapText="false" indent="0" shrinkToFit="false"/>
      <protection locked="true" hidden="false"/>
    </xf>
    <xf numFmtId="164" fontId="45" fillId="0" borderId="8" xfId="0" applyFont="true" applyBorder="true" applyAlignment="true" applyProtection="true">
      <alignment horizontal="center" vertical="center" textRotation="0" wrapText="false" indent="0" shrinkToFit="false"/>
      <protection locked="true" hidden="false"/>
    </xf>
    <xf numFmtId="164" fontId="45" fillId="0" borderId="39" xfId="0" applyFont="true" applyBorder="true" applyAlignment="true" applyProtection="true">
      <alignment horizontal="center" vertical="center" textRotation="0" wrapText="false" indent="0" shrinkToFit="false"/>
      <protection locked="true" hidden="false"/>
    </xf>
    <xf numFmtId="164" fontId="45" fillId="0" borderId="72" xfId="0" applyFont="true" applyBorder="true" applyAlignment="true" applyProtection="true">
      <alignment horizontal="center" vertical="center" textRotation="0" wrapText="false" indent="0" shrinkToFit="false"/>
      <protection locked="true" hidden="false"/>
    </xf>
    <xf numFmtId="181" fontId="66" fillId="0" borderId="44" xfId="0" applyFont="true" applyBorder="true" applyAlignment="true" applyProtection="true">
      <alignment horizontal="center" vertical="bottom" textRotation="0" wrapText="false" indent="0" shrinkToFit="false"/>
      <protection locked="true" hidden="false"/>
    </xf>
    <xf numFmtId="205" fontId="0" fillId="0" borderId="14" xfId="0" applyFont="true" applyBorder="true" applyAlignment="true" applyProtection="true">
      <alignment horizontal="general" vertical="bottom" textRotation="0" wrapText="false" indent="0" shrinkToFit="false"/>
      <protection locked="true" hidden="false"/>
    </xf>
    <xf numFmtId="165" fontId="0" fillId="0" borderId="0" xfId="20" applyFont="true" applyBorder="true" applyAlignment="true" applyProtection="true">
      <alignment horizontal="general" vertical="bottom" textRotation="0" wrapText="false" indent="0" shrinkToFit="false"/>
      <protection locked="true" hidden="false"/>
    </xf>
    <xf numFmtId="165" fontId="66" fillId="11" borderId="0" xfId="20" applyFont="true" applyBorder="true" applyAlignment="true" applyProtection="true">
      <alignment horizontal="general" vertical="bottom" textRotation="0" wrapText="false" indent="0" shrinkToFit="false"/>
      <protection locked="true" hidden="false"/>
    </xf>
    <xf numFmtId="181" fontId="66" fillId="0" borderId="11" xfId="0" applyFont="true" applyBorder="true" applyAlignment="true" applyProtection="true">
      <alignment horizontal="center" vertical="bottom" textRotation="0" wrapText="false" indent="0" shrinkToFit="false"/>
      <protection locked="true" hidden="false"/>
    </xf>
    <xf numFmtId="165" fontId="0" fillId="0" borderId="20" xfId="20" applyFont="true" applyBorder="true" applyAlignment="true" applyProtection="true">
      <alignment horizontal="right" vertical="bottom" textRotation="0" wrapText="false" indent="0" shrinkToFit="false"/>
      <protection locked="true" hidden="false"/>
    </xf>
    <xf numFmtId="165" fontId="66" fillId="0" borderId="0" xfId="20" applyFont="true" applyBorder="true" applyAlignment="true" applyProtection="true">
      <alignment horizontal="right" vertical="bottom" textRotation="0" wrapText="false" indent="0" shrinkToFit="false"/>
      <protection locked="true" hidden="false"/>
    </xf>
    <xf numFmtId="165" fontId="66" fillId="0" borderId="0" xfId="0" applyFont="true" applyBorder="true" applyAlignment="true" applyProtection="true">
      <alignment horizontal="general" vertical="bottom" textRotation="0" wrapText="false" indent="0" shrinkToFit="false"/>
      <protection locked="true" hidden="false"/>
    </xf>
    <xf numFmtId="165" fontId="0" fillId="0" borderId="14" xfId="20" applyFont="true" applyBorder="true" applyAlignment="true" applyProtection="true">
      <alignment horizontal="right" vertical="bottom" textRotation="0" wrapText="false" indent="0" shrinkToFit="false"/>
      <protection locked="true" hidden="false"/>
    </xf>
    <xf numFmtId="165" fontId="0" fillId="0" borderId="0" xfId="20" applyFont="true" applyBorder="true" applyAlignment="true" applyProtection="true">
      <alignment horizontal="right" vertical="bottom" textRotation="0" wrapText="false" indent="0" shrinkToFit="false"/>
      <protection locked="true" hidden="false"/>
    </xf>
    <xf numFmtId="165" fontId="66" fillId="0" borderId="0" xfId="0" applyFont="true" applyBorder="true" applyAlignment="true" applyProtection="true">
      <alignment horizontal="right" vertical="bottom" textRotation="0" wrapText="false" indent="0" shrinkToFit="false"/>
      <protection locked="true" hidden="false"/>
    </xf>
    <xf numFmtId="181" fontId="66" fillId="0" borderId="23" xfId="0" applyFont="true" applyBorder="true" applyAlignment="true" applyProtection="true">
      <alignment horizontal="center" vertical="bottom" textRotation="0" wrapText="false" indent="0" shrinkToFit="false"/>
      <protection locked="true" hidden="false"/>
    </xf>
    <xf numFmtId="165" fontId="66" fillId="0" borderId="14" xfId="20" applyFont="true" applyBorder="true" applyAlignment="true" applyProtection="true">
      <alignment horizontal="right" vertical="center" textRotation="0" wrapText="false" indent="0" shrinkToFit="false"/>
      <protection locked="true" hidden="false"/>
    </xf>
    <xf numFmtId="165" fontId="0" fillId="0" borderId="0" xfId="20" applyFont="true" applyBorder="true" applyAlignment="true" applyProtection="true">
      <alignment horizontal="right" vertical="center" textRotation="0" wrapText="false" indent="0" shrinkToFit="false"/>
      <protection locked="true" hidden="false"/>
    </xf>
    <xf numFmtId="165" fontId="0" fillId="0" borderId="26" xfId="20" applyFont="true" applyBorder="true" applyAlignment="true" applyProtection="true">
      <alignment horizontal="general" vertical="bottom" textRotation="0" wrapText="false" indent="0" shrinkToFit="false"/>
      <protection locked="true" hidden="false"/>
    </xf>
    <xf numFmtId="165" fontId="0" fillId="0" borderId="26" xfId="20" applyFont="true" applyBorder="true" applyAlignment="true" applyProtection="true">
      <alignment horizontal="right" vertical="bottom" textRotation="0" wrapText="false" indent="0" shrinkToFit="false"/>
      <protection locked="true" hidden="false"/>
    </xf>
    <xf numFmtId="181" fontId="66" fillId="0" borderId="67" xfId="0" applyFont="true" applyBorder="true" applyAlignment="true" applyProtection="true">
      <alignment horizontal="center" vertical="bottom" textRotation="0" wrapText="false" indent="0" shrinkToFit="false"/>
      <protection locked="true" hidden="false"/>
    </xf>
    <xf numFmtId="165" fontId="66" fillId="0" borderId="45" xfId="20" applyFont="true" applyBorder="true" applyAlignment="true" applyProtection="true">
      <alignment horizontal="right" vertical="center" textRotation="0" wrapText="false" indent="0" shrinkToFit="false"/>
      <protection locked="true" hidden="false"/>
    </xf>
    <xf numFmtId="165" fontId="66" fillId="0" borderId="36" xfId="20" applyFont="true" applyBorder="true" applyAlignment="true" applyProtection="true">
      <alignment horizontal="right" vertical="center" textRotation="0" wrapText="false" indent="0" shrinkToFit="false"/>
      <protection locked="true" hidden="false"/>
    </xf>
    <xf numFmtId="181" fontId="66" fillId="0" borderId="159" xfId="0" applyFont="true" applyBorder="true" applyAlignment="true" applyProtection="true">
      <alignment horizontal="center" vertical="bottom" textRotation="0" wrapText="false" indent="0" shrinkToFit="false"/>
      <protection locked="true" hidden="false"/>
    </xf>
    <xf numFmtId="165" fontId="0" fillId="0" borderId="160" xfId="20" applyFont="true" applyBorder="true" applyAlignment="true" applyProtection="true">
      <alignment horizontal="general" vertical="bottom" textRotation="0" wrapText="false" indent="0" shrinkToFit="false"/>
      <protection locked="true" hidden="false"/>
    </xf>
    <xf numFmtId="165" fontId="0" fillId="0" borderId="160" xfId="20" applyFont="true" applyBorder="true" applyAlignment="true" applyProtection="true">
      <alignment horizontal="right" vertical="bottom" textRotation="0" wrapText="false" indent="0" shrinkToFit="false"/>
      <protection locked="true" hidden="false"/>
    </xf>
    <xf numFmtId="165" fontId="138" fillId="0" borderId="0" xfId="20" applyFont="true" applyBorder="true" applyAlignment="true" applyProtection="true">
      <alignment horizontal="right" vertical="bottom" textRotation="0" wrapText="false" indent="0" shrinkToFit="false"/>
      <protection locked="true" hidden="false"/>
    </xf>
    <xf numFmtId="165" fontId="0" fillId="0" borderId="161" xfId="20" applyFont="true" applyBorder="true" applyAlignment="true" applyProtection="true">
      <alignment horizontal="right" vertical="bottom" textRotation="0" wrapText="false" indent="0" shrinkToFit="false"/>
      <protection locked="true" hidden="false"/>
    </xf>
    <xf numFmtId="181" fontId="66" fillId="0" borderId="162" xfId="0" applyFont="true" applyBorder="true" applyAlignment="true" applyProtection="true">
      <alignment horizontal="center" vertical="bottom" textRotation="0" wrapText="false" indent="0" shrinkToFit="false"/>
      <protection locked="true" hidden="false"/>
    </xf>
    <xf numFmtId="165" fontId="0" fillId="0" borderId="36" xfId="20" applyFont="true" applyBorder="true" applyAlignment="true" applyProtection="true">
      <alignment horizontal="right" vertical="bottom" textRotation="0" wrapText="false" indent="0" shrinkToFit="false"/>
      <protection locked="true" hidden="false"/>
    </xf>
    <xf numFmtId="165" fontId="66" fillId="0" borderId="161" xfId="20" applyFont="true" applyBorder="true" applyAlignment="true" applyProtection="true">
      <alignment horizontal="right" vertical="center" textRotation="0" wrapText="false" indent="0" shrinkToFit="false"/>
      <protection locked="true" hidden="false"/>
    </xf>
    <xf numFmtId="176" fontId="45" fillId="0" borderId="59" xfId="0" applyFont="true" applyBorder="true" applyAlignment="true" applyProtection="true">
      <alignment horizontal="center" vertical="bottom" textRotation="0" wrapText="false" indent="0" shrinkToFit="false"/>
      <protection locked="true" hidden="false"/>
    </xf>
    <xf numFmtId="165" fontId="66" fillId="11" borderId="60" xfId="20" applyFont="true" applyBorder="true" applyAlignment="true" applyProtection="true">
      <alignment horizontal="general" vertical="bottom" textRotation="0" wrapText="false" indent="0" shrinkToFit="false"/>
      <protection locked="true" hidden="false"/>
    </xf>
    <xf numFmtId="176" fontId="45" fillId="0" borderId="163" xfId="0" applyFont="true" applyBorder="true" applyAlignment="true" applyProtection="true">
      <alignment horizontal="center" vertical="bottom" textRotation="0" wrapText="false" indent="0" shrinkToFit="false"/>
      <protection locked="true" hidden="false"/>
    </xf>
    <xf numFmtId="165" fontId="66" fillId="0" borderId="60" xfId="20" applyFont="true" applyBorder="true" applyAlignment="true" applyProtection="true">
      <alignment horizontal="right" vertical="bottom" textRotation="0" wrapText="false" indent="0" shrinkToFit="false"/>
      <protection locked="true" hidden="false"/>
    </xf>
    <xf numFmtId="165" fontId="66" fillId="11" borderId="0" xfId="20" applyFont="true" applyBorder="true" applyAlignment="true" applyProtection="true">
      <alignment horizontal="right" vertical="bottom" textRotation="0" wrapText="false" indent="0" shrinkToFit="false"/>
      <protection locked="true" hidden="false"/>
    </xf>
    <xf numFmtId="165" fontId="66" fillId="0" borderId="164" xfId="20" applyFont="true" applyBorder="true" applyAlignment="true" applyProtection="true">
      <alignment horizontal="right" vertical="bottom" textRotation="0" wrapText="false" indent="0" shrinkToFit="false"/>
      <protection locked="true" hidden="false"/>
    </xf>
    <xf numFmtId="176" fontId="45" fillId="0" borderId="165" xfId="0" applyFont="true" applyBorder="true" applyAlignment="true" applyProtection="true">
      <alignment horizontal="center" vertical="bottom" textRotation="0" wrapText="false" indent="0" shrinkToFit="false"/>
      <protection locked="true" hidden="false"/>
    </xf>
    <xf numFmtId="165" fontId="66" fillId="0" borderId="60" xfId="21" applyFont="true" applyBorder="true" applyAlignment="true" applyProtection="true">
      <alignment horizontal="right" vertical="center" textRotation="0" wrapText="false" indent="0" shrinkToFit="false"/>
      <protection locked="true" hidden="false"/>
    </xf>
    <xf numFmtId="164" fontId="6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true"/>
      <protection locked="true" hidden="false"/>
    </xf>
    <xf numFmtId="181" fontId="44" fillId="21" borderId="0" xfId="0" applyFont="true" applyBorder="false" applyAlignment="true" applyProtection="true">
      <alignment horizontal="right" vertical="center" textRotation="0" wrapText="false" indent="0" shrinkToFit="false"/>
      <protection locked="true" hidden="false"/>
    </xf>
    <xf numFmtId="164" fontId="45" fillId="21" borderId="0" xfId="0" applyFont="true" applyBorder="false" applyAlignment="true" applyProtection="true">
      <alignment horizontal="left" vertical="center" textRotation="0" wrapText="false" indent="0" shrinkToFit="false"/>
      <protection locked="true" hidden="false"/>
    </xf>
    <xf numFmtId="164" fontId="48" fillId="0" borderId="30" xfId="0" applyFont="true" applyBorder="true" applyAlignment="true" applyProtection="true">
      <alignment horizontal="center" vertical="center" textRotation="0" wrapText="true" indent="0" shrinkToFit="false"/>
      <protection locked="true" hidden="false"/>
    </xf>
    <xf numFmtId="164" fontId="87" fillId="0" borderId="0" xfId="0" applyFont="true" applyBorder="false" applyAlignment="true" applyProtection="true">
      <alignment horizontal="general" vertical="bottom" textRotation="0" wrapText="true" indent="0" shrinkToFit="false"/>
      <protection locked="true" hidden="false"/>
    </xf>
    <xf numFmtId="164" fontId="40" fillId="0" borderId="0" xfId="0" applyFont="true" applyBorder="false" applyAlignment="true" applyProtection="true">
      <alignment horizontal="general" vertical="bottom" textRotation="0" wrapText="false" indent="0" shrinkToFit="true"/>
      <protection locked="true" hidden="false"/>
    </xf>
    <xf numFmtId="164" fontId="67" fillId="14" borderId="0" xfId="0" applyFont="true" applyBorder="false" applyAlignment="true" applyProtection="true">
      <alignment horizontal="general" vertical="bottom" textRotation="0" wrapText="false" indent="0" shrinkToFit="false"/>
      <protection locked="true" hidden="false"/>
    </xf>
    <xf numFmtId="164" fontId="40" fillId="14" borderId="0" xfId="0" applyFont="true" applyBorder="false" applyAlignment="true" applyProtection="true">
      <alignment horizontal="general" vertical="bottom" textRotation="0" wrapText="false" indent="0" shrinkToFit="false"/>
      <protection locked="true" hidden="false"/>
    </xf>
    <xf numFmtId="206" fontId="143" fillId="11" borderId="30" xfId="0" applyFont="true" applyBorder="true" applyAlignment="true" applyProtection="true">
      <alignment horizontal="center" vertical="center" textRotation="0" wrapText="true" indent="0" shrinkToFit="false"/>
      <protection locked="true" hidden="false"/>
    </xf>
    <xf numFmtId="164" fontId="143" fillId="11" borderId="30" xfId="0" applyFont="true" applyBorder="true" applyAlignment="true" applyProtection="true">
      <alignment horizontal="center" vertical="center" textRotation="0" wrapText="true" indent="0" shrinkToFit="false"/>
      <protection locked="true" hidden="false"/>
    </xf>
    <xf numFmtId="164" fontId="104" fillId="11" borderId="30" xfId="0" applyFont="true" applyBorder="true" applyAlignment="true" applyProtection="true">
      <alignment horizontal="center" vertical="center" textRotation="0" wrapText="true" indent="0" shrinkToFit="false"/>
      <protection locked="true" hidden="false"/>
    </xf>
    <xf numFmtId="164" fontId="87" fillId="14" borderId="0" xfId="0" applyFont="true" applyBorder="false" applyAlignment="true" applyProtection="true">
      <alignment horizontal="general" vertical="bottom" textRotation="0" wrapText="true" indent="0" shrinkToFit="false"/>
      <protection locked="true" hidden="false"/>
    </xf>
    <xf numFmtId="164" fontId="40" fillId="14" borderId="0" xfId="0" applyFont="true" applyBorder="false" applyAlignment="true" applyProtection="true">
      <alignment horizontal="general" vertical="bottom" textRotation="0" wrapText="false" indent="0" shrinkToFit="true"/>
      <protection locked="true" hidden="false"/>
    </xf>
    <xf numFmtId="164" fontId="144" fillId="0" borderId="0" xfId="0" applyFont="true" applyBorder="false" applyAlignment="true" applyProtection="true">
      <alignment horizontal="right" vertical="bottom" textRotation="0" wrapText="true" indent="0" shrinkToFit="false"/>
      <protection locked="true" hidden="false"/>
    </xf>
    <xf numFmtId="164" fontId="94" fillId="0" borderId="0" xfId="0" applyFont="true" applyBorder="false" applyAlignment="true" applyProtection="true">
      <alignment horizontal="center" vertical="bottom" textRotation="0" wrapText="true" indent="0" shrinkToFit="false"/>
      <protection locked="true" hidden="false"/>
    </xf>
    <xf numFmtId="164" fontId="67" fillId="0" borderId="0" xfId="0" applyFont="tru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true"/>
      <protection locked="true" hidden="false"/>
    </xf>
    <xf numFmtId="164" fontId="93" fillId="0" borderId="8" xfId="0" applyFont="true" applyBorder="true" applyAlignment="true" applyProtection="true">
      <alignment horizontal="center" vertical="center" textRotation="0" wrapText="false" indent="0" shrinkToFit="false"/>
      <protection locked="true" hidden="false"/>
    </xf>
    <xf numFmtId="164" fontId="93" fillId="0" borderId="90" xfId="0" applyFont="true" applyBorder="true" applyAlignment="true" applyProtection="true">
      <alignment horizontal="center" vertical="center" textRotation="0" wrapText="false" indent="0" shrinkToFit="false"/>
      <protection locked="true" hidden="false"/>
    </xf>
    <xf numFmtId="164" fontId="48" fillId="0" borderId="6" xfId="0" applyFont="true" applyBorder="true" applyAlignment="true" applyProtection="true">
      <alignment horizontal="center" vertical="center" textRotation="0" wrapText="false" indent="0" shrinkToFit="false"/>
      <protection locked="true" hidden="false"/>
    </xf>
    <xf numFmtId="164" fontId="48" fillId="0" borderId="7" xfId="0" applyFont="true" applyBorder="true" applyAlignment="true" applyProtection="true">
      <alignment horizontal="center" vertical="center" textRotation="0" wrapText="false" indent="0" shrinkToFit="false"/>
      <protection locked="true" hidden="false"/>
    </xf>
    <xf numFmtId="164" fontId="94" fillId="0" borderId="6" xfId="0" applyFont="true" applyBorder="true" applyAlignment="true" applyProtection="true">
      <alignment horizontal="center" vertical="center" textRotation="0" wrapText="false" indent="0" shrinkToFit="false"/>
      <protection locked="true" hidden="false"/>
    </xf>
    <xf numFmtId="164" fontId="48" fillId="14" borderId="39" xfId="0" applyFont="true" applyBorder="true" applyAlignment="true" applyProtection="true">
      <alignment horizontal="center" vertical="center" textRotation="0" wrapText="false" indent="0" shrinkToFit="false"/>
      <protection locked="true" hidden="false"/>
    </xf>
    <xf numFmtId="164" fontId="48" fillId="14" borderId="35" xfId="0" applyFont="true" applyBorder="true" applyAlignment="true" applyProtection="true">
      <alignment horizontal="center" vertical="center" textRotation="0" wrapText="true" indent="0" shrinkToFit="true"/>
      <protection locked="true" hidden="false"/>
    </xf>
    <xf numFmtId="164" fontId="48" fillId="0" borderId="166" xfId="0" applyFont="true" applyBorder="true" applyAlignment="true" applyProtection="true">
      <alignment horizontal="general" vertical="center" textRotation="0" wrapText="true" indent="0" shrinkToFit="false"/>
      <protection locked="true" hidden="false"/>
    </xf>
    <xf numFmtId="173" fontId="49" fillId="0" borderId="167" xfId="0" applyFont="true" applyBorder="true" applyAlignment="true" applyProtection="true">
      <alignment horizontal="general" vertical="bottom" textRotation="0" wrapText="false" indent="0" shrinkToFit="false"/>
      <protection locked="true" hidden="false"/>
    </xf>
    <xf numFmtId="173" fontId="49" fillId="0" borderId="168" xfId="0" applyFont="true" applyBorder="true" applyAlignment="true" applyProtection="true">
      <alignment horizontal="general" vertical="bottom" textRotation="0" wrapText="false" indent="0" shrinkToFit="false"/>
      <protection locked="true" hidden="false"/>
    </xf>
    <xf numFmtId="173" fontId="49" fillId="0" borderId="169" xfId="0" applyFont="true" applyBorder="true" applyAlignment="true" applyProtection="true">
      <alignment horizontal="right" vertical="bottom" textRotation="0" wrapText="false" indent="0" shrinkToFit="false"/>
      <protection locked="true" hidden="false"/>
    </xf>
    <xf numFmtId="173" fontId="46" fillId="0" borderId="169" xfId="0" applyFont="true" applyBorder="true" applyAlignment="true" applyProtection="true">
      <alignment horizontal="center" vertical="center" textRotation="0" wrapText="false" indent="0" shrinkToFit="false"/>
      <protection locked="true" hidden="false"/>
    </xf>
    <xf numFmtId="173" fontId="49" fillId="0" borderId="169" xfId="0" applyFont="true" applyBorder="true" applyAlignment="true" applyProtection="true">
      <alignment horizontal="general" vertical="bottom" textRotation="0" wrapText="false" indent="0" shrinkToFit="false"/>
      <protection locked="true" hidden="false"/>
    </xf>
    <xf numFmtId="173" fontId="49" fillId="0" borderId="170" xfId="0" applyFont="true" applyBorder="true" applyAlignment="true" applyProtection="true">
      <alignment horizontal="right" vertical="bottom" textRotation="0" wrapText="false" indent="0" shrinkToFit="false"/>
      <protection locked="true" hidden="false"/>
    </xf>
    <xf numFmtId="173" fontId="49" fillId="0" borderId="171" xfId="0" applyFont="true" applyBorder="true" applyAlignment="true" applyProtection="true">
      <alignment horizontal="right" vertical="bottom" textRotation="0" wrapText="false" indent="0" shrinkToFit="false"/>
      <protection locked="true" hidden="false"/>
    </xf>
    <xf numFmtId="173" fontId="49" fillId="0" borderId="172" xfId="0" applyFont="true" applyBorder="true" applyAlignment="true" applyProtection="true">
      <alignment horizontal="right" vertical="bottom" textRotation="0" wrapText="false" indent="0" shrinkToFit="true"/>
      <protection locked="true" hidden="false"/>
    </xf>
    <xf numFmtId="164" fontId="146" fillId="0" borderId="19" xfId="0" applyFont="true" applyBorder="true" applyAlignment="true" applyProtection="true">
      <alignment horizontal="right" vertical="bottom" textRotation="0" wrapText="false" indent="0" shrinkToFit="false"/>
      <protection locked="true" hidden="false"/>
    </xf>
    <xf numFmtId="207" fontId="147" fillId="11" borderId="97" xfId="0" applyFont="true" applyBorder="true" applyAlignment="true" applyProtection="true">
      <alignment horizontal="left" vertical="bottom" textRotation="0" wrapText="false" indent="0" shrinkToFit="false"/>
      <protection locked="true" hidden="false"/>
    </xf>
    <xf numFmtId="208" fontId="148" fillId="11" borderId="13" xfId="0" applyFont="true" applyBorder="true" applyAlignment="true" applyProtection="true">
      <alignment horizontal="left" vertical="bottom" textRotation="0" wrapText="false" indent="0" shrinkToFit="false"/>
      <protection locked="true" hidden="false"/>
    </xf>
    <xf numFmtId="208" fontId="148" fillId="11" borderId="173" xfId="0" applyFont="true" applyBorder="true" applyAlignment="true" applyProtection="true">
      <alignment horizontal="left" vertical="bottom" textRotation="0" wrapText="false" indent="0" shrinkToFit="false"/>
      <protection locked="true" hidden="false"/>
    </xf>
    <xf numFmtId="209" fontId="149" fillId="11" borderId="173" xfId="0" applyFont="true" applyBorder="true" applyAlignment="true" applyProtection="true">
      <alignment horizontal="center" vertical="center" textRotation="0" wrapText="false" indent="0" shrinkToFit="false"/>
      <protection locked="true" hidden="false"/>
    </xf>
    <xf numFmtId="209" fontId="148" fillId="11" borderId="173" xfId="0" applyFont="true" applyBorder="true" applyAlignment="true" applyProtection="true">
      <alignment horizontal="left" vertical="bottom" textRotation="0" wrapText="false" indent="0" shrinkToFit="false"/>
      <protection locked="true" hidden="false"/>
    </xf>
    <xf numFmtId="210" fontId="148" fillId="11" borderId="174" xfId="0" applyFont="true" applyBorder="true" applyAlignment="true" applyProtection="true">
      <alignment horizontal="left" vertical="bottom" textRotation="0" wrapText="false" indent="0" shrinkToFit="false"/>
      <protection locked="true" hidden="false"/>
    </xf>
    <xf numFmtId="210" fontId="148" fillId="11" borderId="173" xfId="0" applyFont="true" applyBorder="true" applyAlignment="true" applyProtection="true">
      <alignment horizontal="left" vertical="bottom" textRotation="0" wrapText="false" indent="0" shrinkToFit="false"/>
      <protection locked="true" hidden="false"/>
    </xf>
    <xf numFmtId="210" fontId="148" fillId="11" borderId="175" xfId="0" applyFont="true" applyBorder="true" applyAlignment="true" applyProtection="true">
      <alignment horizontal="left" vertical="bottom" textRotation="0" wrapText="false" indent="0" shrinkToFit="false"/>
      <protection locked="true" hidden="false"/>
    </xf>
    <xf numFmtId="164" fontId="150" fillId="0" borderId="44" xfId="0" applyFont="true" applyBorder="true" applyAlignment="true" applyProtection="true">
      <alignment horizontal="center" vertical="center" textRotation="0" wrapText="false" indent="0" shrinkToFit="false"/>
      <protection locked="true" hidden="false"/>
    </xf>
    <xf numFmtId="210" fontId="147" fillId="0" borderId="173" xfId="0" applyFont="true" applyBorder="true" applyAlignment="true" applyProtection="true">
      <alignment horizontal="left" vertical="bottom" textRotation="0" wrapText="false" indent="0" shrinkToFit="true"/>
      <protection locked="true" hidden="false"/>
    </xf>
    <xf numFmtId="164" fontId="86" fillId="0" borderId="0" xfId="0" applyFont="true" applyBorder="false" applyAlignment="true" applyProtection="true">
      <alignment horizontal="general" vertical="bottom" textRotation="0" wrapText="false" indent="0" shrinkToFit="false"/>
      <protection locked="true" hidden="false"/>
    </xf>
    <xf numFmtId="173" fontId="49" fillId="0" borderId="172" xfId="0" applyFont="true" applyBorder="true" applyAlignment="true" applyProtection="true">
      <alignment horizontal="right" vertical="bottom" textRotation="0" wrapText="false" indent="0" shrinkToFit="false"/>
      <protection locked="true" hidden="false"/>
    </xf>
    <xf numFmtId="173" fontId="46" fillId="0" borderId="176" xfId="0" applyFont="true" applyBorder="true" applyAlignment="true" applyProtection="true">
      <alignment horizontal="center" vertical="center" textRotation="0" wrapText="false" indent="0" shrinkToFit="false"/>
      <protection locked="true" hidden="false"/>
    </xf>
    <xf numFmtId="173" fontId="49" fillId="0" borderId="176" xfId="0" applyFont="true" applyBorder="true" applyAlignment="true" applyProtection="true">
      <alignment horizontal="general" vertical="bottom" textRotation="0" wrapText="false" indent="0" shrinkToFit="false"/>
      <protection locked="true" hidden="false"/>
    </xf>
    <xf numFmtId="173" fontId="49" fillId="0" borderId="168" xfId="0" applyFont="true" applyBorder="true" applyAlignment="true" applyProtection="true">
      <alignment horizontal="right" vertical="bottom" textRotation="0" wrapText="false" indent="0" shrinkToFit="false"/>
      <protection locked="true" hidden="false"/>
    </xf>
    <xf numFmtId="173" fontId="49" fillId="0" borderId="176" xfId="0" applyFont="true" applyBorder="true" applyAlignment="true" applyProtection="true">
      <alignment horizontal="right" vertical="bottom" textRotation="0" wrapText="false" indent="0" shrinkToFit="false"/>
      <protection locked="true" hidden="false"/>
    </xf>
    <xf numFmtId="173" fontId="49" fillId="0" borderId="177" xfId="0" applyFont="true" applyBorder="true" applyAlignment="true" applyProtection="true">
      <alignment horizontal="right" vertical="bottom" textRotation="0" wrapText="false" indent="0" shrinkToFit="false"/>
      <protection locked="true" hidden="false"/>
    </xf>
    <xf numFmtId="173" fontId="49" fillId="0" borderId="176" xfId="0" applyFont="true" applyBorder="true" applyAlignment="true" applyProtection="true">
      <alignment horizontal="right" vertical="bottom" textRotation="0" wrapText="false" indent="0" shrinkToFit="true"/>
      <protection locked="true" hidden="false"/>
    </xf>
    <xf numFmtId="164" fontId="146" fillId="0" borderId="178" xfId="0" applyFont="true" applyBorder="true" applyAlignment="true" applyProtection="true">
      <alignment horizontal="right" vertical="bottom" textRotation="0" wrapText="false" indent="0" shrinkToFit="false"/>
      <protection locked="true" hidden="false"/>
    </xf>
    <xf numFmtId="211" fontId="147" fillId="11" borderId="179" xfId="0" applyFont="true" applyBorder="true" applyAlignment="true" applyProtection="true">
      <alignment horizontal="left" vertical="bottom" textRotation="0" wrapText="false" indent="0" shrinkToFit="false"/>
      <protection locked="true" hidden="false"/>
    </xf>
    <xf numFmtId="211" fontId="147" fillId="11" borderId="180" xfId="0" applyFont="true" applyBorder="true" applyAlignment="true" applyProtection="true">
      <alignment horizontal="left" vertical="bottom" textRotation="0" wrapText="false" indent="0" shrinkToFit="false"/>
      <protection locked="true" hidden="false"/>
    </xf>
    <xf numFmtId="211" fontId="147" fillId="11" borderId="181" xfId="0" applyFont="true" applyBorder="true" applyAlignment="true" applyProtection="true">
      <alignment horizontal="left" vertical="bottom" textRotation="0" wrapText="false" indent="0" shrinkToFit="false"/>
      <protection locked="true" hidden="false"/>
    </xf>
    <xf numFmtId="212" fontId="46" fillId="11" borderId="31" xfId="0" applyFont="true" applyBorder="true" applyAlignment="true" applyProtection="true">
      <alignment horizontal="center" vertical="center" textRotation="0" wrapText="false" indent="0" shrinkToFit="false"/>
      <protection locked="true" hidden="false"/>
    </xf>
    <xf numFmtId="212" fontId="147" fillId="11" borderId="31" xfId="0" applyFont="true" applyBorder="true" applyAlignment="true" applyProtection="true">
      <alignment horizontal="left" vertical="bottom" textRotation="0" wrapText="false" indent="0" shrinkToFit="false"/>
      <protection locked="true" hidden="false"/>
    </xf>
    <xf numFmtId="213" fontId="147" fillId="11" borderId="174" xfId="0" applyFont="true" applyBorder="true" applyAlignment="true" applyProtection="true">
      <alignment horizontal="left" vertical="bottom" textRotation="0" wrapText="false" indent="0" shrinkToFit="false"/>
      <protection locked="true" hidden="false"/>
    </xf>
    <xf numFmtId="214" fontId="147" fillId="11" borderId="173" xfId="0" applyFont="true" applyBorder="true" applyAlignment="true" applyProtection="true">
      <alignment horizontal="left" vertical="bottom" textRotation="0" wrapText="false" indent="0" shrinkToFit="false"/>
      <protection locked="true" hidden="false"/>
    </xf>
    <xf numFmtId="213" fontId="147" fillId="11" borderId="175" xfId="0" applyFont="true" applyBorder="true" applyAlignment="true" applyProtection="true">
      <alignment horizontal="left" vertical="bottom" textRotation="0" wrapText="false" indent="0" shrinkToFit="false"/>
      <protection locked="true" hidden="false"/>
    </xf>
    <xf numFmtId="213" fontId="147" fillId="0" borderId="173" xfId="0" applyFont="true" applyBorder="true" applyAlignment="true" applyProtection="true">
      <alignment horizontal="left" vertical="bottom" textRotation="0" wrapText="false" indent="0" shrinkToFit="true"/>
      <protection locked="true" hidden="false"/>
    </xf>
    <xf numFmtId="164" fontId="91" fillId="0" borderId="59" xfId="0" applyFont="true" applyBorder="true" applyAlignment="true" applyProtection="true">
      <alignment horizontal="center" vertical="bottom" textRotation="0" wrapText="false" indent="0" shrinkToFit="false"/>
      <protection locked="true" hidden="false"/>
    </xf>
    <xf numFmtId="173" fontId="49" fillId="0" borderId="182" xfId="0" applyFont="true" applyBorder="true" applyAlignment="true" applyProtection="true">
      <alignment horizontal="right" vertical="bottom" textRotation="0" wrapText="false" indent="0" shrinkToFit="false"/>
      <protection locked="true" hidden="false"/>
    </xf>
    <xf numFmtId="173" fontId="49" fillId="0" borderId="183" xfId="0" applyFont="true" applyBorder="true" applyAlignment="true" applyProtection="true">
      <alignment horizontal="right" vertical="bottom" textRotation="0" wrapText="false" indent="0" shrinkToFit="false"/>
      <protection locked="true" hidden="false"/>
    </xf>
    <xf numFmtId="173" fontId="49" fillId="0" borderId="184" xfId="0" applyFont="true" applyBorder="true" applyAlignment="true" applyProtection="true">
      <alignment horizontal="right" vertical="bottom" textRotation="0" wrapText="false" indent="0" shrinkToFit="false"/>
      <protection locked="true" hidden="false"/>
    </xf>
    <xf numFmtId="173" fontId="46" fillId="0" borderId="184" xfId="0" applyFont="true" applyBorder="true" applyAlignment="true" applyProtection="true">
      <alignment horizontal="center" vertical="center" textRotation="0" wrapText="false" indent="0" shrinkToFit="false"/>
      <protection locked="true" hidden="false"/>
    </xf>
    <xf numFmtId="173" fontId="49" fillId="0" borderId="164" xfId="0" applyFont="true" applyBorder="true" applyAlignment="true" applyProtection="true">
      <alignment horizontal="right" vertical="bottom" textRotation="0" wrapText="false" indent="0" shrinkToFit="false"/>
      <protection locked="true" hidden="false"/>
    </xf>
    <xf numFmtId="173" fontId="49" fillId="0" borderId="185" xfId="0" applyFont="true" applyBorder="true" applyAlignment="true" applyProtection="true">
      <alignment horizontal="right" vertical="bottom" textRotation="0" wrapText="false" indent="0" shrinkToFit="true"/>
      <protection locked="true" hidden="false"/>
    </xf>
    <xf numFmtId="164" fontId="86" fillId="0" borderId="0" xfId="0" applyFont="true" applyBorder="false" applyAlignment="true" applyProtection="true">
      <alignment horizontal="general" vertical="top" textRotation="0" wrapText="false" indent="0" shrinkToFit="false"/>
      <protection locked="true" hidden="false"/>
    </xf>
    <xf numFmtId="164" fontId="47" fillId="0" borderId="0" xfId="0" applyFont="true" applyBorder="false" applyAlignment="true" applyProtection="true">
      <alignment horizontal="center" vertical="top" textRotation="0" wrapText="false" indent="0" shrinkToFit="false"/>
      <protection locked="true" hidden="false"/>
    </xf>
    <xf numFmtId="164" fontId="47" fillId="0" borderId="77" xfId="0" applyFont="true" applyBorder="true" applyAlignment="true" applyProtection="true">
      <alignment horizontal="center" vertical="top" textRotation="0" wrapText="false" indent="0" shrinkToFit="false"/>
      <protection locked="true" hidden="false"/>
    </xf>
    <xf numFmtId="164" fontId="47" fillId="0" borderId="0" xfId="0" applyFont="true" applyBorder="true" applyAlignment="true" applyProtection="true">
      <alignment horizontal="center" vertical="top" textRotation="0" wrapText="false" indent="0" shrinkToFit="false"/>
      <protection locked="true" hidden="false"/>
    </xf>
    <xf numFmtId="164" fontId="86" fillId="0" borderId="0" xfId="0" applyFont="true" applyBorder="true" applyAlignment="true" applyProtection="true">
      <alignment horizontal="center" vertical="top" textRotation="0" wrapText="false" indent="0" shrinkToFit="true"/>
      <protection locked="true" hidden="false"/>
    </xf>
    <xf numFmtId="164" fontId="50" fillId="0" borderId="0" xfId="0" applyFont="true" applyBorder="false" applyAlignment="true" applyProtection="true">
      <alignment horizontal="center" vertical="bottom" textRotation="0" wrapText="false" indent="0" shrinkToFit="false"/>
      <protection locked="true" hidden="false"/>
    </xf>
    <xf numFmtId="164" fontId="50" fillId="0" borderId="0" xfId="0" applyFont="true" applyBorder="true" applyAlignment="true" applyProtection="true">
      <alignment horizontal="center" vertical="bottom" textRotation="0" wrapText="false" indent="0" shrinkToFit="false"/>
      <protection locked="true" hidden="false"/>
    </xf>
    <xf numFmtId="164" fontId="50" fillId="0" borderId="0" xfId="0" applyFont="true" applyBorder="true" applyAlignment="true" applyProtection="true">
      <alignment horizontal="center" vertical="bottom" textRotation="0" wrapText="false" indent="0" shrinkToFit="true"/>
      <protection locked="true" hidden="false"/>
    </xf>
    <xf numFmtId="164" fontId="48" fillId="0" borderId="186" xfId="0" applyFont="true" applyBorder="true" applyAlignment="true" applyProtection="true">
      <alignment horizontal="center" vertical="center" textRotation="0" wrapText="false" indent="0" shrinkToFit="false"/>
      <protection locked="true" hidden="false"/>
    </xf>
    <xf numFmtId="164" fontId="48" fillId="14" borderId="187" xfId="0" applyFont="true" applyBorder="true" applyAlignment="true" applyProtection="true">
      <alignment horizontal="center" vertical="center" textRotation="0" wrapText="true" indent="0" shrinkToFit="false"/>
      <protection locked="true" hidden="false"/>
    </xf>
    <xf numFmtId="164" fontId="110" fillId="14" borderId="6" xfId="0" applyFont="true" applyBorder="true" applyAlignment="true" applyProtection="true">
      <alignment horizontal="center" vertical="center" textRotation="0" wrapText="true" indent="0" shrinkToFit="false"/>
      <protection locked="true" hidden="false"/>
    </xf>
    <xf numFmtId="164" fontId="48" fillId="14" borderId="6" xfId="0" applyFont="true" applyBorder="true" applyAlignment="true" applyProtection="true">
      <alignment horizontal="center" vertical="center" textRotation="0" wrapText="true" indent="0" shrinkToFit="false"/>
      <protection locked="true" hidden="false"/>
    </xf>
    <xf numFmtId="164" fontId="94" fillId="0" borderId="166" xfId="0" applyFont="true" applyBorder="true" applyAlignment="true" applyProtection="true">
      <alignment horizontal="general" vertical="center" textRotation="0" wrapText="true" indent="0" shrinkToFit="false"/>
      <protection locked="true" hidden="false"/>
    </xf>
    <xf numFmtId="173" fontId="49" fillId="0" borderId="188" xfId="0" applyFont="true" applyBorder="true" applyAlignment="true" applyProtection="true">
      <alignment horizontal="general" vertical="bottom" textRotation="0" wrapText="false" indent="0" shrinkToFit="false"/>
      <protection locked="true" hidden="false"/>
    </xf>
    <xf numFmtId="173" fontId="49" fillId="0" borderId="189" xfId="0" applyFont="true" applyBorder="true" applyAlignment="true" applyProtection="true">
      <alignment horizontal="general" vertical="bottom" textRotation="0" wrapText="false" indent="0" shrinkToFit="false"/>
      <protection locked="true" hidden="false"/>
    </xf>
    <xf numFmtId="173" fontId="49" fillId="0" borderId="170" xfId="0" applyFont="true" applyBorder="true" applyAlignment="true" applyProtection="true">
      <alignment horizontal="general" vertical="bottom" textRotation="0" wrapText="false" indent="0" shrinkToFit="false"/>
      <protection locked="true" hidden="false"/>
    </xf>
    <xf numFmtId="173" fontId="49" fillId="0" borderId="171" xfId="0" applyFont="true" applyBorder="true" applyAlignment="true" applyProtection="true">
      <alignment horizontal="general" vertical="bottom" textRotation="0" wrapText="false" indent="0" shrinkToFit="false"/>
      <protection locked="true" hidden="false"/>
    </xf>
    <xf numFmtId="173" fontId="49" fillId="0" borderId="172" xfId="0" applyFont="true" applyBorder="true" applyAlignment="true" applyProtection="true">
      <alignment horizontal="general" vertical="bottom" textRotation="0" wrapText="false" indent="0" shrinkToFit="true"/>
      <protection locked="true" hidden="false"/>
    </xf>
    <xf numFmtId="211" fontId="147" fillId="11" borderId="190" xfId="0" applyFont="true" applyBorder="true" applyAlignment="true" applyProtection="true">
      <alignment horizontal="left" vertical="bottom" textRotation="0" wrapText="false" indent="0" shrinkToFit="false"/>
      <protection locked="true" hidden="false"/>
    </xf>
    <xf numFmtId="211" fontId="148" fillId="11" borderId="13" xfId="0" applyFont="true" applyBorder="true" applyAlignment="true" applyProtection="true">
      <alignment horizontal="left" vertical="bottom" textRotation="0" wrapText="false" indent="0" shrinkToFit="false"/>
      <protection locked="true" hidden="false"/>
    </xf>
    <xf numFmtId="211" fontId="148" fillId="11" borderId="191" xfId="0" applyFont="true" applyBorder="true" applyAlignment="true" applyProtection="true">
      <alignment horizontal="left" vertical="bottom" textRotation="0" wrapText="false" indent="0" shrinkToFit="false"/>
      <protection locked="true" hidden="false"/>
    </xf>
    <xf numFmtId="209" fontId="148" fillId="11" borderId="192" xfId="0" applyFont="true" applyBorder="true" applyAlignment="true" applyProtection="true">
      <alignment horizontal="left" vertical="bottom" textRotation="0" wrapText="false" indent="0" shrinkToFit="false"/>
      <protection locked="true" hidden="false"/>
    </xf>
    <xf numFmtId="209" fontId="148" fillId="11" borderId="174" xfId="0" applyFont="true" applyBorder="true" applyAlignment="true" applyProtection="true">
      <alignment horizontal="left" vertical="bottom" textRotation="0" wrapText="false" indent="0" shrinkToFit="false"/>
      <protection locked="true" hidden="false"/>
    </xf>
    <xf numFmtId="215" fontId="148" fillId="11" borderId="173" xfId="0" applyFont="true" applyBorder="true" applyAlignment="true" applyProtection="true">
      <alignment horizontal="left" vertical="bottom" textRotation="0" wrapText="false" indent="0" shrinkToFit="false"/>
      <protection locked="true" hidden="false"/>
    </xf>
    <xf numFmtId="216" fontId="148" fillId="11" borderId="173" xfId="0" applyFont="true" applyBorder="true" applyAlignment="true" applyProtection="true">
      <alignment horizontal="left" vertical="bottom" textRotation="0" wrapText="false" indent="0" shrinkToFit="false"/>
      <protection locked="true" hidden="false"/>
    </xf>
    <xf numFmtId="216" fontId="148" fillId="11" borderId="175" xfId="0" applyFont="true" applyBorder="true" applyAlignment="true" applyProtection="true">
      <alignment horizontal="left" vertical="bottom" textRotation="0" wrapText="false" indent="0" shrinkToFit="false"/>
      <protection locked="true" hidden="false"/>
    </xf>
    <xf numFmtId="215" fontId="147" fillId="0" borderId="173" xfId="0" applyFont="true" applyBorder="true" applyAlignment="true" applyProtection="true">
      <alignment horizontal="left" vertical="bottom" textRotation="0" wrapText="false" indent="0" shrinkToFit="true"/>
      <protection locked="true" hidden="false"/>
    </xf>
    <xf numFmtId="173" fontId="49" fillId="0" borderId="193" xfId="0" applyFont="true" applyBorder="true" applyAlignment="true" applyProtection="true">
      <alignment horizontal="general" vertical="bottom" textRotation="0" wrapText="false" indent="0" shrinkToFit="false"/>
      <protection locked="true" hidden="false"/>
    </xf>
    <xf numFmtId="173" fontId="49" fillId="0" borderId="194" xfId="0" applyFont="true" applyBorder="true" applyAlignment="true" applyProtection="true">
      <alignment horizontal="right" vertical="bottom" textRotation="0" wrapText="false" indent="0" shrinkToFit="false"/>
      <protection locked="true" hidden="false"/>
    </xf>
    <xf numFmtId="173" fontId="49" fillId="0" borderId="177" xfId="0" applyFont="true" applyBorder="true" applyAlignment="true" applyProtection="true">
      <alignment horizontal="general" vertical="bottom" textRotation="0" wrapText="false" indent="0" shrinkToFit="false"/>
      <protection locked="true" hidden="false"/>
    </xf>
    <xf numFmtId="173" fontId="49" fillId="0" borderId="176" xfId="0" applyFont="true" applyBorder="true" applyAlignment="true" applyProtection="true">
      <alignment horizontal="general" vertical="bottom" textRotation="0" wrapText="false" indent="0" shrinkToFit="true"/>
      <protection locked="true" hidden="false"/>
    </xf>
    <xf numFmtId="164" fontId="146" fillId="0" borderId="195" xfId="0" applyFont="true" applyBorder="true" applyAlignment="true" applyProtection="true">
      <alignment horizontal="right" vertical="bottom" textRotation="0" wrapText="false" indent="0" shrinkToFit="false"/>
      <protection locked="true" hidden="false"/>
    </xf>
    <xf numFmtId="211" fontId="147" fillId="0" borderId="190" xfId="0" applyFont="true" applyBorder="true" applyAlignment="true" applyProtection="true">
      <alignment horizontal="left" vertical="bottom" textRotation="0" wrapText="false" indent="0" shrinkToFit="false"/>
      <protection locked="true" hidden="false"/>
    </xf>
    <xf numFmtId="211" fontId="147" fillId="0" borderId="196" xfId="0" applyFont="true" applyBorder="true" applyAlignment="true" applyProtection="true">
      <alignment horizontal="left" vertical="bottom" textRotation="0" wrapText="false" indent="0" shrinkToFit="false"/>
      <protection locked="true" hidden="false"/>
    </xf>
    <xf numFmtId="211" fontId="147" fillId="0" borderId="191" xfId="0" applyFont="true" applyBorder="true" applyAlignment="true" applyProtection="true">
      <alignment horizontal="left" vertical="bottom" textRotation="0" wrapText="false" indent="0" shrinkToFit="false"/>
      <protection locked="true" hidden="false"/>
    </xf>
    <xf numFmtId="217" fontId="110" fillId="0" borderId="192" xfId="0" applyFont="true" applyBorder="true" applyAlignment="true" applyProtection="true">
      <alignment horizontal="center" vertical="bottom" textRotation="0" wrapText="false" indent="0" shrinkToFit="false"/>
      <protection locked="true" hidden="false"/>
    </xf>
    <xf numFmtId="210" fontId="147" fillId="0" borderId="174" xfId="0" applyFont="true" applyBorder="true" applyAlignment="true" applyProtection="true">
      <alignment horizontal="left" vertical="bottom" textRotation="0" wrapText="false" indent="0" shrinkToFit="false"/>
      <protection locked="true" hidden="false"/>
    </xf>
    <xf numFmtId="210" fontId="147" fillId="0" borderId="173" xfId="0" applyFont="true" applyBorder="true" applyAlignment="true" applyProtection="true">
      <alignment horizontal="left" vertical="bottom" textRotation="0" wrapText="false" indent="0" shrinkToFit="false"/>
      <protection locked="true" hidden="false"/>
    </xf>
    <xf numFmtId="218" fontId="147" fillId="0" borderId="173" xfId="0" applyFont="true" applyBorder="true" applyAlignment="true" applyProtection="true">
      <alignment horizontal="left" vertical="bottom" textRotation="0" wrapText="false" indent="0" shrinkToFit="false"/>
      <protection locked="true" hidden="false"/>
    </xf>
    <xf numFmtId="218" fontId="147" fillId="0" borderId="175" xfId="0" applyFont="true" applyBorder="true" applyAlignment="true" applyProtection="true">
      <alignment horizontal="left" vertical="bottom" textRotation="0" wrapText="false" indent="0" shrinkToFit="false"/>
      <protection locked="true" hidden="false"/>
    </xf>
    <xf numFmtId="218" fontId="147" fillId="0" borderId="173" xfId="0" applyFont="true" applyBorder="true" applyAlignment="true" applyProtection="true">
      <alignment horizontal="left" vertical="bottom" textRotation="0" wrapText="false" indent="0" shrinkToFit="true"/>
      <protection locked="true" hidden="false"/>
    </xf>
    <xf numFmtId="164" fontId="48" fillId="0" borderId="166" xfId="0" applyFont="true" applyBorder="true" applyAlignment="true" applyProtection="true">
      <alignment horizontal="general" vertical="center" textRotation="0" wrapText="false" indent="0" shrinkToFit="false"/>
      <protection locked="true" hidden="false"/>
    </xf>
    <xf numFmtId="173" fontId="49" fillId="0" borderId="197" xfId="0" applyFont="true" applyBorder="true" applyAlignment="true" applyProtection="true">
      <alignment horizontal="general" vertical="bottom" textRotation="0" wrapText="false" indent="0" shrinkToFit="false"/>
      <protection locked="true" hidden="false"/>
    </xf>
    <xf numFmtId="211" fontId="147" fillId="0" borderId="179" xfId="0" applyFont="true" applyBorder="true" applyAlignment="true" applyProtection="true">
      <alignment horizontal="left" vertical="bottom" textRotation="0" wrapText="false" indent="0" shrinkToFit="false"/>
      <protection locked="true" hidden="false"/>
    </xf>
    <xf numFmtId="217" fontId="94" fillId="0" borderId="192" xfId="0" applyFont="true" applyBorder="true" applyAlignment="true" applyProtection="true">
      <alignment horizontal="center" vertical="bottom" textRotation="0" wrapText="false" indent="0" shrinkToFit="false"/>
      <protection locked="true" hidden="false"/>
    </xf>
    <xf numFmtId="210" fontId="147" fillId="0" borderId="180" xfId="0" applyFont="true" applyBorder="true" applyAlignment="true" applyProtection="true">
      <alignment horizontal="left" vertical="bottom" textRotation="0" wrapText="false" indent="0" shrinkToFit="false"/>
      <protection locked="true" hidden="false"/>
    </xf>
    <xf numFmtId="210" fontId="147" fillId="0" borderId="181" xfId="0" applyFont="true" applyBorder="true" applyAlignment="true" applyProtection="true">
      <alignment horizontal="left" vertical="bottom" textRotation="0" wrapText="false" indent="0" shrinkToFit="false"/>
      <protection locked="true" hidden="false"/>
    </xf>
    <xf numFmtId="218" fontId="147" fillId="0" borderId="181" xfId="0" applyFont="true" applyBorder="true" applyAlignment="true" applyProtection="true">
      <alignment horizontal="left" vertical="bottom" textRotation="0" wrapText="false" indent="0" shrinkToFit="false"/>
      <protection locked="true" hidden="false"/>
    </xf>
    <xf numFmtId="218" fontId="147" fillId="0" borderId="198" xfId="0" applyFont="true" applyBorder="true" applyAlignment="true" applyProtection="true">
      <alignment horizontal="left" vertical="bottom" textRotation="0" wrapText="false" indent="0" shrinkToFit="false"/>
      <protection locked="true" hidden="false"/>
    </xf>
    <xf numFmtId="218" fontId="147" fillId="0" borderId="181" xfId="0" applyFont="true" applyBorder="true" applyAlignment="true" applyProtection="true">
      <alignment horizontal="left" vertical="bottom" textRotation="0" wrapText="false" indent="0" shrinkToFit="true"/>
      <protection locked="true" hidden="false"/>
    </xf>
    <xf numFmtId="173" fontId="49" fillId="0" borderId="182" xfId="0" applyFont="true" applyBorder="true" applyAlignment="true" applyProtection="true">
      <alignment horizontal="general" vertical="bottom" textRotation="0" wrapText="false" indent="0" shrinkToFit="false"/>
      <protection locked="true" hidden="false"/>
    </xf>
    <xf numFmtId="173" fontId="49" fillId="0" borderId="199" xfId="0" applyFont="true" applyBorder="true" applyAlignment="true" applyProtection="true">
      <alignment horizontal="general" vertical="bottom" textRotation="0" wrapText="false" indent="0" shrinkToFit="false"/>
      <protection locked="true" hidden="false"/>
    </xf>
    <xf numFmtId="173" fontId="49" fillId="0" borderId="200" xfId="0" applyFont="true" applyBorder="true" applyAlignment="true" applyProtection="true">
      <alignment horizontal="general" vertical="bottom" textRotation="0" wrapText="false" indent="0" shrinkToFit="false"/>
      <protection locked="true" hidden="false"/>
    </xf>
    <xf numFmtId="173" fontId="49" fillId="0" borderId="201" xfId="0" applyFont="true" applyBorder="true" applyAlignment="true" applyProtection="true">
      <alignment horizontal="general" vertical="bottom" textRotation="0" wrapText="false" indent="0" shrinkToFit="false"/>
      <protection locked="true" hidden="false"/>
    </xf>
    <xf numFmtId="173" fontId="49" fillId="0" borderId="183" xfId="0" applyFont="true" applyBorder="true" applyAlignment="true" applyProtection="true">
      <alignment horizontal="general" vertical="bottom" textRotation="0" wrapText="false" indent="0" shrinkToFit="false"/>
      <protection locked="true" hidden="false"/>
    </xf>
    <xf numFmtId="173" fontId="49" fillId="0" borderId="202" xfId="0" applyFont="true" applyBorder="true" applyAlignment="true" applyProtection="true">
      <alignment horizontal="general" vertical="bottom" textRotation="0" wrapText="false" indent="0" shrinkToFit="false"/>
      <protection locked="tru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73" fontId="49" fillId="0" borderId="185" xfId="0" applyFont="true" applyBorder="true" applyAlignment="true" applyProtection="true">
      <alignment horizontal="general" vertical="bottom" textRotation="0" wrapText="false" indent="0" shrinkToFit="true"/>
      <protection locked="true" hidden="false"/>
    </xf>
    <xf numFmtId="164" fontId="86" fillId="0" borderId="0" xfId="0" applyFont="true" applyBorder="false" applyAlignment="true" applyProtection="true">
      <alignment horizontal="center" vertical="top" textRotation="0" wrapText="false" indent="0" shrinkToFit="true"/>
      <protection locked="true" hidden="false"/>
    </xf>
    <xf numFmtId="164" fontId="93" fillId="0" borderId="72" xfId="0" applyFont="true" applyBorder="true" applyAlignment="true" applyProtection="true">
      <alignment horizontal="center" vertical="center" textRotation="0" wrapText="false" indent="0" shrinkToFit="true"/>
      <protection locked="true" hidden="false"/>
    </xf>
    <xf numFmtId="173" fontId="151" fillId="0" borderId="5" xfId="0" applyFont="true" applyBorder="true" applyAlignment="true" applyProtection="true">
      <alignment horizontal="general" vertical="center" textRotation="0" wrapText="false" indent="0" shrinkToFit="true"/>
      <protection locked="true" hidden="false"/>
    </xf>
    <xf numFmtId="164" fontId="87" fillId="0" borderId="0" xfId="0" applyFont="true" applyBorder="false" applyAlignment="true" applyProtection="true">
      <alignment horizontal="general" vertical="bottom" textRotation="0" wrapText="false" indent="0" shrinkToFit="false"/>
      <protection locked="true" hidden="false"/>
    </xf>
    <xf numFmtId="164" fontId="152" fillId="14" borderId="0" xfId="0" applyFont="true" applyBorder="false" applyAlignment="true" applyProtection="true">
      <alignment horizontal="center" vertical="bottom" textRotation="0" wrapText="false" indent="0" shrinkToFit="true"/>
      <protection locked="true" hidden="false"/>
    </xf>
    <xf numFmtId="164" fontId="153" fillId="0" borderId="0" xfId="0"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center" vertical="center" textRotation="0" wrapText="false" indent="0" shrinkToFit="false"/>
      <protection locked="true" hidden="false"/>
    </xf>
    <xf numFmtId="164" fontId="48" fillId="0" borderId="0" xfId="0" applyFont="true" applyBorder="false" applyAlignment="true" applyProtection="true">
      <alignment horizontal="left" vertical="center" textRotation="0" wrapText="false" indent="1" shrinkToFit="false"/>
      <protection locked="true" hidden="false"/>
    </xf>
    <xf numFmtId="164" fontId="153" fillId="0" borderId="0" xfId="0" applyFont="true" applyBorder="false" applyAlignment="true" applyProtection="true">
      <alignment horizontal="general" vertical="center" textRotation="0" wrapText="false" indent="0" shrinkToFit="false"/>
      <protection locked="true" hidden="false"/>
    </xf>
    <xf numFmtId="164" fontId="153" fillId="0" borderId="0" xfId="0" applyFont="true" applyBorder="false" applyAlignment="true" applyProtection="true">
      <alignment horizontal="left" vertical="center" textRotation="0" wrapText="false" indent="0" shrinkToFit="false"/>
      <protection locked="true" hidden="false"/>
    </xf>
    <xf numFmtId="164" fontId="48" fillId="14" borderId="0" xfId="0" applyFont="true" applyBorder="false" applyAlignment="true" applyProtection="true">
      <alignment horizontal="left" vertical="center" textRotation="0" wrapText="false" indent="0" shrinkToFit="false"/>
      <protection locked="true" hidden="false"/>
    </xf>
    <xf numFmtId="219" fontId="154" fillId="0" borderId="0" xfId="21" applyFont="true" applyBorder="true" applyAlignment="true" applyProtection="true">
      <alignment horizontal="right" vertical="center" textRotation="0" wrapText="false" indent="0" shrinkToFit="false"/>
      <protection locked="true" hidden="false"/>
    </xf>
    <xf numFmtId="173" fontId="153" fillId="0" borderId="0" xfId="0" applyFont="true" applyBorder="false" applyAlignment="true" applyProtection="true">
      <alignment horizontal="left" vertical="center" textRotation="0" wrapText="false" indent="0" shrinkToFit="false"/>
      <protection locked="true" hidden="false"/>
    </xf>
    <xf numFmtId="164" fontId="48" fillId="0" borderId="0" xfId="0" applyFont="true" applyBorder="true" applyAlignment="true" applyProtection="true">
      <alignment horizontal="general" vertical="bottom" textRotation="0" wrapText="false" indent="0" shrinkToFit="false"/>
      <protection locked="true" hidden="false"/>
    </xf>
    <xf numFmtId="164" fontId="87" fillId="0" borderId="0" xfId="0" applyFont="true" applyBorder="true" applyAlignment="true" applyProtection="true">
      <alignment horizontal="left" vertical="bottom" textRotation="0" wrapText="false" indent="0" shrinkToFit="false"/>
      <protection locked="true" hidden="false"/>
    </xf>
    <xf numFmtId="165" fontId="96" fillId="0" borderId="0" xfId="20" applyFont="true" applyBorder="true" applyAlignment="true" applyProtection="true">
      <alignment horizontal="general" vertical="bottom" textRotation="0" wrapText="false" indent="0" shrinkToFit="true"/>
      <protection locked="true" hidden="false"/>
    </xf>
    <xf numFmtId="164" fontId="153" fillId="0" borderId="0" xfId="0" applyFont="true" applyBorder="false" applyAlignment="true" applyProtection="true">
      <alignment horizontal="left" vertical="center" textRotation="0" wrapText="false" indent="1" shrinkToFit="false"/>
      <protection locked="true" hidden="false"/>
    </xf>
    <xf numFmtId="164" fontId="155" fillId="14" borderId="0" xfId="0" applyFont="true" applyBorder="false" applyAlignment="true" applyProtection="true">
      <alignment horizontal="center" vertical="top" textRotation="0" wrapText="false" indent="0" shrinkToFit="true"/>
      <protection locked="true" hidden="false"/>
    </xf>
    <xf numFmtId="220" fontId="156" fillId="14" borderId="0" xfId="0" applyFont="true" applyBorder="false" applyAlignment="true" applyProtection="true">
      <alignment horizontal="right" vertical="center" textRotation="0" wrapText="false" indent="0" shrinkToFit="false"/>
      <protection locked="true" hidden="false"/>
    </xf>
    <xf numFmtId="221" fontId="156" fillId="0" borderId="0" xfId="0" applyFont="true" applyBorder="false" applyAlignment="true" applyProtection="true">
      <alignment horizontal="left" vertical="center" textRotation="0" wrapText="false" indent="0" shrinkToFit="false"/>
      <protection locked="true" hidden="false"/>
    </xf>
    <xf numFmtId="164" fontId="48" fillId="0" borderId="8" xfId="0" applyFont="true" applyBorder="true" applyAlignment="true" applyProtection="true">
      <alignment horizontal="center" vertical="center" textRotation="0" wrapText="false" indent="0" shrinkToFit="false"/>
      <protection locked="true" hidden="false"/>
    </xf>
    <xf numFmtId="165" fontId="88" fillId="0" borderId="39" xfId="20" applyFont="true" applyBorder="true" applyAlignment="true" applyProtection="true">
      <alignment horizontal="right" vertical="center" textRotation="0" wrapText="false" indent="0" shrinkToFit="false"/>
      <protection locked="true" hidden="false"/>
    </xf>
    <xf numFmtId="165" fontId="156" fillId="0" borderId="0" xfId="20" applyFont="true" applyBorder="true" applyAlignment="true" applyProtection="true">
      <alignment horizontal="right" vertical="bottom" textRotation="0" wrapText="false" indent="0" shrinkToFit="false"/>
      <protection locked="true" hidden="false"/>
    </xf>
    <xf numFmtId="165" fontId="96" fillId="0" borderId="0" xfId="20" applyFont="true" applyBorder="true" applyAlignment="true" applyProtection="true">
      <alignment horizontal="left" vertical="bottom" textRotation="0" wrapText="false" indent="1" shrinkToFit="true"/>
      <protection locked="true" hidden="false"/>
    </xf>
    <xf numFmtId="164" fontId="86" fillId="0" borderId="0" xfId="0" applyFont="true" applyBorder="false" applyAlignment="true" applyProtection="true">
      <alignment horizontal="general" vertical="bottom" textRotation="0" wrapText="false" indent="0" shrinkToFit="true"/>
      <protection locked="true" hidden="false"/>
    </xf>
    <xf numFmtId="164" fontId="47" fillId="0" borderId="8" xfId="0" applyFont="true" applyBorder="true" applyAlignment="true" applyProtection="true">
      <alignment horizontal="center" vertical="center" textRotation="0" wrapText="true" indent="0" shrinkToFit="false"/>
      <protection locked="true" hidden="false"/>
    </xf>
    <xf numFmtId="165" fontId="63" fillId="0" borderId="39" xfId="20" applyFont="true" applyBorder="true" applyAlignment="true" applyProtection="true">
      <alignment horizontal="right" vertical="center" textRotation="0" wrapText="false" indent="0" shrinkToFit="false"/>
      <protection locked="true" hidden="false"/>
    </xf>
    <xf numFmtId="164" fontId="48" fillId="14" borderId="0" xfId="0" applyFont="true" applyBorder="false" applyAlignment="true" applyProtection="true">
      <alignment horizontal="left" vertical="center" textRotation="0" wrapText="false" indent="1" shrinkToFit="false"/>
      <protection locked="true" hidden="false"/>
    </xf>
    <xf numFmtId="164" fontId="153" fillId="14" borderId="0" xfId="0" applyFont="true" applyBorder="false" applyAlignment="true" applyProtection="true">
      <alignment horizontal="general" vertical="center" textRotation="0" wrapText="false" indent="0" shrinkToFit="false"/>
      <protection locked="true" hidden="false"/>
    </xf>
    <xf numFmtId="164" fontId="48" fillId="14" borderId="0" xfId="0" applyFont="true" applyBorder="false" applyAlignment="true" applyProtection="true">
      <alignment horizontal="general" vertical="center" textRotation="0" wrapText="false" indent="0" shrinkToFit="false"/>
      <protection locked="true" hidden="false"/>
    </xf>
    <xf numFmtId="165" fontId="87" fillId="0" borderId="0" xfId="20" applyFont="true" applyBorder="true" applyAlignment="true" applyProtection="true">
      <alignment horizontal="left" vertical="top" textRotation="0" wrapText="true" indent="1" shrinkToFit="false"/>
      <protection locked="true" hidden="false"/>
    </xf>
    <xf numFmtId="222" fontId="156" fillId="0" borderId="0" xfId="0" applyFont="true" applyBorder="false" applyAlignment="true" applyProtection="true">
      <alignment horizontal="left" vertical="center" textRotation="0" wrapText="false" indent="0" shrinkToFit="false"/>
      <protection locked="true" hidden="false"/>
    </xf>
    <xf numFmtId="165" fontId="88" fillId="0" borderId="0" xfId="20" applyFont="true" applyBorder="true" applyAlignment="true" applyProtection="true">
      <alignment horizontal="general" vertical="center" textRotation="0" wrapText="false" indent="0" shrinkToFit="false"/>
      <protection locked="true" hidden="false"/>
    </xf>
    <xf numFmtId="165" fontId="156" fillId="0" borderId="0" xfId="0" applyFont="true" applyBorder="true" applyAlignment="true" applyProtection="true">
      <alignment horizontal="general" vertical="bottom" textRotation="0" wrapText="false" indent="0" shrinkToFit="false"/>
      <protection locked="true" hidden="false"/>
    </xf>
    <xf numFmtId="164" fontId="47" fillId="0" borderId="0" xfId="0" applyFont="true" applyBorder="true" applyAlignment="true" applyProtection="true">
      <alignment horizontal="left" vertical="bottom" textRotation="0" wrapText="true" indent="1" shrinkToFit="false"/>
      <protection locked="true" hidden="false"/>
    </xf>
    <xf numFmtId="165" fontId="87" fillId="0" borderId="0" xfId="20" applyFont="true" applyBorder="true" applyAlignment="true" applyProtection="true">
      <alignment horizontal="general" vertical="top" textRotation="0" wrapText="true" indent="0" shrinkToFit="false"/>
      <protection locked="true" hidden="false"/>
    </xf>
    <xf numFmtId="173" fontId="154" fillId="0" borderId="0" xfId="0" applyFont="true" applyBorder="true" applyAlignment="true" applyProtection="true">
      <alignment horizontal="general" vertical="center" textRotation="0" wrapText="false" indent="0" shrinkToFit="false"/>
      <protection locked="true" hidden="false"/>
    </xf>
    <xf numFmtId="206" fontId="88" fillId="14" borderId="30" xfId="0" applyFont="true" applyBorder="true" applyAlignment="true" applyProtection="true">
      <alignment horizontal="center" vertical="center" textRotation="0" wrapText="true" indent="0" shrinkToFit="false"/>
      <protection locked="true" hidden="false"/>
    </xf>
    <xf numFmtId="223" fontId="88" fillId="14" borderId="30" xfId="0" applyFont="true" applyBorder="true" applyAlignment="true" applyProtection="true">
      <alignment horizontal="center" vertical="center" textRotation="0" wrapText="true" indent="0" shrinkToFit="false"/>
      <protection locked="true" hidden="false"/>
    </xf>
    <xf numFmtId="164" fontId="87" fillId="0" borderId="0" xfId="0" applyFont="true" applyBorder="false" applyAlignment="true" applyProtection="true">
      <alignment horizontal="left" vertical="bottom" textRotation="0" wrapText="true" indent="0" shrinkToFit="false"/>
      <protection locked="true" hidden="false"/>
    </xf>
    <xf numFmtId="164" fontId="157" fillId="0" borderId="19" xfId="0" applyFont="true" applyBorder="true" applyAlignment="true" applyProtection="true">
      <alignment horizontal="right" vertical="bottom" textRotation="0" wrapText="false" indent="0" shrinkToFit="false"/>
      <protection locked="true" hidden="false"/>
    </xf>
    <xf numFmtId="207" fontId="147" fillId="0" borderId="97" xfId="0" applyFont="true" applyBorder="true" applyAlignment="true" applyProtection="true">
      <alignment horizontal="left" vertical="bottom" textRotation="0" wrapText="false" indent="0" shrinkToFit="false"/>
      <protection locked="true" hidden="false"/>
    </xf>
    <xf numFmtId="208" fontId="147" fillId="0" borderId="13" xfId="0" applyFont="true" applyBorder="true" applyAlignment="true" applyProtection="true">
      <alignment horizontal="left" vertical="bottom" textRotation="0" wrapText="false" indent="0" shrinkToFit="false"/>
      <protection locked="true" hidden="false"/>
    </xf>
    <xf numFmtId="208" fontId="147" fillId="0" borderId="173" xfId="0" applyFont="true" applyBorder="true" applyAlignment="true" applyProtection="true">
      <alignment horizontal="left" vertical="bottom" textRotation="0" wrapText="false" indent="0" shrinkToFit="false"/>
      <protection locked="true" hidden="false"/>
    </xf>
    <xf numFmtId="209" fontId="158" fillId="14" borderId="173" xfId="0" applyFont="true" applyBorder="true" applyAlignment="true" applyProtection="true">
      <alignment horizontal="center" vertical="center" textRotation="0" wrapText="false" indent="0" shrinkToFit="false"/>
      <protection locked="true" hidden="false"/>
    </xf>
    <xf numFmtId="209" fontId="147" fillId="14" borderId="173" xfId="0" applyFont="true" applyBorder="true" applyAlignment="true" applyProtection="true">
      <alignment horizontal="left" vertical="bottom" textRotation="0" wrapText="false" indent="0" shrinkToFit="false"/>
      <protection locked="true" hidden="false"/>
    </xf>
    <xf numFmtId="210" fontId="147" fillId="0" borderId="175" xfId="0" applyFont="true" applyBorder="true" applyAlignment="true" applyProtection="true">
      <alignment horizontal="left" vertical="bottom" textRotation="0" wrapText="false" indent="0" shrinkToFit="false"/>
      <protection locked="true" hidden="false"/>
    </xf>
    <xf numFmtId="164" fontId="100" fillId="0" borderId="0" xfId="0" applyFont="true" applyBorder="false" applyAlignment="true" applyProtection="true">
      <alignment horizontal="general" vertical="bottom" textRotation="0" wrapText="false" indent="0" shrinkToFit="false"/>
      <protection locked="true" hidden="false"/>
    </xf>
    <xf numFmtId="164" fontId="157" fillId="0" borderId="178" xfId="0" applyFont="true" applyBorder="true" applyAlignment="true" applyProtection="true">
      <alignment horizontal="right" vertical="bottom" textRotation="0" wrapText="false" indent="0" shrinkToFit="false"/>
      <protection locked="true" hidden="false"/>
    </xf>
    <xf numFmtId="211" fontId="147" fillId="0" borderId="180" xfId="0" applyFont="true" applyBorder="true" applyAlignment="true" applyProtection="true">
      <alignment horizontal="left" vertical="bottom" textRotation="0" wrapText="false" indent="0" shrinkToFit="false"/>
      <protection locked="true" hidden="false"/>
    </xf>
    <xf numFmtId="211" fontId="147" fillId="0" borderId="181" xfId="0" applyFont="true" applyBorder="true" applyAlignment="true" applyProtection="true">
      <alignment horizontal="left" vertical="bottom" textRotation="0" wrapText="false" indent="0" shrinkToFit="false"/>
      <protection locked="true" hidden="false"/>
    </xf>
    <xf numFmtId="212" fontId="46" fillId="14" borderId="31" xfId="0" applyFont="true" applyBorder="true" applyAlignment="true" applyProtection="true">
      <alignment horizontal="center" vertical="center" textRotation="0" wrapText="false" indent="0" shrinkToFit="false"/>
      <protection locked="true" hidden="false"/>
    </xf>
    <xf numFmtId="212" fontId="147" fillId="14" borderId="31" xfId="0" applyFont="true" applyBorder="true" applyAlignment="true" applyProtection="true">
      <alignment horizontal="left" vertical="bottom" textRotation="0" wrapText="false" indent="0" shrinkToFit="false"/>
      <protection locked="true" hidden="false"/>
    </xf>
    <xf numFmtId="213" fontId="147" fillId="0" borderId="174" xfId="0" applyFont="true" applyBorder="true" applyAlignment="true" applyProtection="true">
      <alignment horizontal="left" vertical="bottom" textRotation="0" wrapText="false" indent="0" shrinkToFit="false"/>
      <protection locked="true" hidden="false"/>
    </xf>
    <xf numFmtId="214" fontId="147" fillId="0" borderId="173" xfId="0" applyFont="true" applyBorder="true" applyAlignment="true" applyProtection="true">
      <alignment horizontal="left" vertical="bottom" textRotation="0" wrapText="false" indent="0" shrinkToFit="false"/>
      <protection locked="true" hidden="false"/>
    </xf>
    <xf numFmtId="213" fontId="147" fillId="0" borderId="175" xfId="0" applyFont="true" applyBorder="true" applyAlignment="true" applyProtection="true">
      <alignment horizontal="left" vertical="bottom" textRotation="0" wrapText="false" indent="0" shrinkToFit="false"/>
      <protection locked="true" hidden="false"/>
    </xf>
    <xf numFmtId="211" fontId="147" fillId="0" borderId="13" xfId="0" applyFont="true" applyBorder="true" applyAlignment="true" applyProtection="true">
      <alignment horizontal="left" vertical="bottom" textRotation="0" wrapText="false" indent="0" shrinkToFit="false"/>
      <protection locked="true" hidden="false"/>
    </xf>
    <xf numFmtId="209" fontId="147" fillId="0" borderId="192" xfId="0" applyFont="true" applyBorder="true" applyAlignment="true" applyProtection="true">
      <alignment horizontal="left" vertical="bottom" textRotation="0" wrapText="false" indent="0" shrinkToFit="false"/>
      <protection locked="true" hidden="false"/>
    </xf>
    <xf numFmtId="209" fontId="147" fillId="0" borderId="174" xfId="0" applyFont="true" applyBorder="true" applyAlignment="true" applyProtection="true">
      <alignment horizontal="left" vertical="bottom" textRotation="0" wrapText="false" indent="0" shrinkToFit="false"/>
      <protection locked="true" hidden="false"/>
    </xf>
    <xf numFmtId="215" fontId="147" fillId="0" borderId="173" xfId="0" applyFont="true" applyBorder="true" applyAlignment="true" applyProtection="true">
      <alignment horizontal="left" vertical="bottom" textRotation="0" wrapText="false" indent="0" shrinkToFit="false"/>
      <protection locked="true" hidden="false"/>
    </xf>
    <xf numFmtId="216" fontId="147" fillId="0" borderId="173" xfId="0" applyFont="true" applyBorder="true" applyAlignment="true" applyProtection="true">
      <alignment horizontal="left" vertical="bottom" textRotation="0" wrapText="false" indent="0" shrinkToFit="false"/>
      <protection locked="true" hidden="false"/>
    </xf>
    <xf numFmtId="216" fontId="147" fillId="0" borderId="175" xfId="0" applyFont="true" applyBorder="true" applyAlignment="true" applyProtection="true">
      <alignment horizontal="left" vertical="bottom" textRotation="0" wrapText="false" indent="0" shrinkToFit="false"/>
      <protection locked="true" hidden="false"/>
    </xf>
    <xf numFmtId="164" fontId="157" fillId="0" borderId="195" xfId="0" applyFont="true" applyBorder="true" applyAlignment="true" applyProtection="true">
      <alignment horizontal="right" vertical="bottom" textRotation="0" wrapText="false" indent="0" shrinkToFit="false"/>
      <protection locked="true" hidden="false"/>
    </xf>
    <xf numFmtId="173" fontId="49" fillId="0" borderId="164"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center" textRotation="255" wrapText="false" indent="0" shrinkToFit="true"/>
      <protection locked="true" hidden="false"/>
    </xf>
    <xf numFmtId="164" fontId="50" fillId="14" borderId="0" xfId="0" applyFont="true" applyBorder="true" applyAlignment="true" applyProtection="true">
      <alignment horizontal="center" vertical="center" textRotation="0" wrapText="true" indent="0" shrinkToFit="true"/>
      <protection locked="true" hidden="false"/>
    </xf>
    <xf numFmtId="173" fontId="40" fillId="0" borderId="0" xfId="0" applyFont="true" applyBorder="true" applyAlignment="true" applyProtection="true">
      <alignment horizontal="center" vertical="center" textRotation="0" wrapText="false" indent="0" shrinkToFit="true"/>
      <protection locked="true" hidden="false"/>
    </xf>
    <xf numFmtId="215" fontId="87" fillId="0" borderId="0"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true" applyAlignment="true" applyProtection="true">
      <alignment horizontal="general" vertical="center" textRotation="255" wrapText="false" indent="0" shrinkToFit="true"/>
      <protection locked="true" hidden="false"/>
    </xf>
    <xf numFmtId="218" fontId="87" fillId="0" borderId="0" xfId="0" applyFont="true" applyBorder="true" applyAlignment="true" applyProtection="true">
      <alignment horizontal="center" vertical="center" textRotation="0" wrapText="false" indent="0" shrinkToFit="true"/>
      <protection locked="true" hidden="false"/>
    </xf>
    <xf numFmtId="164" fontId="86" fillId="0" borderId="0" xfId="0" applyFont="true" applyBorder="true" applyAlignment="true" applyProtection="true">
      <alignment horizontal="general" vertical="bottom" textRotation="0" wrapText="false" indent="0" shrinkToFit="false"/>
      <protection locked="true" hidden="false"/>
    </xf>
    <xf numFmtId="173" fontId="154" fillId="0" borderId="0" xfId="0" applyFont="true" applyBorder="false" applyAlignment="true" applyProtection="true">
      <alignment horizontal="general" vertical="center" textRotation="0" wrapText="false" indent="0" shrinkToFit="false"/>
      <protection locked="true" hidden="false"/>
    </xf>
    <xf numFmtId="181" fontId="44" fillId="18" borderId="0" xfId="0" applyFont="true" applyBorder="false" applyAlignment="true" applyProtection="true">
      <alignment horizontal="right" vertical="center" textRotation="0" wrapText="false" indent="0" shrinkToFit="false"/>
      <protection locked="true" hidden="false"/>
    </xf>
    <xf numFmtId="164" fontId="45" fillId="18" borderId="0" xfId="0" applyFont="true" applyBorder="false" applyAlignment="true" applyProtection="true">
      <alignment horizontal="left" vertical="center" textRotation="0" wrapText="false" indent="0" shrinkToFit="false"/>
      <protection locked="true" hidden="false"/>
    </xf>
    <xf numFmtId="173" fontId="40" fillId="0" borderId="167" xfId="0" applyFont="true" applyBorder="true" applyAlignment="true" applyProtection="true">
      <alignment horizontal="general" vertical="bottom" textRotation="0" wrapText="false" indent="0" shrinkToFit="false"/>
      <protection locked="true" hidden="false"/>
    </xf>
    <xf numFmtId="164" fontId="87" fillId="0" borderId="0" xfId="0" applyFont="true" applyBorder="true" applyAlignment="true" applyProtection="true">
      <alignment horizontal="general" vertical="bottom" textRotation="0" wrapText="false" indent="0" shrinkToFit="false"/>
      <protection locked="true" hidden="false"/>
    </xf>
    <xf numFmtId="164" fontId="48" fillId="0" borderId="21" xfId="0" applyFont="true" applyBorder="true" applyAlignment="true" applyProtection="true">
      <alignment horizontal="left" vertical="bottom" textRotation="0" wrapText="false" indent="0" shrinkToFit="true"/>
      <protection locked="true" hidden="false"/>
    </xf>
    <xf numFmtId="164" fontId="48" fillId="0" borderId="30" xfId="0" applyFont="true" applyBorder="true" applyAlignment="true" applyProtection="true">
      <alignment horizontal="left" vertical="center" textRotation="0" wrapText="false" indent="0" shrinkToFit="true"/>
      <protection locked="true" hidden="false"/>
    </xf>
    <xf numFmtId="173" fontId="88" fillId="0" borderId="30" xfId="0" applyFont="true" applyBorder="true" applyAlignment="true" applyProtection="true">
      <alignment horizontal="general" vertical="bottom" textRotation="0" wrapText="false" indent="0" shrinkToFit="true"/>
      <protection locked="true" hidden="false"/>
    </xf>
    <xf numFmtId="164" fontId="48" fillId="0" borderId="35" xfId="0" applyFont="true" applyBorder="true" applyAlignment="true" applyProtection="true">
      <alignment horizontal="left" vertical="center" textRotation="0" wrapText="false" indent="0" shrinkToFit="true"/>
      <protection locked="true" hidden="false"/>
    </xf>
    <xf numFmtId="173" fontId="88" fillId="0" borderId="35" xfId="0" applyFont="true" applyBorder="true" applyAlignment="true" applyProtection="true">
      <alignment horizontal="general" vertical="bottom" textRotation="0" wrapText="false" indent="0" shrinkToFit="true"/>
      <protection locked="true" hidden="false"/>
    </xf>
    <xf numFmtId="164" fontId="48" fillId="0" borderId="8" xfId="0" applyFont="true" applyBorder="true" applyAlignment="true" applyProtection="true">
      <alignment horizontal="center" vertical="bottom" textRotation="0" wrapText="false" indent="0" shrinkToFit="true"/>
      <protection locked="true" hidden="false"/>
    </xf>
    <xf numFmtId="173" fontId="88" fillId="0" borderId="39" xfId="0" applyFont="true" applyBorder="true" applyAlignment="true" applyProtection="true">
      <alignment horizontal="general" vertical="bottom" textRotation="0" wrapText="false" indent="0" shrinkToFit="true"/>
      <protection locked="true" hidden="false"/>
    </xf>
    <xf numFmtId="164" fontId="48" fillId="0" borderId="30" xfId="0" applyFont="true" applyBorder="true" applyAlignment="true" applyProtection="true">
      <alignment horizontal="general" vertical="center" textRotation="0" wrapText="false" indent="0" shrinkToFit="true"/>
      <protection locked="true" hidden="false"/>
    </xf>
    <xf numFmtId="173" fontId="50" fillId="0" borderId="30" xfId="0" applyFont="true" applyBorder="true" applyAlignment="true" applyProtection="true">
      <alignment horizontal="general" vertical="bottom" textRotation="0" wrapText="false" indent="0" shrinkToFit="true"/>
      <protection locked="true" hidden="false"/>
    </xf>
    <xf numFmtId="164" fontId="48" fillId="0" borderId="35" xfId="0" applyFont="true" applyBorder="true" applyAlignment="true" applyProtection="true">
      <alignment horizontal="general" vertical="center" textRotation="0" wrapText="false" indent="0" shrinkToFit="true"/>
      <protection locked="true" hidden="false"/>
    </xf>
    <xf numFmtId="165" fontId="88" fillId="0" borderId="0" xfId="20" applyFont="true" applyBorder="true" applyAlignment="true" applyProtection="true">
      <alignment horizontal="right" vertical="center" textRotation="0" wrapText="false" indent="0" shrinkToFit="false"/>
      <protection locked="true" hidden="false"/>
    </xf>
    <xf numFmtId="181" fontId="44" fillId="12" borderId="0" xfId="0" applyFont="true" applyBorder="false" applyAlignment="true" applyProtection="true">
      <alignment horizontal="right" vertical="center" textRotation="0" wrapText="false" indent="0" shrinkToFit="true"/>
      <protection locked="true" hidden="false"/>
    </xf>
    <xf numFmtId="164" fontId="45" fillId="12" borderId="0" xfId="0" applyFont="true" applyBorder="false" applyAlignment="true" applyProtection="true">
      <alignment horizontal="left" vertical="center" textRotation="0" wrapText="false" indent="0" shrinkToFit="false"/>
      <protection locked="true" hidden="false"/>
    </xf>
    <xf numFmtId="164" fontId="67" fillId="14" borderId="0" xfId="0" applyFont="true" applyBorder="false" applyAlignment="true" applyProtection="true">
      <alignment horizontal="general" vertical="top" textRotation="0" wrapText="false" indent="0" shrinkToFit="false"/>
      <protection locked="true" hidden="false"/>
    </xf>
    <xf numFmtId="173" fontId="49" fillId="0" borderId="172" xfId="0" applyFont="true" applyBorder="true" applyAlignment="true" applyProtection="true">
      <alignment horizontal="general" vertical="bottom" textRotation="0" wrapText="false" indent="0" shrinkToFit="false"/>
      <protection locked="true" hidden="false"/>
    </xf>
    <xf numFmtId="173" fontId="154" fillId="0" borderId="0" xfId="0" applyFont="true" applyBorder="false" applyAlignment="true" applyProtection="true">
      <alignment horizontal="right" vertical="center" textRotation="0" wrapText="false" indent="0" shrinkToFit="false"/>
      <protection locked="true" hidden="false"/>
    </xf>
    <xf numFmtId="165" fontId="159" fillId="0" borderId="39" xfId="20" applyFont="true" applyBorder="true" applyAlignment="true" applyProtection="true">
      <alignment horizontal="right" vertical="center" textRotation="0" wrapText="false" indent="0" shrinkToFit="false"/>
      <protection locked="true" hidden="false"/>
    </xf>
    <xf numFmtId="164" fontId="57" fillId="14" borderId="0" xfId="0" applyFont="true" applyBorder="false" applyAlignment="true" applyProtection="true">
      <alignment horizontal="general" vertical="bottom" textRotation="0" wrapText="false" indent="0" shrinkToFit="false"/>
      <protection locked="true" hidden="false"/>
    </xf>
    <xf numFmtId="164" fontId="50" fillId="0" borderId="35" xfId="0" applyFont="true" applyBorder="true" applyAlignment="true" applyProtection="true">
      <alignment horizontal="left" vertical="center" textRotation="0" wrapText="false" indent="0" shrinkToFit="true"/>
      <protection locked="true" hidden="false"/>
    </xf>
    <xf numFmtId="164" fontId="48" fillId="0" borderId="8" xfId="0" applyFont="true" applyBorder="true" applyAlignment="true" applyProtection="true">
      <alignment horizontal="left" vertical="center" textRotation="0" wrapText="false" indent="0" shrinkToFit="true"/>
      <protection locked="true" hidden="false"/>
    </xf>
    <xf numFmtId="164" fontId="50" fillId="0" borderId="0" xfId="0" applyFont="true" applyBorder="true" applyAlignment="true" applyProtection="true">
      <alignment horizontal="left" vertical="center" textRotation="0" wrapText="false" indent="0" shrinkToFit="true"/>
      <protection locked="true" hidden="false"/>
    </xf>
    <xf numFmtId="173" fontId="88" fillId="0" borderId="0" xfId="0" applyFont="true" applyBorder="true" applyAlignment="true" applyProtection="true">
      <alignment horizontal="general" vertical="bottom" textRotation="0" wrapText="false" indent="0" shrinkToFit="true"/>
      <protection locked="true" hidden="false"/>
    </xf>
    <xf numFmtId="182" fontId="66" fillId="0" borderId="0" xfId="20" applyFont="true" applyBorder="true" applyAlignment="true" applyProtection="true">
      <alignment horizontal="general" vertical="bottom" textRotation="0" wrapText="false" indent="0" shrinkToFit="true"/>
      <protection locked="true" hidden="false"/>
    </xf>
    <xf numFmtId="182" fontId="45" fillId="0" borderId="0" xfId="20" applyFont="true" applyBorder="true" applyAlignment="true" applyProtection="true">
      <alignment horizontal="general" vertical="bottom" textRotation="0" wrapText="false" indent="0" shrinkToFit="false"/>
      <protection locked="true" hidden="false"/>
    </xf>
    <xf numFmtId="182" fontId="46" fillId="0" borderId="0" xfId="20" applyFont="true" applyBorder="true" applyAlignment="true" applyProtection="true">
      <alignment horizontal="general" vertical="bottom" textRotation="0" wrapText="false" indent="0" shrinkToFit="false"/>
      <protection locked="true" hidden="false"/>
    </xf>
    <xf numFmtId="182" fontId="109" fillId="0" borderId="0" xfId="20" applyFont="true" applyBorder="true" applyAlignment="true" applyProtection="true">
      <alignment horizontal="right" vertical="bottom" textRotation="0" wrapText="false" indent="0" shrinkToFit="false"/>
      <protection locked="true" hidden="false"/>
    </xf>
    <xf numFmtId="182" fontId="46" fillId="0" borderId="0" xfId="20" applyFont="true" applyBorder="true" applyAlignment="true" applyProtection="true">
      <alignment horizontal="right" vertical="bottom" textRotation="0" wrapText="false" indent="0" shrinkToFit="false"/>
      <protection locked="true" hidden="false"/>
    </xf>
    <xf numFmtId="182" fontId="46" fillId="0" borderId="30" xfId="20" applyFont="true" applyBorder="true" applyAlignment="true" applyProtection="true">
      <alignment horizontal="center" vertical="center" textRotation="0" wrapText="false" indent="0" shrinkToFit="false"/>
      <protection locked="true" hidden="false"/>
    </xf>
    <xf numFmtId="182" fontId="46" fillId="0" borderId="30" xfId="20" applyFont="true" applyBorder="true" applyAlignment="true" applyProtection="true">
      <alignment horizontal="center" vertical="center" textRotation="0" wrapText="true" indent="0" shrinkToFit="false"/>
      <protection locked="true" hidden="false"/>
    </xf>
    <xf numFmtId="182" fontId="47" fillId="0" borderId="0" xfId="20" applyFont="true" applyBorder="true" applyAlignment="true" applyProtection="true">
      <alignment horizontal="left" vertical="center" textRotation="0" wrapText="true" indent="0" shrinkToFit="false"/>
      <protection locked="true" hidden="false"/>
    </xf>
    <xf numFmtId="182" fontId="46" fillId="0" borderId="30" xfId="20" applyFont="true" applyBorder="true" applyAlignment="true" applyProtection="true">
      <alignment horizontal="general" vertical="bottom" textRotation="0" wrapText="false" indent="0" shrinkToFit="false"/>
      <protection locked="true" hidden="false"/>
    </xf>
    <xf numFmtId="182" fontId="111" fillId="0" borderId="30" xfId="20" applyFont="true" applyBorder="true" applyAlignment="true" applyProtection="true">
      <alignment horizontal="general" vertical="bottom" textRotation="0" wrapText="false" indent="0" shrinkToFit="true"/>
      <protection locked="true" hidden="false"/>
    </xf>
    <xf numFmtId="182" fontId="164" fillId="0" borderId="0" xfId="20" applyFont="true" applyBorder="true" applyAlignment="true" applyProtection="true">
      <alignment horizontal="left" vertical="bottom" textRotation="0" wrapText="false" indent="0" shrinkToFit="false"/>
      <protection locked="true" hidden="false"/>
    </xf>
    <xf numFmtId="182" fontId="113" fillId="0" borderId="0" xfId="20" applyFont="true" applyBorder="true" applyAlignment="true" applyProtection="true">
      <alignment horizontal="general" vertical="bottom" textRotation="0" wrapText="false" indent="0" shrinkToFit="true"/>
      <protection locked="true" hidden="false"/>
    </xf>
    <xf numFmtId="182" fontId="111" fillId="13" borderId="30" xfId="20" applyFont="true" applyBorder="true" applyAlignment="true" applyProtection="true">
      <alignment horizontal="general" vertical="bottom" textRotation="0" wrapText="false" indent="0" shrinkToFit="true"/>
      <protection locked="true" hidden="false"/>
    </xf>
    <xf numFmtId="182" fontId="111" fillId="14" borderId="30" xfId="20" applyFont="true" applyBorder="true" applyAlignment="true" applyProtection="true">
      <alignment horizontal="general" vertical="bottom" textRotation="0" wrapText="false" indent="0" shrinkToFit="true"/>
      <protection locked="true" hidden="false"/>
    </xf>
    <xf numFmtId="182" fontId="46" fillId="0" borderId="30" xfId="20" applyFont="true" applyBorder="true" applyAlignment="true" applyProtection="true">
      <alignment horizontal="general" vertical="center" textRotation="0" wrapText="true" indent="0" shrinkToFit="true"/>
      <protection locked="true" hidden="false"/>
    </xf>
    <xf numFmtId="182" fontId="109" fillId="0" borderId="0" xfId="20" applyFont="true" applyBorder="true" applyAlignment="true" applyProtection="true">
      <alignment horizontal="center" vertical="center" textRotation="0" wrapText="false" indent="0" shrinkToFit="false"/>
      <protection locked="true" hidden="false"/>
    </xf>
    <xf numFmtId="182" fontId="111" fillId="0" borderId="0" xfId="20" applyFont="true" applyBorder="true" applyAlignment="true" applyProtection="true">
      <alignment horizontal="general" vertical="bottom" textRotation="0" wrapText="false" indent="0" shrinkToFit="true"/>
      <protection locked="true" hidden="false"/>
    </xf>
    <xf numFmtId="182" fontId="165" fillId="0" borderId="0" xfId="20" applyFont="true" applyBorder="true" applyAlignment="true" applyProtection="true">
      <alignment horizontal="left" vertical="bottom" textRotation="0" wrapText="false" indent="0" shrinkToFit="false"/>
      <protection locked="true" hidden="false"/>
    </xf>
    <xf numFmtId="182" fontId="115" fillId="0" borderId="0" xfId="20" applyFont="true" applyBorder="true" applyAlignment="true" applyProtection="true">
      <alignment horizontal="general" vertical="bottom" textRotation="0" wrapText="false" indent="0" shrinkToFit="true"/>
      <protection locked="true" hidden="false"/>
    </xf>
    <xf numFmtId="182" fontId="166" fillId="0" borderId="0" xfId="20" applyFont="true" applyBorder="true" applyAlignment="true" applyProtection="true">
      <alignment horizontal="center" vertical="bottom" textRotation="0" wrapText="false" indent="0" shrinkToFit="false"/>
      <protection locked="true" hidden="false"/>
    </xf>
    <xf numFmtId="182" fontId="165" fillId="0" borderId="0" xfId="20" applyFont="true" applyBorder="true" applyAlignment="true" applyProtection="true">
      <alignment horizontal="general" vertical="bottom" textRotation="0" wrapText="false" indent="0" shrinkToFit="false"/>
      <protection locked="true" hidden="false"/>
    </xf>
    <xf numFmtId="182" fontId="163" fillId="0" borderId="0" xfId="20" applyFont="true" applyBorder="true" applyAlignment="true" applyProtection="true">
      <alignment horizontal="left" vertical="bottom" textRotation="0" wrapText="false" indent="1" shrinkToFit="false"/>
      <protection locked="true" hidden="false"/>
    </xf>
    <xf numFmtId="182" fontId="163" fillId="0" borderId="0" xfId="20" applyFont="true" applyBorder="true" applyAlignment="true" applyProtection="true">
      <alignment horizontal="general" vertical="bottom" textRotation="0" wrapText="false" indent="0" shrinkToFit="false"/>
      <protection locked="true" hidden="false"/>
    </xf>
    <xf numFmtId="182" fontId="163" fillId="0" borderId="0" xfId="20" applyFont="true" applyBorder="true" applyAlignment="true" applyProtection="true">
      <alignment horizontal="left" vertical="bottom" textRotation="0" wrapText="false" indent="0" shrinkToFit="false"/>
      <protection locked="true" hidden="false"/>
    </xf>
    <xf numFmtId="182" fontId="163" fillId="0" borderId="0" xfId="20" applyFont="true" applyBorder="true" applyAlignment="true" applyProtection="true">
      <alignment horizontal="center" vertical="top" textRotation="0" wrapText="false" indent="0" shrinkToFit="false"/>
      <protection locked="true" hidden="false"/>
    </xf>
    <xf numFmtId="182" fontId="115" fillId="0" borderId="0" xfId="20" applyFont="true" applyBorder="true" applyAlignment="true" applyProtection="true">
      <alignment horizontal="general" vertical="bottom" textRotation="0" wrapText="false" indent="0" shrinkToFit="false"/>
      <protection locked="true" hidden="false"/>
    </xf>
    <xf numFmtId="182" fontId="167" fillId="0" borderId="0" xfId="20" applyFont="true" applyBorder="true" applyAlignment="true" applyProtection="true">
      <alignment horizontal="general" vertical="center" textRotation="0" wrapText="true" indent="0" shrinkToFit="true"/>
      <protection locked="true" hidden="false"/>
    </xf>
    <xf numFmtId="182" fontId="115" fillId="0" borderId="0" xfId="20" applyFont="true" applyBorder="true" applyAlignment="true" applyProtection="true">
      <alignment horizontal="general" vertical="center" textRotation="0" wrapText="true" indent="0" shrinkToFit="false"/>
      <protection locked="true" hidden="false"/>
    </xf>
    <xf numFmtId="182" fontId="111" fillId="0" borderId="0" xfId="20" applyFont="true" applyBorder="true" applyAlignment="true" applyProtection="true">
      <alignment horizontal="general" vertical="center" textRotation="0" wrapText="false" indent="0" shrinkToFit="false"/>
      <protection locked="true" hidden="false"/>
    </xf>
    <xf numFmtId="182" fontId="115" fillId="0" borderId="0" xfId="20" applyFont="true" applyBorder="true" applyAlignment="true" applyProtection="true">
      <alignment horizontal="center" vertical="bottom" textRotation="0" wrapText="false" indent="0" shrinkToFit="false"/>
      <protection locked="true" hidden="false"/>
    </xf>
    <xf numFmtId="182" fontId="111" fillId="0" borderId="0" xfId="20" applyFont="true" applyBorder="true" applyAlignment="true" applyProtection="true">
      <alignment horizontal="center" vertical="bottom" textRotation="0" wrapText="false" indent="0" shrinkToFit="false"/>
      <protection locked="true" hidden="false"/>
    </xf>
    <xf numFmtId="182" fontId="115" fillId="0" borderId="0" xfId="20" applyFont="true" applyBorder="true" applyAlignment="true" applyProtection="true">
      <alignment horizontal="right" vertical="center" textRotation="0" wrapText="true" indent="0" shrinkToFit="false"/>
      <protection locked="true" hidden="false"/>
    </xf>
    <xf numFmtId="182" fontId="111" fillId="0" borderId="0" xfId="20" applyFont="true" applyBorder="true" applyAlignment="true" applyProtection="true">
      <alignment horizontal="center" vertical="center" textRotation="0" wrapText="false" indent="0" shrinkToFit="false"/>
      <protection locked="true" hidden="false"/>
    </xf>
    <xf numFmtId="182" fontId="163" fillId="0" borderId="0" xfId="20" applyFont="true" applyBorder="true" applyAlignment="true" applyProtection="true">
      <alignment horizontal="general" vertical="top" textRotation="0" wrapText="false" indent="0" shrinkToFit="false"/>
      <protection locked="true" hidden="false"/>
    </xf>
    <xf numFmtId="182" fontId="168" fillId="0" borderId="0" xfId="20" applyFont="true" applyBorder="true" applyAlignment="true" applyProtection="true">
      <alignment horizontal="general" vertical="bottom" textRotation="0" wrapText="false" indent="0" shrinkToFit="false"/>
      <protection locked="true" hidden="false"/>
    </xf>
    <xf numFmtId="164" fontId="169" fillId="0" borderId="0" xfId="0" applyFont="true" applyBorder="false" applyAlignment="true" applyProtection="true">
      <alignment horizontal="left" vertical="bottom" textRotation="0" wrapText="false" indent="0" shrinkToFit="true"/>
      <protection locked="true" hidden="false"/>
    </xf>
    <xf numFmtId="164" fontId="170" fillId="0" borderId="0" xfId="0" applyFont="true" applyBorder="false" applyAlignment="true" applyProtection="true">
      <alignment horizontal="general" vertical="bottom" textRotation="0" wrapText="false" indent="0" shrinkToFit="false"/>
      <protection locked="true" hidden="false"/>
    </xf>
    <xf numFmtId="164" fontId="67" fillId="14" borderId="0" xfId="0" applyFont="true" applyBorder="true" applyAlignment="true" applyProtection="true">
      <alignment horizontal="center" vertical="center" textRotation="0" wrapText="false" indent="0" shrinkToFit="false"/>
      <protection locked="true" hidden="false"/>
    </xf>
    <xf numFmtId="165" fontId="154" fillId="14" borderId="0" xfId="21" applyFont="true" applyBorder="true" applyAlignment="true" applyProtection="true">
      <alignment horizontal="general" vertical="bottom" textRotation="0" wrapText="false" indent="0" shrinkToFit="true"/>
      <protection locked="true" hidden="false"/>
    </xf>
    <xf numFmtId="164" fontId="45" fillId="0" borderId="3" xfId="0" applyFont="true" applyBorder="true" applyAlignment="true" applyProtection="true">
      <alignment horizontal="general" vertical="bottom" textRotation="0" wrapText="false" indent="0" shrinkToFit="false"/>
      <protection locked="true" hidden="false"/>
    </xf>
    <xf numFmtId="165" fontId="171" fillId="0" borderId="0" xfId="21" applyFont="true" applyBorder="true" applyAlignment="true" applyProtection="true">
      <alignment horizontal="center" vertical="bottom" textRotation="0" wrapText="false" indent="0" shrinkToFit="false"/>
      <protection locked="true" hidden="false"/>
    </xf>
    <xf numFmtId="165" fontId="154" fillId="0" borderId="0" xfId="21" applyFont="true" applyBorder="true" applyAlignment="true" applyProtection="true">
      <alignment horizontal="general" vertical="bottom" textRotation="0" wrapText="false" indent="0" shrinkToFit="true"/>
      <protection locked="true" hidden="false"/>
    </xf>
    <xf numFmtId="182" fontId="172" fillId="0" borderId="21" xfId="20" applyFont="true" applyBorder="true" applyAlignment="true" applyProtection="true">
      <alignment horizontal="left" vertical="bottom" textRotation="0" wrapText="true" indent="0" shrinkToFit="false"/>
      <protection locked="true" hidden="false"/>
    </xf>
    <xf numFmtId="164" fontId="45" fillId="0" borderId="8" xfId="0" applyFont="true" applyBorder="true" applyAlignment="true" applyProtection="true">
      <alignment horizontal="center" vertical="center" textRotation="0" wrapText="false" indent="0" shrinkToFit="true"/>
      <protection locked="true" hidden="false"/>
    </xf>
    <xf numFmtId="165" fontId="45" fillId="0" borderId="7" xfId="21" applyFont="true" applyBorder="true" applyAlignment="true" applyProtection="true">
      <alignment horizontal="center" vertical="center" textRotation="0" wrapText="true" indent="0" shrinkToFit="false"/>
      <protection locked="true" hidden="false"/>
    </xf>
    <xf numFmtId="165" fontId="45" fillId="0" borderId="203" xfId="21" applyFont="true" applyBorder="true" applyAlignment="true" applyProtection="true">
      <alignment horizontal="center" vertical="center" textRotation="0" wrapText="false" indent="0" shrinkToFit="true"/>
      <protection locked="true" hidden="false"/>
    </xf>
    <xf numFmtId="165" fontId="45" fillId="0" borderId="39" xfId="21" applyFont="true" applyBorder="true" applyAlignment="true" applyProtection="true">
      <alignment horizontal="center" vertical="center" textRotation="0" wrapText="false" indent="0" shrinkToFit="true"/>
      <protection locked="true" hidden="false"/>
    </xf>
    <xf numFmtId="165" fontId="171" fillId="0" borderId="0" xfId="21" applyFont="true" applyBorder="true" applyAlignment="true" applyProtection="true">
      <alignment horizontal="center" vertical="center" textRotation="0" wrapText="false" indent="0" shrinkToFit="false"/>
      <protection locked="true" hidden="false"/>
    </xf>
    <xf numFmtId="165" fontId="45" fillId="0" borderId="204" xfId="21" applyFont="true" applyBorder="true" applyAlignment="true" applyProtection="true">
      <alignment horizontal="center" vertical="center" textRotation="0" wrapText="false" indent="0" shrinkToFit="true"/>
      <protection locked="true" hidden="false"/>
    </xf>
    <xf numFmtId="165" fontId="45" fillId="0" borderId="123" xfId="21" applyFont="true" applyBorder="true" applyAlignment="true" applyProtection="true">
      <alignment horizontal="center" vertical="center" textRotation="0" wrapText="false" indent="0" shrinkToFit="true"/>
      <protection locked="true" hidden="false"/>
    </xf>
    <xf numFmtId="165" fontId="67" fillId="0" borderId="0" xfId="21" applyFont="true" applyBorder="true" applyAlignment="true" applyProtection="true">
      <alignment horizontal="center" vertical="center" textRotation="0" wrapText="false" indent="0" shrinkToFit="false"/>
      <protection locked="true" hidden="false"/>
    </xf>
    <xf numFmtId="165" fontId="45" fillId="0" borderId="205" xfId="21" applyFont="true" applyBorder="true" applyAlignment="true" applyProtection="true">
      <alignment horizontal="center" vertical="center" textRotation="0" wrapText="false" indent="0" shrinkToFit="true"/>
      <protection locked="true" hidden="false"/>
    </xf>
    <xf numFmtId="165" fontId="45" fillId="0" borderId="206" xfId="21" applyFont="true" applyBorder="true" applyAlignment="true" applyProtection="true">
      <alignment horizontal="center" vertical="center" textRotation="0" wrapText="false" indent="0" shrinkToFit="true"/>
      <protection locked="true" hidden="false"/>
    </xf>
    <xf numFmtId="165" fontId="45" fillId="0" borderId="207" xfId="21" applyFont="true" applyBorder="true" applyAlignment="true" applyProtection="true">
      <alignment horizontal="center" vertical="center" textRotation="0" wrapText="false" indent="0" shrinkToFit="true"/>
      <protection locked="true" hidden="false"/>
    </xf>
    <xf numFmtId="165" fontId="45" fillId="0" borderId="208" xfId="21" applyFont="true" applyBorder="true" applyAlignment="true" applyProtection="true">
      <alignment horizontal="center" vertical="center" textRotation="0" wrapText="false" indent="0" shrinkToFit="true"/>
      <protection locked="true" hidden="false"/>
    </xf>
    <xf numFmtId="164" fontId="45" fillId="0" borderId="19" xfId="0" applyFont="true" applyBorder="true" applyAlignment="true" applyProtection="true">
      <alignment horizontal="general" vertical="bottom" textRotation="0" wrapText="false" indent="0" shrinkToFit="true"/>
      <protection locked="true" hidden="false"/>
    </xf>
    <xf numFmtId="165" fontId="44" fillId="0" borderId="31" xfId="21" applyFont="true" applyBorder="true" applyAlignment="true" applyProtection="true">
      <alignment horizontal="general" vertical="bottom" textRotation="0" wrapText="false" indent="0" shrinkToFit="true"/>
      <protection locked="true" hidden="false"/>
    </xf>
    <xf numFmtId="165" fontId="44" fillId="0" borderId="209" xfId="21" applyFont="true" applyBorder="true" applyAlignment="true" applyProtection="true">
      <alignment horizontal="general" vertical="bottom" textRotation="0" wrapText="false" indent="0" shrinkToFit="true"/>
      <protection locked="true" hidden="false"/>
    </xf>
    <xf numFmtId="165" fontId="44" fillId="0" borderId="210" xfId="21" applyFont="true" applyBorder="true" applyAlignment="true" applyProtection="true">
      <alignment horizontal="general" vertical="bottom" textRotation="0" wrapText="false" indent="0" shrinkToFit="true"/>
      <protection locked="true" hidden="false"/>
    </xf>
    <xf numFmtId="165" fontId="44" fillId="0" borderId="17" xfId="21" applyFont="true" applyBorder="true" applyAlignment="true" applyProtection="true">
      <alignment horizontal="general" vertical="bottom" textRotation="0" wrapText="false" indent="0" shrinkToFit="true"/>
      <protection locked="true" hidden="false"/>
    </xf>
    <xf numFmtId="165" fontId="174" fillId="0" borderId="0" xfId="21" applyFont="true" applyBorder="true" applyAlignment="true" applyProtection="true">
      <alignment horizontal="general" vertical="bottom" textRotation="0" wrapText="false" indent="0" shrinkToFit="false"/>
      <protection locked="true" hidden="false"/>
    </xf>
    <xf numFmtId="165" fontId="44" fillId="14" borderId="209" xfId="21" applyFont="true" applyBorder="true" applyAlignment="true" applyProtection="true">
      <alignment horizontal="general" vertical="bottom" textRotation="0" wrapText="false" indent="0" shrinkToFit="true"/>
      <protection locked="true" hidden="false"/>
    </xf>
    <xf numFmtId="165" fontId="44" fillId="0" borderId="128" xfId="21" applyFont="true" applyBorder="true" applyAlignment="true" applyProtection="true">
      <alignment horizontal="general" vertical="bottom" textRotation="0" wrapText="false" indent="0" shrinkToFit="true"/>
      <protection locked="true" hidden="false"/>
    </xf>
    <xf numFmtId="165" fontId="44" fillId="0" borderId="124" xfId="21" applyFont="true" applyBorder="true" applyAlignment="true" applyProtection="true">
      <alignment horizontal="general" vertical="bottom" textRotation="0" wrapText="false" indent="0" shrinkToFit="true"/>
      <protection locked="true" hidden="false"/>
    </xf>
    <xf numFmtId="182" fontId="172" fillId="0" borderId="35" xfId="20" applyFont="true" applyBorder="true" applyAlignment="true" applyProtection="true">
      <alignment horizontal="general" vertical="bottom" textRotation="0" wrapText="false" indent="0" shrinkToFit="false"/>
      <protection locked="true" hidden="false"/>
    </xf>
    <xf numFmtId="164" fontId="45" fillId="0" borderId="23" xfId="0" applyFont="true" applyBorder="true" applyAlignment="true" applyProtection="true">
      <alignment horizontal="general" vertical="bottom" textRotation="0" wrapText="false" indent="0" shrinkToFit="true"/>
      <protection locked="true" hidden="false"/>
    </xf>
    <xf numFmtId="182" fontId="172" fillId="0" borderId="47" xfId="20" applyFont="true" applyBorder="true" applyAlignment="true" applyProtection="true">
      <alignment horizontal="general" vertical="bottom" textRotation="0" wrapText="false" indent="0" shrinkToFit="false"/>
      <protection locked="true" hidden="false"/>
    </xf>
    <xf numFmtId="165" fontId="44" fillId="0" borderId="30" xfId="21" applyFont="true" applyBorder="true" applyAlignment="true" applyProtection="true">
      <alignment horizontal="general" vertical="bottom" textRotation="0" wrapText="false" indent="0" shrinkToFit="true"/>
      <protection locked="true" hidden="false"/>
    </xf>
    <xf numFmtId="165" fontId="44" fillId="0" borderId="105" xfId="21" applyFont="true" applyBorder="true" applyAlignment="true" applyProtection="true">
      <alignment horizontal="general" vertical="bottom" textRotation="0" wrapText="false" indent="0" shrinkToFit="true"/>
      <protection locked="true" hidden="false"/>
    </xf>
    <xf numFmtId="165" fontId="44" fillId="0" borderId="211" xfId="21" applyFont="true" applyBorder="true" applyAlignment="true" applyProtection="true">
      <alignment horizontal="general" vertical="bottom" textRotation="0" wrapText="false" indent="0" shrinkToFit="true"/>
      <protection locked="true" hidden="false"/>
    </xf>
    <xf numFmtId="165" fontId="44" fillId="14" borderId="30" xfId="21" applyFont="true" applyBorder="true" applyAlignment="true" applyProtection="true">
      <alignment horizontal="general" vertical="bottom" textRotation="0" wrapText="false" indent="0" shrinkToFit="true"/>
      <protection locked="true" hidden="false"/>
    </xf>
    <xf numFmtId="165" fontId="44" fillId="0" borderId="106" xfId="21" applyFont="true" applyBorder="true" applyAlignment="true" applyProtection="true">
      <alignment horizontal="general" vertical="bottom" textRotation="0" wrapText="false" indent="0" shrinkToFit="true"/>
      <protection locked="true" hidden="false"/>
    </xf>
    <xf numFmtId="164" fontId="45" fillId="0" borderId="23" xfId="0" applyFont="true" applyBorder="true" applyAlignment="true" applyProtection="true">
      <alignment horizontal="general" vertical="center" textRotation="0" wrapText="false" indent="0" shrinkToFit="true"/>
      <protection locked="true" hidden="false"/>
    </xf>
    <xf numFmtId="164" fontId="45" fillId="0" borderId="212" xfId="0" applyFont="true" applyBorder="true" applyAlignment="true" applyProtection="true">
      <alignment horizontal="general" vertical="center" textRotation="0" wrapText="false" indent="0" shrinkToFit="true"/>
      <protection locked="true" hidden="false"/>
    </xf>
    <xf numFmtId="165" fontId="44" fillId="0" borderId="48" xfId="21" applyFont="true" applyBorder="true" applyAlignment="true" applyProtection="true">
      <alignment horizontal="general" vertical="bottom" textRotation="0" wrapText="false" indent="0" shrinkToFit="true"/>
      <protection locked="true" hidden="false"/>
    </xf>
    <xf numFmtId="165" fontId="44" fillId="0" borderId="213" xfId="21" applyFont="true" applyBorder="true" applyAlignment="true" applyProtection="true">
      <alignment horizontal="general" vertical="bottom" textRotation="0" wrapText="false" indent="0" shrinkToFit="true"/>
      <protection locked="true" hidden="false"/>
    </xf>
    <xf numFmtId="164" fontId="45" fillId="0" borderId="59" xfId="0" applyFont="true" applyBorder="true" applyAlignment="true" applyProtection="true">
      <alignment horizontal="center" vertical="center" textRotation="0" wrapText="false" indent="0" shrinkToFit="true"/>
      <protection locked="true" hidden="false"/>
    </xf>
    <xf numFmtId="165" fontId="44" fillId="0" borderId="184" xfId="21" applyFont="true" applyBorder="true" applyAlignment="true" applyProtection="true">
      <alignment horizontal="general" vertical="bottom" textRotation="0" wrapText="false" indent="0" shrinkToFit="true"/>
      <protection locked="true" hidden="false"/>
    </xf>
    <xf numFmtId="165" fontId="44" fillId="0" borderId="164" xfId="21" applyFont="true" applyBorder="true" applyAlignment="true" applyProtection="true">
      <alignment horizontal="general" vertical="bottom" textRotation="0" wrapText="false" indent="0" shrinkToFit="true"/>
      <protection locked="true" hidden="false"/>
    </xf>
    <xf numFmtId="165" fontId="44" fillId="0" borderId="65" xfId="21" applyFont="true" applyBorder="true" applyAlignment="true" applyProtection="true">
      <alignment horizontal="general" vertical="bottom" textRotation="0" wrapText="false" indent="0" shrinkToFit="true"/>
      <protection locked="true" hidden="false"/>
    </xf>
    <xf numFmtId="165" fontId="44" fillId="14" borderId="214" xfId="21" applyFont="true" applyBorder="true" applyAlignment="true" applyProtection="true">
      <alignment horizontal="general" vertical="bottom" textRotation="0" wrapText="false" indent="0" shrinkToFit="true"/>
      <protection locked="true" hidden="false"/>
    </xf>
    <xf numFmtId="165" fontId="44" fillId="0" borderId="215" xfId="21" applyFont="true" applyBorder="true" applyAlignment="true" applyProtection="true">
      <alignment horizontal="general" vertical="bottom" textRotation="0" wrapText="false" indent="0" shrinkToFit="true"/>
      <protection locked="true" hidden="false"/>
    </xf>
    <xf numFmtId="165" fontId="44" fillId="0" borderId="216" xfId="21" applyFont="true" applyBorder="true" applyAlignment="true" applyProtection="true">
      <alignment horizontal="general" vertical="bottom" textRotation="0" wrapText="false" indent="0" shrinkToFit="true"/>
      <protection locked="true" hidden="false"/>
    </xf>
    <xf numFmtId="182" fontId="172" fillId="0" borderId="31" xfId="20" applyFont="true" applyBorder="true" applyAlignment="true" applyProtection="true">
      <alignment horizontal="general" vertical="bottom" textRotation="0" wrapText="false" indent="0" shrinkToFit="false"/>
      <protection locked="true" hidden="false"/>
    </xf>
    <xf numFmtId="164" fontId="67" fillId="0" borderId="0" xfId="0" applyFont="true" applyBorder="true" applyAlignment="true" applyProtection="true">
      <alignment horizontal="center" vertical="center" textRotation="0" wrapText="false" indent="0" shrinkToFit="false"/>
      <protection locked="true" hidden="false"/>
    </xf>
    <xf numFmtId="165" fontId="48" fillId="0" borderId="77" xfId="21" applyFont="true" applyBorder="true" applyAlignment="true" applyProtection="true">
      <alignment horizontal="center" vertical="center" textRotation="0" wrapText="false" indent="0" shrinkToFit="true"/>
      <protection locked="true" hidden="false"/>
    </xf>
    <xf numFmtId="165" fontId="56" fillId="0" borderId="0" xfId="21" applyFont="true" applyBorder="true" applyAlignment="true" applyProtection="true">
      <alignment horizontal="general" vertical="bottom" textRotation="0" wrapText="false" indent="0" shrinkToFit="true"/>
      <protection locked="true" hidden="false"/>
    </xf>
    <xf numFmtId="164" fontId="45" fillId="0" borderId="0" xfId="0" applyFont="true" applyBorder="false" applyAlignment="true" applyProtection="true">
      <alignment horizontal="left" vertical="bottom" textRotation="0" wrapText="false" indent="0" shrinkToFit="false"/>
      <protection locked="true" hidden="false"/>
    </xf>
    <xf numFmtId="165" fontId="45" fillId="0" borderId="84" xfId="21" applyFont="true" applyBorder="true" applyAlignment="true" applyProtection="true">
      <alignment horizontal="center" vertical="center" textRotation="0" wrapText="false" indent="0" shrinkToFit="true"/>
      <protection locked="true" hidden="false"/>
    </xf>
    <xf numFmtId="165" fontId="57" fillId="0" borderId="0" xfId="21" applyFont="true" applyBorder="true" applyAlignment="true" applyProtection="true">
      <alignment horizontal="center" vertical="center" textRotation="0" wrapText="false" indent="0" shrinkToFit="true"/>
      <protection locked="true" hidden="false"/>
    </xf>
    <xf numFmtId="164" fontId="45" fillId="0" borderId="4" xfId="0" applyFont="true" applyBorder="true" applyAlignment="true" applyProtection="true">
      <alignment horizontal="center" vertical="center" textRotation="0" wrapText="false" indent="0" shrinkToFit="true"/>
      <protection locked="true" hidden="false"/>
    </xf>
    <xf numFmtId="165" fontId="44" fillId="0" borderId="4" xfId="21" applyFont="true" applyBorder="true" applyAlignment="true" applyProtection="true">
      <alignment horizontal="center" vertical="center" textRotation="0" wrapText="false" indent="0" shrinkToFit="false"/>
      <protection locked="true" hidden="false"/>
    </xf>
    <xf numFmtId="164" fontId="45" fillId="0" borderId="0" xfId="0" applyFont="true" applyBorder="true" applyAlignment="true" applyProtection="true">
      <alignment horizontal="left" vertical="bottom" textRotation="0" wrapText="true" indent="0" shrinkToFit="false"/>
      <protection locked="true" hidden="false"/>
    </xf>
    <xf numFmtId="165" fontId="45" fillId="0" borderId="37" xfId="21" applyFont="true" applyBorder="true" applyAlignment="true" applyProtection="true">
      <alignment horizontal="center" vertical="center" textRotation="0" wrapText="false" indent="0" shrinkToFit="true"/>
      <protection locked="true" hidden="false"/>
    </xf>
    <xf numFmtId="165" fontId="45" fillId="0" borderId="88" xfId="21" applyFont="true" applyBorder="true" applyAlignment="true" applyProtection="true">
      <alignment horizontal="center" vertical="center" textRotation="0" wrapText="false" indent="0" shrinkToFit="true"/>
      <protection locked="true" hidden="false"/>
    </xf>
    <xf numFmtId="165" fontId="45" fillId="15" borderId="38" xfId="21" applyFont="true" applyBorder="true" applyAlignment="true" applyProtection="true">
      <alignment horizontal="center" vertical="center" textRotation="0" wrapText="false" indent="0" shrinkToFit="true"/>
      <protection locked="true" hidden="false"/>
    </xf>
    <xf numFmtId="164" fontId="45" fillId="18" borderId="8" xfId="0" applyFont="true" applyBorder="true" applyAlignment="true" applyProtection="true">
      <alignment horizontal="center" vertical="center" textRotation="0" wrapText="false" indent="0" shrinkToFit="true"/>
      <protection locked="true" hidden="false"/>
    </xf>
    <xf numFmtId="164" fontId="45" fillId="18" borderId="39" xfId="0" applyFont="true" applyBorder="true" applyAlignment="true" applyProtection="true">
      <alignment horizontal="center" vertical="center" textRotation="0" wrapText="false" indent="0" shrinkToFit="true"/>
      <protection locked="true" hidden="false"/>
    </xf>
    <xf numFmtId="164" fontId="67" fillId="18" borderId="0" xfId="0" applyFont="true" applyBorder="true" applyAlignment="true" applyProtection="true">
      <alignment horizontal="general" vertical="bottom" textRotation="0" wrapText="false" indent="0" shrinkToFit="false"/>
      <protection locked="true" hidden="false"/>
    </xf>
    <xf numFmtId="173" fontId="56" fillId="18" borderId="0" xfId="0" applyFont="true" applyBorder="true" applyAlignment="true" applyProtection="true">
      <alignment horizontal="general" vertical="bottom" textRotation="0" wrapText="false" indent="0" shrinkToFit="true"/>
      <protection locked="true" hidden="false"/>
    </xf>
    <xf numFmtId="165" fontId="44" fillId="0" borderId="13" xfId="21" applyFont="true" applyBorder="true" applyAlignment="true" applyProtection="true">
      <alignment horizontal="general" vertical="bottom" textRotation="0" wrapText="false" indent="0" shrinkToFit="true"/>
      <protection locked="true" hidden="false"/>
    </xf>
    <xf numFmtId="165" fontId="175" fillId="15" borderId="17" xfId="21" applyFont="true" applyBorder="true" applyAlignment="true" applyProtection="true">
      <alignment horizontal="general" vertical="bottom" textRotation="0" wrapText="false" indent="0" shrinkToFit="true"/>
      <protection locked="true" hidden="false"/>
    </xf>
    <xf numFmtId="165" fontId="57" fillId="0" borderId="0" xfId="21" applyFont="true" applyBorder="true" applyAlignment="true" applyProtection="true">
      <alignment horizontal="general" vertical="bottom" textRotation="0" wrapText="false" indent="0" shrinkToFit="true"/>
      <protection locked="true" hidden="false"/>
    </xf>
    <xf numFmtId="164" fontId="67" fillId="0" borderId="0" xfId="0" applyFont="true" applyBorder="true" applyAlignment="true" applyProtection="true">
      <alignment horizontal="general" vertical="center" textRotation="0" wrapText="false" indent="0" shrinkToFit="false"/>
      <protection locked="true" hidden="false"/>
    </xf>
    <xf numFmtId="164" fontId="45" fillId="18" borderId="19" xfId="0" applyFont="true" applyBorder="true" applyAlignment="true" applyProtection="true">
      <alignment horizontal="general" vertical="bottom" textRotation="0" wrapText="false" indent="0" shrinkToFit="true"/>
      <protection locked="true" hidden="false"/>
    </xf>
    <xf numFmtId="173" fontId="44" fillId="18" borderId="20" xfId="0" applyFont="true" applyBorder="true" applyAlignment="true" applyProtection="true">
      <alignment horizontal="general" vertical="bottom" textRotation="0" wrapText="false" indent="0" shrinkToFit="true"/>
      <protection locked="true" hidden="false"/>
    </xf>
    <xf numFmtId="164" fontId="45" fillId="18" borderId="23" xfId="0" applyFont="true" applyBorder="true" applyAlignment="true" applyProtection="true">
      <alignment horizontal="general" vertical="bottom" textRotation="0" wrapText="false" indent="0" shrinkToFit="true"/>
      <protection locked="true" hidden="false"/>
    </xf>
    <xf numFmtId="165" fontId="176" fillId="0" borderId="0" xfId="21" applyFont="true" applyBorder="true" applyAlignment="true" applyProtection="true">
      <alignment horizontal="left" vertical="bottom" textRotation="0" wrapText="false" indent="0" shrinkToFit="true"/>
      <protection locked="true" hidden="false"/>
    </xf>
    <xf numFmtId="224" fontId="176" fillId="0" borderId="0" xfId="21" applyFont="true" applyBorder="true" applyAlignment="true" applyProtection="true">
      <alignment horizontal="general" vertical="bottom" textRotation="0" wrapText="false" indent="0" shrinkToFit="true"/>
      <protection locked="true" hidden="false"/>
    </xf>
    <xf numFmtId="164" fontId="45" fillId="18" borderId="33" xfId="0" applyFont="true" applyBorder="true" applyAlignment="true" applyProtection="true">
      <alignment horizontal="general" vertical="bottom" textRotation="0" wrapText="false" indent="0" shrinkToFit="true"/>
      <protection locked="true" hidden="false"/>
    </xf>
    <xf numFmtId="225" fontId="176" fillId="14" borderId="0" xfId="21" applyFont="true" applyBorder="true" applyAlignment="true" applyProtection="true">
      <alignment horizontal="left" vertical="bottom" textRotation="0" wrapText="false" indent="0" shrinkToFit="true"/>
      <protection locked="true" hidden="false"/>
    </xf>
    <xf numFmtId="164" fontId="45" fillId="18" borderId="159" xfId="0" applyFont="true" applyBorder="true" applyAlignment="true" applyProtection="true">
      <alignment horizontal="general" vertical="bottom" textRotation="0" wrapText="false" indent="0" shrinkToFit="true"/>
      <protection locked="true" hidden="false"/>
    </xf>
    <xf numFmtId="165" fontId="175" fillId="15" borderId="25" xfId="21" applyFont="true" applyBorder="true" applyAlignment="true" applyProtection="true">
      <alignment horizontal="general" vertical="bottom" textRotation="0" wrapText="false" indent="0" shrinkToFit="true"/>
      <protection locked="true" hidden="false"/>
    </xf>
    <xf numFmtId="164" fontId="45" fillId="18" borderId="163" xfId="0" applyFont="true" applyBorder="true" applyAlignment="true" applyProtection="true">
      <alignment horizontal="general" vertical="bottom" textRotation="0" wrapText="false" indent="0" shrinkToFit="true"/>
      <protection locked="true" hidden="false"/>
    </xf>
    <xf numFmtId="173" fontId="44" fillId="18" borderId="164" xfId="0" applyFont="true" applyBorder="true" applyAlignment="true" applyProtection="true">
      <alignment horizontal="general" vertical="bottom" textRotation="0" wrapText="false" indent="0" shrinkToFit="true"/>
      <protection locked="true" hidden="false"/>
    </xf>
    <xf numFmtId="226" fontId="176" fillId="14" borderId="0" xfId="21" applyFont="true" applyBorder="true" applyAlignment="true" applyProtection="true">
      <alignment horizontal="left" vertical="top" textRotation="0" wrapText="false" indent="0" shrinkToFit="true"/>
      <protection locked="true" hidden="false"/>
    </xf>
    <xf numFmtId="164" fontId="45" fillId="18" borderId="59" xfId="0" applyFont="true" applyBorder="true" applyAlignment="true" applyProtection="true">
      <alignment horizontal="general" vertical="bottom" textRotation="0" wrapText="false" indent="0" shrinkToFit="true"/>
      <protection locked="true" hidden="false"/>
    </xf>
    <xf numFmtId="165" fontId="44" fillId="0" borderId="46" xfId="21" applyFont="true" applyBorder="true" applyAlignment="true" applyProtection="true">
      <alignment horizontal="general" vertical="bottom" textRotation="0" wrapText="false" indent="0" shrinkToFit="true"/>
      <protection locked="true" hidden="false"/>
    </xf>
    <xf numFmtId="165" fontId="57" fillId="15" borderId="217" xfId="21" applyFont="true" applyBorder="true" applyAlignment="true" applyProtection="true">
      <alignment horizontal="general" vertical="bottom" textRotation="0" wrapText="false" indent="0" shrinkToFit="true"/>
      <protection locked="true" hidden="false"/>
    </xf>
    <xf numFmtId="164" fontId="67" fillId="14" borderId="0" xfId="0" applyFont="true" applyBorder="true" applyAlignment="true" applyProtection="true">
      <alignment horizontal="general" vertical="bottom" textRotation="0" wrapText="false" indent="0" shrinkToFit="false"/>
      <protection locked="true" hidden="false"/>
    </xf>
    <xf numFmtId="173" fontId="56" fillId="14" borderId="0" xfId="0" applyFont="true" applyBorder="true" applyAlignment="true" applyProtection="true">
      <alignment horizontal="general" vertical="bottom" textRotation="0" wrapText="false" indent="0" shrinkToFit="true"/>
      <protection locked="true" hidden="false"/>
    </xf>
    <xf numFmtId="165" fontId="44" fillId="0" borderId="9" xfId="21" applyFont="true" applyBorder="true" applyAlignment="true" applyProtection="true">
      <alignment horizontal="general" vertical="bottom" textRotation="0" wrapText="false" indent="0" shrinkToFit="true"/>
      <protection locked="true" hidden="false"/>
    </xf>
    <xf numFmtId="165" fontId="44" fillId="0" borderId="0" xfId="21" applyFont="true" applyBorder="true" applyAlignment="true" applyProtection="true">
      <alignment horizontal="general" vertical="bottom" textRotation="0" wrapText="false" indent="0" shrinkToFit="true"/>
      <protection locked="true" hidden="false"/>
    </xf>
    <xf numFmtId="164" fontId="169" fillId="0" borderId="0" xfId="0" applyFont="true" applyBorder="false" applyAlignment="true" applyProtection="true">
      <alignment horizontal="general" vertical="bottom" textRotation="0" wrapText="false" indent="0" shrinkToFit="true"/>
      <protection locked="true" hidden="false"/>
    </xf>
    <xf numFmtId="165" fontId="177" fillId="0" borderId="0" xfId="21" applyFont="true" applyBorder="true" applyAlignment="true" applyProtection="true">
      <alignment horizontal="general" vertical="bottom" textRotation="0" wrapText="false" indent="0" shrinkToFit="false"/>
      <protection locked="true" hidden="false"/>
    </xf>
    <xf numFmtId="164" fontId="57" fillId="14" borderId="0" xfId="0" applyFont="true" applyBorder="true" applyAlignment="true" applyProtection="true">
      <alignment horizontal="general" vertical="bottom" textRotation="0" wrapText="false" indent="0" shrinkToFit="false"/>
      <protection locked="true" hidden="false"/>
    </xf>
    <xf numFmtId="173" fontId="44" fillId="14" borderId="0" xfId="0" applyFont="true" applyBorder="true" applyAlignment="true" applyProtection="true">
      <alignment horizontal="general" vertical="bottom" textRotation="0" wrapText="false" indent="0" shrinkToFit="true"/>
      <protection locked="true" hidden="false"/>
    </xf>
    <xf numFmtId="165" fontId="45" fillId="0" borderId="5" xfId="21" applyFont="true" applyBorder="true" applyAlignment="true" applyProtection="true">
      <alignment horizontal="center" vertical="center" textRotation="0" wrapText="false" indent="0" shrinkToFit="false"/>
      <protection locked="true" hidden="false"/>
    </xf>
    <xf numFmtId="165" fontId="57" fillId="0" borderId="0" xfId="21" applyFont="true" applyBorder="true" applyAlignment="true" applyProtection="true">
      <alignment horizontal="center" vertical="center" textRotation="0" wrapText="false" indent="0" shrinkToFit="false"/>
      <protection locked="true" hidden="false"/>
    </xf>
    <xf numFmtId="165" fontId="45" fillId="0" borderId="7" xfId="21" applyFont="true" applyBorder="true" applyAlignment="true" applyProtection="true">
      <alignment horizontal="center" vertical="center" textRotation="0" wrapText="false" indent="0" shrinkToFit="false"/>
      <protection locked="true" hidden="false"/>
    </xf>
    <xf numFmtId="165" fontId="45" fillId="0" borderId="39" xfId="21" applyFont="true" applyBorder="true" applyAlignment="true" applyProtection="true">
      <alignment horizontal="center" vertical="center" textRotation="0" wrapText="false" indent="0" shrinkToFit="false"/>
      <protection locked="true" hidden="false"/>
    </xf>
    <xf numFmtId="165" fontId="45" fillId="0" borderId="218" xfId="21" applyFont="true" applyBorder="true" applyAlignment="true" applyProtection="true">
      <alignment horizontal="center" vertical="center" textRotation="0" wrapText="false" indent="0" shrinkToFit="true"/>
      <protection locked="true" hidden="false"/>
    </xf>
    <xf numFmtId="165" fontId="44" fillId="0" borderId="99" xfId="21" applyFont="true" applyBorder="true" applyAlignment="true" applyProtection="true">
      <alignment horizontal="general" vertical="bottom" textRotation="0" wrapText="false" indent="0" shrinkToFit="true"/>
      <protection locked="true" hidden="false"/>
    </xf>
    <xf numFmtId="165" fontId="44" fillId="0" borderId="141" xfId="21" applyFont="true" applyBorder="true" applyAlignment="true" applyProtection="true">
      <alignment horizontal="general" vertical="bottom" textRotation="0" wrapText="false" indent="0" shrinkToFit="true"/>
      <protection locked="true" hidden="false"/>
    </xf>
    <xf numFmtId="165" fontId="44" fillId="0" borderId="0" xfId="21" applyFont="true" applyBorder="true" applyAlignment="true" applyProtection="true">
      <alignment horizontal="general" vertical="bottom" textRotation="0" wrapText="false" indent="0" shrinkToFit="false"/>
      <protection locked="true" hidden="false"/>
    </xf>
    <xf numFmtId="165" fontId="44" fillId="0" borderId="144" xfId="21" applyFont="true" applyBorder="true" applyAlignment="true" applyProtection="true">
      <alignment horizontal="general" vertical="bottom" textRotation="0" wrapText="false" indent="0" shrinkToFit="true"/>
      <protection locked="true" hidden="false"/>
    </xf>
    <xf numFmtId="165" fontId="44" fillId="0" borderId="25" xfId="21" applyFont="true" applyBorder="true" applyAlignment="true" applyProtection="true">
      <alignment horizontal="general" vertical="bottom" textRotation="0" wrapText="false" indent="0" shrinkToFit="true"/>
      <protection locked="true" hidden="false"/>
    </xf>
    <xf numFmtId="165" fontId="44" fillId="0" borderId="26" xfId="21" applyFont="true" applyBorder="true" applyAlignment="true" applyProtection="true">
      <alignment horizontal="general" vertical="bottom" textRotation="0" wrapText="false" indent="0" shrinkToFit="true"/>
      <protection locked="true" hidden="false"/>
    </xf>
    <xf numFmtId="165" fontId="44" fillId="14" borderId="219" xfId="21" applyFont="true" applyBorder="true" applyAlignment="true" applyProtection="true">
      <alignment horizontal="general" vertical="bottom" textRotation="0" wrapText="false" indent="0" shrinkToFit="true"/>
      <protection locked="true" hidden="false"/>
    </xf>
    <xf numFmtId="165" fontId="44" fillId="0" borderId="220" xfId="21" applyFont="true" applyBorder="true" applyAlignment="true" applyProtection="true">
      <alignment horizontal="general" vertical="bottom" textRotation="0" wrapText="false" indent="0" shrinkToFit="true"/>
      <protection locked="true" hidden="false"/>
    </xf>
    <xf numFmtId="165" fontId="44" fillId="0" borderId="217" xfId="21" applyFont="true" applyBorder="true" applyAlignment="true" applyProtection="true">
      <alignment horizontal="general" vertical="bottom" textRotation="0" wrapText="false" indent="0" shrinkToFit="true"/>
      <protection locked="true" hidden="false"/>
    </xf>
    <xf numFmtId="165" fontId="44" fillId="0" borderId="214" xfId="21" applyFont="true" applyBorder="true" applyAlignment="true" applyProtection="true">
      <alignment horizontal="general" vertical="bottom" textRotation="0" wrapText="false" indent="0" shrinkToFit="true"/>
      <protection locked="true" hidden="false"/>
    </xf>
    <xf numFmtId="165" fontId="44" fillId="0" borderId="221" xfId="21" applyFont="true" applyBorder="true" applyAlignment="true" applyProtection="true">
      <alignment horizontal="general" vertical="bottom" textRotation="0" wrapText="false" indent="0" shrinkToFit="true"/>
      <protection locked="true" hidden="false"/>
    </xf>
    <xf numFmtId="164" fontId="179" fillId="0" borderId="0" xfId="0" applyFont="true" applyBorder="false" applyAlignment="true" applyProtection="true">
      <alignment horizontal="general" vertical="top" textRotation="0" wrapText="false" indent="0" shrinkToFit="false"/>
      <protection locked="true" hidden="false"/>
    </xf>
    <xf numFmtId="164" fontId="45" fillId="0" borderId="222" xfId="0" applyFont="true" applyBorder="true" applyAlignment="true" applyProtection="true">
      <alignment horizontal="center" vertical="bottom" textRotation="0" wrapText="false" indent="0" shrinkToFit="true"/>
      <protection locked="true" hidden="false"/>
    </xf>
    <xf numFmtId="164" fontId="57" fillId="0" borderId="0" xfId="0" applyFont="true" applyBorder="true" applyAlignment="true" applyProtection="true">
      <alignment horizontal="center" vertical="bottom" textRotation="0" wrapText="true" indent="0" shrinkToFit="false"/>
      <protection locked="true" hidden="false"/>
    </xf>
    <xf numFmtId="164" fontId="48" fillId="0" borderId="64" xfId="0" applyFont="true" applyBorder="true" applyAlignment="true" applyProtection="true">
      <alignment horizontal="right" vertical="center" textRotation="0" wrapText="false" indent="0" shrinkToFit="false"/>
      <protection locked="true" hidden="false"/>
    </xf>
    <xf numFmtId="164" fontId="153" fillId="0" borderId="0" xfId="0" applyFont="true" applyBorder="true" applyAlignment="true" applyProtection="true">
      <alignment horizontal="right" vertical="center" textRotation="0" wrapText="false" indent="0" shrinkToFit="false"/>
      <protection locked="true" hidden="false"/>
    </xf>
    <xf numFmtId="165" fontId="44" fillId="0" borderId="20" xfId="21" applyFont="true" applyBorder="true" applyAlignment="true" applyProtection="true">
      <alignment horizontal="general" vertical="bottom" textRotation="0" wrapText="false" indent="0" shrinkToFit="true"/>
      <protection locked="true" hidden="false"/>
    </xf>
    <xf numFmtId="165" fontId="44" fillId="0" borderId="4" xfId="21" applyFont="true" applyBorder="true" applyAlignment="true" applyProtection="true">
      <alignment horizontal="center" vertical="center" textRotation="0" wrapText="false" indent="0" shrinkToFit="true"/>
      <protection locked="true" hidden="false"/>
    </xf>
    <xf numFmtId="165" fontId="44" fillId="0" borderId="0" xfId="21" applyFont="true" applyBorder="true" applyAlignment="true" applyProtection="true">
      <alignment horizontal="center" vertical="center" textRotation="0" wrapText="false" indent="0" shrinkToFit="tru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224" fontId="176" fillId="14" borderId="0" xfId="21" applyFont="true" applyBorder="true" applyAlignment="true" applyProtection="true">
      <alignment horizontal="general" vertical="bottom" textRotation="0" wrapText="false" indent="0" shrinkToFit="true"/>
      <protection locked="true" hidden="false"/>
    </xf>
    <xf numFmtId="225" fontId="176" fillId="14" borderId="0" xfId="21" applyFont="true" applyBorder="true" applyAlignment="true" applyProtection="true">
      <alignment horizontal="left" vertical="center" textRotation="0" wrapText="false" indent="0" shrinkToFit="true"/>
      <protection locked="true" hidden="false"/>
    </xf>
    <xf numFmtId="164" fontId="57" fillId="0" borderId="0" xfId="0" applyFont="true" applyBorder="true" applyAlignment="true" applyProtection="true">
      <alignment horizontal="center" vertical="center" textRotation="0" wrapText="false" indent="0" shrinkToFit="false"/>
      <protection locked="true" hidden="false"/>
    </xf>
    <xf numFmtId="165" fontId="44" fillId="14" borderId="0" xfId="21" applyFont="true" applyBorder="true" applyAlignment="true" applyProtection="true">
      <alignment horizontal="general" vertical="bottom" textRotation="0" wrapText="false" indent="0" shrinkToFit="true"/>
      <protection locked="true" hidden="false"/>
    </xf>
    <xf numFmtId="165" fontId="44" fillId="0" borderId="45" xfId="21" applyFont="true" applyBorder="true" applyAlignment="true" applyProtection="true">
      <alignment horizontal="general" vertical="bottom" textRotation="0" wrapText="false" indent="0" shrinkToFit="true"/>
      <protection locked="true" hidden="false"/>
    </xf>
    <xf numFmtId="164" fontId="169" fillId="12" borderId="0" xfId="0" applyFont="true" applyBorder="false" applyAlignment="true" applyProtection="true">
      <alignment horizontal="general" vertical="bottom" textRotation="0" wrapText="false" indent="0" shrinkToFit="true"/>
      <protection locked="true" hidden="false"/>
    </xf>
    <xf numFmtId="164" fontId="170" fillId="12" borderId="0" xfId="0" applyFont="true" applyBorder="false" applyAlignment="true" applyProtection="true">
      <alignment horizontal="general" vertical="bottom" textRotation="0" wrapText="false" indent="0" shrinkToFit="false"/>
      <protection locked="true" hidden="false"/>
    </xf>
    <xf numFmtId="165" fontId="180" fillId="12" borderId="0" xfId="21" applyFont="true" applyBorder="true" applyAlignment="true" applyProtection="true">
      <alignment horizontal="general" vertical="bottom" textRotation="0" wrapText="false" indent="0" shrinkToFit="false"/>
      <protection locked="true" hidden="false"/>
    </xf>
    <xf numFmtId="165" fontId="57" fillId="0" borderId="0" xfId="20" applyFont="true" applyBorder="true" applyAlignment="true" applyProtection="true">
      <alignment horizontal="right" vertical="bottom" textRotation="0" wrapText="false" indent="0" shrinkToFit="false"/>
      <protection locked="true" hidden="false"/>
    </xf>
    <xf numFmtId="164" fontId="45" fillId="0" borderId="3" xfId="0" applyFont="true" applyBorder="true" applyAlignment="true" applyProtection="true">
      <alignment horizontal="left" vertical="bottom" textRotation="0" wrapText="true" indent="0" shrinkToFit="true"/>
      <protection locked="true" hidden="false"/>
    </xf>
    <xf numFmtId="165" fontId="45" fillId="0" borderId="7" xfId="21" applyFont="true" applyBorder="true" applyAlignment="true" applyProtection="true">
      <alignment horizontal="center" vertical="center" textRotation="0" wrapText="true" indent="0" shrinkToFit="true"/>
      <protection locked="true" hidden="false"/>
    </xf>
    <xf numFmtId="165" fontId="45" fillId="0" borderId="7" xfId="21" applyFont="true" applyBorder="true" applyAlignment="true" applyProtection="true">
      <alignment horizontal="center" vertical="center" textRotation="0" wrapText="false" indent="0" shrinkToFit="true"/>
      <protection locked="true" hidden="false"/>
    </xf>
    <xf numFmtId="165" fontId="45" fillId="0" borderId="90" xfId="21" applyFont="true" applyBorder="true" applyAlignment="true" applyProtection="true">
      <alignment horizontal="center" vertical="center" textRotation="0" wrapText="true" indent="0" shrinkToFit="true"/>
      <protection locked="true" hidden="false"/>
    </xf>
    <xf numFmtId="165" fontId="45" fillId="0" borderId="5" xfId="21" applyFont="true" applyBorder="true" applyAlignment="true" applyProtection="true">
      <alignment horizontal="center" vertical="center" textRotation="0" wrapText="false" indent="0" shrinkToFit="true"/>
      <protection locked="true" hidden="false"/>
    </xf>
    <xf numFmtId="164" fontId="45" fillId="18" borderId="8" xfId="0" applyFont="true" applyBorder="true" applyAlignment="true" applyProtection="true">
      <alignment horizontal="center" vertical="center" textRotation="0" wrapText="false" indent="0" shrinkToFit="false"/>
      <protection locked="true" hidden="false"/>
    </xf>
    <xf numFmtId="164" fontId="46" fillId="18" borderId="39" xfId="0" applyFont="true" applyBorder="true" applyAlignment="true" applyProtection="true">
      <alignment horizontal="center" vertical="center" textRotation="0" wrapText="true" indent="0" shrinkToFit="false"/>
      <protection locked="true" hidden="false"/>
    </xf>
    <xf numFmtId="164" fontId="45" fillId="18" borderId="39" xfId="0" applyFont="true" applyBorder="true" applyAlignment="true" applyProtection="true">
      <alignment horizontal="center" vertical="center" textRotation="0" wrapText="true" indent="0" shrinkToFit="false"/>
      <protection locked="true" hidden="false"/>
    </xf>
    <xf numFmtId="182" fontId="44" fillId="0" borderId="31" xfId="21" applyFont="true" applyBorder="true" applyAlignment="true" applyProtection="true">
      <alignment horizontal="general" vertical="bottom" textRotation="0" wrapText="false" indent="0" shrinkToFit="true"/>
      <protection locked="true" hidden="false"/>
    </xf>
    <xf numFmtId="182" fontId="44" fillId="0" borderId="97" xfId="21" applyFont="true" applyBorder="true" applyAlignment="true" applyProtection="true">
      <alignment horizontal="general" vertical="bottom" textRotation="0" wrapText="false" indent="0" shrinkToFit="true"/>
      <protection locked="true" hidden="false"/>
    </xf>
    <xf numFmtId="182" fontId="44" fillId="0" borderId="17" xfId="21" applyFont="true" applyBorder="true" applyAlignment="true" applyProtection="true">
      <alignment horizontal="general" vertical="bottom" textRotation="0" wrapText="false" indent="0" shrinkToFit="true"/>
      <protection locked="true" hidden="false"/>
    </xf>
    <xf numFmtId="182" fontId="44" fillId="18" borderId="20" xfId="0" applyFont="true" applyBorder="true" applyAlignment="true" applyProtection="true">
      <alignment horizontal="general" vertical="bottom" textRotation="0" wrapText="false" indent="0" shrinkToFit="true"/>
      <protection locked="true" hidden="false"/>
    </xf>
    <xf numFmtId="164" fontId="45" fillId="18" borderId="19" xfId="0" applyFont="true" applyBorder="true" applyAlignment="true" applyProtection="true">
      <alignment horizontal="general" vertical="bottom" textRotation="0" wrapText="false" indent="0" shrinkToFit="false"/>
      <protection locked="true" hidden="false"/>
    </xf>
    <xf numFmtId="182" fontId="44" fillId="0" borderId="30" xfId="21" applyFont="true" applyBorder="true" applyAlignment="true" applyProtection="true">
      <alignment horizontal="general" vertical="bottom" textRotation="0" wrapText="false" indent="0" shrinkToFit="true"/>
      <protection locked="true" hidden="false"/>
    </xf>
    <xf numFmtId="182" fontId="44" fillId="0" borderId="223" xfId="21" applyFont="true" applyBorder="true" applyAlignment="true" applyProtection="true">
      <alignment horizontal="general" vertical="bottom" textRotation="0" wrapText="false" indent="0" shrinkToFit="true"/>
      <protection locked="true" hidden="false"/>
    </xf>
    <xf numFmtId="182" fontId="44" fillId="18" borderId="26" xfId="0" applyFont="true" applyBorder="true" applyAlignment="true" applyProtection="true">
      <alignment horizontal="general" vertical="bottom" textRotation="0" wrapText="false" indent="0" shrinkToFit="true"/>
      <protection locked="true" hidden="false"/>
    </xf>
    <xf numFmtId="164" fontId="45" fillId="18" borderId="23" xfId="0" applyFont="true" applyBorder="true" applyAlignment="true" applyProtection="true">
      <alignment horizontal="general" vertical="bottom" textRotation="0" wrapText="false" indent="0" shrinkToFit="false"/>
      <protection locked="true" hidden="false"/>
    </xf>
    <xf numFmtId="182" fontId="44" fillId="13" borderId="223" xfId="21" applyFont="true" applyBorder="true" applyAlignment="true" applyProtection="true">
      <alignment horizontal="general" vertical="bottom" textRotation="0" wrapText="false" indent="0" shrinkToFit="true"/>
      <protection locked="true" hidden="false"/>
    </xf>
    <xf numFmtId="182" fontId="44" fillId="14" borderId="223" xfId="21" applyFont="true" applyBorder="true" applyAlignment="true" applyProtection="true">
      <alignment horizontal="general" vertical="bottom" textRotation="0" wrapText="false" indent="0" shrinkToFit="true"/>
      <protection locked="true" hidden="false"/>
    </xf>
    <xf numFmtId="182" fontId="44" fillId="18" borderId="36" xfId="0" applyFont="true" applyBorder="true" applyAlignment="true" applyProtection="true">
      <alignment horizontal="general" vertical="bottom" textRotation="0" wrapText="false" indent="0" shrinkToFit="true"/>
      <protection locked="true" hidden="false"/>
    </xf>
    <xf numFmtId="164" fontId="45" fillId="18" borderId="33" xfId="0" applyFont="true" applyBorder="true" applyAlignment="true" applyProtection="true">
      <alignment horizontal="general" vertical="bottom" textRotation="0" wrapText="false" indent="0" shrinkToFit="false"/>
      <protection locked="true" hidden="false"/>
    </xf>
    <xf numFmtId="164" fontId="45" fillId="18" borderId="8" xfId="0" applyFont="true" applyBorder="true" applyAlignment="true" applyProtection="true">
      <alignment horizontal="general" vertical="bottom" textRotation="0" wrapText="false" indent="0" shrinkToFit="true"/>
      <protection locked="true" hidden="false"/>
    </xf>
    <xf numFmtId="182" fontId="44" fillId="18" borderId="39" xfId="0" applyFont="true" applyBorder="true" applyAlignment="true" applyProtection="true">
      <alignment horizontal="general" vertical="bottom" textRotation="0" wrapText="false" indent="0" shrinkToFit="true"/>
      <protection locked="true" hidden="false"/>
    </xf>
    <xf numFmtId="164" fontId="45" fillId="18" borderId="8" xfId="0" applyFont="true" applyBorder="true" applyAlignment="true" applyProtection="true">
      <alignment horizontal="general" vertical="bottom" textRotation="0" wrapText="false" indent="0" shrinkToFit="false"/>
      <protection locked="true" hidden="false"/>
    </xf>
    <xf numFmtId="182" fontId="44" fillId="0" borderId="35" xfId="21" applyFont="true" applyBorder="true" applyAlignment="true" applyProtection="true">
      <alignment horizontal="general" vertical="bottom" textRotation="0" wrapText="false" indent="0" shrinkToFit="true"/>
      <protection locked="true" hidden="false"/>
    </xf>
    <xf numFmtId="182" fontId="44" fillId="13" borderId="224" xfId="21" applyFont="true" applyBorder="true" applyAlignment="true" applyProtection="true">
      <alignment horizontal="general" vertical="bottom" textRotation="0" wrapText="false" indent="0" shrinkToFit="true"/>
      <protection locked="true" hidden="false"/>
    </xf>
    <xf numFmtId="164" fontId="57" fillId="14" borderId="0" xfId="0" applyFont="true" applyBorder="true" applyAlignment="true" applyProtection="true">
      <alignment horizontal="general" vertical="bottom" textRotation="0" wrapText="false" indent="0" shrinkToFit="true"/>
      <protection locked="true" hidden="false"/>
    </xf>
    <xf numFmtId="182" fontId="44" fillId="0" borderId="25" xfId="21" applyFont="true" applyBorder="true" applyAlignment="true" applyProtection="true">
      <alignment horizontal="general" vertical="bottom" textRotation="0" wrapText="false" indent="0" shrinkToFit="true"/>
      <protection locked="true" hidden="false"/>
    </xf>
    <xf numFmtId="182" fontId="44" fillId="0" borderId="153" xfId="21" applyFont="true" applyBorder="true" applyAlignment="true" applyProtection="true">
      <alignment horizontal="general" vertical="bottom" textRotation="0" wrapText="false" indent="0" shrinkToFit="true"/>
      <protection locked="true" hidden="false"/>
    </xf>
    <xf numFmtId="182" fontId="44" fillId="0" borderId="225" xfId="21" applyFont="true" applyBorder="true" applyAlignment="true" applyProtection="true">
      <alignment horizontal="general" vertical="bottom" textRotation="0" wrapText="false" indent="0" shrinkToFit="true"/>
      <protection locked="true" hidden="false"/>
    </xf>
    <xf numFmtId="182" fontId="44" fillId="13" borderId="226" xfId="21" applyFont="true" applyBorder="true" applyAlignment="true" applyProtection="true">
      <alignment horizontal="general" vertical="bottom" textRotation="0" wrapText="false" indent="0" shrinkToFit="true"/>
      <protection locked="true" hidden="false"/>
    </xf>
    <xf numFmtId="182" fontId="44" fillId="0" borderId="217" xfId="21" applyFont="true" applyBorder="true" applyAlignment="true" applyProtection="true">
      <alignment horizontal="general" vertical="bottom" textRotation="0" wrapText="false" indent="0" shrinkToFit="true"/>
      <protection locked="true" hidden="false"/>
    </xf>
    <xf numFmtId="182" fontId="44" fillId="0" borderId="65" xfId="21" applyFont="true" applyBorder="true" applyAlignment="true" applyProtection="true">
      <alignment horizontal="general" vertical="bottom" textRotation="0" wrapText="false" indent="0" shrinkToFit="true"/>
      <protection locked="true" hidden="false"/>
    </xf>
    <xf numFmtId="182" fontId="44" fillId="0" borderId="182" xfId="21" applyFont="true" applyBorder="true" applyAlignment="true" applyProtection="true">
      <alignment horizontal="general" vertical="bottom" textRotation="0" wrapText="false" indent="0" shrinkToFit="true"/>
      <protection locked="true" hidden="false"/>
    </xf>
    <xf numFmtId="182" fontId="44" fillId="0" borderId="9" xfId="21" applyFont="true" applyBorder="true" applyAlignment="true" applyProtection="true">
      <alignment horizontal="general" vertical="bottom" textRotation="0" wrapText="false" indent="0" shrinkToFit="true"/>
      <protection locked="true" hidden="false"/>
    </xf>
    <xf numFmtId="165" fontId="57" fillId="14" borderId="0" xfId="21" applyFont="true" applyBorder="true" applyAlignment="true" applyProtection="true">
      <alignment horizontal="general" vertical="bottom" textRotation="0" wrapText="false" indent="0" shrinkToFit="false"/>
      <protection locked="true" hidden="false"/>
    </xf>
    <xf numFmtId="182" fontId="181" fillId="0" borderId="0" xfId="20" applyFont="true" applyBorder="true" applyAlignment="true" applyProtection="true">
      <alignment horizontal="left" vertical="bottom" textRotation="0" wrapText="true" indent="0" shrinkToFit="false"/>
      <protection locked="true" hidden="false"/>
    </xf>
    <xf numFmtId="182" fontId="181" fillId="0" borderId="0" xfId="20" applyFont="true" applyBorder="true" applyAlignment="true" applyProtection="true">
      <alignment horizontal="general" vertical="bottom" textRotation="0" wrapText="true" indent="0" shrinkToFit="false"/>
      <protection locked="true" hidden="false"/>
    </xf>
    <xf numFmtId="182" fontId="181" fillId="0" borderId="227" xfId="20" applyFont="true" applyBorder="true" applyAlignment="true" applyProtection="true">
      <alignment horizontal="general" vertical="bottom" textRotation="0" wrapText="false" indent="0" shrinkToFit="false"/>
      <protection locked="true" hidden="false"/>
    </xf>
    <xf numFmtId="182" fontId="57" fillId="0" borderId="0" xfId="20" applyFont="true" applyBorder="true" applyAlignment="true" applyProtection="true">
      <alignment horizontal="general" vertical="bottom" textRotation="0" wrapText="false" indent="0" shrinkToFit="false"/>
      <protection locked="true" hidden="false"/>
    </xf>
    <xf numFmtId="182" fontId="181" fillId="0" borderId="228" xfId="20" applyFont="true" applyBorder="true" applyAlignment="true" applyProtection="true">
      <alignment horizontal="general" vertical="bottom" textRotation="0" wrapText="false" indent="0" shrinkToFit="false"/>
      <protection locked="true" hidden="false"/>
    </xf>
    <xf numFmtId="182" fontId="44" fillId="18" borderId="45" xfId="0" applyFont="true" applyBorder="true" applyAlignment="true" applyProtection="true">
      <alignment horizontal="general" vertical="bottom" textRotation="0" wrapText="false" indent="0" shrinkToFit="true"/>
      <protection locked="true" hidden="false"/>
    </xf>
    <xf numFmtId="182" fontId="181" fillId="0" borderId="229" xfId="20" applyFont="true" applyBorder="true" applyAlignment="true" applyProtection="true">
      <alignment horizontal="general" vertical="bottom" textRotation="0" wrapText="false" indent="0" shrinkToFit="false"/>
      <protection locked="true" hidden="false"/>
    </xf>
    <xf numFmtId="164" fontId="45" fillId="18" borderId="69" xfId="0" applyFont="true" applyBorder="true" applyAlignment="true" applyProtection="true">
      <alignment horizontal="general" vertical="bottom" textRotation="0" wrapText="false" indent="0" shrinkToFit="true"/>
      <protection locked="true" hidden="false"/>
    </xf>
    <xf numFmtId="182" fontId="44" fillId="18" borderId="38" xfId="0" applyFont="true" applyBorder="true" applyAlignment="true" applyProtection="true">
      <alignment horizontal="general" vertical="bottom" textRotation="0" wrapText="false" indent="0" shrinkToFit="true"/>
      <protection locked="true" hidden="false"/>
    </xf>
    <xf numFmtId="164" fontId="45" fillId="25" borderId="0" xfId="0" applyFont="true" applyBorder="false" applyAlignment="true" applyProtection="true">
      <alignment horizontal="general" vertical="bottom" textRotation="0" wrapText="false" indent="0" shrinkToFit="false"/>
      <protection locked="true" hidden="false"/>
    </xf>
    <xf numFmtId="182" fontId="183" fillId="0" borderId="0" xfId="20" applyFont="true" applyBorder="true" applyAlignment="true" applyProtection="true">
      <alignment horizontal="general" vertical="bottom" textRotation="0" wrapText="false" indent="0" shrinkToFit="false"/>
      <protection locked="true" hidden="false"/>
    </xf>
    <xf numFmtId="165" fontId="44" fillId="0" borderId="0" xfId="21" applyFont="true" applyBorder="true" applyAlignment="true" applyProtection="true">
      <alignment horizontal="center" vertical="bottom" textRotation="0" wrapText="false" indent="0" shrinkToFit="false"/>
      <protection locked="true" hidden="false"/>
    </xf>
    <xf numFmtId="182" fontId="183" fillId="0" borderId="227" xfId="20" applyFont="true" applyBorder="true" applyAlignment="true" applyProtection="true">
      <alignment horizontal="general" vertical="bottom" textRotation="0" wrapText="false" indent="0" shrinkToFit="false"/>
      <protection locked="true" hidden="false"/>
    </xf>
    <xf numFmtId="165" fontId="57" fillId="0" borderId="0" xfId="21" applyFont="true" applyBorder="true" applyAlignment="true" applyProtection="true">
      <alignment horizontal="center" vertical="center" textRotation="0" wrapText="true" indent="0" shrinkToFit="false"/>
      <protection locked="true" hidden="false"/>
    </xf>
    <xf numFmtId="182" fontId="183" fillId="0" borderId="228" xfId="20" applyFont="true" applyBorder="true" applyAlignment="true" applyProtection="true">
      <alignment horizontal="general" vertical="bottom" textRotation="0" wrapText="false" indent="0" shrinkToFit="false"/>
      <protection locked="true" hidden="false"/>
    </xf>
    <xf numFmtId="164" fontId="57" fillId="0" borderId="0" xfId="0" applyFont="true" applyBorder="true" applyAlignment="true" applyProtection="true">
      <alignment horizontal="general" vertical="center" textRotation="0" wrapText="true" indent="0" shrinkToFit="true"/>
      <protection locked="true" hidden="false"/>
    </xf>
    <xf numFmtId="182" fontId="44" fillId="0" borderId="213" xfId="21" applyFont="true" applyBorder="true" applyAlignment="true" applyProtection="true">
      <alignment horizontal="general" vertical="bottom" textRotation="0" wrapText="false" indent="0" shrinkToFit="true"/>
      <protection locked="true" hidden="false"/>
    </xf>
    <xf numFmtId="182" fontId="44" fillId="0" borderId="47" xfId="21" applyFont="true" applyBorder="true" applyAlignment="true" applyProtection="true">
      <alignment horizontal="general" vertical="bottom" textRotation="0" wrapText="false" indent="0" shrinkToFit="true"/>
      <protection locked="true" hidden="false"/>
    </xf>
    <xf numFmtId="182" fontId="44" fillId="0" borderId="230" xfId="21" applyFont="true" applyBorder="true" applyAlignment="true" applyProtection="true">
      <alignment horizontal="general" vertical="bottom" textRotation="0" wrapText="false" indent="0" shrinkToFit="true"/>
      <protection locked="true" hidden="false"/>
    </xf>
    <xf numFmtId="182" fontId="183" fillId="0" borderId="229" xfId="20" applyFont="true" applyBorder="true" applyAlignment="true" applyProtection="true">
      <alignment horizontal="general" vertical="bottom" textRotation="0" wrapText="false" indent="0" shrinkToFit="false"/>
      <protection locked="true" hidden="false"/>
    </xf>
    <xf numFmtId="182" fontId="44" fillId="0" borderId="184" xfId="21" applyFont="true" applyBorder="true" applyAlignment="true" applyProtection="true">
      <alignment horizontal="general" vertical="bottom" textRotation="0" wrapText="false" indent="0" shrinkToFit="true"/>
      <protection locked="true" hidden="false"/>
    </xf>
    <xf numFmtId="182" fontId="44" fillId="0" borderId="231" xfId="21" applyFont="true" applyBorder="true" applyAlignment="true" applyProtection="true">
      <alignment horizontal="general" vertical="bottom" textRotation="0" wrapText="false" indent="0" shrinkToFit="true"/>
      <protection locked="true" hidden="false"/>
    </xf>
    <xf numFmtId="164" fontId="57" fillId="0" borderId="0" xfId="0" applyFont="true" applyBorder="true" applyAlignment="true" applyProtection="true">
      <alignment horizontal="center" vertical="center" textRotation="0" wrapText="false" indent="0" shrinkToFit="true"/>
      <protection locked="true" hidden="false"/>
    </xf>
    <xf numFmtId="165" fontId="185" fillId="0" borderId="0" xfId="21" applyFont="true" applyBorder="true" applyAlignment="true" applyProtection="true">
      <alignment horizontal="general" vertical="bottom" textRotation="0" wrapText="false" indent="0" shrinkToFit="false"/>
      <protection locked="true" hidden="false"/>
    </xf>
    <xf numFmtId="164" fontId="185" fillId="0" borderId="0" xfId="0" applyFont="true" applyBorder="true" applyAlignment="true" applyProtection="true">
      <alignment horizontal="general" vertical="bottom" textRotation="0" wrapText="false" indent="0" shrinkToFit="false"/>
      <protection locked="true" hidden="false"/>
    </xf>
    <xf numFmtId="164" fontId="169" fillId="0" borderId="0" xfId="0" applyFont="true" applyBorder="false" applyAlignment="true" applyProtection="true">
      <alignment horizontal="general" vertical="bottom" textRotation="0" wrapText="false" indent="0" shrinkToFit="false"/>
      <protection locked="true" hidden="false"/>
    </xf>
    <xf numFmtId="165" fontId="180" fillId="0" borderId="0" xfId="21" applyFont="true" applyBorder="true" applyAlignment="true" applyProtection="true">
      <alignment horizontal="general" vertical="bottom" textRotation="0" wrapText="false" indent="0" shrinkToFit="false"/>
      <protection locked="true" hidden="false"/>
    </xf>
    <xf numFmtId="164" fontId="45" fillId="0" borderId="59" xfId="0" applyFont="true" applyBorder="true" applyAlignment="true" applyProtection="true">
      <alignment horizontal="center" vertical="center" textRotation="0" wrapText="false" indent="0" shrinkToFit="false"/>
      <protection locked="true" hidden="false"/>
    </xf>
    <xf numFmtId="182" fontId="181" fillId="0" borderId="0" xfId="20" applyFont="true" applyBorder="true" applyAlignment="true" applyProtection="true">
      <alignment horizontal="left" vertical="center" textRotation="0" wrapText="true" indent="0" shrinkToFit="false"/>
      <protection locked="true" hidden="false"/>
    </xf>
    <xf numFmtId="165" fontId="44" fillId="0" borderId="68" xfId="21" applyFont="true" applyBorder="true" applyAlignment="true" applyProtection="true">
      <alignment horizontal="general" vertical="bottom" textRotation="0" wrapText="false" indent="0" shrinkToFit="false"/>
      <protection locked="true" hidden="false"/>
    </xf>
    <xf numFmtId="165" fontId="172" fillId="0" borderId="0" xfId="21" applyFont="true" applyBorder="true" applyAlignment="true" applyProtection="true">
      <alignment horizontal="general" vertical="bottom" textRotation="0" wrapText="false" indent="0" shrinkToFit="true"/>
      <protection locked="true" hidden="false"/>
    </xf>
    <xf numFmtId="165" fontId="186" fillId="0" borderId="0" xfId="21" applyFont="true" applyBorder="true" applyAlignment="true" applyProtection="true">
      <alignment horizontal="general" vertical="bottom" textRotation="0" wrapText="false" indent="0" shrinkToFit="true"/>
      <protection locked="true" hidden="false"/>
    </xf>
    <xf numFmtId="165" fontId="57" fillId="0" borderId="232" xfId="21" applyFont="true" applyBorder="true" applyAlignment="true" applyProtection="true">
      <alignment horizontal="general" vertical="bottom" textRotation="0" wrapText="false" indent="0" shrinkToFit="false"/>
      <protection locked="true" hidden="false"/>
    </xf>
    <xf numFmtId="165" fontId="64" fillId="0" borderId="0" xfId="21" applyFont="true" applyBorder="true" applyAlignment="true" applyProtection="true">
      <alignment horizontal="center" vertical="bottom" textRotation="0" wrapText="false" indent="0" shrinkToFit="false"/>
      <protection locked="true" hidden="false"/>
    </xf>
    <xf numFmtId="164" fontId="45" fillId="0" borderId="3" xfId="0" applyFont="true" applyBorder="true" applyAlignment="true" applyProtection="true">
      <alignment horizontal="left" vertical="bottom" textRotation="0" wrapText="false" indent="0" shrinkToFit="tru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82" fontId="66" fillId="0" borderId="0" xfId="20" applyFont="true" applyBorder="true" applyAlignment="true" applyProtection="true">
      <alignment horizontal="left" vertical="bottom" textRotation="0" wrapText="false" indent="0" shrinkToFit="true"/>
      <protection locked="true" hidden="false"/>
    </xf>
    <xf numFmtId="164" fontId="0" fillId="0" borderId="233" xfId="0" applyFont="false" applyBorder="true" applyAlignment="true" applyProtection="true">
      <alignment horizontal="general" vertical="bottom" textRotation="0" wrapText="false" indent="0" shrinkToFit="false"/>
      <protection locked="true" hidden="false"/>
    </xf>
    <xf numFmtId="182" fontId="187" fillId="26" borderId="234" xfId="20" applyFont="true" applyBorder="true" applyAlignment="true" applyProtection="true">
      <alignment horizontal="left" vertical="top" textRotation="0" wrapText="true" indent="0" shrinkToFit="false"/>
      <protection locked="true" hidden="false"/>
    </xf>
    <xf numFmtId="182" fontId="109" fillId="0" borderId="233" xfId="20" applyFont="true" applyBorder="true" applyAlignment="true" applyProtection="true">
      <alignment horizontal="general" vertical="bottom" textRotation="0" wrapText="false" indent="0" shrinkToFit="false"/>
      <protection locked="true" hidden="false"/>
    </xf>
    <xf numFmtId="182" fontId="47" fillId="0" borderId="233" xfId="20" applyFont="true" applyBorder="true" applyAlignment="true" applyProtection="true">
      <alignment horizontal="left" vertical="center" textRotation="0" wrapText="true" indent="0" shrinkToFit="false"/>
      <protection locked="true" hidden="false"/>
    </xf>
    <xf numFmtId="182" fontId="188" fillId="26" borderId="0" xfId="20" applyFont="true" applyBorder="true" applyAlignment="true" applyProtection="true">
      <alignment horizontal="general" vertical="bottom" textRotation="0" wrapText="false" indent="0" shrinkToFit="false"/>
      <protection locked="true" hidden="false"/>
    </xf>
    <xf numFmtId="182" fontId="113" fillId="0" borderId="233" xfId="20" applyFont="true" applyBorder="true" applyAlignment="true" applyProtection="true">
      <alignment horizontal="general" vertical="bottom" textRotation="0" wrapText="false" indent="0" shrinkToFit="true"/>
      <protection locked="true" hidden="false"/>
    </xf>
    <xf numFmtId="182" fontId="114" fillId="0" borderId="233" xfId="20" applyFont="true" applyBorder="true" applyAlignment="true" applyProtection="true">
      <alignment horizontal="general" vertical="bottom" textRotation="0" wrapText="false" indent="0" shrinkToFit="false"/>
      <protection locked="true" hidden="false"/>
    </xf>
    <xf numFmtId="182" fontId="46" fillId="20" borderId="30" xfId="20" applyFont="true" applyBorder="true" applyAlignment="true" applyProtection="true">
      <alignment horizontal="general" vertical="bottom" textRotation="0" wrapText="false" indent="0" shrinkToFit="false"/>
      <protection locked="true" hidden="false"/>
    </xf>
    <xf numFmtId="182" fontId="111" fillId="20" borderId="30" xfId="20" applyFont="true" applyBorder="true" applyAlignment="true" applyProtection="true">
      <alignment horizontal="general" vertical="bottom" textRotation="0" wrapText="false" indent="0" shrinkToFit="true"/>
      <protection locked="true" hidden="false"/>
    </xf>
    <xf numFmtId="182" fontId="46" fillId="20" borderId="30" xfId="20" applyFont="true" applyBorder="true" applyAlignment="true" applyProtection="true">
      <alignment horizontal="general" vertical="center" textRotation="0" wrapText="true" indent="0" shrinkToFit="true"/>
      <protection locked="true" hidden="false"/>
    </xf>
    <xf numFmtId="164" fontId="0" fillId="0" borderId="233" xfId="0" applyFont="true" applyBorder="true" applyAlignment="true" applyProtection="true">
      <alignment horizontal="general" vertical="bottom" textRotation="0" wrapText="false" indent="0" shrinkToFit="false"/>
      <protection locked="true" hidden="false"/>
    </xf>
    <xf numFmtId="182" fontId="188" fillId="26" borderId="235" xfId="20" applyFont="true" applyBorder="true" applyAlignment="true" applyProtection="true">
      <alignment horizontal="general" vertical="bottom" textRotation="0" wrapText="false" indent="0" shrinkToFit="false"/>
      <protection locked="true" hidden="false"/>
    </xf>
    <xf numFmtId="182" fontId="188" fillId="0" borderId="0" xfId="20" applyFont="true" applyBorder="true" applyAlignment="true" applyProtection="true">
      <alignment horizontal="general" vertical="bottom" textRotation="0" wrapText="false" indent="0" shrinkToFit="false"/>
      <protection locked="true" hidden="false"/>
    </xf>
    <xf numFmtId="182" fontId="114" fillId="0" borderId="236" xfId="20" applyFont="true" applyBorder="true" applyAlignment="true" applyProtection="true">
      <alignment horizontal="general" vertical="bottom" textRotation="0" wrapText="false" indent="0" shrinkToFit="false"/>
      <protection locked="true" hidden="false"/>
    </xf>
    <xf numFmtId="182" fontId="189" fillId="0" borderId="0" xfId="20" applyFont="true" applyBorder="true" applyAlignment="true" applyProtection="true">
      <alignment horizontal="general" vertical="bottom" textRotation="0" wrapText="false" indent="0" shrinkToFit="false"/>
      <protection locked="true" hidden="false"/>
    </xf>
    <xf numFmtId="182" fontId="190" fillId="0" borderId="0" xfId="20" applyFont="true" applyBorder="true" applyAlignment="true" applyProtection="true">
      <alignment horizontal="left" vertical="bottom" textRotation="0" wrapText="false" indent="1" shrinkToFit="false"/>
      <protection locked="true" hidden="false"/>
    </xf>
    <xf numFmtId="182" fontId="190" fillId="0" borderId="0" xfId="20" applyFont="true" applyBorder="true" applyAlignment="true" applyProtection="true">
      <alignment horizontal="general" vertical="bottom" textRotation="0" wrapText="false" indent="0" shrinkToFit="false"/>
      <protection locked="true" hidden="false"/>
    </xf>
    <xf numFmtId="182" fontId="46" fillId="0" borderId="0" xfId="20" applyFont="true" applyBorder="true" applyAlignment="true" applyProtection="true">
      <alignment horizontal="left" vertical="bottom" textRotation="0" wrapText="false" indent="0" shrinkToFit="false"/>
      <protection locked="true" hidden="false"/>
    </xf>
    <xf numFmtId="182" fontId="190" fillId="0" borderId="0" xfId="20" applyFont="true" applyBorder="true" applyAlignment="true" applyProtection="true">
      <alignment horizontal="left" vertical="bottom" textRotation="0" wrapText="false" indent="0" shrinkToFit="false"/>
      <protection locked="true" hidden="false"/>
    </xf>
    <xf numFmtId="182" fontId="46" fillId="0" borderId="87" xfId="20" applyFont="true" applyBorder="true" applyAlignment="true" applyProtection="true">
      <alignment horizontal="general" vertical="top" textRotation="0" wrapText="true" indent="0" shrinkToFit="false"/>
      <protection locked="true" hidden="false"/>
    </xf>
    <xf numFmtId="182" fontId="190" fillId="0" borderId="0" xfId="20" applyFont="true" applyBorder="true" applyAlignment="true" applyProtection="true">
      <alignment horizontal="center" vertical="top" textRotation="0" wrapText="false" indent="0" shrinkToFit="false"/>
      <protection locked="true" hidden="false"/>
    </xf>
    <xf numFmtId="182" fontId="191" fillId="0" borderId="0" xfId="20" applyFont="true" applyBorder="true" applyAlignment="true" applyProtection="true">
      <alignment horizontal="left" vertical="bottom" textRotation="0" wrapText="false" indent="1" shrinkToFit="false"/>
      <protection locked="true" hidden="false"/>
    </xf>
    <xf numFmtId="182" fontId="109" fillId="0" borderId="0" xfId="20" applyFont="true" applyBorder="true" applyAlignment="true" applyProtection="true">
      <alignment horizontal="left" vertical="bottom" textRotation="0" wrapText="false" indent="1" shrinkToFit="false"/>
      <protection locked="true" hidden="false"/>
    </xf>
    <xf numFmtId="227" fontId="192" fillId="0" borderId="0" xfId="20" applyFont="true" applyBorder="true" applyAlignment="true" applyProtection="true">
      <alignment horizontal="left" vertical="bottom" textRotation="0" wrapText="false" indent="0" shrinkToFit="false"/>
      <protection locked="true" hidden="false"/>
    </xf>
    <xf numFmtId="182" fontId="46" fillId="0" borderId="0" xfId="20" applyFont="true" applyBorder="true" applyAlignment="true" applyProtection="true">
      <alignment horizontal="left" vertical="bottom" textRotation="0" wrapText="false" indent="1" shrinkToFit="false"/>
      <protection locked="true" hidden="false"/>
    </xf>
    <xf numFmtId="228" fontId="192" fillId="0" borderId="0" xfId="20" applyFont="true" applyBorder="true" applyAlignment="true" applyProtection="true">
      <alignment horizontal="left" vertical="bottom" textRotation="0" wrapText="false" indent="0" shrinkToFit="false"/>
      <protection locked="true" hidden="false"/>
    </xf>
    <xf numFmtId="182" fontId="118" fillId="0" borderId="0" xfId="20" applyFont="true" applyBorder="true" applyAlignment="true" applyProtection="true">
      <alignment horizontal="right" vertical="bottom" textRotation="0" wrapText="false" indent="0" shrinkToFit="false"/>
      <protection locked="true" hidden="false"/>
    </xf>
    <xf numFmtId="182" fontId="193" fillId="0" borderId="0" xfId="20" applyFont="true" applyBorder="true" applyAlignment="true" applyProtection="true">
      <alignment horizontal="general" vertical="bottom" textRotation="0" wrapText="false" indent="0" shrinkToFit="false"/>
      <protection locked="true" hidden="false"/>
    </xf>
    <xf numFmtId="182" fontId="93" fillId="0" borderId="0" xfId="20" applyFont="true" applyBorder="true" applyAlignment="true" applyProtection="true">
      <alignment horizontal="left" vertical="bottom" textRotation="0" wrapText="false" indent="1" shrinkToFit="false"/>
      <protection locked="true" hidden="false"/>
    </xf>
    <xf numFmtId="182" fontId="194" fillId="0" borderId="0" xfId="20" applyFont="true" applyBorder="true" applyAlignment="true" applyProtection="true">
      <alignment horizontal="general" vertical="bottom" textRotation="0" wrapText="false" indent="0" shrinkToFit="false"/>
      <protection locked="true" hidden="false"/>
    </xf>
    <xf numFmtId="182" fontId="195" fillId="0" borderId="0" xfId="20" applyFont="true" applyBorder="true" applyAlignment="true" applyProtection="true">
      <alignment horizontal="general" vertical="bottom" textRotation="0" wrapText="false" indent="0" shrinkToFit="true"/>
      <protection locked="true" hidden="false"/>
    </xf>
    <xf numFmtId="182" fontId="93" fillId="0" borderId="0" xfId="20" applyFont="true" applyBorder="true" applyAlignment="true" applyProtection="true">
      <alignment horizontal="left" vertical="top" textRotation="0" wrapText="false" indent="1" shrinkToFit="false"/>
      <protection locked="true" hidden="false"/>
    </xf>
    <xf numFmtId="182" fontId="197" fillId="0" borderId="0" xfId="20" applyFont="true" applyBorder="true" applyAlignment="true" applyProtection="true">
      <alignment horizontal="general" vertical="bottom" textRotation="0" wrapText="false" indent="0" shrinkToFit="true"/>
      <protection locked="true" hidden="false"/>
    </xf>
    <xf numFmtId="182" fontId="198" fillId="0" borderId="0" xfId="20" applyFont="true" applyBorder="true" applyAlignment="true" applyProtection="true">
      <alignment horizontal="general" vertical="center" textRotation="0" wrapText="true" indent="0" shrinkToFit="true"/>
      <protection locked="true" hidden="false"/>
    </xf>
    <xf numFmtId="182" fontId="193" fillId="0" borderId="0" xfId="20" applyFont="true" applyBorder="true" applyAlignment="true" applyProtection="true">
      <alignment horizontal="general" vertical="center" textRotation="0" wrapText="true" indent="0" shrinkToFit="false"/>
      <protection locked="true" hidden="false"/>
    </xf>
    <xf numFmtId="182" fontId="199" fillId="0" borderId="0" xfId="20" applyFont="true" applyBorder="true" applyAlignment="true" applyProtection="true">
      <alignment horizontal="general" vertical="center" textRotation="0" wrapText="false" indent="0" shrinkToFit="false"/>
      <protection locked="true" hidden="false"/>
    </xf>
    <xf numFmtId="182" fontId="124" fillId="0" borderId="0" xfId="20" applyFont="true" applyBorder="true" applyAlignment="true" applyProtection="true">
      <alignment horizontal="general" vertical="bottom" textRotation="0" wrapText="false" indent="0" shrinkToFit="false"/>
      <protection locked="true" hidden="false"/>
    </xf>
    <xf numFmtId="182" fontId="115" fillId="0" borderId="0" xfId="20" applyFont="true" applyBorder="true" applyAlignment="true" applyProtection="true">
      <alignment horizontal="general" vertical="center" textRotation="0" wrapText="false" indent="0" shrinkToFit="false"/>
      <protection locked="true" hidden="false"/>
    </xf>
    <xf numFmtId="182" fontId="193" fillId="0" borderId="0" xfId="20" applyFont="true" applyBorder="true" applyAlignment="true" applyProtection="true">
      <alignment horizontal="right"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桁区切り 2" xfId="20"/>
    <cellStyle name="Excel Built-in Comma [0]" xfId="21"/>
  </cellStyles>
  <dxfs count="150">
    <dxf>
      <font>
        <b val="1"/>
        <color rgb="FFC00000"/>
      </font>
    </dxf>
    <dxf>
      <font>
        <b val="1"/>
        <color rgb="FFFFFFFF"/>
      </font>
      <fill>
        <patternFill>
          <bgColor rgb="FFC00000"/>
        </patternFill>
      </fill>
    </dxf>
    <dxf>
      <font>
        <b val="1"/>
        <color rgb="FF2E7D32"/>
      </font>
    </dxf>
    <dxf>
      <fill>
        <patternFill patternType="solid">
          <fgColor rgb="FF1F3864"/>
          <bgColor rgb="FF000000"/>
        </patternFill>
      </fill>
    </dxf>
    <dxf>
      <fill>
        <patternFill patternType="solid">
          <fgColor rgb="FFD9E2F3"/>
          <bgColor rgb="FF000000"/>
        </patternFill>
      </fill>
    </dxf>
    <dxf>
      <fill>
        <patternFill patternType="solid">
          <fgColor rgb="FFFFD966"/>
          <bgColor rgb="FF000000"/>
        </patternFill>
      </fill>
    </dxf>
    <dxf>
      <fill>
        <patternFill patternType="solid">
          <fgColor rgb="FFFFFFFF"/>
          <bgColor rgb="FF000000"/>
        </patternFill>
      </fill>
    </dxf>
    <dxf>
      <fill>
        <patternFill patternType="solid">
          <bgColor rgb="FF000000"/>
        </patternFill>
      </fill>
    </dxf>
    <dxf>
      <fill>
        <patternFill patternType="solid">
          <fgColor rgb="FF99CC00"/>
          <bgColor rgb="FF000000"/>
        </patternFill>
      </fill>
    </dxf>
    <dxf>
      <fill>
        <patternFill patternType="solid">
          <fgColor rgb="FFDDEBF7"/>
          <bgColor rgb="FF000000"/>
        </patternFill>
      </fill>
    </dxf>
    <dxf>
      <fill>
        <patternFill patternType="solid">
          <fgColor rgb="FF7F7F7F"/>
          <bgColor rgb="FF000000"/>
        </patternFill>
      </fill>
    </dxf>
    <dxf>
      <fill>
        <patternFill patternType="solid">
          <fgColor rgb="FFC00000"/>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2F5597"/>
          <bgColor rgb="FF000000"/>
        </patternFill>
      </fill>
    </dxf>
    <dxf>
      <fill>
        <patternFill patternType="solid">
          <fgColor rgb="FFFFF2CC"/>
          <bgColor rgb="FF000000"/>
        </patternFill>
      </fill>
    </dxf>
    <dxf>
      <fill>
        <patternFill patternType="solid">
          <fgColor rgb="FFF2F2F2"/>
          <bgColor rgb="FF000000"/>
        </patternFill>
      </fill>
    </dxf>
    <dxf>
      <fill>
        <patternFill>
          <bgColor rgb="FF99CC00"/>
        </patternFill>
      </fill>
    </dxf>
    <dxf>
      <fill>
        <patternFill>
          <bgColor rgb="FFDDEBF7"/>
        </patternFill>
      </fill>
    </dxf>
    <dxf>
      <font>
        <color rgb="FF7F7F7F"/>
      </font>
    </dxf>
    <dxf>
      <font>
        <color rgb="FF9C5700"/>
      </font>
      <fill>
        <patternFill>
          <bgColor rgb="FFFFEB9C"/>
        </patternFill>
      </fill>
    </dxf>
    <dxf>
      <font>
        <b val="1"/>
      </font>
      <fill>
        <patternFill>
          <bgColor rgb="FFF8CBAD"/>
        </patternFill>
      </fill>
    </dxf>
    <dxf>
      <font>
        <b val="1"/>
      </font>
      <fill>
        <patternFill>
          <bgColor rgb="FFFFD966"/>
        </patternFill>
      </fill>
    </dxf>
    <dxf>
      <font>
        <b val="1"/>
      </font>
      <fill>
        <patternFill>
          <bgColor rgb="FFFCE4D6"/>
        </patternFill>
      </fill>
    </dxf>
    <dxf>
      <font>
        <color rgb="FFFF0000"/>
      </font>
    </dxf>
    <dxf>
      <font>
        <color rgb="FF000000"/>
      </font>
    </dxf>
    <dxf>
      <font>
        <color rgb="FF000000"/>
      </font>
      <fill>
        <patternFill>
          <bgColor rgb="FF99CC00"/>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800080"/>
        <sz val="14"/>
      </font>
      <fill>
        <patternFill>
          <bgColor rgb="FFFF99CC"/>
        </patternFill>
      </fill>
    </dxf>
    <dxf>
      <font>
        <name val="ＭＳ 明朝"/>
        <charset val="128"/>
        <family val="1"/>
        <color rgb="FFFFFFFF"/>
        <sz val="14"/>
      </font>
      <fill>
        <patternFill>
          <bgColor rgb="FFFFFFFF"/>
        </patternFill>
      </fill>
    </dxf>
    <dxf>
      <font>
        <name val="ＭＳ 明朝"/>
        <charset val="128"/>
        <family val="1"/>
        <color rgb="FFFFFFFF"/>
        <sz val="14"/>
      </font>
      <fill>
        <patternFill>
          <bgColor rgb="FF800080"/>
        </patternFill>
      </fill>
    </dxf>
    <dxf>
      <font>
        <name val="ＭＳ 明朝"/>
        <charset val="128"/>
        <family val="1"/>
        <color rgb="FFFFFFFF"/>
        <sz val="14"/>
      </font>
      <fill>
        <patternFill>
          <bgColor rgb="FF800080"/>
        </patternFill>
      </fill>
    </dxf>
  </dxfs>
  <colors>
    <indexedColors>
      <rgbColor rgb="FF000000"/>
      <rgbColor rgb="FFFFFFFF"/>
      <rgbColor rgb="FFFF0000"/>
      <rgbColor rgb="FF00FF00"/>
      <rgbColor rgb="FF0000FF"/>
      <rgbColor rgb="FFFFFF00"/>
      <rgbColor rgb="FFFFEB9C"/>
      <rgbColor rgb="FFF2F2F2"/>
      <rgbColor rgb="FFC00000"/>
      <rgbColor rgb="FF008000"/>
      <rgbColor rgb="FF000080"/>
      <rgbColor rgb="FF9C5700"/>
      <rgbColor rgb="FF800080"/>
      <rgbColor rgb="FF006666"/>
      <rgbColor rgb="FFC0C0C0"/>
      <rgbColor rgb="FF808080"/>
      <rgbColor rgb="FFBFBFBF"/>
      <rgbColor rgb="FF7F7F7F"/>
      <rgbColor rgb="FFFFFFCC"/>
      <rgbColor rgb="FFCCFFFF"/>
      <rgbColor rgb="FF660066"/>
      <rgbColor rgb="FFFF8080"/>
      <rgbColor rgb="FF2F5597"/>
      <rgbColor rgb="FFD9E2F3"/>
      <rgbColor rgb="FF000080"/>
      <rgbColor rgb="FFFF00FF"/>
      <rgbColor rgb="FFFFD966"/>
      <rgbColor rgb="FFFFF2CC"/>
      <rgbColor rgb="FF800080"/>
      <rgbColor rgb="FF800000"/>
      <rgbColor rgb="FF2E7D32"/>
      <rgbColor rgb="FF0000FF"/>
      <rgbColor rgb="FFFCE4D6"/>
      <rgbColor rgb="FFDDEBF7"/>
      <rgbColor rgb="FFCCFFCC"/>
      <rgbColor rgb="FFFFFF99"/>
      <rgbColor rgb="FF99CCFF"/>
      <rgbColor rgb="FFFF99CC"/>
      <rgbColor rgb="FFCC99FF"/>
      <rgbColor rgb="FFFFCC99"/>
      <rgbColor rgb="FFF8CBAD"/>
      <rgbColor rgb="FF33CCCC"/>
      <rgbColor rgb="FF99CC00"/>
      <rgbColor rgb="FFFFCC00"/>
      <rgbColor rgb="FFED7D31"/>
      <rgbColor rgb="FFFF6600"/>
      <rgbColor rgb="FF595959"/>
      <rgbColor rgb="FF969696"/>
      <rgbColor rgb="FF003366"/>
      <rgbColor rgb="FF339966"/>
      <rgbColor rgb="FF003300"/>
      <rgbColor rgb="FF333300"/>
      <rgbColor rgb="FF993300"/>
      <rgbColor rgb="FFBF9000"/>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externalLink" Target="externalLinks/externalLink1.xml"/><Relationship Id="rId2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372960</xdr:colOff>
      <xdr:row>977</xdr:row>
      <xdr:rowOff>92880</xdr:rowOff>
    </xdr:from>
    <xdr:to>
      <xdr:col>6</xdr:col>
      <xdr:colOff>712800</xdr:colOff>
      <xdr:row>978</xdr:row>
      <xdr:rowOff>102960</xdr:rowOff>
    </xdr:to>
    <xdr:sp>
      <xdr:nvSpPr>
        <xdr:cNvPr id="0" name="テキスト ボックス 1"/>
        <xdr:cNvSpPr/>
      </xdr:nvSpPr>
      <xdr:spPr>
        <a:xfrm>
          <a:off x="8188560" y="244370520"/>
          <a:ext cx="1807920" cy="58140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月分を賞与支給率で按分</a:t>
          </a:r>
          <a:endParaRPr b="0" lang="en-US" sz="1100" spc="-1" strike="noStrike">
            <a:latin typeface="Times New Roman"/>
          </a:endParaRPr>
        </a:p>
      </xdr:txBody>
    </xdr:sp>
    <xdr:clientData/>
  </xdr:twoCellAnchor>
  <xdr:twoCellAnchor editAs="oneCell">
    <xdr:from>
      <xdr:col>5</xdr:col>
      <xdr:colOff>507600</xdr:colOff>
      <xdr:row>1042</xdr:row>
      <xdr:rowOff>75240</xdr:rowOff>
    </xdr:from>
    <xdr:to>
      <xdr:col>6</xdr:col>
      <xdr:colOff>723600</xdr:colOff>
      <xdr:row>1043</xdr:row>
      <xdr:rowOff>93960</xdr:rowOff>
    </xdr:to>
    <xdr:sp>
      <xdr:nvSpPr>
        <xdr:cNvPr id="1" name="テキスト ボックス 4"/>
        <xdr:cNvSpPr/>
      </xdr:nvSpPr>
      <xdr:spPr>
        <a:xfrm>
          <a:off x="8323200" y="260749800"/>
          <a:ext cx="1684080" cy="59004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zh-CN" sz="1100" spc="-1" strike="noStrike">
              <a:solidFill>
                <a:srgbClr val="000000"/>
              </a:solidFill>
              <a:latin typeface="ＭＳ ゴシック"/>
              <a:ea typeface="DejaVu Sans"/>
            </a:rPr>
            <a:t>（</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月分）から</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月分を差引</a:t>
          </a:r>
          <a:endParaRPr b="0" lang="en-US" sz="1100" spc="-1" strike="noStrike">
            <a:latin typeface="Times New Roman"/>
          </a:endParaRPr>
        </a:p>
      </xdr:txBody>
    </xdr:sp>
    <xdr:clientData/>
  </xdr:twoCellAnchor>
  <xdr:twoCellAnchor editAs="oneCell">
    <xdr:from>
      <xdr:col>9</xdr:col>
      <xdr:colOff>168840</xdr:colOff>
      <xdr:row>1042</xdr:row>
      <xdr:rowOff>75240</xdr:rowOff>
    </xdr:from>
    <xdr:to>
      <xdr:col>9</xdr:col>
      <xdr:colOff>1854000</xdr:colOff>
      <xdr:row>1043</xdr:row>
      <xdr:rowOff>93960</xdr:rowOff>
    </xdr:to>
    <xdr:sp>
      <xdr:nvSpPr>
        <xdr:cNvPr id="2" name="テキスト ボックス 8"/>
        <xdr:cNvSpPr/>
      </xdr:nvSpPr>
      <xdr:spPr>
        <a:xfrm>
          <a:off x="15745320" y="260749800"/>
          <a:ext cx="1685160" cy="59004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zh-CN" sz="1100" spc="-1" strike="noStrike">
              <a:solidFill>
                <a:srgbClr val="000000"/>
              </a:solidFill>
              <a:latin typeface="ＭＳ ゴシック"/>
              <a:ea typeface="DejaVu Sans"/>
            </a:rPr>
            <a:t>（</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月分）から</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月分を差引</a:t>
          </a:r>
          <a:endParaRPr b="0" lang="en-US" sz="1100" spc="-1" strike="noStrike">
            <a:latin typeface="Times New Roman"/>
          </a:endParaRPr>
        </a:p>
      </xdr:txBody>
    </xdr:sp>
    <xdr:clientData/>
  </xdr:twoCellAnchor>
  <xdr:twoCellAnchor editAs="oneCell">
    <xdr:from>
      <xdr:col>12</xdr:col>
      <xdr:colOff>169200</xdr:colOff>
      <xdr:row>1042</xdr:row>
      <xdr:rowOff>92880</xdr:rowOff>
    </xdr:from>
    <xdr:to>
      <xdr:col>12</xdr:col>
      <xdr:colOff>1854360</xdr:colOff>
      <xdr:row>1043</xdr:row>
      <xdr:rowOff>102960</xdr:rowOff>
    </xdr:to>
    <xdr:sp>
      <xdr:nvSpPr>
        <xdr:cNvPr id="3" name="テキスト ボックス 10"/>
        <xdr:cNvSpPr/>
      </xdr:nvSpPr>
      <xdr:spPr>
        <a:xfrm>
          <a:off x="22761720" y="260767440"/>
          <a:ext cx="1685160" cy="58140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zh-CN" sz="1100" spc="-1" strike="noStrike">
              <a:solidFill>
                <a:srgbClr val="000000"/>
              </a:solidFill>
              <a:latin typeface="ＭＳ ゴシック"/>
              <a:ea typeface="DejaVu Sans"/>
            </a:rPr>
            <a:t>（</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月分）から</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月分を差引</a:t>
          </a:r>
          <a:endParaRPr b="0" lang="en-US" sz="1100" spc="-1" strike="noStrike">
            <a:latin typeface="Times New Roman"/>
          </a:endParaRPr>
        </a:p>
      </xdr:txBody>
    </xdr:sp>
    <xdr:clientData/>
  </xdr:twoCellAnchor>
  <xdr:twoCellAnchor editAs="oneCell">
    <xdr:from>
      <xdr:col>9</xdr:col>
      <xdr:colOff>123480</xdr:colOff>
      <xdr:row>977</xdr:row>
      <xdr:rowOff>113040</xdr:rowOff>
    </xdr:from>
    <xdr:to>
      <xdr:col>9</xdr:col>
      <xdr:colOff>1934280</xdr:colOff>
      <xdr:row>978</xdr:row>
      <xdr:rowOff>121680</xdr:rowOff>
    </xdr:to>
    <xdr:sp>
      <xdr:nvSpPr>
        <xdr:cNvPr id="4" name="テキスト ボックス 11"/>
        <xdr:cNvSpPr/>
      </xdr:nvSpPr>
      <xdr:spPr>
        <a:xfrm>
          <a:off x="15699960" y="244390680"/>
          <a:ext cx="1810800" cy="57996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月分を賞与支給率で按分</a:t>
          </a:r>
          <a:endParaRPr b="0" lang="en-US" sz="1100" spc="-1" strike="noStrike">
            <a:latin typeface="Times New Roman"/>
          </a:endParaRPr>
        </a:p>
      </xdr:txBody>
    </xdr:sp>
    <xdr:clientData/>
  </xdr:twoCellAnchor>
  <xdr:twoCellAnchor editAs="oneCell">
    <xdr:from>
      <xdr:col>12</xdr:col>
      <xdr:colOff>123480</xdr:colOff>
      <xdr:row>977</xdr:row>
      <xdr:rowOff>104040</xdr:rowOff>
    </xdr:from>
    <xdr:to>
      <xdr:col>12</xdr:col>
      <xdr:colOff>1934280</xdr:colOff>
      <xdr:row>978</xdr:row>
      <xdr:rowOff>113040</xdr:rowOff>
    </xdr:to>
    <xdr:sp>
      <xdr:nvSpPr>
        <xdr:cNvPr id="5" name="テキスト ボックス 12"/>
        <xdr:cNvSpPr/>
      </xdr:nvSpPr>
      <xdr:spPr>
        <a:xfrm>
          <a:off x="22716000" y="244381680"/>
          <a:ext cx="1810800" cy="58032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月分を賞与支給率で按分</a:t>
          </a:r>
          <a:endParaRPr b="0" lang="en-US" sz="1100" spc="-1" strike="noStrike">
            <a:latin typeface="Times New Roman"/>
          </a:endParaRPr>
        </a:p>
      </xdr:txBody>
    </xdr:sp>
    <xdr:clientData/>
  </xdr:twoCellAnchor>
  <xdr:twoCellAnchor editAs="oneCell">
    <xdr:from>
      <xdr:col>16</xdr:col>
      <xdr:colOff>67320</xdr:colOff>
      <xdr:row>827</xdr:row>
      <xdr:rowOff>113040</xdr:rowOff>
    </xdr:from>
    <xdr:to>
      <xdr:col>20</xdr:col>
      <xdr:colOff>102240</xdr:colOff>
      <xdr:row>828</xdr:row>
      <xdr:rowOff>264600</xdr:rowOff>
    </xdr:to>
    <xdr:sp>
      <xdr:nvSpPr>
        <xdr:cNvPr id="6" name="テキスト ボックス 2"/>
        <xdr:cNvSpPr/>
      </xdr:nvSpPr>
      <xdr:spPr>
        <a:xfrm>
          <a:off x="32014800" y="207332640"/>
          <a:ext cx="2451600" cy="427680"/>
        </a:xfrm>
        <a:prstGeom prst="rect">
          <a:avLst/>
        </a:prstGeom>
        <a:solidFill>
          <a:srgbClr val="ffffff"/>
        </a:solidFill>
        <a:ln w="9360">
          <a:solidFill>
            <a:srgbClr val="bcbcbc"/>
          </a:solidFill>
          <a:miter/>
        </a:ln>
      </xdr:spPr>
      <xdr:style>
        <a:lnRef idx="0"/>
        <a:fillRef idx="0"/>
        <a:effectRef idx="0"/>
        <a:fontRef idx="minor"/>
      </xdr:style>
      <xdr:txBody>
        <a:bodyPr lIns="20160" rIns="20160" tIns="20160" bIns="20160" anchor="t">
          <a:noAutofit/>
        </a:bodyPr>
        <a:p>
          <a:pPr>
            <a:lnSpc>
              <a:spcPct val="100000"/>
            </a:lnSpc>
          </a:pPr>
          <a:r>
            <a:rPr b="0" lang="zh-CN" sz="900" spc="-1" strike="noStrike">
              <a:solidFill>
                <a:srgbClr val="000000"/>
              </a:solidFill>
              <a:latin typeface="ＭＳ Ｐゴシック"/>
              <a:ea typeface="DejaVu Sans"/>
            </a:rPr>
            <a:t>日本下水道事業団、都市再生機構</a:t>
          </a:r>
          <a:endParaRPr b="0" lang="en-US" sz="900" spc="-1" strike="noStrike">
            <a:latin typeface="Times New Roman"/>
          </a:endParaRPr>
        </a:p>
        <a:p>
          <a:pPr>
            <a:lnSpc>
              <a:spcPct val="100000"/>
            </a:lnSpc>
          </a:pPr>
          <a:r>
            <a:rPr b="0" lang="zh-CN" sz="900" spc="-1" strike="noStrike">
              <a:solidFill>
                <a:srgbClr val="000000"/>
              </a:solidFill>
              <a:latin typeface="ＭＳ Ｐゴシック"/>
              <a:ea typeface="DejaVu Sans"/>
            </a:rPr>
            <a:t>給与改定差額分も同日入金されるが、預り処理の上</a:t>
          </a:r>
          <a:r>
            <a:rPr b="0" lang="en-US" sz="900" spc="-1" strike="noStrike">
              <a:solidFill>
                <a:srgbClr val="000000"/>
              </a:solidFill>
              <a:latin typeface="Calibri"/>
              <a:ea typeface="DejaVu Sans"/>
            </a:rPr>
            <a:t>3</a:t>
          </a:r>
          <a:r>
            <a:rPr b="0" lang="zh-CN" sz="900" spc="-1" strike="noStrike">
              <a:solidFill>
                <a:srgbClr val="000000"/>
              </a:solidFill>
              <a:latin typeface="ＭＳ Ｐゴシック"/>
              <a:ea typeface="DejaVu Sans"/>
            </a:rPr>
            <a:t>月期末として扱う</a:t>
          </a:r>
          <a:endParaRPr b="0" lang="en-US" sz="900" spc="-1" strike="noStrike">
            <a:latin typeface="Times New Roman"/>
          </a:endParaRPr>
        </a:p>
      </xdr:txBody>
    </xdr:sp>
    <xdr:clientData/>
  </xdr:twoCellAnchor>
  <xdr:twoCellAnchor editAs="oneCell">
    <xdr:from>
      <xdr:col>16</xdr:col>
      <xdr:colOff>22320</xdr:colOff>
      <xdr:row>825</xdr:row>
      <xdr:rowOff>102960</xdr:rowOff>
    </xdr:from>
    <xdr:to>
      <xdr:col>20</xdr:col>
      <xdr:colOff>68040</xdr:colOff>
      <xdr:row>827</xdr:row>
      <xdr:rowOff>65160</xdr:rowOff>
    </xdr:to>
    <xdr:sp>
      <xdr:nvSpPr>
        <xdr:cNvPr id="7" name="テキスト ボックス 9"/>
        <xdr:cNvSpPr/>
      </xdr:nvSpPr>
      <xdr:spPr>
        <a:xfrm>
          <a:off x="31969800" y="206798760"/>
          <a:ext cx="2462400" cy="486000"/>
        </a:xfrm>
        <a:prstGeom prst="rect">
          <a:avLst/>
        </a:prstGeom>
        <a:solidFill>
          <a:srgbClr val="ffffff"/>
        </a:solidFill>
        <a:ln w="9360">
          <a:solidFill>
            <a:srgbClr val="bcbcbc"/>
          </a:solidFill>
          <a:miter/>
        </a:ln>
      </xdr:spPr>
      <xdr:style>
        <a:lnRef idx="0"/>
        <a:fillRef idx="0"/>
        <a:effectRef idx="0"/>
        <a:fontRef idx="minor"/>
      </xdr:style>
      <xdr:txBody>
        <a:bodyPr lIns="20160" rIns="20160" tIns="20160" bIns="20160" anchor="t">
          <a:noAutofit/>
        </a:bodyPr>
        <a:p>
          <a:pPr>
            <a:lnSpc>
              <a:spcPct val="100000"/>
            </a:lnSpc>
          </a:pPr>
          <a:r>
            <a:rPr b="0" lang="zh-CN" sz="900" spc="-1" strike="noStrike">
              <a:solidFill>
                <a:srgbClr val="000000"/>
              </a:solidFill>
              <a:latin typeface="ＭＳ Ｐゴシック"/>
              <a:ea typeface="DejaVu Sans"/>
            </a:rPr>
            <a:t>日本下水道事業団、都市再生機構</a:t>
          </a:r>
          <a:endParaRPr b="0" lang="en-US" sz="900" spc="-1" strike="noStrike">
            <a:latin typeface="Times New Roman"/>
          </a:endParaRPr>
        </a:p>
        <a:p>
          <a:pPr>
            <a:lnSpc>
              <a:spcPct val="100000"/>
            </a:lnSpc>
          </a:pPr>
          <a:r>
            <a:rPr b="0" lang="zh-CN" sz="900" spc="-1" strike="noStrike">
              <a:solidFill>
                <a:srgbClr val="000000"/>
              </a:solidFill>
              <a:latin typeface="ＭＳ Ｐゴシック"/>
              <a:ea typeface="DejaVu Sans"/>
            </a:rPr>
            <a:t>給与改定差額分も同日入金されるが、預り処理の上</a:t>
          </a:r>
          <a:r>
            <a:rPr b="0" lang="en-US" sz="900" spc="-1" strike="noStrike">
              <a:solidFill>
                <a:srgbClr val="000000"/>
              </a:solidFill>
              <a:latin typeface="Calibri"/>
              <a:ea typeface="DejaVu Sans"/>
            </a:rPr>
            <a:t>3</a:t>
          </a:r>
          <a:r>
            <a:rPr b="0" lang="zh-CN" sz="900" spc="-1" strike="noStrike">
              <a:solidFill>
                <a:srgbClr val="000000"/>
              </a:solidFill>
              <a:latin typeface="ＭＳ Ｐゴシック"/>
              <a:ea typeface="DejaVu Sans"/>
            </a:rPr>
            <a:t>月期末として扱う</a:t>
          </a:r>
          <a:endParaRPr b="0" lang="en-US" sz="900" spc="-1" strike="noStrike">
            <a:latin typeface="Times New Roman"/>
          </a:endParaRPr>
        </a:p>
      </xdr:txBody>
    </xdr:sp>
    <xdr:clientData/>
  </xdr:twoCellAnchor>
  <xdr:twoCellAnchor editAs="oneCell">
    <xdr:from>
      <xdr:col>16</xdr:col>
      <xdr:colOff>44640</xdr:colOff>
      <xdr:row>823</xdr:row>
      <xdr:rowOff>75240</xdr:rowOff>
    </xdr:from>
    <xdr:to>
      <xdr:col>20</xdr:col>
      <xdr:colOff>45360</xdr:colOff>
      <xdr:row>825</xdr:row>
      <xdr:rowOff>36720</xdr:rowOff>
    </xdr:to>
    <xdr:sp>
      <xdr:nvSpPr>
        <xdr:cNvPr id="8" name="テキスト ボックス 13"/>
        <xdr:cNvSpPr/>
      </xdr:nvSpPr>
      <xdr:spPr>
        <a:xfrm>
          <a:off x="31992120" y="206260200"/>
          <a:ext cx="2417400" cy="472320"/>
        </a:xfrm>
        <a:prstGeom prst="rect">
          <a:avLst/>
        </a:prstGeom>
        <a:solidFill>
          <a:srgbClr val="ffffff"/>
        </a:solidFill>
        <a:ln w="9360">
          <a:solidFill>
            <a:srgbClr val="bcbcbc"/>
          </a:solidFill>
          <a:miter/>
        </a:ln>
      </xdr:spPr>
      <xdr:style>
        <a:lnRef idx="0"/>
        <a:fillRef idx="0"/>
        <a:effectRef idx="0"/>
        <a:fontRef idx="minor"/>
      </xdr:style>
      <xdr:txBody>
        <a:bodyPr lIns="20160" rIns="20160" tIns="20160" bIns="20160" anchor="t">
          <a:noAutofit/>
        </a:bodyPr>
        <a:p>
          <a:pPr>
            <a:lnSpc>
              <a:spcPct val="100000"/>
            </a:lnSpc>
          </a:pPr>
          <a:r>
            <a:rPr b="0" lang="zh-CN" sz="900" spc="-1" strike="noStrike">
              <a:solidFill>
                <a:srgbClr val="000000"/>
              </a:solidFill>
              <a:latin typeface="ＭＳ Ｐゴシック"/>
              <a:ea typeface="DejaVu Sans"/>
            </a:rPr>
            <a:t>日本下水道事業団</a:t>
          </a:r>
          <a:endParaRPr b="0" lang="en-US" sz="900" spc="-1" strike="noStrike">
            <a:latin typeface="Times New Roman"/>
          </a:endParaRPr>
        </a:p>
        <a:p>
          <a:pPr>
            <a:lnSpc>
              <a:spcPct val="100000"/>
            </a:lnSpc>
          </a:pPr>
          <a:r>
            <a:rPr b="0" lang="zh-CN" sz="900" spc="-1" strike="noStrike">
              <a:solidFill>
                <a:srgbClr val="000000"/>
              </a:solidFill>
              <a:latin typeface="ＭＳ Ｐゴシック"/>
              <a:ea typeface="DejaVu Sans"/>
            </a:rPr>
            <a:t>給与改定差額分も同日入金されるが、預り処理の上</a:t>
          </a:r>
          <a:r>
            <a:rPr b="0" lang="en-US" sz="900" spc="-1" strike="noStrike">
              <a:solidFill>
                <a:srgbClr val="000000"/>
              </a:solidFill>
              <a:latin typeface="Calibri"/>
              <a:ea typeface="DejaVu Sans"/>
            </a:rPr>
            <a:t>3</a:t>
          </a:r>
          <a:r>
            <a:rPr b="0" lang="zh-CN" sz="900" spc="-1" strike="noStrike">
              <a:solidFill>
                <a:srgbClr val="000000"/>
              </a:solidFill>
              <a:latin typeface="ＭＳ Ｐゴシック"/>
              <a:ea typeface="DejaVu Sans"/>
            </a:rPr>
            <a:t>月期末として扱う</a:t>
          </a:r>
          <a:endParaRPr b="0" lang="en-US" sz="900" spc="-1" strike="noStrike">
            <a:latin typeface="Times New Roman"/>
          </a:endParaRPr>
        </a:p>
      </xdr:txBody>
    </xdr:sp>
    <xdr:clientData/>
  </xdr:twoCellAnchor>
  <xdr:twoCellAnchor editAs="oneCell">
    <xdr:from>
      <xdr:col>16</xdr:col>
      <xdr:colOff>565200</xdr:colOff>
      <xdr:row>876</xdr:row>
      <xdr:rowOff>104040</xdr:rowOff>
    </xdr:from>
    <xdr:to>
      <xdr:col>21</xdr:col>
      <xdr:colOff>1063080</xdr:colOff>
      <xdr:row>881</xdr:row>
      <xdr:rowOff>218160</xdr:rowOff>
    </xdr:to>
    <xdr:sp>
      <xdr:nvSpPr>
        <xdr:cNvPr id="9" name="正方形/長方形 14"/>
        <xdr:cNvSpPr/>
      </xdr:nvSpPr>
      <xdr:spPr>
        <a:xfrm>
          <a:off x="32512680" y="219418920"/>
          <a:ext cx="4123080" cy="1390680"/>
        </a:xfrm>
        <a:prstGeom prst="rect">
          <a:avLst/>
        </a:prstGeom>
        <a:solidFill>
          <a:srgbClr val="ffffff"/>
        </a:solidFill>
        <a:ln w="25560">
          <a:solidFill>
            <a:srgbClr val="000000"/>
          </a:solidFill>
          <a:miter/>
          <a:headEnd len="med" type="triangle" w="lg"/>
        </a:ln>
      </xdr:spPr>
      <xdr:style>
        <a:lnRef idx="0"/>
        <a:fillRef idx="0"/>
        <a:effectRef idx="0"/>
        <a:fontRef idx="minor"/>
      </xdr:style>
      <xdr:txBody>
        <a:bodyPr lIns="20160" rIns="20160" tIns="20160" bIns="20160" anchor="t">
          <a:noAutofit/>
        </a:bodyPr>
        <a:p>
          <a:pPr>
            <a:lnSpc>
              <a:spcPct val="100000"/>
            </a:lnSpc>
          </a:pPr>
          <a:r>
            <a:rPr b="1" lang="zh-CN" sz="1050" spc="-1" strike="noStrike">
              <a:solidFill>
                <a:srgbClr val="000000"/>
              </a:solidFill>
              <a:latin typeface="ＭＳ Ｐゴシック"/>
              <a:ea typeface="DejaVu Sans"/>
            </a:rPr>
            <a:t>日下水：</a:t>
          </a:r>
          <a:r>
            <a:rPr b="1" lang="en-US" sz="1050" spc="-1" strike="noStrike">
              <a:solidFill>
                <a:srgbClr val="000000"/>
              </a:solidFill>
              <a:latin typeface="Calibri"/>
              <a:ea typeface="DejaVu Sans"/>
            </a:rPr>
            <a:t>(</a:t>
          </a:r>
          <a:r>
            <a:rPr b="1" lang="zh-CN" sz="1050" spc="-1" strike="noStrike">
              <a:solidFill>
                <a:srgbClr val="000000"/>
              </a:solidFill>
              <a:latin typeface="ＭＳ Ｐゴシック"/>
              <a:ea typeface="DejaVu Sans"/>
            </a:rPr>
            <a:t>給与改定差額＋号給調整差額</a:t>
          </a:r>
          <a:r>
            <a:rPr b="1" lang="en-US" sz="1050" spc="-1" strike="noStrike">
              <a:solidFill>
                <a:srgbClr val="000000"/>
              </a:solidFill>
              <a:latin typeface="Calibri"/>
              <a:ea typeface="DejaVu Sans"/>
            </a:rPr>
            <a:t>)</a:t>
          </a:r>
          <a:endParaRPr b="0" lang="en-US" sz="1050" spc="-1" strike="noStrike">
            <a:latin typeface="Times New Roman"/>
          </a:endParaRPr>
        </a:p>
        <a:p>
          <a:pPr>
            <a:lnSpc>
              <a:spcPct val="100000"/>
            </a:lnSpc>
          </a:pPr>
          <a:r>
            <a:rPr b="1" lang="zh-CN" sz="1050" spc="-1" strike="noStrike">
              <a:solidFill>
                <a:srgbClr val="000000"/>
              </a:solidFill>
              <a:latin typeface="ＭＳ Ｐゴシック"/>
              <a:ea typeface="DejaVu Sans"/>
            </a:rPr>
            <a:t>給与改定差額分は</a:t>
          </a:r>
          <a:r>
            <a:rPr b="1" lang="en-US" sz="1050" spc="-1" strike="noStrike">
              <a:solidFill>
                <a:srgbClr val="000000"/>
              </a:solidFill>
              <a:latin typeface="Calibri"/>
              <a:ea typeface="DejaVu Sans"/>
            </a:rPr>
            <a:t>2/16</a:t>
          </a:r>
          <a:r>
            <a:rPr b="1" lang="zh-CN" sz="1050" spc="-1" strike="noStrike">
              <a:solidFill>
                <a:srgbClr val="000000"/>
              </a:solidFill>
              <a:latin typeface="ＭＳ Ｐゴシック"/>
              <a:ea typeface="DejaVu Sans"/>
            </a:rPr>
            <a:t>に月例分とともに入金されたため、預り処理のうえ</a:t>
          </a:r>
          <a:r>
            <a:rPr b="1" lang="en-US" sz="1050" spc="-1" strike="noStrike">
              <a:solidFill>
                <a:srgbClr val="000000"/>
              </a:solidFill>
              <a:latin typeface="Calibri"/>
              <a:ea typeface="DejaVu Sans"/>
            </a:rPr>
            <a:t>3</a:t>
          </a:r>
          <a:r>
            <a:rPr b="1" lang="zh-CN" sz="1050" spc="-1" strike="noStrike">
              <a:solidFill>
                <a:srgbClr val="000000"/>
              </a:solidFill>
              <a:latin typeface="ＭＳ Ｐゴシック"/>
              <a:ea typeface="DejaVu Sans"/>
            </a:rPr>
            <a:t>月期末として扱う。（差額分のシートでは整理しない。）また、号給調整１名分の差額も</a:t>
          </a:r>
          <a:r>
            <a:rPr b="1" lang="en-US" sz="1050" spc="-1" strike="noStrike">
              <a:solidFill>
                <a:srgbClr val="000000"/>
              </a:solidFill>
              <a:latin typeface="Calibri"/>
              <a:ea typeface="DejaVu Sans"/>
            </a:rPr>
            <a:t>3</a:t>
          </a:r>
          <a:r>
            <a:rPr b="1" lang="zh-CN" sz="1050" spc="-1" strike="noStrike">
              <a:solidFill>
                <a:srgbClr val="000000"/>
              </a:solidFill>
              <a:latin typeface="ＭＳ Ｐゴシック"/>
              <a:ea typeface="DejaVu Sans"/>
            </a:rPr>
            <a:t>月期末として扱う。</a:t>
          </a:r>
          <a:endParaRPr b="0" lang="en-US" sz="1050" spc="-1" strike="noStrike">
            <a:latin typeface="Times New Roman"/>
          </a:endParaRPr>
        </a:p>
        <a:p>
          <a:pPr>
            <a:lnSpc>
              <a:spcPct val="100000"/>
            </a:lnSpc>
          </a:pPr>
          <a:endParaRPr b="0" lang="en-US" sz="1050" spc="-1" strike="noStrike">
            <a:latin typeface="Times New Roman"/>
          </a:endParaRPr>
        </a:p>
      </xdr:txBody>
    </xdr:sp>
    <xdr:clientData/>
  </xdr:twoCellAnchor>
  <xdr:twoCellAnchor editAs="oneCell">
    <xdr:from>
      <xdr:col>16</xdr:col>
      <xdr:colOff>440280</xdr:colOff>
      <xdr:row>869</xdr:row>
      <xdr:rowOff>93960</xdr:rowOff>
    </xdr:from>
    <xdr:to>
      <xdr:col>21</xdr:col>
      <xdr:colOff>1197360</xdr:colOff>
      <xdr:row>874</xdr:row>
      <xdr:rowOff>208440</xdr:rowOff>
    </xdr:to>
    <xdr:sp>
      <xdr:nvSpPr>
        <xdr:cNvPr id="10" name="正方形/長方形 15"/>
        <xdr:cNvSpPr/>
      </xdr:nvSpPr>
      <xdr:spPr>
        <a:xfrm>
          <a:off x="32387760" y="217622160"/>
          <a:ext cx="4382280" cy="1390680"/>
        </a:xfrm>
        <a:prstGeom prst="rect">
          <a:avLst/>
        </a:prstGeom>
        <a:solidFill>
          <a:srgbClr val="ffffff"/>
        </a:solidFill>
        <a:ln w="25560">
          <a:solidFill>
            <a:srgbClr val="000000"/>
          </a:solidFill>
          <a:miter/>
          <a:headEnd len="med" type="triangle" w="lg"/>
        </a:ln>
      </xdr:spPr>
      <xdr:style>
        <a:lnRef idx="0"/>
        <a:fillRef idx="0"/>
        <a:effectRef idx="0"/>
        <a:fontRef idx="minor"/>
      </xdr:style>
      <xdr:txBody>
        <a:bodyPr lIns="20160" rIns="20160" tIns="20160" bIns="20160" anchor="t">
          <a:noAutofit/>
        </a:bodyPr>
        <a:p>
          <a:pPr>
            <a:lnSpc>
              <a:spcPct val="100000"/>
            </a:lnSpc>
          </a:pPr>
          <a:r>
            <a:rPr b="1" lang="zh-CN" sz="1050" spc="-1" strike="noStrike">
              <a:solidFill>
                <a:srgbClr val="000000"/>
              </a:solidFill>
              <a:latin typeface="ＭＳ Ｐゴシック"/>
              <a:ea typeface="DejaVu Sans"/>
            </a:rPr>
            <a:t>日下水：</a:t>
          </a:r>
          <a:r>
            <a:rPr b="1" lang="en-US" sz="1050" spc="-1" strike="noStrike">
              <a:solidFill>
                <a:srgbClr val="000000"/>
              </a:solidFill>
              <a:latin typeface="Calibri"/>
              <a:ea typeface="DejaVu Sans"/>
            </a:rPr>
            <a:t>(</a:t>
          </a:r>
          <a:r>
            <a:rPr b="1" lang="zh-CN" sz="1050" spc="-1" strike="noStrike">
              <a:solidFill>
                <a:srgbClr val="000000"/>
              </a:solidFill>
              <a:latin typeface="ＭＳ Ｐゴシック"/>
              <a:ea typeface="DejaVu Sans"/>
            </a:rPr>
            <a:t>給与改定差額＋号給調整差額</a:t>
          </a:r>
          <a:r>
            <a:rPr b="1" lang="en-US" sz="1050" spc="-1" strike="noStrike">
              <a:solidFill>
                <a:srgbClr val="000000"/>
              </a:solidFill>
              <a:latin typeface="Calibri"/>
              <a:ea typeface="DejaVu Sans"/>
            </a:rPr>
            <a:t>)</a:t>
          </a:r>
          <a:endParaRPr b="0" lang="en-US" sz="1050" spc="-1" strike="noStrike">
            <a:latin typeface="Times New Roman"/>
          </a:endParaRPr>
        </a:p>
        <a:p>
          <a:pPr>
            <a:lnSpc>
              <a:spcPct val="100000"/>
            </a:lnSpc>
          </a:pPr>
          <a:r>
            <a:rPr b="1" lang="zh-CN" sz="1050" spc="-1" strike="noStrike">
              <a:solidFill>
                <a:srgbClr val="000000"/>
              </a:solidFill>
              <a:latin typeface="ＭＳ Ｐゴシック"/>
              <a:ea typeface="DejaVu Sans"/>
            </a:rPr>
            <a:t>給与改定差額分は</a:t>
          </a:r>
          <a:r>
            <a:rPr b="1" lang="en-US" sz="1050" spc="-1" strike="noStrike">
              <a:solidFill>
                <a:srgbClr val="000000"/>
              </a:solidFill>
              <a:latin typeface="Calibri"/>
              <a:ea typeface="DejaVu Sans"/>
            </a:rPr>
            <a:t>2/16</a:t>
          </a:r>
          <a:r>
            <a:rPr b="1" lang="zh-CN" sz="1050" spc="-1" strike="noStrike">
              <a:solidFill>
                <a:srgbClr val="000000"/>
              </a:solidFill>
              <a:latin typeface="ＭＳ Ｐゴシック"/>
              <a:ea typeface="DejaVu Sans"/>
            </a:rPr>
            <a:t>に月例分とともに入金されたため、預り処理のうえ</a:t>
          </a:r>
          <a:r>
            <a:rPr b="1" lang="en-US" sz="1050" spc="-1" strike="noStrike">
              <a:solidFill>
                <a:srgbClr val="000000"/>
              </a:solidFill>
              <a:latin typeface="Calibri"/>
              <a:ea typeface="DejaVu Sans"/>
            </a:rPr>
            <a:t>3</a:t>
          </a:r>
          <a:r>
            <a:rPr b="1" lang="zh-CN" sz="1050" spc="-1" strike="noStrike">
              <a:solidFill>
                <a:srgbClr val="000000"/>
              </a:solidFill>
              <a:latin typeface="ＭＳ Ｐゴシック"/>
              <a:ea typeface="DejaVu Sans"/>
            </a:rPr>
            <a:t>月期末として扱う。（差額分のシートでは整理しない。）</a:t>
          </a:r>
          <a:endParaRPr b="0" lang="en-US" sz="1050" spc="-1" strike="noStrike">
            <a:latin typeface="Times New Roman"/>
          </a:endParaRPr>
        </a:p>
        <a:p>
          <a:pPr>
            <a:lnSpc>
              <a:spcPct val="100000"/>
            </a:lnSpc>
          </a:pPr>
          <a:r>
            <a:rPr b="1" lang="zh-CN" sz="1050" spc="-1" strike="noStrike">
              <a:solidFill>
                <a:srgbClr val="000000"/>
              </a:solidFill>
              <a:latin typeface="ＭＳ Ｐゴシック"/>
              <a:ea typeface="DejaVu Sans"/>
            </a:rPr>
            <a:t>また、号給調整１名分の差額も</a:t>
          </a:r>
          <a:r>
            <a:rPr b="1" lang="en-US" sz="1050" spc="-1" strike="noStrike">
              <a:solidFill>
                <a:srgbClr val="000000"/>
              </a:solidFill>
              <a:latin typeface="Calibri"/>
              <a:ea typeface="DejaVu Sans"/>
            </a:rPr>
            <a:t>3</a:t>
          </a:r>
          <a:r>
            <a:rPr b="1" lang="zh-CN" sz="1050" spc="-1" strike="noStrike">
              <a:solidFill>
                <a:srgbClr val="000000"/>
              </a:solidFill>
              <a:latin typeface="ＭＳ Ｐゴシック"/>
              <a:ea typeface="DejaVu Sans"/>
            </a:rPr>
            <a:t>月期末として扱う。</a:t>
          </a:r>
          <a:endParaRPr b="0" lang="en-US" sz="1050" spc="-1" strike="noStrike">
            <a:latin typeface="Times New Roman"/>
          </a:endParaRPr>
        </a:p>
        <a:p>
          <a:pPr>
            <a:lnSpc>
              <a:spcPct val="100000"/>
            </a:lnSpc>
          </a:pPr>
          <a:endParaRPr b="0" lang="en-US" sz="1050" spc="-1" strike="noStrike">
            <a:latin typeface="Times New Roman"/>
          </a:endParaRPr>
        </a:p>
      </xdr:txBody>
    </xdr:sp>
    <xdr:clientData/>
  </xdr:twoCellAnchor>
  <xdr:twoCellAnchor editAs="oneCell">
    <xdr:from>
      <xdr:col>15</xdr:col>
      <xdr:colOff>169200</xdr:colOff>
      <xdr:row>1042</xdr:row>
      <xdr:rowOff>92880</xdr:rowOff>
    </xdr:from>
    <xdr:to>
      <xdr:col>15</xdr:col>
      <xdr:colOff>1854360</xdr:colOff>
      <xdr:row>1043</xdr:row>
      <xdr:rowOff>102960</xdr:rowOff>
    </xdr:to>
    <xdr:sp>
      <xdr:nvSpPr>
        <xdr:cNvPr id="11" name="テキスト ボックス 16"/>
        <xdr:cNvSpPr/>
      </xdr:nvSpPr>
      <xdr:spPr>
        <a:xfrm>
          <a:off x="29778120" y="260767440"/>
          <a:ext cx="1685160" cy="58140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zh-CN" sz="1100" spc="-1" strike="noStrike">
              <a:solidFill>
                <a:srgbClr val="000000"/>
              </a:solidFill>
              <a:latin typeface="ＭＳ ゴシック"/>
              <a:ea typeface="DejaVu Sans"/>
            </a:rPr>
            <a:t>（</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月分）から</a:t>
          </a: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月分を差引</a:t>
          </a:r>
          <a:endParaRPr b="0" lang="en-US" sz="1100" spc="-1" strike="noStrike">
            <a:latin typeface="Times New Roman"/>
          </a:endParaRPr>
        </a:p>
      </xdr:txBody>
    </xdr:sp>
    <xdr:clientData/>
  </xdr:twoCellAnchor>
  <xdr:twoCellAnchor editAs="oneCell">
    <xdr:from>
      <xdr:col>15</xdr:col>
      <xdr:colOff>123480</xdr:colOff>
      <xdr:row>977</xdr:row>
      <xdr:rowOff>104040</xdr:rowOff>
    </xdr:from>
    <xdr:to>
      <xdr:col>15</xdr:col>
      <xdr:colOff>1934280</xdr:colOff>
      <xdr:row>978</xdr:row>
      <xdr:rowOff>113040</xdr:rowOff>
    </xdr:to>
    <xdr:sp>
      <xdr:nvSpPr>
        <xdr:cNvPr id="12" name="テキスト ボックス 17"/>
        <xdr:cNvSpPr/>
      </xdr:nvSpPr>
      <xdr:spPr>
        <a:xfrm>
          <a:off x="29732400" y="244381680"/>
          <a:ext cx="1810800" cy="580320"/>
        </a:xfrm>
        <a:prstGeom prst="rect">
          <a:avLst/>
        </a:prstGeom>
        <a:solidFill>
          <a:srgbClr val="8eb4e3"/>
        </a:solidFill>
        <a:ln cap="rnd" w="9360">
          <a:solidFill>
            <a:srgbClr val="000000"/>
          </a:solidFill>
          <a:miter/>
        </a:ln>
      </xdr:spPr>
      <xdr:style>
        <a:lnRef idx="0"/>
        <a:fillRef idx="0"/>
        <a:effectRef idx="0"/>
        <a:fontRef idx="minor"/>
      </xdr:style>
      <xdr:txBody>
        <a:bodyPr lIns="20160" rIns="20160" tIns="20160" bIns="20160" anchor="ctr">
          <a:noAutofit/>
        </a:bodyPr>
        <a:p>
          <a:pPr algn="ctr">
            <a:lnSpc>
              <a:spcPct val="100000"/>
            </a:lnSpc>
          </a:pPr>
          <a:r>
            <a:rPr b="0" lang="en-US" sz="1100" spc="-1" strike="noStrike">
              <a:solidFill>
                <a:srgbClr val="000000"/>
              </a:solidFill>
              <a:latin typeface="ＭＳ ゴシック"/>
              <a:ea typeface="DejaVu Sans"/>
            </a:rPr>
            <a:t>6</a:t>
          </a:r>
          <a:r>
            <a:rPr b="0" lang="zh-CN" sz="1100" spc="-1" strike="noStrike">
              <a:solidFill>
                <a:srgbClr val="000000"/>
              </a:solidFill>
              <a:latin typeface="ＭＳ ゴシック"/>
              <a:ea typeface="DejaVu Sans"/>
            </a:rPr>
            <a:t>月分</a:t>
          </a:r>
          <a:r>
            <a:rPr b="0" lang="en-US" sz="1100" spc="-1" strike="noStrike">
              <a:solidFill>
                <a:srgbClr val="000000"/>
              </a:solidFill>
              <a:latin typeface="ＭＳ ゴシック"/>
              <a:ea typeface="DejaVu Sans"/>
            </a:rPr>
            <a:t>+12</a:t>
          </a:r>
          <a:r>
            <a:rPr b="0" lang="zh-CN" sz="1100" spc="-1" strike="noStrike">
              <a:solidFill>
                <a:srgbClr val="000000"/>
              </a:solidFill>
              <a:latin typeface="ＭＳ ゴシック"/>
              <a:ea typeface="DejaVu Sans"/>
            </a:rPr>
            <a:t>月分を賞与支給率で按分</a:t>
          </a:r>
          <a:endParaRPr b="0" lang="en-US" sz="1100" spc="-1" strike="noStrike">
            <a:latin typeface="Times New Roman"/>
          </a:endParaRPr>
        </a:p>
      </xdr:txBody>
    </xdr:sp>
    <xdr:clientData/>
  </xdr:twoCellAnchor>
  <xdr:twoCellAnchor editAs="oneCell">
    <xdr:from>
      <xdr:col>1</xdr:col>
      <xdr:colOff>326880</xdr:colOff>
      <xdr:row>17</xdr:row>
      <xdr:rowOff>104400</xdr:rowOff>
    </xdr:from>
    <xdr:to>
      <xdr:col>2</xdr:col>
      <xdr:colOff>487440</xdr:colOff>
      <xdr:row>20</xdr:row>
      <xdr:rowOff>247320</xdr:rowOff>
    </xdr:to>
    <xdr:sp>
      <xdr:nvSpPr>
        <xdr:cNvPr id="13" name="吹き出し: 角を丸めた四角形 3"/>
        <xdr:cNvSpPr/>
      </xdr:nvSpPr>
      <xdr:spPr>
        <a:xfrm>
          <a:off x="2270160" y="4611600"/>
          <a:ext cx="1628640" cy="885960"/>
        </a:xfrm>
        <a:prstGeom prst="wedgeRoundRectCallout">
          <a:avLst>
            <a:gd name="adj1" fmla="val -63597"/>
            <a:gd name="adj2" fmla="val -59782"/>
            <a:gd name="adj3" fmla="val 16667"/>
          </a:avLst>
        </a:prstGeom>
        <a:noFill/>
        <a:ln w="22320">
          <a:solidFill>
            <a:srgbClr val="000000"/>
          </a:solidFill>
          <a:round/>
          <a:headEnd len="med" type="triangle" w="lg"/>
        </a:ln>
      </xdr:spPr>
      <xdr:style>
        <a:lnRef idx="0"/>
        <a:fillRef idx="0"/>
        <a:effectRef idx="0"/>
        <a:fontRef idx="minor"/>
      </xdr:style>
      <xdr:txBody>
        <a:bodyPr lIns="20160" rIns="20160" tIns="20160" bIns="20160" anchor="ctr">
          <a:noAutofit/>
        </a:bodyPr>
        <a:p>
          <a:pPr>
            <a:lnSpc>
              <a:spcPct val="100000"/>
            </a:lnSpc>
          </a:pPr>
          <a:r>
            <a:rPr b="0" lang="zh-CN" sz="1100" spc="-1" strike="noStrike">
              <a:solidFill>
                <a:srgbClr val="000000"/>
              </a:solidFill>
              <a:latin typeface="ＭＳ Ｐゴシック"/>
              <a:ea typeface="DejaVu Sans"/>
            </a:rPr>
            <a:t>教育給与課は人事異動の精査未了のため</a:t>
          </a:r>
          <a:r>
            <a:rPr b="0" lang="en-US" sz="1100" spc="-1" strike="noStrike">
              <a:solidFill>
                <a:srgbClr val="000000"/>
              </a:solidFill>
              <a:latin typeface="Calibri"/>
              <a:ea typeface="DejaVu Sans"/>
            </a:rPr>
            <a:t>5</a:t>
          </a:r>
          <a:r>
            <a:rPr b="0" lang="zh-CN" sz="1100" spc="-1" strike="noStrike">
              <a:solidFill>
                <a:srgbClr val="000000"/>
              </a:solidFill>
              <a:latin typeface="ＭＳ Ｐゴシック"/>
              <a:ea typeface="DejaVu Sans"/>
            </a:rPr>
            <a:t>月調整となる。</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45720</xdr:colOff>
      <xdr:row>118</xdr:row>
      <xdr:rowOff>18360</xdr:rowOff>
    </xdr:from>
    <xdr:to>
      <xdr:col>10</xdr:col>
      <xdr:colOff>2520</xdr:colOff>
      <xdr:row>122</xdr:row>
      <xdr:rowOff>190080</xdr:rowOff>
    </xdr:to>
    <xdr:sp>
      <xdr:nvSpPr>
        <xdr:cNvPr id="14" name="直線コネクタ 2"/>
        <xdr:cNvSpPr/>
      </xdr:nvSpPr>
      <xdr:spPr>
        <a:xfrm flipV="1">
          <a:off x="10944720" y="25412040"/>
          <a:ext cx="6973200" cy="1124280"/>
        </a:xfrm>
        <a:prstGeom prst="line">
          <a:avLst/>
        </a:prstGeom>
        <a:ln w="9360">
          <a:solidFill>
            <a:srgbClr val="4a7ebb"/>
          </a:solidFill>
          <a:miter/>
        </a:ln>
      </xdr:spPr>
      <xdr:style>
        <a:lnRef idx="0"/>
        <a:fillRef idx="0"/>
        <a:effectRef idx="0"/>
        <a:fontRef idx="minor"/>
      </xdr:style>
    </xdr:sp>
    <xdr:clientData/>
  </xdr:twoCellAnchor>
  <xdr:twoCellAnchor editAs="oneCell">
    <xdr:from>
      <xdr:col>10</xdr:col>
      <xdr:colOff>57240</xdr:colOff>
      <xdr:row>118</xdr:row>
      <xdr:rowOff>37800</xdr:rowOff>
    </xdr:from>
    <xdr:to>
      <xdr:col>13</xdr:col>
      <xdr:colOff>13680</xdr:colOff>
      <xdr:row>122</xdr:row>
      <xdr:rowOff>199440</xdr:rowOff>
    </xdr:to>
    <xdr:sp>
      <xdr:nvSpPr>
        <xdr:cNvPr id="15" name="直線コネクタ 3"/>
        <xdr:cNvSpPr/>
      </xdr:nvSpPr>
      <xdr:spPr>
        <a:xfrm flipV="1">
          <a:off x="17972640" y="25431480"/>
          <a:ext cx="6972480" cy="1114200"/>
        </a:xfrm>
        <a:prstGeom prst="line">
          <a:avLst/>
        </a:prstGeom>
        <a:ln w="9360">
          <a:solidFill>
            <a:srgbClr val="4a7ebb"/>
          </a:solidFill>
          <a:miter/>
        </a:ln>
      </xdr:spPr>
      <xdr:style>
        <a:lnRef idx="0"/>
        <a:fillRef idx="0"/>
        <a:effectRef idx="0"/>
        <a:fontRef idx="minor"/>
      </xdr:style>
    </xdr:sp>
    <xdr:clientData/>
  </xdr:twoCellAnchor>
  <xdr:twoCellAnchor editAs="oneCell">
    <xdr:from>
      <xdr:col>13</xdr:col>
      <xdr:colOff>0</xdr:colOff>
      <xdr:row>118</xdr:row>
      <xdr:rowOff>47520</xdr:rowOff>
    </xdr:from>
    <xdr:to>
      <xdr:col>15</xdr:col>
      <xdr:colOff>2306880</xdr:colOff>
      <xdr:row>122</xdr:row>
      <xdr:rowOff>219600</xdr:rowOff>
    </xdr:to>
    <xdr:sp>
      <xdr:nvSpPr>
        <xdr:cNvPr id="16" name="直線コネクタ 4"/>
        <xdr:cNvSpPr/>
      </xdr:nvSpPr>
      <xdr:spPr>
        <a:xfrm flipV="1">
          <a:off x="24931440" y="25441200"/>
          <a:ext cx="6984360" cy="1124640"/>
        </a:xfrm>
        <a:prstGeom prst="line">
          <a:avLst/>
        </a:prstGeom>
        <a:ln w="9360">
          <a:solidFill>
            <a:srgbClr val="4a7ebb"/>
          </a:solidFill>
          <a:miter/>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0</xdr:colOff>
      <xdr:row>3</xdr:row>
      <xdr:rowOff>218880</xdr:rowOff>
    </xdr:from>
    <xdr:to>
      <xdr:col>28</xdr:col>
      <xdr:colOff>892440</xdr:colOff>
      <xdr:row>12</xdr:row>
      <xdr:rowOff>199440</xdr:rowOff>
    </xdr:to>
    <xdr:sp>
      <xdr:nvSpPr>
        <xdr:cNvPr id="17" name="テキスト ボックス 4"/>
        <xdr:cNvSpPr/>
      </xdr:nvSpPr>
      <xdr:spPr>
        <a:xfrm>
          <a:off x="21008880" y="923760"/>
          <a:ext cx="3151080" cy="2647440"/>
        </a:xfrm>
        <a:prstGeom prst="rect">
          <a:avLst/>
        </a:prstGeom>
        <a:solidFill>
          <a:srgbClr val="fdeada"/>
        </a:solidFill>
        <a:ln w="9360">
          <a:solidFill>
            <a:srgbClr val="c00000"/>
          </a:solidFill>
          <a:miter/>
        </a:ln>
      </xdr:spPr>
      <xdr:style>
        <a:lnRef idx="0"/>
        <a:fillRef idx="0"/>
        <a:effectRef idx="0"/>
        <a:fontRef idx="minor"/>
      </xdr:style>
      <xdr:txBody>
        <a:bodyPr lIns="20160" rIns="20160" tIns="20160" bIns="20160" anchor="t">
          <a:noAutofit/>
        </a:bodyPr>
        <a:p>
          <a:pPr>
            <a:lnSpc>
              <a:spcPct val="100000"/>
            </a:lnSpc>
          </a:pPr>
          <a:r>
            <a:rPr b="0" lang="zh-CN" sz="1100" spc="-1" strike="noStrike">
              <a:solidFill>
                <a:srgbClr val="000000"/>
              </a:solidFill>
              <a:latin typeface="ＭＳ Ｐゴシック"/>
              <a:ea typeface="DejaVu Sans"/>
            </a:rPr>
            <a:t>還付については、月例分・賞与分に関わらず、すべて月例分として整理及び伝票処理することとする。</a:t>
          </a:r>
          <a:endParaRPr b="0" lang="en-US" sz="1100" spc="-1" strike="noStrike">
            <a:latin typeface="Times New Roman"/>
          </a:endParaRPr>
        </a:p>
        <a:p>
          <a:pPr>
            <a:lnSpc>
              <a:spcPct val="100000"/>
            </a:lnSpc>
          </a:pPr>
          <a:r>
            <a:rPr b="0" lang="zh-CN" sz="1100" spc="-1" strike="noStrike">
              <a:solidFill>
                <a:srgbClr val="000000"/>
              </a:solidFill>
              <a:latin typeface="ＭＳ Ｐゴシック"/>
              <a:ea typeface="DejaVu Sans"/>
            </a:rPr>
            <a:t>還付を受ける本人には、金額の合計で振り込むので、なんら影響はない。</a:t>
          </a:r>
          <a:endParaRPr b="0" lang="en-US" sz="1100" spc="-1" strike="noStrike">
            <a:latin typeface="Times New Roman"/>
          </a:endParaRPr>
        </a:p>
        <a:p>
          <a:pPr>
            <a:lnSpc>
              <a:spcPct val="100000"/>
            </a:lnSpc>
          </a:pPr>
          <a:r>
            <a:rPr b="0" lang="zh-CN" sz="1100" spc="-1" strike="noStrike">
              <a:solidFill>
                <a:srgbClr val="000000"/>
              </a:solidFill>
              <a:latin typeface="ＭＳ Ｐゴシック"/>
              <a:ea typeface="DejaVu Sans"/>
            </a:rPr>
            <a:t>共済側の内訳整理のみの影響であり、厳密に賞与分を分けて整理しようとすると、市町村連合への各種報告、拠出金の支払額等、遡及して数字を変えることになり、そのことによる修正の煩雑さがかえって数字の不整合を招く危険性がある。</a:t>
          </a:r>
          <a:endParaRPr b="0" lang="en-US" sz="1100" spc="-1" strike="noStrike">
            <a:latin typeface="Times New Roman"/>
          </a:endParaRPr>
        </a:p>
        <a:p>
          <a:pPr>
            <a:lnSpc>
              <a:spcPct val="100000"/>
            </a:lnSpc>
          </a:pPr>
          <a:r>
            <a:rPr b="0" lang="zh-CN" sz="1100" spc="-1" strike="noStrike">
              <a:solidFill>
                <a:srgbClr val="000000"/>
              </a:solidFill>
              <a:latin typeface="ＭＳ Ｐゴシック"/>
              <a:ea typeface="DejaVu Sans"/>
            </a:rPr>
            <a:t>また、給与課等の規模の大きい所属は毎月のように、共済に連絡しないまま月例分で過去の賞与分もすべて調整して入金してきている（調整する人数が多すぎて報告していたらきりがない、できない、とのこと）。</a:t>
          </a:r>
          <a:endParaRPr b="0" lang="en-US" sz="1100" spc="-1" strike="noStrike">
            <a:latin typeface="Times New Roman"/>
          </a:endParaRPr>
        </a:p>
        <a:p>
          <a:pPr>
            <a:lnSpc>
              <a:spcPct val="100000"/>
            </a:lnSpc>
          </a:pPr>
          <a:r>
            <a:rPr b="0" lang="zh-CN" sz="1100" spc="-1" strike="noStrike">
              <a:solidFill>
                <a:srgbClr val="000000"/>
              </a:solidFill>
              <a:latin typeface="ＭＳ Ｐゴシック"/>
              <a:ea typeface="DejaVu Sans"/>
            </a:rPr>
            <a:t>よって、共済が知り得ない賞与分調整が月例で行われているので、知り得た者のみ正確に整理しても意味がない。</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541800</xdr:colOff>
      <xdr:row>39</xdr:row>
      <xdr:rowOff>132840</xdr:rowOff>
    </xdr:from>
    <xdr:to>
      <xdr:col>14</xdr:col>
      <xdr:colOff>610560</xdr:colOff>
      <xdr:row>42</xdr:row>
      <xdr:rowOff>28440</xdr:rowOff>
    </xdr:to>
    <xdr:sp>
      <xdr:nvSpPr>
        <xdr:cNvPr id="18" name="テキスト ボックス 13"/>
        <xdr:cNvSpPr/>
      </xdr:nvSpPr>
      <xdr:spPr>
        <a:xfrm>
          <a:off x="13651920" y="11362680"/>
          <a:ext cx="2236680" cy="753120"/>
        </a:xfrm>
        <a:prstGeom prst="rect">
          <a:avLst/>
        </a:prstGeom>
        <a:solidFill>
          <a:srgbClr val="ffffff"/>
        </a:solidFill>
        <a:ln w="19080">
          <a:solidFill>
            <a:srgbClr val="17375e"/>
          </a:solidFill>
          <a:miter/>
        </a:ln>
      </xdr:spPr>
      <xdr:style>
        <a:lnRef idx="0"/>
        <a:fillRef idx="0"/>
        <a:effectRef idx="0"/>
        <a:fontRef idx="minor"/>
      </xdr:style>
      <xdr:txBody>
        <a:bodyPr lIns="20160" rIns="20160" tIns="20160" bIns="20160" anchor="ctr">
          <a:noAutofit/>
        </a:bodyPr>
        <a:p>
          <a:pPr>
            <a:lnSpc>
              <a:spcPct val="100000"/>
            </a:lnSpc>
          </a:pPr>
          <a:r>
            <a:rPr b="0" lang="zh-CN" sz="1200" spc="-1" strike="noStrike">
              <a:solidFill>
                <a:srgbClr val="000000"/>
              </a:solidFill>
              <a:latin typeface="ＭＳ Ｐゴシック"/>
              <a:ea typeface="DejaVu Sans"/>
            </a:rPr>
            <a:t>差額賞与分があれば、入金月に上乗せで入れる</a:t>
          </a:r>
          <a:endParaRPr b="0" lang="en-US" sz="12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529920</xdr:colOff>
      <xdr:row>22</xdr:row>
      <xdr:rowOff>77040</xdr:rowOff>
    </xdr:from>
    <xdr:to>
      <xdr:col>4</xdr:col>
      <xdr:colOff>531000</xdr:colOff>
      <xdr:row>23</xdr:row>
      <xdr:rowOff>9720</xdr:rowOff>
    </xdr:to>
    <xdr:sp>
      <xdr:nvSpPr>
        <xdr:cNvPr id="19" name="Line 2"/>
        <xdr:cNvSpPr/>
      </xdr:nvSpPr>
      <xdr:spPr>
        <a:xfrm flipH="1">
          <a:off x="5815800" y="7058880"/>
          <a:ext cx="1080" cy="304200"/>
        </a:xfrm>
        <a:prstGeom prst="line">
          <a:avLst/>
        </a:prstGeom>
        <a:ln w="9360">
          <a:solidFill>
            <a:srgbClr val="000000"/>
          </a:solidFill>
          <a:miter/>
          <a:headEnd len="med" type="triangle" w="lg"/>
        </a:ln>
      </xdr:spPr>
      <xdr:style>
        <a:lnRef idx="0"/>
        <a:fillRef idx="0"/>
        <a:effectRef idx="0"/>
        <a:fontRef idx="minor"/>
      </xdr:style>
    </xdr:sp>
    <xdr:clientData/>
  </xdr:twoCellAnchor>
  <xdr:twoCellAnchor editAs="oneCell">
    <xdr:from>
      <xdr:col>4</xdr:col>
      <xdr:colOff>1072080</xdr:colOff>
      <xdr:row>22</xdr:row>
      <xdr:rowOff>95760</xdr:rowOff>
    </xdr:from>
    <xdr:to>
      <xdr:col>6</xdr:col>
      <xdr:colOff>227160</xdr:colOff>
      <xdr:row>23</xdr:row>
      <xdr:rowOff>57600</xdr:rowOff>
    </xdr:to>
    <xdr:sp>
      <xdr:nvSpPr>
        <xdr:cNvPr id="20" name="Line 3"/>
        <xdr:cNvSpPr/>
      </xdr:nvSpPr>
      <xdr:spPr>
        <a:xfrm>
          <a:off x="6357960" y="7077600"/>
          <a:ext cx="622440" cy="333360"/>
        </a:xfrm>
        <a:prstGeom prst="line">
          <a:avLst/>
        </a:prstGeom>
        <a:ln w="9360">
          <a:solidFill>
            <a:srgbClr val="000000"/>
          </a:solidFill>
          <a:miter/>
          <a:headEnd len="med" type="triangle" w="lg"/>
        </a:ln>
      </xdr:spPr>
      <xdr:style>
        <a:lnRef idx="0"/>
        <a:fillRef idx="0"/>
        <a:effectRef idx="0"/>
        <a:fontRef idx="minor"/>
      </xdr:style>
    </xdr:sp>
    <xdr:clientData/>
  </xdr:twoCellAnchor>
  <xdr:twoCellAnchor editAs="oneCell">
    <xdr:from>
      <xdr:col>4</xdr:col>
      <xdr:colOff>1197360</xdr:colOff>
      <xdr:row>22</xdr:row>
      <xdr:rowOff>95760</xdr:rowOff>
    </xdr:from>
    <xdr:to>
      <xdr:col>11</xdr:col>
      <xdr:colOff>634320</xdr:colOff>
      <xdr:row>23</xdr:row>
      <xdr:rowOff>190080</xdr:rowOff>
    </xdr:to>
    <xdr:sp>
      <xdr:nvSpPr>
        <xdr:cNvPr id="21" name="Line 3"/>
        <xdr:cNvSpPr/>
      </xdr:nvSpPr>
      <xdr:spPr>
        <a:xfrm>
          <a:off x="6483240" y="7077600"/>
          <a:ext cx="7511400" cy="465840"/>
        </a:xfrm>
        <a:prstGeom prst="line">
          <a:avLst/>
        </a:prstGeom>
        <a:ln w="9360">
          <a:solidFill>
            <a:srgbClr val="000000"/>
          </a:solidFill>
          <a:miter/>
          <a:headEnd len="med" type="triangle" w="lg"/>
        </a:ln>
      </xdr:spPr>
      <xdr:style>
        <a:lnRef idx="0"/>
        <a:fillRef idx="0"/>
        <a:effectRef idx="0"/>
        <a:fontRef idx="minor"/>
      </xdr:style>
    </xdr:sp>
    <xdr:clientData/>
  </xdr:twoCellAnchor>
  <xdr:twoCellAnchor editAs="oneCell">
    <xdr:from>
      <xdr:col>4</xdr:col>
      <xdr:colOff>1242720</xdr:colOff>
      <xdr:row>22</xdr:row>
      <xdr:rowOff>10080</xdr:rowOff>
    </xdr:from>
    <xdr:to>
      <xdr:col>17</xdr:col>
      <xdr:colOff>340560</xdr:colOff>
      <xdr:row>23</xdr:row>
      <xdr:rowOff>152280</xdr:rowOff>
    </xdr:to>
    <xdr:sp>
      <xdr:nvSpPr>
        <xdr:cNvPr id="22" name="Line 3"/>
        <xdr:cNvSpPr/>
      </xdr:nvSpPr>
      <xdr:spPr>
        <a:xfrm>
          <a:off x="6528600" y="6991920"/>
          <a:ext cx="15078240" cy="513720"/>
        </a:xfrm>
        <a:prstGeom prst="line">
          <a:avLst/>
        </a:prstGeom>
        <a:ln w="9360">
          <a:solidFill>
            <a:srgbClr val="000000"/>
          </a:solidFill>
          <a:miter/>
          <a:headEnd len="med" type="triangle" w="lg"/>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11160</xdr:colOff>
      <xdr:row>5</xdr:row>
      <xdr:rowOff>9720</xdr:rowOff>
    </xdr:from>
    <xdr:to>
      <xdr:col>3</xdr:col>
      <xdr:colOff>1436040</xdr:colOff>
      <xdr:row>19</xdr:row>
      <xdr:rowOff>343080</xdr:rowOff>
    </xdr:to>
    <xdr:sp>
      <xdr:nvSpPr>
        <xdr:cNvPr id="23" name="直線コネクタ 2"/>
        <xdr:cNvSpPr/>
      </xdr:nvSpPr>
      <xdr:spPr>
        <a:xfrm flipH="1">
          <a:off x="3579840" y="1847880"/>
          <a:ext cx="1424880" cy="5133960"/>
        </a:xfrm>
        <a:prstGeom prst="line">
          <a:avLst/>
        </a:prstGeom>
        <a:ln w="9360">
          <a:solidFill>
            <a:srgbClr val="4a7ebb"/>
          </a:solidFill>
          <a:miter/>
        </a:ln>
      </xdr:spPr>
      <xdr:style>
        <a:lnRef idx="0"/>
        <a:fillRef idx="0"/>
        <a:effectRef idx="0"/>
        <a:fontRef idx="minor"/>
      </xdr:style>
    </xdr:sp>
    <xdr:clientData/>
  </xdr:twoCellAnchor>
  <xdr:twoCellAnchor editAs="oneCell">
    <xdr:from>
      <xdr:col>4</xdr:col>
      <xdr:colOff>21600</xdr:colOff>
      <xdr:row>5</xdr:row>
      <xdr:rowOff>0</xdr:rowOff>
    </xdr:from>
    <xdr:to>
      <xdr:col>4</xdr:col>
      <xdr:colOff>1096200</xdr:colOff>
      <xdr:row>19</xdr:row>
      <xdr:rowOff>343080</xdr:rowOff>
    </xdr:to>
    <xdr:sp>
      <xdr:nvSpPr>
        <xdr:cNvPr id="24" name="直線コネクタ 3"/>
        <xdr:cNvSpPr/>
      </xdr:nvSpPr>
      <xdr:spPr>
        <a:xfrm flipH="1">
          <a:off x="5036040" y="1838160"/>
          <a:ext cx="1074600" cy="5143680"/>
        </a:xfrm>
        <a:prstGeom prst="line">
          <a:avLst/>
        </a:prstGeom>
        <a:ln w="9360">
          <a:solidFill>
            <a:srgbClr val="4a7ebb"/>
          </a:solidFill>
          <a:miter/>
        </a:ln>
      </xdr:spPr>
      <xdr:style>
        <a:lnRef idx="0"/>
        <a:fillRef idx="0"/>
        <a:effectRef idx="0"/>
        <a:fontRef idx="minor"/>
      </xdr:style>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225720</xdr:colOff>
      <xdr:row>1</xdr:row>
      <xdr:rowOff>324000</xdr:rowOff>
    </xdr:from>
    <xdr:to>
      <xdr:col>3</xdr:col>
      <xdr:colOff>441720</xdr:colOff>
      <xdr:row>2</xdr:row>
      <xdr:rowOff>152280</xdr:rowOff>
    </xdr:to>
    <xdr:cxnSp>
      <xdr:nvCxnSpPr>
        <xdr:cNvPr id="25" name="直線矢印コネクタ 2"/>
        <xdr:cNvCxnSpPr/>
      </xdr:nvCxnSpPr>
      <xdr:spPr>
        <a:xfrm flipH="1" flipV="1">
          <a:off x="4460400" y="657360"/>
          <a:ext cx="216360" cy="162000"/>
        </a:xfrm>
        <a:prstGeom prst="straightConnector1">
          <a:avLst/>
        </a:prstGeom>
        <a:ln w="9360">
          <a:solidFill>
            <a:srgbClr val="4a7ebb"/>
          </a:solidFill>
          <a:miter/>
          <a:tailEnd len="med" type="triangle" w="med"/>
        </a:ln>
      </xdr:spPr>
    </xdr:cxnSp>
    <xdr:clientData/>
  </xdr:twoCellAnchor>
  <xdr:twoCellAnchor editAs="oneCell">
    <xdr:from>
      <xdr:col>4</xdr:col>
      <xdr:colOff>214200</xdr:colOff>
      <xdr:row>2</xdr:row>
      <xdr:rowOff>19080</xdr:rowOff>
    </xdr:from>
    <xdr:to>
      <xdr:col>4</xdr:col>
      <xdr:colOff>522000</xdr:colOff>
      <xdr:row>2</xdr:row>
      <xdr:rowOff>176400</xdr:rowOff>
    </xdr:to>
    <xdr:cxnSp>
      <xdr:nvCxnSpPr>
        <xdr:cNvPr id="26" name="直線矢印コネクタ 6"/>
        <xdr:cNvCxnSpPr/>
      </xdr:nvCxnSpPr>
      <xdr:spPr>
        <a:xfrm flipV="1">
          <a:off x="5804280" y="685800"/>
          <a:ext cx="308160" cy="157680"/>
        </a:xfrm>
        <a:prstGeom prst="straightConnector1">
          <a:avLst/>
        </a:prstGeom>
        <a:ln w="9360">
          <a:solidFill>
            <a:srgbClr val="4a7ebb"/>
          </a:solidFill>
          <a:miter/>
          <a:tailEnd len="med" type="triangle" w="med"/>
        </a:ln>
      </xdr:spPr>
    </xdr:cxnSp>
    <xdr:clientData/>
  </xdr:twoCellAnchor>
  <xdr:twoCellAnchor editAs="oneCell">
    <xdr:from>
      <xdr:col>5</xdr:col>
      <xdr:colOff>225720</xdr:colOff>
      <xdr:row>1</xdr:row>
      <xdr:rowOff>324000</xdr:rowOff>
    </xdr:from>
    <xdr:to>
      <xdr:col>5</xdr:col>
      <xdr:colOff>441720</xdr:colOff>
      <xdr:row>2</xdr:row>
      <xdr:rowOff>152280</xdr:rowOff>
    </xdr:to>
    <xdr:cxnSp>
      <xdr:nvCxnSpPr>
        <xdr:cNvPr id="27" name="直線矢印コネクタ 3"/>
        <xdr:cNvCxnSpPr/>
      </xdr:nvCxnSpPr>
      <xdr:spPr>
        <a:xfrm flipH="1" flipV="1">
          <a:off x="7328880" y="657360"/>
          <a:ext cx="216360" cy="162000"/>
        </a:xfrm>
        <a:prstGeom prst="straightConnector1">
          <a:avLst/>
        </a:prstGeom>
        <a:ln w="9360">
          <a:solidFill>
            <a:srgbClr val="4a7ebb"/>
          </a:solidFill>
          <a:miter/>
          <a:tailEnd len="med" type="triangle" w="med"/>
        </a:ln>
      </xdr:spPr>
    </xdr:cxn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22</xdr:row>
      <xdr:rowOff>398880</xdr:rowOff>
    </xdr:from>
    <xdr:to>
      <xdr:col>7</xdr:col>
      <xdr:colOff>724320</xdr:colOff>
      <xdr:row>23</xdr:row>
      <xdr:rowOff>219240</xdr:rowOff>
    </xdr:to>
    <xdr:sp>
      <xdr:nvSpPr>
        <xdr:cNvPr id="28" name="Line 3"/>
        <xdr:cNvSpPr/>
      </xdr:nvSpPr>
      <xdr:spPr>
        <a:xfrm flipV="1">
          <a:off x="5657760" y="10057320"/>
          <a:ext cx="3828960" cy="344160"/>
        </a:xfrm>
        <a:prstGeom prst="line">
          <a:avLst/>
        </a:prstGeom>
        <a:ln w="19080">
          <a:solidFill>
            <a:srgbClr val="000000"/>
          </a:solidFill>
          <a:miter/>
          <a:headEnd len="med" type="triangle" w="lg"/>
        </a:ln>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26126;&#32048;&#34920;%2026%20-%20&#12467;&#12500;&#12540;.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掛負調定"/>
      <sheetName val="☆労組公的負担"/>
      <sheetName val="☆拠出金明細（26年度）  "/>
      <sheetName val="☆振替"/>
      <sheetName val="☆介護　集計"/>
      <sheetName val="☆短期集計"/>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7.xml"/><Relationship Id="rId3" Type="http://schemas.openxmlformats.org/officeDocument/2006/relationships/vmlDrawing" Target="../drawings/vmlDrawing6.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7.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8.xml"/><Relationship Id="rId3" Type="http://schemas.openxmlformats.org/officeDocument/2006/relationships/vmlDrawing" Target="../drawings/vmlDrawing8.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9.xml"/><Relationship Id="rId3" Type="http://schemas.openxmlformats.org/officeDocument/2006/relationships/vmlDrawing" Target="../drawings/vmlDrawing9.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0.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I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21875" defaultRowHeight="15" zeroHeight="false" outlineLevelRow="0" outlineLevelCol="0"/>
  <cols>
    <col collapsed="false" customWidth="true" hidden="false" outlineLevel="0" max="1" min="1" style="0" width="2"/>
    <col collapsed="false" customWidth="true" hidden="false" outlineLevel="0" max="3" min="2" style="0" width="22"/>
    <col collapsed="false" customWidth="true" hidden="false" outlineLevel="0" max="4" min="4" style="0" width="14"/>
    <col collapsed="false" customWidth="true" hidden="false" outlineLevel="0" max="5" min="5" style="0" width="3"/>
    <col collapsed="false" customWidth="true" hidden="false" outlineLevel="0" max="6" min="6" style="0" width="26"/>
    <col collapsed="false" customWidth="true" hidden="false" outlineLevel="0" max="7" min="7" style="0" width="14"/>
    <col collapsed="false" customWidth="true" hidden="false" outlineLevel="0" max="8" min="8" style="0" width="16"/>
    <col collapsed="false" customWidth="true" hidden="false" outlineLevel="0" max="9" min="9" style="0" width="40"/>
  </cols>
  <sheetData>
    <row r="1" customFormat="false" ht="19.7" hidden="false" customHeight="false" outlineLevel="0" collapsed="false">
      <c r="B1" s="1" t="s">
        <v>0</v>
      </c>
    </row>
    <row r="2" customFormat="false" ht="17.35" hidden="false" customHeight="false" outlineLevel="0" collapsed="false">
      <c r="B2" s="2" t="s">
        <v>1</v>
      </c>
    </row>
    <row r="3" customFormat="false" ht="17.35" hidden="false" customHeight="false" outlineLevel="0" collapsed="false"/>
    <row r="4" customFormat="false" ht="17.35" hidden="false" customHeight="false" outlineLevel="0" collapsed="false">
      <c r="B4" s="3" t="s">
        <v>2</v>
      </c>
      <c r="C4" s="4" t="s">
        <v>3</v>
      </c>
      <c r="D4" s="5" t="s">
        <v>4</v>
      </c>
    </row>
    <row r="5" customFormat="false" ht="17.35" hidden="false" customHeight="false" outlineLevel="0" collapsed="false"/>
    <row r="6" customFormat="false" ht="17.35" hidden="false" customHeight="false" outlineLevel="0" collapsed="false">
      <c r="B6" s="3" t="s">
        <v>5</v>
      </c>
      <c r="C6" s="3" t="s">
        <v>6</v>
      </c>
      <c r="F6" s="3" t="s">
        <v>7</v>
      </c>
      <c r="G6" s="3" t="s">
        <v>6</v>
      </c>
      <c r="H6" s="3" t="s">
        <v>8</v>
      </c>
    </row>
    <row r="7" customFormat="false" ht="17.35" hidden="false" customHeight="false" outlineLevel="0" collapsed="false">
      <c r="B7" s="6" t="s">
        <v>9</v>
      </c>
      <c r="C7" s="7" t="n">
        <f aca="false">COUNTIFS(報告入力!$A$7:$A$696,$C$4,報告入力!$C$7:$C$696,"未受領")</f>
        <v>35</v>
      </c>
      <c r="F7" s="6" t="s">
        <v>10</v>
      </c>
      <c r="G7" s="7" t="n">
        <f aca="false">COUNTIFS(報告入力!$A$7:$A$696,$C$4,報告入力!$D$7:$D$696,"要確認")</f>
        <v>0</v>
      </c>
      <c r="H7" s="7" t="n">
        <f aca="false">COUNT(伝票入力!A7:A600)</f>
        <v>0</v>
      </c>
    </row>
    <row r="8" customFormat="false" ht="17.35" hidden="false" customHeight="false" outlineLevel="0" collapsed="false">
      <c r="B8" s="6" t="s">
        <v>11</v>
      </c>
      <c r="C8" s="7" t="n">
        <f aca="false">COUNTIFS(報告入力!$A$7:$A$696,$C$4,報告入力!$C$7:$C$696,"受領済")</f>
        <v>8</v>
      </c>
      <c r="F8" s="6" t="s">
        <v>12</v>
      </c>
      <c r="G8" s="7" t="n">
        <f aca="false">COUNTIFS(報告入力!$A$7:$A$696,$C$4,報告入力!$D$7:$D$696,"問題なし")</f>
        <v>0</v>
      </c>
    </row>
    <row r="9" customFormat="false" ht="17.35" hidden="false" customHeight="false" outlineLevel="0" collapsed="false">
      <c r="B9" s="6" t="s">
        <v>13</v>
      </c>
      <c r="C9" s="7" t="n">
        <f aca="false">COUNTIFS(報告入力!$A$7:$A$696,$C$4,報告入力!$C$7:$C$696,"入金確認済")</f>
        <v>0</v>
      </c>
      <c r="F9" s="6" t="s">
        <v>14</v>
      </c>
      <c r="G9" s="7" t="n">
        <f aca="false">COUNTIFS(報告入力!$A$7:$A$696,$C$4,報告入力!$D$7:$D$696,"標報未入力")</f>
        <v>8</v>
      </c>
    </row>
    <row r="10" customFormat="false" ht="17.35" hidden="false" customHeight="false" outlineLevel="0" collapsed="false">
      <c r="B10" s="6" t="s">
        <v>15</v>
      </c>
      <c r="C10" s="7" t="n">
        <f aca="false">COUNTIFS(報告入力!$A$7:$A$696,$C$4,報告入力!$C$7:$C$696,"起票済")</f>
        <v>0</v>
      </c>
      <c r="F10" s="6" t="s">
        <v>16</v>
      </c>
      <c r="G10" s="7" t="n">
        <f aca="false">COUNTIFS(報告入力!$A$7:$A$696,$C$4,報告入力!$F$7:$F$696,"不一致")</f>
        <v>0</v>
      </c>
    </row>
    <row r="11" customFormat="false" ht="17.35" hidden="false" customHeight="false" outlineLevel="0" collapsed="false">
      <c r="B11" s="6" t="s">
        <v>17</v>
      </c>
      <c r="C11" s="7" t="n">
        <f aca="false">COUNTIFS(報告入力!$A$7:$A$696,$C$4,報告入力!$C$7:$C$696,"報告なし")</f>
        <v>3</v>
      </c>
      <c r="F11" s="6" t="s">
        <v>18</v>
      </c>
      <c r="G11" s="7" t="n">
        <f aca="false">COUNTIFS(報告入力!$A$7:$A$696,$C$4,報告入力!$F$7:$F$696,"未入金")</f>
        <v>8</v>
      </c>
    </row>
    <row r="12" customFormat="false" ht="26.85" hidden="false" customHeight="false" outlineLevel="0" collapsed="false">
      <c r="B12" s="8" t="s">
        <v>19</v>
      </c>
      <c r="C12" s="9" t="n">
        <f aca="false">SUM(C7:C11)</f>
        <v>46</v>
      </c>
      <c r="F12" s="6" t="s">
        <v>20</v>
      </c>
      <c r="G12" s="10" t="str">
        <f aca="false">IF(SUMIFS(報告入力!$CF$7:$CF$696,報告入力!$A$7:$A$696,$C$4)=INDEX('☆掛負収入'!$G$1:$G$1200,INDEX(設定!$E$20:$E$34,MATCH($C$4,設定!$A$20:$A$34,0))+63)+INDEX('☆掛負収入'!$J$1:$J$1200,INDEX(設定!$E$20:$E$34,MATCH($C$4,設定!$A$20:$A$34,0))+63)+INDEX('☆掛負収入'!$M$1:$M$1200,INDEX(設定!$E$20:$E$34,MATCH($C$4,設定!$A$20:$A$34,0))+63)+INDEX('☆掛負収入'!$P$1:$P$1200,INDEX(設定!$E$20:$E$34,MATCH($C$4,設定!$A$20:$A$34,0))+63),"一致","差異あり")</f>
        <v>一致</v>
      </c>
    </row>
    <row r="13" customFormat="false" ht="17.35" hidden="false" customHeight="false" outlineLevel="0" collapsed="false"/>
    <row r="14" customFormat="false" ht="17.35" hidden="false" customHeight="false" outlineLevel="0" collapsed="false"/>
    <row r="15" customFormat="false" ht="17.35" hidden="false" customHeight="true" outlineLevel="0" collapsed="false">
      <c r="B15" s="11" t="s">
        <v>21</v>
      </c>
      <c r="C15" s="11"/>
      <c r="F15" s="11" t="s">
        <v>22</v>
      </c>
      <c r="G15" s="11"/>
      <c r="H15" s="11" t="s">
        <v>23</v>
      </c>
    </row>
    <row r="16" customFormat="false" ht="17.35" hidden="false" customHeight="false" outlineLevel="0" collapsed="false">
      <c r="B16" s="6" t="str">
        <f aca="false">IFERROR(INDEX(検算!$A$7:$A$52,MATCH(1,検算!$AI$7:$AI$52,0)),"")</f>
        <v>市長部局</v>
      </c>
      <c r="C16" s="6"/>
      <c r="F16" s="6" t="str">
        <f aca="false">IFERROR(INDEX(検算!$A$7:$A$52,MATCH(1,検算!$AJ$7:$AJ$52,0)),"")</f>
        <v/>
      </c>
      <c r="G16" s="6"/>
      <c r="H16" s="12" t="str">
        <f aca="false">IFERROR(INDEX(検算!$AK$7:$AK$52,MATCH(1,検算!$AJ$7:$AJ$52,0)),"")</f>
        <v/>
      </c>
    </row>
    <row r="17" customFormat="false" ht="17.35" hidden="false" customHeight="false" outlineLevel="0" collapsed="false">
      <c r="B17" s="6" t="str">
        <f aca="false">IFERROR(INDEX(検算!$A$7:$A$52,MATCH(2,検算!$AI$7:$AI$52,0)),"")</f>
        <v>下水道局</v>
      </c>
      <c r="C17" s="6"/>
      <c r="F17" s="6" t="str">
        <f aca="false">IFERROR(INDEX(検算!$A$7:$A$52,MATCH(2,検算!$AJ$7:$AJ$52,0)),"")</f>
        <v/>
      </c>
      <c r="G17" s="6"/>
      <c r="H17" s="12" t="str">
        <f aca="false">IFERROR(INDEX(検算!$AK$7:$AK$52,MATCH(2,検算!$AJ$7:$AJ$52,0)),"")</f>
        <v/>
      </c>
    </row>
    <row r="18" customFormat="false" ht="17.35" hidden="false" customHeight="false" outlineLevel="0" collapsed="false">
      <c r="B18" s="6" t="str">
        <f aca="false">IFERROR(INDEX(検算!$A$7:$A$52,MATCH(3,検算!$AI$7:$AI$52,0)),"")</f>
        <v>消防局</v>
      </c>
      <c r="C18" s="6"/>
      <c r="F18" s="6" t="str">
        <f aca="false">IFERROR(INDEX(検算!$A$7:$A$52,MATCH(3,検算!$AJ$7:$AJ$52,0)),"")</f>
        <v/>
      </c>
      <c r="G18" s="6"/>
      <c r="H18" s="12" t="str">
        <f aca="false">IFERROR(INDEX(検算!$AK$7:$AK$52,MATCH(3,検算!$AJ$7:$AJ$52,0)),"")</f>
        <v/>
      </c>
    </row>
    <row r="19" customFormat="false" ht="17.35" hidden="false" customHeight="false" outlineLevel="0" collapsed="false">
      <c r="B19" s="6" t="str">
        <f aca="false">IFERROR(INDEX(検算!$A$7:$A$52,MATCH(4,検算!$AI$7:$AI$52,0)),"")</f>
        <v>議会事務局</v>
      </c>
      <c r="C19" s="6"/>
      <c r="F19" s="6" t="str">
        <f aca="false">IFERROR(INDEX(検算!$A$7:$A$52,MATCH(4,検算!$AJ$7:$AJ$52,0)),"")</f>
        <v/>
      </c>
      <c r="G19" s="6"/>
      <c r="H19" s="12" t="str">
        <f aca="false">IFERROR(INDEX(検算!$AK$7:$AK$52,MATCH(4,検算!$AJ$7:$AJ$52,0)),"")</f>
        <v/>
      </c>
    </row>
    <row r="20" customFormat="false" ht="17.35" hidden="false" customHeight="false" outlineLevel="0" collapsed="false">
      <c r="B20" s="6" t="str">
        <f aca="false">IFERROR(INDEX(検算!$A$7:$A$52,MATCH(5,検算!$AI$7:$AI$52,0)),"")</f>
        <v>教育委員会（総務課）</v>
      </c>
      <c r="C20" s="6"/>
      <c r="F20" s="6" t="str">
        <f aca="false">IFERROR(INDEX(検算!$A$7:$A$52,MATCH(5,検算!$AJ$7:$AJ$52,0)),"")</f>
        <v/>
      </c>
      <c r="G20" s="6"/>
      <c r="H20" s="12" t="str">
        <f aca="false">IFERROR(INDEX(検算!$AK$7:$AK$52,MATCH(5,検算!$AJ$7:$AJ$52,0)),"")</f>
        <v/>
      </c>
    </row>
    <row r="21" customFormat="false" ht="17.35" hidden="false" customHeight="false" outlineLevel="0" collapsed="false">
      <c r="B21" s="6" t="str">
        <f aca="false">IFERROR(INDEX(検算!$A$7:$A$52,MATCH(6,検算!$AI$7:$AI$52,0)),"")</f>
        <v>選挙管理委員会</v>
      </c>
      <c r="C21" s="6"/>
      <c r="F21" s="6" t="str">
        <f aca="false">IFERROR(INDEX(検算!$A$7:$A$52,MATCH(6,検算!$AJ$7:$AJ$52,0)),"")</f>
        <v/>
      </c>
      <c r="G21" s="6"/>
      <c r="H21" s="12" t="str">
        <f aca="false">IFERROR(INDEX(検算!$AK$7:$AK$52,MATCH(6,検算!$AJ$7:$AJ$52,0)),"")</f>
        <v/>
      </c>
    </row>
    <row r="22" customFormat="false" ht="17.35" hidden="false" customHeight="false" outlineLevel="0" collapsed="false">
      <c r="B22" s="6" t="str">
        <f aca="false">IFERROR(INDEX(検算!$A$7:$A$52,MATCH(7,検算!$AI$7:$AI$52,0)),"")</f>
        <v>人事委員会</v>
      </c>
      <c r="C22" s="6"/>
      <c r="F22" s="6" t="str">
        <f aca="false">IFERROR(INDEX(検算!$A$7:$A$52,MATCH(7,検算!$AJ$7:$AJ$52,0)),"")</f>
        <v/>
      </c>
      <c r="G22" s="6"/>
      <c r="H22" s="12" t="str">
        <f aca="false">IFERROR(INDEX(検算!$AK$7:$AK$52,MATCH(7,検算!$AJ$7:$AJ$52,0)),"")</f>
        <v/>
      </c>
    </row>
    <row r="23" customFormat="false" ht="17.35" hidden="false" customHeight="false" outlineLevel="0" collapsed="false">
      <c r="B23" s="6" t="str">
        <f aca="false">IFERROR(INDEX(検算!$A$7:$A$52,MATCH(8,検算!$AI$7:$AI$52,0)),"")</f>
        <v>監査事務局</v>
      </c>
      <c r="C23" s="6"/>
      <c r="F23" s="6" t="str">
        <f aca="false">IFERROR(INDEX(検算!$A$7:$A$52,MATCH(8,検算!$AJ$7:$AJ$52,0)),"")</f>
        <v/>
      </c>
      <c r="G23" s="6"/>
      <c r="H23" s="12" t="str">
        <f aca="false">IFERROR(INDEX(検算!$AK$7:$AK$52,MATCH(8,検算!$AJ$7:$AJ$52,0)),"")</f>
        <v/>
      </c>
    </row>
    <row r="24" customFormat="false" ht="17.35" hidden="false" customHeight="false" outlineLevel="0" collapsed="false">
      <c r="B24" s="6" t="str">
        <f aca="false">IFERROR(INDEX(検算!$A$7:$A$52,MATCH(9,検算!$AI$7:$AI$52,0)),"")</f>
        <v>農業委員会</v>
      </c>
      <c r="C24" s="6"/>
      <c r="F24" s="6" t="str">
        <f aca="false">IFERROR(INDEX(検算!$A$7:$A$52,MATCH(9,検算!$AJ$7:$AJ$52,0)),"")</f>
        <v/>
      </c>
      <c r="G24" s="6"/>
      <c r="H24" s="12" t="str">
        <f aca="false">IFERROR(INDEX(検算!$AK$7:$AK$52,MATCH(9,検算!$AJ$7:$AJ$52,0)),"")</f>
        <v/>
      </c>
    </row>
    <row r="25" customFormat="false" ht="17.35" hidden="false" customHeight="false" outlineLevel="0" collapsed="false">
      <c r="B25" s="6" t="str">
        <f aca="false">IFERROR(INDEX(検算!$A$7:$A$52,MATCH(10,検算!$AI$7:$AI$52,0)),"")</f>
        <v>水道局</v>
      </c>
      <c r="C25" s="6"/>
      <c r="F25" s="6" t="str">
        <f aca="false">IFERROR(INDEX(検算!$A$7:$A$52,MATCH(10,検算!$AJ$7:$AJ$52,0)),"")</f>
        <v/>
      </c>
      <c r="G25" s="6"/>
      <c r="H25" s="12" t="str">
        <f aca="false">IFERROR(INDEX(検算!$AK$7:$AK$52,MATCH(10,検算!$AJ$7:$AJ$52,0)),"")</f>
        <v/>
      </c>
    </row>
    <row r="26" customFormat="false" ht="17.35" hidden="false" customHeight="false" outlineLevel="0" collapsed="false">
      <c r="B26" s="6" t="str">
        <f aca="false">IFERROR(INDEX(検算!$A$7:$A$52,MATCH(11,検算!$AI$7:$AI$52,0)),"")</f>
        <v>医療政策課(安芸市民)</v>
      </c>
      <c r="C26" s="6"/>
      <c r="F26" s="6" t="str">
        <f aca="false">IFERROR(INDEX(検算!$A$7:$A$52,MATCH(11,検算!$AJ$7:$AJ$52,0)),"")</f>
        <v/>
      </c>
      <c r="G26" s="6"/>
      <c r="H26" s="12" t="str">
        <f aca="false">IFERROR(INDEX(検算!$AK$7:$AK$52,MATCH(11,検算!$AJ$7:$AJ$52,0)),"")</f>
        <v/>
      </c>
    </row>
    <row r="27" customFormat="false" ht="17.35" hidden="false" customHeight="false" outlineLevel="0" collapsed="false">
      <c r="B27" s="6" t="str">
        <f aca="false">IFERROR(INDEX(検算!$A$7:$A$52,MATCH(12,検算!$AI$7:$AI$52,0)),"")</f>
        <v>教育委員会（教育給与課）</v>
      </c>
      <c r="C27" s="6"/>
      <c r="F27" s="6" t="str">
        <f aca="false">IFERROR(INDEX(検算!$A$7:$A$52,MATCH(12,検算!$AJ$7:$AJ$52,0)),"")</f>
        <v/>
      </c>
      <c r="G27" s="6"/>
      <c r="H27" s="12" t="str">
        <f aca="false">IFERROR(INDEX(検算!$AK$7:$AK$52,MATCH(12,検算!$AJ$7:$AJ$52,0)),"")</f>
        <v/>
      </c>
    </row>
    <row r="28" customFormat="false" ht="17.35" hidden="false" customHeight="false" outlineLevel="0" collapsed="false">
      <c r="B28" s="6" t="str">
        <f aca="false">IFERROR(INDEX(検算!$A$7:$A$52,MATCH(13,検算!$AI$7:$AI$52,0)),"")</f>
        <v>平和文化センター</v>
      </c>
      <c r="C28" s="6"/>
      <c r="F28" s="6" t="str">
        <f aca="false">IFERROR(INDEX(検算!$A$7:$A$52,MATCH(13,検算!$AJ$7:$AJ$52,0)),"")</f>
        <v/>
      </c>
      <c r="G28" s="6"/>
      <c r="H28" s="12" t="str">
        <f aca="false">IFERROR(INDEX(検算!$AK$7:$AK$52,MATCH(13,検算!$AJ$7:$AJ$52,0)),"")</f>
        <v/>
      </c>
    </row>
    <row r="29" customFormat="false" ht="17.35" hidden="false" customHeight="false" outlineLevel="0" collapsed="false">
      <c r="B29" s="6" t="str">
        <f aca="false">IFERROR(INDEX(検算!$A$7:$A$52,MATCH(14,検算!$AI$7:$AI$52,0)),"")</f>
        <v>社会福祉事業団</v>
      </c>
      <c r="C29" s="6"/>
      <c r="F29" s="6" t="str">
        <f aca="false">IFERROR(INDEX(検算!$A$7:$A$52,MATCH(14,検算!$AJ$7:$AJ$52,0)),"")</f>
        <v/>
      </c>
      <c r="G29" s="6"/>
      <c r="H29" s="12" t="str">
        <f aca="false">IFERROR(INDEX(検算!$AK$7:$AK$52,MATCH(14,検算!$AJ$7:$AJ$52,0)),"")</f>
        <v/>
      </c>
    </row>
    <row r="30" customFormat="false" ht="17.35" hidden="false" customHeight="false" outlineLevel="0" collapsed="false">
      <c r="B30" s="6" t="str">
        <f aca="false">IFERROR(INDEX(検算!$A$7:$A$52,MATCH(15,検算!$AI$7:$AI$52,0)),"")</f>
        <v>原爆障害対策協議会</v>
      </c>
      <c r="C30" s="6"/>
      <c r="F30" s="6" t="str">
        <f aca="false">IFERROR(INDEX(検算!$A$7:$A$52,MATCH(15,検算!$AJ$7:$AJ$52,0)),"")</f>
        <v/>
      </c>
      <c r="G30" s="6"/>
      <c r="H30" s="12" t="str">
        <f aca="false">IFERROR(INDEX(検算!$AK$7:$AK$52,MATCH(15,検算!$AJ$7:$AJ$52,0)),"")</f>
        <v/>
      </c>
    </row>
    <row r="31" customFormat="false" ht="17.35" hidden="false" customHeight="false" outlineLevel="0" collapsed="false"/>
    <row r="32" customFormat="false" ht="17.35" hidden="false" customHeight="false" outlineLevel="0" collapsed="false">
      <c r="B32" s="5" t="s">
        <v>24</v>
      </c>
    </row>
    <row r="33" customFormat="false" ht="17.35" hidden="false" customHeight="false" outlineLevel="0" collapsed="false"/>
    <row r="34" customFormat="false" ht="17.35" hidden="false" customHeight="false" outlineLevel="0" collapsed="false">
      <c r="B34" s="13" t="s">
        <v>25</v>
      </c>
    </row>
    <row r="35" customFormat="false" ht="34" hidden="false" customHeight="true" outlineLevel="0" collapsed="false">
      <c r="B35" s="14" t="s">
        <v>26</v>
      </c>
      <c r="C35" s="6" t="s">
        <v>27</v>
      </c>
      <c r="D35" s="6"/>
      <c r="E35" s="6"/>
      <c r="F35" s="6"/>
      <c r="G35" s="6"/>
      <c r="H35" s="6"/>
      <c r="I35" s="6"/>
    </row>
    <row r="36" customFormat="false" ht="34" hidden="false" customHeight="true" outlineLevel="0" collapsed="false">
      <c r="B36" s="14" t="s">
        <v>28</v>
      </c>
      <c r="C36" s="6" t="s">
        <v>29</v>
      </c>
      <c r="D36" s="6"/>
      <c r="E36" s="6"/>
      <c r="F36" s="6"/>
      <c r="G36" s="6"/>
      <c r="H36" s="6"/>
      <c r="I36" s="6"/>
    </row>
    <row r="37" customFormat="false" ht="34" hidden="false" customHeight="true" outlineLevel="0" collapsed="false">
      <c r="B37" s="14" t="s">
        <v>30</v>
      </c>
      <c r="C37" s="6" t="s">
        <v>31</v>
      </c>
      <c r="D37" s="6"/>
      <c r="E37" s="6"/>
      <c r="F37" s="6"/>
      <c r="G37" s="6"/>
      <c r="H37" s="6"/>
      <c r="I37" s="6"/>
    </row>
    <row r="38" customFormat="false" ht="34" hidden="false" customHeight="true" outlineLevel="0" collapsed="false">
      <c r="B38" s="14" t="s">
        <v>32</v>
      </c>
      <c r="C38" s="6" t="s">
        <v>33</v>
      </c>
      <c r="D38" s="6"/>
      <c r="E38" s="6"/>
      <c r="F38" s="6"/>
      <c r="G38" s="6"/>
      <c r="H38" s="6"/>
      <c r="I38" s="6"/>
    </row>
    <row r="39" customFormat="false" ht="34" hidden="false" customHeight="true" outlineLevel="0" collapsed="false">
      <c r="B39" s="14" t="s">
        <v>34</v>
      </c>
      <c r="C39" s="6" t="s">
        <v>35</v>
      </c>
      <c r="D39" s="6"/>
      <c r="E39" s="6"/>
      <c r="F39" s="6"/>
      <c r="G39" s="6"/>
      <c r="H39" s="6"/>
      <c r="I39" s="6"/>
    </row>
    <row r="40" customFormat="false" ht="17.35" hidden="false" customHeight="false" outlineLevel="0" collapsed="false"/>
    <row r="41" customFormat="false" ht="17.35" hidden="false" customHeight="false" outlineLevel="0" collapsed="false">
      <c r="B41" s="13" t="s">
        <v>36</v>
      </c>
    </row>
    <row r="42" customFormat="false" ht="17.35" hidden="false" customHeight="true" outlineLevel="0" collapsed="false">
      <c r="B42" s="8" t="s">
        <v>37</v>
      </c>
      <c r="C42" s="6" t="s">
        <v>38</v>
      </c>
      <c r="D42" s="6"/>
      <c r="E42" s="6"/>
      <c r="F42" s="6"/>
      <c r="G42" s="6"/>
      <c r="H42" s="6"/>
      <c r="I42" s="6"/>
    </row>
    <row r="43" customFormat="false" ht="17.35" hidden="false" customHeight="true" outlineLevel="0" collapsed="false">
      <c r="B43" s="8" t="s">
        <v>39</v>
      </c>
      <c r="C43" s="6" t="s">
        <v>40</v>
      </c>
      <c r="D43" s="6"/>
      <c r="E43" s="6"/>
      <c r="F43" s="6"/>
      <c r="G43" s="6"/>
      <c r="H43" s="6"/>
      <c r="I43" s="6"/>
    </row>
    <row r="44" customFormat="false" ht="17.35" hidden="false" customHeight="true" outlineLevel="0" collapsed="false">
      <c r="B44" s="8" t="s">
        <v>41</v>
      </c>
      <c r="C44" s="6" t="s">
        <v>42</v>
      </c>
      <c r="D44" s="6"/>
      <c r="E44" s="6"/>
      <c r="F44" s="6"/>
      <c r="G44" s="6"/>
      <c r="H44" s="6"/>
      <c r="I44" s="6"/>
    </row>
    <row r="45" customFormat="false" ht="17.35" hidden="false" customHeight="true" outlineLevel="0" collapsed="false">
      <c r="B45" s="8" t="s">
        <v>43</v>
      </c>
      <c r="C45" s="6" t="s">
        <v>44</v>
      </c>
      <c r="D45" s="6"/>
      <c r="E45" s="6"/>
      <c r="F45" s="6"/>
      <c r="G45" s="6"/>
      <c r="H45" s="6"/>
      <c r="I45" s="6"/>
    </row>
    <row r="46" customFormat="false" ht="17.35" hidden="false" customHeight="true" outlineLevel="0" collapsed="false">
      <c r="B46" s="8" t="s">
        <v>45</v>
      </c>
      <c r="C46" s="6" t="s">
        <v>46</v>
      </c>
      <c r="D46" s="6"/>
      <c r="E46" s="6"/>
      <c r="F46" s="6"/>
      <c r="G46" s="6"/>
      <c r="H46" s="6"/>
      <c r="I46" s="6"/>
    </row>
    <row r="47" customFormat="false" ht="17.35" hidden="false" customHeight="false" outlineLevel="0" collapsed="false"/>
    <row r="48" customFormat="false" ht="17.35" hidden="false" customHeight="false" outlineLevel="0" collapsed="false">
      <c r="B48" s="13" t="s">
        <v>47</v>
      </c>
    </row>
    <row r="49" customFormat="false" ht="48" hidden="false" customHeight="true" outlineLevel="0" collapsed="false">
      <c r="B49" s="15" t="s">
        <v>48</v>
      </c>
      <c r="C49" s="15"/>
      <c r="D49" s="15"/>
      <c r="E49" s="15"/>
      <c r="F49" s="15"/>
      <c r="G49" s="15"/>
      <c r="H49" s="15"/>
      <c r="I49" s="15"/>
    </row>
    <row r="50" customFormat="false" ht="17.35" hidden="false" customHeight="false" outlineLevel="0" collapsed="false"/>
    <row r="51" customFormat="false" ht="17.35" hidden="false" customHeight="false" outlineLevel="0" collapsed="false">
      <c r="B51" s="13" t="s">
        <v>49</v>
      </c>
    </row>
    <row r="52" customFormat="false" ht="17.35" hidden="false" customHeight="true" outlineLevel="0" collapsed="false">
      <c r="B52" s="15" t="s">
        <v>50</v>
      </c>
      <c r="C52" s="15"/>
      <c r="D52" s="15"/>
      <c r="E52" s="15"/>
      <c r="F52" s="15"/>
      <c r="G52" s="15"/>
      <c r="H52" s="15"/>
      <c r="I52" s="15"/>
    </row>
    <row r="53" customFormat="false" ht="17.35" hidden="false" customHeight="true" outlineLevel="0" collapsed="false">
      <c r="B53" s="15" t="s">
        <v>51</v>
      </c>
      <c r="C53" s="15"/>
      <c r="D53" s="15"/>
      <c r="E53" s="15"/>
      <c r="F53" s="15"/>
      <c r="G53" s="15"/>
      <c r="H53" s="15"/>
      <c r="I53" s="15"/>
    </row>
    <row r="54" customFormat="false" ht="17.35" hidden="false" customHeight="true" outlineLevel="0" collapsed="false">
      <c r="B54" s="15" t="s">
        <v>52</v>
      </c>
      <c r="C54" s="15"/>
      <c r="D54" s="15"/>
      <c r="E54" s="15"/>
      <c r="F54" s="15"/>
      <c r="G54" s="15"/>
      <c r="H54" s="15"/>
      <c r="I54" s="15"/>
    </row>
    <row r="55" customFormat="false" ht="17.35" hidden="false" customHeight="true" outlineLevel="0" collapsed="false">
      <c r="B55" s="15" t="s">
        <v>53</v>
      </c>
      <c r="C55" s="15"/>
      <c r="D55" s="15"/>
      <c r="E55" s="15"/>
      <c r="F55" s="15"/>
      <c r="G55" s="15"/>
      <c r="H55" s="15"/>
      <c r="I55" s="15"/>
    </row>
    <row r="56" customFormat="false" ht="17.35" hidden="false" customHeight="true" outlineLevel="0" collapsed="false">
      <c r="B56" s="15" t="s">
        <v>54</v>
      </c>
      <c r="C56" s="15"/>
      <c r="D56" s="15"/>
      <c r="E56" s="15"/>
      <c r="F56" s="15"/>
      <c r="G56" s="15"/>
      <c r="H56" s="15"/>
      <c r="I56" s="15"/>
    </row>
    <row r="57" customFormat="false" ht="17.35" hidden="false" customHeight="true" outlineLevel="0" collapsed="false">
      <c r="B57" s="15" t="s">
        <v>55</v>
      </c>
      <c r="C57" s="15"/>
      <c r="D57" s="15"/>
      <c r="E57" s="15"/>
      <c r="F57" s="15"/>
      <c r="G57" s="15"/>
      <c r="H57" s="15"/>
      <c r="I57" s="15"/>
    </row>
  </sheetData>
  <mergeCells count="49">
    <mergeCell ref="B15:C15"/>
    <mergeCell ref="F15:G15"/>
    <mergeCell ref="B16:C16"/>
    <mergeCell ref="F16:G16"/>
    <mergeCell ref="B17:C17"/>
    <mergeCell ref="F17:G17"/>
    <mergeCell ref="B18:C18"/>
    <mergeCell ref="F18:G18"/>
    <mergeCell ref="B19:C19"/>
    <mergeCell ref="F19:G19"/>
    <mergeCell ref="B20:C20"/>
    <mergeCell ref="F20:G20"/>
    <mergeCell ref="B21:C21"/>
    <mergeCell ref="F21:G21"/>
    <mergeCell ref="B22:C22"/>
    <mergeCell ref="F22:G22"/>
    <mergeCell ref="B23:C23"/>
    <mergeCell ref="F23:G23"/>
    <mergeCell ref="B24:C24"/>
    <mergeCell ref="F24:G24"/>
    <mergeCell ref="B25:C25"/>
    <mergeCell ref="F25:G25"/>
    <mergeCell ref="B26:C26"/>
    <mergeCell ref="F26:G26"/>
    <mergeCell ref="B27:C27"/>
    <mergeCell ref="F27:G27"/>
    <mergeCell ref="B28:C28"/>
    <mergeCell ref="F28:G28"/>
    <mergeCell ref="B29:C29"/>
    <mergeCell ref="F29:G29"/>
    <mergeCell ref="B30:C30"/>
    <mergeCell ref="F30:G30"/>
    <mergeCell ref="C35:I35"/>
    <mergeCell ref="C36:I36"/>
    <mergeCell ref="C37:I37"/>
    <mergeCell ref="C38:I38"/>
    <mergeCell ref="C39:I39"/>
    <mergeCell ref="C42:I42"/>
    <mergeCell ref="C43:I43"/>
    <mergeCell ref="C44:I44"/>
    <mergeCell ref="C45:I45"/>
    <mergeCell ref="C46:I46"/>
    <mergeCell ref="B49:I49"/>
    <mergeCell ref="B52:I52"/>
    <mergeCell ref="B53:I53"/>
    <mergeCell ref="B54:I54"/>
    <mergeCell ref="B55:I55"/>
    <mergeCell ref="B56:I56"/>
    <mergeCell ref="B57:I57"/>
  </mergeCells>
  <conditionalFormatting sqref="C7">
    <cfRule type="expression" priority="2" aboveAverage="0" equalAverage="0" bottom="0" percent="0" rank="0" text="" dxfId="0">
      <formula>C7&gt;0</formula>
    </cfRule>
  </conditionalFormatting>
  <conditionalFormatting sqref="G7">
    <cfRule type="expression" priority="3" aboveAverage="0" equalAverage="0" bottom="0" percent="0" rank="0" text="" dxfId="1">
      <formula>G7&gt;0</formula>
    </cfRule>
  </conditionalFormatting>
  <conditionalFormatting sqref="G10">
    <cfRule type="expression" priority="4" aboveAverage="0" equalAverage="0" bottom="0" percent="0" rank="0" text="" dxfId="1">
      <formula>G10&gt;0</formula>
    </cfRule>
  </conditionalFormatting>
  <conditionalFormatting sqref="G12">
    <cfRule type="expression" priority="5" aboveAverage="0" equalAverage="0" bottom="0" percent="0" rank="0" text="" dxfId="1">
      <formula>G12="差異あり"</formula>
    </cfRule>
    <cfRule type="expression" priority="6" aboveAverage="0" equalAverage="0" bottom="0" percent="0" rank="0" text="" dxfId="2">
      <formula>G12="一致"</formula>
    </cfRule>
  </conditionalFormatting>
  <dataValidations count="1">
    <dataValidation allowBlank="false" errorStyle="stop" operator="between" showDropDown="false" showErrorMessage="false" showInputMessage="false" sqref="C4" type="list">
      <formula1>設定!$A$20:$A$34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C00000"/>
    <pageSetUpPr fitToPage="false"/>
  </sheetPr>
  <dimension ref="A1:CI6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421875" defaultRowHeight="15" zeroHeight="false" outlineLevelRow="0" outlineLevelCol="1"/>
  <cols>
    <col collapsed="false" customWidth="true" hidden="false" outlineLevel="0" max="1" min="1" style="0" width="13"/>
    <col collapsed="false" customWidth="true" hidden="false" outlineLevel="0" max="2" min="2" style="0" width="26"/>
    <col collapsed="false" customWidth="true" hidden="false" outlineLevel="0" max="4" min="3" style="0" width="10"/>
    <col collapsed="false" customWidth="true" hidden="false" outlineLevel="0" max="5" min="5" style="0" width="11"/>
    <col collapsed="false" customWidth="true" hidden="false" outlineLevel="0" max="6" min="6" style="0" width="9"/>
    <col collapsed="false" customWidth="true" hidden="false" outlineLevel="0" max="7" min="7" style="0" width="12"/>
    <col collapsed="false" customWidth="true" hidden="false" outlineLevel="0" max="8" min="8" style="0" width="9"/>
    <col collapsed="false" customWidth="true" hidden="false" outlineLevel="0" max="22" min="9" style="0" width="13"/>
    <col collapsed="false" customWidth="true" hidden="false" outlineLevel="0" max="23" min="23" style="0" width="14"/>
    <col collapsed="false" customWidth="true" hidden="false" outlineLevel="0" max="24" min="24" style="0" width="11"/>
    <col collapsed="false" customWidth="true" hidden="false" outlineLevel="0" max="25" min="25" style="0" width="12"/>
    <col collapsed="false" customWidth="true" hidden="false" outlineLevel="0" max="26" min="26" style="0" width="13"/>
    <col collapsed="false" customWidth="true" hidden="false" outlineLevel="0" max="27" min="27" style="0" width="12"/>
    <col collapsed="false" customWidth="true" hidden="false" outlineLevel="0" max="28" min="28" style="0" width="13"/>
    <col collapsed="false" customWidth="true" hidden="false" outlineLevel="0" max="29" min="29" style="0" width="12"/>
    <col collapsed="false" customWidth="true" hidden="false" outlineLevel="0" max="30" min="30" style="0" width="13"/>
    <col collapsed="false" customWidth="true" hidden="false" outlineLevel="0" max="31" min="31" style="0" width="12"/>
    <col collapsed="false" customWidth="true" hidden="false" outlineLevel="0" max="32" min="32" style="0" width="13"/>
    <col collapsed="false" customWidth="true" hidden="false" outlineLevel="0" max="33" min="33" style="0" width="10"/>
    <col collapsed="false" customWidth="true" hidden="false" outlineLevel="0" max="34" min="34" style="0" width="9"/>
    <col collapsed="false" customWidth="true" hidden="false" outlineLevel="0" max="35" min="35" style="0" width="24"/>
    <col collapsed="false" customWidth="true" hidden="true" outlineLevel="1" max="87" min="36" style="0" width="11"/>
  </cols>
  <sheetData>
    <row r="1" customFormat="false" ht="19.4" hidden="false" customHeight="false" outlineLevel="0" collapsed="false">
      <c r="A1" s="16" t="s">
        <v>56</v>
      </c>
    </row>
    <row r="2" customFormat="false" ht="17.35" hidden="false" customHeight="false" outlineLevel="0" collapsed="false">
      <c r="A2" s="2" t="s">
        <v>57</v>
      </c>
    </row>
    <row r="3" customFormat="false" ht="17.35" hidden="false" customHeight="false" outlineLevel="0" collapsed="false">
      <c r="A3" s="2" t="s">
        <v>58</v>
      </c>
    </row>
    <row r="4" customFormat="false" ht="17.35" hidden="false" customHeight="false" outlineLevel="0" collapsed="false">
      <c r="A4" s="2" t="s">
        <v>59</v>
      </c>
    </row>
    <row r="5" customFormat="false" ht="22" hidden="false" customHeight="true" outlineLevel="0" collapsed="false">
      <c r="C5" s="17" t="s">
        <v>60</v>
      </c>
      <c r="D5" s="17"/>
      <c r="E5" s="17"/>
      <c r="F5" s="17"/>
      <c r="G5" s="18" t="s">
        <v>61</v>
      </c>
      <c r="H5" s="18"/>
      <c r="I5" s="18" t="s">
        <v>62</v>
      </c>
      <c r="J5" s="18"/>
      <c r="K5" s="18"/>
      <c r="L5" s="18" t="s">
        <v>63</v>
      </c>
      <c r="M5" s="18"/>
      <c r="N5" s="18"/>
      <c r="O5" s="18"/>
      <c r="P5" s="18"/>
      <c r="Q5" s="18"/>
      <c r="R5" s="18"/>
      <c r="S5" s="18"/>
      <c r="T5" s="18"/>
      <c r="U5" s="18"/>
      <c r="V5" s="18"/>
      <c r="W5" s="18" t="s">
        <v>64</v>
      </c>
      <c r="X5" s="18"/>
      <c r="Y5" s="18"/>
      <c r="Z5" s="18"/>
      <c r="AA5" s="18"/>
      <c r="AB5" s="18"/>
      <c r="AC5" s="18"/>
      <c r="AD5" s="18"/>
      <c r="AE5" s="18"/>
      <c r="AF5" s="18"/>
      <c r="AG5" s="18" t="s">
        <v>65</v>
      </c>
      <c r="AH5" s="18"/>
      <c r="AJ5" s="19" t="s">
        <v>66</v>
      </c>
      <c r="AK5" s="19"/>
      <c r="AL5" s="19"/>
      <c r="AM5" s="19"/>
      <c r="AN5" s="19"/>
      <c r="AO5" s="19"/>
      <c r="AP5" s="19"/>
      <c r="AQ5" s="19"/>
      <c r="AR5" s="19"/>
      <c r="AS5" s="19"/>
      <c r="AT5" s="19"/>
      <c r="AU5" s="19" t="s">
        <v>67</v>
      </c>
      <c r="AV5" s="19"/>
      <c r="AW5" s="19"/>
      <c r="AX5" s="19"/>
      <c r="AY5" s="19"/>
      <c r="AZ5" s="19"/>
      <c r="BA5" s="19"/>
      <c r="BB5" s="19"/>
      <c r="BC5" s="19"/>
      <c r="BD5" s="19"/>
      <c r="BE5" s="19"/>
      <c r="BF5" s="19" t="s">
        <v>68</v>
      </c>
      <c r="BG5" s="19"/>
      <c r="BH5" s="19"/>
      <c r="BI5" s="19"/>
      <c r="BJ5" s="19"/>
      <c r="BK5" s="19"/>
      <c r="BL5" s="19"/>
      <c r="BM5" s="19"/>
      <c r="BN5" s="19" t="s">
        <v>69</v>
      </c>
      <c r="BO5" s="19"/>
      <c r="BP5" s="19"/>
      <c r="BQ5" s="19"/>
      <c r="BR5" s="19"/>
      <c r="BS5" s="19"/>
      <c r="BT5" s="19"/>
      <c r="BU5" s="19"/>
      <c r="BV5" s="19" t="s">
        <v>70</v>
      </c>
      <c r="BW5" s="19"/>
      <c r="BX5" s="19"/>
      <c r="BY5" s="19"/>
      <c r="BZ5" s="19"/>
      <c r="CA5" s="19"/>
      <c r="CB5" s="19"/>
      <c r="CC5" s="19"/>
    </row>
    <row r="6" customFormat="false" ht="58" hidden="false" customHeight="true" outlineLevel="0" collapsed="false">
      <c r="A6" s="3" t="s">
        <v>71</v>
      </c>
      <c r="B6" s="3" t="s">
        <v>72</v>
      </c>
      <c r="C6" s="3" t="s">
        <v>41</v>
      </c>
      <c r="D6" s="3" t="s">
        <v>73</v>
      </c>
      <c r="E6" s="3" t="s">
        <v>74</v>
      </c>
      <c r="F6" s="3" t="s">
        <v>75</v>
      </c>
      <c r="G6" s="20" t="s">
        <v>76</v>
      </c>
      <c r="H6" s="20" t="s">
        <v>77</v>
      </c>
      <c r="I6" s="20" t="s">
        <v>78</v>
      </c>
      <c r="J6" s="20" t="s">
        <v>79</v>
      </c>
      <c r="K6" s="20" t="s">
        <v>80</v>
      </c>
      <c r="L6" s="20" t="s">
        <v>81</v>
      </c>
      <c r="M6" s="20" t="s">
        <v>82</v>
      </c>
      <c r="N6" s="20" t="s">
        <v>83</v>
      </c>
      <c r="O6" s="20" t="s">
        <v>84</v>
      </c>
      <c r="P6" s="20" t="s">
        <v>85</v>
      </c>
      <c r="Q6" s="20" t="s">
        <v>86</v>
      </c>
      <c r="R6" s="20" t="s">
        <v>87</v>
      </c>
      <c r="S6" s="20" t="s">
        <v>88</v>
      </c>
      <c r="T6" s="20" t="s">
        <v>89</v>
      </c>
      <c r="U6" s="20" t="s">
        <v>90</v>
      </c>
      <c r="V6" s="20" t="s">
        <v>91</v>
      </c>
      <c r="W6" s="20" t="s">
        <v>92</v>
      </c>
      <c r="X6" s="20" t="s">
        <v>93</v>
      </c>
      <c r="Y6" s="20" t="s">
        <v>94</v>
      </c>
      <c r="Z6" s="20" t="s">
        <v>95</v>
      </c>
      <c r="AA6" s="20" t="s">
        <v>96</v>
      </c>
      <c r="AB6" s="20" t="s">
        <v>97</v>
      </c>
      <c r="AC6" s="20" t="s">
        <v>98</v>
      </c>
      <c r="AD6" s="20" t="s">
        <v>99</v>
      </c>
      <c r="AE6" s="20" t="s">
        <v>100</v>
      </c>
      <c r="AF6" s="20" t="s">
        <v>101</v>
      </c>
      <c r="AG6" s="20" t="s">
        <v>102</v>
      </c>
      <c r="AH6" s="20" t="s">
        <v>103</v>
      </c>
      <c r="AI6" s="3" t="s">
        <v>104</v>
      </c>
      <c r="AJ6" s="21" t="s">
        <v>105</v>
      </c>
      <c r="AK6" s="21" t="s">
        <v>106</v>
      </c>
      <c r="AL6" s="21" t="s">
        <v>107</v>
      </c>
      <c r="AM6" s="21" t="s">
        <v>108</v>
      </c>
      <c r="AN6" s="21" t="s">
        <v>109</v>
      </c>
      <c r="AO6" s="21" t="s">
        <v>110</v>
      </c>
      <c r="AP6" s="21" t="s">
        <v>111</v>
      </c>
      <c r="AQ6" s="21" t="s">
        <v>112</v>
      </c>
      <c r="AR6" s="21" t="s">
        <v>113</v>
      </c>
      <c r="AS6" s="21" t="s">
        <v>114</v>
      </c>
      <c r="AT6" s="21" t="s">
        <v>115</v>
      </c>
      <c r="AU6" s="21" t="s">
        <v>116</v>
      </c>
      <c r="AV6" s="21" t="s">
        <v>117</v>
      </c>
      <c r="AW6" s="21" t="s">
        <v>118</v>
      </c>
      <c r="AX6" s="21" t="s">
        <v>119</v>
      </c>
      <c r="AY6" s="21" t="s">
        <v>120</v>
      </c>
      <c r="AZ6" s="21" t="s">
        <v>121</v>
      </c>
      <c r="BA6" s="21" t="s">
        <v>122</v>
      </c>
      <c r="BB6" s="21" t="s">
        <v>123</v>
      </c>
      <c r="BC6" s="21" t="s">
        <v>124</v>
      </c>
      <c r="BD6" s="21" t="s">
        <v>125</v>
      </c>
      <c r="BE6" s="21" t="s">
        <v>126</v>
      </c>
      <c r="BF6" s="21" t="s">
        <v>127</v>
      </c>
      <c r="BG6" s="21" t="s">
        <v>128</v>
      </c>
      <c r="BH6" s="21" t="s">
        <v>129</v>
      </c>
      <c r="BI6" s="21" t="s">
        <v>130</v>
      </c>
      <c r="BJ6" s="21" t="s">
        <v>131</v>
      </c>
      <c r="BK6" s="21" t="s">
        <v>132</v>
      </c>
      <c r="BL6" s="21" t="s">
        <v>133</v>
      </c>
      <c r="BM6" s="21" t="s">
        <v>134</v>
      </c>
      <c r="BN6" s="21" t="s">
        <v>135</v>
      </c>
      <c r="BO6" s="21" t="s">
        <v>136</v>
      </c>
      <c r="BP6" s="21" t="s">
        <v>137</v>
      </c>
      <c r="BQ6" s="21" t="s">
        <v>138</v>
      </c>
      <c r="BR6" s="21" t="s">
        <v>139</v>
      </c>
      <c r="BS6" s="21" t="s">
        <v>140</v>
      </c>
      <c r="BT6" s="21" t="s">
        <v>141</v>
      </c>
      <c r="BU6" s="21" t="s">
        <v>142</v>
      </c>
      <c r="BV6" s="21" t="s">
        <v>143</v>
      </c>
      <c r="BW6" s="21" t="s">
        <v>144</v>
      </c>
      <c r="BX6" s="21" t="s">
        <v>145</v>
      </c>
      <c r="BY6" s="21" t="s">
        <v>146</v>
      </c>
      <c r="BZ6" s="21" t="s">
        <v>147</v>
      </c>
      <c r="CA6" s="21" t="s">
        <v>148</v>
      </c>
      <c r="CB6" s="21" t="s">
        <v>149</v>
      </c>
      <c r="CC6" s="21" t="s">
        <v>150</v>
      </c>
      <c r="CD6" s="21" t="s">
        <v>151</v>
      </c>
      <c r="CE6" s="21" t="s">
        <v>152</v>
      </c>
      <c r="CF6" s="21" t="s">
        <v>153</v>
      </c>
      <c r="CG6" s="21" t="s">
        <v>154</v>
      </c>
      <c r="CH6" s="21" t="s">
        <v>155</v>
      </c>
      <c r="CI6" s="21" t="s">
        <v>156</v>
      </c>
    </row>
    <row r="7" customFormat="false" ht="15" hidden="true" customHeight="false" outlineLevel="0" collapsed="false">
      <c r="A7" s="22" t="s">
        <v>157</v>
      </c>
      <c r="B7" s="23" t="s">
        <v>158</v>
      </c>
      <c r="C7" s="10" t="str">
        <f aca="false">IF(G7="","未受領",IF(G7="なし","報告なし",IF(AH7="○","起票済",IF(OR(AG7="○",F7="一致",F7="入金不要"),"入金確認済","受領済"))))</f>
        <v>入金確認済</v>
      </c>
      <c r="D7" s="10" t="str">
        <f aca="false">IF(OR(G7="",G7="なし"),"―",IF(CH7="N","対象外",IF(AND(I7="",J7="",K7=""),"標報未入力",IF(CD7&gt;=設定!$B$4,"要確認","問題なし"))))</f>
        <v>対象外</v>
      </c>
      <c r="E7" s="24" t="str">
        <f aca="false">IF(OR(G7="",G7="なし",CE7="",CF7=0),"―",IF(CF7=CE7,"前月同額",IF(CE7=0,"―",IF(ABS(CF7/CE7-1)&gt;=設定!$B$5,"変動大 "&amp;TEXT(CF7/CE7-1,"+0%;-0%"),"〇"))))</f>
        <v>―</v>
      </c>
      <c r="F7" s="10" t="str">
        <f aca="false">IF(OR(G7="",G7="なし"),"―",IF(CF7=0,"入金不要",IF(COUNT(Z7,AB7,AD7,AF7)=0,IF(AG7="○","手動確認","未入金"),IF(AND(N(Z7)=Y7,IF(AA7="",TRUE(),N(AB7)=AA7),IF(AC7="",TRUE(),N(AD7)=AC7),IF(AE7="",TRUE(),N(AF7)=AE7)),"一致","不一致"))))</f>
        <v>手動確認</v>
      </c>
      <c r="G7" s="25" t="s">
        <v>159</v>
      </c>
      <c r="H7" s="26"/>
      <c r="I7" s="27"/>
      <c r="J7" s="27"/>
      <c r="K7" s="27"/>
      <c r="L7" s="27" t="n">
        <v>237888288</v>
      </c>
      <c r="M7" s="27" t="n">
        <v>19545382</v>
      </c>
      <c r="N7" s="27" t="n">
        <v>340368825</v>
      </c>
      <c r="O7" s="27" t="n">
        <v>18931427</v>
      </c>
      <c r="P7" s="27" t="n">
        <v>229767</v>
      </c>
      <c r="Q7" s="27" t="n">
        <v>172293834</v>
      </c>
      <c r="R7" s="27" t="n">
        <v>170938710</v>
      </c>
      <c r="S7" s="27" t="n">
        <v>15691597</v>
      </c>
      <c r="T7" s="27" t="n">
        <v>15239233</v>
      </c>
      <c r="U7" s="27" t="n">
        <v>3806352</v>
      </c>
      <c r="V7" s="27" t="n">
        <v>3733563</v>
      </c>
      <c r="W7" s="10" t="str">
        <f aca="false">IFERROR(INDEX(設定!$E$61:$E$106,MATCH(B7,設定!$B$61:$B$106,0)),"合算")</f>
        <v>合算</v>
      </c>
      <c r="X7" s="28"/>
      <c r="Y7" s="29" t="n">
        <f aca="false">IF(OR(G7="",G7="なし"),"",IF(W7="合算",CF7,IF(W7="掛金・負担金別",(AU7+AV7+AZ7+BB7+BD7),SUM(AU7:AY7))))</f>
        <v>998666978</v>
      </c>
      <c r="Z7" s="27"/>
      <c r="AA7" s="29" t="str">
        <f aca="false">IF(OR(G7="",G7="なし"),"",IF(W7="掛金・負担金別",(AW7+AX7+AY7+BA7+BC7+BE7),IF(W7="経理区分別",AZ7+BA7,"")))</f>
        <v/>
      </c>
      <c r="AB7" s="27"/>
      <c r="AC7" s="29" t="str">
        <f aca="false">IF(OR(G7="",G7="なし"),"",IF(W7="経理区分別",BB7+BC7,""))</f>
        <v/>
      </c>
      <c r="AD7" s="27"/>
      <c r="AE7" s="29" t="str">
        <f aca="false">IF(OR(G7="",G7="なし"),"",IF(W7="経理区分別",BD7+BE7,""))</f>
        <v/>
      </c>
      <c r="AF7" s="27"/>
      <c r="AG7" s="26" t="s">
        <v>160</v>
      </c>
      <c r="AH7" s="26"/>
      <c r="AI7" s="30"/>
      <c r="AJ7" s="31"/>
      <c r="AK7" s="31"/>
      <c r="AL7" s="31"/>
      <c r="AM7" s="31"/>
      <c r="AN7" s="31"/>
      <c r="AO7" s="31"/>
      <c r="AP7" s="31"/>
      <c r="AQ7" s="31"/>
      <c r="AR7" s="31"/>
      <c r="AS7" s="31"/>
      <c r="AT7" s="31"/>
      <c r="AU7" s="31" t="n">
        <f aca="false">IF($G7="",AJ7,L7)</f>
        <v>237888288</v>
      </c>
      <c r="AV7" s="31" t="n">
        <f aca="false">IF($G7="",AK7,M7)</f>
        <v>19545382</v>
      </c>
      <c r="AW7" s="31" t="n">
        <f aca="false">IF($G7="",AL7,N7)</f>
        <v>340368825</v>
      </c>
      <c r="AX7" s="31" t="n">
        <f aca="false">IF($G7="",AM7,O7)</f>
        <v>18931427</v>
      </c>
      <c r="AY7" s="31" t="n">
        <f aca="false">IF($G7="",AN7,P7)</f>
        <v>229767</v>
      </c>
      <c r="AZ7" s="31" t="n">
        <f aca="false">IF($G7="",AO7,Q7)</f>
        <v>172293834</v>
      </c>
      <c r="BA7" s="31" t="n">
        <f aca="false">IF($G7="",AP7,R7)</f>
        <v>170938710</v>
      </c>
      <c r="BB7" s="31" t="n">
        <f aca="false">IF($G7="",AQ7,S7)</f>
        <v>15691597</v>
      </c>
      <c r="BC7" s="31" t="n">
        <f aca="false">IF($G7="",AR7,T7)</f>
        <v>15239233</v>
      </c>
      <c r="BD7" s="31" t="n">
        <f aca="false">IF($G7="",AS7,U7)</f>
        <v>3806352</v>
      </c>
      <c r="BE7" s="31" t="n">
        <f aca="false">IF($G7="",AT7,V7)</f>
        <v>3733563</v>
      </c>
      <c r="BF7" s="31" t="n">
        <f aca="false">ROUNDDOWN(I7*設定!$B$10/1000,0)+ROUNDDOWN(I7*設定!$B$11/1000,0)</f>
        <v>0</v>
      </c>
      <c r="BG7" s="31" t="n">
        <f aca="false">ROUNDDOWN(I7*設定!$C$10/1000,0)+ROUNDDOWN(I7*設定!$C$11/1000,0)+ROUNDDOWN(I7*設定!$C$12/1000,0)</f>
        <v>0</v>
      </c>
      <c r="BH7" s="31" t="n">
        <f aca="false">ROUNDDOWN(J7*設定!$B$13/1000,0)</f>
        <v>0</v>
      </c>
      <c r="BI7" s="31" t="n">
        <f aca="false">ROUNDDOWN(J7*設定!$C$13/1000,0)</f>
        <v>0</v>
      </c>
      <c r="BJ7" s="31" t="n">
        <f aca="false">ROUNDDOWN(K7*設定!$B$14/1000,0)</f>
        <v>0</v>
      </c>
      <c r="BK7" s="31" t="n">
        <f aca="false">ROUNDDOWN(K7*設定!$C$14/1000,0)</f>
        <v>0</v>
      </c>
      <c r="BL7" s="31" t="n">
        <f aca="false">ROUNDDOWN(J7*設定!$B$15/1000,0)</f>
        <v>0</v>
      </c>
      <c r="BM7" s="31" t="n">
        <f aca="false">ROUNDDOWN(J7*設定!$C$15/1000,0)</f>
        <v>0</v>
      </c>
      <c r="BN7" s="31" t="n">
        <f aca="false">L7+M7</f>
        <v>257433670</v>
      </c>
      <c r="BO7" s="31" t="n">
        <f aca="false">N7+O7+P7</f>
        <v>359530019</v>
      </c>
      <c r="BP7" s="31" t="n">
        <f aca="false">Q7</f>
        <v>172293834</v>
      </c>
      <c r="BQ7" s="31" t="n">
        <f aca="false">R7</f>
        <v>170938710</v>
      </c>
      <c r="BR7" s="31" t="n">
        <f aca="false">S7</f>
        <v>15691597</v>
      </c>
      <c r="BS7" s="31" t="n">
        <f aca="false">T7</f>
        <v>15239233</v>
      </c>
      <c r="BT7" s="31" t="n">
        <f aca="false">U7</f>
        <v>3806352</v>
      </c>
      <c r="BU7" s="31" t="n">
        <f aca="false">V7</f>
        <v>3733563</v>
      </c>
      <c r="BV7" s="32" t="n">
        <f aca="false">IF(BF7=0,IF(BN7=0,0,1),(BN7-BF7)/BF7)</f>
        <v>1</v>
      </c>
      <c r="BW7" s="32" t="n">
        <f aca="false">IF(BG7=0,IF(BO7=0,0,1),(BO7-BG7)/BG7)</f>
        <v>1</v>
      </c>
      <c r="BX7" s="32" t="n">
        <f aca="false">IF(BH7=0,IF(BP7=0,0,1),(BP7-BH7)/BH7)</f>
        <v>1</v>
      </c>
      <c r="BY7" s="32" t="n">
        <f aca="false">IF(BI7=0,IF(BQ7=0,0,1),(BQ7-BI7)/BI7)</f>
        <v>1</v>
      </c>
      <c r="BZ7" s="32" t="n">
        <f aca="false">IF(BJ7=0,IF(BR7=0,0,1),(BR7-BJ7)/BJ7)</f>
        <v>1</v>
      </c>
      <c r="CA7" s="32" t="n">
        <f aca="false">IF(BK7=0,IF(BS7=0,0,1),(BS7-BK7)/BK7)</f>
        <v>1</v>
      </c>
      <c r="CB7" s="32" t="n">
        <f aca="false">IF(BL7=0,IF(BT7=0,0,1),(BT7-BL7)/BL7)</f>
        <v>1</v>
      </c>
      <c r="CC7" s="32" t="n">
        <f aca="false">IF(BM7=0,IF(BU7=0,0,1),(BU7-BM7)/BM7)</f>
        <v>1</v>
      </c>
      <c r="CD7" s="32" t="n">
        <f aca="false">MAX(MAX(BV7:CC7),-MIN(BV7:CC7))</f>
        <v>1</v>
      </c>
      <c r="CE7" s="31" t="str">
        <f aca="false">IF(CI7="","",SUMIFS($CF$7:$CF$696,$A$7:$A$696,CI7,$B$7:$B$696,B7))</f>
        <v/>
      </c>
      <c r="CF7" s="31" t="n">
        <f aca="false">SUM(AU7:BE7)</f>
        <v>998666978</v>
      </c>
      <c r="CG7" s="33" t="str">
        <f aca="false">A7&amp;"|"&amp;B7</f>
        <v>2026-04 月例|市長部局</v>
      </c>
      <c r="CH7" s="34" t="str">
        <f aca="false">IFERROR(INDEX(設定!$D$61:$D$106,MATCH(B7,設定!$B$61:$B$106,0)),"Y")</f>
        <v>N</v>
      </c>
      <c r="CI7" s="34" t="str">
        <f aca="false">IFERROR(INDEX(設定!$D$20:$D$34,MATCH(A7,設定!$A$20:$A$34,0))&amp;"","")</f>
        <v/>
      </c>
    </row>
    <row r="8" customFormat="false" ht="15" hidden="true" customHeight="false" outlineLevel="0" collapsed="false">
      <c r="A8" s="22" t="s">
        <v>157</v>
      </c>
      <c r="B8" s="23" t="s">
        <v>161</v>
      </c>
      <c r="C8" s="10" t="str">
        <f aca="false">IF(G8="","未受領",IF(G8="なし","報告なし",IF(AH8="○","起票済",IF(OR(AG8="○",F8="一致",F8="入金不要"),"入金確認済","受領済"))))</f>
        <v>入金確認済</v>
      </c>
      <c r="D8" s="10" t="str">
        <f aca="false">IF(OR(G8="",G8="なし"),"―",IF(CH8="N","対象外",IF(AND(I8="",J8="",K8=""),"標報未入力",IF(CD8&gt;=設定!$B$4,"要確認","問題なし"))))</f>
        <v>標報未入力</v>
      </c>
      <c r="E8" s="24" t="str">
        <f aca="false">IF(OR(G8="",G8="なし",CE8="",CF8=0),"―",IF(CF8=CE8,"前月同額",IF(CE8=0,"―",IF(ABS(CF8/CE8-1)&gt;=設定!$B$5,"変動大 "&amp;TEXT(CF8/CE8-1,"+0%;-0%"),"〇"))))</f>
        <v>―</v>
      </c>
      <c r="F8" s="10" t="str">
        <f aca="false">IF(OR(G8="",G8="なし"),"―",IF(CF8=0,"入金不要",IF(COUNT(Z8,AB8,AD8,AF8)=0,IF(AG8="○","手動確認","未入金"),IF(AND(N(Z8)=Y8,IF(AA8="",TRUE(),N(AB8)=AA8),IF(AC8="",TRUE(),N(AD8)=AC8),IF(AE8="",TRUE(),N(AF8)=AE8)),"一致","不一致"))))</f>
        <v>手動確認</v>
      </c>
      <c r="G8" s="25" t="s">
        <v>159</v>
      </c>
      <c r="H8" s="26"/>
      <c r="I8" s="27"/>
      <c r="J8" s="27"/>
      <c r="K8" s="27"/>
      <c r="L8" s="27" t="n">
        <v>16501383</v>
      </c>
      <c r="M8" s="27" t="n">
        <v>1352571</v>
      </c>
      <c r="N8" s="27" t="n">
        <v>23660244</v>
      </c>
      <c r="O8" s="27" t="n">
        <v>1344682</v>
      </c>
      <c r="P8" s="27" t="n">
        <v>15795</v>
      </c>
      <c r="Q8" s="27" t="n">
        <v>9654896</v>
      </c>
      <c r="R8" s="27" t="n">
        <v>9790061</v>
      </c>
      <c r="S8" s="27" t="n">
        <v>1025788</v>
      </c>
      <c r="T8" s="27" t="n">
        <v>1025788</v>
      </c>
      <c r="U8" s="27" t="n">
        <v>214057</v>
      </c>
      <c r="V8" s="27" t="n">
        <v>214129</v>
      </c>
      <c r="W8" s="10" t="str">
        <f aca="false">IFERROR(INDEX(設定!$E$61:$E$106,MATCH(B8,設定!$B$61:$B$106,0)),"合算")</f>
        <v>合算</v>
      </c>
      <c r="X8" s="28"/>
      <c r="Y8" s="29" t="n">
        <f aca="false">IF(OR(G8="",G8="なし"),"",IF(W8="合算",CF8,IF(W8="掛金・負担金別",(AU8+AV8+AZ8+BB8+BD8),SUM(AU8:AY8))))</f>
        <v>64799394</v>
      </c>
      <c r="Z8" s="27"/>
      <c r="AA8" s="29" t="str">
        <f aca="false">IF(OR(G8="",G8="なし"),"",IF(W8="掛金・負担金別",(AW8+AX8+AY8+BA8+BC8+BE8),IF(W8="経理区分別",AZ8+BA8,"")))</f>
        <v/>
      </c>
      <c r="AB8" s="27"/>
      <c r="AC8" s="29" t="str">
        <f aca="false">IF(OR(G8="",G8="なし"),"",IF(W8="経理区分別",BB8+BC8,""))</f>
        <v/>
      </c>
      <c r="AD8" s="27"/>
      <c r="AE8" s="29" t="str">
        <f aca="false">IF(OR(G8="",G8="なし"),"",IF(W8="経理区分別",BD8+BE8,""))</f>
        <v/>
      </c>
      <c r="AF8" s="27"/>
      <c r="AG8" s="26" t="s">
        <v>160</v>
      </c>
      <c r="AH8" s="26"/>
      <c r="AI8" s="30"/>
      <c r="AJ8" s="31"/>
      <c r="AK8" s="31"/>
      <c r="AL8" s="31"/>
      <c r="AM8" s="31"/>
      <c r="AN8" s="31"/>
      <c r="AO8" s="31"/>
      <c r="AP8" s="31"/>
      <c r="AQ8" s="31"/>
      <c r="AR8" s="31"/>
      <c r="AS8" s="31"/>
      <c r="AT8" s="31"/>
      <c r="AU8" s="31" t="n">
        <f aca="false">IF($G8="",AJ8,L8)</f>
        <v>16501383</v>
      </c>
      <c r="AV8" s="31" t="n">
        <f aca="false">IF($G8="",AK8,M8)</f>
        <v>1352571</v>
      </c>
      <c r="AW8" s="31" t="n">
        <f aca="false">IF($G8="",AL8,N8)</f>
        <v>23660244</v>
      </c>
      <c r="AX8" s="31" t="n">
        <f aca="false">IF($G8="",AM8,O8)</f>
        <v>1344682</v>
      </c>
      <c r="AY8" s="31" t="n">
        <f aca="false">IF($G8="",AN8,P8)</f>
        <v>15795</v>
      </c>
      <c r="AZ8" s="31" t="n">
        <f aca="false">IF($G8="",AO8,Q8)</f>
        <v>9654896</v>
      </c>
      <c r="BA8" s="31" t="n">
        <f aca="false">IF($G8="",AP8,R8)</f>
        <v>9790061</v>
      </c>
      <c r="BB8" s="31" t="n">
        <f aca="false">IF($G8="",AQ8,S8)</f>
        <v>1025788</v>
      </c>
      <c r="BC8" s="31" t="n">
        <f aca="false">IF($G8="",AR8,T8)</f>
        <v>1025788</v>
      </c>
      <c r="BD8" s="31" t="n">
        <f aca="false">IF($G8="",AS8,U8)</f>
        <v>214057</v>
      </c>
      <c r="BE8" s="31" t="n">
        <f aca="false">IF($G8="",AT8,V8)</f>
        <v>214129</v>
      </c>
      <c r="BF8" s="31" t="n">
        <f aca="false">ROUNDDOWN(I8*設定!$B$10/1000,0)+ROUNDDOWN(I8*設定!$B$11/1000,0)</f>
        <v>0</v>
      </c>
      <c r="BG8" s="31" t="n">
        <f aca="false">ROUNDDOWN(I8*設定!$C$10/1000,0)+ROUNDDOWN(I8*設定!$C$11/1000,0)+ROUNDDOWN(I8*設定!$C$12/1000,0)</f>
        <v>0</v>
      </c>
      <c r="BH8" s="31" t="n">
        <f aca="false">ROUNDDOWN(J8*設定!$B$13/1000,0)</f>
        <v>0</v>
      </c>
      <c r="BI8" s="31" t="n">
        <f aca="false">ROUNDDOWN(J8*設定!$C$13/1000,0)</f>
        <v>0</v>
      </c>
      <c r="BJ8" s="31" t="n">
        <f aca="false">ROUNDDOWN(K8*設定!$B$14/1000,0)</f>
        <v>0</v>
      </c>
      <c r="BK8" s="31" t="n">
        <f aca="false">ROUNDDOWN(K8*設定!$C$14/1000,0)</f>
        <v>0</v>
      </c>
      <c r="BL8" s="31" t="n">
        <f aca="false">ROUNDDOWN(J8*設定!$B$15/1000,0)</f>
        <v>0</v>
      </c>
      <c r="BM8" s="31" t="n">
        <f aca="false">ROUNDDOWN(J8*設定!$C$15/1000,0)</f>
        <v>0</v>
      </c>
      <c r="BN8" s="31" t="n">
        <f aca="false">L8+M8</f>
        <v>17853954</v>
      </c>
      <c r="BO8" s="31" t="n">
        <f aca="false">N8+O8+P8</f>
        <v>25020721</v>
      </c>
      <c r="BP8" s="31" t="n">
        <f aca="false">Q8</f>
        <v>9654896</v>
      </c>
      <c r="BQ8" s="31" t="n">
        <f aca="false">R8</f>
        <v>9790061</v>
      </c>
      <c r="BR8" s="31" t="n">
        <f aca="false">S8</f>
        <v>1025788</v>
      </c>
      <c r="BS8" s="31" t="n">
        <f aca="false">T8</f>
        <v>1025788</v>
      </c>
      <c r="BT8" s="31" t="n">
        <f aca="false">U8</f>
        <v>214057</v>
      </c>
      <c r="BU8" s="31" t="n">
        <f aca="false">V8</f>
        <v>214129</v>
      </c>
      <c r="BV8" s="32" t="n">
        <f aca="false">IF(BF8=0,IF(BN8=0,0,1),(BN8-BF8)/BF8)</f>
        <v>1</v>
      </c>
      <c r="BW8" s="32" t="n">
        <f aca="false">IF(BG8=0,IF(BO8=0,0,1),(BO8-BG8)/BG8)</f>
        <v>1</v>
      </c>
      <c r="BX8" s="32" t="n">
        <f aca="false">IF(BH8=0,IF(BP8=0,0,1),(BP8-BH8)/BH8)</f>
        <v>1</v>
      </c>
      <c r="BY8" s="32" t="n">
        <f aca="false">IF(BI8=0,IF(BQ8=0,0,1),(BQ8-BI8)/BI8)</f>
        <v>1</v>
      </c>
      <c r="BZ8" s="32" t="n">
        <f aca="false">IF(BJ8=0,IF(BR8=0,0,1),(BR8-BJ8)/BJ8)</f>
        <v>1</v>
      </c>
      <c r="CA8" s="32" t="n">
        <f aca="false">IF(BK8=0,IF(BS8=0,0,1),(BS8-BK8)/BK8)</f>
        <v>1</v>
      </c>
      <c r="CB8" s="32" t="n">
        <f aca="false">IF(BL8=0,IF(BT8=0,0,1),(BT8-BL8)/BL8)</f>
        <v>1</v>
      </c>
      <c r="CC8" s="32" t="n">
        <f aca="false">IF(BM8=0,IF(BU8=0,0,1),(BU8-BM8)/BM8)</f>
        <v>1</v>
      </c>
      <c r="CD8" s="32" t="n">
        <f aca="false">MAX(MAX(BV8:CC8),-MIN(BV8:CC8))</f>
        <v>1</v>
      </c>
      <c r="CE8" s="31" t="str">
        <f aca="false">IF(CI8="","",SUMIFS($CF$7:$CF$696,$A$7:$A$696,CI8,$B$7:$B$696,B8))</f>
        <v/>
      </c>
      <c r="CF8" s="31" t="n">
        <f aca="false">SUM(AU8:BE8)</f>
        <v>64799394</v>
      </c>
      <c r="CG8" s="33" t="str">
        <f aca="false">A8&amp;"|"&amp;B8</f>
        <v>2026-04 月例|下水道局</v>
      </c>
      <c r="CH8" s="34" t="str">
        <f aca="false">IFERROR(INDEX(設定!$D$61:$D$106,MATCH(B8,設定!$B$61:$B$106,0)),"Y")</f>
        <v>Y</v>
      </c>
      <c r="CI8" s="34" t="str">
        <f aca="false">IFERROR(INDEX(設定!$D$20:$D$34,MATCH(A8,設定!$A$20:$A$34,0))&amp;"","")</f>
        <v/>
      </c>
    </row>
    <row r="9" customFormat="false" ht="15" hidden="true" customHeight="false" outlineLevel="0" collapsed="false">
      <c r="A9" s="22" t="s">
        <v>157</v>
      </c>
      <c r="B9" s="23" t="s">
        <v>162</v>
      </c>
      <c r="C9" s="10" t="str">
        <f aca="false">IF(G9="","未受領",IF(G9="なし","報告なし",IF(AH9="○","起票済",IF(OR(AG9="○",F9="一致",F9="入金不要"),"入金確認済","受領済"))))</f>
        <v>入金確認済</v>
      </c>
      <c r="D9" s="10" t="str">
        <f aca="false">IF(OR(G9="",G9="なし"),"―",IF(CH9="N","対象外",IF(AND(I9="",J9="",K9=""),"標報未入力",IF(CD9&gt;=設定!$B$4,"要確認","問題なし"))))</f>
        <v>対象外</v>
      </c>
      <c r="E9" s="24" t="str">
        <f aca="false">IF(OR(G9="",G9="なし",CE9="",CF9=0),"―",IF(CF9=CE9,"前月同額",IF(CE9=0,"―",IF(ABS(CF9/CE9-1)&gt;=設定!$B$5,"変動大 "&amp;TEXT(CF9/CE9-1,"+0%;-0%"),"〇"))))</f>
        <v>―</v>
      </c>
      <c r="F9" s="10" t="str">
        <f aca="false">IF(OR(G9="",G9="なし"),"―",IF(CF9=0,"入金不要",IF(COUNT(Z9,AB9,AD9,AF9)=0,IF(AG9="○","手動確認","未入金"),IF(AND(N(Z9)=Y9,IF(AA9="",TRUE(),N(AB9)=AA9),IF(AC9="",TRUE(),N(AD9)=AC9),IF(AE9="",TRUE(),N(AF9)=AE9)),"一致","不一致"))))</f>
        <v>手動確認</v>
      </c>
      <c r="G9" s="25" t="s">
        <v>159</v>
      </c>
      <c r="H9" s="26"/>
      <c r="I9" s="27"/>
      <c r="J9" s="27"/>
      <c r="K9" s="27"/>
      <c r="L9" s="27" t="n">
        <v>55191060</v>
      </c>
      <c r="M9" s="27" t="n">
        <v>4523856</v>
      </c>
      <c r="N9" s="27" t="n">
        <v>79301786</v>
      </c>
      <c r="O9" s="27" t="n">
        <v>4501510</v>
      </c>
      <c r="P9" s="27" t="n">
        <v>52817</v>
      </c>
      <c r="Q9" s="27" t="n">
        <v>31993182</v>
      </c>
      <c r="R9" s="27" t="n">
        <v>32380013</v>
      </c>
      <c r="S9" s="27" t="n">
        <v>2034923</v>
      </c>
      <c r="T9" s="27" t="n">
        <v>2021968</v>
      </c>
      <c r="U9" s="27" t="n">
        <v>709341</v>
      </c>
      <c r="V9" s="27" t="n">
        <v>707179</v>
      </c>
      <c r="W9" s="10" t="str">
        <f aca="false">IFERROR(INDEX(設定!$E$61:$E$106,MATCH(B9,設定!$B$61:$B$106,0)),"合算")</f>
        <v>合算</v>
      </c>
      <c r="X9" s="28"/>
      <c r="Y9" s="29" t="n">
        <f aca="false">IF(OR(G9="",G9="なし"),"",IF(W9="合算",CF9,IF(W9="掛金・負担金別",(AU9+AV9+AZ9+BB9+BD9),SUM(AU9:AY9))))</f>
        <v>213417635</v>
      </c>
      <c r="Z9" s="27"/>
      <c r="AA9" s="29" t="str">
        <f aca="false">IF(OR(G9="",G9="なし"),"",IF(W9="掛金・負担金別",(AW9+AX9+AY9+BA9+BC9+BE9),IF(W9="経理区分別",AZ9+BA9,"")))</f>
        <v/>
      </c>
      <c r="AB9" s="27"/>
      <c r="AC9" s="29" t="str">
        <f aca="false">IF(OR(G9="",G9="なし"),"",IF(W9="経理区分別",BB9+BC9,""))</f>
        <v/>
      </c>
      <c r="AD9" s="27"/>
      <c r="AE9" s="29" t="str">
        <f aca="false">IF(OR(G9="",G9="なし"),"",IF(W9="経理区分別",BD9+BE9,""))</f>
        <v/>
      </c>
      <c r="AF9" s="27"/>
      <c r="AG9" s="26" t="s">
        <v>160</v>
      </c>
      <c r="AH9" s="26"/>
      <c r="AI9" s="30"/>
      <c r="AJ9" s="31"/>
      <c r="AK9" s="31"/>
      <c r="AL9" s="31"/>
      <c r="AM9" s="31"/>
      <c r="AN9" s="31"/>
      <c r="AO9" s="31"/>
      <c r="AP9" s="31"/>
      <c r="AQ9" s="31"/>
      <c r="AR9" s="31"/>
      <c r="AS9" s="31"/>
      <c r="AT9" s="31"/>
      <c r="AU9" s="31" t="n">
        <f aca="false">IF($G9="",AJ9,L9)</f>
        <v>55191060</v>
      </c>
      <c r="AV9" s="31" t="n">
        <f aca="false">IF($G9="",AK9,M9)</f>
        <v>4523856</v>
      </c>
      <c r="AW9" s="31" t="n">
        <f aca="false">IF($G9="",AL9,N9)</f>
        <v>79301786</v>
      </c>
      <c r="AX9" s="31" t="n">
        <f aca="false">IF($G9="",AM9,O9)</f>
        <v>4501510</v>
      </c>
      <c r="AY9" s="31" t="n">
        <f aca="false">IF($G9="",AN9,P9)</f>
        <v>52817</v>
      </c>
      <c r="AZ9" s="31" t="n">
        <f aca="false">IF($G9="",AO9,Q9)</f>
        <v>31993182</v>
      </c>
      <c r="BA9" s="31" t="n">
        <f aca="false">IF($G9="",AP9,R9)</f>
        <v>32380013</v>
      </c>
      <c r="BB9" s="31" t="n">
        <f aca="false">IF($G9="",AQ9,S9)</f>
        <v>2034923</v>
      </c>
      <c r="BC9" s="31" t="n">
        <f aca="false">IF($G9="",AR9,T9)</f>
        <v>2021968</v>
      </c>
      <c r="BD9" s="31" t="n">
        <f aca="false">IF($G9="",AS9,U9)</f>
        <v>709341</v>
      </c>
      <c r="BE9" s="31" t="n">
        <f aca="false">IF($G9="",AT9,V9)</f>
        <v>707179</v>
      </c>
      <c r="BF9" s="31" t="n">
        <f aca="false">ROUNDDOWN(I9*設定!$B$10/1000,0)+ROUNDDOWN(I9*設定!$B$11/1000,0)</f>
        <v>0</v>
      </c>
      <c r="BG9" s="31" t="n">
        <f aca="false">ROUNDDOWN(I9*設定!$C$10/1000,0)+ROUNDDOWN(I9*設定!$C$11/1000,0)+ROUNDDOWN(I9*設定!$C$12/1000,0)</f>
        <v>0</v>
      </c>
      <c r="BH9" s="31" t="n">
        <f aca="false">ROUNDDOWN(J9*設定!$B$13/1000,0)</f>
        <v>0</v>
      </c>
      <c r="BI9" s="31" t="n">
        <f aca="false">ROUNDDOWN(J9*設定!$C$13/1000,0)</f>
        <v>0</v>
      </c>
      <c r="BJ9" s="31" t="n">
        <f aca="false">ROUNDDOWN(K9*設定!$B$14/1000,0)</f>
        <v>0</v>
      </c>
      <c r="BK9" s="31" t="n">
        <f aca="false">ROUNDDOWN(K9*設定!$C$14/1000,0)</f>
        <v>0</v>
      </c>
      <c r="BL9" s="31" t="n">
        <f aca="false">ROUNDDOWN(J9*設定!$B$15/1000,0)</f>
        <v>0</v>
      </c>
      <c r="BM9" s="31" t="n">
        <f aca="false">ROUNDDOWN(J9*設定!$C$15/1000,0)</f>
        <v>0</v>
      </c>
      <c r="BN9" s="31" t="n">
        <f aca="false">L9+M9</f>
        <v>59714916</v>
      </c>
      <c r="BO9" s="31" t="n">
        <f aca="false">N9+O9+P9</f>
        <v>83856113</v>
      </c>
      <c r="BP9" s="31" t="n">
        <f aca="false">Q9</f>
        <v>31993182</v>
      </c>
      <c r="BQ9" s="31" t="n">
        <f aca="false">R9</f>
        <v>32380013</v>
      </c>
      <c r="BR9" s="31" t="n">
        <f aca="false">S9</f>
        <v>2034923</v>
      </c>
      <c r="BS9" s="31" t="n">
        <f aca="false">T9</f>
        <v>2021968</v>
      </c>
      <c r="BT9" s="31" t="n">
        <f aca="false">U9</f>
        <v>709341</v>
      </c>
      <c r="BU9" s="31" t="n">
        <f aca="false">V9</f>
        <v>707179</v>
      </c>
      <c r="BV9" s="32" t="n">
        <f aca="false">IF(BF9=0,IF(BN9=0,0,1),(BN9-BF9)/BF9)</f>
        <v>1</v>
      </c>
      <c r="BW9" s="32" t="n">
        <f aca="false">IF(BG9=0,IF(BO9=0,0,1),(BO9-BG9)/BG9)</f>
        <v>1</v>
      </c>
      <c r="BX9" s="32" t="n">
        <f aca="false">IF(BH9=0,IF(BP9=0,0,1),(BP9-BH9)/BH9)</f>
        <v>1</v>
      </c>
      <c r="BY9" s="32" t="n">
        <f aca="false">IF(BI9=0,IF(BQ9=0,0,1),(BQ9-BI9)/BI9)</f>
        <v>1</v>
      </c>
      <c r="BZ9" s="32" t="n">
        <f aca="false">IF(BJ9=0,IF(BR9=0,0,1),(BR9-BJ9)/BJ9)</f>
        <v>1</v>
      </c>
      <c r="CA9" s="32" t="n">
        <f aca="false">IF(BK9=0,IF(BS9=0,0,1),(BS9-BK9)/BK9)</f>
        <v>1</v>
      </c>
      <c r="CB9" s="32" t="n">
        <f aca="false">IF(BL9=0,IF(BT9=0,0,1),(BT9-BL9)/BL9)</f>
        <v>1</v>
      </c>
      <c r="CC9" s="32" t="n">
        <f aca="false">IF(BM9=0,IF(BU9=0,0,1),(BU9-BM9)/BM9)</f>
        <v>1</v>
      </c>
      <c r="CD9" s="32" t="n">
        <f aca="false">MAX(MAX(BV9:CC9),-MIN(BV9:CC9))</f>
        <v>1</v>
      </c>
      <c r="CE9" s="31" t="str">
        <f aca="false">IF(CI9="","",SUMIFS($CF$7:$CF$696,$A$7:$A$696,CI9,$B$7:$B$696,B9))</f>
        <v/>
      </c>
      <c r="CF9" s="31" t="n">
        <f aca="false">SUM(AU9:BE9)</f>
        <v>213417635</v>
      </c>
      <c r="CG9" s="33" t="str">
        <f aca="false">A9&amp;"|"&amp;B9</f>
        <v>2026-04 月例|消防局</v>
      </c>
      <c r="CH9" s="34" t="str">
        <f aca="false">IFERROR(INDEX(設定!$D$61:$D$106,MATCH(B9,設定!$B$61:$B$106,0)),"Y")</f>
        <v>N</v>
      </c>
      <c r="CI9" s="34" t="str">
        <f aca="false">IFERROR(INDEX(設定!$D$20:$D$34,MATCH(A9,設定!$A$20:$A$34,0))&amp;"","")</f>
        <v/>
      </c>
    </row>
    <row r="10" customFormat="false" ht="15" hidden="true" customHeight="false" outlineLevel="0" collapsed="false">
      <c r="A10" s="22" t="s">
        <v>157</v>
      </c>
      <c r="B10" s="23" t="s">
        <v>163</v>
      </c>
      <c r="C10" s="10" t="str">
        <f aca="false">IF(G10="","未受領",IF(G10="なし","報告なし",IF(AH10="○","起票済",IF(OR(AG10="○",F10="一致",F10="入金不要"),"入金確認済","受領済"))))</f>
        <v>入金確認済</v>
      </c>
      <c r="D10" s="10" t="str">
        <f aca="false">IF(OR(G10="",G10="なし"),"―",IF(CH10="N","対象外",IF(AND(I10="",J10="",K10=""),"標報未入力",IF(CD10&gt;=設定!$B$4,"要確認","問題なし"))))</f>
        <v>標報未入力</v>
      </c>
      <c r="E10" s="24" t="str">
        <f aca="false">IF(OR(G10="",G10="なし",CE10="",CF10=0),"―",IF(CF10=CE10,"前月同額",IF(CE10=0,"―",IF(ABS(CF10/CE10-1)&gt;=設定!$B$5,"変動大 "&amp;TEXT(CF10/CE10-1,"+0%;-0%"),"〇"))))</f>
        <v>―</v>
      </c>
      <c r="F10" s="10" t="str">
        <f aca="false">IF(OR(G10="",G10="なし"),"―",IF(CF10=0,"入金不要",IF(COUNT(Z10,AB10,AD10,AF10)=0,IF(AG10="○","手動確認","未入金"),IF(AND(N(Z10)=Y10,IF(AA10="",TRUE(),N(AB10)=AA10),IF(AC10="",TRUE(),N(AD10)=AC10),IF(AE10="",TRUE(),N(AF10)=AE10)),"一致","不一致"))))</f>
        <v>手動確認</v>
      </c>
      <c r="G10" s="25" t="s">
        <v>159</v>
      </c>
      <c r="H10" s="26"/>
      <c r="I10" s="27"/>
      <c r="J10" s="27"/>
      <c r="K10" s="27"/>
      <c r="L10" s="27" t="n">
        <v>1810785</v>
      </c>
      <c r="M10" s="27" t="n">
        <v>148425</v>
      </c>
      <c r="N10" s="27" t="n">
        <v>2609982</v>
      </c>
      <c r="O10" s="27" t="n">
        <v>148425</v>
      </c>
      <c r="P10" s="27" t="n">
        <v>1740</v>
      </c>
      <c r="Q10" s="27" t="n">
        <v>1059618</v>
      </c>
      <c r="R10" s="27" t="n">
        <v>1069678</v>
      </c>
      <c r="S10" s="27" t="n">
        <v>103520</v>
      </c>
      <c r="T10" s="27" t="n">
        <v>102399</v>
      </c>
      <c r="U10" s="27" t="n">
        <v>23316</v>
      </c>
      <c r="V10" s="27" t="n">
        <v>23324</v>
      </c>
      <c r="W10" s="10" t="str">
        <f aca="false">IFERROR(INDEX(設定!$E$61:$E$106,MATCH(B10,設定!$B$61:$B$106,0)),"合算")</f>
        <v>合算</v>
      </c>
      <c r="X10" s="28"/>
      <c r="Y10" s="29" t="n">
        <f aca="false">IF(OR(G10="",G10="なし"),"",IF(W10="合算",CF10,IF(W10="掛金・負担金別",(AU10+AV10+AZ10+BB10+BD10),SUM(AU10:AY10))))</f>
        <v>7101212</v>
      </c>
      <c r="Z10" s="27"/>
      <c r="AA10" s="29" t="str">
        <f aca="false">IF(OR(G10="",G10="なし"),"",IF(W10="掛金・負担金別",(AW10+AX10+AY10+BA10+BC10+BE10),IF(W10="経理区分別",AZ10+BA10,"")))</f>
        <v/>
      </c>
      <c r="AB10" s="27"/>
      <c r="AC10" s="29" t="str">
        <f aca="false">IF(OR(G10="",G10="なし"),"",IF(W10="経理区分別",BB10+BC10,""))</f>
        <v/>
      </c>
      <c r="AD10" s="27"/>
      <c r="AE10" s="29" t="str">
        <f aca="false">IF(OR(G10="",G10="なし"),"",IF(W10="経理区分別",BD10+BE10,""))</f>
        <v/>
      </c>
      <c r="AF10" s="27"/>
      <c r="AG10" s="26" t="s">
        <v>160</v>
      </c>
      <c r="AH10" s="26"/>
      <c r="AI10" s="30"/>
      <c r="AJ10" s="31"/>
      <c r="AK10" s="31"/>
      <c r="AL10" s="31"/>
      <c r="AM10" s="31"/>
      <c r="AN10" s="31"/>
      <c r="AO10" s="31"/>
      <c r="AP10" s="31"/>
      <c r="AQ10" s="31"/>
      <c r="AR10" s="31"/>
      <c r="AS10" s="31"/>
      <c r="AT10" s="31"/>
      <c r="AU10" s="31" t="n">
        <f aca="false">IF($G10="",AJ10,L10)</f>
        <v>1810785</v>
      </c>
      <c r="AV10" s="31" t="n">
        <f aca="false">IF($G10="",AK10,M10)</f>
        <v>148425</v>
      </c>
      <c r="AW10" s="31" t="n">
        <f aca="false">IF($G10="",AL10,N10)</f>
        <v>2609982</v>
      </c>
      <c r="AX10" s="31" t="n">
        <f aca="false">IF($G10="",AM10,O10)</f>
        <v>148425</v>
      </c>
      <c r="AY10" s="31" t="n">
        <f aca="false">IF($G10="",AN10,P10)</f>
        <v>1740</v>
      </c>
      <c r="AZ10" s="31" t="n">
        <f aca="false">IF($G10="",AO10,Q10)</f>
        <v>1059618</v>
      </c>
      <c r="BA10" s="31" t="n">
        <f aca="false">IF($G10="",AP10,R10)</f>
        <v>1069678</v>
      </c>
      <c r="BB10" s="31" t="n">
        <f aca="false">IF($G10="",AQ10,S10)</f>
        <v>103520</v>
      </c>
      <c r="BC10" s="31" t="n">
        <f aca="false">IF($G10="",AR10,T10)</f>
        <v>102399</v>
      </c>
      <c r="BD10" s="31" t="n">
        <f aca="false">IF($G10="",AS10,U10)</f>
        <v>23316</v>
      </c>
      <c r="BE10" s="31" t="n">
        <f aca="false">IF($G10="",AT10,V10)</f>
        <v>23324</v>
      </c>
      <c r="BF10" s="31" t="n">
        <f aca="false">ROUNDDOWN(I10*設定!$B$10/1000,0)+ROUNDDOWN(I10*設定!$B$11/1000,0)</f>
        <v>0</v>
      </c>
      <c r="BG10" s="31" t="n">
        <f aca="false">ROUNDDOWN(I10*設定!$C$10/1000,0)+ROUNDDOWN(I10*設定!$C$11/1000,0)+ROUNDDOWN(I10*設定!$C$12/1000,0)</f>
        <v>0</v>
      </c>
      <c r="BH10" s="31" t="n">
        <f aca="false">ROUNDDOWN(J10*設定!$B$13/1000,0)</f>
        <v>0</v>
      </c>
      <c r="BI10" s="31" t="n">
        <f aca="false">ROUNDDOWN(J10*設定!$C$13/1000,0)</f>
        <v>0</v>
      </c>
      <c r="BJ10" s="31" t="n">
        <f aca="false">ROUNDDOWN(K10*設定!$B$14/1000,0)</f>
        <v>0</v>
      </c>
      <c r="BK10" s="31" t="n">
        <f aca="false">ROUNDDOWN(K10*設定!$C$14/1000,0)</f>
        <v>0</v>
      </c>
      <c r="BL10" s="31" t="n">
        <f aca="false">ROUNDDOWN(J10*設定!$B$15/1000,0)</f>
        <v>0</v>
      </c>
      <c r="BM10" s="31" t="n">
        <f aca="false">ROUNDDOWN(J10*設定!$C$15/1000,0)</f>
        <v>0</v>
      </c>
      <c r="BN10" s="31" t="n">
        <f aca="false">L10+M10</f>
        <v>1959210</v>
      </c>
      <c r="BO10" s="31" t="n">
        <f aca="false">N10+O10+P10</f>
        <v>2760147</v>
      </c>
      <c r="BP10" s="31" t="n">
        <f aca="false">Q10</f>
        <v>1059618</v>
      </c>
      <c r="BQ10" s="31" t="n">
        <f aca="false">R10</f>
        <v>1069678</v>
      </c>
      <c r="BR10" s="31" t="n">
        <f aca="false">S10</f>
        <v>103520</v>
      </c>
      <c r="BS10" s="31" t="n">
        <f aca="false">T10</f>
        <v>102399</v>
      </c>
      <c r="BT10" s="31" t="n">
        <f aca="false">U10</f>
        <v>23316</v>
      </c>
      <c r="BU10" s="31" t="n">
        <f aca="false">V10</f>
        <v>23324</v>
      </c>
      <c r="BV10" s="32" t="n">
        <f aca="false">IF(BF10=0,IF(BN10=0,0,1),(BN10-BF10)/BF10)</f>
        <v>1</v>
      </c>
      <c r="BW10" s="32" t="n">
        <f aca="false">IF(BG10=0,IF(BO10=0,0,1),(BO10-BG10)/BG10)</f>
        <v>1</v>
      </c>
      <c r="BX10" s="32" t="n">
        <f aca="false">IF(BH10=0,IF(BP10=0,0,1),(BP10-BH10)/BH10)</f>
        <v>1</v>
      </c>
      <c r="BY10" s="32" t="n">
        <f aca="false">IF(BI10=0,IF(BQ10=0,0,1),(BQ10-BI10)/BI10)</f>
        <v>1</v>
      </c>
      <c r="BZ10" s="32" t="n">
        <f aca="false">IF(BJ10=0,IF(BR10=0,0,1),(BR10-BJ10)/BJ10)</f>
        <v>1</v>
      </c>
      <c r="CA10" s="32" t="n">
        <f aca="false">IF(BK10=0,IF(BS10=0,0,1),(BS10-BK10)/BK10)</f>
        <v>1</v>
      </c>
      <c r="CB10" s="32" t="n">
        <f aca="false">IF(BL10=0,IF(BT10=0,0,1),(BT10-BL10)/BL10)</f>
        <v>1</v>
      </c>
      <c r="CC10" s="32" t="n">
        <f aca="false">IF(BM10=0,IF(BU10=0,0,1),(BU10-BM10)/BM10)</f>
        <v>1</v>
      </c>
      <c r="CD10" s="32" t="n">
        <f aca="false">MAX(MAX(BV10:CC10),-MIN(BV10:CC10))</f>
        <v>1</v>
      </c>
      <c r="CE10" s="31" t="str">
        <f aca="false">IF(CI10="","",SUMIFS($CF$7:$CF$696,$A$7:$A$696,CI10,$B$7:$B$696,B10))</f>
        <v/>
      </c>
      <c r="CF10" s="31" t="n">
        <f aca="false">SUM(AU10:BE10)</f>
        <v>7101212</v>
      </c>
      <c r="CG10" s="33" t="str">
        <f aca="false">A10&amp;"|"&amp;B10</f>
        <v>2026-04 月例|議会事務局</v>
      </c>
      <c r="CH10" s="34" t="str">
        <f aca="false">IFERROR(INDEX(設定!$D$61:$D$106,MATCH(B10,設定!$B$61:$B$106,0)),"Y")</f>
        <v>Y</v>
      </c>
      <c r="CI10" s="34" t="str">
        <f aca="false">IFERROR(INDEX(設定!$D$20:$D$34,MATCH(A10,設定!$A$20:$A$34,0))&amp;"","")</f>
        <v/>
      </c>
    </row>
    <row r="11" customFormat="false" ht="15" hidden="true" customHeight="false" outlineLevel="0" collapsed="false">
      <c r="A11" s="22" t="s">
        <v>157</v>
      </c>
      <c r="B11" s="23" t="s">
        <v>164</v>
      </c>
      <c r="C11" s="10" t="str">
        <f aca="false">IF(G11="","未受領",IF(G11="なし","報告なし",IF(AH11="○","起票済",IF(OR(AG11="○",F11="一致",F11="入金不要"),"入金確認済","受領済"))))</f>
        <v>入金確認済</v>
      </c>
      <c r="D11" s="10" t="str">
        <f aca="false">IF(OR(G11="",G11="なし"),"―",IF(CH11="N","対象外",IF(AND(I11="",J11="",K11=""),"標報未入力",IF(CD11&gt;=設定!$B$4,"要確認","問題なし"))))</f>
        <v>対象外</v>
      </c>
      <c r="E11" s="24" t="str">
        <f aca="false">IF(OR(G11="",G11="なし",CE11="",CF11=0),"―",IF(CF11=CE11,"前月同額",IF(CE11=0,"―",IF(ABS(CF11/CE11-1)&gt;=設定!$B$5,"変動大 "&amp;TEXT(CF11/CE11-1,"+0%;-0%"),"〇"))))</f>
        <v>―</v>
      </c>
      <c r="F11" s="10" t="str">
        <f aca="false">IF(OR(G11="",G11="なし"),"―",IF(CF11=0,"入金不要",IF(COUNT(Z11,AB11,AD11,AF11)=0,IF(AG11="○","手動確認","未入金"),IF(AND(N(Z11)=Y11,IF(AA11="",TRUE(),N(AB11)=AA11),IF(AC11="",TRUE(),N(AD11)=AC11),IF(AE11="",TRUE(),N(AF11)=AE11)),"一致","不一致"))))</f>
        <v>手動確認</v>
      </c>
      <c r="G11" s="25" t="s">
        <v>159</v>
      </c>
      <c r="H11" s="26"/>
      <c r="I11" s="27"/>
      <c r="J11" s="27"/>
      <c r="K11" s="27"/>
      <c r="L11" s="27" t="n">
        <v>23624294</v>
      </c>
      <c r="M11" s="27" t="n">
        <v>1936418</v>
      </c>
      <c r="N11" s="27" t="n">
        <v>33978096</v>
      </c>
      <c r="O11" s="27" t="n">
        <v>1934423</v>
      </c>
      <c r="P11" s="27" t="n">
        <v>22597</v>
      </c>
      <c r="Q11" s="27" t="n">
        <v>23056933</v>
      </c>
      <c r="R11" s="27" t="n">
        <v>23380527</v>
      </c>
      <c r="S11" s="27" t="n">
        <v>2704450</v>
      </c>
      <c r="T11" s="27" t="n">
        <v>2700114</v>
      </c>
      <c r="U11" s="27" t="n">
        <v>510014</v>
      </c>
      <c r="V11" s="27" t="n">
        <v>511951</v>
      </c>
      <c r="W11" s="10" t="str">
        <f aca="false">IFERROR(INDEX(設定!$E$61:$E$106,MATCH(B11,設定!$B$61:$B$106,0)),"合算")</f>
        <v>合算</v>
      </c>
      <c r="X11" s="28"/>
      <c r="Y11" s="29" t="n">
        <f aca="false">IF(OR(G11="",G11="なし"),"",IF(W11="合算",CF11,IF(W11="掛金・負担金別",(AU11+AV11+AZ11+BB11+BD11),SUM(AU11:AY11))))</f>
        <v>114359817</v>
      </c>
      <c r="Z11" s="27"/>
      <c r="AA11" s="29" t="str">
        <f aca="false">IF(OR(G11="",G11="なし"),"",IF(W11="掛金・負担金別",(AW11+AX11+AY11+BA11+BC11+BE11),IF(W11="経理区分別",AZ11+BA11,"")))</f>
        <v/>
      </c>
      <c r="AB11" s="27"/>
      <c r="AC11" s="29" t="str">
        <f aca="false">IF(OR(G11="",G11="なし"),"",IF(W11="経理区分別",BB11+BC11,""))</f>
        <v/>
      </c>
      <c r="AD11" s="27"/>
      <c r="AE11" s="29" t="str">
        <f aca="false">IF(OR(G11="",G11="なし"),"",IF(W11="経理区分別",BD11+BE11,""))</f>
        <v/>
      </c>
      <c r="AF11" s="27"/>
      <c r="AG11" s="26" t="s">
        <v>160</v>
      </c>
      <c r="AH11" s="26"/>
      <c r="AI11" s="30"/>
      <c r="AJ11" s="31"/>
      <c r="AK11" s="31"/>
      <c r="AL11" s="31"/>
      <c r="AM11" s="31"/>
      <c r="AN11" s="31"/>
      <c r="AO11" s="31"/>
      <c r="AP11" s="31"/>
      <c r="AQ11" s="31"/>
      <c r="AR11" s="31"/>
      <c r="AS11" s="31"/>
      <c r="AT11" s="31"/>
      <c r="AU11" s="31" t="n">
        <f aca="false">IF($G11="",AJ11,L11)</f>
        <v>23624294</v>
      </c>
      <c r="AV11" s="31" t="n">
        <f aca="false">IF($G11="",AK11,M11)</f>
        <v>1936418</v>
      </c>
      <c r="AW11" s="31" t="n">
        <f aca="false">IF($G11="",AL11,N11)</f>
        <v>33978096</v>
      </c>
      <c r="AX11" s="31" t="n">
        <f aca="false">IF($G11="",AM11,O11)</f>
        <v>1934423</v>
      </c>
      <c r="AY11" s="31" t="n">
        <f aca="false">IF($G11="",AN11,P11)</f>
        <v>22597</v>
      </c>
      <c r="AZ11" s="31" t="n">
        <f aca="false">IF($G11="",AO11,Q11)</f>
        <v>23056933</v>
      </c>
      <c r="BA11" s="31" t="n">
        <f aca="false">IF($G11="",AP11,R11)</f>
        <v>23380527</v>
      </c>
      <c r="BB11" s="31" t="n">
        <f aca="false">IF($G11="",AQ11,S11)</f>
        <v>2704450</v>
      </c>
      <c r="BC11" s="31" t="n">
        <f aca="false">IF($G11="",AR11,T11)</f>
        <v>2700114</v>
      </c>
      <c r="BD11" s="31" t="n">
        <f aca="false">IF($G11="",AS11,U11)</f>
        <v>510014</v>
      </c>
      <c r="BE11" s="31" t="n">
        <f aca="false">IF($G11="",AT11,V11)</f>
        <v>511951</v>
      </c>
      <c r="BF11" s="31" t="n">
        <f aca="false">ROUNDDOWN(I11*設定!$B$10/1000,0)+ROUNDDOWN(I11*設定!$B$11/1000,0)</f>
        <v>0</v>
      </c>
      <c r="BG11" s="31" t="n">
        <f aca="false">ROUNDDOWN(I11*設定!$C$10/1000,0)+ROUNDDOWN(I11*設定!$C$11/1000,0)+ROUNDDOWN(I11*設定!$C$12/1000,0)</f>
        <v>0</v>
      </c>
      <c r="BH11" s="31" t="n">
        <f aca="false">ROUNDDOWN(J11*設定!$B$13/1000,0)</f>
        <v>0</v>
      </c>
      <c r="BI11" s="31" t="n">
        <f aca="false">ROUNDDOWN(J11*設定!$C$13/1000,0)</f>
        <v>0</v>
      </c>
      <c r="BJ11" s="31" t="n">
        <f aca="false">ROUNDDOWN(K11*設定!$B$14/1000,0)</f>
        <v>0</v>
      </c>
      <c r="BK11" s="31" t="n">
        <f aca="false">ROUNDDOWN(K11*設定!$C$14/1000,0)</f>
        <v>0</v>
      </c>
      <c r="BL11" s="31" t="n">
        <f aca="false">ROUNDDOWN(J11*設定!$B$15/1000,0)</f>
        <v>0</v>
      </c>
      <c r="BM11" s="31" t="n">
        <f aca="false">ROUNDDOWN(J11*設定!$C$15/1000,0)</f>
        <v>0</v>
      </c>
      <c r="BN11" s="31" t="n">
        <f aca="false">L11+M11</f>
        <v>25560712</v>
      </c>
      <c r="BO11" s="31" t="n">
        <f aca="false">N11+O11+P11</f>
        <v>35935116</v>
      </c>
      <c r="BP11" s="31" t="n">
        <f aca="false">Q11</f>
        <v>23056933</v>
      </c>
      <c r="BQ11" s="31" t="n">
        <f aca="false">R11</f>
        <v>23380527</v>
      </c>
      <c r="BR11" s="31" t="n">
        <f aca="false">S11</f>
        <v>2704450</v>
      </c>
      <c r="BS11" s="31" t="n">
        <f aca="false">T11</f>
        <v>2700114</v>
      </c>
      <c r="BT11" s="31" t="n">
        <f aca="false">U11</f>
        <v>510014</v>
      </c>
      <c r="BU11" s="31" t="n">
        <f aca="false">V11</f>
        <v>511951</v>
      </c>
      <c r="BV11" s="32" t="n">
        <f aca="false">IF(BF11=0,IF(BN11=0,0,1),(BN11-BF11)/BF11)</f>
        <v>1</v>
      </c>
      <c r="BW11" s="32" t="n">
        <f aca="false">IF(BG11=0,IF(BO11=0,0,1),(BO11-BG11)/BG11)</f>
        <v>1</v>
      </c>
      <c r="BX11" s="32" t="n">
        <f aca="false">IF(BH11=0,IF(BP11=0,0,1),(BP11-BH11)/BH11)</f>
        <v>1</v>
      </c>
      <c r="BY11" s="32" t="n">
        <f aca="false">IF(BI11=0,IF(BQ11=0,0,1),(BQ11-BI11)/BI11)</f>
        <v>1</v>
      </c>
      <c r="BZ11" s="32" t="n">
        <f aca="false">IF(BJ11=0,IF(BR11=0,0,1),(BR11-BJ11)/BJ11)</f>
        <v>1</v>
      </c>
      <c r="CA11" s="32" t="n">
        <f aca="false">IF(BK11=0,IF(BS11=0,0,1),(BS11-BK11)/BK11)</f>
        <v>1</v>
      </c>
      <c r="CB11" s="32" t="n">
        <f aca="false">IF(BL11=0,IF(BT11=0,0,1),(BT11-BL11)/BL11)</f>
        <v>1</v>
      </c>
      <c r="CC11" s="32" t="n">
        <f aca="false">IF(BM11=0,IF(BU11=0,0,1),(BU11-BM11)/BM11)</f>
        <v>1</v>
      </c>
      <c r="CD11" s="32" t="n">
        <f aca="false">MAX(MAX(BV11:CC11),-MIN(BV11:CC11))</f>
        <v>1</v>
      </c>
      <c r="CE11" s="31" t="str">
        <f aca="false">IF(CI11="","",SUMIFS($CF$7:$CF$696,$A$7:$A$696,CI11,$B$7:$B$696,B11))</f>
        <v/>
      </c>
      <c r="CF11" s="31" t="n">
        <f aca="false">SUM(AU11:BE11)</f>
        <v>114359817</v>
      </c>
      <c r="CG11" s="33" t="str">
        <f aca="false">A11&amp;"|"&amp;B11</f>
        <v>2026-04 月例|教育委員会（総務課）</v>
      </c>
      <c r="CH11" s="34" t="str">
        <f aca="false">IFERROR(INDEX(設定!$D$61:$D$106,MATCH(B11,設定!$B$61:$B$106,0)),"Y")</f>
        <v>N</v>
      </c>
      <c r="CI11" s="34" t="str">
        <f aca="false">IFERROR(INDEX(設定!$D$20:$D$34,MATCH(A11,設定!$A$20:$A$34,0))&amp;"","")</f>
        <v/>
      </c>
    </row>
    <row r="12" customFormat="false" ht="15" hidden="true" customHeight="false" outlineLevel="0" collapsed="false">
      <c r="A12" s="22" t="s">
        <v>157</v>
      </c>
      <c r="B12" s="23" t="s">
        <v>165</v>
      </c>
      <c r="C12" s="10" t="str">
        <f aca="false">IF(G12="","未受領",IF(G12="なし","報告なし",IF(AH12="○","起票済",IF(OR(AG12="○",F12="一致",F12="入金不要"),"入金確認済","受領済"))))</f>
        <v>入金確認済</v>
      </c>
      <c r="D12" s="10" t="str">
        <f aca="false">IF(OR(G12="",G12="なし"),"―",IF(CH12="N","対象外",IF(AND(I12="",J12="",K12=""),"標報未入力",IF(CD12&gt;=設定!$B$4,"要確認","問題なし"))))</f>
        <v>標報未入力</v>
      </c>
      <c r="E12" s="24" t="str">
        <f aca="false">IF(OR(G12="",G12="なし",CE12="",CF12=0),"―",IF(CF12=CE12,"前月同額",IF(CE12=0,"―",IF(ABS(CF12/CE12-1)&gt;=設定!$B$5,"変動大 "&amp;TEXT(CF12/CE12-1,"+0%;-0%"),"〇"))))</f>
        <v>―</v>
      </c>
      <c r="F12" s="10" t="str">
        <f aca="false">IF(OR(G12="",G12="なし"),"―",IF(CF12=0,"入金不要",IF(COUNT(Z12,AB12,AD12,AF12)=0,IF(AG12="○","手動確認","未入金"),IF(AND(N(Z12)=Y12,IF(AA12="",TRUE(),N(AB12)=AA12),IF(AC12="",TRUE(),N(AD12)=AC12),IF(AE12="",TRUE(),N(AF12)=AE12)),"一致","不一致"))))</f>
        <v>手動確認</v>
      </c>
      <c r="G12" s="25" t="s">
        <v>159</v>
      </c>
      <c r="H12" s="26"/>
      <c r="I12" s="27"/>
      <c r="J12" s="27"/>
      <c r="K12" s="27"/>
      <c r="L12" s="27" t="n">
        <v>326655</v>
      </c>
      <c r="M12" s="27" t="n">
        <v>26775</v>
      </c>
      <c r="N12" s="27" t="n">
        <v>469098</v>
      </c>
      <c r="O12" s="27" t="n">
        <v>26775</v>
      </c>
      <c r="P12" s="27" t="n">
        <v>310</v>
      </c>
      <c r="Q12" s="27" t="n">
        <v>205363</v>
      </c>
      <c r="R12" s="27" t="n">
        <v>208810</v>
      </c>
      <c r="S12" s="27" t="n">
        <v>15800</v>
      </c>
      <c r="T12" s="27" t="n">
        <v>15800</v>
      </c>
      <c r="U12" s="27" t="n">
        <v>4552</v>
      </c>
      <c r="V12" s="27" t="n">
        <v>4553</v>
      </c>
      <c r="W12" s="10" t="str">
        <f aca="false">IFERROR(INDEX(設定!$E$61:$E$106,MATCH(B12,設定!$B$61:$B$106,0)),"合算")</f>
        <v>合算</v>
      </c>
      <c r="X12" s="28"/>
      <c r="Y12" s="29" t="n">
        <f aca="false">IF(OR(G12="",G12="なし"),"",IF(W12="合算",CF12,IF(W12="掛金・負担金別",(AU12+AV12+AZ12+BB12+BD12),SUM(AU12:AY12))))</f>
        <v>1304491</v>
      </c>
      <c r="Z12" s="27"/>
      <c r="AA12" s="29" t="str">
        <f aca="false">IF(OR(G12="",G12="なし"),"",IF(W12="掛金・負担金別",(AW12+AX12+AY12+BA12+BC12+BE12),IF(W12="経理区分別",AZ12+BA12,"")))</f>
        <v/>
      </c>
      <c r="AB12" s="27"/>
      <c r="AC12" s="29" t="str">
        <f aca="false">IF(OR(G12="",G12="なし"),"",IF(W12="経理区分別",BB12+BC12,""))</f>
        <v/>
      </c>
      <c r="AD12" s="27"/>
      <c r="AE12" s="29" t="str">
        <f aca="false">IF(OR(G12="",G12="なし"),"",IF(W12="経理区分別",BD12+BE12,""))</f>
        <v/>
      </c>
      <c r="AF12" s="27"/>
      <c r="AG12" s="26" t="s">
        <v>160</v>
      </c>
      <c r="AH12" s="26"/>
      <c r="AI12" s="30"/>
      <c r="AJ12" s="31"/>
      <c r="AK12" s="31"/>
      <c r="AL12" s="31"/>
      <c r="AM12" s="31"/>
      <c r="AN12" s="31"/>
      <c r="AO12" s="31"/>
      <c r="AP12" s="31"/>
      <c r="AQ12" s="31"/>
      <c r="AR12" s="31"/>
      <c r="AS12" s="31"/>
      <c r="AT12" s="31"/>
      <c r="AU12" s="31" t="n">
        <f aca="false">IF($G12="",AJ12,L12)</f>
        <v>326655</v>
      </c>
      <c r="AV12" s="31" t="n">
        <f aca="false">IF($G12="",AK12,M12)</f>
        <v>26775</v>
      </c>
      <c r="AW12" s="31" t="n">
        <f aca="false">IF($G12="",AL12,N12)</f>
        <v>469098</v>
      </c>
      <c r="AX12" s="31" t="n">
        <f aca="false">IF($G12="",AM12,O12)</f>
        <v>26775</v>
      </c>
      <c r="AY12" s="31" t="n">
        <f aca="false">IF($G12="",AN12,P12)</f>
        <v>310</v>
      </c>
      <c r="AZ12" s="31" t="n">
        <f aca="false">IF($G12="",AO12,Q12)</f>
        <v>205363</v>
      </c>
      <c r="BA12" s="31" t="n">
        <f aca="false">IF($G12="",AP12,R12)</f>
        <v>208810</v>
      </c>
      <c r="BB12" s="31" t="n">
        <f aca="false">IF($G12="",AQ12,S12)</f>
        <v>15800</v>
      </c>
      <c r="BC12" s="31" t="n">
        <f aca="false">IF($G12="",AR12,T12)</f>
        <v>15800</v>
      </c>
      <c r="BD12" s="31" t="n">
        <f aca="false">IF($G12="",AS12,U12)</f>
        <v>4552</v>
      </c>
      <c r="BE12" s="31" t="n">
        <f aca="false">IF($G12="",AT12,V12)</f>
        <v>4553</v>
      </c>
      <c r="BF12" s="31" t="n">
        <f aca="false">ROUNDDOWN(I12*設定!$B$10/1000,0)+ROUNDDOWN(I12*設定!$B$11/1000,0)</f>
        <v>0</v>
      </c>
      <c r="BG12" s="31" t="n">
        <f aca="false">ROUNDDOWN(I12*設定!$C$10/1000,0)+ROUNDDOWN(I12*設定!$C$11/1000,0)+ROUNDDOWN(I12*設定!$C$12/1000,0)</f>
        <v>0</v>
      </c>
      <c r="BH12" s="31" t="n">
        <f aca="false">ROUNDDOWN(J12*設定!$B$13/1000,0)</f>
        <v>0</v>
      </c>
      <c r="BI12" s="31" t="n">
        <f aca="false">ROUNDDOWN(J12*設定!$C$13/1000,0)</f>
        <v>0</v>
      </c>
      <c r="BJ12" s="31" t="n">
        <f aca="false">ROUNDDOWN(K12*設定!$B$14/1000,0)</f>
        <v>0</v>
      </c>
      <c r="BK12" s="31" t="n">
        <f aca="false">ROUNDDOWN(K12*設定!$C$14/1000,0)</f>
        <v>0</v>
      </c>
      <c r="BL12" s="31" t="n">
        <f aca="false">ROUNDDOWN(J12*設定!$B$15/1000,0)</f>
        <v>0</v>
      </c>
      <c r="BM12" s="31" t="n">
        <f aca="false">ROUNDDOWN(J12*設定!$C$15/1000,0)</f>
        <v>0</v>
      </c>
      <c r="BN12" s="31" t="n">
        <f aca="false">L12+M12</f>
        <v>353430</v>
      </c>
      <c r="BO12" s="31" t="n">
        <f aca="false">N12+O12+P12</f>
        <v>496183</v>
      </c>
      <c r="BP12" s="31" t="n">
        <f aca="false">Q12</f>
        <v>205363</v>
      </c>
      <c r="BQ12" s="31" t="n">
        <f aca="false">R12</f>
        <v>208810</v>
      </c>
      <c r="BR12" s="31" t="n">
        <f aca="false">S12</f>
        <v>15800</v>
      </c>
      <c r="BS12" s="31" t="n">
        <f aca="false">T12</f>
        <v>15800</v>
      </c>
      <c r="BT12" s="31" t="n">
        <f aca="false">U12</f>
        <v>4552</v>
      </c>
      <c r="BU12" s="31" t="n">
        <f aca="false">V12</f>
        <v>4553</v>
      </c>
      <c r="BV12" s="32" t="n">
        <f aca="false">IF(BF12=0,IF(BN12=0,0,1),(BN12-BF12)/BF12)</f>
        <v>1</v>
      </c>
      <c r="BW12" s="32" t="n">
        <f aca="false">IF(BG12=0,IF(BO12=0,0,1),(BO12-BG12)/BG12)</f>
        <v>1</v>
      </c>
      <c r="BX12" s="32" t="n">
        <f aca="false">IF(BH12=0,IF(BP12=0,0,1),(BP12-BH12)/BH12)</f>
        <v>1</v>
      </c>
      <c r="BY12" s="32" t="n">
        <f aca="false">IF(BI12=0,IF(BQ12=0,0,1),(BQ12-BI12)/BI12)</f>
        <v>1</v>
      </c>
      <c r="BZ12" s="32" t="n">
        <f aca="false">IF(BJ12=0,IF(BR12=0,0,1),(BR12-BJ12)/BJ12)</f>
        <v>1</v>
      </c>
      <c r="CA12" s="32" t="n">
        <f aca="false">IF(BK12=0,IF(BS12=0,0,1),(BS12-BK12)/BK12)</f>
        <v>1</v>
      </c>
      <c r="CB12" s="32" t="n">
        <f aca="false">IF(BL12=0,IF(BT12=0,0,1),(BT12-BL12)/BL12)</f>
        <v>1</v>
      </c>
      <c r="CC12" s="32" t="n">
        <f aca="false">IF(BM12=0,IF(BU12=0,0,1),(BU12-BM12)/BM12)</f>
        <v>1</v>
      </c>
      <c r="CD12" s="32" t="n">
        <f aca="false">MAX(MAX(BV12:CC12),-MIN(BV12:CC12))</f>
        <v>1</v>
      </c>
      <c r="CE12" s="31" t="str">
        <f aca="false">IF(CI12="","",SUMIFS($CF$7:$CF$696,$A$7:$A$696,CI12,$B$7:$B$696,B12))</f>
        <v/>
      </c>
      <c r="CF12" s="31" t="n">
        <f aca="false">SUM(AU12:BE12)</f>
        <v>1304491</v>
      </c>
      <c r="CG12" s="33" t="str">
        <f aca="false">A12&amp;"|"&amp;B12</f>
        <v>2026-04 月例|選挙管理委員会</v>
      </c>
      <c r="CH12" s="34" t="str">
        <f aca="false">IFERROR(INDEX(設定!$D$61:$D$106,MATCH(B12,設定!$B$61:$B$106,0)),"Y")</f>
        <v>Y</v>
      </c>
      <c r="CI12" s="34" t="str">
        <f aca="false">IFERROR(INDEX(設定!$D$20:$D$34,MATCH(A12,設定!$A$20:$A$34,0))&amp;"","")</f>
        <v/>
      </c>
    </row>
    <row r="13" customFormat="false" ht="15" hidden="true" customHeight="false" outlineLevel="0" collapsed="false">
      <c r="A13" s="22" t="s">
        <v>157</v>
      </c>
      <c r="B13" s="23" t="s">
        <v>166</v>
      </c>
      <c r="C13" s="10" t="str">
        <f aca="false">IF(G13="","未受領",IF(G13="なし","報告なし",IF(AH13="○","起票済",IF(OR(AG13="○",F13="一致",F13="入金不要"),"入金確認済","受領済"))))</f>
        <v>入金確認済</v>
      </c>
      <c r="D13" s="10" t="str">
        <f aca="false">IF(OR(G13="",G13="なし"),"―",IF(CH13="N","対象外",IF(AND(I13="",J13="",K13=""),"標報未入力",IF(CD13&gt;=設定!$B$4,"要確認","問題なし"))))</f>
        <v>標報未入力</v>
      </c>
      <c r="E13" s="24" t="str">
        <f aca="false">IF(OR(G13="",G13="なし",CE13="",CF13=0),"―",IF(CF13=CE13,"前月同額",IF(CE13=0,"―",IF(ABS(CF13/CE13-1)&gt;=設定!$B$5,"変動大 "&amp;TEXT(CF13/CE13-1,"+0%;-0%"),"〇"))))</f>
        <v>―</v>
      </c>
      <c r="F13" s="10" t="str">
        <f aca="false">IF(OR(G13="",G13="なし"),"―",IF(CF13=0,"入金不要",IF(COUNT(Z13,AB13,AD13,AF13)=0,IF(AG13="○","手動確認","未入金"),IF(AND(N(Z13)=Y13,IF(AA13="",TRUE(),N(AB13)=AA13),IF(AC13="",TRUE(),N(AD13)=AC13),IF(AE13="",TRUE(),N(AF13)=AE13)),"一致","不一致"))))</f>
        <v>手動確認</v>
      </c>
      <c r="G13" s="25" t="s">
        <v>159</v>
      </c>
      <c r="H13" s="26"/>
      <c r="I13" s="27"/>
      <c r="J13" s="27"/>
      <c r="K13" s="27"/>
      <c r="L13" s="27" t="n">
        <v>597495</v>
      </c>
      <c r="M13" s="27" t="n">
        <v>48975</v>
      </c>
      <c r="N13" s="27" t="n">
        <v>858042</v>
      </c>
      <c r="O13" s="27" t="n">
        <v>48975</v>
      </c>
      <c r="P13" s="27" t="n">
        <v>567</v>
      </c>
      <c r="Q13" s="27" t="n">
        <v>343825</v>
      </c>
      <c r="R13" s="27" t="n">
        <v>349599</v>
      </c>
      <c r="S13" s="27" t="n">
        <v>28282</v>
      </c>
      <c r="T13" s="27" t="n">
        <v>28282</v>
      </c>
      <c r="U13" s="27" t="n">
        <v>7621</v>
      </c>
      <c r="V13" s="27" t="n">
        <v>7624</v>
      </c>
      <c r="W13" s="10" t="str">
        <f aca="false">IFERROR(INDEX(設定!$E$61:$E$106,MATCH(B13,設定!$B$61:$B$106,0)),"合算")</f>
        <v>合算</v>
      </c>
      <c r="X13" s="28"/>
      <c r="Y13" s="29" t="n">
        <f aca="false">IF(OR(G13="",G13="なし"),"",IF(W13="合算",CF13,IF(W13="掛金・負担金別",(AU13+AV13+AZ13+BB13+BD13),SUM(AU13:AY13))))</f>
        <v>2319287</v>
      </c>
      <c r="Z13" s="27"/>
      <c r="AA13" s="29" t="str">
        <f aca="false">IF(OR(G13="",G13="なし"),"",IF(W13="掛金・負担金別",(AW13+AX13+AY13+BA13+BC13+BE13),IF(W13="経理区分別",AZ13+BA13,"")))</f>
        <v/>
      </c>
      <c r="AB13" s="27"/>
      <c r="AC13" s="29" t="str">
        <f aca="false">IF(OR(G13="",G13="なし"),"",IF(W13="経理区分別",BB13+BC13,""))</f>
        <v/>
      </c>
      <c r="AD13" s="27"/>
      <c r="AE13" s="29" t="str">
        <f aca="false">IF(OR(G13="",G13="なし"),"",IF(W13="経理区分別",BD13+BE13,""))</f>
        <v/>
      </c>
      <c r="AF13" s="27"/>
      <c r="AG13" s="26" t="s">
        <v>160</v>
      </c>
      <c r="AH13" s="26"/>
      <c r="AI13" s="30"/>
      <c r="AJ13" s="31"/>
      <c r="AK13" s="31"/>
      <c r="AL13" s="31"/>
      <c r="AM13" s="31"/>
      <c r="AN13" s="31"/>
      <c r="AO13" s="31"/>
      <c r="AP13" s="31"/>
      <c r="AQ13" s="31"/>
      <c r="AR13" s="31"/>
      <c r="AS13" s="31"/>
      <c r="AT13" s="31"/>
      <c r="AU13" s="31" t="n">
        <f aca="false">IF($G13="",AJ13,L13)</f>
        <v>597495</v>
      </c>
      <c r="AV13" s="31" t="n">
        <f aca="false">IF($G13="",AK13,M13)</f>
        <v>48975</v>
      </c>
      <c r="AW13" s="31" t="n">
        <f aca="false">IF($G13="",AL13,N13)</f>
        <v>858042</v>
      </c>
      <c r="AX13" s="31" t="n">
        <f aca="false">IF($G13="",AM13,O13)</f>
        <v>48975</v>
      </c>
      <c r="AY13" s="31" t="n">
        <f aca="false">IF($G13="",AN13,P13)</f>
        <v>567</v>
      </c>
      <c r="AZ13" s="31" t="n">
        <f aca="false">IF($G13="",AO13,Q13)</f>
        <v>343825</v>
      </c>
      <c r="BA13" s="31" t="n">
        <f aca="false">IF($G13="",AP13,R13)</f>
        <v>349599</v>
      </c>
      <c r="BB13" s="31" t="n">
        <f aca="false">IF($G13="",AQ13,S13)</f>
        <v>28282</v>
      </c>
      <c r="BC13" s="31" t="n">
        <f aca="false">IF($G13="",AR13,T13)</f>
        <v>28282</v>
      </c>
      <c r="BD13" s="31" t="n">
        <f aca="false">IF($G13="",AS13,U13)</f>
        <v>7621</v>
      </c>
      <c r="BE13" s="31" t="n">
        <f aca="false">IF($G13="",AT13,V13)</f>
        <v>7624</v>
      </c>
      <c r="BF13" s="31" t="n">
        <f aca="false">ROUNDDOWN(I13*設定!$B$10/1000,0)+ROUNDDOWN(I13*設定!$B$11/1000,0)</f>
        <v>0</v>
      </c>
      <c r="BG13" s="31" t="n">
        <f aca="false">ROUNDDOWN(I13*設定!$C$10/1000,0)+ROUNDDOWN(I13*設定!$C$11/1000,0)+ROUNDDOWN(I13*設定!$C$12/1000,0)</f>
        <v>0</v>
      </c>
      <c r="BH13" s="31" t="n">
        <f aca="false">ROUNDDOWN(J13*設定!$B$13/1000,0)</f>
        <v>0</v>
      </c>
      <c r="BI13" s="31" t="n">
        <f aca="false">ROUNDDOWN(J13*設定!$C$13/1000,0)</f>
        <v>0</v>
      </c>
      <c r="BJ13" s="31" t="n">
        <f aca="false">ROUNDDOWN(K13*設定!$B$14/1000,0)</f>
        <v>0</v>
      </c>
      <c r="BK13" s="31" t="n">
        <f aca="false">ROUNDDOWN(K13*設定!$C$14/1000,0)</f>
        <v>0</v>
      </c>
      <c r="BL13" s="31" t="n">
        <f aca="false">ROUNDDOWN(J13*設定!$B$15/1000,0)</f>
        <v>0</v>
      </c>
      <c r="BM13" s="31" t="n">
        <f aca="false">ROUNDDOWN(J13*設定!$C$15/1000,0)</f>
        <v>0</v>
      </c>
      <c r="BN13" s="31" t="n">
        <f aca="false">L13+M13</f>
        <v>646470</v>
      </c>
      <c r="BO13" s="31" t="n">
        <f aca="false">N13+O13+P13</f>
        <v>907584</v>
      </c>
      <c r="BP13" s="31" t="n">
        <f aca="false">Q13</f>
        <v>343825</v>
      </c>
      <c r="BQ13" s="31" t="n">
        <f aca="false">R13</f>
        <v>349599</v>
      </c>
      <c r="BR13" s="31" t="n">
        <f aca="false">S13</f>
        <v>28282</v>
      </c>
      <c r="BS13" s="31" t="n">
        <f aca="false">T13</f>
        <v>28282</v>
      </c>
      <c r="BT13" s="31" t="n">
        <f aca="false">U13</f>
        <v>7621</v>
      </c>
      <c r="BU13" s="31" t="n">
        <f aca="false">V13</f>
        <v>7624</v>
      </c>
      <c r="BV13" s="32" t="n">
        <f aca="false">IF(BF13=0,IF(BN13=0,0,1),(BN13-BF13)/BF13)</f>
        <v>1</v>
      </c>
      <c r="BW13" s="32" t="n">
        <f aca="false">IF(BG13=0,IF(BO13=0,0,1),(BO13-BG13)/BG13)</f>
        <v>1</v>
      </c>
      <c r="BX13" s="32" t="n">
        <f aca="false">IF(BH13=0,IF(BP13=0,0,1),(BP13-BH13)/BH13)</f>
        <v>1</v>
      </c>
      <c r="BY13" s="32" t="n">
        <f aca="false">IF(BI13=0,IF(BQ13=0,0,1),(BQ13-BI13)/BI13)</f>
        <v>1</v>
      </c>
      <c r="BZ13" s="32" t="n">
        <f aca="false">IF(BJ13=0,IF(BR13=0,0,1),(BR13-BJ13)/BJ13)</f>
        <v>1</v>
      </c>
      <c r="CA13" s="32" t="n">
        <f aca="false">IF(BK13=0,IF(BS13=0,0,1),(BS13-BK13)/BK13)</f>
        <v>1</v>
      </c>
      <c r="CB13" s="32" t="n">
        <f aca="false">IF(BL13=0,IF(BT13=0,0,1),(BT13-BL13)/BL13)</f>
        <v>1</v>
      </c>
      <c r="CC13" s="32" t="n">
        <f aca="false">IF(BM13=0,IF(BU13=0,0,1),(BU13-BM13)/BM13)</f>
        <v>1</v>
      </c>
      <c r="CD13" s="32" t="n">
        <f aca="false">MAX(MAX(BV13:CC13),-MIN(BV13:CC13))</f>
        <v>1</v>
      </c>
      <c r="CE13" s="31" t="str">
        <f aca="false">IF(CI13="","",SUMIFS($CF$7:$CF$696,$A$7:$A$696,CI13,$B$7:$B$696,B13))</f>
        <v/>
      </c>
      <c r="CF13" s="31" t="n">
        <f aca="false">SUM(AU13:BE13)</f>
        <v>2319287</v>
      </c>
      <c r="CG13" s="33" t="str">
        <f aca="false">A13&amp;"|"&amp;B13</f>
        <v>2026-04 月例|人事委員会</v>
      </c>
      <c r="CH13" s="34" t="str">
        <f aca="false">IFERROR(INDEX(設定!$D$61:$D$106,MATCH(B13,設定!$B$61:$B$106,0)),"Y")</f>
        <v>Y</v>
      </c>
      <c r="CI13" s="34" t="str">
        <f aca="false">IFERROR(INDEX(設定!$D$20:$D$34,MATCH(A13,設定!$A$20:$A$34,0))&amp;"","")</f>
        <v/>
      </c>
    </row>
    <row r="14" customFormat="false" ht="15" hidden="true" customHeight="false" outlineLevel="0" collapsed="false">
      <c r="A14" s="22" t="s">
        <v>157</v>
      </c>
      <c r="B14" s="23" t="s">
        <v>167</v>
      </c>
      <c r="C14" s="10" t="str">
        <f aca="false">IF(G14="","未受領",IF(G14="なし","報告なし",IF(AH14="○","起票済",IF(OR(AG14="○",F14="一致",F14="入金不要"),"入金確認済","受領済"))))</f>
        <v>入金確認済</v>
      </c>
      <c r="D14" s="10" t="str">
        <f aca="false">IF(OR(G14="",G14="なし"),"―",IF(CH14="N","対象外",IF(AND(I14="",J14="",K14=""),"標報未入力",IF(CD14&gt;=設定!$B$4,"要確認","問題なし"))))</f>
        <v>標報未入力</v>
      </c>
      <c r="E14" s="24" t="str">
        <f aca="false">IF(OR(G14="",G14="なし",CE14="",CF14=0),"―",IF(CF14=CE14,"前月同額",IF(CE14=0,"―",IF(ABS(CF14/CE14-1)&gt;=設定!$B$5,"変動大 "&amp;TEXT(CF14/CE14-1,"+0%;-0%"),"〇"))))</f>
        <v>―</v>
      </c>
      <c r="F14" s="10" t="str">
        <f aca="false">IF(OR(G14="",G14="なし"),"―",IF(CF14=0,"入金不要",IF(COUNT(Z14,AB14,AD14,AF14)=0,IF(AG14="○","手動確認","未入金"),IF(AND(N(Z14)=Y14,IF(AA14="",TRUE(),N(AB14)=AA14),IF(AC14="",TRUE(),N(AD14)=AC14),IF(AE14="",TRUE(),N(AF14)=AE14)),"一致","不一致"))))</f>
        <v>手動確認</v>
      </c>
      <c r="G14" s="25" t="s">
        <v>159</v>
      </c>
      <c r="H14" s="26"/>
      <c r="I14" s="27"/>
      <c r="J14" s="27"/>
      <c r="K14" s="27"/>
      <c r="L14" s="27" t="n">
        <v>1324920</v>
      </c>
      <c r="M14" s="27" t="n">
        <v>108600</v>
      </c>
      <c r="N14" s="27" t="n">
        <v>1913844</v>
      </c>
      <c r="O14" s="27" t="n">
        <v>108600</v>
      </c>
      <c r="P14" s="27" t="n">
        <v>1282</v>
      </c>
      <c r="Q14" s="27" t="n">
        <v>768034</v>
      </c>
      <c r="R14" s="27" t="n">
        <v>781174</v>
      </c>
      <c r="S14" s="27" t="n">
        <v>104201</v>
      </c>
      <c r="T14" s="27" t="n">
        <v>104201</v>
      </c>
      <c r="U14" s="27" t="n">
        <v>17023</v>
      </c>
      <c r="V14" s="27" t="n">
        <v>17030</v>
      </c>
      <c r="W14" s="10" t="str">
        <f aca="false">IFERROR(INDEX(設定!$E$61:$E$106,MATCH(B14,設定!$B$61:$B$106,0)),"合算")</f>
        <v>合算</v>
      </c>
      <c r="X14" s="28"/>
      <c r="Y14" s="29" t="n">
        <f aca="false">IF(OR(G14="",G14="なし"),"",IF(W14="合算",CF14,IF(W14="掛金・負担金別",(AU14+AV14+AZ14+BB14+BD14),SUM(AU14:AY14))))</f>
        <v>5248909</v>
      </c>
      <c r="Z14" s="27"/>
      <c r="AA14" s="29" t="str">
        <f aca="false">IF(OR(G14="",G14="なし"),"",IF(W14="掛金・負担金別",(AW14+AX14+AY14+BA14+BC14+BE14),IF(W14="経理区分別",AZ14+BA14,"")))</f>
        <v/>
      </c>
      <c r="AB14" s="27"/>
      <c r="AC14" s="29" t="str">
        <f aca="false">IF(OR(G14="",G14="なし"),"",IF(W14="経理区分別",BB14+BC14,""))</f>
        <v/>
      </c>
      <c r="AD14" s="27"/>
      <c r="AE14" s="29" t="str">
        <f aca="false">IF(OR(G14="",G14="なし"),"",IF(W14="経理区分別",BD14+BE14,""))</f>
        <v/>
      </c>
      <c r="AF14" s="27"/>
      <c r="AG14" s="26" t="s">
        <v>160</v>
      </c>
      <c r="AH14" s="26"/>
      <c r="AI14" s="30"/>
      <c r="AJ14" s="31"/>
      <c r="AK14" s="31"/>
      <c r="AL14" s="31"/>
      <c r="AM14" s="31"/>
      <c r="AN14" s="31"/>
      <c r="AO14" s="31"/>
      <c r="AP14" s="31"/>
      <c r="AQ14" s="31"/>
      <c r="AR14" s="31"/>
      <c r="AS14" s="31"/>
      <c r="AT14" s="31"/>
      <c r="AU14" s="31" t="n">
        <f aca="false">IF($G14="",AJ14,L14)</f>
        <v>1324920</v>
      </c>
      <c r="AV14" s="31" t="n">
        <f aca="false">IF($G14="",AK14,M14)</f>
        <v>108600</v>
      </c>
      <c r="AW14" s="31" t="n">
        <f aca="false">IF($G14="",AL14,N14)</f>
        <v>1913844</v>
      </c>
      <c r="AX14" s="31" t="n">
        <f aca="false">IF($G14="",AM14,O14)</f>
        <v>108600</v>
      </c>
      <c r="AY14" s="31" t="n">
        <f aca="false">IF($G14="",AN14,P14)</f>
        <v>1282</v>
      </c>
      <c r="AZ14" s="31" t="n">
        <f aca="false">IF($G14="",AO14,Q14)</f>
        <v>768034</v>
      </c>
      <c r="BA14" s="31" t="n">
        <f aca="false">IF($G14="",AP14,R14)</f>
        <v>781174</v>
      </c>
      <c r="BB14" s="31" t="n">
        <f aca="false">IF($G14="",AQ14,S14)</f>
        <v>104201</v>
      </c>
      <c r="BC14" s="31" t="n">
        <f aca="false">IF($G14="",AR14,T14)</f>
        <v>104201</v>
      </c>
      <c r="BD14" s="31" t="n">
        <f aca="false">IF($G14="",AS14,U14)</f>
        <v>17023</v>
      </c>
      <c r="BE14" s="31" t="n">
        <f aca="false">IF($G14="",AT14,V14)</f>
        <v>17030</v>
      </c>
      <c r="BF14" s="31" t="n">
        <f aca="false">ROUNDDOWN(I14*設定!$B$10/1000,0)+ROUNDDOWN(I14*設定!$B$11/1000,0)</f>
        <v>0</v>
      </c>
      <c r="BG14" s="31" t="n">
        <f aca="false">ROUNDDOWN(I14*設定!$C$10/1000,0)+ROUNDDOWN(I14*設定!$C$11/1000,0)+ROUNDDOWN(I14*設定!$C$12/1000,0)</f>
        <v>0</v>
      </c>
      <c r="BH14" s="31" t="n">
        <f aca="false">ROUNDDOWN(J14*設定!$B$13/1000,0)</f>
        <v>0</v>
      </c>
      <c r="BI14" s="31" t="n">
        <f aca="false">ROUNDDOWN(J14*設定!$C$13/1000,0)</f>
        <v>0</v>
      </c>
      <c r="BJ14" s="31" t="n">
        <f aca="false">ROUNDDOWN(K14*設定!$B$14/1000,0)</f>
        <v>0</v>
      </c>
      <c r="BK14" s="31" t="n">
        <f aca="false">ROUNDDOWN(K14*設定!$C$14/1000,0)</f>
        <v>0</v>
      </c>
      <c r="BL14" s="31" t="n">
        <f aca="false">ROUNDDOWN(J14*設定!$B$15/1000,0)</f>
        <v>0</v>
      </c>
      <c r="BM14" s="31" t="n">
        <f aca="false">ROUNDDOWN(J14*設定!$C$15/1000,0)</f>
        <v>0</v>
      </c>
      <c r="BN14" s="31" t="n">
        <f aca="false">L14+M14</f>
        <v>1433520</v>
      </c>
      <c r="BO14" s="31" t="n">
        <f aca="false">N14+O14+P14</f>
        <v>2023726</v>
      </c>
      <c r="BP14" s="31" t="n">
        <f aca="false">Q14</f>
        <v>768034</v>
      </c>
      <c r="BQ14" s="31" t="n">
        <f aca="false">R14</f>
        <v>781174</v>
      </c>
      <c r="BR14" s="31" t="n">
        <f aca="false">S14</f>
        <v>104201</v>
      </c>
      <c r="BS14" s="31" t="n">
        <f aca="false">T14</f>
        <v>104201</v>
      </c>
      <c r="BT14" s="31" t="n">
        <f aca="false">U14</f>
        <v>17023</v>
      </c>
      <c r="BU14" s="31" t="n">
        <f aca="false">V14</f>
        <v>17030</v>
      </c>
      <c r="BV14" s="32" t="n">
        <f aca="false">IF(BF14=0,IF(BN14=0,0,1),(BN14-BF14)/BF14)</f>
        <v>1</v>
      </c>
      <c r="BW14" s="32" t="n">
        <f aca="false">IF(BG14=0,IF(BO14=0,0,1),(BO14-BG14)/BG14)</f>
        <v>1</v>
      </c>
      <c r="BX14" s="32" t="n">
        <f aca="false">IF(BH14=0,IF(BP14=0,0,1),(BP14-BH14)/BH14)</f>
        <v>1</v>
      </c>
      <c r="BY14" s="32" t="n">
        <f aca="false">IF(BI14=0,IF(BQ14=0,0,1),(BQ14-BI14)/BI14)</f>
        <v>1</v>
      </c>
      <c r="BZ14" s="32" t="n">
        <f aca="false">IF(BJ14=0,IF(BR14=0,0,1),(BR14-BJ14)/BJ14)</f>
        <v>1</v>
      </c>
      <c r="CA14" s="32" t="n">
        <f aca="false">IF(BK14=0,IF(BS14=0,0,1),(BS14-BK14)/BK14)</f>
        <v>1</v>
      </c>
      <c r="CB14" s="32" t="n">
        <f aca="false">IF(BL14=0,IF(BT14=0,0,1),(BT14-BL14)/BL14)</f>
        <v>1</v>
      </c>
      <c r="CC14" s="32" t="n">
        <f aca="false">IF(BM14=0,IF(BU14=0,0,1),(BU14-BM14)/BM14)</f>
        <v>1</v>
      </c>
      <c r="CD14" s="32" t="n">
        <f aca="false">MAX(MAX(BV14:CC14),-MIN(BV14:CC14))</f>
        <v>1</v>
      </c>
      <c r="CE14" s="31" t="str">
        <f aca="false">IF(CI14="","",SUMIFS($CF$7:$CF$696,$A$7:$A$696,CI14,$B$7:$B$696,B14))</f>
        <v/>
      </c>
      <c r="CF14" s="31" t="n">
        <f aca="false">SUM(AU14:BE14)</f>
        <v>5248909</v>
      </c>
      <c r="CG14" s="33" t="str">
        <f aca="false">A14&amp;"|"&amp;B14</f>
        <v>2026-04 月例|監査事務局</v>
      </c>
      <c r="CH14" s="34" t="str">
        <f aca="false">IFERROR(INDEX(設定!$D$61:$D$106,MATCH(B14,設定!$B$61:$B$106,0)),"Y")</f>
        <v>Y</v>
      </c>
      <c r="CI14" s="34" t="str">
        <f aca="false">IFERROR(INDEX(設定!$D$20:$D$34,MATCH(A14,設定!$A$20:$A$34,0))&amp;"","")</f>
        <v/>
      </c>
    </row>
    <row r="15" customFormat="false" ht="15" hidden="true" customHeight="false" outlineLevel="0" collapsed="false">
      <c r="A15" s="22" t="s">
        <v>157</v>
      </c>
      <c r="B15" s="23" t="s">
        <v>168</v>
      </c>
      <c r="C15" s="10" t="str">
        <f aca="false">IF(G15="","未受領",IF(G15="なし","報告なし",IF(AH15="○","起票済",IF(OR(AG15="○",F15="一致",F15="入金不要"),"入金確認済","受領済"))))</f>
        <v>入金確認済</v>
      </c>
      <c r="D15" s="10" t="str">
        <f aca="false">IF(OR(G15="",G15="なし"),"―",IF(CH15="N","対象外",IF(AND(I15="",J15="",K15=""),"標報未入力",IF(CD15&gt;=設定!$B$4,"要確認","問題なし"))))</f>
        <v>標報未入力</v>
      </c>
      <c r="E15" s="24" t="str">
        <f aca="false">IF(OR(G15="",G15="なし",CE15="",CF15=0),"―",IF(CF15=CE15,"前月同額",IF(CE15=0,"―",IF(ABS(CF15/CE15-1)&gt;=設定!$B$5,"変動大 "&amp;TEXT(CF15/CE15-1,"+0%;-0%"),"〇"))))</f>
        <v>―</v>
      </c>
      <c r="F15" s="10" t="str">
        <f aca="false">IF(OR(G15="",G15="なし"),"―",IF(CF15=0,"入金不要",IF(COUNT(Z15,AB15,AD15,AF15)=0,IF(AG15="○","手動確認","未入金"),IF(AND(N(Z15)=Y15,IF(AA15="",TRUE(),N(AB15)=AA15),IF(AC15="",TRUE(),N(AD15)=AC15),IF(AE15="",TRUE(),N(AF15)=AE15)),"一致","不一致"))))</f>
        <v>手動確認</v>
      </c>
      <c r="G15" s="25" t="s">
        <v>159</v>
      </c>
      <c r="H15" s="26"/>
      <c r="I15" s="27"/>
      <c r="J15" s="27"/>
      <c r="K15" s="27"/>
      <c r="L15" s="27" t="n">
        <v>409920</v>
      </c>
      <c r="M15" s="27" t="n">
        <v>33600</v>
      </c>
      <c r="N15" s="27" t="n">
        <v>588672</v>
      </c>
      <c r="O15" s="27" t="n">
        <v>33600</v>
      </c>
      <c r="P15" s="27" t="n">
        <v>389</v>
      </c>
      <c r="Q15" s="27" t="n">
        <v>306800</v>
      </c>
      <c r="R15" s="27" t="n">
        <v>311950</v>
      </c>
      <c r="S15" s="27" t="n">
        <v>35042</v>
      </c>
      <c r="T15" s="27" t="n">
        <v>35044</v>
      </c>
      <c r="U15" s="27" t="n">
        <v>6800</v>
      </c>
      <c r="V15" s="27" t="n">
        <v>6803</v>
      </c>
      <c r="W15" s="10" t="str">
        <f aca="false">IFERROR(INDEX(設定!$E$61:$E$106,MATCH(B15,設定!$B$61:$B$106,0)),"合算")</f>
        <v>合算</v>
      </c>
      <c r="X15" s="28"/>
      <c r="Y15" s="29" t="n">
        <f aca="false">IF(OR(G15="",G15="なし"),"",IF(W15="合算",CF15,IF(W15="掛金・負担金別",(AU15+AV15+AZ15+BB15+BD15),SUM(AU15:AY15))))</f>
        <v>1768620</v>
      </c>
      <c r="Z15" s="27"/>
      <c r="AA15" s="29" t="str">
        <f aca="false">IF(OR(G15="",G15="なし"),"",IF(W15="掛金・負担金別",(AW15+AX15+AY15+BA15+BC15+BE15),IF(W15="経理区分別",AZ15+BA15,"")))</f>
        <v/>
      </c>
      <c r="AB15" s="27"/>
      <c r="AC15" s="29" t="str">
        <f aca="false">IF(OR(G15="",G15="なし"),"",IF(W15="経理区分別",BB15+BC15,""))</f>
        <v/>
      </c>
      <c r="AD15" s="27"/>
      <c r="AE15" s="29" t="str">
        <f aca="false">IF(OR(G15="",G15="なし"),"",IF(W15="経理区分別",BD15+BE15,""))</f>
        <v/>
      </c>
      <c r="AF15" s="27"/>
      <c r="AG15" s="26" t="s">
        <v>160</v>
      </c>
      <c r="AH15" s="26"/>
      <c r="AI15" s="30"/>
      <c r="AJ15" s="31"/>
      <c r="AK15" s="31"/>
      <c r="AL15" s="31"/>
      <c r="AM15" s="31"/>
      <c r="AN15" s="31"/>
      <c r="AO15" s="31"/>
      <c r="AP15" s="31"/>
      <c r="AQ15" s="31"/>
      <c r="AR15" s="31"/>
      <c r="AS15" s="31"/>
      <c r="AT15" s="31"/>
      <c r="AU15" s="31" t="n">
        <f aca="false">IF($G15="",AJ15,L15)</f>
        <v>409920</v>
      </c>
      <c r="AV15" s="31" t="n">
        <f aca="false">IF($G15="",AK15,M15)</f>
        <v>33600</v>
      </c>
      <c r="AW15" s="31" t="n">
        <f aca="false">IF($G15="",AL15,N15)</f>
        <v>588672</v>
      </c>
      <c r="AX15" s="31" t="n">
        <f aca="false">IF($G15="",AM15,O15)</f>
        <v>33600</v>
      </c>
      <c r="AY15" s="31" t="n">
        <f aca="false">IF($G15="",AN15,P15)</f>
        <v>389</v>
      </c>
      <c r="AZ15" s="31" t="n">
        <f aca="false">IF($G15="",AO15,Q15)</f>
        <v>306800</v>
      </c>
      <c r="BA15" s="31" t="n">
        <f aca="false">IF($G15="",AP15,R15)</f>
        <v>311950</v>
      </c>
      <c r="BB15" s="31" t="n">
        <f aca="false">IF($G15="",AQ15,S15)</f>
        <v>35042</v>
      </c>
      <c r="BC15" s="31" t="n">
        <f aca="false">IF($G15="",AR15,T15)</f>
        <v>35044</v>
      </c>
      <c r="BD15" s="31" t="n">
        <f aca="false">IF($G15="",AS15,U15)</f>
        <v>6800</v>
      </c>
      <c r="BE15" s="31" t="n">
        <f aca="false">IF($G15="",AT15,V15)</f>
        <v>6803</v>
      </c>
      <c r="BF15" s="31" t="n">
        <f aca="false">ROUNDDOWN(I15*設定!$B$10/1000,0)+ROUNDDOWN(I15*設定!$B$11/1000,0)</f>
        <v>0</v>
      </c>
      <c r="BG15" s="31" t="n">
        <f aca="false">ROUNDDOWN(I15*設定!$C$10/1000,0)+ROUNDDOWN(I15*設定!$C$11/1000,0)+ROUNDDOWN(I15*設定!$C$12/1000,0)</f>
        <v>0</v>
      </c>
      <c r="BH15" s="31" t="n">
        <f aca="false">ROUNDDOWN(J15*設定!$B$13/1000,0)</f>
        <v>0</v>
      </c>
      <c r="BI15" s="31" t="n">
        <f aca="false">ROUNDDOWN(J15*設定!$C$13/1000,0)</f>
        <v>0</v>
      </c>
      <c r="BJ15" s="31" t="n">
        <f aca="false">ROUNDDOWN(K15*設定!$B$14/1000,0)</f>
        <v>0</v>
      </c>
      <c r="BK15" s="31" t="n">
        <f aca="false">ROUNDDOWN(K15*設定!$C$14/1000,0)</f>
        <v>0</v>
      </c>
      <c r="BL15" s="31" t="n">
        <f aca="false">ROUNDDOWN(J15*設定!$B$15/1000,0)</f>
        <v>0</v>
      </c>
      <c r="BM15" s="31" t="n">
        <f aca="false">ROUNDDOWN(J15*設定!$C$15/1000,0)</f>
        <v>0</v>
      </c>
      <c r="BN15" s="31" t="n">
        <f aca="false">L15+M15</f>
        <v>443520</v>
      </c>
      <c r="BO15" s="31" t="n">
        <f aca="false">N15+O15+P15</f>
        <v>622661</v>
      </c>
      <c r="BP15" s="31" t="n">
        <f aca="false">Q15</f>
        <v>306800</v>
      </c>
      <c r="BQ15" s="31" t="n">
        <f aca="false">R15</f>
        <v>311950</v>
      </c>
      <c r="BR15" s="31" t="n">
        <f aca="false">S15</f>
        <v>35042</v>
      </c>
      <c r="BS15" s="31" t="n">
        <f aca="false">T15</f>
        <v>35044</v>
      </c>
      <c r="BT15" s="31" t="n">
        <f aca="false">U15</f>
        <v>6800</v>
      </c>
      <c r="BU15" s="31" t="n">
        <f aca="false">V15</f>
        <v>6803</v>
      </c>
      <c r="BV15" s="32" t="n">
        <f aca="false">IF(BF15=0,IF(BN15=0,0,1),(BN15-BF15)/BF15)</f>
        <v>1</v>
      </c>
      <c r="BW15" s="32" t="n">
        <f aca="false">IF(BG15=0,IF(BO15=0,0,1),(BO15-BG15)/BG15)</f>
        <v>1</v>
      </c>
      <c r="BX15" s="32" t="n">
        <f aca="false">IF(BH15=0,IF(BP15=0,0,1),(BP15-BH15)/BH15)</f>
        <v>1</v>
      </c>
      <c r="BY15" s="32" t="n">
        <f aca="false">IF(BI15=0,IF(BQ15=0,0,1),(BQ15-BI15)/BI15)</f>
        <v>1</v>
      </c>
      <c r="BZ15" s="32" t="n">
        <f aca="false">IF(BJ15=0,IF(BR15=0,0,1),(BR15-BJ15)/BJ15)</f>
        <v>1</v>
      </c>
      <c r="CA15" s="32" t="n">
        <f aca="false">IF(BK15=0,IF(BS15=0,0,1),(BS15-BK15)/BK15)</f>
        <v>1</v>
      </c>
      <c r="CB15" s="32" t="n">
        <f aca="false">IF(BL15=0,IF(BT15=0,0,1),(BT15-BL15)/BL15)</f>
        <v>1</v>
      </c>
      <c r="CC15" s="32" t="n">
        <f aca="false">IF(BM15=0,IF(BU15=0,0,1),(BU15-BM15)/BM15)</f>
        <v>1</v>
      </c>
      <c r="CD15" s="32" t="n">
        <f aca="false">MAX(MAX(BV15:CC15),-MIN(BV15:CC15))</f>
        <v>1</v>
      </c>
      <c r="CE15" s="31" t="str">
        <f aca="false">IF(CI15="","",SUMIFS($CF$7:$CF$696,$A$7:$A$696,CI15,$B$7:$B$696,B15))</f>
        <v/>
      </c>
      <c r="CF15" s="31" t="n">
        <f aca="false">SUM(AU15:BE15)</f>
        <v>1768620</v>
      </c>
      <c r="CG15" s="33" t="str">
        <f aca="false">A15&amp;"|"&amp;B15</f>
        <v>2026-04 月例|農業委員会</v>
      </c>
      <c r="CH15" s="34" t="str">
        <f aca="false">IFERROR(INDEX(設定!$D$61:$D$106,MATCH(B15,設定!$B$61:$B$106,0)),"Y")</f>
        <v>Y</v>
      </c>
      <c r="CI15" s="34" t="str">
        <f aca="false">IFERROR(INDEX(設定!$D$20:$D$34,MATCH(A15,設定!$A$20:$A$34,0))&amp;"","")</f>
        <v/>
      </c>
    </row>
    <row r="16" customFormat="false" ht="15" hidden="true" customHeight="false" outlineLevel="0" collapsed="false">
      <c r="A16" s="22" t="s">
        <v>157</v>
      </c>
      <c r="B16" s="23" t="s">
        <v>169</v>
      </c>
      <c r="C16" s="10" t="str">
        <f aca="false">IF(G16="","未受領",IF(G16="なし","報告なし",IF(AH16="○","起票済",IF(OR(AG16="○",F16="一致",F16="入金不要"),"入金確認済","受領済"))))</f>
        <v>入金確認済</v>
      </c>
      <c r="D16" s="10" t="str">
        <f aca="false">IF(OR(G16="",G16="なし"),"―",IF(CH16="N","対象外",IF(AND(I16="",J16="",K16=""),"標報未入力",IF(CD16&gt;=設定!$B$4,"要確認","問題なし"))))</f>
        <v>対象外</v>
      </c>
      <c r="E16" s="24" t="str">
        <f aca="false">IF(OR(G16="",G16="なし",CE16="",CF16=0),"―",IF(CF16=CE16,"前月同額",IF(CE16=0,"―",IF(ABS(CF16/CE16-1)&gt;=設定!$B$5,"変動大 "&amp;TEXT(CF16/CE16-1,"+0%;-0%"),"〇"))))</f>
        <v>―</v>
      </c>
      <c r="F16" s="10" t="str">
        <f aca="false">IF(OR(G16="",G16="なし"),"―",IF(CF16=0,"入金不要",IF(COUNT(Z16,AB16,AD16,AF16)=0,IF(AG16="○","手動確認","未入金"),IF(AND(N(Z16)=Y16,IF(AA16="",TRUE(),N(AB16)=AA16),IF(AC16="",TRUE(),N(AD16)=AC16),IF(AE16="",TRUE(),N(AF16)=AE16)),"一致","不一致"))))</f>
        <v>手動確認</v>
      </c>
      <c r="G16" s="25" t="s">
        <v>159</v>
      </c>
      <c r="H16" s="26"/>
      <c r="I16" s="27"/>
      <c r="J16" s="27"/>
      <c r="K16" s="27"/>
      <c r="L16" s="27" t="n">
        <v>22388403</v>
      </c>
      <c r="M16" s="27" t="n">
        <v>1835115</v>
      </c>
      <c r="N16" s="27" t="n">
        <v>32251750</v>
      </c>
      <c r="O16" s="27" t="n">
        <v>1835115</v>
      </c>
      <c r="P16" s="27" t="n">
        <v>21475</v>
      </c>
      <c r="Q16" s="27" t="n">
        <v>13373486</v>
      </c>
      <c r="R16" s="27" t="n">
        <v>13600282</v>
      </c>
      <c r="S16" s="27" t="n">
        <v>1322950</v>
      </c>
      <c r="T16" s="27" t="n">
        <v>1322950</v>
      </c>
      <c r="U16" s="27" t="n">
        <v>296479</v>
      </c>
      <c r="V16" s="27" t="n">
        <v>296570</v>
      </c>
      <c r="W16" s="10" t="str">
        <f aca="false">IFERROR(INDEX(設定!$E$61:$E$106,MATCH(B16,設定!$B$61:$B$106,0)),"合算")</f>
        <v>合算</v>
      </c>
      <c r="X16" s="28"/>
      <c r="Y16" s="29" t="n">
        <f aca="false">IF(OR(G16="",G16="なし"),"",IF(W16="合算",CF16,IF(W16="掛金・負担金別",(AU16+AV16+AZ16+BB16+BD16),SUM(AU16:AY16))))</f>
        <v>88544575</v>
      </c>
      <c r="Z16" s="27"/>
      <c r="AA16" s="29" t="str">
        <f aca="false">IF(OR(G16="",G16="なし"),"",IF(W16="掛金・負担金別",(AW16+AX16+AY16+BA16+BC16+BE16),IF(W16="経理区分別",AZ16+BA16,"")))</f>
        <v/>
      </c>
      <c r="AB16" s="27"/>
      <c r="AC16" s="29" t="str">
        <f aca="false">IF(OR(G16="",G16="なし"),"",IF(W16="経理区分別",BB16+BC16,""))</f>
        <v/>
      </c>
      <c r="AD16" s="27"/>
      <c r="AE16" s="29" t="str">
        <f aca="false">IF(OR(G16="",G16="なし"),"",IF(W16="経理区分別",BD16+BE16,""))</f>
        <v/>
      </c>
      <c r="AF16" s="27"/>
      <c r="AG16" s="26" t="s">
        <v>160</v>
      </c>
      <c r="AH16" s="26"/>
      <c r="AI16" s="30"/>
      <c r="AJ16" s="31"/>
      <c r="AK16" s="31"/>
      <c r="AL16" s="31"/>
      <c r="AM16" s="31"/>
      <c r="AN16" s="31"/>
      <c r="AO16" s="31"/>
      <c r="AP16" s="31"/>
      <c r="AQ16" s="31"/>
      <c r="AR16" s="31"/>
      <c r="AS16" s="31"/>
      <c r="AT16" s="31"/>
      <c r="AU16" s="31" t="n">
        <f aca="false">IF($G16="",AJ16,L16)</f>
        <v>22388403</v>
      </c>
      <c r="AV16" s="31" t="n">
        <f aca="false">IF($G16="",AK16,M16)</f>
        <v>1835115</v>
      </c>
      <c r="AW16" s="31" t="n">
        <f aca="false">IF($G16="",AL16,N16)</f>
        <v>32251750</v>
      </c>
      <c r="AX16" s="31" t="n">
        <f aca="false">IF($G16="",AM16,O16)</f>
        <v>1835115</v>
      </c>
      <c r="AY16" s="31" t="n">
        <f aca="false">IF($G16="",AN16,P16)</f>
        <v>21475</v>
      </c>
      <c r="AZ16" s="31" t="n">
        <f aca="false">IF($G16="",AO16,Q16)</f>
        <v>13373486</v>
      </c>
      <c r="BA16" s="31" t="n">
        <f aca="false">IF($G16="",AP16,R16)</f>
        <v>13600282</v>
      </c>
      <c r="BB16" s="31" t="n">
        <f aca="false">IF($G16="",AQ16,S16)</f>
        <v>1322950</v>
      </c>
      <c r="BC16" s="31" t="n">
        <f aca="false">IF($G16="",AR16,T16)</f>
        <v>1322950</v>
      </c>
      <c r="BD16" s="31" t="n">
        <f aca="false">IF($G16="",AS16,U16)</f>
        <v>296479</v>
      </c>
      <c r="BE16" s="31" t="n">
        <f aca="false">IF($G16="",AT16,V16)</f>
        <v>296570</v>
      </c>
      <c r="BF16" s="31" t="n">
        <f aca="false">ROUNDDOWN(I16*設定!$B$10/1000,0)+ROUNDDOWN(I16*設定!$B$11/1000,0)</f>
        <v>0</v>
      </c>
      <c r="BG16" s="31" t="n">
        <f aca="false">ROUNDDOWN(I16*設定!$C$10/1000,0)+ROUNDDOWN(I16*設定!$C$11/1000,0)+ROUNDDOWN(I16*設定!$C$12/1000,0)</f>
        <v>0</v>
      </c>
      <c r="BH16" s="31" t="n">
        <f aca="false">ROUNDDOWN(J16*設定!$B$13/1000,0)</f>
        <v>0</v>
      </c>
      <c r="BI16" s="31" t="n">
        <f aca="false">ROUNDDOWN(J16*設定!$C$13/1000,0)</f>
        <v>0</v>
      </c>
      <c r="BJ16" s="31" t="n">
        <f aca="false">ROUNDDOWN(K16*設定!$B$14/1000,0)</f>
        <v>0</v>
      </c>
      <c r="BK16" s="31" t="n">
        <f aca="false">ROUNDDOWN(K16*設定!$C$14/1000,0)</f>
        <v>0</v>
      </c>
      <c r="BL16" s="31" t="n">
        <f aca="false">ROUNDDOWN(J16*設定!$B$15/1000,0)</f>
        <v>0</v>
      </c>
      <c r="BM16" s="31" t="n">
        <f aca="false">ROUNDDOWN(J16*設定!$C$15/1000,0)</f>
        <v>0</v>
      </c>
      <c r="BN16" s="31" t="n">
        <f aca="false">L16+M16</f>
        <v>24223518</v>
      </c>
      <c r="BO16" s="31" t="n">
        <f aca="false">N16+O16+P16</f>
        <v>34108340</v>
      </c>
      <c r="BP16" s="31" t="n">
        <f aca="false">Q16</f>
        <v>13373486</v>
      </c>
      <c r="BQ16" s="31" t="n">
        <f aca="false">R16</f>
        <v>13600282</v>
      </c>
      <c r="BR16" s="31" t="n">
        <f aca="false">S16</f>
        <v>1322950</v>
      </c>
      <c r="BS16" s="31" t="n">
        <f aca="false">T16</f>
        <v>1322950</v>
      </c>
      <c r="BT16" s="31" t="n">
        <f aca="false">U16</f>
        <v>296479</v>
      </c>
      <c r="BU16" s="31" t="n">
        <f aca="false">V16</f>
        <v>296570</v>
      </c>
      <c r="BV16" s="32" t="n">
        <f aca="false">IF(BF16=0,IF(BN16=0,0,1),(BN16-BF16)/BF16)</f>
        <v>1</v>
      </c>
      <c r="BW16" s="32" t="n">
        <f aca="false">IF(BG16=0,IF(BO16=0,0,1),(BO16-BG16)/BG16)</f>
        <v>1</v>
      </c>
      <c r="BX16" s="32" t="n">
        <f aca="false">IF(BH16=0,IF(BP16=0,0,1),(BP16-BH16)/BH16)</f>
        <v>1</v>
      </c>
      <c r="BY16" s="32" t="n">
        <f aca="false">IF(BI16=0,IF(BQ16=0,0,1),(BQ16-BI16)/BI16)</f>
        <v>1</v>
      </c>
      <c r="BZ16" s="32" t="n">
        <f aca="false">IF(BJ16=0,IF(BR16=0,0,1),(BR16-BJ16)/BJ16)</f>
        <v>1</v>
      </c>
      <c r="CA16" s="32" t="n">
        <f aca="false">IF(BK16=0,IF(BS16=0,0,1),(BS16-BK16)/BK16)</f>
        <v>1</v>
      </c>
      <c r="CB16" s="32" t="n">
        <f aca="false">IF(BL16=0,IF(BT16=0,0,1),(BT16-BL16)/BL16)</f>
        <v>1</v>
      </c>
      <c r="CC16" s="32" t="n">
        <f aca="false">IF(BM16=0,IF(BU16=0,0,1),(BU16-BM16)/BM16)</f>
        <v>1</v>
      </c>
      <c r="CD16" s="32" t="n">
        <f aca="false">MAX(MAX(BV16:CC16),-MIN(BV16:CC16))</f>
        <v>1</v>
      </c>
      <c r="CE16" s="31" t="str">
        <f aca="false">IF(CI16="","",SUMIFS($CF$7:$CF$696,$A$7:$A$696,CI16,$B$7:$B$696,B16))</f>
        <v/>
      </c>
      <c r="CF16" s="31" t="n">
        <f aca="false">SUM(AU16:BE16)</f>
        <v>88544575</v>
      </c>
      <c r="CG16" s="33" t="str">
        <f aca="false">A16&amp;"|"&amp;B16</f>
        <v>2026-04 月例|水道局</v>
      </c>
      <c r="CH16" s="34" t="str">
        <f aca="false">IFERROR(INDEX(設定!$D$61:$D$106,MATCH(B16,設定!$B$61:$B$106,0)),"Y")</f>
        <v>N</v>
      </c>
      <c r="CI16" s="34" t="str">
        <f aca="false">IFERROR(INDEX(設定!$D$20:$D$34,MATCH(A16,設定!$A$20:$A$34,0))&amp;"","")</f>
        <v/>
      </c>
    </row>
    <row r="17" customFormat="false" ht="15" hidden="true" customHeight="false" outlineLevel="0" collapsed="false">
      <c r="A17" s="22" t="s">
        <v>157</v>
      </c>
      <c r="B17" s="23" t="s">
        <v>170</v>
      </c>
      <c r="C17" s="10" t="str">
        <f aca="false">IF(G17="","未受領",IF(G17="なし","報告なし",IF(AH17="○","起票済",IF(OR(AG17="○",F17="一致",F17="入金不要"),"入金確認済","受領済"))))</f>
        <v>入金確認済</v>
      </c>
      <c r="D17" s="10" t="str">
        <f aca="false">IF(OR(G17="",G17="なし"),"―",IF(CH17="N","対象外",IF(AND(I17="",J17="",K17=""),"標報未入力",IF(CD17&gt;=設定!$B$4,"要確認","問題なし"))))</f>
        <v>標報未入力</v>
      </c>
      <c r="E17" s="24" t="str">
        <f aca="false">IF(OR(G17="",G17="なし",CE17="",CF17=0),"―",IF(CF17=CE17,"前月同額",IF(CE17=0,"―",IF(ABS(CF17/CE17-1)&gt;=設定!$B$5,"変動大 "&amp;TEXT(CF17/CE17-1,"+0%;-0%"),"〇"))))</f>
        <v>―</v>
      </c>
      <c r="F17" s="10" t="str">
        <f aca="false">IF(OR(G17="",G17="なし"),"―",IF(CF17=0,"入金不要",IF(COUNT(Z17,AB17,AD17,AF17)=0,IF(AG17="○","手動確認","未入金"),IF(AND(N(Z17)=Y17,IF(AA17="",TRUE(),N(AB17)=AA17),IF(AC17="",TRUE(),N(AD17)=AC17),IF(AE17="",TRUE(),N(AF17)=AE17)),"一致","不一致"))))</f>
        <v>手動確認</v>
      </c>
      <c r="G17" s="25" t="s">
        <v>159</v>
      </c>
      <c r="H17" s="26"/>
      <c r="I17" s="27"/>
      <c r="J17" s="27"/>
      <c r="K17" s="27"/>
      <c r="L17" s="27" t="n">
        <v>48495</v>
      </c>
      <c r="M17" s="27" t="n">
        <v>3975</v>
      </c>
      <c r="N17" s="27" t="n">
        <v>69642</v>
      </c>
      <c r="O17" s="27" t="n">
        <v>3975</v>
      </c>
      <c r="P17" s="27" t="n">
        <v>46</v>
      </c>
      <c r="Q17" s="27" t="n">
        <v>27485</v>
      </c>
      <c r="R17" s="27" t="n">
        <v>27946</v>
      </c>
      <c r="S17" s="27" t="n">
        <v>4187</v>
      </c>
      <c r="T17" s="27" t="n">
        <v>4187</v>
      </c>
      <c r="U17" s="27" t="n">
        <v>609</v>
      </c>
      <c r="V17" s="27" t="n">
        <v>609</v>
      </c>
      <c r="W17" s="10" t="str">
        <f aca="false">IFERROR(INDEX(設定!$E$61:$E$106,MATCH(B17,設定!$B$61:$B$106,0)),"合算")</f>
        <v>合算</v>
      </c>
      <c r="X17" s="28"/>
      <c r="Y17" s="29" t="n">
        <f aca="false">IF(OR(G17="",G17="なし"),"",IF(W17="合算",CF17,IF(W17="掛金・負担金別",(AU17+AV17+AZ17+BB17+BD17),SUM(AU17:AY17))))</f>
        <v>191156</v>
      </c>
      <c r="Z17" s="27"/>
      <c r="AA17" s="29" t="str">
        <f aca="false">IF(OR(G17="",G17="なし"),"",IF(W17="掛金・負担金別",(AW17+AX17+AY17+BA17+BC17+BE17),IF(W17="経理区分別",AZ17+BA17,"")))</f>
        <v/>
      </c>
      <c r="AB17" s="27"/>
      <c r="AC17" s="29" t="str">
        <f aca="false">IF(OR(G17="",G17="なし"),"",IF(W17="経理区分別",BB17+BC17,""))</f>
        <v/>
      </c>
      <c r="AD17" s="27"/>
      <c r="AE17" s="29" t="str">
        <f aca="false">IF(OR(G17="",G17="なし"),"",IF(W17="経理区分別",BD17+BE17,""))</f>
        <v/>
      </c>
      <c r="AF17" s="27"/>
      <c r="AG17" s="26" t="s">
        <v>160</v>
      </c>
      <c r="AH17" s="26"/>
      <c r="AI17" s="30"/>
      <c r="AJ17" s="31"/>
      <c r="AK17" s="31"/>
      <c r="AL17" s="31"/>
      <c r="AM17" s="31"/>
      <c r="AN17" s="31"/>
      <c r="AO17" s="31"/>
      <c r="AP17" s="31"/>
      <c r="AQ17" s="31"/>
      <c r="AR17" s="31"/>
      <c r="AS17" s="31"/>
      <c r="AT17" s="31"/>
      <c r="AU17" s="31" t="n">
        <f aca="false">IF($G17="",AJ17,L17)</f>
        <v>48495</v>
      </c>
      <c r="AV17" s="31" t="n">
        <f aca="false">IF($G17="",AK17,M17)</f>
        <v>3975</v>
      </c>
      <c r="AW17" s="31" t="n">
        <f aca="false">IF($G17="",AL17,N17)</f>
        <v>69642</v>
      </c>
      <c r="AX17" s="31" t="n">
        <f aca="false">IF($G17="",AM17,O17)</f>
        <v>3975</v>
      </c>
      <c r="AY17" s="31" t="n">
        <f aca="false">IF($G17="",AN17,P17)</f>
        <v>46</v>
      </c>
      <c r="AZ17" s="31" t="n">
        <f aca="false">IF($G17="",AO17,Q17)</f>
        <v>27485</v>
      </c>
      <c r="BA17" s="31" t="n">
        <f aca="false">IF($G17="",AP17,R17)</f>
        <v>27946</v>
      </c>
      <c r="BB17" s="31" t="n">
        <f aca="false">IF($G17="",AQ17,S17)</f>
        <v>4187</v>
      </c>
      <c r="BC17" s="31" t="n">
        <f aca="false">IF($G17="",AR17,T17)</f>
        <v>4187</v>
      </c>
      <c r="BD17" s="31" t="n">
        <f aca="false">IF($G17="",AS17,U17)</f>
        <v>609</v>
      </c>
      <c r="BE17" s="31" t="n">
        <f aca="false">IF($G17="",AT17,V17)</f>
        <v>609</v>
      </c>
      <c r="BF17" s="31" t="n">
        <f aca="false">ROUNDDOWN(I17*設定!$B$10/1000,0)+ROUNDDOWN(I17*設定!$B$11/1000,0)</f>
        <v>0</v>
      </c>
      <c r="BG17" s="31" t="n">
        <f aca="false">ROUNDDOWN(I17*設定!$C$10/1000,0)+ROUNDDOWN(I17*設定!$C$11/1000,0)+ROUNDDOWN(I17*設定!$C$12/1000,0)</f>
        <v>0</v>
      </c>
      <c r="BH17" s="31" t="n">
        <f aca="false">ROUNDDOWN(J17*設定!$B$13/1000,0)</f>
        <v>0</v>
      </c>
      <c r="BI17" s="31" t="n">
        <f aca="false">ROUNDDOWN(J17*設定!$C$13/1000,0)</f>
        <v>0</v>
      </c>
      <c r="BJ17" s="31" t="n">
        <f aca="false">ROUNDDOWN(K17*設定!$B$14/1000,0)</f>
        <v>0</v>
      </c>
      <c r="BK17" s="31" t="n">
        <f aca="false">ROUNDDOWN(K17*設定!$C$14/1000,0)</f>
        <v>0</v>
      </c>
      <c r="BL17" s="31" t="n">
        <f aca="false">ROUNDDOWN(J17*設定!$B$15/1000,0)</f>
        <v>0</v>
      </c>
      <c r="BM17" s="31" t="n">
        <f aca="false">ROUNDDOWN(J17*設定!$C$15/1000,0)</f>
        <v>0</v>
      </c>
      <c r="BN17" s="31" t="n">
        <f aca="false">L17+M17</f>
        <v>52470</v>
      </c>
      <c r="BO17" s="31" t="n">
        <f aca="false">N17+O17+P17</f>
        <v>73663</v>
      </c>
      <c r="BP17" s="31" t="n">
        <f aca="false">Q17</f>
        <v>27485</v>
      </c>
      <c r="BQ17" s="31" t="n">
        <f aca="false">R17</f>
        <v>27946</v>
      </c>
      <c r="BR17" s="31" t="n">
        <f aca="false">S17</f>
        <v>4187</v>
      </c>
      <c r="BS17" s="31" t="n">
        <f aca="false">T17</f>
        <v>4187</v>
      </c>
      <c r="BT17" s="31" t="n">
        <f aca="false">U17</f>
        <v>609</v>
      </c>
      <c r="BU17" s="31" t="n">
        <f aca="false">V17</f>
        <v>609</v>
      </c>
      <c r="BV17" s="32" t="n">
        <f aca="false">IF(BF17=0,IF(BN17=0,0,1),(BN17-BF17)/BF17)</f>
        <v>1</v>
      </c>
      <c r="BW17" s="32" t="n">
        <f aca="false">IF(BG17=0,IF(BO17=0,0,1),(BO17-BG17)/BG17)</f>
        <v>1</v>
      </c>
      <c r="BX17" s="32" t="n">
        <f aca="false">IF(BH17=0,IF(BP17=0,0,1),(BP17-BH17)/BH17)</f>
        <v>1</v>
      </c>
      <c r="BY17" s="32" t="n">
        <f aca="false">IF(BI17=0,IF(BQ17=0,0,1),(BQ17-BI17)/BI17)</f>
        <v>1</v>
      </c>
      <c r="BZ17" s="32" t="n">
        <f aca="false">IF(BJ17=0,IF(BR17=0,0,1),(BR17-BJ17)/BJ17)</f>
        <v>1</v>
      </c>
      <c r="CA17" s="32" t="n">
        <f aca="false">IF(BK17=0,IF(BS17=0,0,1),(BS17-BK17)/BK17)</f>
        <v>1</v>
      </c>
      <c r="CB17" s="32" t="n">
        <f aca="false">IF(BL17=0,IF(BT17=0,0,1),(BT17-BL17)/BL17)</f>
        <v>1</v>
      </c>
      <c r="CC17" s="32" t="n">
        <f aca="false">IF(BM17=0,IF(BU17=0,0,1),(BU17-BM17)/BM17)</f>
        <v>1</v>
      </c>
      <c r="CD17" s="32" t="n">
        <f aca="false">MAX(MAX(BV17:CC17),-MIN(BV17:CC17))</f>
        <v>1</v>
      </c>
      <c r="CE17" s="31" t="str">
        <f aca="false">IF(CI17="","",SUMIFS($CF$7:$CF$696,$A$7:$A$696,CI17,$B$7:$B$696,B17))</f>
        <v/>
      </c>
      <c r="CF17" s="31" t="n">
        <f aca="false">SUM(AU17:BE17)</f>
        <v>191156</v>
      </c>
      <c r="CG17" s="33" t="str">
        <f aca="false">A17&amp;"|"&amp;B17</f>
        <v>2026-04 月例|医療政策課(安芸市民)</v>
      </c>
      <c r="CH17" s="34" t="str">
        <f aca="false">IFERROR(INDEX(設定!$D$61:$D$106,MATCH(B17,設定!$B$61:$B$106,0)),"Y")</f>
        <v>Y</v>
      </c>
      <c r="CI17" s="34" t="str">
        <f aca="false">IFERROR(INDEX(設定!$D$20:$D$34,MATCH(A17,設定!$A$20:$A$34,0))&amp;"","")</f>
        <v/>
      </c>
    </row>
    <row r="18" customFormat="false" ht="15" hidden="true" customHeight="false" outlineLevel="0" collapsed="false">
      <c r="A18" s="22" t="s">
        <v>157</v>
      </c>
      <c r="B18" s="23" t="s">
        <v>171</v>
      </c>
      <c r="C18" s="10" t="str">
        <f aca="false">IF(G18="","未受領",IF(G18="なし","報告なし",IF(AH18="○","起票済",IF(OR(AG18="○",F18="一致",F18="入金不要"),"入金確認済","受領済"))))</f>
        <v>入金確認済</v>
      </c>
      <c r="D18" s="10" t="str">
        <f aca="false">IF(OR(G18="",G18="なし"),"―",IF(CH18="N","対象外",IF(AND(I18="",J18="",K18=""),"標報未入力",IF(CD18&gt;=設定!$B$4,"要確認","問題なし"))))</f>
        <v>標報未入力</v>
      </c>
      <c r="E18" s="24" t="str">
        <f aca="false">IF(OR(G18="",G18="なし",CE18="",CF18=0),"―",IF(CF18=CE18,"前月同額",IF(CE18=0,"―",IF(ABS(CF18/CE18-1)&gt;=設定!$B$5,"変動大 "&amp;TEXT(CF18/CE18-1,"+0%;-0%"),"〇"))))</f>
        <v>―</v>
      </c>
      <c r="F18" s="10" t="str">
        <f aca="false">IF(OR(G18="",G18="なし"),"―",IF(CF18=0,"入金不要",IF(COUNT(Z18,AB18,AD18,AF18)=0,IF(AG18="○","手動確認","未入金"),IF(AND(N(Z18)=Y18,IF(AA18="",TRUE(),N(AB18)=AA18),IF(AC18="",TRUE(),N(AD18)=AC18),IF(AE18="",TRUE(),N(AF18)=AE18)),"一致","不一致"))))</f>
        <v>入金不要</v>
      </c>
      <c r="G18" s="25" t="s">
        <v>159</v>
      </c>
      <c r="H18" s="26"/>
      <c r="I18" s="27"/>
      <c r="J18" s="27"/>
      <c r="K18" s="27"/>
      <c r="L18" s="27" t="n">
        <v>0</v>
      </c>
      <c r="M18" s="27" t="n">
        <v>0</v>
      </c>
      <c r="N18" s="27"/>
      <c r="O18" s="27"/>
      <c r="P18" s="27" t="n">
        <v>0</v>
      </c>
      <c r="Q18" s="27" t="n">
        <v>0</v>
      </c>
      <c r="R18" s="27" t="n">
        <v>0</v>
      </c>
      <c r="S18" s="27" t="n">
        <v>0</v>
      </c>
      <c r="T18" s="27" t="n">
        <v>0</v>
      </c>
      <c r="U18" s="27" t="n">
        <v>0</v>
      </c>
      <c r="V18" s="27" t="n">
        <v>0</v>
      </c>
      <c r="W18" s="10" t="str">
        <f aca="false">IFERROR(INDEX(設定!$E$61:$E$106,MATCH(B18,設定!$B$61:$B$106,0)),"合算")</f>
        <v>合算</v>
      </c>
      <c r="X18" s="28"/>
      <c r="Y18" s="29" t="n">
        <f aca="false">IF(OR(G18="",G18="なし"),"",IF(W18="合算",CF18,IF(W18="掛金・負担金別",(AU18+AV18+AZ18+BB18+BD18),SUM(AU18:AY18))))</f>
        <v>0</v>
      </c>
      <c r="Z18" s="27"/>
      <c r="AA18" s="29" t="str">
        <f aca="false">IF(OR(G18="",G18="なし"),"",IF(W18="掛金・負担金別",(AW18+AX18+AY18+BA18+BC18+BE18),IF(W18="経理区分別",AZ18+BA18,"")))</f>
        <v/>
      </c>
      <c r="AB18" s="27"/>
      <c r="AC18" s="29" t="str">
        <f aca="false">IF(OR(G18="",G18="なし"),"",IF(W18="経理区分別",BB18+BC18,""))</f>
        <v/>
      </c>
      <c r="AD18" s="27"/>
      <c r="AE18" s="29" t="str">
        <f aca="false">IF(OR(G18="",G18="なし"),"",IF(W18="経理区分別",BD18+BE18,""))</f>
        <v/>
      </c>
      <c r="AF18" s="27"/>
      <c r="AG18" s="26"/>
      <c r="AH18" s="26"/>
      <c r="AI18" s="30"/>
      <c r="AJ18" s="31"/>
      <c r="AK18" s="31"/>
      <c r="AL18" s="31"/>
      <c r="AM18" s="31"/>
      <c r="AN18" s="31"/>
      <c r="AO18" s="31"/>
      <c r="AP18" s="31"/>
      <c r="AQ18" s="31"/>
      <c r="AR18" s="31"/>
      <c r="AS18" s="31"/>
      <c r="AT18" s="31"/>
      <c r="AU18" s="31" t="n">
        <f aca="false">IF($G18="",AJ18,L18)</f>
        <v>0</v>
      </c>
      <c r="AV18" s="31" t="n">
        <f aca="false">IF($G18="",AK18,M18)</f>
        <v>0</v>
      </c>
      <c r="AW18" s="31" t="n">
        <f aca="false">IF($G18="",AL18,N18)</f>
        <v>0</v>
      </c>
      <c r="AX18" s="31" t="n">
        <f aca="false">IF($G18="",AM18,O18)</f>
        <v>0</v>
      </c>
      <c r="AY18" s="31" t="n">
        <f aca="false">IF($G18="",AN18,P18)</f>
        <v>0</v>
      </c>
      <c r="AZ18" s="31" t="n">
        <f aca="false">IF($G18="",AO18,Q18)</f>
        <v>0</v>
      </c>
      <c r="BA18" s="31" t="n">
        <f aca="false">IF($G18="",AP18,R18)</f>
        <v>0</v>
      </c>
      <c r="BB18" s="31" t="n">
        <f aca="false">IF($G18="",AQ18,S18)</f>
        <v>0</v>
      </c>
      <c r="BC18" s="31" t="n">
        <f aca="false">IF($G18="",AR18,T18)</f>
        <v>0</v>
      </c>
      <c r="BD18" s="31" t="n">
        <f aca="false">IF($G18="",AS18,U18)</f>
        <v>0</v>
      </c>
      <c r="BE18" s="31" t="n">
        <f aca="false">IF($G18="",AT18,V18)</f>
        <v>0</v>
      </c>
      <c r="BF18" s="31" t="n">
        <f aca="false">ROUNDDOWN(I18*設定!$B$10/1000,0)+ROUNDDOWN(I18*設定!$B$11/1000,0)</f>
        <v>0</v>
      </c>
      <c r="BG18" s="31" t="n">
        <f aca="false">ROUNDDOWN(I18*設定!$C$10/1000,0)+ROUNDDOWN(I18*設定!$C$11/1000,0)+ROUNDDOWN(I18*設定!$C$12/1000,0)</f>
        <v>0</v>
      </c>
      <c r="BH18" s="31" t="n">
        <f aca="false">ROUNDDOWN(J18*設定!$B$13/1000,0)</f>
        <v>0</v>
      </c>
      <c r="BI18" s="31" t="n">
        <f aca="false">ROUNDDOWN(J18*設定!$C$13/1000,0)</f>
        <v>0</v>
      </c>
      <c r="BJ18" s="31" t="n">
        <f aca="false">ROUNDDOWN(K18*設定!$B$14/1000,0)</f>
        <v>0</v>
      </c>
      <c r="BK18" s="31" t="n">
        <f aca="false">ROUNDDOWN(K18*設定!$C$14/1000,0)</f>
        <v>0</v>
      </c>
      <c r="BL18" s="31" t="n">
        <f aca="false">ROUNDDOWN(J18*設定!$B$15/1000,0)</f>
        <v>0</v>
      </c>
      <c r="BM18" s="31" t="n">
        <f aca="false">ROUNDDOWN(J18*設定!$C$15/1000,0)</f>
        <v>0</v>
      </c>
      <c r="BN18" s="31" t="n">
        <f aca="false">L18+M18</f>
        <v>0</v>
      </c>
      <c r="BO18" s="31" t="n">
        <f aca="false">N18+O18+P18</f>
        <v>0</v>
      </c>
      <c r="BP18" s="31" t="n">
        <f aca="false">Q18</f>
        <v>0</v>
      </c>
      <c r="BQ18" s="31" t="n">
        <f aca="false">R18</f>
        <v>0</v>
      </c>
      <c r="BR18" s="31" t="n">
        <f aca="false">S18</f>
        <v>0</v>
      </c>
      <c r="BS18" s="31" t="n">
        <f aca="false">T18</f>
        <v>0</v>
      </c>
      <c r="BT18" s="31" t="n">
        <f aca="false">U18</f>
        <v>0</v>
      </c>
      <c r="BU18" s="31" t="n">
        <f aca="false">V18</f>
        <v>0</v>
      </c>
      <c r="BV18" s="32" t="n">
        <f aca="false">IF(BF18=0,IF(BN18=0,0,1),(BN18-BF18)/BF18)</f>
        <v>0</v>
      </c>
      <c r="BW18" s="32" t="n">
        <f aca="false">IF(BG18=0,IF(BO18=0,0,1),(BO18-BG18)/BG18)</f>
        <v>0</v>
      </c>
      <c r="BX18" s="32" t="n">
        <f aca="false">IF(BH18=0,IF(BP18=0,0,1),(BP18-BH18)/BH18)</f>
        <v>0</v>
      </c>
      <c r="BY18" s="32" t="n">
        <f aca="false">IF(BI18=0,IF(BQ18=0,0,1),(BQ18-BI18)/BI18)</f>
        <v>0</v>
      </c>
      <c r="BZ18" s="32" t="n">
        <f aca="false">IF(BJ18=0,IF(BR18=0,0,1),(BR18-BJ18)/BJ18)</f>
        <v>0</v>
      </c>
      <c r="CA18" s="32" t="n">
        <f aca="false">IF(BK18=0,IF(BS18=0,0,1),(BS18-BK18)/BK18)</f>
        <v>0</v>
      </c>
      <c r="CB18" s="32" t="n">
        <f aca="false">IF(BL18=0,IF(BT18=0,0,1),(BT18-BL18)/BL18)</f>
        <v>0</v>
      </c>
      <c r="CC18" s="32" t="n">
        <f aca="false">IF(BM18=0,IF(BU18=0,0,1),(BU18-BM18)/BM18)</f>
        <v>0</v>
      </c>
      <c r="CD18" s="32" t="n">
        <f aca="false">MAX(MAX(BV18:CC18),-MIN(BV18:CC18))</f>
        <v>-0</v>
      </c>
      <c r="CE18" s="31" t="str">
        <f aca="false">IF(CI18="","",SUMIFS($CF$7:$CF$696,$A$7:$A$696,CI18,$B$7:$B$696,B18))</f>
        <v/>
      </c>
      <c r="CF18" s="31" t="n">
        <f aca="false">SUM(AU18:BE18)</f>
        <v>0</v>
      </c>
      <c r="CG18" s="33" t="str">
        <f aca="false">A18&amp;"|"&amp;B18</f>
        <v>2026-04 月例|教育委員会（教育給与課）</v>
      </c>
      <c r="CH18" s="34" t="str">
        <f aca="false">IFERROR(INDEX(設定!$D$61:$D$106,MATCH(B18,設定!$B$61:$B$106,0)),"Y")</f>
        <v>Y</v>
      </c>
      <c r="CI18" s="34" t="str">
        <f aca="false">IFERROR(INDEX(設定!$D$20:$D$34,MATCH(A18,設定!$A$20:$A$34,0))&amp;"","")</f>
        <v/>
      </c>
    </row>
    <row r="19" customFormat="false" ht="15" hidden="true" customHeight="false" outlineLevel="0" collapsed="false">
      <c r="A19" s="22" t="s">
        <v>157</v>
      </c>
      <c r="B19" s="23" t="s">
        <v>172</v>
      </c>
      <c r="C19" s="10" t="str">
        <f aca="false">IF(G19="","未受領",IF(G19="なし","報告なし",IF(AH19="○","起票済",IF(OR(AG19="○",F19="一致",F19="入金不要"),"入金確認済","受領済"))))</f>
        <v>報告なし</v>
      </c>
      <c r="D19" s="10" t="str">
        <f aca="false">IF(OR(G19="",G19="なし"),"―",IF(CH19="N","対象外",IF(AND(I19="",J19="",K19=""),"標報未入力",IF(CD19&gt;=設定!$B$4,"要確認","問題なし"))))</f>
        <v>―</v>
      </c>
      <c r="E19" s="24" t="str">
        <f aca="false">IF(OR(G19="",G19="なし",CE19="",CF19=0),"―",IF(CF19=CE19,"前月同額",IF(CE19=0,"―",IF(ABS(CF19/CE19-1)&gt;=設定!$B$5,"変動大 "&amp;TEXT(CF19/CE19-1,"+0%;-0%"),"〇"))))</f>
        <v>―</v>
      </c>
      <c r="F19" s="10" t="str">
        <f aca="false">IF(OR(G19="",G19="なし"),"―",IF(CF19=0,"入金不要",IF(COUNT(Z19,AB19,AD19,AF19)=0,IF(AG19="○","手動確認","未入金"),IF(AND(N(Z19)=Y19,IF(AA19="",TRUE(),N(AB19)=AA19),IF(AC19="",TRUE(),N(AD19)=AC19),IF(AE19="",TRUE(),N(AF19)=AE19)),"一致","不一致"))))</f>
        <v>―</v>
      </c>
      <c r="G19" s="25" t="s">
        <v>173</v>
      </c>
      <c r="H19" s="26"/>
      <c r="I19" s="27"/>
      <c r="J19" s="27"/>
      <c r="K19" s="27"/>
      <c r="L19" s="27"/>
      <c r="M19" s="27"/>
      <c r="N19" s="27"/>
      <c r="O19" s="27"/>
      <c r="P19" s="27"/>
      <c r="Q19" s="27"/>
      <c r="R19" s="27"/>
      <c r="S19" s="27"/>
      <c r="T19" s="27"/>
      <c r="U19" s="27"/>
      <c r="V19" s="27"/>
      <c r="W19" s="10" t="str">
        <f aca="false">IFERROR(INDEX(設定!$E$61:$E$106,MATCH(B19,設定!$B$61:$B$106,0)),"合算")</f>
        <v>合算</v>
      </c>
      <c r="X19" s="28"/>
      <c r="Y19" s="29" t="str">
        <f aca="false">IF(OR(G19="",G19="なし"),"",IF(W19="合算",CF19,IF(W19="掛金・負担金別",(AU19+AV19+AZ19+BB19+BD19),SUM(AU19:AY19))))</f>
        <v/>
      </c>
      <c r="Z19" s="27"/>
      <c r="AA19" s="29" t="str">
        <f aca="false">IF(OR(G19="",G19="なし"),"",IF(W19="掛金・負担金別",(AW19+AX19+AY19+BA19+BC19+BE19),IF(W19="経理区分別",AZ19+BA19,"")))</f>
        <v/>
      </c>
      <c r="AB19" s="27"/>
      <c r="AC19" s="29" t="str">
        <f aca="false">IF(OR(G19="",G19="なし"),"",IF(W19="経理区分別",BB19+BC19,""))</f>
        <v/>
      </c>
      <c r="AD19" s="27"/>
      <c r="AE19" s="29" t="str">
        <f aca="false">IF(OR(G19="",G19="なし"),"",IF(W19="経理区分別",BD19+BE19,""))</f>
        <v/>
      </c>
      <c r="AF19" s="27"/>
      <c r="AG19" s="26"/>
      <c r="AH19" s="26"/>
      <c r="AI19" s="30"/>
      <c r="AJ19" s="31"/>
      <c r="AK19" s="31"/>
      <c r="AL19" s="31"/>
      <c r="AM19" s="31"/>
      <c r="AN19" s="31"/>
      <c r="AO19" s="31"/>
      <c r="AP19" s="31"/>
      <c r="AQ19" s="31"/>
      <c r="AR19" s="31"/>
      <c r="AS19" s="31"/>
      <c r="AT19" s="31"/>
      <c r="AU19" s="31" t="n">
        <f aca="false">IF($G19="",AJ19,L19)</f>
        <v>0</v>
      </c>
      <c r="AV19" s="31" t="n">
        <f aca="false">IF($G19="",AK19,M19)</f>
        <v>0</v>
      </c>
      <c r="AW19" s="31" t="n">
        <f aca="false">IF($G19="",AL19,N19)</f>
        <v>0</v>
      </c>
      <c r="AX19" s="31" t="n">
        <f aca="false">IF($G19="",AM19,O19)</f>
        <v>0</v>
      </c>
      <c r="AY19" s="31" t="n">
        <f aca="false">IF($G19="",AN19,P19)</f>
        <v>0</v>
      </c>
      <c r="AZ19" s="31" t="n">
        <f aca="false">IF($G19="",AO19,Q19)</f>
        <v>0</v>
      </c>
      <c r="BA19" s="31" t="n">
        <f aca="false">IF($G19="",AP19,R19)</f>
        <v>0</v>
      </c>
      <c r="BB19" s="31" t="n">
        <f aca="false">IF($G19="",AQ19,S19)</f>
        <v>0</v>
      </c>
      <c r="BC19" s="31" t="n">
        <f aca="false">IF($G19="",AR19,T19)</f>
        <v>0</v>
      </c>
      <c r="BD19" s="31" t="n">
        <f aca="false">IF($G19="",AS19,U19)</f>
        <v>0</v>
      </c>
      <c r="BE19" s="31" t="n">
        <f aca="false">IF($G19="",AT19,V19)</f>
        <v>0</v>
      </c>
      <c r="BF19" s="31" t="n">
        <f aca="false">ROUNDDOWN(I19*設定!$B$10/1000,0)+ROUNDDOWN(I19*設定!$B$11/1000,0)</f>
        <v>0</v>
      </c>
      <c r="BG19" s="31" t="n">
        <f aca="false">ROUNDDOWN(I19*設定!$C$10/1000,0)+ROUNDDOWN(I19*設定!$C$11/1000,0)+ROUNDDOWN(I19*設定!$C$12/1000,0)</f>
        <v>0</v>
      </c>
      <c r="BH19" s="31" t="n">
        <f aca="false">ROUNDDOWN(J19*設定!$B$13/1000,0)</f>
        <v>0</v>
      </c>
      <c r="BI19" s="31" t="n">
        <f aca="false">ROUNDDOWN(J19*設定!$C$13/1000,0)</f>
        <v>0</v>
      </c>
      <c r="BJ19" s="31" t="n">
        <f aca="false">ROUNDDOWN(K19*設定!$B$14/1000,0)</f>
        <v>0</v>
      </c>
      <c r="BK19" s="31" t="n">
        <f aca="false">ROUNDDOWN(K19*設定!$C$14/1000,0)</f>
        <v>0</v>
      </c>
      <c r="BL19" s="31" t="n">
        <f aca="false">ROUNDDOWN(J19*設定!$B$15/1000,0)</f>
        <v>0</v>
      </c>
      <c r="BM19" s="31" t="n">
        <f aca="false">ROUNDDOWN(J19*設定!$C$15/1000,0)</f>
        <v>0</v>
      </c>
      <c r="BN19" s="31" t="n">
        <f aca="false">L19+M19</f>
        <v>0</v>
      </c>
      <c r="BO19" s="31" t="n">
        <f aca="false">N19+O19+P19</f>
        <v>0</v>
      </c>
      <c r="BP19" s="31" t="n">
        <f aca="false">Q19</f>
        <v>0</v>
      </c>
      <c r="BQ19" s="31" t="n">
        <f aca="false">R19</f>
        <v>0</v>
      </c>
      <c r="BR19" s="31" t="n">
        <f aca="false">S19</f>
        <v>0</v>
      </c>
      <c r="BS19" s="31" t="n">
        <f aca="false">T19</f>
        <v>0</v>
      </c>
      <c r="BT19" s="31" t="n">
        <f aca="false">U19</f>
        <v>0</v>
      </c>
      <c r="BU19" s="31" t="n">
        <f aca="false">V19</f>
        <v>0</v>
      </c>
      <c r="BV19" s="32" t="n">
        <f aca="false">IF(BF19=0,IF(BN19=0,0,1),(BN19-BF19)/BF19)</f>
        <v>0</v>
      </c>
      <c r="BW19" s="32" t="n">
        <f aca="false">IF(BG19=0,IF(BO19=0,0,1),(BO19-BG19)/BG19)</f>
        <v>0</v>
      </c>
      <c r="BX19" s="32" t="n">
        <f aca="false">IF(BH19=0,IF(BP19=0,0,1),(BP19-BH19)/BH19)</f>
        <v>0</v>
      </c>
      <c r="BY19" s="32" t="n">
        <f aca="false">IF(BI19=0,IF(BQ19=0,0,1),(BQ19-BI19)/BI19)</f>
        <v>0</v>
      </c>
      <c r="BZ19" s="32" t="n">
        <f aca="false">IF(BJ19=0,IF(BR19=0,0,1),(BR19-BJ19)/BJ19)</f>
        <v>0</v>
      </c>
      <c r="CA19" s="32" t="n">
        <f aca="false">IF(BK19=0,IF(BS19=0,0,1),(BS19-BK19)/BK19)</f>
        <v>0</v>
      </c>
      <c r="CB19" s="32" t="n">
        <f aca="false">IF(BL19=0,IF(BT19=0,0,1),(BT19-BL19)/BL19)</f>
        <v>0</v>
      </c>
      <c r="CC19" s="32" t="n">
        <f aca="false">IF(BM19=0,IF(BU19=0,0,1),(BU19-BM19)/BM19)</f>
        <v>0</v>
      </c>
      <c r="CD19" s="32" t="n">
        <f aca="false">MAX(MAX(BV19:CC19),-MIN(BV19:CC19))</f>
        <v>-0</v>
      </c>
      <c r="CE19" s="31" t="str">
        <f aca="false">IF(CI19="","",SUMIFS($CF$7:$CF$696,$A$7:$A$696,CI19,$B$7:$B$696,B19))</f>
        <v/>
      </c>
      <c r="CF19" s="31" t="n">
        <f aca="false">SUM(AU19:BE19)</f>
        <v>0</v>
      </c>
      <c r="CG19" s="33" t="str">
        <f aca="false">A19&amp;"|"&amp;B19</f>
        <v>2026-04 月例|地方税共同機構</v>
      </c>
      <c r="CH19" s="34" t="str">
        <f aca="false">IFERROR(INDEX(設定!$D$61:$D$106,MATCH(B19,設定!$B$61:$B$106,0)),"Y")</f>
        <v>Y</v>
      </c>
      <c r="CI19" s="34" t="str">
        <f aca="false">IFERROR(INDEX(設定!$D$20:$D$34,MATCH(A19,設定!$A$20:$A$34,0))&amp;"","")</f>
        <v/>
      </c>
    </row>
    <row r="20" customFormat="false" ht="15" hidden="true" customHeight="false" outlineLevel="0" collapsed="false">
      <c r="A20" s="22" t="s">
        <v>157</v>
      </c>
      <c r="B20" s="23" t="s">
        <v>174</v>
      </c>
      <c r="C20" s="10" t="str">
        <f aca="false">IF(G20="","未受領",IF(G20="なし","報告なし",IF(AH20="○","起票済",IF(OR(AG20="○",F20="一致",F20="入金不要"),"入金確認済","受領済"))))</f>
        <v>入金確認済</v>
      </c>
      <c r="D20" s="10" t="str">
        <f aca="false">IF(OR(G20="",G20="なし"),"―",IF(CH20="N","対象外",IF(AND(I20="",J20="",K20=""),"標報未入力",IF(CD20&gt;=設定!$B$4,"要確認","問題なし"))))</f>
        <v>標報未入力</v>
      </c>
      <c r="E20" s="24" t="str">
        <f aca="false">IF(OR(G20="",G20="なし",CE20="",CF20=0),"―",IF(CF20=CE20,"前月同額",IF(CE20=0,"―",IF(ABS(CF20/CE20-1)&gt;=設定!$B$5,"変動大 "&amp;TEXT(CF20/CE20-1,"+0%;-0%"),"〇"))))</f>
        <v>―</v>
      </c>
      <c r="F20" s="10" t="str">
        <f aca="false">IF(OR(G20="",G20="なし"),"―",IF(CF20=0,"入金不要",IF(COUNT(Z20,AB20,AD20,AF20)=0,IF(AG20="○","手動確認","未入金"),IF(AND(N(Z20)=Y20,IF(AA20="",TRUE(),N(AB20)=AA20),IF(AC20="",TRUE(),N(AD20)=AC20),IF(AE20="",TRUE(),N(AF20)=AE20)),"一致","不一致"))))</f>
        <v>手動確認</v>
      </c>
      <c r="G20" s="25" t="s">
        <v>159</v>
      </c>
      <c r="H20" s="26"/>
      <c r="I20" s="27"/>
      <c r="J20" s="27"/>
      <c r="K20" s="27"/>
      <c r="L20" s="27" t="n">
        <v>0</v>
      </c>
      <c r="M20" s="27" t="n">
        <v>0</v>
      </c>
      <c r="N20" s="27" t="n">
        <v>765855</v>
      </c>
      <c r="O20" s="27" t="n">
        <v>62775</v>
      </c>
      <c r="P20" s="27" t="n">
        <v>789</v>
      </c>
      <c r="Q20" s="27" t="n">
        <v>0</v>
      </c>
      <c r="R20" s="27" t="n">
        <v>441236</v>
      </c>
      <c r="S20" s="27" t="n">
        <v>0</v>
      </c>
      <c r="T20" s="27" t="n">
        <v>54826</v>
      </c>
      <c r="U20" s="27" t="n">
        <v>0</v>
      </c>
      <c r="V20" s="27" t="n">
        <v>9775</v>
      </c>
      <c r="W20" s="10" t="str">
        <f aca="false">IFERROR(INDEX(設定!$E$61:$E$106,MATCH(B20,設定!$B$61:$B$106,0)),"合算")</f>
        <v>合算</v>
      </c>
      <c r="X20" s="28"/>
      <c r="Y20" s="29" t="n">
        <f aca="false">IF(OR(G20="",G20="なし"),"",IF(W20="合算",CF20,IF(W20="掛金・負担金別",(AU20+AV20+AZ20+BB20+BD20),SUM(AU20:AY20))))</f>
        <v>1335256</v>
      </c>
      <c r="Z20" s="27"/>
      <c r="AA20" s="29" t="str">
        <f aca="false">IF(OR(G20="",G20="なし"),"",IF(W20="掛金・負担金別",(AW20+AX20+AY20+BA20+BC20+BE20),IF(W20="経理区分別",AZ20+BA20,"")))</f>
        <v/>
      </c>
      <c r="AB20" s="27"/>
      <c r="AC20" s="29" t="str">
        <f aca="false">IF(OR(G20="",G20="なし"),"",IF(W20="経理区分別",BB20+BC20,""))</f>
        <v/>
      </c>
      <c r="AD20" s="27"/>
      <c r="AE20" s="29" t="str">
        <f aca="false">IF(OR(G20="",G20="なし"),"",IF(W20="経理区分別",BD20+BE20,""))</f>
        <v/>
      </c>
      <c r="AF20" s="27"/>
      <c r="AG20" s="26" t="s">
        <v>160</v>
      </c>
      <c r="AH20" s="26"/>
      <c r="AI20" s="30"/>
      <c r="AJ20" s="31"/>
      <c r="AK20" s="31"/>
      <c r="AL20" s="31"/>
      <c r="AM20" s="31"/>
      <c r="AN20" s="31"/>
      <c r="AO20" s="31"/>
      <c r="AP20" s="31"/>
      <c r="AQ20" s="31"/>
      <c r="AR20" s="31"/>
      <c r="AS20" s="31"/>
      <c r="AT20" s="31"/>
      <c r="AU20" s="31" t="n">
        <f aca="false">IF($G20="",AJ20,L20)</f>
        <v>0</v>
      </c>
      <c r="AV20" s="31" t="n">
        <f aca="false">IF($G20="",AK20,M20)</f>
        <v>0</v>
      </c>
      <c r="AW20" s="31" t="n">
        <f aca="false">IF($G20="",AL20,N20)</f>
        <v>765855</v>
      </c>
      <c r="AX20" s="31" t="n">
        <f aca="false">IF($G20="",AM20,O20)</f>
        <v>62775</v>
      </c>
      <c r="AY20" s="31" t="n">
        <f aca="false">IF($G20="",AN20,P20)</f>
        <v>789</v>
      </c>
      <c r="AZ20" s="31" t="n">
        <f aca="false">IF($G20="",AO20,Q20)</f>
        <v>0</v>
      </c>
      <c r="BA20" s="31" t="n">
        <f aca="false">IF($G20="",AP20,R20)</f>
        <v>441236</v>
      </c>
      <c r="BB20" s="31" t="n">
        <f aca="false">IF($G20="",AQ20,S20)</f>
        <v>0</v>
      </c>
      <c r="BC20" s="31" t="n">
        <f aca="false">IF($G20="",AR20,T20)</f>
        <v>54826</v>
      </c>
      <c r="BD20" s="31" t="n">
        <f aca="false">IF($G20="",AS20,U20)</f>
        <v>0</v>
      </c>
      <c r="BE20" s="31" t="n">
        <f aca="false">IF($G20="",AT20,V20)</f>
        <v>9775</v>
      </c>
      <c r="BF20" s="31" t="n">
        <f aca="false">ROUNDDOWN(I20*設定!$B$10/1000,0)+ROUNDDOWN(I20*設定!$B$11/1000,0)</f>
        <v>0</v>
      </c>
      <c r="BG20" s="31" t="n">
        <f aca="false">ROUNDDOWN(I20*設定!$C$10/1000,0)+ROUNDDOWN(I20*設定!$C$11/1000,0)+ROUNDDOWN(I20*設定!$C$12/1000,0)</f>
        <v>0</v>
      </c>
      <c r="BH20" s="31" t="n">
        <f aca="false">ROUNDDOWN(J20*設定!$B$13/1000,0)</f>
        <v>0</v>
      </c>
      <c r="BI20" s="31" t="n">
        <f aca="false">ROUNDDOWN(J20*設定!$C$13/1000,0)</f>
        <v>0</v>
      </c>
      <c r="BJ20" s="31" t="n">
        <f aca="false">ROUNDDOWN(K20*設定!$B$14/1000,0)</f>
        <v>0</v>
      </c>
      <c r="BK20" s="31" t="n">
        <f aca="false">ROUNDDOWN(K20*設定!$C$14/1000,0)</f>
        <v>0</v>
      </c>
      <c r="BL20" s="31" t="n">
        <f aca="false">ROUNDDOWN(J20*設定!$B$15/1000,0)</f>
        <v>0</v>
      </c>
      <c r="BM20" s="31" t="n">
        <f aca="false">ROUNDDOWN(J20*設定!$C$15/1000,0)</f>
        <v>0</v>
      </c>
      <c r="BN20" s="31" t="n">
        <f aca="false">L20+M20</f>
        <v>0</v>
      </c>
      <c r="BO20" s="31" t="n">
        <f aca="false">N20+O20+P20</f>
        <v>829419</v>
      </c>
      <c r="BP20" s="31" t="n">
        <f aca="false">Q20</f>
        <v>0</v>
      </c>
      <c r="BQ20" s="31" t="n">
        <f aca="false">R20</f>
        <v>441236</v>
      </c>
      <c r="BR20" s="31" t="n">
        <f aca="false">S20</f>
        <v>0</v>
      </c>
      <c r="BS20" s="31" t="n">
        <f aca="false">T20</f>
        <v>54826</v>
      </c>
      <c r="BT20" s="31" t="n">
        <f aca="false">U20</f>
        <v>0</v>
      </c>
      <c r="BU20" s="31" t="n">
        <f aca="false">V20</f>
        <v>9775</v>
      </c>
      <c r="BV20" s="32" t="n">
        <f aca="false">IF(BF20=0,IF(BN20=0,0,1),(BN20-BF20)/BF20)</f>
        <v>0</v>
      </c>
      <c r="BW20" s="32" t="n">
        <f aca="false">IF(BG20=0,IF(BO20=0,0,1),(BO20-BG20)/BG20)</f>
        <v>1</v>
      </c>
      <c r="BX20" s="32" t="n">
        <f aca="false">IF(BH20=0,IF(BP20=0,0,1),(BP20-BH20)/BH20)</f>
        <v>0</v>
      </c>
      <c r="BY20" s="32" t="n">
        <f aca="false">IF(BI20=0,IF(BQ20=0,0,1),(BQ20-BI20)/BI20)</f>
        <v>1</v>
      </c>
      <c r="BZ20" s="32" t="n">
        <f aca="false">IF(BJ20=0,IF(BR20=0,0,1),(BR20-BJ20)/BJ20)</f>
        <v>0</v>
      </c>
      <c r="CA20" s="32" t="n">
        <f aca="false">IF(BK20=0,IF(BS20=0,0,1),(BS20-BK20)/BK20)</f>
        <v>1</v>
      </c>
      <c r="CB20" s="32" t="n">
        <f aca="false">IF(BL20=0,IF(BT20=0,0,1),(BT20-BL20)/BL20)</f>
        <v>0</v>
      </c>
      <c r="CC20" s="32" t="n">
        <f aca="false">IF(BM20=0,IF(BU20=0,0,1),(BU20-BM20)/BM20)</f>
        <v>1</v>
      </c>
      <c r="CD20" s="32" t="n">
        <f aca="false">MAX(MAX(BV20:CC20),-MIN(BV20:CC20))</f>
        <v>1</v>
      </c>
      <c r="CE20" s="31" t="str">
        <f aca="false">IF(CI20="","",SUMIFS($CF$7:$CF$696,$A$7:$A$696,CI20,$B$7:$B$696,B20))</f>
        <v/>
      </c>
      <c r="CF20" s="31" t="n">
        <f aca="false">SUM(AU20:BE20)</f>
        <v>1335256</v>
      </c>
      <c r="CG20" s="33" t="str">
        <f aca="false">A20&amp;"|"&amp;B20</f>
        <v>2026-04 月例|平和文化センター</v>
      </c>
      <c r="CH20" s="34" t="str">
        <f aca="false">IFERROR(INDEX(設定!$D$61:$D$106,MATCH(B20,設定!$B$61:$B$106,0)),"Y")</f>
        <v>Y</v>
      </c>
      <c r="CI20" s="34" t="str">
        <f aca="false">IFERROR(INDEX(設定!$D$20:$D$34,MATCH(A20,設定!$A$20:$A$34,0))&amp;"","")</f>
        <v/>
      </c>
    </row>
    <row r="21" customFormat="false" ht="15" hidden="true" customHeight="false" outlineLevel="0" collapsed="false">
      <c r="A21" s="22" t="s">
        <v>157</v>
      </c>
      <c r="B21" s="23" t="s">
        <v>175</v>
      </c>
      <c r="C21" s="10" t="str">
        <f aca="false">IF(G21="","未受領",IF(G21="なし","報告なし",IF(AH21="○","起票済",IF(OR(AG21="○",F21="一致",F21="入金不要"),"入金確認済","受領済"))))</f>
        <v>入金確認済</v>
      </c>
      <c r="D21" s="10" t="str">
        <f aca="false">IF(OR(G21="",G21="なし"),"―",IF(CH21="N","対象外",IF(AND(I21="",J21="",K21=""),"標報未入力",IF(CD21&gt;=設定!$B$4,"要確認","問題なし"))))</f>
        <v>標報未入力</v>
      </c>
      <c r="E21" s="24" t="str">
        <f aca="false">IF(OR(G21="",G21="なし",CE21="",CF21=0),"―",IF(CF21=CE21,"前月同額",IF(CE21=0,"―",IF(ABS(CF21/CE21-1)&gt;=設定!$B$5,"変動大 "&amp;TEXT(CF21/CE21-1,"+0%;-0%"),"〇"))))</f>
        <v>―</v>
      </c>
      <c r="F21" s="10" t="str">
        <f aca="false">IF(OR(G21="",G21="なし"),"―",IF(CF21=0,"入金不要",IF(COUNT(Z21,AB21,AD21,AF21)=0,IF(AG21="○","手動確認","未入金"),IF(AND(N(Z21)=Y21,IF(AA21="",TRUE(),N(AB21)=AA21),IF(AC21="",TRUE(),N(AD21)=AC21),IF(AE21="",TRUE(),N(AF21)=AE21)),"一致","不一致"))))</f>
        <v>手動確認</v>
      </c>
      <c r="G21" s="25" t="s">
        <v>159</v>
      </c>
      <c r="H21" s="26"/>
      <c r="I21" s="27"/>
      <c r="J21" s="27"/>
      <c r="K21" s="27"/>
      <c r="L21" s="27"/>
      <c r="M21" s="27"/>
      <c r="N21" s="27" t="n">
        <v>2045940</v>
      </c>
      <c r="O21" s="27" t="n">
        <v>167700</v>
      </c>
      <c r="P21" s="27" t="n">
        <v>1993</v>
      </c>
      <c r="Q21" s="27"/>
      <c r="R21" s="27" t="n">
        <v>1308159</v>
      </c>
      <c r="S21" s="27"/>
      <c r="T21" s="27" t="n">
        <v>141726</v>
      </c>
      <c r="U21" s="27"/>
      <c r="V21" s="27" t="n">
        <v>28976</v>
      </c>
      <c r="W21" s="10" t="str">
        <f aca="false">IFERROR(INDEX(設定!$E$61:$E$106,MATCH(B21,設定!$B$61:$B$106,0)),"合算")</f>
        <v>合算</v>
      </c>
      <c r="X21" s="28"/>
      <c r="Y21" s="29" t="n">
        <f aca="false">IF(OR(G21="",G21="なし"),"",IF(W21="合算",CF21,IF(W21="掛金・負担金別",(AU21+AV21+AZ21+BB21+BD21),SUM(AU21:AY21))))</f>
        <v>3694494</v>
      </c>
      <c r="Z21" s="27"/>
      <c r="AA21" s="29" t="str">
        <f aca="false">IF(OR(G21="",G21="なし"),"",IF(W21="掛金・負担金別",(AW21+AX21+AY21+BA21+BC21+BE21),IF(W21="経理区分別",AZ21+BA21,"")))</f>
        <v/>
      </c>
      <c r="AB21" s="27"/>
      <c r="AC21" s="29" t="str">
        <f aca="false">IF(OR(G21="",G21="なし"),"",IF(W21="経理区分別",BB21+BC21,""))</f>
        <v/>
      </c>
      <c r="AD21" s="27"/>
      <c r="AE21" s="29" t="str">
        <f aca="false">IF(OR(G21="",G21="なし"),"",IF(W21="経理区分別",BD21+BE21,""))</f>
        <v/>
      </c>
      <c r="AF21" s="27"/>
      <c r="AG21" s="26" t="s">
        <v>160</v>
      </c>
      <c r="AH21" s="26"/>
      <c r="AI21" s="30"/>
      <c r="AJ21" s="31"/>
      <c r="AK21" s="31"/>
      <c r="AL21" s="31"/>
      <c r="AM21" s="31"/>
      <c r="AN21" s="31"/>
      <c r="AO21" s="31"/>
      <c r="AP21" s="31"/>
      <c r="AQ21" s="31"/>
      <c r="AR21" s="31"/>
      <c r="AS21" s="31"/>
      <c r="AT21" s="31"/>
      <c r="AU21" s="31" t="n">
        <f aca="false">IF($G21="",AJ21,L21)</f>
        <v>0</v>
      </c>
      <c r="AV21" s="31" t="n">
        <f aca="false">IF($G21="",AK21,M21)</f>
        <v>0</v>
      </c>
      <c r="AW21" s="31" t="n">
        <f aca="false">IF($G21="",AL21,N21)</f>
        <v>2045940</v>
      </c>
      <c r="AX21" s="31" t="n">
        <f aca="false">IF($G21="",AM21,O21)</f>
        <v>167700</v>
      </c>
      <c r="AY21" s="31" t="n">
        <f aca="false">IF($G21="",AN21,P21)</f>
        <v>1993</v>
      </c>
      <c r="AZ21" s="31" t="n">
        <f aca="false">IF($G21="",AO21,Q21)</f>
        <v>0</v>
      </c>
      <c r="BA21" s="31" t="n">
        <f aca="false">IF($G21="",AP21,R21)</f>
        <v>1308159</v>
      </c>
      <c r="BB21" s="31" t="n">
        <f aca="false">IF($G21="",AQ21,S21)</f>
        <v>0</v>
      </c>
      <c r="BC21" s="31" t="n">
        <f aca="false">IF($G21="",AR21,T21)</f>
        <v>141726</v>
      </c>
      <c r="BD21" s="31" t="n">
        <f aca="false">IF($G21="",AS21,U21)</f>
        <v>0</v>
      </c>
      <c r="BE21" s="31" t="n">
        <f aca="false">IF($G21="",AT21,V21)</f>
        <v>28976</v>
      </c>
      <c r="BF21" s="31" t="n">
        <f aca="false">ROUNDDOWN(I21*設定!$B$10/1000,0)+ROUNDDOWN(I21*設定!$B$11/1000,0)</f>
        <v>0</v>
      </c>
      <c r="BG21" s="31" t="n">
        <f aca="false">ROUNDDOWN(I21*設定!$C$10/1000,0)+ROUNDDOWN(I21*設定!$C$11/1000,0)+ROUNDDOWN(I21*設定!$C$12/1000,0)</f>
        <v>0</v>
      </c>
      <c r="BH21" s="31" t="n">
        <f aca="false">ROUNDDOWN(J21*設定!$B$13/1000,0)</f>
        <v>0</v>
      </c>
      <c r="BI21" s="31" t="n">
        <f aca="false">ROUNDDOWN(J21*設定!$C$13/1000,0)</f>
        <v>0</v>
      </c>
      <c r="BJ21" s="31" t="n">
        <f aca="false">ROUNDDOWN(K21*設定!$B$14/1000,0)</f>
        <v>0</v>
      </c>
      <c r="BK21" s="31" t="n">
        <f aca="false">ROUNDDOWN(K21*設定!$C$14/1000,0)</f>
        <v>0</v>
      </c>
      <c r="BL21" s="31" t="n">
        <f aca="false">ROUNDDOWN(J21*設定!$B$15/1000,0)</f>
        <v>0</v>
      </c>
      <c r="BM21" s="31" t="n">
        <f aca="false">ROUNDDOWN(J21*設定!$C$15/1000,0)</f>
        <v>0</v>
      </c>
      <c r="BN21" s="31" t="n">
        <f aca="false">L21+M21</f>
        <v>0</v>
      </c>
      <c r="BO21" s="31" t="n">
        <f aca="false">N21+O21+P21</f>
        <v>2215633</v>
      </c>
      <c r="BP21" s="31" t="n">
        <f aca="false">Q21</f>
        <v>0</v>
      </c>
      <c r="BQ21" s="31" t="n">
        <f aca="false">R21</f>
        <v>1308159</v>
      </c>
      <c r="BR21" s="31" t="n">
        <f aca="false">S21</f>
        <v>0</v>
      </c>
      <c r="BS21" s="31" t="n">
        <f aca="false">T21</f>
        <v>141726</v>
      </c>
      <c r="BT21" s="31" t="n">
        <f aca="false">U21</f>
        <v>0</v>
      </c>
      <c r="BU21" s="31" t="n">
        <f aca="false">V21</f>
        <v>28976</v>
      </c>
      <c r="BV21" s="32" t="n">
        <f aca="false">IF(BF21=0,IF(BN21=0,0,1),(BN21-BF21)/BF21)</f>
        <v>0</v>
      </c>
      <c r="BW21" s="32" t="n">
        <f aca="false">IF(BG21=0,IF(BO21=0,0,1),(BO21-BG21)/BG21)</f>
        <v>1</v>
      </c>
      <c r="BX21" s="32" t="n">
        <f aca="false">IF(BH21=0,IF(BP21=0,0,1),(BP21-BH21)/BH21)</f>
        <v>0</v>
      </c>
      <c r="BY21" s="32" t="n">
        <f aca="false">IF(BI21=0,IF(BQ21=0,0,1),(BQ21-BI21)/BI21)</f>
        <v>1</v>
      </c>
      <c r="BZ21" s="32" t="n">
        <f aca="false">IF(BJ21=0,IF(BR21=0,0,1),(BR21-BJ21)/BJ21)</f>
        <v>0</v>
      </c>
      <c r="CA21" s="32" t="n">
        <f aca="false">IF(BK21=0,IF(BS21=0,0,1),(BS21-BK21)/BK21)</f>
        <v>1</v>
      </c>
      <c r="CB21" s="32" t="n">
        <f aca="false">IF(BL21=0,IF(BT21=0,0,1),(BT21-BL21)/BL21)</f>
        <v>0</v>
      </c>
      <c r="CC21" s="32" t="n">
        <f aca="false">IF(BM21=0,IF(BU21=0,0,1),(BU21-BM21)/BM21)</f>
        <v>1</v>
      </c>
      <c r="CD21" s="32" t="n">
        <f aca="false">MAX(MAX(BV21:CC21),-MIN(BV21:CC21))</f>
        <v>1</v>
      </c>
      <c r="CE21" s="31" t="str">
        <f aca="false">IF(CI21="","",SUMIFS($CF$7:$CF$696,$A$7:$A$696,CI21,$B$7:$B$696,B21))</f>
        <v/>
      </c>
      <c r="CF21" s="31" t="n">
        <f aca="false">SUM(AU21:BE21)</f>
        <v>3694494</v>
      </c>
      <c r="CG21" s="33" t="str">
        <f aca="false">A21&amp;"|"&amp;B21</f>
        <v>2026-04 月例|社会福祉事業団</v>
      </c>
      <c r="CH21" s="34" t="str">
        <f aca="false">IFERROR(INDEX(設定!$D$61:$D$106,MATCH(B21,設定!$B$61:$B$106,0)),"Y")</f>
        <v>Y</v>
      </c>
      <c r="CI21" s="34" t="str">
        <f aca="false">IFERROR(INDEX(設定!$D$20:$D$34,MATCH(A21,設定!$A$20:$A$34,0))&amp;"","")</f>
        <v/>
      </c>
    </row>
    <row r="22" customFormat="false" ht="15" hidden="true" customHeight="false" outlineLevel="0" collapsed="false">
      <c r="A22" s="22" t="s">
        <v>157</v>
      </c>
      <c r="B22" s="23" t="s">
        <v>176</v>
      </c>
      <c r="C22" s="10" t="str">
        <f aca="false">IF(G22="","未受領",IF(G22="なし","報告なし",IF(AH22="○","起票済",IF(OR(AG22="○",F22="一致",F22="入金不要"),"入金確認済","受領済"))))</f>
        <v>入金確認済</v>
      </c>
      <c r="D22" s="10" t="str">
        <f aca="false">IF(OR(G22="",G22="なし"),"―",IF(CH22="N","対象外",IF(AND(I22="",J22="",K22=""),"標報未入力",IF(CD22&gt;=設定!$B$4,"要確認","問題なし"))))</f>
        <v>標報未入力</v>
      </c>
      <c r="E22" s="24" t="str">
        <f aca="false">IF(OR(G22="",G22="なし",CE22="",CF22=0),"―",IF(CF22=CE22,"前月同額",IF(CE22=0,"―",IF(ABS(CF22/CE22-1)&gt;=設定!$B$5,"変動大 "&amp;TEXT(CF22/CE22-1,"+0%;-0%"),"〇"))))</f>
        <v>―</v>
      </c>
      <c r="F22" s="10" t="str">
        <f aca="false">IF(OR(G22="",G22="なし"),"―",IF(CF22=0,"入金不要",IF(COUNT(Z22,AB22,AD22,AF22)=0,IF(AG22="○","手動確認","未入金"),IF(AND(N(Z22)=Y22,IF(AA22="",TRUE(),N(AB22)=AA22),IF(AC22="",TRUE(),N(AD22)=AC22),IF(AE22="",TRUE(),N(AF22)=AE22)),"一致","不一致"))))</f>
        <v>手動確認</v>
      </c>
      <c r="G22" s="25" t="s">
        <v>159</v>
      </c>
      <c r="H22" s="26"/>
      <c r="I22" s="27"/>
      <c r="J22" s="27"/>
      <c r="K22" s="27"/>
      <c r="L22" s="27"/>
      <c r="M22" s="27"/>
      <c r="N22" s="27" t="n">
        <v>59475</v>
      </c>
      <c r="O22" s="27" t="n">
        <v>4875</v>
      </c>
      <c r="P22" s="27" t="n">
        <v>56</v>
      </c>
      <c r="Q22" s="27"/>
      <c r="R22" s="27" t="n">
        <v>36856</v>
      </c>
      <c r="S22" s="27"/>
      <c r="T22" s="27" t="n">
        <v>5609</v>
      </c>
      <c r="U22" s="27"/>
      <c r="V22" s="27" t="n">
        <v>816</v>
      </c>
      <c r="W22" s="10" t="str">
        <f aca="false">IFERROR(INDEX(設定!$E$61:$E$106,MATCH(B22,設定!$B$61:$B$106,0)),"合算")</f>
        <v>合算</v>
      </c>
      <c r="X22" s="28"/>
      <c r="Y22" s="29" t="n">
        <f aca="false">IF(OR(G22="",G22="なし"),"",IF(W22="合算",CF22,IF(W22="掛金・負担金別",(AU22+AV22+AZ22+BB22+BD22),SUM(AU22:AY22))))</f>
        <v>107687</v>
      </c>
      <c r="Z22" s="27"/>
      <c r="AA22" s="29" t="str">
        <f aca="false">IF(OR(G22="",G22="なし"),"",IF(W22="掛金・負担金別",(AW22+AX22+AY22+BA22+BC22+BE22),IF(W22="経理区分別",AZ22+BA22,"")))</f>
        <v/>
      </c>
      <c r="AB22" s="27"/>
      <c r="AC22" s="29" t="str">
        <f aca="false">IF(OR(G22="",G22="なし"),"",IF(W22="経理区分別",BB22+BC22,""))</f>
        <v/>
      </c>
      <c r="AD22" s="27"/>
      <c r="AE22" s="29" t="str">
        <f aca="false">IF(OR(G22="",G22="なし"),"",IF(W22="経理区分別",BD22+BE22,""))</f>
        <v/>
      </c>
      <c r="AF22" s="27"/>
      <c r="AG22" s="26" t="s">
        <v>160</v>
      </c>
      <c r="AH22" s="26"/>
      <c r="AI22" s="30"/>
      <c r="AJ22" s="31"/>
      <c r="AK22" s="31"/>
      <c r="AL22" s="31"/>
      <c r="AM22" s="31"/>
      <c r="AN22" s="31"/>
      <c r="AO22" s="31"/>
      <c r="AP22" s="31"/>
      <c r="AQ22" s="31"/>
      <c r="AR22" s="31"/>
      <c r="AS22" s="31"/>
      <c r="AT22" s="31"/>
      <c r="AU22" s="31" t="n">
        <f aca="false">IF($G22="",AJ22,L22)</f>
        <v>0</v>
      </c>
      <c r="AV22" s="31" t="n">
        <f aca="false">IF($G22="",AK22,M22)</f>
        <v>0</v>
      </c>
      <c r="AW22" s="31" t="n">
        <f aca="false">IF($G22="",AL22,N22)</f>
        <v>59475</v>
      </c>
      <c r="AX22" s="31" t="n">
        <f aca="false">IF($G22="",AM22,O22)</f>
        <v>4875</v>
      </c>
      <c r="AY22" s="31" t="n">
        <f aca="false">IF($G22="",AN22,P22)</f>
        <v>56</v>
      </c>
      <c r="AZ22" s="31" t="n">
        <f aca="false">IF($G22="",AO22,Q22)</f>
        <v>0</v>
      </c>
      <c r="BA22" s="31" t="n">
        <f aca="false">IF($G22="",AP22,R22)</f>
        <v>36856</v>
      </c>
      <c r="BB22" s="31" t="n">
        <f aca="false">IF($G22="",AQ22,S22)</f>
        <v>0</v>
      </c>
      <c r="BC22" s="31" t="n">
        <f aca="false">IF($G22="",AR22,T22)</f>
        <v>5609</v>
      </c>
      <c r="BD22" s="31" t="n">
        <f aca="false">IF($G22="",AS22,U22)</f>
        <v>0</v>
      </c>
      <c r="BE22" s="31" t="n">
        <f aca="false">IF($G22="",AT22,V22)</f>
        <v>816</v>
      </c>
      <c r="BF22" s="31" t="n">
        <f aca="false">ROUNDDOWN(I22*設定!$B$10/1000,0)+ROUNDDOWN(I22*設定!$B$11/1000,0)</f>
        <v>0</v>
      </c>
      <c r="BG22" s="31" t="n">
        <f aca="false">ROUNDDOWN(I22*設定!$C$10/1000,0)+ROUNDDOWN(I22*設定!$C$11/1000,0)+ROUNDDOWN(I22*設定!$C$12/1000,0)</f>
        <v>0</v>
      </c>
      <c r="BH22" s="31" t="n">
        <f aca="false">ROUNDDOWN(J22*設定!$B$13/1000,0)</f>
        <v>0</v>
      </c>
      <c r="BI22" s="31" t="n">
        <f aca="false">ROUNDDOWN(J22*設定!$C$13/1000,0)</f>
        <v>0</v>
      </c>
      <c r="BJ22" s="31" t="n">
        <f aca="false">ROUNDDOWN(K22*設定!$B$14/1000,0)</f>
        <v>0</v>
      </c>
      <c r="BK22" s="31" t="n">
        <f aca="false">ROUNDDOWN(K22*設定!$C$14/1000,0)</f>
        <v>0</v>
      </c>
      <c r="BL22" s="31" t="n">
        <f aca="false">ROUNDDOWN(J22*設定!$B$15/1000,0)</f>
        <v>0</v>
      </c>
      <c r="BM22" s="31" t="n">
        <f aca="false">ROUNDDOWN(J22*設定!$C$15/1000,0)</f>
        <v>0</v>
      </c>
      <c r="BN22" s="31" t="n">
        <f aca="false">L22+M22</f>
        <v>0</v>
      </c>
      <c r="BO22" s="31" t="n">
        <f aca="false">N22+O22+P22</f>
        <v>64406</v>
      </c>
      <c r="BP22" s="31" t="n">
        <f aca="false">Q22</f>
        <v>0</v>
      </c>
      <c r="BQ22" s="31" t="n">
        <f aca="false">R22</f>
        <v>36856</v>
      </c>
      <c r="BR22" s="31" t="n">
        <f aca="false">S22</f>
        <v>0</v>
      </c>
      <c r="BS22" s="31" t="n">
        <f aca="false">T22</f>
        <v>5609</v>
      </c>
      <c r="BT22" s="31" t="n">
        <f aca="false">U22</f>
        <v>0</v>
      </c>
      <c r="BU22" s="31" t="n">
        <f aca="false">V22</f>
        <v>816</v>
      </c>
      <c r="BV22" s="32" t="n">
        <f aca="false">IF(BF22=0,IF(BN22=0,0,1),(BN22-BF22)/BF22)</f>
        <v>0</v>
      </c>
      <c r="BW22" s="32" t="n">
        <f aca="false">IF(BG22=0,IF(BO22=0,0,1),(BO22-BG22)/BG22)</f>
        <v>1</v>
      </c>
      <c r="BX22" s="32" t="n">
        <f aca="false">IF(BH22=0,IF(BP22=0,0,1),(BP22-BH22)/BH22)</f>
        <v>0</v>
      </c>
      <c r="BY22" s="32" t="n">
        <f aca="false">IF(BI22=0,IF(BQ22=0,0,1),(BQ22-BI22)/BI22)</f>
        <v>1</v>
      </c>
      <c r="BZ22" s="32" t="n">
        <f aca="false">IF(BJ22=0,IF(BR22=0,0,1),(BR22-BJ22)/BJ22)</f>
        <v>0</v>
      </c>
      <c r="CA22" s="32" t="n">
        <f aca="false">IF(BK22=0,IF(BS22=0,0,1),(BS22-BK22)/BK22)</f>
        <v>1</v>
      </c>
      <c r="CB22" s="32" t="n">
        <f aca="false">IF(BL22=0,IF(BT22=0,0,1),(BT22-BL22)/BL22)</f>
        <v>0</v>
      </c>
      <c r="CC22" s="32" t="n">
        <f aca="false">IF(BM22=0,IF(BU22=0,0,1),(BU22-BM22)/BM22)</f>
        <v>1</v>
      </c>
      <c r="CD22" s="32" t="n">
        <f aca="false">MAX(MAX(BV22:CC22),-MIN(BV22:CC22))</f>
        <v>1</v>
      </c>
      <c r="CE22" s="31" t="str">
        <f aca="false">IF(CI22="","",SUMIFS($CF$7:$CF$696,$A$7:$A$696,CI22,$B$7:$B$696,B22))</f>
        <v/>
      </c>
      <c r="CF22" s="31" t="n">
        <f aca="false">SUM(AU22:BE22)</f>
        <v>107687</v>
      </c>
      <c r="CG22" s="33" t="str">
        <f aca="false">A22&amp;"|"&amp;B22</f>
        <v>2026-04 月例|原爆障害対策協議会</v>
      </c>
      <c r="CH22" s="34" t="str">
        <f aca="false">IFERROR(INDEX(設定!$D$61:$D$106,MATCH(B22,設定!$B$61:$B$106,0)),"Y")</f>
        <v>Y</v>
      </c>
      <c r="CI22" s="34" t="str">
        <f aca="false">IFERROR(INDEX(設定!$D$20:$D$34,MATCH(A22,設定!$A$20:$A$34,0))&amp;"","")</f>
        <v/>
      </c>
    </row>
    <row r="23" customFormat="false" ht="15" hidden="true" customHeight="false" outlineLevel="0" collapsed="false">
      <c r="A23" s="22" t="s">
        <v>157</v>
      </c>
      <c r="B23" s="23" t="s">
        <v>177</v>
      </c>
      <c r="C23" s="10" t="str">
        <f aca="false">IF(G23="","未受領",IF(G23="なし","報告なし",IF(AH23="○","起票済",IF(OR(AG23="○",F23="一致",F23="入金不要"),"入金確認済","受領済"))))</f>
        <v>入金確認済</v>
      </c>
      <c r="D23" s="10" t="str">
        <f aca="false">IF(OR(G23="",G23="なし"),"―",IF(CH23="N","対象外",IF(AND(I23="",J23="",K23=""),"標報未入力",IF(CD23&gt;=設定!$B$4,"要確認","問題なし"))))</f>
        <v>標報未入力</v>
      </c>
      <c r="E23" s="24" t="str">
        <f aca="false">IF(OR(G23="",G23="なし",CE23="",CF23=0),"―",IF(CF23=CE23,"前月同額",IF(CE23=0,"―",IF(ABS(CF23/CE23-1)&gt;=設定!$B$5,"変動大 "&amp;TEXT(CF23/CE23-1,"+0%;-0%"),"〇"))))</f>
        <v>―</v>
      </c>
      <c r="F23" s="10" t="str">
        <f aca="false">IF(OR(G23="",G23="なし"),"―",IF(CF23=0,"入金不要",IF(COUNT(Z23,AB23,AD23,AF23)=0,IF(AG23="○","手動確認","未入金"),IF(AND(N(Z23)=Y23,IF(AA23="",TRUE(),N(AB23)=AA23),IF(AC23="",TRUE(),N(AD23)=AC23),IF(AE23="",TRUE(),N(AF23)=AE23)),"一致","不一致"))))</f>
        <v>手動確認</v>
      </c>
      <c r="G23" s="25" t="s">
        <v>159</v>
      </c>
      <c r="H23" s="26"/>
      <c r="I23" s="27"/>
      <c r="J23" s="27"/>
      <c r="K23" s="27"/>
      <c r="L23" s="27"/>
      <c r="M23" s="27"/>
      <c r="N23" s="27" t="n">
        <v>417240</v>
      </c>
      <c r="O23" s="27" t="n">
        <v>34200</v>
      </c>
      <c r="P23" s="27" t="n">
        <v>395</v>
      </c>
      <c r="Q23" s="27"/>
      <c r="R23" s="27" t="n">
        <v>236708</v>
      </c>
      <c r="S23" s="27"/>
      <c r="T23" s="27" t="n">
        <v>30968</v>
      </c>
      <c r="U23" s="27"/>
      <c r="V23" s="27" t="n">
        <v>5243</v>
      </c>
      <c r="W23" s="10" t="str">
        <f aca="false">IFERROR(INDEX(設定!$E$61:$E$106,MATCH(B23,設定!$B$61:$B$106,0)),"合算")</f>
        <v>合算</v>
      </c>
      <c r="X23" s="28"/>
      <c r="Y23" s="29" t="n">
        <f aca="false">IF(OR(G23="",G23="なし"),"",IF(W23="合算",CF23,IF(W23="掛金・負担金別",(AU23+AV23+AZ23+BB23+BD23),SUM(AU23:AY23))))</f>
        <v>724754</v>
      </c>
      <c r="Z23" s="27"/>
      <c r="AA23" s="29" t="str">
        <f aca="false">IF(OR(G23="",G23="なし"),"",IF(W23="掛金・負担金別",(AW23+AX23+AY23+BA23+BC23+BE23),IF(W23="経理区分別",AZ23+BA23,"")))</f>
        <v/>
      </c>
      <c r="AB23" s="27"/>
      <c r="AC23" s="29" t="str">
        <f aca="false">IF(OR(G23="",G23="なし"),"",IF(W23="経理区分別",BB23+BC23,""))</f>
        <v/>
      </c>
      <c r="AD23" s="27"/>
      <c r="AE23" s="29" t="str">
        <f aca="false">IF(OR(G23="",G23="なし"),"",IF(W23="経理区分別",BD23+BE23,""))</f>
        <v/>
      </c>
      <c r="AF23" s="27"/>
      <c r="AG23" s="26" t="s">
        <v>160</v>
      </c>
      <c r="AH23" s="26"/>
      <c r="AI23" s="30"/>
      <c r="AJ23" s="31"/>
      <c r="AK23" s="31"/>
      <c r="AL23" s="31"/>
      <c r="AM23" s="31"/>
      <c r="AN23" s="31"/>
      <c r="AO23" s="31"/>
      <c r="AP23" s="31"/>
      <c r="AQ23" s="31"/>
      <c r="AR23" s="31"/>
      <c r="AS23" s="31"/>
      <c r="AT23" s="31"/>
      <c r="AU23" s="31" t="n">
        <f aca="false">IF($G23="",AJ23,L23)</f>
        <v>0</v>
      </c>
      <c r="AV23" s="31" t="n">
        <f aca="false">IF($G23="",AK23,M23)</f>
        <v>0</v>
      </c>
      <c r="AW23" s="31" t="n">
        <f aca="false">IF($G23="",AL23,N23)</f>
        <v>417240</v>
      </c>
      <c r="AX23" s="31" t="n">
        <f aca="false">IF($G23="",AM23,O23)</f>
        <v>34200</v>
      </c>
      <c r="AY23" s="31" t="n">
        <f aca="false">IF($G23="",AN23,P23)</f>
        <v>395</v>
      </c>
      <c r="AZ23" s="31" t="n">
        <f aca="false">IF($G23="",AO23,Q23)</f>
        <v>0</v>
      </c>
      <c r="BA23" s="31" t="n">
        <f aca="false">IF($G23="",AP23,R23)</f>
        <v>236708</v>
      </c>
      <c r="BB23" s="31" t="n">
        <f aca="false">IF($G23="",AQ23,S23)</f>
        <v>0</v>
      </c>
      <c r="BC23" s="31" t="n">
        <f aca="false">IF($G23="",AR23,T23)</f>
        <v>30968</v>
      </c>
      <c r="BD23" s="31" t="n">
        <f aca="false">IF($G23="",AS23,U23)</f>
        <v>0</v>
      </c>
      <c r="BE23" s="31" t="n">
        <f aca="false">IF($G23="",AT23,V23)</f>
        <v>5243</v>
      </c>
      <c r="BF23" s="31" t="n">
        <f aca="false">ROUNDDOWN(I23*設定!$B$10/1000,0)+ROUNDDOWN(I23*設定!$B$11/1000,0)</f>
        <v>0</v>
      </c>
      <c r="BG23" s="31" t="n">
        <f aca="false">ROUNDDOWN(I23*設定!$C$10/1000,0)+ROUNDDOWN(I23*設定!$C$11/1000,0)+ROUNDDOWN(I23*設定!$C$12/1000,0)</f>
        <v>0</v>
      </c>
      <c r="BH23" s="31" t="n">
        <f aca="false">ROUNDDOWN(J23*設定!$B$13/1000,0)</f>
        <v>0</v>
      </c>
      <c r="BI23" s="31" t="n">
        <f aca="false">ROUNDDOWN(J23*設定!$C$13/1000,0)</f>
        <v>0</v>
      </c>
      <c r="BJ23" s="31" t="n">
        <f aca="false">ROUNDDOWN(K23*設定!$B$14/1000,0)</f>
        <v>0</v>
      </c>
      <c r="BK23" s="31" t="n">
        <f aca="false">ROUNDDOWN(K23*設定!$C$14/1000,0)</f>
        <v>0</v>
      </c>
      <c r="BL23" s="31" t="n">
        <f aca="false">ROUNDDOWN(J23*設定!$B$15/1000,0)</f>
        <v>0</v>
      </c>
      <c r="BM23" s="31" t="n">
        <f aca="false">ROUNDDOWN(J23*設定!$C$15/1000,0)</f>
        <v>0</v>
      </c>
      <c r="BN23" s="31" t="n">
        <f aca="false">L23+M23</f>
        <v>0</v>
      </c>
      <c r="BO23" s="31" t="n">
        <f aca="false">N23+O23+P23</f>
        <v>451835</v>
      </c>
      <c r="BP23" s="31" t="n">
        <f aca="false">Q23</f>
        <v>0</v>
      </c>
      <c r="BQ23" s="31" t="n">
        <f aca="false">R23</f>
        <v>236708</v>
      </c>
      <c r="BR23" s="31" t="n">
        <f aca="false">S23</f>
        <v>0</v>
      </c>
      <c r="BS23" s="31" t="n">
        <f aca="false">T23</f>
        <v>30968</v>
      </c>
      <c r="BT23" s="31" t="n">
        <f aca="false">U23</f>
        <v>0</v>
      </c>
      <c r="BU23" s="31" t="n">
        <f aca="false">V23</f>
        <v>5243</v>
      </c>
      <c r="BV23" s="32" t="n">
        <f aca="false">IF(BF23=0,IF(BN23=0,0,1),(BN23-BF23)/BF23)</f>
        <v>0</v>
      </c>
      <c r="BW23" s="32" t="n">
        <f aca="false">IF(BG23=0,IF(BO23=0,0,1),(BO23-BG23)/BG23)</f>
        <v>1</v>
      </c>
      <c r="BX23" s="32" t="n">
        <f aca="false">IF(BH23=0,IF(BP23=0,0,1),(BP23-BH23)/BH23)</f>
        <v>0</v>
      </c>
      <c r="BY23" s="32" t="n">
        <f aca="false">IF(BI23=0,IF(BQ23=0,0,1),(BQ23-BI23)/BI23)</f>
        <v>1</v>
      </c>
      <c r="BZ23" s="32" t="n">
        <f aca="false">IF(BJ23=0,IF(BR23=0,0,1),(BR23-BJ23)/BJ23)</f>
        <v>0</v>
      </c>
      <c r="CA23" s="32" t="n">
        <f aca="false">IF(BK23=0,IF(BS23=0,0,1),(BS23-BK23)/BK23)</f>
        <v>1</v>
      </c>
      <c r="CB23" s="32" t="n">
        <f aca="false">IF(BL23=0,IF(BT23=0,0,1),(BT23-BL23)/BL23)</f>
        <v>0</v>
      </c>
      <c r="CC23" s="32" t="n">
        <f aca="false">IF(BM23=0,IF(BU23=0,0,1),(BU23-BM23)/BM23)</f>
        <v>1</v>
      </c>
      <c r="CD23" s="32" t="n">
        <f aca="false">MAX(MAX(BV23:CC23),-MIN(BV23:CC23))</f>
        <v>1</v>
      </c>
      <c r="CE23" s="31" t="str">
        <f aca="false">IF(CI23="","",SUMIFS($CF$7:$CF$696,$A$7:$A$696,CI23,$B$7:$B$696,B23))</f>
        <v/>
      </c>
      <c r="CF23" s="31" t="n">
        <f aca="false">SUM(AU23:BE23)</f>
        <v>724754</v>
      </c>
      <c r="CG23" s="33" t="str">
        <f aca="false">A23&amp;"|"&amp;B23</f>
        <v>2026-04 月例|産業振興センター</v>
      </c>
      <c r="CH23" s="34" t="str">
        <f aca="false">IFERROR(INDEX(設定!$D$61:$D$106,MATCH(B23,設定!$B$61:$B$106,0)),"Y")</f>
        <v>Y</v>
      </c>
      <c r="CI23" s="34" t="str">
        <f aca="false">IFERROR(INDEX(設定!$D$20:$D$34,MATCH(A23,設定!$A$20:$A$34,0))&amp;"","")</f>
        <v/>
      </c>
    </row>
    <row r="24" customFormat="false" ht="15" hidden="true" customHeight="false" outlineLevel="0" collapsed="false">
      <c r="A24" s="22" t="s">
        <v>157</v>
      </c>
      <c r="B24" s="23" t="s">
        <v>178</v>
      </c>
      <c r="C24" s="10" t="str">
        <f aca="false">IF(G24="","未受領",IF(G24="なし","報告なし",IF(AH24="○","起票済",IF(OR(AG24="○",F24="一致",F24="入金不要"),"入金確認済","受領済"))))</f>
        <v>入金確認済</v>
      </c>
      <c r="D24" s="10" t="str">
        <f aca="false">IF(OR(G24="",G24="なし"),"―",IF(CH24="N","対象外",IF(AND(I24="",J24="",K24=""),"標報未入力",IF(CD24&gt;=設定!$B$4,"要確認","問題なし"))))</f>
        <v>標報未入力</v>
      </c>
      <c r="E24" s="24" t="str">
        <f aca="false">IF(OR(G24="",G24="なし",CE24="",CF24=0),"―",IF(CF24=CE24,"前月同額",IF(CE24=0,"―",IF(ABS(CF24/CE24-1)&gt;=設定!$B$5,"変動大 "&amp;TEXT(CF24/CE24-1,"+0%;-0%"),"〇"))))</f>
        <v>―</v>
      </c>
      <c r="F24" s="10" t="str">
        <f aca="false">IF(OR(G24="",G24="なし"),"―",IF(CF24=0,"入金不要",IF(COUNT(Z24,AB24,AD24,AF24)=0,IF(AG24="○","手動確認","未入金"),IF(AND(N(Z24)=Y24,IF(AA24="",TRUE(),N(AB24)=AA24),IF(AC24="",TRUE(),N(AD24)=AC24),IF(AE24="",TRUE(),N(AF24)=AE24)),"一致","不一致"))))</f>
        <v>手動確認</v>
      </c>
      <c r="G24" s="25" t="s">
        <v>159</v>
      </c>
      <c r="H24" s="26"/>
      <c r="I24" s="27"/>
      <c r="J24" s="27"/>
      <c r="K24" s="27"/>
      <c r="L24" s="27"/>
      <c r="M24" s="27"/>
      <c r="N24" s="27" t="n">
        <v>40260</v>
      </c>
      <c r="O24" s="27" t="n">
        <v>3300</v>
      </c>
      <c r="P24" s="27" t="n">
        <v>38</v>
      </c>
      <c r="Q24" s="27"/>
      <c r="R24" s="27" t="n">
        <v>22840</v>
      </c>
      <c r="S24" s="27"/>
      <c r="T24" s="27" t="n">
        <v>3476</v>
      </c>
      <c r="U24" s="27"/>
      <c r="V24" s="27" t="n">
        <v>506</v>
      </c>
      <c r="W24" s="10" t="str">
        <f aca="false">IFERROR(INDEX(設定!$E$61:$E$106,MATCH(B24,設定!$B$61:$B$106,0)),"合算")</f>
        <v>合算</v>
      </c>
      <c r="X24" s="28"/>
      <c r="Y24" s="29" t="n">
        <f aca="false">IF(OR(G24="",G24="なし"),"",IF(W24="合算",CF24,IF(W24="掛金・負担金別",(AU24+AV24+AZ24+BB24+BD24),SUM(AU24:AY24))))</f>
        <v>70420</v>
      </c>
      <c r="Z24" s="27"/>
      <c r="AA24" s="29" t="str">
        <f aca="false">IF(OR(G24="",G24="なし"),"",IF(W24="掛金・負担金別",(AW24+AX24+AY24+BA24+BC24+BE24),IF(W24="経理区分別",AZ24+BA24,"")))</f>
        <v/>
      </c>
      <c r="AB24" s="27"/>
      <c r="AC24" s="29" t="str">
        <f aca="false">IF(OR(G24="",G24="なし"),"",IF(W24="経理区分別",BB24+BC24,""))</f>
        <v/>
      </c>
      <c r="AD24" s="27"/>
      <c r="AE24" s="29" t="str">
        <f aca="false">IF(OR(G24="",G24="なし"),"",IF(W24="経理区分別",BD24+BE24,""))</f>
        <v/>
      </c>
      <c r="AF24" s="27"/>
      <c r="AG24" s="26" t="s">
        <v>160</v>
      </c>
      <c r="AH24" s="26"/>
      <c r="AI24" s="30"/>
      <c r="AJ24" s="31"/>
      <c r="AK24" s="31"/>
      <c r="AL24" s="31"/>
      <c r="AM24" s="31"/>
      <c r="AN24" s="31"/>
      <c r="AO24" s="31"/>
      <c r="AP24" s="31"/>
      <c r="AQ24" s="31"/>
      <c r="AR24" s="31"/>
      <c r="AS24" s="31"/>
      <c r="AT24" s="31"/>
      <c r="AU24" s="31" t="n">
        <f aca="false">IF($G24="",AJ24,L24)</f>
        <v>0</v>
      </c>
      <c r="AV24" s="31" t="n">
        <f aca="false">IF($G24="",AK24,M24)</f>
        <v>0</v>
      </c>
      <c r="AW24" s="31" t="n">
        <f aca="false">IF($G24="",AL24,N24)</f>
        <v>40260</v>
      </c>
      <c r="AX24" s="31" t="n">
        <f aca="false">IF($G24="",AM24,O24)</f>
        <v>3300</v>
      </c>
      <c r="AY24" s="31" t="n">
        <f aca="false">IF($G24="",AN24,P24)</f>
        <v>38</v>
      </c>
      <c r="AZ24" s="31" t="n">
        <f aca="false">IF($G24="",AO24,Q24)</f>
        <v>0</v>
      </c>
      <c r="BA24" s="31" t="n">
        <f aca="false">IF($G24="",AP24,R24)</f>
        <v>22840</v>
      </c>
      <c r="BB24" s="31" t="n">
        <f aca="false">IF($G24="",AQ24,S24)</f>
        <v>0</v>
      </c>
      <c r="BC24" s="31" t="n">
        <f aca="false">IF($G24="",AR24,T24)</f>
        <v>3476</v>
      </c>
      <c r="BD24" s="31" t="n">
        <f aca="false">IF($G24="",AS24,U24)</f>
        <v>0</v>
      </c>
      <c r="BE24" s="31" t="n">
        <f aca="false">IF($G24="",AT24,V24)</f>
        <v>506</v>
      </c>
      <c r="BF24" s="31" t="n">
        <f aca="false">ROUNDDOWN(I24*設定!$B$10/1000,0)+ROUNDDOWN(I24*設定!$B$11/1000,0)</f>
        <v>0</v>
      </c>
      <c r="BG24" s="31" t="n">
        <f aca="false">ROUNDDOWN(I24*設定!$C$10/1000,0)+ROUNDDOWN(I24*設定!$C$11/1000,0)+ROUNDDOWN(I24*設定!$C$12/1000,0)</f>
        <v>0</v>
      </c>
      <c r="BH24" s="31" t="n">
        <f aca="false">ROUNDDOWN(J24*設定!$B$13/1000,0)</f>
        <v>0</v>
      </c>
      <c r="BI24" s="31" t="n">
        <f aca="false">ROUNDDOWN(J24*設定!$C$13/1000,0)</f>
        <v>0</v>
      </c>
      <c r="BJ24" s="31" t="n">
        <f aca="false">ROUNDDOWN(K24*設定!$B$14/1000,0)</f>
        <v>0</v>
      </c>
      <c r="BK24" s="31" t="n">
        <f aca="false">ROUNDDOWN(K24*設定!$C$14/1000,0)</f>
        <v>0</v>
      </c>
      <c r="BL24" s="31" t="n">
        <f aca="false">ROUNDDOWN(J24*設定!$B$15/1000,0)</f>
        <v>0</v>
      </c>
      <c r="BM24" s="31" t="n">
        <f aca="false">ROUNDDOWN(J24*設定!$C$15/1000,0)</f>
        <v>0</v>
      </c>
      <c r="BN24" s="31" t="n">
        <f aca="false">L24+M24</f>
        <v>0</v>
      </c>
      <c r="BO24" s="31" t="n">
        <f aca="false">N24+O24+P24</f>
        <v>43598</v>
      </c>
      <c r="BP24" s="31" t="n">
        <f aca="false">Q24</f>
        <v>0</v>
      </c>
      <c r="BQ24" s="31" t="n">
        <f aca="false">R24</f>
        <v>22840</v>
      </c>
      <c r="BR24" s="31" t="n">
        <f aca="false">S24</f>
        <v>0</v>
      </c>
      <c r="BS24" s="31" t="n">
        <f aca="false">T24</f>
        <v>3476</v>
      </c>
      <c r="BT24" s="31" t="n">
        <f aca="false">U24</f>
        <v>0</v>
      </c>
      <c r="BU24" s="31" t="n">
        <f aca="false">V24</f>
        <v>506</v>
      </c>
      <c r="BV24" s="32" t="n">
        <f aca="false">IF(BF24=0,IF(BN24=0,0,1),(BN24-BF24)/BF24)</f>
        <v>0</v>
      </c>
      <c r="BW24" s="32" t="n">
        <f aca="false">IF(BG24=0,IF(BO24=0,0,1),(BO24-BG24)/BG24)</f>
        <v>1</v>
      </c>
      <c r="BX24" s="32" t="n">
        <f aca="false">IF(BH24=0,IF(BP24=0,0,1),(BP24-BH24)/BH24)</f>
        <v>0</v>
      </c>
      <c r="BY24" s="32" t="n">
        <f aca="false">IF(BI24=0,IF(BQ24=0,0,1),(BQ24-BI24)/BI24)</f>
        <v>1</v>
      </c>
      <c r="BZ24" s="32" t="n">
        <f aca="false">IF(BJ24=0,IF(BR24=0,0,1),(BR24-BJ24)/BJ24)</f>
        <v>0</v>
      </c>
      <c r="CA24" s="32" t="n">
        <f aca="false">IF(BK24=0,IF(BS24=0,0,1),(BS24-BK24)/BK24)</f>
        <v>1</v>
      </c>
      <c r="CB24" s="32" t="n">
        <f aca="false">IF(BL24=0,IF(BT24=0,0,1),(BT24-BL24)/BL24)</f>
        <v>0</v>
      </c>
      <c r="CC24" s="32" t="n">
        <f aca="false">IF(BM24=0,IF(BU24=0,0,1),(BU24-BM24)/BM24)</f>
        <v>1</v>
      </c>
      <c r="CD24" s="32" t="n">
        <f aca="false">MAX(MAX(BV24:CC24),-MIN(BV24:CC24))</f>
        <v>1</v>
      </c>
      <c r="CE24" s="31" t="str">
        <f aca="false">IF(CI24="","",SUMIFS($CF$7:$CF$696,$A$7:$A$696,CI24,$B$7:$B$696,B24))</f>
        <v/>
      </c>
      <c r="CF24" s="31" t="n">
        <f aca="false">SUM(AU24:BE24)</f>
        <v>70420</v>
      </c>
      <c r="CG24" s="33" t="str">
        <f aca="false">A24&amp;"|"&amp;B24</f>
        <v>2026-04 月例|ひろしま産業振興</v>
      </c>
      <c r="CH24" s="34" t="str">
        <f aca="false">IFERROR(INDEX(設定!$D$61:$D$106,MATCH(B24,設定!$B$61:$B$106,0)),"Y")</f>
        <v>Y</v>
      </c>
      <c r="CI24" s="34" t="str">
        <f aca="false">IFERROR(INDEX(設定!$D$20:$D$34,MATCH(A24,設定!$A$20:$A$34,0))&amp;"","")</f>
        <v/>
      </c>
    </row>
    <row r="25" customFormat="false" ht="15" hidden="true" customHeight="false" outlineLevel="0" collapsed="false">
      <c r="A25" s="22" t="s">
        <v>157</v>
      </c>
      <c r="B25" s="23" t="s">
        <v>179</v>
      </c>
      <c r="C25" s="10" t="str">
        <f aca="false">IF(G25="","未受領",IF(G25="なし","報告なし",IF(AH25="○","起票済",IF(OR(AG25="○",F25="一致",F25="入金不要"),"入金確認済","受領済"))))</f>
        <v>入金確認済</v>
      </c>
      <c r="D25" s="10" t="str">
        <f aca="false">IF(OR(G25="",G25="なし"),"―",IF(CH25="N","対象外",IF(AND(I25="",J25="",K25=""),"標報未入力",IF(CD25&gt;=設定!$B$4,"要確認","問題なし"))))</f>
        <v>標報未入力</v>
      </c>
      <c r="E25" s="24" t="str">
        <f aca="false">IF(OR(G25="",G25="なし",CE25="",CF25=0),"―",IF(CF25=CE25,"前月同額",IF(CE25=0,"―",IF(ABS(CF25/CE25-1)&gt;=設定!$B$5,"変動大 "&amp;TEXT(CF25/CE25-1,"+0%;-0%"),"〇"))))</f>
        <v>―</v>
      </c>
      <c r="F25" s="10" t="str">
        <f aca="false">IF(OR(G25="",G25="なし"),"―",IF(CF25=0,"入金不要",IF(COUNT(Z25,AB25,AD25,AF25)=0,IF(AG25="○","手動確認","未入金"),IF(AND(N(Z25)=Y25,IF(AA25="",TRUE(),N(AB25)=AA25),IF(AC25="",TRUE(),N(AD25)=AC25),IF(AE25="",TRUE(),N(AF25)=AE25)),"一致","不一致"))))</f>
        <v>入金不要</v>
      </c>
      <c r="G25" s="25" t="s">
        <v>159</v>
      </c>
      <c r="H25" s="26"/>
      <c r="I25" s="27"/>
      <c r="J25" s="27"/>
      <c r="K25" s="27"/>
      <c r="L25" s="27"/>
      <c r="M25" s="27"/>
      <c r="N25" s="27" t="n">
        <v>0</v>
      </c>
      <c r="O25" s="27" t="n">
        <v>0</v>
      </c>
      <c r="P25" s="27" t="n">
        <v>0</v>
      </c>
      <c r="Q25" s="27"/>
      <c r="R25" s="27" t="n">
        <v>0</v>
      </c>
      <c r="S25" s="27"/>
      <c r="T25" s="27" t="n">
        <v>0</v>
      </c>
      <c r="U25" s="27"/>
      <c r="V25" s="27" t="n">
        <v>0</v>
      </c>
      <c r="W25" s="10" t="str">
        <f aca="false">IFERROR(INDEX(設定!$E$61:$E$106,MATCH(B25,設定!$B$61:$B$106,0)),"合算")</f>
        <v>合算</v>
      </c>
      <c r="X25" s="28"/>
      <c r="Y25" s="29" t="n">
        <f aca="false">IF(OR(G25="",G25="なし"),"",IF(W25="合算",CF25,IF(W25="掛金・負担金別",(AU25+AV25+AZ25+BB25+BD25),SUM(AU25:AY25))))</f>
        <v>0</v>
      </c>
      <c r="Z25" s="27"/>
      <c r="AA25" s="29" t="str">
        <f aca="false">IF(OR(G25="",G25="なし"),"",IF(W25="掛金・負担金別",(AW25+AX25+AY25+BA25+BC25+BE25),IF(W25="経理区分別",AZ25+BA25,"")))</f>
        <v/>
      </c>
      <c r="AB25" s="27"/>
      <c r="AC25" s="29" t="str">
        <f aca="false">IF(OR(G25="",G25="なし"),"",IF(W25="経理区分別",BB25+BC25,""))</f>
        <v/>
      </c>
      <c r="AD25" s="27"/>
      <c r="AE25" s="29" t="str">
        <f aca="false">IF(OR(G25="",G25="なし"),"",IF(W25="経理区分別",BD25+BE25,""))</f>
        <v/>
      </c>
      <c r="AF25" s="27"/>
      <c r="AG25" s="26" t="s">
        <v>160</v>
      </c>
      <c r="AH25" s="26"/>
      <c r="AI25" s="30"/>
      <c r="AJ25" s="31"/>
      <c r="AK25" s="31"/>
      <c r="AL25" s="31"/>
      <c r="AM25" s="31"/>
      <c r="AN25" s="31"/>
      <c r="AO25" s="31"/>
      <c r="AP25" s="31"/>
      <c r="AQ25" s="31"/>
      <c r="AR25" s="31"/>
      <c r="AS25" s="31"/>
      <c r="AT25" s="31"/>
      <c r="AU25" s="31" t="n">
        <f aca="false">IF($G25="",AJ25,L25)</f>
        <v>0</v>
      </c>
      <c r="AV25" s="31" t="n">
        <f aca="false">IF($G25="",AK25,M25)</f>
        <v>0</v>
      </c>
      <c r="AW25" s="31" t="n">
        <f aca="false">IF($G25="",AL25,N25)</f>
        <v>0</v>
      </c>
      <c r="AX25" s="31" t="n">
        <f aca="false">IF($G25="",AM25,O25)</f>
        <v>0</v>
      </c>
      <c r="AY25" s="31" t="n">
        <f aca="false">IF($G25="",AN25,P25)</f>
        <v>0</v>
      </c>
      <c r="AZ25" s="31" t="n">
        <f aca="false">IF($G25="",AO25,Q25)</f>
        <v>0</v>
      </c>
      <c r="BA25" s="31" t="n">
        <f aca="false">IF($G25="",AP25,R25)</f>
        <v>0</v>
      </c>
      <c r="BB25" s="31" t="n">
        <f aca="false">IF($G25="",AQ25,S25)</f>
        <v>0</v>
      </c>
      <c r="BC25" s="31" t="n">
        <f aca="false">IF($G25="",AR25,T25)</f>
        <v>0</v>
      </c>
      <c r="BD25" s="31" t="n">
        <f aca="false">IF($G25="",AS25,U25)</f>
        <v>0</v>
      </c>
      <c r="BE25" s="31" t="n">
        <f aca="false">IF($G25="",AT25,V25)</f>
        <v>0</v>
      </c>
      <c r="BF25" s="31" t="n">
        <f aca="false">ROUNDDOWN(I25*設定!$B$10/1000,0)+ROUNDDOWN(I25*設定!$B$11/1000,0)</f>
        <v>0</v>
      </c>
      <c r="BG25" s="31" t="n">
        <f aca="false">ROUNDDOWN(I25*設定!$C$10/1000,0)+ROUNDDOWN(I25*設定!$C$11/1000,0)+ROUNDDOWN(I25*設定!$C$12/1000,0)</f>
        <v>0</v>
      </c>
      <c r="BH25" s="31" t="n">
        <f aca="false">ROUNDDOWN(J25*設定!$B$13/1000,0)</f>
        <v>0</v>
      </c>
      <c r="BI25" s="31" t="n">
        <f aca="false">ROUNDDOWN(J25*設定!$C$13/1000,0)</f>
        <v>0</v>
      </c>
      <c r="BJ25" s="31" t="n">
        <f aca="false">ROUNDDOWN(K25*設定!$B$14/1000,0)</f>
        <v>0</v>
      </c>
      <c r="BK25" s="31" t="n">
        <f aca="false">ROUNDDOWN(K25*設定!$C$14/1000,0)</f>
        <v>0</v>
      </c>
      <c r="BL25" s="31" t="n">
        <f aca="false">ROUNDDOWN(J25*設定!$B$15/1000,0)</f>
        <v>0</v>
      </c>
      <c r="BM25" s="31" t="n">
        <f aca="false">ROUNDDOWN(J25*設定!$C$15/1000,0)</f>
        <v>0</v>
      </c>
      <c r="BN25" s="31" t="n">
        <f aca="false">L25+M25</f>
        <v>0</v>
      </c>
      <c r="BO25" s="31" t="n">
        <f aca="false">N25+O25+P25</f>
        <v>0</v>
      </c>
      <c r="BP25" s="31" t="n">
        <f aca="false">Q25</f>
        <v>0</v>
      </c>
      <c r="BQ25" s="31" t="n">
        <f aca="false">R25</f>
        <v>0</v>
      </c>
      <c r="BR25" s="31" t="n">
        <f aca="false">S25</f>
        <v>0</v>
      </c>
      <c r="BS25" s="31" t="n">
        <f aca="false">T25</f>
        <v>0</v>
      </c>
      <c r="BT25" s="31" t="n">
        <f aca="false">U25</f>
        <v>0</v>
      </c>
      <c r="BU25" s="31" t="n">
        <f aca="false">V25</f>
        <v>0</v>
      </c>
      <c r="BV25" s="32" t="n">
        <f aca="false">IF(BF25=0,IF(BN25=0,0,1),(BN25-BF25)/BF25)</f>
        <v>0</v>
      </c>
      <c r="BW25" s="32" t="n">
        <f aca="false">IF(BG25=0,IF(BO25=0,0,1),(BO25-BG25)/BG25)</f>
        <v>0</v>
      </c>
      <c r="BX25" s="32" t="n">
        <f aca="false">IF(BH25=0,IF(BP25=0,0,1),(BP25-BH25)/BH25)</f>
        <v>0</v>
      </c>
      <c r="BY25" s="32" t="n">
        <f aca="false">IF(BI25=0,IF(BQ25=0,0,1),(BQ25-BI25)/BI25)</f>
        <v>0</v>
      </c>
      <c r="BZ25" s="32" t="n">
        <f aca="false">IF(BJ25=0,IF(BR25=0,0,1),(BR25-BJ25)/BJ25)</f>
        <v>0</v>
      </c>
      <c r="CA25" s="32" t="n">
        <f aca="false">IF(BK25=0,IF(BS25=0,0,1),(BS25-BK25)/BK25)</f>
        <v>0</v>
      </c>
      <c r="CB25" s="32" t="n">
        <f aca="false">IF(BL25=0,IF(BT25=0,0,1),(BT25-BL25)/BL25)</f>
        <v>0</v>
      </c>
      <c r="CC25" s="32" t="n">
        <f aca="false">IF(BM25=0,IF(BU25=0,0,1),(BU25-BM25)/BM25)</f>
        <v>0</v>
      </c>
      <c r="CD25" s="32" t="n">
        <f aca="false">MAX(MAX(BV25:CC25),-MIN(BV25:CC25))</f>
        <v>-0</v>
      </c>
      <c r="CE25" s="31" t="str">
        <f aca="false">IF(CI25="","",SUMIFS($CF$7:$CF$696,$A$7:$A$696,CI25,$B$7:$B$696,B25))</f>
        <v/>
      </c>
      <c r="CF25" s="31" t="n">
        <f aca="false">SUM(AU25:BE25)</f>
        <v>0</v>
      </c>
      <c r="CG25" s="33" t="str">
        <f aca="false">A25&amp;"|"&amp;B25</f>
        <v>2026-04 月例|都市整備公社　市</v>
      </c>
      <c r="CH25" s="34" t="str">
        <f aca="false">IFERROR(INDEX(設定!$D$61:$D$106,MATCH(B25,設定!$B$61:$B$106,0)),"Y")</f>
        <v>Y</v>
      </c>
      <c r="CI25" s="34" t="str">
        <f aca="false">IFERROR(INDEX(設定!$D$20:$D$34,MATCH(A25,設定!$A$20:$A$34,0))&amp;"","")</f>
        <v/>
      </c>
    </row>
    <row r="26" customFormat="false" ht="15" hidden="true" customHeight="false" outlineLevel="0" collapsed="false">
      <c r="A26" s="22" t="s">
        <v>157</v>
      </c>
      <c r="B26" s="23" t="s">
        <v>180</v>
      </c>
      <c r="C26" s="10" t="str">
        <f aca="false">IF(G26="","未受領",IF(G26="なし","報告なし",IF(AH26="○","起票済",IF(OR(AG26="○",F26="一致",F26="入金不要"),"入金確認済","受領済"))))</f>
        <v>入金確認済</v>
      </c>
      <c r="D26" s="10" t="str">
        <f aca="false">IF(OR(G26="",G26="なし"),"―",IF(CH26="N","対象外",IF(AND(I26="",J26="",K26=""),"標報未入力",IF(CD26&gt;=設定!$B$4,"要確認","問題なし"))))</f>
        <v>標報未入力</v>
      </c>
      <c r="E26" s="24" t="str">
        <f aca="false">IF(OR(G26="",G26="なし",CE26="",CF26=0),"―",IF(CF26=CE26,"前月同額",IF(CE26=0,"―",IF(ABS(CF26/CE26-1)&gt;=設定!$B$5,"変動大 "&amp;TEXT(CF26/CE26-1,"+0%;-0%"),"〇"))))</f>
        <v>―</v>
      </c>
      <c r="F26" s="10" t="str">
        <f aca="false">IF(OR(G26="",G26="なし"),"―",IF(CF26=0,"入金不要",IF(COUNT(Z26,AB26,AD26,AF26)=0,IF(AG26="○","手動確認","未入金"),IF(AND(N(Z26)=Y26,IF(AA26="",TRUE(),N(AB26)=AA26),IF(AC26="",TRUE(),N(AD26)=AC26),IF(AE26="",TRUE(),N(AF26)=AE26)),"一致","不一致"))))</f>
        <v>手動確認</v>
      </c>
      <c r="G26" s="25" t="s">
        <v>159</v>
      </c>
      <c r="H26" s="26"/>
      <c r="I26" s="27"/>
      <c r="J26" s="27"/>
      <c r="K26" s="27"/>
      <c r="L26" s="27"/>
      <c r="M26" s="27"/>
      <c r="N26" s="27" t="n">
        <v>193065</v>
      </c>
      <c r="O26" s="27" t="n">
        <v>15825</v>
      </c>
      <c r="P26" s="27" t="n">
        <v>183</v>
      </c>
      <c r="Q26" s="27"/>
      <c r="R26" s="27" t="n">
        <v>109530</v>
      </c>
      <c r="S26" s="27"/>
      <c r="T26" s="27" t="n">
        <v>12956</v>
      </c>
      <c r="U26" s="27"/>
      <c r="V26" s="27" t="n">
        <v>2426</v>
      </c>
      <c r="W26" s="10" t="str">
        <f aca="false">IFERROR(INDEX(設定!$E$61:$E$106,MATCH(B26,設定!$B$61:$B$106,0)),"合算")</f>
        <v>合算</v>
      </c>
      <c r="X26" s="28"/>
      <c r="Y26" s="29" t="n">
        <f aca="false">IF(OR(G26="",G26="なし"),"",IF(W26="合算",CF26,IF(W26="掛金・負担金別",(AU26+AV26+AZ26+BB26+BD26),SUM(AU26:AY26))))</f>
        <v>333985</v>
      </c>
      <c r="Z26" s="27"/>
      <c r="AA26" s="29" t="str">
        <f aca="false">IF(OR(G26="",G26="なし"),"",IF(W26="掛金・負担金別",(AW26+AX26+AY26+BA26+BC26+BE26),IF(W26="経理区分別",AZ26+BA26,"")))</f>
        <v/>
      </c>
      <c r="AB26" s="27"/>
      <c r="AC26" s="29" t="str">
        <f aca="false">IF(OR(G26="",G26="なし"),"",IF(W26="経理区分別",BB26+BC26,""))</f>
        <v/>
      </c>
      <c r="AD26" s="27"/>
      <c r="AE26" s="29" t="str">
        <f aca="false">IF(OR(G26="",G26="なし"),"",IF(W26="経理区分別",BD26+BE26,""))</f>
        <v/>
      </c>
      <c r="AF26" s="27"/>
      <c r="AG26" s="26" t="s">
        <v>160</v>
      </c>
      <c r="AH26" s="26"/>
      <c r="AI26" s="30"/>
      <c r="AJ26" s="31"/>
      <c r="AK26" s="31"/>
      <c r="AL26" s="31"/>
      <c r="AM26" s="31"/>
      <c r="AN26" s="31"/>
      <c r="AO26" s="31"/>
      <c r="AP26" s="31"/>
      <c r="AQ26" s="31"/>
      <c r="AR26" s="31"/>
      <c r="AS26" s="31"/>
      <c r="AT26" s="31"/>
      <c r="AU26" s="31" t="n">
        <f aca="false">IF($G26="",AJ26,L26)</f>
        <v>0</v>
      </c>
      <c r="AV26" s="31" t="n">
        <f aca="false">IF($G26="",AK26,M26)</f>
        <v>0</v>
      </c>
      <c r="AW26" s="31" t="n">
        <f aca="false">IF($G26="",AL26,N26)</f>
        <v>193065</v>
      </c>
      <c r="AX26" s="31" t="n">
        <f aca="false">IF($G26="",AM26,O26)</f>
        <v>15825</v>
      </c>
      <c r="AY26" s="31" t="n">
        <f aca="false">IF($G26="",AN26,P26)</f>
        <v>183</v>
      </c>
      <c r="AZ26" s="31" t="n">
        <f aca="false">IF($G26="",AO26,Q26)</f>
        <v>0</v>
      </c>
      <c r="BA26" s="31" t="n">
        <f aca="false">IF($G26="",AP26,R26)</f>
        <v>109530</v>
      </c>
      <c r="BB26" s="31" t="n">
        <f aca="false">IF($G26="",AQ26,S26)</f>
        <v>0</v>
      </c>
      <c r="BC26" s="31" t="n">
        <f aca="false">IF($G26="",AR26,T26)</f>
        <v>12956</v>
      </c>
      <c r="BD26" s="31" t="n">
        <f aca="false">IF($G26="",AS26,U26)</f>
        <v>0</v>
      </c>
      <c r="BE26" s="31" t="n">
        <f aca="false">IF($G26="",AT26,V26)</f>
        <v>2426</v>
      </c>
      <c r="BF26" s="31" t="n">
        <f aca="false">ROUNDDOWN(I26*設定!$B$10/1000,0)+ROUNDDOWN(I26*設定!$B$11/1000,0)</f>
        <v>0</v>
      </c>
      <c r="BG26" s="31" t="n">
        <f aca="false">ROUNDDOWN(I26*設定!$C$10/1000,0)+ROUNDDOWN(I26*設定!$C$11/1000,0)+ROUNDDOWN(I26*設定!$C$12/1000,0)</f>
        <v>0</v>
      </c>
      <c r="BH26" s="31" t="n">
        <f aca="false">ROUNDDOWN(J26*設定!$B$13/1000,0)</f>
        <v>0</v>
      </c>
      <c r="BI26" s="31" t="n">
        <f aca="false">ROUNDDOWN(J26*設定!$C$13/1000,0)</f>
        <v>0</v>
      </c>
      <c r="BJ26" s="31" t="n">
        <f aca="false">ROUNDDOWN(K26*設定!$B$14/1000,0)</f>
        <v>0</v>
      </c>
      <c r="BK26" s="31" t="n">
        <f aca="false">ROUNDDOWN(K26*設定!$C$14/1000,0)</f>
        <v>0</v>
      </c>
      <c r="BL26" s="31" t="n">
        <f aca="false">ROUNDDOWN(J26*設定!$B$15/1000,0)</f>
        <v>0</v>
      </c>
      <c r="BM26" s="31" t="n">
        <f aca="false">ROUNDDOWN(J26*設定!$C$15/1000,0)</f>
        <v>0</v>
      </c>
      <c r="BN26" s="31" t="n">
        <f aca="false">L26+M26</f>
        <v>0</v>
      </c>
      <c r="BO26" s="31" t="n">
        <f aca="false">N26+O26+P26</f>
        <v>209073</v>
      </c>
      <c r="BP26" s="31" t="n">
        <f aca="false">Q26</f>
        <v>0</v>
      </c>
      <c r="BQ26" s="31" t="n">
        <f aca="false">R26</f>
        <v>109530</v>
      </c>
      <c r="BR26" s="31" t="n">
        <f aca="false">S26</f>
        <v>0</v>
      </c>
      <c r="BS26" s="31" t="n">
        <f aca="false">T26</f>
        <v>12956</v>
      </c>
      <c r="BT26" s="31" t="n">
        <f aca="false">U26</f>
        <v>0</v>
      </c>
      <c r="BU26" s="31" t="n">
        <f aca="false">V26</f>
        <v>2426</v>
      </c>
      <c r="BV26" s="32" t="n">
        <f aca="false">IF(BF26=0,IF(BN26=0,0,1),(BN26-BF26)/BF26)</f>
        <v>0</v>
      </c>
      <c r="BW26" s="32" t="n">
        <f aca="false">IF(BG26=0,IF(BO26=0,0,1),(BO26-BG26)/BG26)</f>
        <v>1</v>
      </c>
      <c r="BX26" s="32" t="n">
        <f aca="false">IF(BH26=0,IF(BP26=0,0,1),(BP26-BH26)/BH26)</f>
        <v>0</v>
      </c>
      <c r="BY26" s="32" t="n">
        <f aca="false">IF(BI26=0,IF(BQ26=0,0,1),(BQ26-BI26)/BI26)</f>
        <v>1</v>
      </c>
      <c r="BZ26" s="32" t="n">
        <f aca="false">IF(BJ26=0,IF(BR26=0,0,1),(BR26-BJ26)/BJ26)</f>
        <v>0</v>
      </c>
      <c r="CA26" s="32" t="n">
        <f aca="false">IF(BK26=0,IF(BS26=0,0,1),(BS26-BK26)/BK26)</f>
        <v>1</v>
      </c>
      <c r="CB26" s="32" t="n">
        <f aca="false">IF(BL26=0,IF(BT26=0,0,1),(BT26-BL26)/BL26)</f>
        <v>0</v>
      </c>
      <c r="CC26" s="32" t="n">
        <f aca="false">IF(BM26=0,IF(BU26=0,0,1),(BU26-BM26)/BM26)</f>
        <v>1</v>
      </c>
      <c r="CD26" s="32" t="n">
        <f aca="false">MAX(MAX(BV26:CC26),-MIN(BV26:CC26))</f>
        <v>1</v>
      </c>
      <c r="CE26" s="31" t="str">
        <f aca="false">IF(CI26="","",SUMIFS($CF$7:$CF$696,$A$7:$A$696,CI26,$B$7:$B$696,B26))</f>
        <v/>
      </c>
      <c r="CF26" s="31" t="n">
        <f aca="false">SUM(AU26:BE26)</f>
        <v>333985</v>
      </c>
      <c r="CG26" s="33" t="str">
        <f aca="false">A26&amp;"|"&amp;B26</f>
        <v>2026-04 月例|都市整備公社　消防</v>
      </c>
      <c r="CH26" s="34" t="str">
        <f aca="false">IFERROR(INDEX(設定!$D$61:$D$106,MATCH(B26,設定!$B$61:$B$106,0)),"Y")</f>
        <v>Y</v>
      </c>
      <c r="CI26" s="34" t="str">
        <f aca="false">IFERROR(INDEX(設定!$D$20:$D$34,MATCH(A26,設定!$A$20:$A$34,0))&amp;"","")</f>
        <v/>
      </c>
    </row>
    <row r="27" customFormat="false" ht="15" hidden="true" customHeight="false" outlineLevel="0" collapsed="false">
      <c r="A27" s="22" t="s">
        <v>157</v>
      </c>
      <c r="B27" s="23" t="s">
        <v>181</v>
      </c>
      <c r="C27" s="10" t="str">
        <f aca="false">IF(G27="","未受領",IF(G27="なし","報告なし",IF(AH27="○","起票済",IF(OR(AG27="○",F27="一致",F27="入金不要"),"入金確認済","受領済"))))</f>
        <v>入金確認済</v>
      </c>
      <c r="D27" s="10" t="str">
        <f aca="false">IF(OR(G27="",G27="なし"),"―",IF(CH27="N","対象外",IF(AND(I27="",J27="",K27=""),"標報未入力",IF(CD27&gt;=設定!$B$4,"要確認","問題なし"))))</f>
        <v>標報未入力</v>
      </c>
      <c r="E27" s="24" t="str">
        <f aca="false">IF(OR(G27="",G27="なし",CE27="",CF27=0),"―",IF(CF27=CE27,"前月同額",IF(CE27=0,"―",IF(ABS(CF27/CE27-1)&gt;=設定!$B$5,"変動大 "&amp;TEXT(CF27/CE27-1,"+0%;-0%"),"〇"))))</f>
        <v>―</v>
      </c>
      <c r="F27" s="10" t="str">
        <f aca="false">IF(OR(G27="",G27="なし"),"―",IF(CF27=0,"入金不要",IF(COUNT(Z27,AB27,AD27,AF27)=0,IF(AG27="○","手動確認","未入金"),IF(AND(N(Z27)=Y27,IF(AA27="",TRUE(),N(AB27)=AA27),IF(AC27="",TRUE(),N(AD27)=AC27),IF(AE27="",TRUE(),N(AF27)=AE27)),"一致","不一致"))))</f>
        <v>手動確認</v>
      </c>
      <c r="G27" s="25" t="s">
        <v>159</v>
      </c>
      <c r="H27" s="26"/>
      <c r="I27" s="27"/>
      <c r="J27" s="27"/>
      <c r="K27" s="27"/>
      <c r="L27" s="27" t="n">
        <v>235155</v>
      </c>
      <c r="M27" s="27" t="n">
        <v>19275</v>
      </c>
      <c r="N27" s="27" t="n">
        <v>235155</v>
      </c>
      <c r="O27" s="27" t="n">
        <v>19275</v>
      </c>
      <c r="P27" s="27" t="n">
        <v>223</v>
      </c>
      <c r="Q27" s="27" t="n">
        <v>134834</v>
      </c>
      <c r="R27" s="27" t="n">
        <v>134966</v>
      </c>
      <c r="S27" s="27" t="n">
        <v>10270</v>
      </c>
      <c r="T27" s="27" t="n">
        <v>10270</v>
      </c>
      <c r="U27" s="27" t="n">
        <v>2989</v>
      </c>
      <c r="V27" s="27" t="n">
        <v>2990</v>
      </c>
      <c r="W27" s="10" t="str">
        <f aca="false">IFERROR(INDEX(設定!$E$61:$E$106,MATCH(B27,設定!$B$61:$B$106,0)),"合算")</f>
        <v>合算</v>
      </c>
      <c r="X27" s="28"/>
      <c r="Y27" s="29" t="n">
        <f aca="false">IF(OR(G27="",G27="なし"),"",IF(W27="合算",CF27,IF(W27="掛金・負担金別",(AU27+AV27+AZ27+BB27+BD27),SUM(AU27:AY27))))</f>
        <v>805402</v>
      </c>
      <c r="Z27" s="27"/>
      <c r="AA27" s="29" t="str">
        <f aca="false">IF(OR(G27="",G27="なし"),"",IF(W27="掛金・負担金別",(AW27+AX27+AY27+BA27+BC27+BE27),IF(W27="経理区分別",AZ27+BA27,"")))</f>
        <v/>
      </c>
      <c r="AB27" s="27"/>
      <c r="AC27" s="29" t="str">
        <f aca="false">IF(OR(G27="",G27="なし"),"",IF(W27="経理区分別",BB27+BC27,""))</f>
        <v/>
      </c>
      <c r="AD27" s="27"/>
      <c r="AE27" s="29" t="str">
        <f aca="false">IF(OR(G27="",G27="なし"),"",IF(W27="経理区分別",BD27+BE27,""))</f>
        <v/>
      </c>
      <c r="AF27" s="27"/>
      <c r="AG27" s="26" t="s">
        <v>160</v>
      </c>
      <c r="AH27" s="26"/>
      <c r="AI27" s="30"/>
      <c r="AJ27" s="31"/>
      <c r="AK27" s="31"/>
      <c r="AL27" s="31"/>
      <c r="AM27" s="31"/>
      <c r="AN27" s="31"/>
      <c r="AO27" s="31"/>
      <c r="AP27" s="31"/>
      <c r="AQ27" s="31"/>
      <c r="AR27" s="31"/>
      <c r="AS27" s="31"/>
      <c r="AT27" s="31"/>
      <c r="AU27" s="31" t="n">
        <f aca="false">IF($G27="",AJ27,L27)</f>
        <v>235155</v>
      </c>
      <c r="AV27" s="31" t="n">
        <f aca="false">IF($G27="",AK27,M27)</f>
        <v>19275</v>
      </c>
      <c r="AW27" s="31" t="n">
        <f aca="false">IF($G27="",AL27,N27)</f>
        <v>235155</v>
      </c>
      <c r="AX27" s="31" t="n">
        <f aca="false">IF($G27="",AM27,O27)</f>
        <v>19275</v>
      </c>
      <c r="AY27" s="31" t="n">
        <f aca="false">IF($G27="",AN27,P27)</f>
        <v>223</v>
      </c>
      <c r="AZ27" s="31" t="n">
        <f aca="false">IF($G27="",AO27,Q27)</f>
        <v>134834</v>
      </c>
      <c r="BA27" s="31" t="n">
        <f aca="false">IF($G27="",AP27,R27)</f>
        <v>134966</v>
      </c>
      <c r="BB27" s="31" t="n">
        <f aca="false">IF($G27="",AQ27,S27)</f>
        <v>10270</v>
      </c>
      <c r="BC27" s="31" t="n">
        <f aca="false">IF($G27="",AR27,T27)</f>
        <v>10270</v>
      </c>
      <c r="BD27" s="31" t="n">
        <f aca="false">IF($G27="",AS27,U27)</f>
        <v>2989</v>
      </c>
      <c r="BE27" s="31" t="n">
        <f aca="false">IF($G27="",AT27,V27)</f>
        <v>2990</v>
      </c>
      <c r="BF27" s="31" t="n">
        <f aca="false">ROUNDDOWN(I27*設定!$B$10/1000,0)+ROUNDDOWN(I27*設定!$B$11/1000,0)</f>
        <v>0</v>
      </c>
      <c r="BG27" s="31" t="n">
        <f aca="false">ROUNDDOWN(I27*設定!$C$10/1000,0)+ROUNDDOWN(I27*設定!$C$11/1000,0)+ROUNDDOWN(I27*設定!$C$12/1000,0)</f>
        <v>0</v>
      </c>
      <c r="BH27" s="31" t="n">
        <f aca="false">ROUNDDOWN(J27*設定!$B$13/1000,0)</f>
        <v>0</v>
      </c>
      <c r="BI27" s="31" t="n">
        <f aca="false">ROUNDDOWN(J27*設定!$C$13/1000,0)</f>
        <v>0</v>
      </c>
      <c r="BJ27" s="31" t="n">
        <f aca="false">ROUNDDOWN(K27*設定!$B$14/1000,0)</f>
        <v>0</v>
      </c>
      <c r="BK27" s="31" t="n">
        <f aca="false">ROUNDDOWN(K27*設定!$C$14/1000,0)</f>
        <v>0</v>
      </c>
      <c r="BL27" s="31" t="n">
        <f aca="false">ROUNDDOWN(J27*設定!$B$15/1000,0)</f>
        <v>0</v>
      </c>
      <c r="BM27" s="31" t="n">
        <f aca="false">ROUNDDOWN(J27*設定!$C$15/1000,0)</f>
        <v>0</v>
      </c>
      <c r="BN27" s="31" t="n">
        <f aca="false">L27+M27</f>
        <v>254430</v>
      </c>
      <c r="BO27" s="31" t="n">
        <f aca="false">N27+O27+P27</f>
        <v>254653</v>
      </c>
      <c r="BP27" s="31" t="n">
        <f aca="false">Q27</f>
        <v>134834</v>
      </c>
      <c r="BQ27" s="31" t="n">
        <f aca="false">R27</f>
        <v>134966</v>
      </c>
      <c r="BR27" s="31" t="n">
        <f aca="false">S27</f>
        <v>10270</v>
      </c>
      <c r="BS27" s="31" t="n">
        <f aca="false">T27</f>
        <v>10270</v>
      </c>
      <c r="BT27" s="31" t="n">
        <f aca="false">U27</f>
        <v>2989</v>
      </c>
      <c r="BU27" s="31" t="n">
        <f aca="false">V27</f>
        <v>2990</v>
      </c>
      <c r="BV27" s="32" t="n">
        <f aca="false">IF(BF27=0,IF(BN27=0,0,1),(BN27-BF27)/BF27)</f>
        <v>1</v>
      </c>
      <c r="BW27" s="32" t="n">
        <f aca="false">IF(BG27=0,IF(BO27=0,0,1),(BO27-BG27)/BG27)</f>
        <v>1</v>
      </c>
      <c r="BX27" s="32" t="n">
        <f aca="false">IF(BH27=0,IF(BP27=0,0,1),(BP27-BH27)/BH27)</f>
        <v>1</v>
      </c>
      <c r="BY27" s="32" t="n">
        <f aca="false">IF(BI27=0,IF(BQ27=0,0,1),(BQ27-BI27)/BI27)</f>
        <v>1</v>
      </c>
      <c r="BZ27" s="32" t="n">
        <f aca="false">IF(BJ27=0,IF(BR27=0,0,1),(BR27-BJ27)/BJ27)</f>
        <v>1</v>
      </c>
      <c r="CA27" s="32" t="n">
        <f aca="false">IF(BK27=0,IF(BS27=0,0,1),(BS27-BK27)/BK27)</f>
        <v>1</v>
      </c>
      <c r="CB27" s="32" t="n">
        <f aca="false">IF(BL27=0,IF(BT27=0,0,1),(BT27-BL27)/BL27)</f>
        <v>1</v>
      </c>
      <c r="CC27" s="32" t="n">
        <f aca="false">IF(BM27=0,IF(BU27=0,0,1),(BU27-BM27)/BM27)</f>
        <v>1</v>
      </c>
      <c r="CD27" s="32" t="n">
        <f aca="false">MAX(MAX(BV27:CC27),-MIN(BV27:CC27))</f>
        <v>1</v>
      </c>
      <c r="CE27" s="31" t="str">
        <f aca="false">IF(CI27="","",SUMIFS($CF$7:$CF$696,$A$7:$A$696,CI27,$B$7:$B$696,B27))</f>
        <v/>
      </c>
      <c r="CF27" s="31" t="n">
        <f aca="false">SUM(AU27:BE27)</f>
        <v>805402</v>
      </c>
      <c r="CG27" s="33" t="str">
        <f aca="false">A27&amp;"|"&amp;B27</f>
        <v>2026-04 月例|日本下水道事業団</v>
      </c>
      <c r="CH27" s="34" t="str">
        <f aca="false">IFERROR(INDEX(設定!$D$61:$D$106,MATCH(B27,設定!$B$61:$B$106,0)),"Y")</f>
        <v>Y</v>
      </c>
      <c r="CI27" s="34" t="str">
        <f aca="false">IFERROR(INDEX(設定!$D$20:$D$34,MATCH(A27,設定!$A$20:$A$34,0))&amp;"","")</f>
        <v/>
      </c>
    </row>
    <row r="28" customFormat="false" ht="15" hidden="true" customHeight="false" outlineLevel="0" collapsed="false">
      <c r="A28" s="22" t="s">
        <v>157</v>
      </c>
      <c r="B28" s="23" t="s">
        <v>182</v>
      </c>
      <c r="C28" s="10" t="str">
        <f aca="false">IF(G28="","未受領",IF(G28="なし","報告なし",IF(AH28="○","起票済",IF(OR(AG28="○",F28="一致",F28="入金不要"),"入金確認済","受領済"))))</f>
        <v>入金確認済</v>
      </c>
      <c r="D28" s="10" t="str">
        <f aca="false">IF(OR(G28="",G28="なし"),"―",IF(CH28="N","対象外",IF(AND(I28="",J28="",K28=""),"標報未入力",IF(CD28&gt;=設定!$B$4,"要確認","問題なし"))))</f>
        <v>標報未入力</v>
      </c>
      <c r="E28" s="24" t="str">
        <f aca="false">IF(OR(G28="",G28="なし",CE28="",CF28=0),"―",IF(CF28=CE28,"前月同額",IF(CE28=0,"―",IF(ABS(CF28/CE28-1)&gt;=設定!$B$5,"変動大 "&amp;TEXT(CF28/CE28-1,"+0%;-0%"),"〇"))))</f>
        <v>―</v>
      </c>
      <c r="F28" s="10" t="str">
        <f aca="false">IF(OR(G28="",G28="なし"),"―",IF(CF28=0,"入金不要",IF(COUNT(Z28,AB28,AD28,AF28)=0,IF(AG28="○","手動確認","未入金"),IF(AND(N(Z28)=Y28,IF(AA28="",TRUE(),N(AB28)=AA28),IF(AC28="",TRUE(),N(AD28)=AC28),IF(AE28="",TRUE(),N(AF28)=AE28)),"一致","不一致"))))</f>
        <v>手動確認</v>
      </c>
      <c r="G28" s="25" t="s">
        <v>159</v>
      </c>
      <c r="H28" s="26"/>
      <c r="I28" s="27"/>
      <c r="J28" s="27"/>
      <c r="K28" s="27"/>
      <c r="L28" s="27" t="n">
        <v>40260</v>
      </c>
      <c r="M28" s="27" t="n">
        <v>3300</v>
      </c>
      <c r="N28" s="27" t="n">
        <v>40260</v>
      </c>
      <c r="O28" s="27" t="n">
        <v>3300</v>
      </c>
      <c r="P28" s="27" t="n">
        <v>38</v>
      </c>
      <c r="Q28" s="27" t="n">
        <v>22818</v>
      </c>
      <c r="R28" s="27" t="n">
        <v>22840</v>
      </c>
      <c r="S28" s="27" t="n">
        <v>0</v>
      </c>
      <c r="T28" s="27" t="n">
        <v>0</v>
      </c>
      <c r="U28" s="27" t="n">
        <v>506</v>
      </c>
      <c r="V28" s="27" t="n">
        <v>506</v>
      </c>
      <c r="W28" s="10" t="str">
        <f aca="false">IFERROR(INDEX(設定!$E$61:$E$106,MATCH(B28,設定!$B$61:$B$106,0)),"合算")</f>
        <v>合算</v>
      </c>
      <c r="X28" s="28"/>
      <c r="Y28" s="29" t="n">
        <f aca="false">IF(OR(G28="",G28="なし"),"",IF(W28="合算",CF28,IF(W28="掛金・負担金別",(AU28+AV28+AZ28+BB28+BD28),SUM(AU28:AY28))))</f>
        <v>133828</v>
      </c>
      <c r="Z28" s="27"/>
      <c r="AA28" s="29" t="str">
        <f aca="false">IF(OR(G28="",G28="なし"),"",IF(W28="掛金・負担金別",(AW28+AX28+AY28+BA28+BC28+BE28),IF(W28="経理区分別",AZ28+BA28,"")))</f>
        <v/>
      </c>
      <c r="AB28" s="27"/>
      <c r="AC28" s="29" t="str">
        <f aca="false">IF(OR(G28="",G28="なし"),"",IF(W28="経理区分別",BB28+BC28,""))</f>
        <v/>
      </c>
      <c r="AD28" s="27"/>
      <c r="AE28" s="29" t="str">
        <f aca="false">IF(OR(G28="",G28="なし"),"",IF(W28="経理区分別",BD28+BE28,""))</f>
        <v/>
      </c>
      <c r="AF28" s="27"/>
      <c r="AG28" s="26" t="s">
        <v>160</v>
      </c>
      <c r="AH28" s="26"/>
      <c r="AI28" s="30"/>
      <c r="AJ28" s="31"/>
      <c r="AK28" s="31"/>
      <c r="AL28" s="31"/>
      <c r="AM28" s="31"/>
      <c r="AN28" s="31"/>
      <c r="AO28" s="31"/>
      <c r="AP28" s="31"/>
      <c r="AQ28" s="31"/>
      <c r="AR28" s="31"/>
      <c r="AS28" s="31"/>
      <c r="AT28" s="31"/>
      <c r="AU28" s="31" t="n">
        <f aca="false">IF($G28="",AJ28,L28)</f>
        <v>40260</v>
      </c>
      <c r="AV28" s="31" t="n">
        <f aca="false">IF($G28="",AK28,M28)</f>
        <v>3300</v>
      </c>
      <c r="AW28" s="31" t="n">
        <f aca="false">IF($G28="",AL28,N28)</f>
        <v>40260</v>
      </c>
      <c r="AX28" s="31" t="n">
        <f aca="false">IF($G28="",AM28,O28)</f>
        <v>3300</v>
      </c>
      <c r="AY28" s="31" t="n">
        <f aca="false">IF($G28="",AN28,P28)</f>
        <v>38</v>
      </c>
      <c r="AZ28" s="31" t="n">
        <f aca="false">IF($G28="",AO28,Q28)</f>
        <v>22818</v>
      </c>
      <c r="BA28" s="31" t="n">
        <f aca="false">IF($G28="",AP28,R28)</f>
        <v>22840</v>
      </c>
      <c r="BB28" s="31" t="n">
        <f aca="false">IF($G28="",AQ28,S28)</f>
        <v>0</v>
      </c>
      <c r="BC28" s="31" t="n">
        <f aca="false">IF($G28="",AR28,T28)</f>
        <v>0</v>
      </c>
      <c r="BD28" s="31" t="n">
        <f aca="false">IF($G28="",AS28,U28)</f>
        <v>506</v>
      </c>
      <c r="BE28" s="31" t="n">
        <f aca="false">IF($G28="",AT28,V28)</f>
        <v>506</v>
      </c>
      <c r="BF28" s="31" t="n">
        <f aca="false">ROUNDDOWN(I28*設定!$B$10/1000,0)+ROUNDDOWN(I28*設定!$B$11/1000,0)</f>
        <v>0</v>
      </c>
      <c r="BG28" s="31" t="n">
        <f aca="false">ROUNDDOWN(I28*設定!$C$10/1000,0)+ROUNDDOWN(I28*設定!$C$11/1000,0)+ROUNDDOWN(I28*設定!$C$12/1000,0)</f>
        <v>0</v>
      </c>
      <c r="BH28" s="31" t="n">
        <f aca="false">ROUNDDOWN(J28*設定!$B$13/1000,0)</f>
        <v>0</v>
      </c>
      <c r="BI28" s="31" t="n">
        <f aca="false">ROUNDDOWN(J28*設定!$C$13/1000,0)</f>
        <v>0</v>
      </c>
      <c r="BJ28" s="31" t="n">
        <f aca="false">ROUNDDOWN(K28*設定!$B$14/1000,0)</f>
        <v>0</v>
      </c>
      <c r="BK28" s="31" t="n">
        <f aca="false">ROUNDDOWN(K28*設定!$C$14/1000,0)</f>
        <v>0</v>
      </c>
      <c r="BL28" s="31" t="n">
        <f aca="false">ROUNDDOWN(J28*設定!$B$15/1000,0)</f>
        <v>0</v>
      </c>
      <c r="BM28" s="31" t="n">
        <f aca="false">ROUNDDOWN(J28*設定!$C$15/1000,0)</f>
        <v>0</v>
      </c>
      <c r="BN28" s="31" t="n">
        <f aca="false">L28+M28</f>
        <v>43560</v>
      </c>
      <c r="BO28" s="31" t="n">
        <f aca="false">N28+O28+P28</f>
        <v>43598</v>
      </c>
      <c r="BP28" s="31" t="n">
        <f aca="false">Q28</f>
        <v>22818</v>
      </c>
      <c r="BQ28" s="31" t="n">
        <f aca="false">R28</f>
        <v>22840</v>
      </c>
      <c r="BR28" s="31" t="n">
        <f aca="false">S28</f>
        <v>0</v>
      </c>
      <c r="BS28" s="31" t="n">
        <f aca="false">T28</f>
        <v>0</v>
      </c>
      <c r="BT28" s="31" t="n">
        <f aca="false">U28</f>
        <v>506</v>
      </c>
      <c r="BU28" s="31" t="n">
        <f aca="false">V28</f>
        <v>506</v>
      </c>
      <c r="BV28" s="32" t="n">
        <f aca="false">IF(BF28=0,IF(BN28=0,0,1),(BN28-BF28)/BF28)</f>
        <v>1</v>
      </c>
      <c r="BW28" s="32" t="n">
        <f aca="false">IF(BG28=0,IF(BO28=0,0,1),(BO28-BG28)/BG28)</f>
        <v>1</v>
      </c>
      <c r="BX28" s="32" t="n">
        <f aca="false">IF(BH28=0,IF(BP28=0,0,1),(BP28-BH28)/BH28)</f>
        <v>1</v>
      </c>
      <c r="BY28" s="32" t="n">
        <f aca="false">IF(BI28=0,IF(BQ28=0,0,1),(BQ28-BI28)/BI28)</f>
        <v>1</v>
      </c>
      <c r="BZ28" s="32" t="n">
        <f aca="false">IF(BJ28=0,IF(BR28=0,0,1),(BR28-BJ28)/BJ28)</f>
        <v>0</v>
      </c>
      <c r="CA28" s="32" t="n">
        <f aca="false">IF(BK28=0,IF(BS28=0,0,1),(BS28-BK28)/BK28)</f>
        <v>0</v>
      </c>
      <c r="CB28" s="32" t="n">
        <f aca="false">IF(BL28=0,IF(BT28=0,0,1),(BT28-BL28)/BL28)</f>
        <v>1</v>
      </c>
      <c r="CC28" s="32" t="n">
        <f aca="false">IF(BM28=0,IF(BU28=0,0,1),(BU28-BM28)/BM28)</f>
        <v>1</v>
      </c>
      <c r="CD28" s="32" t="n">
        <f aca="false">MAX(MAX(BV28:CC28),-MIN(BV28:CC28))</f>
        <v>1</v>
      </c>
      <c r="CE28" s="31" t="str">
        <f aca="false">IF(CI28="","",SUMIFS($CF$7:$CF$696,$A$7:$A$696,CI28,$B$7:$B$696,B28))</f>
        <v/>
      </c>
      <c r="CF28" s="31" t="n">
        <f aca="false">SUM(AU28:BE28)</f>
        <v>133828</v>
      </c>
      <c r="CG28" s="33" t="str">
        <f aca="false">A28&amp;"|"&amp;B28</f>
        <v>2026-04 月例|地方公務員災害補償基金本部</v>
      </c>
      <c r="CH28" s="34" t="str">
        <f aca="false">IFERROR(INDEX(設定!$D$61:$D$106,MATCH(B28,設定!$B$61:$B$106,0)),"Y")</f>
        <v>Y</v>
      </c>
      <c r="CI28" s="34" t="str">
        <f aca="false">IFERROR(INDEX(設定!$D$20:$D$34,MATCH(A28,設定!$A$20:$A$34,0))&amp;"","")</f>
        <v/>
      </c>
    </row>
    <row r="29" customFormat="false" ht="15" hidden="true" customHeight="false" outlineLevel="0" collapsed="false">
      <c r="A29" s="22" t="s">
        <v>157</v>
      </c>
      <c r="B29" s="23" t="s">
        <v>183</v>
      </c>
      <c r="C29" s="10" t="str">
        <f aca="false">IF(G29="","未受領",IF(G29="なし","報告なし",IF(AH29="○","起票済",IF(OR(AG29="○",F29="一致",F29="入金不要"),"入金確認済","受領済"))))</f>
        <v>入金確認済</v>
      </c>
      <c r="D29" s="10" t="str">
        <f aca="false">IF(OR(G29="",G29="なし"),"―",IF(CH29="N","対象外",IF(AND(I29="",J29="",K29=""),"標報未入力",IF(CD29&gt;=設定!$B$4,"要確認","問題なし"))))</f>
        <v>標報未入力</v>
      </c>
      <c r="E29" s="24" t="str">
        <f aca="false">IF(OR(G29="",G29="なし",CE29="",CF29=0),"―",IF(CF29=CE29,"前月同額",IF(CE29=0,"―",IF(ABS(CF29/CE29-1)&gt;=設定!$B$5,"変動大 "&amp;TEXT(CF29/CE29-1,"+0%;-0%"),"〇"))))</f>
        <v>―</v>
      </c>
      <c r="F29" s="10" t="str">
        <f aca="false">IF(OR(G29="",G29="なし"),"―",IF(CF29=0,"入金不要",IF(COUNT(Z29,AB29,AD29,AF29)=0,IF(AG29="○","手動確認","未入金"),IF(AND(N(Z29)=Y29,IF(AA29="",TRUE(),N(AB29)=AA29),IF(AC29="",TRUE(),N(AD29)=AC29),IF(AE29="",TRUE(),N(AF29)=AE29)),"一致","不一致"))))</f>
        <v>手動確認</v>
      </c>
      <c r="G29" s="25" t="s">
        <v>159</v>
      </c>
      <c r="H29" s="26"/>
      <c r="I29" s="27"/>
      <c r="J29" s="27"/>
      <c r="K29" s="27"/>
      <c r="L29" s="27" t="n">
        <v>107970</v>
      </c>
      <c r="M29" s="27" t="n">
        <v>8850</v>
      </c>
      <c r="N29" s="27" t="n">
        <v>107970</v>
      </c>
      <c r="O29" s="27" t="n">
        <v>8850</v>
      </c>
      <c r="P29" s="27" t="n">
        <v>102</v>
      </c>
      <c r="Q29" s="27" t="n">
        <v>61194</v>
      </c>
      <c r="R29" s="27" t="n">
        <v>61253</v>
      </c>
      <c r="S29" s="27" t="n">
        <v>9322</v>
      </c>
      <c r="T29" s="27" t="n">
        <v>9322</v>
      </c>
      <c r="U29" s="27" t="n">
        <v>1356</v>
      </c>
      <c r="V29" s="27" t="n">
        <v>1357</v>
      </c>
      <c r="W29" s="10" t="str">
        <f aca="false">IFERROR(INDEX(設定!$E$61:$E$106,MATCH(B29,設定!$B$61:$B$106,0)),"合算")</f>
        <v>合算</v>
      </c>
      <c r="X29" s="28"/>
      <c r="Y29" s="29" t="n">
        <f aca="false">IF(OR(G29="",G29="なし"),"",IF(W29="合算",CF29,IF(W29="掛金・負担金別",(AU29+AV29+AZ29+BB29+BD29),SUM(AU29:AY29))))</f>
        <v>377546</v>
      </c>
      <c r="Z29" s="27"/>
      <c r="AA29" s="29" t="str">
        <f aca="false">IF(OR(G29="",G29="なし"),"",IF(W29="掛金・負担金別",(AW29+AX29+AY29+BA29+BC29+BE29),IF(W29="経理区分別",AZ29+BA29,"")))</f>
        <v/>
      </c>
      <c r="AB29" s="27"/>
      <c r="AC29" s="29" t="str">
        <f aca="false">IF(OR(G29="",G29="なし"),"",IF(W29="経理区分別",BB29+BC29,""))</f>
        <v/>
      </c>
      <c r="AD29" s="27"/>
      <c r="AE29" s="29" t="str">
        <f aca="false">IF(OR(G29="",G29="なし"),"",IF(W29="経理区分別",BD29+BE29,""))</f>
        <v/>
      </c>
      <c r="AF29" s="27"/>
      <c r="AG29" s="26" t="s">
        <v>160</v>
      </c>
      <c r="AH29" s="26"/>
      <c r="AI29" s="30"/>
      <c r="AJ29" s="31"/>
      <c r="AK29" s="31"/>
      <c r="AL29" s="31"/>
      <c r="AM29" s="31"/>
      <c r="AN29" s="31"/>
      <c r="AO29" s="31"/>
      <c r="AP29" s="31"/>
      <c r="AQ29" s="31"/>
      <c r="AR29" s="31"/>
      <c r="AS29" s="31"/>
      <c r="AT29" s="31"/>
      <c r="AU29" s="31" t="n">
        <f aca="false">IF($G29="",AJ29,L29)</f>
        <v>107970</v>
      </c>
      <c r="AV29" s="31" t="n">
        <f aca="false">IF($G29="",AK29,M29)</f>
        <v>8850</v>
      </c>
      <c r="AW29" s="31" t="n">
        <f aca="false">IF($G29="",AL29,N29)</f>
        <v>107970</v>
      </c>
      <c r="AX29" s="31" t="n">
        <f aca="false">IF($G29="",AM29,O29)</f>
        <v>8850</v>
      </c>
      <c r="AY29" s="31" t="n">
        <f aca="false">IF($G29="",AN29,P29)</f>
        <v>102</v>
      </c>
      <c r="AZ29" s="31" t="n">
        <f aca="false">IF($G29="",AO29,Q29)</f>
        <v>61194</v>
      </c>
      <c r="BA29" s="31" t="n">
        <f aca="false">IF($G29="",AP29,R29)</f>
        <v>61253</v>
      </c>
      <c r="BB29" s="31" t="n">
        <f aca="false">IF($G29="",AQ29,S29)</f>
        <v>9322</v>
      </c>
      <c r="BC29" s="31" t="n">
        <f aca="false">IF($G29="",AR29,T29)</f>
        <v>9322</v>
      </c>
      <c r="BD29" s="31" t="n">
        <f aca="false">IF($G29="",AS29,U29)</f>
        <v>1356</v>
      </c>
      <c r="BE29" s="31" t="n">
        <f aca="false">IF($G29="",AT29,V29)</f>
        <v>1357</v>
      </c>
      <c r="BF29" s="31" t="n">
        <f aca="false">ROUNDDOWN(I29*設定!$B$10/1000,0)+ROUNDDOWN(I29*設定!$B$11/1000,0)</f>
        <v>0</v>
      </c>
      <c r="BG29" s="31" t="n">
        <f aca="false">ROUNDDOWN(I29*設定!$C$10/1000,0)+ROUNDDOWN(I29*設定!$C$11/1000,0)+ROUNDDOWN(I29*設定!$C$12/1000,0)</f>
        <v>0</v>
      </c>
      <c r="BH29" s="31" t="n">
        <f aca="false">ROUNDDOWN(J29*設定!$B$13/1000,0)</f>
        <v>0</v>
      </c>
      <c r="BI29" s="31" t="n">
        <f aca="false">ROUNDDOWN(J29*設定!$C$13/1000,0)</f>
        <v>0</v>
      </c>
      <c r="BJ29" s="31" t="n">
        <f aca="false">ROUNDDOWN(K29*設定!$B$14/1000,0)</f>
        <v>0</v>
      </c>
      <c r="BK29" s="31" t="n">
        <f aca="false">ROUNDDOWN(K29*設定!$C$14/1000,0)</f>
        <v>0</v>
      </c>
      <c r="BL29" s="31" t="n">
        <f aca="false">ROUNDDOWN(J29*設定!$B$15/1000,0)</f>
        <v>0</v>
      </c>
      <c r="BM29" s="31" t="n">
        <f aca="false">ROUNDDOWN(J29*設定!$C$15/1000,0)</f>
        <v>0</v>
      </c>
      <c r="BN29" s="31" t="n">
        <f aca="false">L29+M29</f>
        <v>116820</v>
      </c>
      <c r="BO29" s="31" t="n">
        <f aca="false">N29+O29+P29</f>
        <v>116922</v>
      </c>
      <c r="BP29" s="31" t="n">
        <f aca="false">Q29</f>
        <v>61194</v>
      </c>
      <c r="BQ29" s="31" t="n">
        <f aca="false">R29</f>
        <v>61253</v>
      </c>
      <c r="BR29" s="31" t="n">
        <f aca="false">S29</f>
        <v>9322</v>
      </c>
      <c r="BS29" s="31" t="n">
        <f aca="false">T29</f>
        <v>9322</v>
      </c>
      <c r="BT29" s="31" t="n">
        <f aca="false">U29</f>
        <v>1356</v>
      </c>
      <c r="BU29" s="31" t="n">
        <f aca="false">V29</f>
        <v>1357</v>
      </c>
      <c r="BV29" s="32" t="n">
        <f aca="false">IF(BF29=0,IF(BN29=0,0,1),(BN29-BF29)/BF29)</f>
        <v>1</v>
      </c>
      <c r="BW29" s="32" t="n">
        <f aca="false">IF(BG29=0,IF(BO29=0,0,1),(BO29-BG29)/BG29)</f>
        <v>1</v>
      </c>
      <c r="BX29" s="32" t="n">
        <f aca="false">IF(BH29=0,IF(BP29=0,0,1),(BP29-BH29)/BH29)</f>
        <v>1</v>
      </c>
      <c r="BY29" s="32" t="n">
        <f aca="false">IF(BI29=0,IF(BQ29=0,0,1),(BQ29-BI29)/BI29)</f>
        <v>1</v>
      </c>
      <c r="BZ29" s="32" t="n">
        <f aca="false">IF(BJ29=0,IF(BR29=0,0,1),(BR29-BJ29)/BJ29)</f>
        <v>1</v>
      </c>
      <c r="CA29" s="32" t="n">
        <f aca="false">IF(BK29=0,IF(BS29=0,0,1),(BS29-BK29)/BK29)</f>
        <v>1</v>
      </c>
      <c r="CB29" s="32" t="n">
        <f aca="false">IF(BL29=0,IF(BT29=0,0,1),(BT29-BL29)/BL29)</f>
        <v>1</v>
      </c>
      <c r="CC29" s="32" t="n">
        <f aca="false">IF(BM29=0,IF(BU29=0,0,1),(BU29-BM29)/BM29)</f>
        <v>1</v>
      </c>
      <c r="CD29" s="32" t="n">
        <f aca="false">MAX(MAX(BV29:CC29),-MIN(BV29:CC29))</f>
        <v>1</v>
      </c>
      <c r="CE29" s="31" t="str">
        <f aca="false">IF(CI29="","",SUMIFS($CF$7:$CF$696,$A$7:$A$696,CI29,$B$7:$B$696,B29))</f>
        <v/>
      </c>
      <c r="CF29" s="31" t="n">
        <f aca="false">SUM(AU29:BE29)</f>
        <v>377546</v>
      </c>
      <c r="CG29" s="33" t="str">
        <f aca="false">A29&amp;"|"&amp;B29</f>
        <v>2026-04 月例|救急振興財団</v>
      </c>
      <c r="CH29" s="34" t="str">
        <f aca="false">IFERROR(INDEX(設定!$D$61:$D$106,MATCH(B29,設定!$B$61:$B$106,0)),"Y")</f>
        <v>Y</v>
      </c>
      <c r="CI29" s="34" t="str">
        <f aca="false">IFERROR(INDEX(設定!$D$20:$D$34,MATCH(A29,設定!$A$20:$A$34,0))&amp;"","")</f>
        <v/>
      </c>
    </row>
    <row r="30" customFormat="false" ht="15" hidden="true" customHeight="false" outlineLevel="0" collapsed="false">
      <c r="A30" s="22" t="s">
        <v>157</v>
      </c>
      <c r="B30" s="23" t="s">
        <v>184</v>
      </c>
      <c r="C30" s="10" t="str">
        <f aca="false">IF(G30="","未受領",IF(G30="なし","報告なし",IF(AH30="○","起票済",IF(OR(AG30="○",F30="一致",F30="入金不要"),"入金確認済","受領済"))))</f>
        <v>入金確認済</v>
      </c>
      <c r="D30" s="10" t="str">
        <f aca="false">IF(OR(G30="",G30="なし"),"―",IF(CH30="N","対象外",IF(AND(I30="",J30="",K30=""),"標報未入力",IF(CD30&gt;=設定!$B$4,"要確認","問題なし"))))</f>
        <v>標報未入力</v>
      </c>
      <c r="E30" s="24" t="str">
        <f aca="false">IF(OR(G30="",G30="なし",CE30="",CF30=0),"―",IF(CF30=CE30,"前月同額",IF(CE30=0,"―",IF(ABS(CF30/CE30-1)&gt;=設定!$B$5,"変動大 "&amp;TEXT(CF30/CE30-1,"+0%;-0%"),"〇"))))</f>
        <v>―</v>
      </c>
      <c r="F30" s="10" t="str">
        <f aca="false">IF(OR(G30="",G30="なし"),"―",IF(CF30=0,"入金不要",IF(COUNT(Z30,AB30,AD30,AF30)=0,IF(AG30="○","手動確認","未入金"),IF(AND(N(Z30)=Y30,IF(AA30="",TRUE(),N(AB30)=AA30),IF(AC30="",TRUE(),N(AD30)=AC30),IF(AE30="",TRUE(),N(AF30)=AE30)),"一致","不一致"))))</f>
        <v>手動確認</v>
      </c>
      <c r="G30" s="25" t="s">
        <v>159</v>
      </c>
      <c r="H30" s="26"/>
      <c r="I30" s="27"/>
      <c r="J30" s="27"/>
      <c r="K30" s="27"/>
      <c r="L30" s="27" t="n">
        <v>784155</v>
      </c>
      <c r="M30" s="27" t="n">
        <v>64275</v>
      </c>
      <c r="N30" s="27" t="n">
        <v>784155</v>
      </c>
      <c r="O30" s="27" t="n">
        <v>64275</v>
      </c>
      <c r="P30" s="27" t="n">
        <v>804</v>
      </c>
      <c r="Q30" s="27" t="n">
        <v>444434</v>
      </c>
      <c r="R30" s="27" t="n">
        <v>444868</v>
      </c>
      <c r="S30" s="27" t="n">
        <v>39342</v>
      </c>
      <c r="T30" s="27" t="n">
        <v>39342</v>
      </c>
      <c r="U30" s="27" t="n">
        <v>9851</v>
      </c>
      <c r="V30" s="27" t="n">
        <v>9855</v>
      </c>
      <c r="W30" s="10" t="str">
        <f aca="false">IFERROR(INDEX(設定!$E$61:$E$106,MATCH(B30,設定!$B$61:$B$106,0)),"合算")</f>
        <v>合算</v>
      </c>
      <c r="X30" s="28"/>
      <c r="Y30" s="29" t="n">
        <f aca="false">IF(OR(G30="",G30="なし"),"",IF(W30="合算",CF30,IF(W30="掛金・負担金別",(AU30+AV30+AZ30+BB30+BD30),SUM(AU30:AY30))))</f>
        <v>2685356</v>
      </c>
      <c r="Z30" s="27"/>
      <c r="AA30" s="29" t="str">
        <f aca="false">IF(OR(G30="",G30="なし"),"",IF(W30="掛金・負担金別",(AW30+AX30+AY30+BA30+BC30+BE30),IF(W30="経理区分別",AZ30+BA30,"")))</f>
        <v/>
      </c>
      <c r="AB30" s="27"/>
      <c r="AC30" s="29" t="str">
        <f aca="false">IF(OR(G30="",G30="なし"),"",IF(W30="経理区分別",BB30+BC30,""))</f>
        <v/>
      </c>
      <c r="AD30" s="27"/>
      <c r="AE30" s="29" t="str">
        <f aca="false">IF(OR(G30="",G30="なし"),"",IF(W30="経理区分別",BD30+BE30,""))</f>
        <v/>
      </c>
      <c r="AF30" s="27"/>
      <c r="AG30" s="26" t="s">
        <v>160</v>
      </c>
      <c r="AH30" s="26"/>
      <c r="AI30" s="30"/>
      <c r="AJ30" s="31"/>
      <c r="AK30" s="31"/>
      <c r="AL30" s="31"/>
      <c r="AM30" s="31"/>
      <c r="AN30" s="31"/>
      <c r="AO30" s="31"/>
      <c r="AP30" s="31"/>
      <c r="AQ30" s="31"/>
      <c r="AR30" s="31"/>
      <c r="AS30" s="31"/>
      <c r="AT30" s="31"/>
      <c r="AU30" s="31" t="n">
        <f aca="false">IF($G30="",AJ30,L30)</f>
        <v>784155</v>
      </c>
      <c r="AV30" s="31" t="n">
        <f aca="false">IF($G30="",AK30,M30)</f>
        <v>64275</v>
      </c>
      <c r="AW30" s="31" t="n">
        <f aca="false">IF($G30="",AL30,N30)</f>
        <v>784155</v>
      </c>
      <c r="AX30" s="31" t="n">
        <f aca="false">IF($G30="",AM30,O30)</f>
        <v>64275</v>
      </c>
      <c r="AY30" s="31" t="n">
        <f aca="false">IF($G30="",AN30,P30)</f>
        <v>804</v>
      </c>
      <c r="AZ30" s="31" t="n">
        <f aca="false">IF($G30="",AO30,Q30)</f>
        <v>444434</v>
      </c>
      <c r="BA30" s="31" t="n">
        <f aca="false">IF($G30="",AP30,R30)</f>
        <v>444868</v>
      </c>
      <c r="BB30" s="31" t="n">
        <f aca="false">IF($G30="",AQ30,S30)</f>
        <v>39342</v>
      </c>
      <c r="BC30" s="31" t="n">
        <f aca="false">IF($G30="",AR30,T30)</f>
        <v>39342</v>
      </c>
      <c r="BD30" s="31" t="n">
        <f aca="false">IF($G30="",AS30,U30)</f>
        <v>9851</v>
      </c>
      <c r="BE30" s="31" t="n">
        <f aca="false">IF($G30="",AT30,V30)</f>
        <v>9855</v>
      </c>
      <c r="BF30" s="31" t="n">
        <f aca="false">ROUNDDOWN(I30*設定!$B$10/1000,0)+ROUNDDOWN(I30*設定!$B$11/1000,0)</f>
        <v>0</v>
      </c>
      <c r="BG30" s="31" t="n">
        <f aca="false">ROUNDDOWN(I30*設定!$C$10/1000,0)+ROUNDDOWN(I30*設定!$C$11/1000,0)+ROUNDDOWN(I30*設定!$C$12/1000,0)</f>
        <v>0</v>
      </c>
      <c r="BH30" s="31" t="n">
        <f aca="false">ROUNDDOWN(J30*設定!$B$13/1000,0)</f>
        <v>0</v>
      </c>
      <c r="BI30" s="31" t="n">
        <f aca="false">ROUNDDOWN(J30*設定!$C$13/1000,0)</f>
        <v>0</v>
      </c>
      <c r="BJ30" s="31" t="n">
        <f aca="false">ROUNDDOWN(K30*設定!$B$14/1000,0)</f>
        <v>0</v>
      </c>
      <c r="BK30" s="31" t="n">
        <f aca="false">ROUNDDOWN(K30*設定!$C$14/1000,0)</f>
        <v>0</v>
      </c>
      <c r="BL30" s="31" t="n">
        <f aca="false">ROUNDDOWN(J30*設定!$B$15/1000,0)</f>
        <v>0</v>
      </c>
      <c r="BM30" s="31" t="n">
        <f aca="false">ROUNDDOWN(J30*設定!$C$15/1000,0)</f>
        <v>0</v>
      </c>
      <c r="BN30" s="31" t="n">
        <f aca="false">L30+M30</f>
        <v>848430</v>
      </c>
      <c r="BO30" s="31" t="n">
        <f aca="false">N30+O30+P30</f>
        <v>849234</v>
      </c>
      <c r="BP30" s="31" t="n">
        <f aca="false">Q30</f>
        <v>444434</v>
      </c>
      <c r="BQ30" s="31" t="n">
        <f aca="false">R30</f>
        <v>444868</v>
      </c>
      <c r="BR30" s="31" t="n">
        <f aca="false">S30</f>
        <v>39342</v>
      </c>
      <c r="BS30" s="31" t="n">
        <f aca="false">T30</f>
        <v>39342</v>
      </c>
      <c r="BT30" s="31" t="n">
        <f aca="false">U30</f>
        <v>9851</v>
      </c>
      <c r="BU30" s="31" t="n">
        <f aca="false">V30</f>
        <v>9855</v>
      </c>
      <c r="BV30" s="32" t="n">
        <f aca="false">IF(BF30=0,IF(BN30=0,0,1),(BN30-BF30)/BF30)</f>
        <v>1</v>
      </c>
      <c r="BW30" s="32" t="n">
        <f aca="false">IF(BG30=0,IF(BO30=0,0,1),(BO30-BG30)/BG30)</f>
        <v>1</v>
      </c>
      <c r="BX30" s="32" t="n">
        <f aca="false">IF(BH30=0,IF(BP30=0,0,1),(BP30-BH30)/BH30)</f>
        <v>1</v>
      </c>
      <c r="BY30" s="32" t="n">
        <f aca="false">IF(BI30=0,IF(BQ30=0,0,1),(BQ30-BI30)/BI30)</f>
        <v>1</v>
      </c>
      <c r="BZ30" s="32" t="n">
        <f aca="false">IF(BJ30=0,IF(BR30=0,0,1),(BR30-BJ30)/BJ30)</f>
        <v>1</v>
      </c>
      <c r="CA30" s="32" t="n">
        <f aca="false">IF(BK30=0,IF(BS30=0,0,1),(BS30-BK30)/BK30)</f>
        <v>1</v>
      </c>
      <c r="CB30" s="32" t="n">
        <f aca="false">IF(BL30=0,IF(BT30=0,0,1),(BT30-BL30)/BL30)</f>
        <v>1</v>
      </c>
      <c r="CC30" s="32" t="n">
        <f aca="false">IF(BM30=0,IF(BU30=0,0,1),(BU30-BM30)/BM30)</f>
        <v>1</v>
      </c>
      <c r="CD30" s="32" t="n">
        <f aca="false">MAX(MAX(BV30:CC30),-MIN(BV30:CC30))</f>
        <v>1</v>
      </c>
      <c r="CE30" s="31" t="str">
        <f aca="false">IF(CI30="","",SUMIFS($CF$7:$CF$696,$A$7:$A$696,CI30,$B$7:$B$696,B30))</f>
        <v/>
      </c>
      <c r="CF30" s="31" t="n">
        <f aca="false">SUM(AU30:BE30)</f>
        <v>2685356</v>
      </c>
      <c r="CG30" s="33" t="str">
        <f aca="false">A30&amp;"|"&amp;B30</f>
        <v>2026-04 月例|高速道路公社</v>
      </c>
      <c r="CH30" s="34" t="str">
        <f aca="false">IFERROR(INDEX(設定!$D$61:$D$106,MATCH(B30,設定!$B$61:$B$106,0)),"Y")</f>
        <v>Y</v>
      </c>
      <c r="CI30" s="34" t="str">
        <f aca="false">IFERROR(INDEX(設定!$D$20:$D$34,MATCH(A30,設定!$A$20:$A$34,0))&amp;"","")</f>
        <v/>
      </c>
    </row>
    <row r="31" customFormat="false" ht="15" hidden="true" customHeight="false" outlineLevel="0" collapsed="false">
      <c r="A31" s="22" t="s">
        <v>157</v>
      </c>
      <c r="B31" s="23" t="s">
        <v>185</v>
      </c>
      <c r="C31" s="10" t="str">
        <f aca="false">IF(G31="","未受領",IF(G31="なし","報告なし",IF(AH31="○","起票済",IF(OR(AG31="○",F31="一致",F31="入金不要"),"入金確認済","受領済"))))</f>
        <v>入金確認済</v>
      </c>
      <c r="D31" s="10" t="str">
        <f aca="false">IF(OR(G31="",G31="なし"),"―",IF(CH31="N","対象外",IF(AND(I31="",J31="",K31=""),"標報未入力",IF(CD31&gt;=設定!$B$4,"要確認","問題なし"))))</f>
        <v>標報未入力</v>
      </c>
      <c r="E31" s="24" t="str">
        <f aca="false">IF(OR(G31="",G31="なし",CE31="",CF31=0),"―",IF(CF31=CE31,"前月同額",IF(CE31=0,"―",IF(ABS(CF31/CE31-1)&gt;=設定!$B$5,"変動大 "&amp;TEXT(CF31/CE31-1,"+0%;-0%"),"〇"))))</f>
        <v>―</v>
      </c>
      <c r="F31" s="10" t="str">
        <f aca="false">IF(OR(G31="",G31="なし"),"―",IF(CF31=0,"入金不要",IF(COUNT(Z31,AB31,AD31,AF31)=0,IF(AG31="○","手動確認","未入金"),IF(AND(N(Z31)=Y31,IF(AA31="",TRUE(),N(AB31)=AA31),IF(AC31="",TRUE(),N(AD31)=AC31),IF(AE31="",TRUE(),N(AF31)=AE31)),"一致","不一致"))))</f>
        <v>手動確認</v>
      </c>
      <c r="G31" s="25" t="s">
        <v>159</v>
      </c>
      <c r="H31" s="26"/>
      <c r="I31" s="27"/>
      <c r="J31" s="27"/>
      <c r="K31" s="27"/>
      <c r="L31" s="27"/>
      <c r="M31" s="27"/>
      <c r="N31" s="27" t="n">
        <v>602070</v>
      </c>
      <c r="O31" s="27" t="n">
        <v>49350</v>
      </c>
      <c r="P31" s="27" t="n">
        <v>598</v>
      </c>
      <c r="Q31" s="27"/>
      <c r="R31" s="27" t="n">
        <v>341582</v>
      </c>
      <c r="S31" s="27"/>
      <c r="T31" s="27" t="n">
        <v>28203</v>
      </c>
      <c r="U31" s="27"/>
      <c r="V31" s="27" t="n">
        <v>7565</v>
      </c>
      <c r="W31" s="10" t="str">
        <f aca="false">IFERROR(INDEX(設定!$E$61:$E$106,MATCH(B31,設定!$B$61:$B$106,0)),"合算")</f>
        <v>合算</v>
      </c>
      <c r="X31" s="28"/>
      <c r="Y31" s="29" t="n">
        <f aca="false">IF(OR(G31="",G31="なし"),"",IF(W31="合算",CF31,IF(W31="掛金・負担金別",(AU31+AV31+AZ31+BB31+BD31),SUM(AU31:AY31))))</f>
        <v>1029368</v>
      </c>
      <c r="Z31" s="27"/>
      <c r="AA31" s="29" t="str">
        <f aca="false">IF(OR(G31="",G31="なし"),"",IF(W31="掛金・負担金別",(AW31+AX31+AY31+BA31+BC31+BE31),IF(W31="経理区分別",AZ31+BA31,"")))</f>
        <v/>
      </c>
      <c r="AB31" s="27"/>
      <c r="AC31" s="29" t="str">
        <f aca="false">IF(OR(G31="",G31="なし"),"",IF(W31="経理区分別",BB31+BC31,""))</f>
        <v/>
      </c>
      <c r="AD31" s="27"/>
      <c r="AE31" s="29" t="str">
        <f aca="false">IF(OR(G31="",G31="なし"),"",IF(W31="経理区分別",BD31+BE31,""))</f>
        <v/>
      </c>
      <c r="AF31" s="27"/>
      <c r="AG31" s="26" t="s">
        <v>160</v>
      </c>
      <c r="AH31" s="26"/>
      <c r="AI31" s="30"/>
      <c r="AJ31" s="31"/>
      <c r="AK31" s="31"/>
      <c r="AL31" s="31"/>
      <c r="AM31" s="31"/>
      <c r="AN31" s="31"/>
      <c r="AO31" s="31"/>
      <c r="AP31" s="31"/>
      <c r="AQ31" s="31"/>
      <c r="AR31" s="31"/>
      <c r="AS31" s="31"/>
      <c r="AT31" s="31"/>
      <c r="AU31" s="31" t="n">
        <f aca="false">IF($G31="",AJ31,L31)</f>
        <v>0</v>
      </c>
      <c r="AV31" s="31" t="n">
        <f aca="false">IF($G31="",AK31,M31)</f>
        <v>0</v>
      </c>
      <c r="AW31" s="31" t="n">
        <f aca="false">IF($G31="",AL31,N31)</f>
        <v>602070</v>
      </c>
      <c r="AX31" s="31" t="n">
        <f aca="false">IF($G31="",AM31,O31)</f>
        <v>49350</v>
      </c>
      <c r="AY31" s="31" t="n">
        <f aca="false">IF($G31="",AN31,P31)</f>
        <v>598</v>
      </c>
      <c r="AZ31" s="31" t="n">
        <f aca="false">IF($G31="",AO31,Q31)</f>
        <v>0</v>
      </c>
      <c r="BA31" s="31" t="n">
        <f aca="false">IF($G31="",AP31,R31)</f>
        <v>341582</v>
      </c>
      <c r="BB31" s="31" t="n">
        <f aca="false">IF($G31="",AQ31,S31)</f>
        <v>0</v>
      </c>
      <c r="BC31" s="31" t="n">
        <f aca="false">IF($G31="",AR31,T31)</f>
        <v>28203</v>
      </c>
      <c r="BD31" s="31" t="n">
        <f aca="false">IF($G31="",AS31,U31)</f>
        <v>0</v>
      </c>
      <c r="BE31" s="31" t="n">
        <f aca="false">IF($G31="",AT31,V31)</f>
        <v>7565</v>
      </c>
      <c r="BF31" s="31" t="n">
        <f aca="false">ROUNDDOWN(I31*設定!$B$10/1000,0)+ROUNDDOWN(I31*設定!$B$11/1000,0)</f>
        <v>0</v>
      </c>
      <c r="BG31" s="31" t="n">
        <f aca="false">ROUNDDOWN(I31*設定!$C$10/1000,0)+ROUNDDOWN(I31*設定!$C$11/1000,0)+ROUNDDOWN(I31*設定!$C$12/1000,0)</f>
        <v>0</v>
      </c>
      <c r="BH31" s="31" t="n">
        <f aca="false">ROUNDDOWN(J31*設定!$B$13/1000,0)</f>
        <v>0</v>
      </c>
      <c r="BI31" s="31" t="n">
        <f aca="false">ROUNDDOWN(J31*設定!$C$13/1000,0)</f>
        <v>0</v>
      </c>
      <c r="BJ31" s="31" t="n">
        <f aca="false">ROUNDDOWN(K31*設定!$B$14/1000,0)</f>
        <v>0</v>
      </c>
      <c r="BK31" s="31" t="n">
        <f aca="false">ROUNDDOWN(K31*設定!$C$14/1000,0)</f>
        <v>0</v>
      </c>
      <c r="BL31" s="31" t="n">
        <f aca="false">ROUNDDOWN(J31*設定!$B$15/1000,0)</f>
        <v>0</v>
      </c>
      <c r="BM31" s="31" t="n">
        <f aca="false">ROUNDDOWN(J31*設定!$C$15/1000,0)</f>
        <v>0</v>
      </c>
      <c r="BN31" s="31" t="n">
        <f aca="false">L31+M31</f>
        <v>0</v>
      </c>
      <c r="BO31" s="31" t="n">
        <f aca="false">N31+O31+P31</f>
        <v>652018</v>
      </c>
      <c r="BP31" s="31" t="n">
        <f aca="false">Q31</f>
        <v>0</v>
      </c>
      <c r="BQ31" s="31" t="n">
        <f aca="false">R31</f>
        <v>341582</v>
      </c>
      <c r="BR31" s="31" t="n">
        <f aca="false">S31</f>
        <v>0</v>
      </c>
      <c r="BS31" s="31" t="n">
        <f aca="false">T31</f>
        <v>28203</v>
      </c>
      <c r="BT31" s="31" t="n">
        <f aca="false">U31</f>
        <v>0</v>
      </c>
      <c r="BU31" s="31" t="n">
        <f aca="false">V31</f>
        <v>7565</v>
      </c>
      <c r="BV31" s="32" t="n">
        <f aca="false">IF(BF31=0,IF(BN31=0,0,1),(BN31-BF31)/BF31)</f>
        <v>0</v>
      </c>
      <c r="BW31" s="32" t="n">
        <f aca="false">IF(BG31=0,IF(BO31=0,0,1),(BO31-BG31)/BG31)</f>
        <v>1</v>
      </c>
      <c r="BX31" s="32" t="n">
        <f aca="false">IF(BH31=0,IF(BP31=0,0,1),(BP31-BH31)/BH31)</f>
        <v>0</v>
      </c>
      <c r="BY31" s="32" t="n">
        <f aca="false">IF(BI31=0,IF(BQ31=0,0,1),(BQ31-BI31)/BI31)</f>
        <v>1</v>
      </c>
      <c r="BZ31" s="32" t="n">
        <f aca="false">IF(BJ31=0,IF(BR31=0,0,1),(BR31-BJ31)/BJ31)</f>
        <v>0</v>
      </c>
      <c r="CA31" s="32" t="n">
        <f aca="false">IF(BK31=0,IF(BS31=0,0,1),(BS31-BK31)/BK31)</f>
        <v>1</v>
      </c>
      <c r="CB31" s="32" t="n">
        <f aca="false">IF(BL31=0,IF(BT31=0,0,1),(BT31-BL31)/BL31)</f>
        <v>0</v>
      </c>
      <c r="CC31" s="32" t="n">
        <f aca="false">IF(BM31=0,IF(BU31=0,0,1),(BU31-BM31)/BM31)</f>
        <v>1</v>
      </c>
      <c r="CD31" s="32" t="n">
        <f aca="false">MAX(MAX(BV31:CC31),-MIN(BV31:CC31))</f>
        <v>1</v>
      </c>
      <c r="CE31" s="31" t="str">
        <f aca="false">IF(CI31="","",SUMIFS($CF$7:$CF$696,$A$7:$A$696,CI31,$B$7:$B$696,B31))</f>
        <v/>
      </c>
      <c r="CF31" s="31" t="n">
        <f aca="false">SUM(AU31:BE31)</f>
        <v>1029368</v>
      </c>
      <c r="CG31" s="33" t="str">
        <f aca="false">A31&amp;"|"&amp;B31</f>
        <v>2026-04 月例|農林水産振興センタ</v>
      </c>
      <c r="CH31" s="34" t="str">
        <f aca="false">IFERROR(INDEX(設定!$D$61:$D$106,MATCH(B31,設定!$B$61:$B$106,0)),"Y")</f>
        <v>Y</v>
      </c>
      <c r="CI31" s="34" t="str">
        <f aca="false">IFERROR(INDEX(設定!$D$20:$D$34,MATCH(A31,設定!$A$20:$A$34,0))&amp;"","")</f>
        <v/>
      </c>
    </row>
    <row r="32" customFormat="false" ht="15" hidden="true" customHeight="false" outlineLevel="0" collapsed="false">
      <c r="A32" s="22" t="s">
        <v>157</v>
      </c>
      <c r="B32" s="23" t="s">
        <v>186</v>
      </c>
      <c r="C32" s="10" t="str">
        <f aca="false">IF(G32="","未受領",IF(G32="なし","報告なし",IF(AH32="○","起票済",IF(OR(AG32="○",F32="一致",F32="入金不要"),"入金確認済","受領済"))))</f>
        <v>入金確認済</v>
      </c>
      <c r="D32" s="10" t="str">
        <f aca="false">IF(OR(G32="",G32="なし"),"―",IF(CH32="N","対象外",IF(AND(I32="",J32="",K32=""),"標報未入力",IF(CD32&gt;=設定!$B$4,"要確認","問題なし"))))</f>
        <v>標報未入力</v>
      </c>
      <c r="E32" s="24" t="str">
        <f aca="false">IF(OR(G32="",G32="なし",CE32="",CF32=0),"―",IF(CF32=CE32,"前月同額",IF(CE32=0,"―",IF(ABS(CF32/CE32-1)&gt;=設定!$B$5,"変動大 "&amp;TEXT(CF32/CE32-1,"+0%;-0%"),"〇"))))</f>
        <v>―</v>
      </c>
      <c r="F32" s="10" t="str">
        <f aca="false">IF(OR(G32="",G32="なし"),"―",IF(CF32=0,"入金不要",IF(COUNT(Z32,AB32,AD32,AF32)=0,IF(AG32="○","手動確認","未入金"),IF(AND(N(Z32)=Y32,IF(AA32="",TRUE(),N(AB32)=AA32),IF(AC32="",TRUE(),N(AD32)=AC32),IF(AE32="",TRUE(),N(AF32)=AE32)),"一致","不一致"))))</f>
        <v>手動確認</v>
      </c>
      <c r="G32" s="25" t="s">
        <v>159</v>
      </c>
      <c r="H32" s="26"/>
      <c r="I32" s="27"/>
      <c r="J32" s="27"/>
      <c r="K32" s="27"/>
      <c r="L32" s="27"/>
      <c r="M32" s="27"/>
      <c r="N32" s="27" t="n">
        <v>1056825</v>
      </c>
      <c r="O32" s="27" t="n">
        <v>86625</v>
      </c>
      <c r="P32" s="27" t="n">
        <v>1000</v>
      </c>
      <c r="Q32" s="27"/>
      <c r="R32" s="27" t="n">
        <v>602672</v>
      </c>
      <c r="S32" s="27"/>
      <c r="T32" s="27" t="n">
        <v>86347</v>
      </c>
      <c r="U32" s="27"/>
      <c r="V32" s="27" t="n">
        <v>13350</v>
      </c>
      <c r="W32" s="10" t="str">
        <f aca="false">IFERROR(INDEX(設定!$E$61:$E$106,MATCH(B32,設定!$B$61:$B$106,0)),"合算")</f>
        <v>合算</v>
      </c>
      <c r="X32" s="28"/>
      <c r="Y32" s="29" t="n">
        <f aca="false">IF(OR(G32="",G32="なし"),"",IF(W32="合算",CF32,IF(W32="掛金・負担金別",(AU32+AV32+AZ32+BB32+BD32),SUM(AU32:AY32))))</f>
        <v>1846819</v>
      </c>
      <c r="Z32" s="27"/>
      <c r="AA32" s="29" t="str">
        <f aca="false">IF(OR(G32="",G32="なし"),"",IF(W32="掛金・負担金別",(AW32+AX32+AY32+BA32+BC32+BE32),IF(W32="経理区分別",AZ32+BA32,"")))</f>
        <v/>
      </c>
      <c r="AB32" s="27"/>
      <c r="AC32" s="29" t="str">
        <f aca="false">IF(OR(G32="",G32="なし"),"",IF(W32="経理区分別",BB32+BC32,""))</f>
        <v/>
      </c>
      <c r="AD32" s="27"/>
      <c r="AE32" s="29" t="str">
        <f aca="false">IF(OR(G32="",G32="なし"),"",IF(W32="経理区分別",BD32+BE32,""))</f>
        <v/>
      </c>
      <c r="AF32" s="27"/>
      <c r="AG32" s="26" t="s">
        <v>160</v>
      </c>
      <c r="AH32" s="26"/>
      <c r="AI32" s="30"/>
      <c r="AJ32" s="31"/>
      <c r="AK32" s="31"/>
      <c r="AL32" s="31"/>
      <c r="AM32" s="31"/>
      <c r="AN32" s="31"/>
      <c r="AO32" s="31"/>
      <c r="AP32" s="31"/>
      <c r="AQ32" s="31"/>
      <c r="AR32" s="31"/>
      <c r="AS32" s="31"/>
      <c r="AT32" s="31"/>
      <c r="AU32" s="31" t="n">
        <f aca="false">IF($G32="",AJ32,L32)</f>
        <v>0</v>
      </c>
      <c r="AV32" s="31" t="n">
        <f aca="false">IF($G32="",AK32,M32)</f>
        <v>0</v>
      </c>
      <c r="AW32" s="31" t="n">
        <f aca="false">IF($G32="",AL32,N32)</f>
        <v>1056825</v>
      </c>
      <c r="AX32" s="31" t="n">
        <f aca="false">IF($G32="",AM32,O32)</f>
        <v>86625</v>
      </c>
      <c r="AY32" s="31" t="n">
        <f aca="false">IF($G32="",AN32,P32)</f>
        <v>1000</v>
      </c>
      <c r="AZ32" s="31" t="n">
        <f aca="false">IF($G32="",AO32,Q32)</f>
        <v>0</v>
      </c>
      <c r="BA32" s="31" t="n">
        <f aca="false">IF($G32="",AP32,R32)</f>
        <v>602672</v>
      </c>
      <c r="BB32" s="31" t="n">
        <f aca="false">IF($G32="",AQ32,S32)</f>
        <v>0</v>
      </c>
      <c r="BC32" s="31" t="n">
        <f aca="false">IF($G32="",AR32,T32)</f>
        <v>86347</v>
      </c>
      <c r="BD32" s="31" t="n">
        <f aca="false">IF($G32="",AS32,U32)</f>
        <v>0</v>
      </c>
      <c r="BE32" s="31" t="n">
        <f aca="false">IF($G32="",AT32,V32)</f>
        <v>13350</v>
      </c>
      <c r="BF32" s="31" t="n">
        <f aca="false">ROUNDDOWN(I32*設定!$B$10/1000,0)+ROUNDDOWN(I32*設定!$B$11/1000,0)</f>
        <v>0</v>
      </c>
      <c r="BG32" s="31" t="n">
        <f aca="false">ROUNDDOWN(I32*設定!$C$10/1000,0)+ROUNDDOWN(I32*設定!$C$11/1000,0)+ROUNDDOWN(I32*設定!$C$12/1000,0)</f>
        <v>0</v>
      </c>
      <c r="BH32" s="31" t="n">
        <f aca="false">ROUNDDOWN(J32*設定!$B$13/1000,0)</f>
        <v>0</v>
      </c>
      <c r="BI32" s="31" t="n">
        <f aca="false">ROUNDDOWN(J32*設定!$C$13/1000,0)</f>
        <v>0</v>
      </c>
      <c r="BJ32" s="31" t="n">
        <f aca="false">ROUNDDOWN(K32*設定!$B$14/1000,0)</f>
        <v>0</v>
      </c>
      <c r="BK32" s="31" t="n">
        <f aca="false">ROUNDDOWN(K32*設定!$C$14/1000,0)</f>
        <v>0</v>
      </c>
      <c r="BL32" s="31" t="n">
        <f aca="false">ROUNDDOWN(J32*設定!$B$15/1000,0)</f>
        <v>0</v>
      </c>
      <c r="BM32" s="31" t="n">
        <f aca="false">ROUNDDOWN(J32*設定!$C$15/1000,0)</f>
        <v>0</v>
      </c>
      <c r="BN32" s="31" t="n">
        <f aca="false">L32+M32</f>
        <v>0</v>
      </c>
      <c r="BO32" s="31" t="n">
        <f aca="false">N32+O32+P32</f>
        <v>1144450</v>
      </c>
      <c r="BP32" s="31" t="n">
        <f aca="false">Q32</f>
        <v>0</v>
      </c>
      <c r="BQ32" s="31" t="n">
        <f aca="false">R32</f>
        <v>602672</v>
      </c>
      <c r="BR32" s="31" t="n">
        <f aca="false">S32</f>
        <v>0</v>
      </c>
      <c r="BS32" s="31" t="n">
        <f aca="false">T32</f>
        <v>86347</v>
      </c>
      <c r="BT32" s="31" t="n">
        <f aca="false">U32</f>
        <v>0</v>
      </c>
      <c r="BU32" s="31" t="n">
        <f aca="false">V32</f>
        <v>13350</v>
      </c>
      <c r="BV32" s="32" t="n">
        <f aca="false">IF(BF32=0,IF(BN32=0,0,1),(BN32-BF32)/BF32)</f>
        <v>0</v>
      </c>
      <c r="BW32" s="32" t="n">
        <f aca="false">IF(BG32=0,IF(BO32=0,0,1),(BO32-BG32)/BG32)</f>
        <v>1</v>
      </c>
      <c r="BX32" s="32" t="n">
        <f aca="false">IF(BH32=0,IF(BP32=0,0,1),(BP32-BH32)/BH32)</f>
        <v>0</v>
      </c>
      <c r="BY32" s="32" t="n">
        <f aca="false">IF(BI32=0,IF(BQ32=0,0,1),(BQ32-BI32)/BI32)</f>
        <v>1</v>
      </c>
      <c r="BZ32" s="32" t="n">
        <f aca="false">IF(BJ32=0,IF(BR32=0,0,1),(BR32-BJ32)/BJ32)</f>
        <v>0</v>
      </c>
      <c r="CA32" s="32" t="n">
        <f aca="false">IF(BK32=0,IF(BS32=0,0,1),(BS32-BK32)/BK32)</f>
        <v>1</v>
      </c>
      <c r="CB32" s="32" t="n">
        <f aca="false">IF(BL32=0,IF(BT32=0,0,1),(BT32-BL32)/BL32)</f>
        <v>0</v>
      </c>
      <c r="CC32" s="32" t="n">
        <f aca="false">IF(BM32=0,IF(BU32=0,0,1),(BU32-BM32)/BM32)</f>
        <v>1</v>
      </c>
      <c r="CD32" s="32" t="n">
        <f aca="false">MAX(MAX(BV32:CC32),-MIN(BV32:CC32))</f>
        <v>1</v>
      </c>
      <c r="CE32" s="31" t="str">
        <f aca="false">IF(CI32="","",SUMIFS($CF$7:$CF$696,$A$7:$A$696,CI32,$B$7:$B$696,B32))</f>
        <v/>
      </c>
      <c r="CF32" s="31" t="n">
        <f aca="false">SUM(AU32:BE32)</f>
        <v>1846819</v>
      </c>
      <c r="CG32" s="33" t="str">
        <f aca="false">A32&amp;"|"&amp;B32</f>
        <v>2026-04 月例|文化財団　市長部局</v>
      </c>
      <c r="CH32" s="34" t="str">
        <f aca="false">IFERROR(INDEX(設定!$D$61:$D$106,MATCH(B32,設定!$B$61:$B$106,0)),"Y")</f>
        <v>Y</v>
      </c>
      <c r="CI32" s="34" t="str">
        <f aca="false">IFERROR(INDEX(設定!$D$20:$D$34,MATCH(A32,設定!$A$20:$A$34,0))&amp;"","")</f>
        <v/>
      </c>
    </row>
    <row r="33" customFormat="false" ht="15" hidden="true" customHeight="false" outlineLevel="0" collapsed="false">
      <c r="A33" s="22" t="s">
        <v>157</v>
      </c>
      <c r="B33" s="23" t="s">
        <v>187</v>
      </c>
      <c r="C33" s="10" t="str">
        <f aca="false">IF(G33="","未受領",IF(G33="なし","報告なし",IF(AH33="○","起票済",IF(OR(AG33="○",F33="一致",F33="入金不要"),"入金確認済","受領済"))))</f>
        <v>入金確認済</v>
      </c>
      <c r="D33" s="10" t="str">
        <f aca="false">IF(OR(G33="",G33="なし"),"―",IF(CH33="N","対象外",IF(AND(I33="",J33="",K33=""),"標報未入力",IF(CD33&gt;=設定!$B$4,"要確認","問題なし"))))</f>
        <v>標報未入力</v>
      </c>
      <c r="E33" s="24" t="str">
        <f aca="false">IF(OR(G33="",G33="なし",CE33="",CF33=0),"―",IF(CF33=CE33,"前月同額",IF(CE33=0,"―",IF(ABS(CF33/CE33-1)&gt;=設定!$B$5,"変動大 "&amp;TEXT(CF33/CE33-1,"+0%;-0%"),"〇"))))</f>
        <v>―</v>
      </c>
      <c r="F33" s="10" t="str">
        <f aca="false">IF(OR(G33="",G33="なし"),"―",IF(CF33=0,"入金不要",IF(COUNT(Z33,AB33,AD33,AF33)=0,IF(AG33="○","手動確認","未入金"),IF(AND(N(Z33)=Y33,IF(AA33="",TRUE(),N(AB33)=AA33),IF(AC33="",TRUE(),N(AD33)=AC33),IF(AE33="",TRUE(),N(AF33)=AE33)),"一致","不一致"))))</f>
        <v>入金不要</v>
      </c>
      <c r="G33" s="25" t="s">
        <v>159</v>
      </c>
      <c r="H33" s="26"/>
      <c r="I33" s="27"/>
      <c r="J33" s="27"/>
      <c r="K33" s="27"/>
      <c r="L33" s="27"/>
      <c r="M33" s="27"/>
      <c r="N33" s="27" t="n">
        <v>0</v>
      </c>
      <c r="O33" s="27" t="n">
        <v>0</v>
      </c>
      <c r="P33" s="27" t="n">
        <v>0</v>
      </c>
      <c r="Q33" s="27"/>
      <c r="R33" s="27" t="n">
        <v>0</v>
      </c>
      <c r="S33" s="27"/>
      <c r="T33" s="27" t="n">
        <v>0</v>
      </c>
      <c r="U33" s="27"/>
      <c r="V33" s="27" t="n">
        <v>0</v>
      </c>
      <c r="W33" s="10" t="str">
        <f aca="false">IFERROR(INDEX(設定!$E$61:$E$106,MATCH(B33,設定!$B$61:$B$106,0)),"合算")</f>
        <v>合算</v>
      </c>
      <c r="X33" s="28"/>
      <c r="Y33" s="29" t="n">
        <f aca="false">IF(OR(G33="",G33="なし"),"",IF(W33="合算",CF33,IF(W33="掛金・負担金別",(AU33+AV33+AZ33+BB33+BD33),SUM(AU33:AY33))))</f>
        <v>0</v>
      </c>
      <c r="Z33" s="27"/>
      <c r="AA33" s="29" t="str">
        <f aca="false">IF(OR(G33="",G33="なし"),"",IF(W33="掛金・負担金別",(AW33+AX33+AY33+BA33+BC33+BE33),IF(W33="経理区分別",AZ33+BA33,"")))</f>
        <v/>
      </c>
      <c r="AB33" s="27"/>
      <c r="AC33" s="29" t="str">
        <f aca="false">IF(OR(G33="",G33="なし"),"",IF(W33="経理区分別",BB33+BC33,""))</f>
        <v/>
      </c>
      <c r="AD33" s="27"/>
      <c r="AE33" s="29" t="str">
        <f aca="false">IF(OR(G33="",G33="なし"),"",IF(W33="経理区分別",BD33+BE33,""))</f>
        <v/>
      </c>
      <c r="AF33" s="27"/>
      <c r="AG33" s="26" t="s">
        <v>160</v>
      </c>
      <c r="AH33" s="26"/>
      <c r="AI33" s="30"/>
      <c r="AJ33" s="31"/>
      <c r="AK33" s="31"/>
      <c r="AL33" s="31"/>
      <c r="AM33" s="31"/>
      <c r="AN33" s="31"/>
      <c r="AO33" s="31"/>
      <c r="AP33" s="31"/>
      <c r="AQ33" s="31"/>
      <c r="AR33" s="31"/>
      <c r="AS33" s="31"/>
      <c r="AT33" s="31"/>
      <c r="AU33" s="31" t="n">
        <f aca="false">IF($G33="",AJ33,L33)</f>
        <v>0</v>
      </c>
      <c r="AV33" s="31" t="n">
        <f aca="false">IF($G33="",AK33,M33)</f>
        <v>0</v>
      </c>
      <c r="AW33" s="31" t="n">
        <f aca="false">IF($G33="",AL33,N33)</f>
        <v>0</v>
      </c>
      <c r="AX33" s="31" t="n">
        <f aca="false">IF($G33="",AM33,O33)</f>
        <v>0</v>
      </c>
      <c r="AY33" s="31" t="n">
        <f aca="false">IF($G33="",AN33,P33)</f>
        <v>0</v>
      </c>
      <c r="AZ33" s="31" t="n">
        <f aca="false">IF($G33="",AO33,Q33)</f>
        <v>0</v>
      </c>
      <c r="BA33" s="31" t="n">
        <f aca="false">IF($G33="",AP33,R33)</f>
        <v>0</v>
      </c>
      <c r="BB33" s="31" t="n">
        <f aca="false">IF($G33="",AQ33,S33)</f>
        <v>0</v>
      </c>
      <c r="BC33" s="31" t="n">
        <f aca="false">IF($G33="",AR33,T33)</f>
        <v>0</v>
      </c>
      <c r="BD33" s="31" t="n">
        <f aca="false">IF($G33="",AS33,U33)</f>
        <v>0</v>
      </c>
      <c r="BE33" s="31" t="n">
        <f aca="false">IF($G33="",AT33,V33)</f>
        <v>0</v>
      </c>
      <c r="BF33" s="31" t="n">
        <f aca="false">ROUNDDOWN(I33*設定!$B$10/1000,0)+ROUNDDOWN(I33*設定!$B$11/1000,0)</f>
        <v>0</v>
      </c>
      <c r="BG33" s="31" t="n">
        <f aca="false">ROUNDDOWN(I33*設定!$C$10/1000,0)+ROUNDDOWN(I33*設定!$C$11/1000,0)+ROUNDDOWN(I33*設定!$C$12/1000,0)</f>
        <v>0</v>
      </c>
      <c r="BH33" s="31" t="n">
        <f aca="false">ROUNDDOWN(J33*設定!$B$13/1000,0)</f>
        <v>0</v>
      </c>
      <c r="BI33" s="31" t="n">
        <f aca="false">ROUNDDOWN(J33*設定!$C$13/1000,0)</f>
        <v>0</v>
      </c>
      <c r="BJ33" s="31" t="n">
        <f aca="false">ROUNDDOWN(K33*設定!$B$14/1000,0)</f>
        <v>0</v>
      </c>
      <c r="BK33" s="31" t="n">
        <f aca="false">ROUNDDOWN(K33*設定!$C$14/1000,0)</f>
        <v>0</v>
      </c>
      <c r="BL33" s="31" t="n">
        <f aca="false">ROUNDDOWN(J33*設定!$B$15/1000,0)</f>
        <v>0</v>
      </c>
      <c r="BM33" s="31" t="n">
        <f aca="false">ROUNDDOWN(J33*設定!$C$15/1000,0)</f>
        <v>0</v>
      </c>
      <c r="BN33" s="31" t="n">
        <f aca="false">L33+M33</f>
        <v>0</v>
      </c>
      <c r="BO33" s="31" t="n">
        <f aca="false">N33+O33+P33</f>
        <v>0</v>
      </c>
      <c r="BP33" s="31" t="n">
        <f aca="false">Q33</f>
        <v>0</v>
      </c>
      <c r="BQ33" s="31" t="n">
        <f aca="false">R33</f>
        <v>0</v>
      </c>
      <c r="BR33" s="31" t="n">
        <f aca="false">S33</f>
        <v>0</v>
      </c>
      <c r="BS33" s="31" t="n">
        <f aca="false">T33</f>
        <v>0</v>
      </c>
      <c r="BT33" s="31" t="n">
        <f aca="false">U33</f>
        <v>0</v>
      </c>
      <c r="BU33" s="31" t="n">
        <f aca="false">V33</f>
        <v>0</v>
      </c>
      <c r="BV33" s="32" t="n">
        <f aca="false">IF(BF33=0,IF(BN33=0,0,1),(BN33-BF33)/BF33)</f>
        <v>0</v>
      </c>
      <c r="BW33" s="32" t="n">
        <f aca="false">IF(BG33=0,IF(BO33=0,0,1),(BO33-BG33)/BG33)</f>
        <v>0</v>
      </c>
      <c r="BX33" s="32" t="n">
        <f aca="false">IF(BH33=0,IF(BP33=0,0,1),(BP33-BH33)/BH33)</f>
        <v>0</v>
      </c>
      <c r="BY33" s="32" t="n">
        <f aca="false">IF(BI33=0,IF(BQ33=0,0,1),(BQ33-BI33)/BI33)</f>
        <v>0</v>
      </c>
      <c r="BZ33" s="32" t="n">
        <f aca="false">IF(BJ33=0,IF(BR33=0,0,1),(BR33-BJ33)/BJ33)</f>
        <v>0</v>
      </c>
      <c r="CA33" s="32" t="n">
        <f aca="false">IF(BK33=0,IF(BS33=0,0,1),(BS33-BK33)/BK33)</f>
        <v>0</v>
      </c>
      <c r="CB33" s="32" t="n">
        <f aca="false">IF(BL33=0,IF(BT33=0,0,1),(BT33-BL33)/BL33)</f>
        <v>0</v>
      </c>
      <c r="CC33" s="32" t="n">
        <f aca="false">IF(BM33=0,IF(BU33=0,0,1),(BU33-BM33)/BM33)</f>
        <v>0</v>
      </c>
      <c r="CD33" s="32" t="n">
        <f aca="false">MAX(MAX(BV33:CC33),-MIN(BV33:CC33))</f>
        <v>-0</v>
      </c>
      <c r="CE33" s="31" t="str">
        <f aca="false">IF(CI33="","",SUMIFS($CF$7:$CF$696,$A$7:$A$696,CI33,$B$7:$B$696,B33))</f>
        <v/>
      </c>
      <c r="CF33" s="31" t="n">
        <f aca="false">SUM(AU33:BE33)</f>
        <v>0</v>
      </c>
      <c r="CG33" s="33" t="str">
        <f aca="false">A33&amp;"|"&amp;B33</f>
        <v>2026-04 月例|文化財団　教育委員会</v>
      </c>
      <c r="CH33" s="34" t="str">
        <f aca="false">IFERROR(INDEX(設定!$D$61:$D$106,MATCH(B33,設定!$B$61:$B$106,0)),"Y")</f>
        <v>Y</v>
      </c>
      <c r="CI33" s="34" t="str">
        <f aca="false">IFERROR(INDEX(設定!$D$20:$D$34,MATCH(A33,設定!$A$20:$A$34,0))&amp;"","")</f>
        <v/>
      </c>
    </row>
    <row r="34" customFormat="false" ht="15" hidden="true" customHeight="false" outlineLevel="0" collapsed="false">
      <c r="A34" s="22" t="s">
        <v>157</v>
      </c>
      <c r="B34" s="23" t="s">
        <v>188</v>
      </c>
      <c r="C34" s="10" t="str">
        <f aca="false">IF(G34="","未受領",IF(G34="なし","報告なし",IF(AH34="○","起票済",IF(OR(AG34="○",F34="一致",F34="入金不要"),"入金確認済","受領済"))))</f>
        <v>入金確認済</v>
      </c>
      <c r="D34" s="10" t="str">
        <f aca="false">IF(OR(G34="",G34="なし"),"―",IF(CH34="N","対象外",IF(AND(I34="",J34="",K34=""),"標報未入力",IF(CD34&gt;=設定!$B$4,"要確認","問題なし"))))</f>
        <v>標報未入力</v>
      </c>
      <c r="E34" s="24" t="str">
        <f aca="false">IF(OR(G34="",G34="なし",CE34="",CF34=0),"―",IF(CF34=CE34,"前月同額",IF(CE34=0,"―",IF(ABS(CF34/CE34-1)&gt;=設定!$B$5,"変動大 "&amp;TEXT(CF34/CE34-1,"+0%;-0%"),"〇"))))</f>
        <v>―</v>
      </c>
      <c r="F34" s="10" t="str">
        <f aca="false">IF(OR(G34="",G34="なし"),"―",IF(CF34=0,"入金不要",IF(COUNT(Z34,AB34,AD34,AF34)=0,IF(AG34="○","手動確認","未入金"),IF(AND(N(Z34)=Y34,IF(AA34="",TRUE(),N(AB34)=AA34),IF(AC34="",TRUE(),N(AD34)=AC34),IF(AE34="",TRUE(),N(AF34)=AE34)),"一致","不一致"))))</f>
        <v>手動確認</v>
      </c>
      <c r="G34" s="25" t="s">
        <v>159</v>
      </c>
      <c r="H34" s="26"/>
      <c r="I34" s="27"/>
      <c r="J34" s="27"/>
      <c r="K34" s="27"/>
      <c r="L34" s="27"/>
      <c r="M34" s="27"/>
      <c r="N34" s="27" t="n">
        <v>405345</v>
      </c>
      <c r="O34" s="27" t="n">
        <v>33225</v>
      </c>
      <c r="P34" s="27" t="n">
        <v>383</v>
      </c>
      <c r="Q34" s="27"/>
      <c r="R34" s="27" t="n">
        <v>229959</v>
      </c>
      <c r="S34" s="27"/>
      <c r="T34" s="27" t="n">
        <v>34997</v>
      </c>
      <c r="U34" s="27"/>
      <c r="V34" s="27" t="n">
        <v>5093</v>
      </c>
      <c r="W34" s="10" t="str">
        <f aca="false">IFERROR(INDEX(設定!$E$61:$E$106,MATCH(B34,設定!$B$61:$B$106,0)),"合算")</f>
        <v>合算</v>
      </c>
      <c r="X34" s="28"/>
      <c r="Y34" s="29" t="n">
        <f aca="false">IF(OR(G34="",G34="なし"),"",IF(W34="合算",CF34,IF(W34="掛金・負担金別",(AU34+AV34+AZ34+BB34+BD34),SUM(AU34:AY34))))</f>
        <v>709002</v>
      </c>
      <c r="Z34" s="27"/>
      <c r="AA34" s="29" t="str">
        <f aca="false">IF(OR(G34="",G34="なし"),"",IF(W34="掛金・負担金別",(AW34+AX34+AY34+BA34+BC34+BE34),IF(W34="経理区分別",AZ34+BA34,"")))</f>
        <v/>
      </c>
      <c r="AB34" s="27"/>
      <c r="AC34" s="29" t="str">
        <f aca="false">IF(OR(G34="",G34="なし"),"",IF(W34="経理区分別",BB34+BC34,""))</f>
        <v/>
      </c>
      <c r="AD34" s="27"/>
      <c r="AE34" s="29" t="str">
        <f aca="false">IF(OR(G34="",G34="なし"),"",IF(W34="経理区分別",BD34+BE34,""))</f>
        <v/>
      </c>
      <c r="AF34" s="27"/>
      <c r="AG34" s="26" t="s">
        <v>160</v>
      </c>
      <c r="AH34" s="26"/>
      <c r="AI34" s="30"/>
      <c r="AJ34" s="31"/>
      <c r="AK34" s="31"/>
      <c r="AL34" s="31"/>
      <c r="AM34" s="31"/>
      <c r="AN34" s="31"/>
      <c r="AO34" s="31"/>
      <c r="AP34" s="31"/>
      <c r="AQ34" s="31"/>
      <c r="AR34" s="31"/>
      <c r="AS34" s="31"/>
      <c r="AT34" s="31"/>
      <c r="AU34" s="31" t="n">
        <f aca="false">IF($G34="",AJ34,L34)</f>
        <v>0</v>
      </c>
      <c r="AV34" s="31" t="n">
        <f aca="false">IF($G34="",AK34,M34)</f>
        <v>0</v>
      </c>
      <c r="AW34" s="31" t="n">
        <f aca="false">IF($G34="",AL34,N34)</f>
        <v>405345</v>
      </c>
      <c r="AX34" s="31" t="n">
        <f aca="false">IF($G34="",AM34,O34)</f>
        <v>33225</v>
      </c>
      <c r="AY34" s="31" t="n">
        <f aca="false">IF($G34="",AN34,P34)</f>
        <v>383</v>
      </c>
      <c r="AZ34" s="31" t="n">
        <f aca="false">IF($G34="",AO34,Q34)</f>
        <v>0</v>
      </c>
      <c r="BA34" s="31" t="n">
        <f aca="false">IF($G34="",AP34,R34)</f>
        <v>229959</v>
      </c>
      <c r="BB34" s="31" t="n">
        <f aca="false">IF($G34="",AQ34,S34)</f>
        <v>0</v>
      </c>
      <c r="BC34" s="31" t="n">
        <f aca="false">IF($G34="",AR34,T34)</f>
        <v>34997</v>
      </c>
      <c r="BD34" s="31" t="n">
        <f aca="false">IF($G34="",AS34,U34)</f>
        <v>0</v>
      </c>
      <c r="BE34" s="31" t="n">
        <f aca="false">IF($G34="",AT34,V34)</f>
        <v>5093</v>
      </c>
      <c r="BF34" s="31" t="n">
        <f aca="false">ROUNDDOWN(I34*設定!$B$10/1000,0)+ROUNDDOWN(I34*設定!$B$11/1000,0)</f>
        <v>0</v>
      </c>
      <c r="BG34" s="31" t="n">
        <f aca="false">ROUNDDOWN(I34*設定!$C$10/1000,0)+ROUNDDOWN(I34*設定!$C$11/1000,0)+ROUNDDOWN(I34*設定!$C$12/1000,0)</f>
        <v>0</v>
      </c>
      <c r="BH34" s="31" t="n">
        <f aca="false">ROUNDDOWN(J34*設定!$B$13/1000,0)</f>
        <v>0</v>
      </c>
      <c r="BI34" s="31" t="n">
        <f aca="false">ROUNDDOWN(J34*設定!$C$13/1000,0)</f>
        <v>0</v>
      </c>
      <c r="BJ34" s="31" t="n">
        <f aca="false">ROUNDDOWN(K34*設定!$B$14/1000,0)</f>
        <v>0</v>
      </c>
      <c r="BK34" s="31" t="n">
        <f aca="false">ROUNDDOWN(K34*設定!$C$14/1000,0)</f>
        <v>0</v>
      </c>
      <c r="BL34" s="31" t="n">
        <f aca="false">ROUNDDOWN(J34*設定!$B$15/1000,0)</f>
        <v>0</v>
      </c>
      <c r="BM34" s="31" t="n">
        <f aca="false">ROUNDDOWN(J34*設定!$C$15/1000,0)</f>
        <v>0</v>
      </c>
      <c r="BN34" s="31" t="n">
        <f aca="false">L34+M34</f>
        <v>0</v>
      </c>
      <c r="BO34" s="31" t="n">
        <f aca="false">N34+O34+P34</f>
        <v>438953</v>
      </c>
      <c r="BP34" s="31" t="n">
        <f aca="false">Q34</f>
        <v>0</v>
      </c>
      <c r="BQ34" s="31" t="n">
        <f aca="false">R34</f>
        <v>229959</v>
      </c>
      <c r="BR34" s="31" t="n">
        <f aca="false">S34</f>
        <v>0</v>
      </c>
      <c r="BS34" s="31" t="n">
        <f aca="false">T34</f>
        <v>34997</v>
      </c>
      <c r="BT34" s="31" t="n">
        <f aca="false">U34</f>
        <v>0</v>
      </c>
      <c r="BU34" s="31" t="n">
        <f aca="false">V34</f>
        <v>5093</v>
      </c>
      <c r="BV34" s="32" t="n">
        <f aca="false">IF(BF34=0,IF(BN34=0,0,1),(BN34-BF34)/BF34)</f>
        <v>0</v>
      </c>
      <c r="BW34" s="32" t="n">
        <f aca="false">IF(BG34=0,IF(BO34=0,0,1),(BO34-BG34)/BG34)</f>
        <v>1</v>
      </c>
      <c r="BX34" s="32" t="n">
        <f aca="false">IF(BH34=0,IF(BP34=0,0,1),(BP34-BH34)/BH34)</f>
        <v>0</v>
      </c>
      <c r="BY34" s="32" t="n">
        <f aca="false">IF(BI34=0,IF(BQ34=0,0,1),(BQ34-BI34)/BI34)</f>
        <v>1</v>
      </c>
      <c r="BZ34" s="32" t="n">
        <f aca="false">IF(BJ34=0,IF(BR34=0,0,1),(BR34-BJ34)/BJ34)</f>
        <v>0</v>
      </c>
      <c r="CA34" s="32" t="n">
        <f aca="false">IF(BK34=0,IF(BS34=0,0,1),(BS34-BK34)/BK34)</f>
        <v>1</v>
      </c>
      <c r="CB34" s="32" t="n">
        <f aca="false">IF(BL34=0,IF(BT34=0,0,1),(BT34-BL34)/BL34)</f>
        <v>0</v>
      </c>
      <c r="CC34" s="32" t="n">
        <f aca="false">IF(BM34=0,IF(BU34=0,0,1),(BU34-BM34)/BM34)</f>
        <v>1</v>
      </c>
      <c r="CD34" s="32" t="n">
        <f aca="false">MAX(MAX(BV34:CC34),-MIN(BV34:CC34))</f>
        <v>1</v>
      </c>
      <c r="CE34" s="31" t="str">
        <f aca="false">IF(CI34="","",SUMIFS($CF$7:$CF$696,$A$7:$A$696,CI34,$B$7:$B$696,B34))</f>
        <v/>
      </c>
      <c r="CF34" s="31" t="n">
        <f aca="false">SUM(AU34:BE34)</f>
        <v>709002</v>
      </c>
      <c r="CG34" s="33" t="str">
        <f aca="false">A34&amp;"|"&amp;B34</f>
        <v>2026-04 月例|みどり生きもの協会</v>
      </c>
      <c r="CH34" s="34" t="str">
        <f aca="false">IFERROR(INDEX(設定!$D$61:$D$106,MATCH(B34,設定!$B$61:$B$106,0)),"Y")</f>
        <v>Y</v>
      </c>
      <c r="CI34" s="34" t="str">
        <f aca="false">IFERROR(INDEX(設定!$D$20:$D$34,MATCH(A34,設定!$A$20:$A$34,0))&amp;"","")</f>
        <v/>
      </c>
    </row>
    <row r="35" customFormat="false" ht="15" hidden="true" customHeight="false" outlineLevel="0" collapsed="false">
      <c r="A35" s="22" t="s">
        <v>157</v>
      </c>
      <c r="B35" s="23" t="s">
        <v>189</v>
      </c>
      <c r="C35" s="10" t="str">
        <f aca="false">IF(G35="","未受領",IF(G35="なし","報告なし",IF(AH35="○","起票済",IF(OR(AG35="○",F35="一致",F35="入金不要"),"入金確認済","受領済"))))</f>
        <v>入金確認済</v>
      </c>
      <c r="D35" s="10" t="str">
        <f aca="false">IF(OR(G35="",G35="なし"),"―",IF(CH35="N","対象外",IF(AND(I35="",J35="",K35=""),"標報未入力",IF(CD35&gt;=設定!$B$4,"要確認","問題なし"))))</f>
        <v>標報未入力</v>
      </c>
      <c r="E35" s="24" t="str">
        <f aca="false">IF(OR(G35="",G35="なし",CE35="",CF35=0),"―",IF(CF35=CE35,"前月同額",IF(CE35=0,"―",IF(ABS(CF35/CE35-1)&gt;=設定!$B$5,"変動大 "&amp;TEXT(CF35/CE35-1,"+0%;-0%"),"〇"))))</f>
        <v>―</v>
      </c>
      <c r="F35" s="10" t="str">
        <f aca="false">IF(OR(G35="",G35="なし"),"―",IF(CF35=0,"入金不要",IF(COUNT(Z35,AB35,AD35,AF35)=0,IF(AG35="○","手動確認","未入金"),IF(AND(N(Z35)=Y35,IF(AA35="",TRUE(),N(AB35)=AA35),IF(AC35="",TRUE(),N(AD35)=AC35),IF(AE35="",TRUE(),N(AF35)=AE35)),"一致","不一致"))))</f>
        <v>手動確認</v>
      </c>
      <c r="G35" s="25" t="s">
        <v>159</v>
      </c>
      <c r="H35" s="26"/>
      <c r="I35" s="27"/>
      <c r="J35" s="27"/>
      <c r="K35" s="27"/>
      <c r="L35" s="27" t="n">
        <v>148230</v>
      </c>
      <c r="M35" s="27" t="n">
        <v>12150</v>
      </c>
      <c r="N35" s="27" t="n">
        <v>148230</v>
      </c>
      <c r="O35" s="27" t="n">
        <v>12150</v>
      </c>
      <c r="P35" s="27" t="n">
        <v>140</v>
      </c>
      <c r="Q35" s="27" t="n">
        <v>87123</v>
      </c>
      <c r="R35" s="27" t="n">
        <v>87208</v>
      </c>
      <c r="S35" s="27" t="n">
        <v>10033</v>
      </c>
      <c r="T35" s="27" t="n">
        <v>10033</v>
      </c>
      <c r="U35" s="27" t="n">
        <v>1931</v>
      </c>
      <c r="V35" s="27" t="n">
        <v>1932</v>
      </c>
      <c r="W35" s="10" t="str">
        <f aca="false">IFERROR(INDEX(設定!$E$61:$E$106,MATCH(B35,設定!$B$61:$B$106,0)),"合算")</f>
        <v>合算</v>
      </c>
      <c r="X35" s="28"/>
      <c r="Y35" s="29" t="n">
        <f aca="false">IF(OR(G35="",G35="なし"),"",IF(W35="合算",CF35,IF(W35="掛金・負担金別",(AU35+AV35+AZ35+BB35+BD35),SUM(AU35:AY35))))</f>
        <v>519160</v>
      </c>
      <c r="Z35" s="27"/>
      <c r="AA35" s="29" t="str">
        <f aca="false">IF(OR(G35="",G35="なし"),"",IF(W35="掛金・負担金別",(AW35+AX35+AY35+BA35+BC35+BE35),IF(W35="経理区分別",AZ35+BA35,"")))</f>
        <v/>
      </c>
      <c r="AB35" s="27"/>
      <c r="AC35" s="29" t="str">
        <f aca="false">IF(OR(G35="",G35="なし"),"",IF(W35="経理区分別",BB35+BC35,""))</f>
        <v/>
      </c>
      <c r="AD35" s="27"/>
      <c r="AE35" s="29" t="str">
        <f aca="false">IF(OR(G35="",G35="なし"),"",IF(W35="経理区分別",BD35+BE35,""))</f>
        <v/>
      </c>
      <c r="AF35" s="27"/>
      <c r="AG35" s="26" t="s">
        <v>160</v>
      </c>
      <c r="AH35" s="26"/>
      <c r="AI35" s="30"/>
      <c r="AJ35" s="31"/>
      <c r="AK35" s="31"/>
      <c r="AL35" s="31"/>
      <c r="AM35" s="31"/>
      <c r="AN35" s="31"/>
      <c r="AO35" s="31"/>
      <c r="AP35" s="31"/>
      <c r="AQ35" s="31"/>
      <c r="AR35" s="31"/>
      <c r="AS35" s="31"/>
      <c r="AT35" s="31"/>
      <c r="AU35" s="31" t="n">
        <f aca="false">IF($G35="",AJ35,L35)</f>
        <v>148230</v>
      </c>
      <c r="AV35" s="31" t="n">
        <f aca="false">IF($G35="",AK35,M35)</f>
        <v>12150</v>
      </c>
      <c r="AW35" s="31" t="n">
        <f aca="false">IF($G35="",AL35,N35)</f>
        <v>148230</v>
      </c>
      <c r="AX35" s="31" t="n">
        <f aca="false">IF($G35="",AM35,O35)</f>
        <v>12150</v>
      </c>
      <c r="AY35" s="31" t="n">
        <f aca="false">IF($G35="",AN35,P35)</f>
        <v>140</v>
      </c>
      <c r="AZ35" s="31" t="n">
        <f aca="false">IF($G35="",AO35,Q35)</f>
        <v>87123</v>
      </c>
      <c r="BA35" s="31" t="n">
        <f aca="false">IF($G35="",AP35,R35)</f>
        <v>87208</v>
      </c>
      <c r="BB35" s="31" t="n">
        <f aca="false">IF($G35="",AQ35,S35)</f>
        <v>10033</v>
      </c>
      <c r="BC35" s="31" t="n">
        <f aca="false">IF($G35="",AR35,T35)</f>
        <v>10033</v>
      </c>
      <c r="BD35" s="31" t="n">
        <f aca="false">IF($G35="",AS35,U35)</f>
        <v>1931</v>
      </c>
      <c r="BE35" s="31" t="n">
        <f aca="false">IF($G35="",AT35,V35)</f>
        <v>1932</v>
      </c>
      <c r="BF35" s="31" t="n">
        <f aca="false">ROUNDDOWN(I35*設定!$B$10/1000,0)+ROUNDDOWN(I35*設定!$B$11/1000,0)</f>
        <v>0</v>
      </c>
      <c r="BG35" s="31" t="n">
        <f aca="false">ROUNDDOWN(I35*設定!$C$10/1000,0)+ROUNDDOWN(I35*設定!$C$11/1000,0)+ROUNDDOWN(I35*設定!$C$12/1000,0)</f>
        <v>0</v>
      </c>
      <c r="BH35" s="31" t="n">
        <f aca="false">ROUNDDOWN(J35*設定!$B$13/1000,0)</f>
        <v>0</v>
      </c>
      <c r="BI35" s="31" t="n">
        <f aca="false">ROUNDDOWN(J35*設定!$C$13/1000,0)</f>
        <v>0</v>
      </c>
      <c r="BJ35" s="31" t="n">
        <f aca="false">ROUNDDOWN(K35*設定!$B$14/1000,0)</f>
        <v>0</v>
      </c>
      <c r="BK35" s="31" t="n">
        <f aca="false">ROUNDDOWN(K35*設定!$C$14/1000,0)</f>
        <v>0</v>
      </c>
      <c r="BL35" s="31" t="n">
        <f aca="false">ROUNDDOWN(J35*設定!$B$15/1000,0)</f>
        <v>0</v>
      </c>
      <c r="BM35" s="31" t="n">
        <f aca="false">ROUNDDOWN(J35*設定!$C$15/1000,0)</f>
        <v>0</v>
      </c>
      <c r="BN35" s="31" t="n">
        <f aca="false">L35+M35</f>
        <v>160380</v>
      </c>
      <c r="BO35" s="31" t="n">
        <f aca="false">N35+O35+P35</f>
        <v>160520</v>
      </c>
      <c r="BP35" s="31" t="n">
        <f aca="false">Q35</f>
        <v>87123</v>
      </c>
      <c r="BQ35" s="31" t="n">
        <f aca="false">R35</f>
        <v>87208</v>
      </c>
      <c r="BR35" s="31" t="n">
        <f aca="false">S35</f>
        <v>10033</v>
      </c>
      <c r="BS35" s="31" t="n">
        <f aca="false">T35</f>
        <v>10033</v>
      </c>
      <c r="BT35" s="31" t="n">
        <f aca="false">U35</f>
        <v>1931</v>
      </c>
      <c r="BU35" s="31" t="n">
        <f aca="false">V35</f>
        <v>1932</v>
      </c>
      <c r="BV35" s="32" t="n">
        <f aca="false">IF(BF35=0,IF(BN35=0,0,1),(BN35-BF35)/BF35)</f>
        <v>1</v>
      </c>
      <c r="BW35" s="32" t="n">
        <f aca="false">IF(BG35=0,IF(BO35=0,0,1),(BO35-BG35)/BG35)</f>
        <v>1</v>
      </c>
      <c r="BX35" s="32" t="n">
        <f aca="false">IF(BH35=0,IF(BP35=0,0,1),(BP35-BH35)/BH35)</f>
        <v>1</v>
      </c>
      <c r="BY35" s="32" t="n">
        <f aca="false">IF(BI35=0,IF(BQ35=0,0,1),(BQ35-BI35)/BI35)</f>
        <v>1</v>
      </c>
      <c r="BZ35" s="32" t="n">
        <f aca="false">IF(BJ35=0,IF(BR35=0,0,1),(BR35-BJ35)/BJ35)</f>
        <v>1</v>
      </c>
      <c r="CA35" s="32" t="n">
        <f aca="false">IF(BK35=0,IF(BS35=0,0,1),(BS35-BK35)/BK35)</f>
        <v>1</v>
      </c>
      <c r="CB35" s="32" t="n">
        <f aca="false">IF(BL35=0,IF(BT35=0,0,1),(BT35-BL35)/BL35)</f>
        <v>1</v>
      </c>
      <c r="CC35" s="32" t="n">
        <f aca="false">IF(BM35=0,IF(BU35=0,0,1),(BU35-BM35)/BM35)</f>
        <v>1</v>
      </c>
      <c r="CD35" s="32" t="n">
        <f aca="false">MAX(MAX(BV35:CC35),-MIN(BV35:CC35))</f>
        <v>1</v>
      </c>
      <c r="CE35" s="31" t="str">
        <f aca="false">IF(CI35="","",SUMIFS($CF$7:$CF$696,$A$7:$A$696,CI35,$B$7:$B$696,B35))</f>
        <v/>
      </c>
      <c r="CF35" s="31" t="n">
        <f aca="false">SUM(AU35:BE35)</f>
        <v>519160</v>
      </c>
      <c r="CG35" s="33" t="str">
        <f aca="false">A35&amp;"|"&amp;B35</f>
        <v>2026-04 月例|県下水道公社</v>
      </c>
      <c r="CH35" s="34" t="str">
        <f aca="false">IFERROR(INDEX(設定!$D$61:$D$106,MATCH(B35,設定!$B$61:$B$106,0)),"Y")</f>
        <v>Y</v>
      </c>
      <c r="CI35" s="34" t="str">
        <f aca="false">IFERROR(INDEX(設定!$D$20:$D$34,MATCH(A35,設定!$A$20:$A$34,0))&amp;"","")</f>
        <v/>
      </c>
    </row>
    <row r="36" customFormat="false" ht="26.85" hidden="true" customHeight="false" outlineLevel="0" collapsed="false">
      <c r="A36" s="22" t="s">
        <v>157</v>
      </c>
      <c r="B36" s="35" t="s">
        <v>190</v>
      </c>
      <c r="C36" s="10" t="str">
        <f aca="false">IF(G36="","未受領",IF(G36="なし","報告なし",IF(AH36="○","起票済",IF(OR(AG36="○",F36="一致",F36="入金不要"),"入金確認済","受領済"))))</f>
        <v>入金確認済</v>
      </c>
      <c r="D36" s="10" t="str">
        <f aca="false">IF(OR(G36="",G36="なし"),"―",IF(CH36="N","対象外",IF(AND(I36="",J36="",K36=""),"標報未入力",IF(CD36&gt;=設定!$B$4,"要確認","問題なし"))))</f>
        <v>標報未入力</v>
      </c>
      <c r="E36" s="24" t="str">
        <f aca="false">IF(OR(G36="",G36="なし",CE36="",CF36=0),"―",IF(CF36=CE36,"前月同額",IF(CE36=0,"―",IF(ABS(CF36/CE36-1)&gt;=設定!$B$5,"変動大 "&amp;TEXT(CF36/CE36-1,"+0%;-0%"),"〇"))))</f>
        <v>―</v>
      </c>
      <c r="F36" s="10" t="str">
        <f aca="false">IF(OR(G36="",G36="なし"),"―",IF(CF36=0,"入金不要",IF(COUNT(Z36,AB36,AD36,AF36)=0,IF(AG36="○","手動確認","未入金"),IF(AND(N(Z36)=Y36,IF(AA36="",TRUE(),N(AB36)=AA36),IF(AC36="",TRUE(),N(AD36)=AC36),IF(AE36="",TRUE(),N(AF36)=AE36)),"一致","不一致"))))</f>
        <v>手動確認</v>
      </c>
      <c r="G36" s="25" t="s">
        <v>159</v>
      </c>
      <c r="H36" s="26"/>
      <c r="I36" s="27"/>
      <c r="J36" s="27"/>
      <c r="K36" s="27"/>
      <c r="L36" s="27"/>
      <c r="M36" s="27"/>
      <c r="N36" s="27" t="n">
        <v>455670</v>
      </c>
      <c r="O36" s="27" t="n">
        <v>37350</v>
      </c>
      <c r="P36" s="27" t="n">
        <v>432</v>
      </c>
      <c r="Q36" s="27"/>
      <c r="R36" s="27" t="n">
        <v>263702</v>
      </c>
      <c r="S36" s="27"/>
      <c r="T36" s="27" t="n">
        <v>21093</v>
      </c>
      <c r="U36" s="27"/>
      <c r="V36" s="27" t="n">
        <v>5842</v>
      </c>
      <c r="W36" s="10" t="str">
        <f aca="false">IFERROR(INDEX(設定!$E$61:$E$106,MATCH(B36,設定!$B$61:$B$106,0)),"合算")</f>
        <v>合算</v>
      </c>
      <c r="X36" s="28"/>
      <c r="Y36" s="29" t="n">
        <f aca="false">IF(OR(G36="",G36="なし"),"",IF(W36="合算",CF36,IF(W36="掛金・負担金別",(AU36+AV36+AZ36+BB36+BD36),SUM(AU36:AY36))))</f>
        <v>784089</v>
      </c>
      <c r="Z36" s="27"/>
      <c r="AA36" s="29" t="str">
        <f aca="false">IF(OR(G36="",G36="なし"),"",IF(W36="掛金・負担金別",(AW36+AX36+AY36+BA36+BC36+BE36),IF(W36="経理区分別",AZ36+BA36,"")))</f>
        <v/>
      </c>
      <c r="AB36" s="27"/>
      <c r="AC36" s="29" t="str">
        <f aca="false">IF(OR(G36="",G36="なし"),"",IF(W36="経理区分別",BB36+BC36,""))</f>
        <v/>
      </c>
      <c r="AD36" s="27"/>
      <c r="AE36" s="29" t="str">
        <f aca="false">IF(OR(G36="",G36="なし"),"",IF(W36="経理区分別",BD36+BE36,""))</f>
        <v/>
      </c>
      <c r="AF36" s="27"/>
      <c r="AG36" s="26" t="s">
        <v>160</v>
      </c>
      <c r="AH36" s="26"/>
      <c r="AI36" s="30"/>
      <c r="AJ36" s="31"/>
      <c r="AK36" s="31"/>
      <c r="AL36" s="31"/>
      <c r="AM36" s="31"/>
      <c r="AN36" s="31"/>
      <c r="AO36" s="31"/>
      <c r="AP36" s="31"/>
      <c r="AQ36" s="31"/>
      <c r="AR36" s="31"/>
      <c r="AS36" s="31"/>
      <c r="AT36" s="31"/>
      <c r="AU36" s="31" t="n">
        <f aca="false">IF($G36="",AJ36,L36)</f>
        <v>0</v>
      </c>
      <c r="AV36" s="31" t="n">
        <f aca="false">IF($G36="",AK36,M36)</f>
        <v>0</v>
      </c>
      <c r="AW36" s="31" t="n">
        <f aca="false">IF($G36="",AL36,N36)</f>
        <v>455670</v>
      </c>
      <c r="AX36" s="31" t="n">
        <f aca="false">IF($G36="",AM36,O36)</f>
        <v>37350</v>
      </c>
      <c r="AY36" s="31" t="n">
        <f aca="false">IF($G36="",AN36,P36)</f>
        <v>432</v>
      </c>
      <c r="AZ36" s="31" t="n">
        <f aca="false">IF($G36="",AO36,Q36)</f>
        <v>0</v>
      </c>
      <c r="BA36" s="31" t="n">
        <f aca="false">IF($G36="",AP36,R36)</f>
        <v>263702</v>
      </c>
      <c r="BB36" s="31" t="n">
        <f aca="false">IF($G36="",AQ36,S36)</f>
        <v>0</v>
      </c>
      <c r="BC36" s="31" t="n">
        <f aca="false">IF($G36="",AR36,T36)</f>
        <v>21093</v>
      </c>
      <c r="BD36" s="31" t="n">
        <f aca="false">IF($G36="",AS36,U36)</f>
        <v>0</v>
      </c>
      <c r="BE36" s="31" t="n">
        <f aca="false">IF($G36="",AT36,V36)</f>
        <v>5842</v>
      </c>
      <c r="BF36" s="31" t="n">
        <f aca="false">ROUNDDOWN(I36*設定!$B$10/1000,0)+ROUNDDOWN(I36*設定!$B$11/1000,0)</f>
        <v>0</v>
      </c>
      <c r="BG36" s="31" t="n">
        <f aca="false">ROUNDDOWN(I36*設定!$C$10/1000,0)+ROUNDDOWN(I36*設定!$C$11/1000,0)+ROUNDDOWN(I36*設定!$C$12/1000,0)</f>
        <v>0</v>
      </c>
      <c r="BH36" s="31" t="n">
        <f aca="false">ROUNDDOWN(J36*設定!$B$13/1000,0)</f>
        <v>0</v>
      </c>
      <c r="BI36" s="31" t="n">
        <f aca="false">ROUNDDOWN(J36*設定!$C$13/1000,0)</f>
        <v>0</v>
      </c>
      <c r="BJ36" s="31" t="n">
        <f aca="false">ROUNDDOWN(K36*設定!$B$14/1000,0)</f>
        <v>0</v>
      </c>
      <c r="BK36" s="31" t="n">
        <f aca="false">ROUNDDOWN(K36*設定!$C$14/1000,0)</f>
        <v>0</v>
      </c>
      <c r="BL36" s="31" t="n">
        <f aca="false">ROUNDDOWN(J36*設定!$B$15/1000,0)</f>
        <v>0</v>
      </c>
      <c r="BM36" s="31" t="n">
        <f aca="false">ROUNDDOWN(J36*設定!$C$15/1000,0)</f>
        <v>0</v>
      </c>
      <c r="BN36" s="31" t="n">
        <f aca="false">L36+M36</f>
        <v>0</v>
      </c>
      <c r="BO36" s="31" t="n">
        <f aca="false">N36+O36+P36</f>
        <v>493452</v>
      </c>
      <c r="BP36" s="31" t="n">
        <f aca="false">Q36</f>
        <v>0</v>
      </c>
      <c r="BQ36" s="31" t="n">
        <f aca="false">R36</f>
        <v>263702</v>
      </c>
      <c r="BR36" s="31" t="n">
        <f aca="false">S36</f>
        <v>0</v>
      </c>
      <c r="BS36" s="31" t="n">
        <f aca="false">T36</f>
        <v>21093</v>
      </c>
      <c r="BT36" s="31" t="n">
        <f aca="false">U36</f>
        <v>0</v>
      </c>
      <c r="BU36" s="31" t="n">
        <f aca="false">V36</f>
        <v>5842</v>
      </c>
      <c r="BV36" s="32" t="n">
        <f aca="false">IF(BF36=0,IF(BN36=0,0,1),(BN36-BF36)/BF36)</f>
        <v>0</v>
      </c>
      <c r="BW36" s="32" t="n">
        <f aca="false">IF(BG36=0,IF(BO36=0,0,1),(BO36-BG36)/BG36)</f>
        <v>1</v>
      </c>
      <c r="BX36" s="32" t="n">
        <f aca="false">IF(BH36=0,IF(BP36=0,0,1),(BP36-BH36)/BH36)</f>
        <v>0</v>
      </c>
      <c r="BY36" s="32" t="n">
        <f aca="false">IF(BI36=0,IF(BQ36=0,0,1),(BQ36-BI36)/BI36)</f>
        <v>1</v>
      </c>
      <c r="BZ36" s="32" t="n">
        <f aca="false">IF(BJ36=0,IF(BR36=0,0,1),(BR36-BJ36)/BJ36)</f>
        <v>0</v>
      </c>
      <c r="CA36" s="32" t="n">
        <f aca="false">IF(BK36=0,IF(BS36=0,0,1),(BS36-BK36)/BK36)</f>
        <v>1</v>
      </c>
      <c r="CB36" s="32" t="n">
        <f aca="false">IF(BL36=0,IF(BT36=0,0,1),(BT36-BL36)/BL36)</f>
        <v>0</v>
      </c>
      <c r="CC36" s="32" t="n">
        <f aca="false">IF(BM36=0,IF(BU36=0,0,1),(BU36-BM36)/BM36)</f>
        <v>1</v>
      </c>
      <c r="CD36" s="32" t="n">
        <f aca="false">MAX(MAX(BV36:CC36),-MIN(BV36:CC36))</f>
        <v>1</v>
      </c>
      <c r="CE36" s="31" t="str">
        <f aca="false">IF(CI36="","",SUMIFS($CF$7:$CF$696,$A$7:$A$696,CI36,$B$7:$B$696,B36))</f>
        <v/>
      </c>
      <c r="CF36" s="31" t="n">
        <f aca="false">SUM(AU36:BE36)</f>
        <v>784089</v>
      </c>
      <c r="CG36" s="36" t="str">
        <f aca="false">A36&amp;"|"&amp;B36</f>
        <v>2026-04 月例|バス協調・共創
プラットフォーム</v>
      </c>
      <c r="CH36" s="34" t="str">
        <f aca="false">IFERROR(INDEX(設定!$D$61:$D$106,MATCH(B36,設定!$B$61:$B$106,0)),"Y")</f>
        <v>Y</v>
      </c>
      <c r="CI36" s="34" t="str">
        <f aca="false">IFERROR(INDEX(設定!$D$20:$D$34,MATCH(A36,設定!$A$20:$A$34,0))&amp;"","")</f>
        <v/>
      </c>
    </row>
    <row r="37" customFormat="false" ht="15" hidden="true" customHeight="false" outlineLevel="0" collapsed="false">
      <c r="A37" s="22" t="s">
        <v>157</v>
      </c>
      <c r="B37" s="23" t="s">
        <v>191</v>
      </c>
      <c r="C37" s="10" t="str">
        <f aca="false">IF(G37="","未受領",IF(G37="なし","報告なし",IF(AH37="○","起票済",IF(OR(AG37="○",F37="一致",F37="入金不要"),"入金確認済","受領済"))))</f>
        <v>入金確認済</v>
      </c>
      <c r="D37" s="10" t="str">
        <f aca="false">IF(OR(G37="",G37="なし"),"―",IF(CH37="N","対象外",IF(AND(I37="",J37="",K37=""),"標報未入力",IF(CD37&gt;=設定!$B$4,"要確認","問題なし"))))</f>
        <v>標報未入力</v>
      </c>
      <c r="E37" s="24" t="str">
        <f aca="false">IF(OR(G37="",G37="なし",CE37="",CF37=0),"―",IF(CF37=CE37,"前月同額",IF(CE37=0,"―",IF(ABS(CF37/CE37-1)&gt;=設定!$B$5,"変動大 "&amp;TEXT(CF37/CE37-1,"+0%;-0%"),"〇"))))</f>
        <v>―</v>
      </c>
      <c r="F37" s="10" t="str">
        <f aca="false">IF(OR(G37="",G37="なし"),"―",IF(CF37=0,"入金不要",IF(COUNT(Z37,AB37,AD37,AF37)=0,IF(AG37="○","手動確認","未入金"),IF(AND(N(Z37)=Y37,IF(AA37="",TRUE(),N(AB37)=AA37),IF(AC37="",TRUE(),N(AD37)=AC37),IF(AE37="",TRUE(),N(AF37)=AE37)),"一致","不一致"))))</f>
        <v>手動確認</v>
      </c>
      <c r="G37" s="25" t="s">
        <v>159</v>
      </c>
      <c r="H37" s="26"/>
      <c r="I37" s="27"/>
      <c r="J37" s="27"/>
      <c r="K37" s="27"/>
      <c r="L37" s="27" t="n">
        <v>56730</v>
      </c>
      <c r="M37" s="27" t="n">
        <v>4650</v>
      </c>
      <c r="N37" s="27" t="n">
        <v>56730</v>
      </c>
      <c r="O37" s="27" t="n">
        <v>4650</v>
      </c>
      <c r="P37" s="27" t="n">
        <v>53</v>
      </c>
      <c r="Q37" s="27" t="n">
        <v>32153</v>
      </c>
      <c r="R37" s="27" t="n">
        <v>32184</v>
      </c>
      <c r="S37" s="27" t="n">
        <v>4898</v>
      </c>
      <c r="T37" s="27" t="n">
        <v>4898</v>
      </c>
      <c r="U37" s="27" t="n">
        <v>713</v>
      </c>
      <c r="V37" s="27" t="n">
        <v>713</v>
      </c>
      <c r="W37" s="10" t="str">
        <f aca="false">IFERROR(INDEX(設定!$E$61:$E$106,MATCH(B37,設定!$B$61:$B$106,0)),"合算")</f>
        <v>合算</v>
      </c>
      <c r="X37" s="28"/>
      <c r="Y37" s="29" t="n">
        <f aca="false">IF(OR(G37="",G37="なし"),"",IF(W37="合算",CF37,IF(W37="掛金・負担金別",(AU37+AV37+AZ37+BB37+BD37),SUM(AU37:AY37))))</f>
        <v>198372</v>
      </c>
      <c r="Z37" s="27"/>
      <c r="AA37" s="29" t="str">
        <f aca="false">IF(OR(G37="",G37="なし"),"",IF(W37="掛金・負担金別",(AW37+AX37+AY37+BA37+BC37+BE37),IF(W37="経理区分別",AZ37+BA37,"")))</f>
        <v/>
      </c>
      <c r="AB37" s="27"/>
      <c r="AC37" s="29" t="str">
        <f aca="false">IF(OR(G37="",G37="なし"),"",IF(W37="経理区分別",BB37+BC37,""))</f>
        <v/>
      </c>
      <c r="AD37" s="27"/>
      <c r="AE37" s="29" t="str">
        <f aca="false">IF(OR(G37="",G37="なし"),"",IF(W37="経理区分別",BD37+BE37,""))</f>
        <v/>
      </c>
      <c r="AF37" s="27"/>
      <c r="AG37" s="26" t="s">
        <v>160</v>
      </c>
      <c r="AH37" s="26"/>
      <c r="AI37" s="30"/>
      <c r="AJ37" s="31"/>
      <c r="AK37" s="31"/>
      <c r="AL37" s="31"/>
      <c r="AM37" s="31"/>
      <c r="AN37" s="31"/>
      <c r="AO37" s="31"/>
      <c r="AP37" s="31"/>
      <c r="AQ37" s="31"/>
      <c r="AR37" s="31"/>
      <c r="AS37" s="31"/>
      <c r="AT37" s="31"/>
      <c r="AU37" s="31" t="n">
        <f aca="false">IF($G37="",AJ37,L37)</f>
        <v>56730</v>
      </c>
      <c r="AV37" s="31" t="n">
        <f aca="false">IF($G37="",AK37,M37)</f>
        <v>4650</v>
      </c>
      <c r="AW37" s="31" t="n">
        <f aca="false">IF($G37="",AL37,N37)</f>
        <v>56730</v>
      </c>
      <c r="AX37" s="31" t="n">
        <f aca="false">IF($G37="",AM37,O37)</f>
        <v>4650</v>
      </c>
      <c r="AY37" s="31" t="n">
        <f aca="false">IF($G37="",AN37,P37)</f>
        <v>53</v>
      </c>
      <c r="AZ37" s="31" t="n">
        <f aca="false">IF($G37="",AO37,Q37)</f>
        <v>32153</v>
      </c>
      <c r="BA37" s="31" t="n">
        <f aca="false">IF($G37="",AP37,R37)</f>
        <v>32184</v>
      </c>
      <c r="BB37" s="31" t="n">
        <f aca="false">IF($G37="",AQ37,S37)</f>
        <v>4898</v>
      </c>
      <c r="BC37" s="31" t="n">
        <f aca="false">IF($G37="",AR37,T37)</f>
        <v>4898</v>
      </c>
      <c r="BD37" s="31" t="n">
        <f aca="false">IF($G37="",AS37,U37)</f>
        <v>713</v>
      </c>
      <c r="BE37" s="31" t="n">
        <f aca="false">IF($G37="",AT37,V37)</f>
        <v>713</v>
      </c>
      <c r="BF37" s="31" t="n">
        <f aca="false">ROUNDDOWN(I37*設定!$B$10/1000,0)+ROUNDDOWN(I37*設定!$B$11/1000,0)</f>
        <v>0</v>
      </c>
      <c r="BG37" s="31" t="n">
        <f aca="false">ROUNDDOWN(I37*設定!$C$10/1000,0)+ROUNDDOWN(I37*設定!$C$11/1000,0)+ROUNDDOWN(I37*設定!$C$12/1000,0)</f>
        <v>0</v>
      </c>
      <c r="BH37" s="31" t="n">
        <f aca="false">ROUNDDOWN(J37*設定!$B$13/1000,0)</f>
        <v>0</v>
      </c>
      <c r="BI37" s="31" t="n">
        <f aca="false">ROUNDDOWN(J37*設定!$C$13/1000,0)</f>
        <v>0</v>
      </c>
      <c r="BJ37" s="31" t="n">
        <f aca="false">ROUNDDOWN(K37*設定!$B$14/1000,0)</f>
        <v>0</v>
      </c>
      <c r="BK37" s="31" t="n">
        <f aca="false">ROUNDDOWN(K37*設定!$C$14/1000,0)</f>
        <v>0</v>
      </c>
      <c r="BL37" s="31" t="n">
        <f aca="false">ROUNDDOWN(J37*設定!$B$15/1000,0)</f>
        <v>0</v>
      </c>
      <c r="BM37" s="31" t="n">
        <f aca="false">ROUNDDOWN(J37*設定!$C$15/1000,0)</f>
        <v>0</v>
      </c>
      <c r="BN37" s="31" t="n">
        <f aca="false">L37+M37</f>
        <v>61380</v>
      </c>
      <c r="BO37" s="31" t="n">
        <f aca="false">N37+O37+P37</f>
        <v>61433</v>
      </c>
      <c r="BP37" s="31" t="n">
        <f aca="false">Q37</f>
        <v>32153</v>
      </c>
      <c r="BQ37" s="31" t="n">
        <f aca="false">R37</f>
        <v>32184</v>
      </c>
      <c r="BR37" s="31" t="n">
        <f aca="false">S37</f>
        <v>4898</v>
      </c>
      <c r="BS37" s="31" t="n">
        <f aca="false">T37</f>
        <v>4898</v>
      </c>
      <c r="BT37" s="31" t="n">
        <f aca="false">U37</f>
        <v>713</v>
      </c>
      <c r="BU37" s="31" t="n">
        <f aca="false">V37</f>
        <v>713</v>
      </c>
      <c r="BV37" s="32" t="n">
        <f aca="false">IF(BF37=0,IF(BN37=0,0,1),(BN37-BF37)/BF37)</f>
        <v>1</v>
      </c>
      <c r="BW37" s="32" t="n">
        <f aca="false">IF(BG37=0,IF(BO37=0,0,1),(BO37-BG37)/BG37)</f>
        <v>1</v>
      </c>
      <c r="BX37" s="32" t="n">
        <f aca="false">IF(BH37=0,IF(BP37=0,0,1),(BP37-BH37)/BH37)</f>
        <v>1</v>
      </c>
      <c r="BY37" s="32" t="n">
        <f aca="false">IF(BI37=0,IF(BQ37=0,0,1),(BQ37-BI37)/BI37)</f>
        <v>1</v>
      </c>
      <c r="BZ37" s="32" t="n">
        <f aca="false">IF(BJ37=0,IF(BR37=0,0,1),(BR37-BJ37)/BJ37)</f>
        <v>1</v>
      </c>
      <c r="CA37" s="32" t="n">
        <f aca="false">IF(BK37=0,IF(BS37=0,0,1),(BS37-BK37)/BK37)</f>
        <v>1</v>
      </c>
      <c r="CB37" s="32" t="n">
        <f aca="false">IF(BL37=0,IF(BT37=0,0,1),(BT37-BL37)/BL37)</f>
        <v>1</v>
      </c>
      <c r="CC37" s="32" t="n">
        <f aca="false">IF(BM37=0,IF(BU37=0,0,1),(BU37-BM37)/BM37)</f>
        <v>1</v>
      </c>
      <c r="CD37" s="32" t="n">
        <f aca="false">MAX(MAX(BV37:CC37),-MIN(BV37:CC37))</f>
        <v>1</v>
      </c>
      <c r="CE37" s="31" t="str">
        <f aca="false">IF(CI37="","",SUMIFS($CF$7:$CF$696,$A$7:$A$696,CI37,$B$7:$B$696,B37))</f>
        <v/>
      </c>
      <c r="CF37" s="31" t="n">
        <f aca="false">SUM(AU37:BE37)</f>
        <v>198372</v>
      </c>
      <c r="CG37" s="33" t="str">
        <f aca="false">A37&amp;"|"&amp;B37</f>
        <v>2026-04 月例|広島県市長会</v>
      </c>
      <c r="CH37" s="34" t="str">
        <f aca="false">IFERROR(INDEX(設定!$D$61:$D$106,MATCH(B37,設定!$B$61:$B$106,0)),"Y")</f>
        <v>Y</v>
      </c>
      <c r="CI37" s="34" t="str">
        <f aca="false">IFERROR(INDEX(設定!$D$20:$D$34,MATCH(A37,設定!$A$20:$A$34,0))&amp;"","")</f>
        <v/>
      </c>
    </row>
    <row r="38" customFormat="false" ht="15" hidden="true" customHeight="false" outlineLevel="0" collapsed="false">
      <c r="A38" s="22" t="s">
        <v>157</v>
      </c>
      <c r="B38" s="23" t="s">
        <v>192</v>
      </c>
      <c r="C38" s="10" t="str">
        <f aca="false">IF(G38="","未受領",IF(G38="なし","報告なし",IF(AH38="○","起票済",IF(OR(AG38="○",F38="一致",F38="入金不要"),"入金確認済","受領済"))))</f>
        <v>入金確認済</v>
      </c>
      <c r="D38" s="10" t="str">
        <f aca="false">IF(OR(G38="",G38="なし"),"―",IF(CH38="N","対象外",IF(AND(I38="",J38="",K38=""),"標報未入力",IF(CD38&gt;=設定!$B$4,"要確認","問題なし"))))</f>
        <v>標報未入力</v>
      </c>
      <c r="E38" s="24" t="str">
        <f aca="false">IF(OR(G38="",G38="なし",CE38="",CF38=0),"―",IF(CF38=CE38,"前月同額",IF(CE38=0,"―",IF(ABS(CF38/CE38-1)&gt;=設定!$B$5,"変動大 "&amp;TEXT(CF38/CE38-1,"+0%;-0%"),"〇"))))</f>
        <v>―</v>
      </c>
      <c r="F38" s="10" t="str">
        <f aca="false">IF(OR(G38="",G38="なし"),"―",IF(CF38=0,"入金不要",IF(COUNT(Z38,AB38,AD38,AF38)=0,IF(AG38="○","手動確認","未入金"),IF(AND(N(Z38)=Y38,IF(AA38="",TRUE(),N(AB38)=AA38),IF(AC38="",TRUE(),N(AD38)=AC38),IF(AE38="",TRUE(),N(AF38)=AE38)),"一致","不一致"))))</f>
        <v>手動確認</v>
      </c>
      <c r="G38" s="25" t="s">
        <v>159</v>
      </c>
      <c r="H38" s="26"/>
      <c r="I38" s="27"/>
      <c r="J38" s="27"/>
      <c r="K38" s="27"/>
      <c r="L38" s="27" t="n">
        <v>59475</v>
      </c>
      <c r="M38" s="27" t="n">
        <v>4875</v>
      </c>
      <c r="N38" s="27" t="n">
        <v>59475</v>
      </c>
      <c r="O38" s="27" t="n">
        <v>4875</v>
      </c>
      <c r="P38" s="27" t="n">
        <v>56</v>
      </c>
      <c r="Q38" s="27" t="n">
        <v>38895</v>
      </c>
      <c r="R38" s="27" t="n">
        <v>38932</v>
      </c>
      <c r="S38" s="27" t="n">
        <v>5925</v>
      </c>
      <c r="T38" s="27" t="n">
        <v>5925</v>
      </c>
      <c r="U38" s="27" t="n">
        <v>862</v>
      </c>
      <c r="V38" s="27" t="n">
        <v>862</v>
      </c>
      <c r="W38" s="10" t="str">
        <f aca="false">IFERROR(INDEX(設定!$E$61:$E$106,MATCH(B38,設定!$B$61:$B$106,0)),"合算")</f>
        <v>合算</v>
      </c>
      <c r="X38" s="28"/>
      <c r="Y38" s="29" t="n">
        <f aca="false">IF(OR(G38="",G38="なし"),"",IF(W38="合算",CF38,IF(W38="掛金・負担金別",(AU38+AV38+AZ38+BB38+BD38),SUM(AU38:AY38))))</f>
        <v>220157</v>
      </c>
      <c r="Z38" s="27"/>
      <c r="AA38" s="29" t="str">
        <f aca="false">IF(OR(G38="",G38="なし"),"",IF(W38="掛金・負担金別",(AW38+AX38+AY38+BA38+BC38+BE38),IF(W38="経理区分別",AZ38+BA38,"")))</f>
        <v/>
      </c>
      <c r="AB38" s="27"/>
      <c r="AC38" s="29" t="str">
        <f aca="false">IF(OR(G38="",G38="なし"),"",IF(W38="経理区分別",BB38+BC38,""))</f>
        <v/>
      </c>
      <c r="AD38" s="27"/>
      <c r="AE38" s="29" t="str">
        <f aca="false">IF(OR(G38="",G38="なし"),"",IF(W38="経理区分別",BD38+BE38,""))</f>
        <v/>
      </c>
      <c r="AF38" s="27"/>
      <c r="AG38" s="26" t="s">
        <v>160</v>
      </c>
      <c r="AH38" s="26"/>
      <c r="AI38" s="30"/>
      <c r="AJ38" s="31"/>
      <c r="AK38" s="31"/>
      <c r="AL38" s="31"/>
      <c r="AM38" s="31"/>
      <c r="AN38" s="31"/>
      <c r="AO38" s="31"/>
      <c r="AP38" s="31"/>
      <c r="AQ38" s="31"/>
      <c r="AR38" s="31"/>
      <c r="AS38" s="31"/>
      <c r="AT38" s="31"/>
      <c r="AU38" s="31" t="n">
        <f aca="false">IF($G38="",AJ38,L38)</f>
        <v>59475</v>
      </c>
      <c r="AV38" s="31" t="n">
        <f aca="false">IF($G38="",AK38,M38)</f>
        <v>4875</v>
      </c>
      <c r="AW38" s="31" t="n">
        <f aca="false">IF($G38="",AL38,N38)</f>
        <v>59475</v>
      </c>
      <c r="AX38" s="31" t="n">
        <f aca="false">IF($G38="",AM38,O38)</f>
        <v>4875</v>
      </c>
      <c r="AY38" s="31" t="n">
        <f aca="false">IF($G38="",AN38,P38)</f>
        <v>56</v>
      </c>
      <c r="AZ38" s="31" t="n">
        <f aca="false">IF($G38="",AO38,Q38)</f>
        <v>38895</v>
      </c>
      <c r="BA38" s="31" t="n">
        <f aca="false">IF($G38="",AP38,R38)</f>
        <v>38932</v>
      </c>
      <c r="BB38" s="31" t="n">
        <f aca="false">IF($G38="",AQ38,S38)</f>
        <v>5925</v>
      </c>
      <c r="BC38" s="31" t="n">
        <f aca="false">IF($G38="",AR38,T38)</f>
        <v>5925</v>
      </c>
      <c r="BD38" s="31" t="n">
        <f aca="false">IF($G38="",AS38,U38)</f>
        <v>862</v>
      </c>
      <c r="BE38" s="31" t="n">
        <f aca="false">IF($G38="",AT38,V38)</f>
        <v>862</v>
      </c>
      <c r="BF38" s="31" t="n">
        <f aca="false">ROUNDDOWN(I38*設定!$B$10/1000,0)+ROUNDDOWN(I38*設定!$B$11/1000,0)</f>
        <v>0</v>
      </c>
      <c r="BG38" s="31" t="n">
        <f aca="false">ROUNDDOWN(I38*設定!$C$10/1000,0)+ROUNDDOWN(I38*設定!$C$11/1000,0)+ROUNDDOWN(I38*設定!$C$12/1000,0)</f>
        <v>0</v>
      </c>
      <c r="BH38" s="31" t="n">
        <f aca="false">ROUNDDOWN(J38*設定!$B$13/1000,0)</f>
        <v>0</v>
      </c>
      <c r="BI38" s="31" t="n">
        <f aca="false">ROUNDDOWN(J38*設定!$C$13/1000,0)</f>
        <v>0</v>
      </c>
      <c r="BJ38" s="31" t="n">
        <f aca="false">ROUNDDOWN(K38*設定!$B$14/1000,0)</f>
        <v>0</v>
      </c>
      <c r="BK38" s="31" t="n">
        <f aca="false">ROUNDDOWN(K38*設定!$C$14/1000,0)</f>
        <v>0</v>
      </c>
      <c r="BL38" s="31" t="n">
        <f aca="false">ROUNDDOWN(J38*設定!$B$15/1000,0)</f>
        <v>0</v>
      </c>
      <c r="BM38" s="31" t="n">
        <f aca="false">ROUNDDOWN(J38*設定!$C$15/1000,0)</f>
        <v>0</v>
      </c>
      <c r="BN38" s="31" t="n">
        <f aca="false">L38+M38</f>
        <v>64350</v>
      </c>
      <c r="BO38" s="31" t="n">
        <f aca="false">N38+O38+P38</f>
        <v>64406</v>
      </c>
      <c r="BP38" s="31" t="n">
        <f aca="false">Q38</f>
        <v>38895</v>
      </c>
      <c r="BQ38" s="31" t="n">
        <f aca="false">R38</f>
        <v>38932</v>
      </c>
      <c r="BR38" s="31" t="n">
        <f aca="false">S38</f>
        <v>5925</v>
      </c>
      <c r="BS38" s="31" t="n">
        <f aca="false">T38</f>
        <v>5925</v>
      </c>
      <c r="BT38" s="31" t="n">
        <f aca="false">U38</f>
        <v>862</v>
      </c>
      <c r="BU38" s="31" t="n">
        <f aca="false">V38</f>
        <v>862</v>
      </c>
      <c r="BV38" s="32" t="n">
        <f aca="false">IF(BF38=0,IF(BN38=0,0,1),(BN38-BF38)/BF38)</f>
        <v>1</v>
      </c>
      <c r="BW38" s="32" t="n">
        <f aca="false">IF(BG38=0,IF(BO38=0,0,1),(BO38-BG38)/BG38)</f>
        <v>1</v>
      </c>
      <c r="BX38" s="32" t="n">
        <f aca="false">IF(BH38=0,IF(BP38=0,0,1),(BP38-BH38)/BH38)</f>
        <v>1</v>
      </c>
      <c r="BY38" s="32" t="n">
        <f aca="false">IF(BI38=0,IF(BQ38=0,0,1),(BQ38-BI38)/BI38)</f>
        <v>1</v>
      </c>
      <c r="BZ38" s="32" t="n">
        <f aca="false">IF(BJ38=0,IF(BR38=0,0,1),(BR38-BJ38)/BJ38)</f>
        <v>1</v>
      </c>
      <c r="CA38" s="32" t="n">
        <f aca="false">IF(BK38=0,IF(BS38=0,0,1),(BS38-BK38)/BK38)</f>
        <v>1</v>
      </c>
      <c r="CB38" s="32" t="n">
        <f aca="false">IF(BL38=0,IF(BT38=0,0,1),(BT38-BL38)/BL38)</f>
        <v>1</v>
      </c>
      <c r="CC38" s="32" t="n">
        <f aca="false">IF(BM38=0,IF(BU38=0,0,1),(BU38-BM38)/BM38)</f>
        <v>1</v>
      </c>
      <c r="CD38" s="32" t="n">
        <f aca="false">MAX(MAX(BV38:CC38),-MIN(BV38:CC38))</f>
        <v>1</v>
      </c>
      <c r="CE38" s="31" t="str">
        <f aca="false">IF(CI38="","",SUMIFS($CF$7:$CF$696,$A$7:$A$696,CI38,$B$7:$B$696,B38))</f>
        <v/>
      </c>
      <c r="CF38" s="31" t="n">
        <f aca="false">SUM(AU38:BE38)</f>
        <v>220157</v>
      </c>
      <c r="CG38" s="33" t="str">
        <f aca="false">A38&amp;"|"&amp;B38</f>
        <v>2026-04 月例|全国市町村研修財団</v>
      </c>
      <c r="CH38" s="34" t="str">
        <f aca="false">IFERROR(INDEX(設定!$D$61:$D$106,MATCH(B38,設定!$B$61:$B$106,0)),"Y")</f>
        <v>Y</v>
      </c>
      <c r="CI38" s="34" t="str">
        <f aca="false">IFERROR(INDEX(設定!$D$20:$D$34,MATCH(A38,設定!$A$20:$A$34,0))&amp;"","")</f>
        <v/>
      </c>
    </row>
    <row r="39" customFormat="false" ht="15" hidden="true" customHeight="false" outlineLevel="0" collapsed="false">
      <c r="A39" s="22" t="s">
        <v>157</v>
      </c>
      <c r="B39" s="23" t="s">
        <v>193</v>
      </c>
      <c r="C39" s="10" t="str">
        <f aca="false">IF(G39="","未受領",IF(G39="なし","報告なし",IF(AH39="○","起票済",IF(OR(AG39="○",F39="一致",F39="入金不要"),"入金確認済","受領済"))))</f>
        <v>入金確認済</v>
      </c>
      <c r="D39" s="10" t="str">
        <f aca="false">IF(OR(G39="",G39="なし"),"―",IF(CH39="N","対象外",IF(AND(I39="",J39="",K39=""),"標報未入力",IF(CD39&gt;=設定!$B$4,"要確認","問題なし"))))</f>
        <v>標報未入力</v>
      </c>
      <c r="E39" s="24" t="str">
        <f aca="false">IF(OR(G39="",G39="なし",CE39="",CF39=0),"―",IF(CF39=CE39,"前月同額",IF(CE39=0,"―",IF(ABS(CF39/CE39-1)&gt;=設定!$B$5,"変動大 "&amp;TEXT(CF39/CE39-1,"+0%;-0%"),"〇"))))</f>
        <v>―</v>
      </c>
      <c r="F39" s="10" t="str">
        <f aca="false">IF(OR(G39="",G39="なし"),"―",IF(CF39=0,"入金不要",IF(COUNT(Z39,AB39,AD39,AF39)=0,IF(AG39="○","手動確認","未入金"),IF(AND(N(Z39)=Y39,IF(AA39="",TRUE(),N(AB39)=AA39),IF(AC39="",TRUE(),N(AD39)=AC39),IF(AE39="",TRUE(),N(AF39)=AE39)),"一致","不一致"))))</f>
        <v>手動確認</v>
      </c>
      <c r="G39" s="25" t="s">
        <v>159</v>
      </c>
      <c r="H39" s="26"/>
      <c r="I39" s="27"/>
      <c r="J39" s="27"/>
      <c r="K39" s="27"/>
      <c r="L39" s="27" t="n">
        <v>37515</v>
      </c>
      <c r="M39" s="27" t="n">
        <v>3075</v>
      </c>
      <c r="N39" s="27" t="n">
        <v>37515</v>
      </c>
      <c r="O39" s="27" t="n">
        <v>3075</v>
      </c>
      <c r="P39" s="27" t="n">
        <v>35</v>
      </c>
      <c r="Q39" s="27" t="n">
        <v>21262</v>
      </c>
      <c r="R39" s="27" t="n">
        <v>21283</v>
      </c>
      <c r="S39" s="27" t="n">
        <v>0</v>
      </c>
      <c r="T39" s="27" t="n">
        <v>0</v>
      </c>
      <c r="U39" s="27" t="n">
        <v>471</v>
      </c>
      <c r="V39" s="27" t="n">
        <v>471</v>
      </c>
      <c r="W39" s="10" t="str">
        <f aca="false">IFERROR(INDEX(設定!$E$61:$E$106,MATCH(B39,設定!$B$61:$B$106,0)),"合算")</f>
        <v>合算</v>
      </c>
      <c r="X39" s="28"/>
      <c r="Y39" s="29" t="n">
        <f aca="false">IF(OR(G39="",G39="なし"),"",IF(W39="合算",CF39,IF(W39="掛金・負担金別",(AU39+AV39+AZ39+BB39+BD39),SUM(AU39:AY39))))</f>
        <v>124702</v>
      </c>
      <c r="Z39" s="27"/>
      <c r="AA39" s="29" t="str">
        <f aca="false">IF(OR(G39="",G39="なし"),"",IF(W39="掛金・負担金別",(AW39+AX39+AY39+BA39+BC39+BE39),IF(W39="経理区分別",AZ39+BA39,"")))</f>
        <v/>
      </c>
      <c r="AB39" s="27"/>
      <c r="AC39" s="29" t="str">
        <f aca="false">IF(OR(G39="",G39="なし"),"",IF(W39="経理区分別",BB39+BC39,""))</f>
        <v/>
      </c>
      <c r="AD39" s="27"/>
      <c r="AE39" s="29" t="str">
        <f aca="false">IF(OR(G39="",G39="なし"),"",IF(W39="経理区分別",BD39+BE39,""))</f>
        <v/>
      </c>
      <c r="AF39" s="27"/>
      <c r="AG39" s="26" t="s">
        <v>160</v>
      </c>
      <c r="AH39" s="26"/>
      <c r="AI39" s="30"/>
      <c r="AJ39" s="31"/>
      <c r="AK39" s="31"/>
      <c r="AL39" s="31"/>
      <c r="AM39" s="31"/>
      <c r="AN39" s="31"/>
      <c r="AO39" s="31"/>
      <c r="AP39" s="31"/>
      <c r="AQ39" s="31"/>
      <c r="AR39" s="31"/>
      <c r="AS39" s="31"/>
      <c r="AT39" s="31"/>
      <c r="AU39" s="31" t="n">
        <f aca="false">IF($G39="",AJ39,L39)</f>
        <v>37515</v>
      </c>
      <c r="AV39" s="31" t="n">
        <f aca="false">IF($G39="",AK39,M39)</f>
        <v>3075</v>
      </c>
      <c r="AW39" s="31" t="n">
        <f aca="false">IF($G39="",AL39,N39)</f>
        <v>37515</v>
      </c>
      <c r="AX39" s="31" t="n">
        <f aca="false">IF($G39="",AM39,O39)</f>
        <v>3075</v>
      </c>
      <c r="AY39" s="31" t="n">
        <f aca="false">IF($G39="",AN39,P39)</f>
        <v>35</v>
      </c>
      <c r="AZ39" s="31" t="n">
        <f aca="false">IF($G39="",AO39,Q39)</f>
        <v>21262</v>
      </c>
      <c r="BA39" s="31" t="n">
        <f aca="false">IF($G39="",AP39,R39)</f>
        <v>21283</v>
      </c>
      <c r="BB39" s="31" t="n">
        <f aca="false">IF($G39="",AQ39,S39)</f>
        <v>0</v>
      </c>
      <c r="BC39" s="31" t="n">
        <f aca="false">IF($G39="",AR39,T39)</f>
        <v>0</v>
      </c>
      <c r="BD39" s="31" t="n">
        <f aca="false">IF($G39="",AS39,U39)</f>
        <v>471</v>
      </c>
      <c r="BE39" s="31" t="n">
        <f aca="false">IF($G39="",AT39,V39)</f>
        <v>471</v>
      </c>
      <c r="BF39" s="31" t="n">
        <f aca="false">ROUNDDOWN(I39*設定!$B$10/1000,0)+ROUNDDOWN(I39*設定!$B$11/1000,0)</f>
        <v>0</v>
      </c>
      <c r="BG39" s="31" t="n">
        <f aca="false">ROUNDDOWN(I39*設定!$C$10/1000,0)+ROUNDDOWN(I39*設定!$C$11/1000,0)+ROUNDDOWN(I39*設定!$C$12/1000,0)</f>
        <v>0</v>
      </c>
      <c r="BH39" s="31" t="n">
        <f aca="false">ROUNDDOWN(J39*設定!$B$13/1000,0)</f>
        <v>0</v>
      </c>
      <c r="BI39" s="31" t="n">
        <f aca="false">ROUNDDOWN(J39*設定!$C$13/1000,0)</f>
        <v>0</v>
      </c>
      <c r="BJ39" s="31" t="n">
        <f aca="false">ROUNDDOWN(K39*設定!$B$14/1000,0)</f>
        <v>0</v>
      </c>
      <c r="BK39" s="31" t="n">
        <f aca="false">ROUNDDOWN(K39*設定!$C$14/1000,0)</f>
        <v>0</v>
      </c>
      <c r="BL39" s="31" t="n">
        <f aca="false">ROUNDDOWN(J39*設定!$B$15/1000,0)</f>
        <v>0</v>
      </c>
      <c r="BM39" s="31" t="n">
        <f aca="false">ROUNDDOWN(J39*設定!$C$15/1000,0)</f>
        <v>0</v>
      </c>
      <c r="BN39" s="31" t="n">
        <f aca="false">L39+M39</f>
        <v>40590</v>
      </c>
      <c r="BO39" s="31" t="n">
        <f aca="false">N39+O39+P39</f>
        <v>40625</v>
      </c>
      <c r="BP39" s="31" t="n">
        <f aca="false">Q39</f>
        <v>21262</v>
      </c>
      <c r="BQ39" s="31" t="n">
        <f aca="false">R39</f>
        <v>21283</v>
      </c>
      <c r="BR39" s="31" t="n">
        <f aca="false">S39</f>
        <v>0</v>
      </c>
      <c r="BS39" s="31" t="n">
        <f aca="false">T39</f>
        <v>0</v>
      </c>
      <c r="BT39" s="31" t="n">
        <f aca="false">U39</f>
        <v>471</v>
      </c>
      <c r="BU39" s="31" t="n">
        <f aca="false">V39</f>
        <v>471</v>
      </c>
      <c r="BV39" s="32" t="n">
        <f aca="false">IF(BF39=0,IF(BN39=0,0,1),(BN39-BF39)/BF39)</f>
        <v>1</v>
      </c>
      <c r="BW39" s="32" t="n">
        <f aca="false">IF(BG39=0,IF(BO39=0,0,1),(BO39-BG39)/BG39)</f>
        <v>1</v>
      </c>
      <c r="BX39" s="32" t="n">
        <f aca="false">IF(BH39=0,IF(BP39=0,0,1),(BP39-BH39)/BH39)</f>
        <v>1</v>
      </c>
      <c r="BY39" s="32" t="n">
        <f aca="false">IF(BI39=0,IF(BQ39=0,0,1),(BQ39-BI39)/BI39)</f>
        <v>1</v>
      </c>
      <c r="BZ39" s="32" t="n">
        <f aca="false">IF(BJ39=0,IF(BR39=0,0,1),(BR39-BJ39)/BJ39)</f>
        <v>0</v>
      </c>
      <c r="CA39" s="32" t="n">
        <f aca="false">IF(BK39=0,IF(BS39=0,0,1),(BS39-BK39)/BK39)</f>
        <v>0</v>
      </c>
      <c r="CB39" s="32" t="n">
        <f aca="false">IF(BL39=0,IF(BT39=0,0,1),(BT39-BL39)/BL39)</f>
        <v>1</v>
      </c>
      <c r="CC39" s="32" t="n">
        <f aca="false">IF(BM39=0,IF(BU39=0,0,1),(BU39-BM39)/BM39)</f>
        <v>1</v>
      </c>
      <c r="CD39" s="32" t="n">
        <f aca="false">MAX(MAX(BV39:CC39),-MIN(BV39:CC39))</f>
        <v>1</v>
      </c>
      <c r="CE39" s="31" t="str">
        <f aca="false">IF(CI39="","",SUMIFS($CF$7:$CF$696,$A$7:$A$696,CI39,$B$7:$B$696,B39))</f>
        <v/>
      </c>
      <c r="CF39" s="31" t="n">
        <f aca="false">SUM(AU39:BE39)</f>
        <v>124702</v>
      </c>
      <c r="CG39" s="33" t="str">
        <f aca="false">A39&amp;"|"&amp;B39</f>
        <v>2026-04 月例|都市再生機構</v>
      </c>
      <c r="CH39" s="34" t="str">
        <f aca="false">IFERROR(INDEX(設定!$D$61:$D$106,MATCH(B39,設定!$B$61:$B$106,0)),"Y")</f>
        <v>Y</v>
      </c>
      <c r="CI39" s="34" t="str">
        <f aca="false">IFERROR(INDEX(設定!$D$20:$D$34,MATCH(A39,設定!$A$20:$A$34,0))&amp;"","")</f>
        <v/>
      </c>
    </row>
    <row r="40" customFormat="false" ht="15" hidden="true" customHeight="false" outlineLevel="0" collapsed="false">
      <c r="A40" s="22" t="s">
        <v>157</v>
      </c>
      <c r="B40" s="23" t="s">
        <v>194</v>
      </c>
      <c r="C40" s="10" t="str">
        <f aca="false">IF(G40="","未受領",IF(G40="なし","報告なし",IF(AH40="○","起票済",IF(OR(AG40="○",F40="一致",F40="入金不要"),"入金確認済","受領済"))))</f>
        <v>入金確認済</v>
      </c>
      <c r="D40" s="10" t="str">
        <f aca="false">IF(OR(G40="",G40="なし"),"―",IF(CH40="N","対象外",IF(AND(I40="",J40="",K40=""),"標報未入力",IF(CD40&gt;=設定!$B$4,"要確認","問題なし"))))</f>
        <v>標報未入力</v>
      </c>
      <c r="E40" s="24" t="str">
        <f aca="false">IF(OR(G40="",G40="なし",CE40="",CF40=0),"―",IF(CF40=CE40,"前月同額",IF(CE40=0,"―",IF(ABS(CF40/CE40-1)&gt;=設定!$B$5,"変動大 "&amp;TEXT(CF40/CE40-1,"+0%;-0%"),"〇"))))</f>
        <v>―</v>
      </c>
      <c r="F40" s="10" t="str">
        <f aca="false">IF(OR(G40="",G40="なし"),"―",IF(CF40=0,"入金不要",IF(COUNT(Z40,AB40,AD40,AF40)=0,IF(AG40="○","手動確認","未入金"),IF(AND(N(Z40)=Y40,IF(AA40="",TRUE(),N(AB40)=AA40),IF(AC40="",TRUE(),N(AD40)=AC40),IF(AE40="",TRUE(),N(AF40)=AE40)),"一致","不一致"))))</f>
        <v>手動確認</v>
      </c>
      <c r="G40" s="25" t="s">
        <v>159</v>
      </c>
      <c r="H40" s="26"/>
      <c r="I40" s="27"/>
      <c r="J40" s="27"/>
      <c r="K40" s="27"/>
      <c r="L40" s="27" t="n">
        <v>1201395</v>
      </c>
      <c r="M40" s="27" t="n">
        <v>98475</v>
      </c>
      <c r="N40" s="27" t="n">
        <v>1201395</v>
      </c>
      <c r="O40" s="27" t="n">
        <v>98475</v>
      </c>
      <c r="P40" s="27" t="n">
        <v>1208</v>
      </c>
      <c r="Q40" s="27" t="n">
        <v>690245</v>
      </c>
      <c r="R40" s="27" t="n">
        <v>690961</v>
      </c>
      <c r="S40" s="27" t="n">
        <v>79632</v>
      </c>
      <c r="T40" s="27" t="n">
        <v>79632</v>
      </c>
      <c r="U40" s="27" t="n">
        <v>15300</v>
      </c>
      <c r="V40" s="27" t="n">
        <v>15306</v>
      </c>
      <c r="W40" s="10" t="str">
        <f aca="false">IFERROR(INDEX(設定!$E$61:$E$106,MATCH(B40,設定!$B$61:$B$106,0)),"合算")</f>
        <v>合算</v>
      </c>
      <c r="X40" s="28"/>
      <c r="Y40" s="29" t="n">
        <f aca="false">IF(OR(G40="",G40="なし"),"",IF(W40="合算",CF40,IF(W40="掛金・負担金別",(AU40+AV40+AZ40+BB40+BD40),SUM(AU40:AY40))))</f>
        <v>4172024</v>
      </c>
      <c r="Z40" s="27"/>
      <c r="AA40" s="29" t="str">
        <f aca="false">IF(OR(G40="",G40="なし"),"",IF(W40="掛金・負担金別",(AW40+AX40+AY40+BA40+BC40+BE40),IF(W40="経理区分別",AZ40+BA40,"")))</f>
        <v/>
      </c>
      <c r="AB40" s="27"/>
      <c r="AC40" s="29" t="str">
        <f aca="false">IF(OR(G40="",G40="なし"),"",IF(W40="経理区分別",BB40+BC40,""))</f>
        <v/>
      </c>
      <c r="AD40" s="27"/>
      <c r="AE40" s="29" t="str">
        <f aca="false">IF(OR(G40="",G40="なし"),"",IF(W40="経理区分別",BD40+BE40,""))</f>
        <v/>
      </c>
      <c r="AF40" s="27"/>
      <c r="AG40" s="26" t="s">
        <v>160</v>
      </c>
      <c r="AH40" s="26"/>
      <c r="AI40" s="30"/>
      <c r="AJ40" s="31"/>
      <c r="AK40" s="31"/>
      <c r="AL40" s="31"/>
      <c r="AM40" s="31"/>
      <c r="AN40" s="31"/>
      <c r="AO40" s="31"/>
      <c r="AP40" s="31"/>
      <c r="AQ40" s="31"/>
      <c r="AR40" s="31"/>
      <c r="AS40" s="31"/>
      <c r="AT40" s="31"/>
      <c r="AU40" s="31" t="n">
        <f aca="false">IF($G40="",AJ40,L40)</f>
        <v>1201395</v>
      </c>
      <c r="AV40" s="31" t="n">
        <f aca="false">IF($G40="",AK40,M40)</f>
        <v>98475</v>
      </c>
      <c r="AW40" s="31" t="n">
        <f aca="false">IF($G40="",AL40,N40)</f>
        <v>1201395</v>
      </c>
      <c r="AX40" s="31" t="n">
        <f aca="false">IF($G40="",AM40,O40)</f>
        <v>98475</v>
      </c>
      <c r="AY40" s="31" t="n">
        <f aca="false">IF($G40="",AN40,P40)</f>
        <v>1208</v>
      </c>
      <c r="AZ40" s="31" t="n">
        <f aca="false">IF($G40="",AO40,Q40)</f>
        <v>690245</v>
      </c>
      <c r="BA40" s="31" t="n">
        <f aca="false">IF($G40="",AP40,R40)</f>
        <v>690961</v>
      </c>
      <c r="BB40" s="31" t="n">
        <f aca="false">IF($G40="",AQ40,S40)</f>
        <v>79632</v>
      </c>
      <c r="BC40" s="31" t="n">
        <f aca="false">IF($G40="",AR40,T40)</f>
        <v>79632</v>
      </c>
      <c r="BD40" s="31" t="n">
        <f aca="false">IF($G40="",AS40,U40)</f>
        <v>15300</v>
      </c>
      <c r="BE40" s="31" t="n">
        <f aca="false">IF($G40="",AT40,V40)</f>
        <v>15306</v>
      </c>
      <c r="BF40" s="31" t="n">
        <f aca="false">ROUNDDOWN(I40*設定!$B$10/1000,0)+ROUNDDOWN(I40*設定!$B$11/1000,0)</f>
        <v>0</v>
      </c>
      <c r="BG40" s="31" t="n">
        <f aca="false">ROUNDDOWN(I40*設定!$C$10/1000,0)+ROUNDDOWN(I40*設定!$C$11/1000,0)+ROUNDDOWN(I40*設定!$C$12/1000,0)</f>
        <v>0</v>
      </c>
      <c r="BH40" s="31" t="n">
        <f aca="false">ROUNDDOWN(J40*設定!$B$13/1000,0)</f>
        <v>0</v>
      </c>
      <c r="BI40" s="31" t="n">
        <f aca="false">ROUNDDOWN(J40*設定!$C$13/1000,0)</f>
        <v>0</v>
      </c>
      <c r="BJ40" s="31" t="n">
        <f aca="false">ROUNDDOWN(K40*設定!$B$14/1000,0)</f>
        <v>0</v>
      </c>
      <c r="BK40" s="31" t="n">
        <f aca="false">ROUNDDOWN(K40*設定!$C$14/1000,0)</f>
        <v>0</v>
      </c>
      <c r="BL40" s="31" t="n">
        <f aca="false">ROUNDDOWN(J40*設定!$B$15/1000,0)</f>
        <v>0</v>
      </c>
      <c r="BM40" s="31" t="n">
        <f aca="false">ROUNDDOWN(J40*設定!$C$15/1000,0)</f>
        <v>0</v>
      </c>
      <c r="BN40" s="31" t="n">
        <f aca="false">L40+M40</f>
        <v>1299870</v>
      </c>
      <c r="BO40" s="31" t="n">
        <f aca="false">N40+O40+P40</f>
        <v>1301078</v>
      </c>
      <c r="BP40" s="31" t="n">
        <f aca="false">Q40</f>
        <v>690245</v>
      </c>
      <c r="BQ40" s="31" t="n">
        <f aca="false">R40</f>
        <v>690961</v>
      </c>
      <c r="BR40" s="31" t="n">
        <f aca="false">S40</f>
        <v>79632</v>
      </c>
      <c r="BS40" s="31" t="n">
        <f aca="false">T40</f>
        <v>79632</v>
      </c>
      <c r="BT40" s="31" t="n">
        <f aca="false">U40</f>
        <v>15300</v>
      </c>
      <c r="BU40" s="31" t="n">
        <f aca="false">V40</f>
        <v>15306</v>
      </c>
      <c r="BV40" s="32" t="n">
        <f aca="false">IF(BF40=0,IF(BN40=0,0,1),(BN40-BF40)/BF40)</f>
        <v>1</v>
      </c>
      <c r="BW40" s="32" t="n">
        <f aca="false">IF(BG40=0,IF(BO40=0,0,1),(BO40-BG40)/BG40)</f>
        <v>1</v>
      </c>
      <c r="BX40" s="32" t="n">
        <f aca="false">IF(BH40=0,IF(BP40=0,0,1),(BP40-BH40)/BH40)</f>
        <v>1</v>
      </c>
      <c r="BY40" s="32" t="n">
        <f aca="false">IF(BI40=0,IF(BQ40=0,0,1),(BQ40-BI40)/BI40)</f>
        <v>1</v>
      </c>
      <c r="BZ40" s="32" t="n">
        <f aca="false">IF(BJ40=0,IF(BR40=0,0,1),(BR40-BJ40)/BJ40)</f>
        <v>1</v>
      </c>
      <c r="CA40" s="32" t="n">
        <f aca="false">IF(BK40=0,IF(BS40=0,0,1),(BS40-BK40)/BK40)</f>
        <v>1</v>
      </c>
      <c r="CB40" s="32" t="n">
        <f aca="false">IF(BL40=0,IF(BT40=0,0,1),(BT40-BL40)/BL40)</f>
        <v>1</v>
      </c>
      <c r="CC40" s="32" t="n">
        <f aca="false">IF(BM40=0,IF(BU40=0,0,1),(BU40-BM40)/BM40)</f>
        <v>1</v>
      </c>
      <c r="CD40" s="32" t="n">
        <f aca="false">MAX(MAX(BV40:CC40),-MIN(BV40:CC40))</f>
        <v>1</v>
      </c>
      <c r="CE40" s="31" t="str">
        <f aca="false">IF(CI40="","",SUMIFS($CF$7:$CF$696,$A$7:$A$696,CI40,$B$7:$B$696,B40))</f>
        <v/>
      </c>
      <c r="CF40" s="31" t="n">
        <f aca="false">SUM(AU40:BE40)</f>
        <v>4172024</v>
      </c>
      <c r="CG40" s="33" t="str">
        <f aca="false">A40&amp;"|"&amp;B40</f>
        <v>2026-04 月例|広島市立大学</v>
      </c>
      <c r="CH40" s="34" t="str">
        <f aca="false">IFERROR(INDEX(設定!$D$61:$D$106,MATCH(B40,設定!$B$61:$B$106,0)),"Y")</f>
        <v>Y</v>
      </c>
      <c r="CI40" s="34" t="str">
        <f aca="false">IFERROR(INDEX(設定!$D$20:$D$34,MATCH(A40,設定!$A$20:$A$34,0))&amp;"","")</f>
        <v/>
      </c>
    </row>
    <row r="41" customFormat="false" ht="15" hidden="true" customHeight="false" outlineLevel="0" collapsed="false">
      <c r="A41" s="22" t="s">
        <v>157</v>
      </c>
      <c r="B41" s="23" t="s">
        <v>195</v>
      </c>
      <c r="C41" s="10" t="str">
        <f aca="false">IF(G41="","未受領",IF(G41="なし","報告なし",IF(AH41="○","起票済",IF(OR(AG41="○",F41="一致",F41="入金不要"),"入金確認済","受領済"))))</f>
        <v>入金確認済</v>
      </c>
      <c r="D41" s="10" t="str">
        <f aca="false">IF(OR(G41="",G41="なし"),"―",IF(CH41="N","対象外",IF(AND(I41="",J41="",K41=""),"標報未入力",IF(CD41&gt;=設定!$B$4,"要確認","問題なし"))))</f>
        <v>標報未入力</v>
      </c>
      <c r="E41" s="24" t="str">
        <f aca="false">IF(OR(G41="",G41="なし",CE41="",CF41=0),"―",IF(CF41=CE41,"前月同額",IF(CE41=0,"―",IF(ABS(CF41/CE41-1)&gt;=設定!$B$5,"変動大 "&amp;TEXT(CF41/CE41-1,"+0%;-0%"),"〇"))))</f>
        <v>―</v>
      </c>
      <c r="F41" s="10" t="str">
        <f aca="false">IF(OR(G41="",G41="なし"),"―",IF(CF41=0,"入金不要",IF(COUNT(Z41,AB41,AD41,AF41)=0,IF(AG41="○","手動確認","未入金"),IF(AND(N(Z41)=Y41,IF(AA41="",TRUE(),N(AB41)=AA41),IF(AC41="",TRUE(),N(AD41)=AC41),IF(AE41="",TRUE(),N(AF41)=AE41)),"一致","不一致"))))</f>
        <v>手動確認</v>
      </c>
      <c r="G41" s="25" t="s">
        <v>159</v>
      </c>
      <c r="H41" s="26"/>
      <c r="I41" s="27"/>
      <c r="J41" s="27"/>
      <c r="K41" s="27"/>
      <c r="L41" s="27"/>
      <c r="M41" s="27"/>
      <c r="N41" s="27" t="n">
        <v>242475</v>
      </c>
      <c r="O41" s="27" t="n">
        <v>19875</v>
      </c>
      <c r="P41" s="27" t="n">
        <v>230</v>
      </c>
      <c r="Q41" s="27"/>
      <c r="R41" s="27" t="n">
        <v>140676</v>
      </c>
      <c r="S41" s="27"/>
      <c r="T41" s="27" t="n">
        <v>10507</v>
      </c>
      <c r="U41" s="27"/>
      <c r="V41" s="27" t="n">
        <v>3116</v>
      </c>
      <c r="W41" s="10" t="str">
        <f aca="false">IFERROR(INDEX(設定!$E$61:$E$106,MATCH(B41,設定!$B$61:$B$106,0)),"合算")</f>
        <v>合算</v>
      </c>
      <c r="X41" s="28"/>
      <c r="Y41" s="29" t="n">
        <f aca="false">IF(OR(G41="",G41="なし"),"",IF(W41="合算",CF41,IF(W41="掛金・負担金別",(AU41+AV41+AZ41+BB41+BD41),SUM(AU41:AY41))))</f>
        <v>416879</v>
      </c>
      <c r="Z41" s="27"/>
      <c r="AA41" s="29" t="str">
        <f aca="false">IF(OR(G41="",G41="なし"),"",IF(W41="掛金・負担金別",(AW41+AX41+AY41+BA41+BC41+BE41),IF(W41="経理区分別",AZ41+BA41,"")))</f>
        <v/>
      </c>
      <c r="AB41" s="27"/>
      <c r="AC41" s="29" t="str">
        <f aca="false">IF(OR(G41="",G41="なし"),"",IF(W41="経理区分別",BB41+BC41,""))</f>
        <v/>
      </c>
      <c r="AD41" s="27"/>
      <c r="AE41" s="29" t="str">
        <f aca="false">IF(OR(G41="",G41="なし"),"",IF(W41="経理区分別",BD41+BE41,""))</f>
        <v/>
      </c>
      <c r="AF41" s="27"/>
      <c r="AG41" s="26" t="s">
        <v>160</v>
      </c>
      <c r="AH41" s="26"/>
      <c r="AI41" s="30"/>
      <c r="AJ41" s="31"/>
      <c r="AK41" s="31"/>
      <c r="AL41" s="31"/>
      <c r="AM41" s="31"/>
      <c r="AN41" s="31"/>
      <c r="AO41" s="31"/>
      <c r="AP41" s="31"/>
      <c r="AQ41" s="31"/>
      <c r="AR41" s="31"/>
      <c r="AS41" s="31"/>
      <c r="AT41" s="31"/>
      <c r="AU41" s="31" t="n">
        <f aca="false">IF($G41="",AJ41,L41)</f>
        <v>0</v>
      </c>
      <c r="AV41" s="31" t="n">
        <f aca="false">IF($G41="",AK41,M41)</f>
        <v>0</v>
      </c>
      <c r="AW41" s="31" t="n">
        <f aca="false">IF($G41="",AL41,N41)</f>
        <v>242475</v>
      </c>
      <c r="AX41" s="31" t="n">
        <f aca="false">IF($G41="",AM41,O41)</f>
        <v>19875</v>
      </c>
      <c r="AY41" s="31" t="n">
        <f aca="false">IF($G41="",AN41,P41)</f>
        <v>230</v>
      </c>
      <c r="AZ41" s="31" t="n">
        <f aca="false">IF($G41="",AO41,Q41)</f>
        <v>0</v>
      </c>
      <c r="BA41" s="31" t="n">
        <f aca="false">IF($G41="",AP41,R41)</f>
        <v>140676</v>
      </c>
      <c r="BB41" s="31" t="n">
        <f aca="false">IF($G41="",AQ41,S41)</f>
        <v>0</v>
      </c>
      <c r="BC41" s="31" t="n">
        <f aca="false">IF($G41="",AR41,T41)</f>
        <v>10507</v>
      </c>
      <c r="BD41" s="31" t="n">
        <f aca="false">IF($G41="",AS41,U41)</f>
        <v>0</v>
      </c>
      <c r="BE41" s="31" t="n">
        <f aca="false">IF($G41="",AT41,V41)</f>
        <v>3116</v>
      </c>
      <c r="BF41" s="31" t="n">
        <f aca="false">ROUNDDOWN(I41*設定!$B$10/1000,0)+ROUNDDOWN(I41*設定!$B$11/1000,0)</f>
        <v>0</v>
      </c>
      <c r="BG41" s="31" t="n">
        <f aca="false">ROUNDDOWN(I41*設定!$C$10/1000,0)+ROUNDDOWN(I41*設定!$C$11/1000,0)+ROUNDDOWN(I41*設定!$C$12/1000,0)</f>
        <v>0</v>
      </c>
      <c r="BH41" s="31" t="n">
        <f aca="false">ROUNDDOWN(J41*設定!$B$13/1000,0)</f>
        <v>0</v>
      </c>
      <c r="BI41" s="31" t="n">
        <f aca="false">ROUNDDOWN(J41*設定!$C$13/1000,0)</f>
        <v>0</v>
      </c>
      <c r="BJ41" s="31" t="n">
        <f aca="false">ROUNDDOWN(K41*設定!$B$14/1000,0)</f>
        <v>0</v>
      </c>
      <c r="BK41" s="31" t="n">
        <f aca="false">ROUNDDOWN(K41*設定!$C$14/1000,0)</f>
        <v>0</v>
      </c>
      <c r="BL41" s="31" t="n">
        <f aca="false">ROUNDDOWN(J41*設定!$B$15/1000,0)</f>
        <v>0</v>
      </c>
      <c r="BM41" s="31" t="n">
        <f aca="false">ROUNDDOWN(J41*設定!$C$15/1000,0)</f>
        <v>0</v>
      </c>
      <c r="BN41" s="31" t="n">
        <f aca="false">L41+M41</f>
        <v>0</v>
      </c>
      <c r="BO41" s="31" t="n">
        <f aca="false">N41+O41+P41</f>
        <v>262580</v>
      </c>
      <c r="BP41" s="31" t="n">
        <f aca="false">Q41</f>
        <v>0</v>
      </c>
      <c r="BQ41" s="31" t="n">
        <f aca="false">R41</f>
        <v>140676</v>
      </c>
      <c r="BR41" s="31" t="n">
        <f aca="false">S41</f>
        <v>0</v>
      </c>
      <c r="BS41" s="31" t="n">
        <f aca="false">T41</f>
        <v>10507</v>
      </c>
      <c r="BT41" s="31" t="n">
        <f aca="false">U41</f>
        <v>0</v>
      </c>
      <c r="BU41" s="31" t="n">
        <f aca="false">V41</f>
        <v>3116</v>
      </c>
      <c r="BV41" s="32" t="n">
        <f aca="false">IF(BF41=0,IF(BN41=0,0,1),(BN41-BF41)/BF41)</f>
        <v>0</v>
      </c>
      <c r="BW41" s="32" t="n">
        <f aca="false">IF(BG41=0,IF(BO41=0,0,1),(BO41-BG41)/BG41)</f>
        <v>1</v>
      </c>
      <c r="BX41" s="32" t="n">
        <f aca="false">IF(BH41=0,IF(BP41=0,0,1),(BP41-BH41)/BH41)</f>
        <v>0</v>
      </c>
      <c r="BY41" s="32" t="n">
        <f aca="false">IF(BI41=0,IF(BQ41=0,0,1),(BQ41-BI41)/BI41)</f>
        <v>1</v>
      </c>
      <c r="BZ41" s="32" t="n">
        <f aca="false">IF(BJ41=0,IF(BR41=0,0,1),(BR41-BJ41)/BJ41)</f>
        <v>0</v>
      </c>
      <c r="CA41" s="32" t="n">
        <f aca="false">IF(BK41=0,IF(BS41=0,0,1),(BS41-BK41)/BK41)</f>
        <v>1</v>
      </c>
      <c r="CB41" s="32" t="n">
        <f aca="false">IF(BL41=0,IF(BT41=0,0,1),(BT41-BL41)/BL41)</f>
        <v>0</v>
      </c>
      <c r="CC41" s="32" t="n">
        <f aca="false">IF(BM41=0,IF(BU41=0,0,1),(BU41-BM41)/BM41)</f>
        <v>1</v>
      </c>
      <c r="CD41" s="32" t="n">
        <f aca="false">MAX(MAX(BV41:CC41),-MIN(BV41:CC41))</f>
        <v>1</v>
      </c>
      <c r="CE41" s="31" t="str">
        <f aca="false">IF(CI41="","",SUMIFS($CF$7:$CF$696,$A$7:$A$696,CI41,$B$7:$B$696,B41))</f>
        <v/>
      </c>
      <c r="CF41" s="31" t="n">
        <f aca="false">SUM(AU41:BE41)</f>
        <v>416879</v>
      </c>
      <c r="CG41" s="33" t="str">
        <f aca="false">A41&amp;"|"&amp;B41</f>
        <v>2026-04 月例|社会福祉協議会</v>
      </c>
      <c r="CH41" s="34" t="str">
        <f aca="false">IFERROR(INDEX(設定!$D$61:$D$106,MATCH(B41,設定!$B$61:$B$106,0)),"Y")</f>
        <v>Y</v>
      </c>
      <c r="CI41" s="34" t="str">
        <f aca="false">IFERROR(INDEX(設定!$D$20:$D$34,MATCH(A41,設定!$A$20:$A$34,0))&amp;"","")</f>
        <v/>
      </c>
    </row>
    <row r="42" customFormat="false" ht="15" hidden="true" customHeight="false" outlineLevel="0" collapsed="false">
      <c r="A42" s="22" t="s">
        <v>157</v>
      </c>
      <c r="B42" s="23" t="s">
        <v>196</v>
      </c>
      <c r="C42" s="10" t="str">
        <f aca="false">IF(G42="","未受領",IF(G42="なし","報告なし",IF(AH42="○","起票済",IF(OR(AG42="○",F42="一致",F42="入金不要"),"入金確認済","受領済"))))</f>
        <v>入金確認済</v>
      </c>
      <c r="D42" s="10" t="str">
        <f aca="false">IF(OR(G42="",G42="なし"),"―",IF(CH42="N","対象外",IF(AND(I42="",J42="",K42=""),"標報未入力",IF(CD42&gt;=設定!$B$4,"要確認","問題なし"))))</f>
        <v>対象外</v>
      </c>
      <c r="E42" s="24" t="str">
        <f aca="false">IF(OR(G42="",G42="なし",CE42="",CF42=0),"―",IF(CF42=CE42,"前月同額",IF(CE42=0,"―",IF(ABS(CF42/CE42-1)&gt;=設定!$B$5,"変動大 "&amp;TEXT(CF42/CE42-1,"+0%;-0%"),"〇"))))</f>
        <v>―</v>
      </c>
      <c r="F42" s="10" t="str">
        <f aca="false">IF(OR(G42="",G42="なし"),"―",IF(CF42=0,"入金不要",IF(COUNT(Z42,AB42,AD42,AF42)=0,IF(AG42="○","手動確認","未入金"),IF(AND(N(Z42)=Y42,IF(AA42="",TRUE(),N(AB42)=AA42),IF(AC42="",TRUE(),N(AD42)=AC42),IF(AE42="",TRUE(),N(AF42)=AE42)),"一致","不一致"))))</f>
        <v>手動確認</v>
      </c>
      <c r="G42" s="25" t="s">
        <v>159</v>
      </c>
      <c r="H42" s="26"/>
      <c r="I42" s="27"/>
      <c r="J42" s="27"/>
      <c r="K42" s="27"/>
      <c r="L42" s="27" t="n">
        <v>126776728</v>
      </c>
      <c r="M42" s="27" t="n">
        <v>10388836</v>
      </c>
      <c r="N42" s="27" t="n">
        <v>185329749</v>
      </c>
      <c r="O42" s="27" t="n">
        <v>10386886</v>
      </c>
      <c r="P42" s="27" t="n">
        <v>127334</v>
      </c>
      <c r="Q42" s="27" t="n">
        <v>93143364</v>
      </c>
      <c r="R42" s="27" t="n">
        <v>93250038</v>
      </c>
      <c r="S42" s="27" t="n">
        <v>7885464</v>
      </c>
      <c r="T42" s="27" t="n">
        <v>7882532</v>
      </c>
      <c r="U42" s="27" t="n">
        <v>2063539</v>
      </c>
      <c r="V42" s="27" t="n">
        <v>2063238</v>
      </c>
      <c r="W42" s="10" t="str">
        <f aca="false">IFERROR(INDEX(設定!$E$61:$E$106,MATCH(B42,設定!$B$61:$B$106,0)),"合算")</f>
        <v>合算</v>
      </c>
      <c r="X42" s="28"/>
      <c r="Y42" s="29" t="n">
        <f aca="false">IF(OR(G42="",G42="なし"),"",IF(W42="合算",CF42,IF(W42="掛金・負担金別",(AU42+AV42+AZ42+BB42+BD42),SUM(AU42:AY42))))</f>
        <v>539297708</v>
      </c>
      <c r="Z42" s="27"/>
      <c r="AA42" s="29" t="str">
        <f aca="false">IF(OR(G42="",G42="なし"),"",IF(W42="掛金・負担金別",(AW42+AX42+AY42+BA42+BC42+BE42),IF(W42="経理区分別",AZ42+BA42,"")))</f>
        <v/>
      </c>
      <c r="AB42" s="27"/>
      <c r="AC42" s="29" t="str">
        <f aca="false">IF(OR(G42="",G42="なし"),"",IF(W42="経理区分別",BB42+BC42,""))</f>
        <v/>
      </c>
      <c r="AD42" s="27"/>
      <c r="AE42" s="29" t="str">
        <f aca="false">IF(OR(G42="",G42="なし"),"",IF(W42="経理区分別",BD42+BE42,""))</f>
        <v/>
      </c>
      <c r="AF42" s="27"/>
      <c r="AG42" s="26" t="s">
        <v>160</v>
      </c>
      <c r="AH42" s="26"/>
      <c r="AI42" s="30"/>
      <c r="AJ42" s="31"/>
      <c r="AK42" s="31"/>
      <c r="AL42" s="31"/>
      <c r="AM42" s="31"/>
      <c r="AN42" s="31"/>
      <c r="AO42" s="31"/>
      <c r="AP42" s="31"/>
      <c r="AQ42" s="31"/>
      <c r="AR42" s="31"/>
      <c r="AS42" s="31"/>
      <c r="AT42" s="31"/>
      <c r="AU42" s="31" t="n">
        <f aca="false">IF($G42="",AJ42,L42)</f>
        <v>126776728</v>
      </c>
      <c r="AV42" s="31" t="n">
        <f aca="false">IF($G42="",AK42,M42)</f>
        <v>10388836</v>
      </c>
      <c r="AW42" s="31" t="n">
        <f aca="false">IF($G42="",AL42,N42)</f>
        <v>185329749</v>
      </c>
      <c r="AX42" s="31" t="n">
        <f aca="false">IF($G42="",AM42,O42)</f>
        <v>10386886</v>
      </c>
      <c r="AY42" s="31" t="n">
        <f aca="false">IF($G42="",AN42,P42)</f>
        <v>127334</v>
      </c>
      <c r="AZ42" s="31" t="n">
        <f aca="false">IF($G42="",AO42,Q42)</f>
        <v>93143364</v>
      </c>
      <c r="BA42" s="31" t="n">
        <f aca="false">IF($G42="",AP42,R42)</f>
        <v>93250038</v>
      </c>
      <c r="BB42" s="31" t="n">
        <f aca="false">IF($G42="",AQ42,S42)</f>
        <v>7885464</v>
      </c>
      <c r="BC42" s="31" t="n">
        <f aca="false">IF($G42="",AR42,T42)</f>
        <v>7882532</v>
      </c>
      <c r="BD42" s="31" t="n">
        <f aca="false">IF($G42="",AS42,U42)</f>
        <v>2063539</v>
      </c>
      <c r="BE42" s="31" t="n">
        <f aca="false">IF($G42="",AT42,V42)</f>
        <v>2063238</v>
      </c>
      <c r="BF42" s="31" t="n">
        <f aca="false">ROUNDDOWN(I42*設定!$B$10/1000,0)+ROUNDDOWN(I42*設定!$B$11/1000,0)</f>
        <v>0</v>
      </c>
      <c r="BG42" s="31" t="n">
        <f aca="false">ROUNDDOWN(I42*設定!$C$10/1000,0)+ROUNDDOWN(I42*設定!$C$11/1000,0)+ROUNDDOWN(I42*設定!$C$12/1000,0)</f>
        <v>0</v>
      </c>
      <c r="BH42" s="31" t="n">
        <f aca="false">ROUNDDOWN(J42*設定!$B$13/1000,0)</f>
        <v>0</v>
      </c>
      <c r="BI42" s="31" t="n">
        <f aca="false">ROUNDDOWN(J42*設定!$C$13/1000,0)</f>
        <v>0</v>
      </c>
      <c r="BJ42" s="31" t="n">
        <f aca="false">ROUNDDOWN(K42*設定!$B$14/1000,0)</f>
        <v>0</v>
      </c>
      <c r="BK42" s="31" t="n">
        <f aca="false">ROUNDDOWN(K42*設定!$C$14/1000,0)</f>
        <v>0</v>
      </c>
      <c r="BL42" s="31" t="n">
        <f aca="false">ROUNDDOWN(J42*設定!$B$15/1000,0)</f>
        <v>0</v>
      </c>
      <c r="BM42" s="31" t="n">
        <f aca="false">ROUNDDOWN(J42*設定!$C$15/1000,0)</f>
        <v>0</v>
      </c>
      <c r="BN42" s="31" t="n">
        <f aca="false">L42+M42</f>
        <v>137165564</v>
      </c>
      <c r="BO42" s="31" t="n">
        <f aca="false">N42+O42+P42</f>
        <v>195843969</v>
      </c>
      <c r="BP42" s="31" t="n">
        <f aca="false">Q42</f>
        <v>93143364</v>
      </c>
      <c r="BQ42" s="31" t="n">
        <f aca="false">R42</f>
        <v>93250038</v>
      </c>
      <c r="BR42" s="31" t="n">
        <f aca="false">S42</f>
        <v>7885464</v>
      </c>
      <c r="BS42" s="31" t="n">
        <f aca="false">T42</f>
        <v>7882532</v>
      </c>
      <c r="BT42" s="31" t="n">
        <f aca="false">U42</f>
        <v>2063539</v>
      </c>
      <c r="BU42" s="31" t="n">
        <f aca="false">V42</f>
        <v>2063238</v>
      </c>
      <c r="BV42" s="32" t="n">
        <f aca="false">IF(BF42=0,IF(BN42=0,0,1),(BN42-BF42)/BF42)</f>
        <v>1</v>
      </c>
      <c r="BW42" s="32" t="n">
        <f aca="false">IF(BG42=0,IF(BO42=0,0,1),(BO42-BG42)/BG42)</f>
        <v>1</v>
      </c>
      <c r="BX42" s="32" t="n">
        <f aca="false">IF(BH42=0,IF(BP42=0,0,1),(BP42-BH42)/BH42)</f>
        <v>1</v>
      </c>
      <c r="BY42" s="32" t="n">
        <f aca="false">IF(BI42=0,IF(BQ42=0,0,1),(BQ42-BI42)/BI42)</f>
        <v>1</v>
      </c>
      <c r="BZ42" s="32" t="n">
        <f aca="false">IF(BJ42=0,IF(BR42=0,0,1),(BR42-BJ42)/BJ42)</f>
        <v>1</v>
      </c>
      <c r="CA42" s="32" t="n">
        <f aca="false">IF(BK42=0,IF(BS42=0,0,1),(BS42-BK42)/BK42)</f>
        <v>1</v>
      </c>
      <c r="CB42" s="32" t="n">
        <f aca="false">IF(BL42=0,IF(BT42=0,0,1),(BT42-BL42)/BL42)</f>
        <v>1</v>
      </c>
      <c r="CC42" s="32" t="n">
        <f aca="false">IF(BM42=0,IF(BU42=0,0,1),(BU42-BM42)/BM42)</f>
        <v>1</v>
      </c>
      <c r="CD42" s="32" t="n">
        <f aca="false">MAX(MAX(BV42:CC42),-MIN(BV42:CC42))</f>
        <v>1</v>
      </c>
      <c r="CE42" s="31" t="str">
        <f aca="false">IF(CI42="","",SUMIFS($CF$7:$CF$696,$A$7:$A$696,CI42,$B$7:$B$696,B42))</f>
        <v/>
      </c>
      <c r="CF42" s="31" t="n">
        <f aca="false">SUM(AU42:BE42)</f>
        <v>539297708</v>
      </c>
      <c r="CG42" s="33" t="str">
        <f aca="false">A42&amp;"|"&amp;B42</f>
        <v>2026-04 月例|市立病院機構</v>
      </c>
      <c r="CH42" s="34" t="str">
        <f aca="false">IFERROR(INDEX(設定!$D$61:$D$106,MATCH(B42,設定!$B$61:$B$106,0)),"Y")</f>
        <v>N</v>
      </c>
      <c r="CI42" s="34" t="str">
        <f aca="false">IFERROR(INDEX(設定!$D$20:$D$34,MATCH(A42,設定!$A$20:$A$34,0))&amp;"","")</f>
        <v/>
      </c>
    </row>
    <row r="43" customFormat="false" ht="15" hidden="true" customHeight="false" outlineLevel="0" collapsed="false">
      <c r="A43" s="22" t="s">
        <v>157</v>
      </c>
      <c r="B43" s="23" t="s">
        <v>197</v>
      </c>
      <c r="C43" s="10" t="str">
        <f aca="false">IF(G43="","未受領",IF(G43="なし","報告なし",IF(AH43="○","起票済",IF(OR(AG43="○",F43="一致",F43="入金不要"),"入金確認済","受領済"))))</f>
        <v>入金確認済</v>
      </c>
      <c r="D43" s="10" t="str">
        <f aca="false">IF(OR(G43="",G43="なし"),"―",IF(CH43="N","対象外",IF(AND(I43="",J43="",K43=""),"標報未入力",IF(CD43&gt;=設定!$B$4,"要確認","問題なし"))))</f>
        <v>標報未入力</v>
      </c>
      <c r="E43" s="24" t="str">
        <f aca="false">IF(OR(G43="",G43="なし",CE43="",CF43=0),"―",IF(CF43=CE43,"前月同額",IF(CE43=0,"―",IF(ABS(CF43/CE43-1)&gt;=設定!$B$5,"変動大 "&amp;TEXT(CF43/CE43-1,"+0%;-0%"),"〇"))))</f>
        <v>―</v>
      </c>
      <c r="F43" s="10" t="str">
        <f aca="false">IF(OR(G43="",G43="なし"),"―",IF(CF43=0,"入金不要",IF(COUNT(Z43,AB43,AD43,AF43)=0,IF(AG43="○","手動確認","未入金"),IF(AND(N(Z43)=Y43,IF(AA43="",TRUE(),N(AB43)=AA43),IF(AC43="",TRUE(),N(AD43)=AC43),IF(AE43="",TRUE(),N(AF43)=AE43)),"一致","不一致"))))</f>
        <v>手動確認</v>
      </c>
      <c r="G43" s="25" t="s">
        <v>159</v>
      </c>
      <c r="H43" s="26"/>
      <c r="I43" s="27"/>
      <c r="J43" s="27"/>
      <c r="K43" s="27"/>
      <c r="L43" s="27"/>
      <c r="M43" s="27"/>
      <c r="N43" s="27"/>
      <c r="O43" s="27"/>
      <c r="P43" s="27"/>
      <c r="Q43" s="27" t="n">
        <v>84011</v>
      </c>
      <c r="R43" s="27" t="n">
        <v>104857</v>
      </c>
      <c r="S43" s="27" t="n">
        <v>11060</v>
      </c>
      <c r="T43" s="27" t="n">
        <v>11060</v>
      </c>
      <c r="U43" s="27" t="n">
        <v>1861</v>
      </c>
      <c r="V43" s="27" t="n">
        <v>2322</v>
      </c>
      <c r="W43" s="10" t="str">
        <f aca="false">IFERROR(INDEX(設定!$E$61:$E$106,MATCH(B43,設定!$B$61:$B$106,0)),"合算")</f>
        <v>合算</v>
      </c>
      <c r="X43" s="28"/>
      <c r="Y43" s="29" t="n">
        <f aca="false">IF(OR(G43="",G43="なし"),"",IF(W43="合算",CF43,IF(W43="掛金・負担金別",(AU43+AV43+AZ43+BB43+BD43),SUM(AU43:AY43))))</f>
        <v>215171</v>
      </c>
      <c r="Z43" s="27"/>
      <c r="AA43" s="29" t="str">
        <f aca="false">IF(OR(G43="",G43="なし"),"",IF(W43="掛金・負担金別",(AW43+AX43+AY43+BA43+BC43+BE43),IF(W43="経理区分別",AZ43+BA43,"")))</f>
        <v/>
      </c>
      <c r="AB43" s="27"/>
      <c r="AC43" s="29" t="str">
        <f aca="false">IF(OR(G43="",G43="なし"),"",IF(W43="経理区分別",BB43+BC43,""))</f>
        <v/>
      </c>
      <c r="AD43" s="27"/>
      <c r="AE43" s="29" t="str">
        <f aca="false">IF(OR(G43="",G43="なし"),"",IF(W43="経理区分別",BD43+BE43,""))</f>
        <v/>
      </c>
      <c r="AF43" s="27"/>
      <c r="AG43" s="26" t="s">
        <v>160</v>
      </c>
      <c r="AH43" s="26"/>
      <c r="AI43" s="30"/>
      <c r="AJ43" s="31"/>
      <c r="AK43" s="31"/>
      <c r="AL43" s="31"/>
      <c r="AM43" s="31"/>
      <c r="AN43" s="31"/>
      <c r="AO43" s="31"/>
      <c r="AP43" s="31"/>
      <c r="AQ43" s="31"/>
      <c r="AR43" s="31"/>
      <c r="AS43" s="31"/>
      <c r="AT43" s="31"/>
      <c r="AU43" s="31" t="n">
        <f aca="false">IF($G43="",AJ43,L43)</f>
        <v>0</v>
      </c>
      <c r="AV43" s="31" t="n">
        <f aca="false">IF($G43="",AK43,M43)</f>
        <v>0</v>
      </c>
      <c r="AW43" s="31" t="n">
        <f aca="false">IF($G43="",AL43,N43)</f>
        <v>0</v>
      </c>
      <c r="AX43" s="31" t="n">
        <f aca="false">IF($G43="",AM43,O43)</f>
        <v>0</v>
      </c>
      <c r="AY43" s="31" t="n">
        <f aca="false">IF($G43="",AN43,P43)</f>
        <v>0</v>
      </c>
      <c r="AZ43" s="31" t="n">
        <f aca="false">IF($G43="",AO43,Q43)</f>
        <v>84011</v>
      </c>
      <c r="BA43" s="31" t="n">
        <f aca="false">IF($G43="",AP43,R43)</f>
        <v>104857</v>
      </c>
      <c r="BB43" s="31" t="n">
        <f aca="false">IF($G43="",AQ43,S43)</f>
        <v>11060</v>
      </c>
      <c r="BC43" s="31" t="n">
        <f aca="false">IF($G43="",AR43,T43)</f>
        <v>11060</v>
      </c>
      <c r="BD43" s="31" t="n">
        <f aca="false">IF($G43="",AS43,U43)</f>
        <v>1861</v>
      </c>
      <c r="BE43" s="31" t="n">
        <f aca="false">IF($G43="",AT43,V43)</f>
        <v>2322</v>
      </c>
      <c r="BF43" s="31" t="n">
        <f aca="false">ROUNDDOWN(I43*設定!$B$10/1000,0)+ROUNDDOWN(I43*設定!$B$11/1000,0)</f>
        <v>0</v>
      </c>
      <c r="BG43" s="31" t="n">
        <f aca="false">ROUNDDOWN(I43*設定!$C$10/1000,0)+ROUNDDOWN(I43*設定!$C$11/1000,0)+ROUNDDOWN(I43*設定!$C$12/1000,0)</f>
        <v>0</v>
      </c>
      <c r="BH43" s="31" t="n">
        <f aca="false">ROUNDDOWN(J43*設定!$B$13/1000,0)</f>
        <v>0</v>
      </c>
      <c r="BI43" s="31" t="n">
        <f aca="false">ROUNDDOWN(J43*設定!$C$13/1000,0)</f>
        <v>0</v>
      </c>
      <c r="BJ43" s="31" t="n">
        <f aca="false">ROUNDDOWN(K43*設定!$B$14/1000,0)</f>
        <v>0</v>
      </c>
      <c r="BK43" s="31" t="n">
        <f aca="false">ROUNDDOWN(K43*設定!$C$14/1000,0)</f>
        <v>0</v>
      </c>
      <c r="BL43" s="31" t="n">
        <f aca="false">ROUNDDOWN(J43*設定!$B$15/1000,0)</f>
        <v>0</v>
      </c>
      <c r="BM43" s="31" t="n">
        <f aca="false">ROUNDDOWN(J43*設定!$C$15/1000,0)</f>
        <v>0</v>
      </c>
      <c r="BN43" s="31" t="n">
        <f aca="false">L43+M43</f>
        <v>0</v>
      </c>
      <c r="BO43" s="31" t="n">
        <f aca="false">N43+O43+P43</f>
        <v>0</v>
      </c>
      <c r="BP43" s="31" t="n">
        <f aca="false">Q43</f>
        <v>84011</v>
      </c>
      <c r="BQ43" s="31" t="n">
        <f aca="false">R43</f>
        <v>104857</v>
      </c>
      <c r="BR43" s="31" t="n">
        <f aca="false">S43</f>
        <v>11060</v>
      </c>
      <c r="BS43" s="31" t="n">
        <f aca="false">T43</f>
        <v>11060</v>
      </c>
      <c r="BT43" s="31" t="n">
        <f aca="false">U43</f>
        <v>1861</v>
      </c>
      <c r="BU43" s="31" t="n">
        <f aca="false">V43</f>
        <v>2322</v>
      </c>
      <c r="BV43" s="32" t="n">
        <f aca="false">IF(BF43=0,IF(BN43=0,0,1),(BN43-BF43)/BF43)</f>
        <v>0</v>
      </c>
      <c r="BW43" s="32" t="n">
        <f aca="false">IF(BG43=0,IF(BO43=0,0,1),(BO43-BG43)/BG43)</f>
        <v>0</v>
      </c>
      <c r="BX43" s="32" t="n">
        <f aca="false">IF(BH43=0,IF(BP43=0,0,1),(BP43-BH43)/BH43)</f>
        <v>1</v>
      </c>
      <c r="BY43" s="32" t="n">
        <f aca="false">IF(BI43=0,IF(BQ43=0,0,1),(BQ43-BI43)/BI43)</f>
        <v>1</v>
      </c>
      <c r="BZ43" s="32" t="n">
        <f aca="false">IF(BJ43=0,IF(BR43=0,0,1),(BR43-BJ43)/BJ43)</f>
        <v>1</v>
      </c>
      <c r="CA43" s="32" t="n">
        <f aca="false">IF(BK43=0,IF(BS43=0,0,1),(BS43-BK43)/BK43)</f>
        <v>1</v>
      </c>
      <c r="CB43" s="32" t="n">
        <f aca="false">IF(BL43=0,IF(BT43=0,0,1),(BT43-BL43)/BL43)</f>
        <v>1</v>
      </c>
      <c r="CC43" s="32" t="n">
        <f aca="false">IF(BM43=0,IF(BU43=0,0,1),(BU43-BM43)/BM43)</f>
        <v>1</v>
      </c>
      <c r="CD43" s="32" t="n">
        <f aca="false">MAX(MAX(BV43:CC43),-MIN(BV43:CC43))</f>
        <v>1</v>
      </c>
      <c r="CE43" s="31" t="str">
        <f aca="false">IF(CI43="","",SUMIFS($CF$7:$CF$696,$A$7:$A$696,CI43,$B$7:$B$696,B43))</f>
        <v/>
      </c>
      <c r="CF43" s="31" t="n">
        <f aca="false">SUM(AU43:BE43)</f>
        <v>215171</v>
      </c>
      <c r="CG43" s="33" t="str">
        <f aca="false">A43&amp;"|"&amp;B43</f>
        <v>2026-04 月例|職員共済組合</v>
      </c>
      <c r="CH43" s="34" t="str">
        <f aca="false">IFERROR(INDEX(設定!$D$61:$D$106,MATCH(B43,設定!$B$61:$B$106,0)),"Y")</f>
        <v>Y</v>
      </c>
      <c r="CI43" s="34" t="str">
        <f aca="false">IFERROR(INDEX(設定!$D$20:$D$34,MATCH(A43,設定!$A$20:$A$34,0))&amp;"","")</f>
        <v/>
      </c>
    </row>
    <row r="44" customFormat="false" ht="26.85" hidden="true" customHeight="false" outlineLevel="0" collapsed="false">
      <c r="A44" s="22" t="s">
        <v>157</v>
      </c>
      <c r="B44" s="35" t="s">
        <v>198</v>
      </c>
      <c r="C44" s="10" t="str">
        <f aca="false">IF(G44="","未受領",IF(G44="なし","報告なし",IF(AH44="○","起票済",IF(OR(AG44="○",F44="一致",F44="入金不要"),"入金確認済","受領済"))))</f>
        <v>未受領</v>
      </c>
      <c r="D44" s="10" t="str">
        <f aca="false">IF(OR(G44="",G44="なし"),"―",IF(CH44="N","対象外",IF(AND(I44="",J44="",K44=""),"標報未入力",IF(CD44&gt;=設定!$B$4,"要確認","問題なし"))))</f>
        <v>―</v>
      </c>
      <c r="E44" s="24" t="str">
        <f aca="false">IF(OR(G44="",G44="なし",CE44="",CF44=0),"―",IF(CF44=CE44,"前月同額",IF(CE44=0,"―",IF(ABS(CF44/CE44-1)&gt;=設定!$B$5,"変動大 "&amp;TEXT(CF44/CE44-1,"+0%;-0%"),"〇"))))</f>
        <v>―</v>
      </c>
      <c r="F44" s="10" t="str">
        <f aca="false">IF(OR(G44="",G44="なし"),"―",IF(CF44=0,"入金不要",IF(COUNT(Z44,AB44,AD44,AF44)=0,IF(AG44="○","手動確認","未入金"),IF(AND(N(Z44)=Y44,IF(AA44="",TRUE(),N(AB44)=AA44),IF(AC44="",TRUE(),N(AD44)=AC44),IF(AE44="",TRUE(),N(AF44)=AE44)),"一致","不一致"))))</f>
        <v>―</v>
      </c>
      <c r="G44" s="25"/>
      <c r="H44" s="26"/>
      <c r="I44" s="27"/>
      <c r="J44" s="27"/>
      <c r="K44" s="27"/>
      <c r="L44" s="27"/>
      <c r="M44" s="27"/>
      <c r="N44" s="27"/>
      <c r="O44" s="27"/>
      <c r="P44" s="27"/>
      <c r="Q44" s="27"/>
      <c r="R44" s="27"/>
      <c r="S44" s="27"/>
      <c r="T44" s="27"/>
      <c r="U44" s="27"/>
      <c r="V44" s="27"/>
      <c r="W44" s="10" t="str">
        <f aca="false">IFERROR(INDEX(設定!$E$61:$E$106,MATCH(B44,設定!$B$61:$B$106,0)),"合算")</f>
        <v>合算</v>
      </c>
      <c r="X44" s="28"/>
      <c r="Y44" s="29" t="str">
        <f aca="false">IF(OR(G44="",G44="なし"),"",IF(W44="合算",CF44,IF(W44="掛金・負担金別",(AU44+AV44+AZ44+BB44+BD44),SUM(AU44:AY44))))</f>
        <v/>
      </c>
      <c r="Z44" s="27"/>
      <c r="AA44" s="29" t="str">
        <f aca="false">IF(OR(G44="",G44="なし"),"",IF(W44="掛金・負担金別",(AW44+AX44+AY44+BA44+BC44+BE44),IF(W44="経理区分別",AZ44+BA44,"")))</f>
        <v/>
      </c>
      <c r="AB44" s="27"/>
      <c r="AC44" s="29" t="str">
        <f aca="false">IF(OR(G44="",G44="なし"),"",IF(W44="経理区分別",BB44+BC44,""))</f>
        <v/>
      </c>
      <c r="AD44" s="27"/>
      <c r="AE44" s="29" t="str">
        <f aca="false">IF(OR(G44="",G44="なし"),"",IF(W44="経理区分別",BD44+BE44,""))</f>
        <v/>
      </c>
      <c r="AF44" s="27"/>
      <c r="AG44" s="26"/>
      <c r="AH44" s="26"/>
      <c r="AI44" s="30"/>
      <c r="AJ44" s="31"/>
      <c r="AK44" s="31"/>
      <c r="AL44" s="31"/>
      <c r="AM44" s="31"/>
      <c r="AN44" s="31"/>
      <c r="AO44" s="31"/>
      <c r="AP44" s="31"/>
      <c r="AQ44" s="31" t="n">
        <v>0</v>
      </c>
      <c r="AR44" s="31" t="n">
        <v>0</v>
      </c>
      <c r="AS44" s="31"/>
      <c r="AT44" s="31"/>
      <c r="AU44" s="31" t="n">
        <f aca="false">IF($G44="",AJ44,L44)</f>
        <v>0</v>
      </c>
      <c r="AV44" s="31" t="n">
        <f aca="false">IF($G44="",AK44,M44)</f>
        <v>0</v>
      </c>
      <c r="AW44" s="31" t="n">
        <f aca="false">IF($G44="",AL44,N44)</f>
        <v>0</v>
      </c>
      <c r="AX44" s="31" t="n">
        <f aca="false">IF($G44="",AM44,O44)</f>
        <v>0</v>
      </c>
      <c r="AY44" s="31" t="n">
        <f aca="false">IF($G44="",AN44,P44)</f>
        <v>0</v>
      </c>
      <c r="AZ44" s="31" t="n">
        <f aca="false">IF($G44="",AO44,Q44)</f>
        <v>0</v>
      </c>
      <c r="BA44" s="31" t="n">
        <f aca="false">IF($G44="",AP44,R44)</f>
        <v>0</v>
      </c>
      <c r="BB44" s="31" t="n">
        <f aca="false">IF($G44="",AQ44,S44)</f>
        <v>0</v>
      </c>
      <c r="BC44" s="31" t="n">
        <f aca="false">IF($G44="",AR44,T44)</f>
        <v>0</v>
      </c>
      <c r="BD44" s="31" t="n">
        <f aca="false">IF($G44="",AS44,U44)</f>
        <v>0</v>
      </c>
      <c r="BE44" s="31" t="n">
        <f aca="false">IF($G44="",AT44,V44)</f>
        <v>0</v>
      </c>
      <c r="BF44" s="31" t="n">
        <f aca="false">ROUNDDOWN(I44*設定!$B$10/1000,0)+ROUNDDOWN(I44*設定!$B$11/1000,0)</f>
        <v>0</v>
      </c>
      <c r="BG44" s="31" t="n">
        <f aca="false">ROUNDDOWN(I44*設定!$C$10/1000,0)+ROUNDDOWN(I44*設定!$C$11/1000,0)+ROUNDDOWN(I44*設定!$C$12/1000,0)</f>
        <v>0</v>
      </c>
      <c r="BH44" s="31" t="n">
        <f aca="false">ROUNDDOWN(J44*設定!$B$13/1000,0)</f>
        <v>0</v>
      </c>
      <c r="BI44" s="31" t="n">
        <f aca="false">ROUNDDOWN(J44*設定!$C$13/1000,0)</f>
        <v>0</v>
      </c>
      <c r="BJ44" s="31" t="n">
        <f aca="false">ROUNDDOWN(K44*設定!$B$14/1000,0)</f>
        <v>0</v>
      </c>
      <c r="BK44" s="31" t="n">
        <f aca="false">ROUNDDOWN(K44*設定!$C$14/1000,0)</f>
        <v>0</v>
      </c>
      <c r="BL44" s="31" t="n">
        <f aca="false">ROUNDDOWN(J44*設定!$B$15/1000,0)</f>
        <v>0</v>
      </c>
      <c r="BM44" s="31" t="n">
        <f aca="false">ROUNDDOWN(J44*設定!$C$15/1000,0)</f>
        <v>0</v>
      </c>
      <c r="BN44" s="31" t="n">
        <f aca="false">L44+M44</f>
        <v>0</v>
      </c>
      <c r="BO44" s="31" t="n">
        <f aca="false">N44+O44+P44</f>
        <v>0</v>
      </c>
      <c r="BP44" s="31" t="n">
        <f aca="false">Q44</f>
        <v>0</v>
      </c>
      <c r="BQ44" s="31" t="n">
        <f aca="false">R44</f>
        <v>0</v>
      </c>
      <c r="BR44" s="31" t="n">
        <f aca="false">S44</f>
        <v>0</v>
      </c>
      <c r="BS44" s="31" t="n">
        <f aca="false">T44</f>
        <v>0</v>
      </c>
      <c r="BT44" s="31" t="n">
        <f aca="false">U44</f>
        <v>0</v>
      </c>
      <c r="BU44" s="31" t="n">
        <f aca="false">V44</f>
        <v>0</v>
      </c>
      <c r="BV44" s="32" t="n">
        <f aca="false">IF(BF44=0,IF(BN44=0,0,1),(BN44-BF44)/BF44)</f>
        <v>0</v>
      </c>
      <c r="BW44" s="32" t="n">
        <f aca="false">IF(BG44=0,IF(BO44=0,0,1),(BO44-BG44)/BG44)</f>
        <v>0</v>
      </c>
      <c r="BX44" s="32" t="n">
        <f aca="false">IF(BH44=0,IF(BP44=0,0,1),(BP44-BH44)/BH44)</f>
        <v>0</v>
      </c>
      <c r="BY44" s="32" t="n">
        <f aca="false">IF(BI44=0,IF(BQ44=0,0,1),(BQ44-BI44)/BI44)</f>
        <v>0</v>
      </c>
      <c r="BZ44" s="32" t="n">
        <f aca="false">IF(BJ44=0,IF(BR44=0,0,1),(BR44-BJ44)/BJ44)</f>
        <v>0</v>
      </c>
      <c r="CA44" s="32" t="n">
        <f aca="false">IF(BK44=0,IF(BS44=0,0,1),(BS44-BK44)/BK44)</f>
        <v>0</v>
      </c>
      <c r="CB44" s="32" t="n">
        <f aca="false">IF(BL44=0,IF(BT44=0,0,1),(BT44-BL44)/BL44)</f>
        <v>0</v>
      </c>
      <c r="CC44" s="32" t="n">
        <f aca="false">IF(BM44=0,IF(BU44=0,0,1),(BU44-BM44)/BM44)</f>
        <v>0</v>
      </c>
      <c r="CD44" s="32" t="n">
        <f aca="false">MAX(MAX(BV44:CC44),-MIN(BV44:CC44))</f>
        <v>-0</v>
      </c>
      <c r="CE44" s="31" t="str">
        <f aca="false">IF(CI44="","",SUMIFS($CF$7:$CF$696,$A$7:$A$696,CI44,$B$7:$B$696,B44))</f>
        <v/>
      </c>
      <c r="CF44" s="31" t="n">
        <f aca="false">SUM(AU44:BE44)</f>
        <v>0</v>
      </c>
      <c r="CG44" s="36" t="str">
        <f aca="false">A44&amp;"|"&amp;B44</f>
        <v>2026-04 月例|地方公共団体
情報システム機構</v>
      </c>
      <c r="CH44" s="34" t="str">
        <f aca="false">IFERROR(INDEX(設定!$D$61:$D$106,MATCH(B44,設定!$B$61:$B$106,0)),"Y")</f>
        <v>Y</v>
      </c>
      <c r="CI44" s="34" t="str">
        <f aca="false">IFERROR(INDEX(設定!$D$20:$D$34,MATCH(A44,設定!$A$20:$A$34,0))&amp;"","")</f>
        <v/>
      </c>
    </row>
    <row r="45" customFormat="false" ht="15" hidden="true" customHeight="false" outlineLevel="0" collapsed="false">
      <c r="A45" s="22" t="s">
        <v>157</v>
      </c>
      <c r="B45" s="23" t="s">
        <v>199</v>
      </c>
      <c r="C45" s="10" t="str">
        <f aca="false">IF(G45="","未受領",IF(G45="なし","報告なし",IF(AH45="○","起票済",IF(OR(AG45="○",F45="一致",F45="入金不要"),"入金確認済","受領済"))))</f>
        <v>入金確認済</v>
      </c>
      <c r="D45" s="10" t="str">
        <f aca="false">IF(OR(G45="",G45="なし"),"―",IF(CH45="N","対象外",IF(AND(I45="",J45="",K45=""),"標報未入力",IF(CD45&gt;=設定!$B$4,"要確認","問題なし"))))</f>
        <v>標報未入力</v>
      </c>
      <c r="E45" s="24" t="str">
        <f aca="false">IF(OR(G45="",G45="なし",CE45="",CF45=0),"―",IF(CF45=CE45,"前月同額",IF(CE45=0,"―",IF(ABS(CF45/CE45-1)&gt;=設定!$B$5,"変動大 "&amp;TEXT(CF45/CE45-1,"+0%;-0%"),"〇"))))</f>
        <v>―</v>
      </c>
      <c r="F45" s="10" t="str">
        <f aca="false">IF(OR(G45="",G45="なし"),"―",IF(CF45=0,"入金不要",IF(COUNT(Z45,AB45,AD45,AF45)=0,IF(AG45="○","手動確認","未入金"),IF(AND(N(Z45)=Y45,IF(AA45="",TRUE(),N(AB45)=AA45),IF(AC45="",TRUE(),N(AD45)=AC45),IF(AE45="",TRUE(),N(AF45)=AE45)),"一致","不一致"))))</f>
        <v>手動確認</v>
      </c>
      <c r="G45" s="25" t="s">
        <v>159</v>
      </c>
      <c r="H45" s="26"/>
      <c r="I45" s="27"/>
      <c r="J45" s="27"/>
      <c r="K45" s="27"/>
      <c r="L45" s="27" t="n">
        <v>118950</v>
      </c>
      <c r="M45" s="27" t="n">
        <v>9750</v>
      </c>
      <c r="N45" s="27" t="n">
        <v>118950</v>
      </c>
      <c r="O45" s="27" t="n">
        <v>9750</v>
      </c>
      <c r="P45" s="27" t="n">
        <v>112</v>
      </c>
      <c r="Q45" s="27" t="n">
        <v>81938</v>
      </c>
      <c r="R45" s="27" t="n">
        <v>82017</v>
      </c>
      <c r="S45" s="27" t="n">
        <v>12482</v>
      </c>
      <c r="T45" s="27" t="n">
        <v>12482</v>
      </c>
      <c r="U45" s="27" t="n">
        <v>1816</v>
      </c>
      <c r="V45" s="27" t="n">
        <v>1817</v>
      </c>
      <c r="W45" s="10" t="str">
        <f aca="false">IFERROR(INDEX(設定!$E$61:$E$106,MATCH(B45,設定!$B$61:$B$106,0)),"合算")</f>
        <v>合算</v>
      </c>
      <c r="X45" s="28"/>
      <c r="Y45" s="29" t="n">
        <f aca="false">IF(OR(G45="",G45="なし"),"",IF(W45="合算",CF45,IF(W45="掛金・負担金別",(AU45+AV45+AZ45+BB45+BD45),SUM(AU45:AY45))))</f>
        <v>450064</v>
      </c>
      <c r="Z45" s="27"/>
      <c r="AA45" s="29" t="str">
        <f aca="false">IF(OR(G45="",G45="なし"),"",IF(W45="掛金・負担金別",(AW45+AX45+AY45+BA45+BC45+BE45),IF(W45="経理区分別",AZ45+BA45,"")))</f>
        <v/>
      </c>
      <c r="AB45" s="27"/>
      <c r="AC45" s="29" t="str">
        <f aca="false">IF(OR(G45="",G45="なし"),"",IF(W45="経理区分別",BB45+BC45,""))</f>
        <v/>
      </c>
      <c r="AD45" s="27"/>
      <c r="AE45" s="29" t="str">
        <f aca="false">IF(OR(G45="",G45="なし"),"",IF(W45="経理区分別",BD45+BE45,""))</f>
        <v/>
      </c>
      <c r="AF45" s="27"/>
      <c r="AG45" s="26" t="s">
        <v>160</v>
      </c>
      <c r="AH45" s="26"/>
      <c r="AI45" s="30"/>
      <c r="AJ45" s="31"/>
      <c r="AK45" s="31"/>
      <c r="AL45" s="31"/>
      <c r="AM45" s="31"/>
      <c r="AN45" s="31"/>
      <c r="AO45" s="31"/>
      <c r="AP45" s="31"/>
      <c r="AQ45" s="31"/>
      <c r="AR45" s="31"/>
      <c r="AS45" s="31"/>
      <c r="AT45" s="31"/>
      <c r="AU45" s="31" t="n">
        <f aca="false">IF($G45="",AJ45,L45)</f>
        <v>118950</v>
      </c>
      <c r="AV45" s="31" t="n">
        <f aca="false">IF($G45="",AK45,M45)</f>
        <v>9750</v>
      </c>
      <c r="AW45" s="31" t="n">
        <f aca="false">IF($G45="",AL45,N45)</f>
        <v>118950</v>
      </c>
      <c r="AX45" s="31" t="n">
        <f aca="false">IF($G45="",AM45,O45)</f>
        <v>9750</v>
      </c>
      <c r="AY45" s="31" t="n">
        <f aca="false">IF($G45="",AN45,P45)</f>
        <v>112</v>
      </c>
      <c r="AZ45" s="31" t="n">
        <f aca="false">IF($G45="",AO45,Q45)</f>
        <v>81938</v>
      </c>
      <c r="BA45" s="31" t="n">
        <f aca="false">IF($G45="",AP45,R45)</f>
        <v>82017</v>
      </c>
      <c r="BB45" s="31" t="n">
        <f aca="false">IF($G45="",AQ45,S45)</f>
        <v>12482</v>
      </c>
      <c r="BC45" s="31" t="n">
        <f aca="false">IF($G45="",AR45,T45)</f>
        <v>12482</v>
      </c>
      <c r="BD45" s="31" t="n">
        <f aca="false">IF($G45="",AS45,U45)</f>
        <v>1816</v>
      </c>
      <c r="BE45" s="31" t="n">
        <f aca="false">IF($G45="",AT45,V45)</f>
        <v>1817</v>
      </c>
      <c r="BF45" s="31" t="n">
        <f aca="false">ROUNDDOWN(I45*設定!$B$10/1000,0)+ROUNDDOWN(I45*設定!$B$11/1000,0)</f>
        <v>0</v>
      </c>
      <c r="BG45" s="31" t="n">
        <f aca="false">ROUNDDOWN(I45*設定!$C$10/1000,0)+ROUNDDOWN(I45*設定!$C$11/1000,0)+ROUNDDOWN(I45*設定!$C$12/1000,0)</f>
        <v>0</v>
      </c>
      <c r="BH45" s="31" t="n">
        <f aca="false">ROUNDDOWN(J45*設定!$B$13/1000,0)</f>
        <v>0</v>
      </c>
      <c r="BI45" s="31" t="n">
        <f aca="false">ROUNDDOWN(J45*設定!$C$13/1000,0)</f>
        <v>0</v>
      </c>
      <c r="BJ45" s="31" t="n">
        <f aca="false">ROUNDDOWN(K45*設定!$B$14/1000,0)</f>
        <v>0</v>
      </c>
      <c r="BK45" s="31" t="n">
        <f aca="false">ROUNDDOWN(K45*設定!$C$14/1000,0)</f>
        <v>0</v>
      </c>
      <c r="BL45" s="31" t="n">
        <f aca="false">ROUNDDOWN(J45*設定!$B$15/1000,0)</f>
        <v>0</v>
      </c>
      <c r="BM45" s="31" t="n">
        <f aca="false">ROUNDDOWN(J45*設定!$C$15/1000,0)</f>
        <v>0</v>
      </c>
      <c r="BN45" s="31" t="n">
        <f aca="false">L45+M45</f>
        <v>128700</v>
      </c>
      <c r="BO45" s="31" t="n">
        <f aca="false">N45+O45+P45</f>
        <v>128812</v>
      </c>
      <c r="BP45" s="31" t="n">
        <f aca="false">Q45</f>
        <v>81938</v>
      </c>
      <c r="BQ45" s="31" t="n">
        <f aca="false">R45</f>
        <v>82017</v>
      </c>
      <c r="BR45" s="31" t="n">
        <f aca="false">S45</f>
        <v>12482</v>
      </c>
      <c r="BS45" s="31" t="n">
        <f aca="false">T45</f>
        <v>12482</v>
      </c>
      <c r="BT45" s="31" t="n">
        <f aca="false">U45</f>
        <v>1816</v>
      </c>
      <c r="BU45" s="31" t="n">
        <f aca="false">V45</f>
        <v>1817</v>
      </c>
      <c r="BV45" s="32" t="n">
        <f aca="false">IF(BF45=0,IF(BN45=0,0,1),(BN45-BF45)/BF45)</f>
        <v>1</v>
      </c>
      <c r="BW45" s="32" t="n">
        <f aca="false">IF(BG45=0,IF(BO45=0,0,1),(BO45-BG45)/BG45)</f>
        <v>1</v>
      </c>
      <c r="BX45" s="32" t="n">
        <f aca="false">IF(BH45=0,IF(BP45=0,0,1),(BP45-BH45)/BH45)</f>
        <v>1</v>
      </c>
      <c r="BY45" s="32" t="n">
        <f aca="false">IF(BI45=0,IF(BQ45=0,0,1),(BQ45-BI45)/BI45)</f>
        <v>1</v>
      </c>
      <c r="BZ45" s="32" t="n">
        <f aca="false">IF(BJ45=0,IF(BR45=0,0,1),(BR45-BJ45)/BJ45)</f>
        <v>1</v>
      </c>
      <c r="CA45" s="32" t="n">
        <f aca="false">IF(BK45=0,IF(BS45=0,0,1),(BS45-BK45)/BK45)</f>
        <v>1</v>
      </c>
      <c r="CB45" s="32" t="n">
        <f aca="false">IF(BL45=0,IF(BT45=0,0,1),(BT45-BL45)/BL45)</f>
        <v>1</v>
      </c>
      <c r="CC45" s="32" t="n">
        <f aca="false">IF(BM45=0,IF(BU45=0,0,1),(BU45-BM45)/BM45)</f>
        <v>1</v>
      </c>
      <c r="CD45" s="32" t="n">
        <f aca="false">MAX(MAX(BV45:CC45),-MIN(BV45:CC45))</f>
        <v>1</v>
      </c>
      <c r="CE45" s="31" t="str">
        <f aca="false">IF(CI45="","",SUMIFS($CF$7:$CF$696,$A$7:$A$696,CI45,$B$7:$B$696,B45))</f>
        <v/>
      </c>
      <c r="CF45" s="31" t="n">
        <f aca="false">SUM(AU45:BE45)</f>
        <v>450064</v>
      </c>
      <c r="CG45" s="33" t="str">
        <f aca="false">A45&amp;"|"&amp;B45</f>
        <v>2026-04 月例|全国市長会</v>
      </c>
      <c r="CH45" s="34" t="str">
        <f aca="false">IFERROR(INDEX(設定!$D$61:$D$106,MATCH(B45,設定!$B$61:$B$106,0)),"Y")</f>
        <v>Y</v>
      </c>
      <c r="CI45" s="34" t="str">
        <f aca="false">IFERROR(INDEX(設定!$D$20:$D$34,MATCH(A45,設定!$A$20:$A$34,0))&amp;"","")</f>
        <v/>
      </c>
    </row>
    <row r="46" customFormat="false" ht="15" hidden="true" customHeight="false" outlineLevel="0" collapsed="false">
      <c r="A46" s="22" t="s">
        <v>157</v>
      </c>
      <c r="B46" s="23" t="s">
        <v>200</v>
      </c>
      <c r="C46" s="10" t="str">
        <f aca="false">IF(G46="","未受領",IF(G46="なし","報告なし",IF(AH46="○","起票済",IF(OR(AG46="○",F46="一致",F46="入金不要"),"入金確認済","受領済"))))</f>
        <v>入金確認済</v>
      </c>
      <c r="D46" s="10" t="str">
        <f aca="false">IF(OR(G46="",G46="なし"),"―",IF(CH46="N","対象外",IF(AND(I46="",J46="",K46=""),"標報未入力",IF(CD46&gt;=設定!$B$4,"要確認","問題なし"))))</f>
        <v>標報未入力</v>
      </c>
      <c r="E46" s="24" t="str">
        <f aca="false">IF(OR(G46="",G46="なし",CE46="",CF46=0),"―",IF(CF46=CE46,"前月同額",IF(CE46=0,"―",IF(ABS(CF46/CE46-1)&gt;=設定!$B$5,"変動大 "&amp;TEXT(CF46/CE46-1,"+0%;-0%"),"〇"))))</f>
        <v>―</v>
      </c>
      <c r="F46" s="10" t="str">
        <f aca="false">IF(OR(G46="",G46="なし"),"―",IF(CF46=0,"入金不要",IF(COUNT(Z46,AB46,AD46,AF46)=0,IF(AG46="○","手動確認","未入金"),IF(AND(N(Z46)=Y46,IF(AA46="",TRUE(),N(AB46)=AA46),IF(AC46="",TRUE(),N(AD46)=AC46),IF(AE46="",TRUE(),N(AF46)=AE46)),"一致","不一致"))))</f>
        <v>手動確認</v>
      </c>
      <c r="G46" s="25" t="s">
        <v>159</v>
      </c>
      <c r="H46" s="26"/>
      <c r="I46" s="27"/>
      <c r="J46" s="27"/>
      <c r="K46" s="27"/>
      <c r="L46" s="27" t="n">
        <v>145485</v>
      </c>
      <c r="M46" s="27" t="n">
        <v>11925</v>
      </c>
      <c r="N46" s="27" t="n">
        <v>145485</v>
      </c>
      <c r="O46" s="27" t="n">
        <v>11925</v>
      </c>
      <c r="P46" s="27" t="n">
        <v>138</v>
      </c>
      <c r="Q46" s="27"/>
      <c r="R46" s="27"/>
      <c r="S46" s="27"/>
      <c r="T46" s="27"/>
      <c r="U46" s="27"/>
      <c r="V46" s="27"/>
      <c r="W46" s="10" t="str">
        <f aca="false">IFERROR(INDEX(設定!$E$61:$E$106,MATCH(B46,設定!$B$61:$B$106,0)),"合算")</f>
        <v>合算</v>
      </c>
      <c r="X46" s="28"/>
      <c r="Y46" s="29" t="n">
        <f aca="false">IF(OR(G46="",G46="なし"),"",IF(W46="合算",CF46,IF(W46="掛金・負担金別",(AU46+AV46+AZ46+BB46+BD46),SUM(AU46:AY46))))</f>
        <v>314958</v>
      </c>
      <c r="Z46" s="27"/>
      <c r="AA46" s="29" t="str">
        <f aca="false">IF(OR(G46="",G46="なし"),"",IF(W46="掛金・負担金別",(AW46+AX46+AY46+BA46+BC46+BE46),IF(W46="経理区分別",AZ46+BA46,"")))</f>
        <v/>
      </c>
      <c r="AB46" s="27"/>
      <c r="AC46" s="29" t="str">
        <f aca="false">IF(OR(G46="",G46="なし"),"",IF(W46="経理区分別",BB46+BC46,""))</f>
        <v/>
      </c>
      <c r="AD46" s="27"/>
      <c r="AE46" s="29" t="str">
        <f aca="false">IF(OR(G46="",G46="なし"),"",IF(W46="経理区分別",BD46+BE46,""))</f>
        <v/>
      </c>
      <c r="AF46" s="27"/>
      <c r="AG46" s="26" t="s">
        <v>160</v>
      </c>
      <c r="AH46" s="26"/>
      <c r="AI46" s="30"/>
      <c r="AJ46" s="31"/>
      <c r="AK46" s="31"/>
      <c r="AL46" s="31"/>
      <c r="AM46" s="31"/>
      <c r="AN46" s="31"/>
      <c r="AO46" s="31"/>
      <c r="AP46" s="31"/>
      <c r="AQ46" s="31"/>
      <c r="AR46" s="31"/>
      <c r="AS46" s="31"/>
      <c r="AT46" s="31"/>
      <c r="AU46" s="31" t="n">
        <f aca="false">IF($G46="",AJ46,L46)</f>
        <v>145485</v>
      </c>
      <c r="AV46" s="31" t="n">
        <f aca="false">IF($G46="",AK46,M46)</f>
        <v>11925</v>
      </c>
      <c r="AW46" s="31" t="n">
        <f aca="false">IF($G46="",AL46,N46)</f>
        <v>145485</v>
      </c>
      <c r="AX46" s="31" t="n">
        <f aca="false">IF($G46="",AM46,O46)</f>
        <v>11925</v>
      </c>
      <c r="AY46" s="31" t="n">
        <f aca="false">IF($G46="",AN46,P46)</f>
        <v>138</v>
      </c>
      <c r="AZ46" s="31" t="n">
        <f aca="false">IF($G46="",AO46,Q46)</f>
        <v>0</v>
      </c>
      <c r="BA46" s="31" t="n">
        <f aca="false">IF($G46="",AP46,R46)</f>
        <v>0</v>
      </c>
      <c r="BB46" s="31" t="n">
        <f aca="false">IF($G46="",AQ46,S46)</f>
        <v>0</v>
      </c>
      <c r="BC46" s="31" t="n">
        <f aca="false">IF($G46="",AR46,T46)</f>
        <v>0</v>
      </c>
      <c r="BD46" s="31" t="n">
        <f aca="false">IF($G46="",AS46,U46)</f>
        <v>0</v>
      </c>
      <c r="BE46" s="31" t="n">
        <f aca="false">IF($G46="",AT46,V46)</f>
        <v>0</v>
      </c>
      <c r="BF46" s="31" t="n">
        <f aca="false">ROUNDDOWN(I46*設定!$B$10/1000,0)+ROUNDDOWN(I46*設定!$B$11/1000,0)</f>
        <v>0</v>
      </c>
      <c r="BG46" s="31" t="n">
        <f aca="false">ROUNDDOWN(I46*設定!$C$10/1000,0)+ROUNDDOWN(I46*設定!$C$11/1000,0)+ROUNDDOWN(I46*設定!$C$12/1000,0)</f>
        <v>0</v>
      </c>
      <c r="BH46" s="31" t="n">
        <f aca="false">ROUNDDOWN(J46*設定!$B$13/1000,0)</f>
        <v>0</v>
      </c>
      <c r="BI46" s="31" t="n">
        <f aca="false">ROUNDDOWN(J46*設定!$C$13/1000,0)</f>
        <v>0</v>
      </c>
      <c r="BJ46" s="31" t="n">
        <f aca="false">ROUNDDOWN(K46*設定!$B$14/1000,0)</f>
        <v>0</v>
      </c>
      <c r="BK46" s="31" t="n">
        <f aca="false">ROUNDDOWN(K46*設定!$C$14/1000,0)</f>
        <v>0</v>
      </c>
      <c r="BL46" s="31" t="n">
        <f aca="false">ROUNDDOWN(J46*設定!$B$15/1000,0)</f>
        <v>0</v>
      </c>
      <c r="BM46" s="31" t="n">
        <f aca="false">ROUNDDOWN(J46*設定!$C$15/1000,0)</f>
        <v>0</v>
      </c>
      <c r="BN46" s="31" t="n">
        <f aca="false">L46+M46</f>
        <v>157410</v>
      </c>
      <c r="BO46" s="31" t="n">
        <f aca="false">N46+O46+P46</f>
        <v>157548</v>
      </c>
      <c r="BP46" s="31" t="n">
        <f aca="false">Q46</f>
        <v>0</v>
      </c>
      <c r="BQ46" s="31" t="n">
        <f aca="false">R46</f>
        <v>0</v>
      </c>
      <c r="BR46" s="31" t="n">
        <f aca="false">S46</f>
        <v>0</v>
      </c>
      <c r="BS46" s="31" t="n">
        <f aca="false">T46</f>
        <v>0</v>
      </c>
      <c r="BT46" s="31" t="n">
        <f aca="false">U46</f>
        <v>0</v>
      </c>
      <c r="BU46" s="31" t="n">
        <f aca="false">V46</f>
        <v>0</v>
      </c>
      <c r="BV46" s="32" t="n">
        <f aca="false">IF(BF46=0,IF(BN46=0,0,1),(BN46-BF46)/BF46)</f>
        <v>1</v>
      </c>
      <c r="BW46" s="32" t="n">
        <f aca="false">IF(BG46=0,IF(BO46=0,0,1),(BO46-BG46)/BG46)</f>
        <v>1</v>
      </c>
      <c r="BX46" s="32" t="n">
        <f aca="false">IF(BH46=0,IF(BP46=0,0,1),(BP46-BH46)/BH46)</f>
        <v>0</v>
      </c>
      <c r="BY46" s="32" t="n">
        <f aca="false">IF(BI46=0,IF(BQ46=0,0,1),(BQ46-BI46)/BI46)</f>
        <v>0</v>
      </c>
      <c r="BZ46" s="32" t="n">
        <f aca="false">IF(BJ46=0,IF(BR46=0,0,1),(BR46-BJ46)/BJ46)</f>
        <v>0</v>
      </c>
      <c r="CA46" s="32" t="n">
        <f aca="false">IF(BK46=0,IF(BS46=0,0,1),(BS46-BK46)/BK46)</f>
        <v>0</v>
      </c>
      <c r="CB46" s="32" t="n">
        <f aca="false">IF(BL46=0,IF(BT46=0,0,1),(BT46-BL46)/BL46)</f>
        <v>0</v>
      </c>
      <c r="CC46" s="32" t="n">
        <f aca="false">IF(BM46=0,IF(BU46=0,0,1),(BU46-BM46)/BM46)</f>
        <v>0</v>
      </c>
      <c r="CD46" s="32" t="n">
        <f aca="false">MAX(MAX(BV46:CC46),-MIN(BV46:CC46))</f>
        <v>1</v>
      </c>
      <c r="CE46" s="31" t="str">
        <f aca="false">IF(CI46="","",SUMIFS($CF$7:$CF$696,$A$7:$A$696,CI46,$B$7:$B$696,B46))</f>
        <v/>
      </c>
      <c r="CF46" s="31" t="n">
        <f aca="false">SUM(AU46:BE46)</f>
        <v>314958</v>
      </c>
      <c r="CG46" s="33" t="str">
        <f aca="false">A46&amp;"|"&amp;B46</f>
        <v>2026-04 月例|高速交通（株）</v>
      </c>
      <c r="CH46" s="34" t="str">
        <f aca="false">IFERROR(INDEX(設定!$D$61:$D$106,MATCH(B46,設定!$B$61:$B$106,0)),"Y")</f>
        <v>Y</v>
      </c>
      <c r="CI46" s="34" t="str">
        <f aca="false">IFERROR(INDEX(設定!$D$20:$D$34,MATCH(A46,設定!$A$20:$A$34,0))&amp;"","")</f>
        <v/>
      </c>
    </row>
    <row r="47" customFormat="false" ht="15" hidden="true" customHeight="false" outlineLevel="0" collapsed="false">
      <c r="A47" s="22" t="s">
        <v>157</v>
      </c>
      <c r="B47" s="23" t="s">
        <v>201</v>
      </c>
      <c r="C47" s="10" t="str">
        <f aca="false">IF(G47="","未受領",IF(G47="なし","報告なし",IF(AH47="○","起票済",IF(OR(AG47="○",F47="一致",F47="入金不要"),"入金確認済","受領済"))))</f>
        <v>入金確認済</v>
      </c>
      <c r="D47" s="10" t="str">
        <f aca="false">IF(OR(G47="",G47="なし"),"―",IF(CH47="N","対象外",IF(AND(I47="",J47="",K47=""),"標報未入力",IF(CD47&gt;=設定!$B$4,"要確認","問題なし"))))</f>
        <v>標報未入力</v>
      </c>
      <c r="E47" s="24" t="str">
        <f aca="false">IF(OR(G47="",G47="なし",CE47="",CF47=0),"―",IF(CF47=CE47,"前月同額",IF(CE47=0,"―",IF(ABS(CF47/CE47-1)&gt;=設定!$B$5,"変動大 "&amp;TEXT(CF47/CE47-1,"+0%;-0%"),"〇"))))</f>
        <v>―</v>
      </c>
      <c r="F47" s="10" t="str">
        <f aca="false">IF(OR(G47="",G47="なし"),"―",IF(CF47=0,"入金不要",IF(COUNT(Z47,AB47,AD47,AF47)=0,IF(AG47="○","手動確認","未入金"),IF(AND(N(Z47)=Y47,IF(AA47="",TRUE(),N(AB47)=AA47),IF(AC47="",TRUE(),N(AD47)=AC47),IF(AE47="",TRUE(),N(AF47)=AE47)),"一致","不一致"))))</f>
        <v>手動確認</v>
      </c>
      <c r="G47" s="25" t="s">
        <v>159</v>
      </c>
      <c r="H47" s="26"/>
      <c r="I47" s="27"/>
      <c r="J47" s="27"/>
      <c r="K47" s="27"/>
      <c r="L47" s="27" t="n">
        <v>45750</v>
      </c>
      <c r="M47" s="27" t="n">
        <v>3750</v>
      </c>
      <c r="N47" s="27" t="n">
        <v>45750</v>
      </c>
      <c r="O47" s="27" t="n">
        <v>3750</v>
      </c>
      <c r="P47" s="27" t="n">
        <v>43</v>
      </c>
      <c r="Q47" s="27"/>
      <c r="R47" s="27"/>
      <c r="S47" s="27"/>
      <c r="T47" s="27"/>
      <c r="U47" s="27"/>
      <c r="V47" s="27"/>
      <c r="W47" s="10" t="str">
        <f aca="false">IFERROR(INDEX(設定!$E$61:$E$106,MATCH(B47,設定!$B$61:$B$106,0)),"合算")</f>
        <v>合算</v>
      </c>
      <c r="X47" s="28"/>
      <c r="Y47" s="29" t="n">
        <f aca="false">IF(OR(G47="",G47="なし"),"",IF(W47="合算",CF47,IF(W47="掛金・負担金別",(AU47+AV47+AZ47+BB47+BD47),SUM(AU47:AY47))))</f>
        <v>99043</v>
      </c>
      <c r="Z47" s="27"/>
      <c r="AA47" s="29" t="str">
        <f aca="false">IF(OR(G47="",G47="なし"),"",IF(W47="掛金・負担金別",(AW47+AX47+AY47+BA47+BC47+BE47),IF(W47="経理区分別",AZ47+BA47,"")))</f>
        <v/>
      </c>
      <c r="AB47" s="27"/>
      <c r="AC47" s="29" t="str">
        <f aca="false">IF(OR(G47="",G47="なし"),"",IF(W47="経理区分別",BB47+BC47,""))</f>
        <v/>
      </c>
      <c r="AD47" s="27"/>
      <c r="AE47" s="29" t="str">
        <f aca="false">IF(OR(G47="",G47="なし"),"",IF(W47="経理区分別",BD47+BE47,""))</f>
        <v/>
      </c>
      <c r="AF47" s="27"/>
      <c r="AG47" s="26" t="s">
        <v>160</v>
      </c>
      <c r="AH47" s="26"/>
      <c r="AI47" s="30"/>
      <c r="AJ47" s="31"/>
      <c r="AK47" s="31"/>
      <c r="AL47" s="31"/>
      <c r="AM47" s="31"/>
      <c r="AN47" s="31"/>
      <c r="AO47" s="31"/>
      <c r="AP47" s="31"/>
      <c r="AQ47" s="31"/>
      <c r="AR47" s="31"/>
      <c r="AS47" s="31"/>
      <c r="AT47" s="31"/>
      <c r="AU47" s="31" t="n">
        <f aca="false">IF($G47="",AJ47,L47)</f>
        <v>45750</v>
      </c>
      <c r="AV47" s="31" t="n">
        <f aca="false">IF($G47="",AK47,M47)</f>
        <v>3750</v>
      </c>
      <c r="AW47" s="31" t="n">
        <f aca="false">IF($G47="",AL47,N47)</f>
        <v>45750</v>
      </c>
      <c r="AX47" s="31" t="n">
        <f aca="false">IF($G47="",AM47,O47)</f>
        <v>3750</v>
      </c>
      <c r="AY47" s="31" t="n">
        <f aca="false">IF($G47="",AN47,P47)</f>
        <v>43</v>
      </c>
      <c r="AZ47" s="31" t="n">
        <f aca="false">IF($G47="",AO47,Q47)</f>
        <v>0</v>
      </c>
      <c r="BA47" s="31" t="n">
        <f aca="false">IF($G47="",AP47,R47)</f>
        <v>0</v>
      </c>
      <c r="BB47" s="31" t="n">
        <f aca="false">IF($G47="",AQ47,S47)</f>
        <v>0</v>
      </c>
      <c r="BC47" s="31" t="n">
        <f aca="false">IF($G47="",AR47,T47)</f>
        <v>0</v>
      </c>
      <c r="BD47" s="31" t="n">
        <f aca="false">IF($G47="",AS47,U47)</f>
        <v>0</v>
      </c>
      <c r="BE47" s="31" t="n">
        <f aca="false">IF($G47="",AT47,V47)</f>
        <v>0</v>
      </c>
      <c r="BF47" s="31" t="n">
        <f aca="false">ROUNDDOWN(I47*設定!$B$10/1000,0)+ROUNDDOWN(I47*設定!$B$11/1000,0)</f>
        <v>0</v>
      </c>
      <c r="BG47" s="31" t="n">
        <f aca="false">ROUNDDOWN(I47*設定!$C$10/1000,0)+ROUNDDOWN(I47*設定!$C$11/1000,0)+ROUNDDOWN(I47*設定!$C$12/1000,0)</f>
        <v>0</v>
      </c>
      <c r="BH47" s="31" t="n">
        <f aca="false">ROUNDDOWN(J47*設定!$B$13/1000,0)</f>
        <v>0</v>
      </c>
      <c r="BI47" s="31" t="n">
        <f aca="false">ROUNDDOWN(J47*設定!$C$13/1000,0)</f>
        <v>0</v>
      </c>
      <c r="BJ47" s="31" t="n">
        <f aca="false">ROUNDDOWN(K47*設定!$B$14/1000,0)</f>
        <v>0</v>
      </c>
      <c r="BK47" s="31" t="n">
        <f aca="false">ROUNDDOWN(K47*設定!$C$14/1000,0)</f>
        <v>0</v>
      </c>
      <c r="BL47" s="31" t="n">
        <f aca="false">ROUNDDOWN(J47*設定!$B$15/1000,0)</f>
        <v>0</v>
      </c>
      <c r="BM47" s="31" t="n">
        <f aca="false">ROUNDDOWN(J47*設定!$C$15/1000,0)</f>
        <v>0</v>
      </c>
      <c r="BN47" s="31" t="n">
        <f aca="false">L47+M47</f>
        <v>49500</v>
      </c>
      <c r="BO47" s="31" t="n">
        <f aca="false">N47+O47+P47</f>
        <v>49543</v>
      </c>
      <c r="BP47" s="31" t="n">
        <f aca="false">Q47</f>
        <v>0</v>
      </c>
      <c r="BQ47" s="31" t="n">
        <f aca="false">R47</f>
        <v>0</v>
      </c>
      <c r="BR47" s="31" t="n">
        <f aca="false">S47</f>
        <v>0</v>
      </c>
      <c r="BS47" s="31" t="n">
        <f aca="false">T47</f>
        <v>0</v>
      </c>
      <c r="BT47" s="31" t="n">
        <f aca="false">U47</f>
        <v>0</v>
      </c>
      <c r="BU47" s="31" t="n">
        <f aca="false">V47</f>
        <v>0</v>
      </c>
      <c r="BV47" s="32" t="n">
        <f aca="false">IF(BF47=0,IF(BN47=0,0,1),(BN47-BF47)/BF47)</f>
        <v>1</v>
      </c>
      <c r="BW47" s="32" t="n">
        <f aca="false">IF(BG47=0,IF(BO47=0,0,1),(BO47-BG47)/BG47)</f>
        <v>1</v>
      </c>
      <c r="BX47" s="32" t="n">
        <f aca="false">IF(BH47=0,IF(BP47=0,0,1),(BP47-BH47)/BH47)</f>
        <v>0</v>
      </c>
      <c r="BY47" s="32" t="n">
        <f aca="false">IF(BI47=0,IF(BQ47=0,0,1),(BQ47-BI47)/BI47)</f>
        <v>0</v>
      </c>
      <c r="BZ47" s="32" t="n">
        <f aca="false">IF(BJ47=0,IF(BR47=0,0,1),(BR47-BJ47)/BJ47)</f>
        <v>0</v>
      </c>
      <c r="CA47" s="32" t="n">
        <f aca="false">IF(BK47=0,IF(BS47=0,0,1),(BS47-BK47)/BK47)</f>
        <v>0</v>
      </c>
      <c r="CB47" s="32" t="n">
        <f aca="false">IF(BL47=0,IF(BT47=0,0,1),(BT47-BL47)/BL47)</f>
        <v>0</v>
      </c>
      <c r="CC47" s="32" t="n">
        <f aca="false">IF(BM47=0,IF(BU47=0,0,1),(BU47-BM47)/BM47)</f>
        <v>0</v>
      </c>
      <c r="CD47" s="32" t="n">
        <f aca="false">MAX(MAX(BV47:CC47),-MIN(BV47:CC47))</f>
        <v>1</v>
      </c>
      <c r="CE47" s="31" t="str">
        <f aca="false">IF(CI47="","",SUMIFS($CF$7:$CF$696,$A$7:$A$696,CI47,$B$7:$B$696,B47))</f>
        <v/>
      </c>
      <c r="CF47" s="31" t="n">
        <f aca="false">SUM(AU47:BE47)</f>
        <v>99043</v>
      </c>
      <c r="CG47" s="33" t="str">
        <f aca="false">A47&amp;"|"&amp;B47</f>
        <v>2026-04 月例|広島駅南口開発（株）</v>
      </c>
      <c r="CH47" s="34" t="str">
        <f aca="false">IFERROR(INDEX(設定!$D$61:$D$106,MATCH(B47,設定!$B$61:$B$106,0)),"Y")</f>
        <v>Y</v>
      </c>
      <c r="CI47" s="34" t="str">
        <f aca="false">IFERROR(INDEX(設定!$D$20:$D$34,MATCH(A47,設定!$A$20:$A$34,0))&amp;"","")</f>
        <v/>
      </c>
    </row>
    <row r="48" customFormat="false" ht="15" hidden="true" customHeight="false" outlineLevel="0" collapsed="false">
      <c r="A48" s="22" t="s">
        <v>157</v>
      </c>
      <c r="B48" s="23" t="s">
        <v>202</v>
      </c>
      <c r="C48" s="10" t="str">
        <f aca="false">IF(G48="","未受領",IF(G48="なし","報告なし",IF(AH48="○","起票済",IF(OR(AG48="○",F48="一致",F48="入金不要"),"入金確認済","受領済"))))</f>
        <v>入金確認済</v>
      </c>
      <c r="D48" s="10" t="str">
        <f aca="false">IF(OR(G48="",G48="なし"),"―",IF(CH48="N","対象外",IF(AND(I48="",J48="",K48=""),"標報未入力",IF(CD48&gt;=設定!$B$4,"要確認","問題なし"))))</f>
        <v>標報未入力</v>
      </c>
      <c r="E48" s="24" t="str">
        <f aca="false">IF(OR(G48="",G48="なし",CE48="",CF48=0),"―",IF(CF48=CE48,"前月同額",IF(CE48=0,"―",IF(ABS(CF48/CE48-1)&gt;=設定!$B$5,"変動大 "&amp;TEXT(CF48/CE48-1,"+0%;-0%"),"〇"))))</f>
        <v>―</v>
      </c>
      <c r="F48" s="10" t="str">
        <f aca="false">IF(OR(G48="",G48="なし"),"―",IF(CF48=0,"入金不要",IF(COUNT(Z48,AB48,AD48,AF48)=0,IF(AG48="○","手動確認","未入金"),IF(AND(N(Z48)=Y48,IF(AA48="",TRUE(),N(AB48)=AA48),IF(AC48="",TRUE(),N(AD48)=AC48),IF(AE48="",TRUE(),N(AF48)=AE48)),"一致","不一致"))))</f>
        <v>手動確認</v>
      </c>
      <c r="G48" s="25" t="s">
        <v>159</v>
      </c>
      <c r="H48" s="26"/>
      <c r="I48" s="27"/>
      <c r="J48" s="27"/>
      <c r="K48" s="27"/>
      <c r="L48" s="27" t="n">
        <v>29280</v>
      </c>
      <c r="M48" s="27" t="n">
        <v>2400</v>
      </c>
      <c r="N48" s="27" t="n">
        <v>29280</v>
      </c>
      <c r="O48" s="27" t="n">
        <v>2400</v>
      </c>
      <c r="P48" s="27"/>
      <c r="Q48" s="27" t="n">
        <v>16595</v>
      </c>
      <c r="R48" s="27" t="n">
        <v>16611</v>
      </c>
      <c r="S48" s="27" t="n">
        <v>2528</v>
      </c>
      <c r="T48" s="27" t="n">
        <v>2528</v>
      </c>
      <c r="U48" s="27" t="n">
        <v>368</v>
      </c>
      <c r="V48" s="27" t="n">
        <v>368</v>
      </c>
      <c r="W48" s="10" t="str">
        <f aca="false">IFERROR(INDEX(設定!$E$61:$E$106,MATCH(B48,設定!$B$61:$B$106,0)),"合算")</f>
        <v>合算</v>
      </c>
      <c r="X48" s="28"/>
      <c r="Y48" s="29" t="n">
        <f aca="false">IF(OR(G48="",G48="なし"),"",IF(W48="合算",CF48,IF(W48="掛金・負担金別",(AU48+AV48+AZ48+BB48+BD48),SUM(AU48:AY48))))</f>
        <v>102358</v>
      </c>
      <c r="Z48" s="27"/>
      <c r="AA48" s="29" t="str">
        <f aca="false">IF(OR(G48="",G48="なし"),"",IF(W48="掛金・負担金別",(AW48+AX48+AY48+BA48+BC48+BE48),IF(W48="経理区分別",AZ48+BA48,"")))</f>
        <v/>
      </c>
      <c r="AB48" s="27"/>
      <c r="AC48" s="29" t="str">
        <f aca="false">IF(OR(G48="",G48="なし"),"",IF(W48="経理区分別",BB48+BC48,""))</f>
        <v/>
      </c>
      <c r="AD48" s="27"/>
      <c r="AE48" s="29" t="str">
        <f aca="false">IF(OR(G48="",G48="なし"),"",IF(W48="経理区分別",BD48+BE48,""))</f>
        <v/>
      </c>
      <c r="AF48" s="27"/>
      <c r="AG48" s="26" t="s">
        <v>160</v>
      </c>
      <c r="AH48" s="26"/>
      <c r="AI48" s="30"/>
      <c r="AJ48" s="31"/>
      <c r="AK48" s="31"/>
      <c r="AL48" s="31"/>
      <c r="AM48" s="31"/>
      <c r="AN48" s="31"/>
      <c r="AO48" s="31"/>
      <c r="AP48" s="31"/>
      <c r="AQ48" s="31"/>
      <c r="AR48" s="31"/>
      <c r="AS48" s="31"/>
      <c r="AT48" s="31"/>
      <c r="AU48" s="31" t="n">
        <f aca="false">IF($G48="",AJ48,L48)</f>
        <v>29280</v>
      </c>
      <c r="AV48" s="31" t="n">
        <f aca="false">IF($G48="",AK48,M48)</f>
        <v>2400</v>
      </c>
      <c r="AW48" s="31" t="n">
        <f aca="false">IF($G48="",AL48,N48)</f>
        <v>29280</v>
      </c>
      <c r="AX48" s="31" t="n">
        <f aca="false">IF($G48="",AM48,O48)</f>
        <v>2400</v>
      </c>
      <c r="AY48" s="31" t="n">
        <f aca="false">IF($G48="",AN48,P48)</f>
        <v>0</v>
      </c>
      <c r="AZ48" s="31" t="n">
        <f aca="false">IF($G48="",AO48,Q48)</f>
        <v>16595</v>
      </c>
      <c r="BA48" s="31" t="n">
        <f aca="false">IF($G48="",AP48,R48)</f>
        <v>16611</v>
      </c>
      <c r="BB48" s="31" t="n">
        <f aca="false">IF($G48="",AQ48,S48)</f>
        <v>2528</v>
      </c>
      <c r="BC48" s="31" t="n">
        <f aca="false">IF($G48="",AR48,T48)</f>
        <v>2528</v>
      </c>
      <c r="BD48" s="31" t="n">
        <f aca="false">IF($G48="",AS48,U48)</f>
        <v>368</v>
      </c>
      <c r="BE48" s="31" t="n">
        <f aca="false">IF($G48="",AT48,V48)</f>
        <v>368</v>
      </c>
      <c r="BF48" s="31" t="n">
        <f aca="false">ROUNDDOWN(I48*設定!$B$10/1000,0)+ROUNDDOWN(I48*設定!$B$11/1000,0)</f>
        <v>0</v>
      </c>
      <c r="BG48" s="31" t="n">
        <f aca="false">ROUNDDOWN(I48*設定!$C$10/1000,0)+ROUNDDOWN(I48*設定!$C$11/1000,0)+ROUNDDOWN(I48*設定!$C$12/1000,0)</f>
        <v>0</v>
      </c>
      <c r="BH48" s="31" t="n">
        <f aca="false">ROUNDDOWN(J48*設定!$B$13/1000,0)</f>
        <v>0</v>
      </c>
      <c r="BI48" s="31" t="n">
        <f aca="false">ROUNDDOWN(J48*設定!$C$13/1000,0)</f>
        <v>0</v>
      </c>
      <c r="BJ48" s="31" t="n">
        <f aca="false">ROUNDDOWN(K48*設定!$B$14/1000,0)</f>
        <v>0</v>
      </c>
      <c r="BK48" s="31" t="n">
        <f aca="false">ROUNDDOWN(K48*設定!$C$14/1000,0)</f>
        <v>0</v>
      </c>
      <c r="BL48" s="31" t="n">
        <f aca="false">ROUNDDOWN(J48*設定!$B$15/1000,0)</f>
        <v>0</v>
      </c>
      <c r="BM48" s="31" t="n">
        <f aca="false">ROUNDDOWN(J48*設定!$C$15/1000,0)</f>
        <v>0</v>
      </c>
      <c r="BN48" s="31" t="n">
        <f aca="false">L48+M48</f>
        <v>31680</v>
      </c>
      <c r="BO48" s="31" t="n">
        <f aca="false">N48+O48+P48</f>
        <v>31680</v>
      </c>
      <c r="BP48" s="31" t="n">
        <f aca="false">Q48</f>
        <v>16595</v>
      </c>
      <c r="BQ48" s="31" t="n">
        <f aca="false">R48</f>
        <v>16611</v>
      </c>
      <c r="BR48" s="31" t="n">
        <f aca="false">S48</f>
        <v>2528</v>
      </c>
      <c r="BS48" s="31" t="n">
        <f aca="false">T48</f>
        <v>2528</v>
      </c>
      <c r="BT48" s="31" t="n">
        <f aca="false">U48</f>
        <v>368</v>
      </c>
      <c r="BU48" s="31" t="n">
        <f aca="false">V48</f>
        <v>368</v>
      </c>
      <c r="BV48" s="32" t="n">
        <f aca="false">IF(BF48=0,IF(BN48=0,0,1),(BN48-BF48)/BF48)</f>
        <v>1</v>
      </c>
      <c r="BW48" s="32" t="n">
        <f aca="false">IF(BG48=0,IF(BO48=0,0,1),(BO48-BG48)/BG48)</f>
        <v>1</v>
      </c>
      <c r="BX48" s="32" t="n">
        <f aca="false">IF(BH48=0,IF(BP48=0,0,1),(BP48-BH48)/BH48)</f>
        <v>1</v>
      </c>
      <c r="BY48" s="32" t="n">
        <f aca="false">IF(BI48=0,IF(BQ48=0,0,1),(BQ48-BI48)/BI48)</f>
        <v>1</v>
      </c>
      <c r="BZ48" s="32" t="n">
        <f aca="false">IF(BJ48=0,IF(BR48=0,0,1),(BR48-BJ48)/BJ48)</f>
        <v>1</v>
      </c>
      <c r="CA48" s="32" t="n">
        <f aca="false">IF(BK48=0,IF(BS48=0,0,1),(BS48-BK48)/BK48)</f>
        <v>1</v>
      </c>
      <c r="CB48" s="32" t="n">
        <f aca="false">IF(BL48=0,IF(BT48=0,0,1),(BT48-BL48)/BL48)</f>
        <v>1</v>
      </c>
      <c r="CC48" s="32" t="n">
        <f aca="false">IF(BM48=0,IF(BU48=0,0,1),(BU48-BM48)/BM48)</f>
        <v>1</v>
      </c>
      <c r="CD48" s="32" t="n">
        <f aca="false">MAX(MAX(BV48:CC48),-MIN(BV48:CC48))</f>
        <v>1</v>
      </c>
      <c r="CE48" s="31" t="str">
        <f aca="false">IF(CI48="","",SUMIFS($CF$7:$CF$696,$A$7:$A$696,CI48,$B$7:$B$696,B48))</f>
        <v/>
      </c>
      <c r="CF48" s="31" t="n">
        <f aca="false">SUM(AU48:BE48)</f>
        <v>102358</v>
      </c>
      <c r="CG48" s="33" t="str">
        <f aca="false">A48&amp;"|"&amp;B48</f>
        <v>2026-04 月例|市職員労働組合</v>
      </c>
      <c r="CH48" s="34" t="str">
        <f aca="false">IFERROR(INDEX(設定!$D$61:$D$106,MATCH(B48,設定!$B$61:$B$106,0)),"Y")</f>
        <v>Y</v>
      </c>
      <c r="CI48" s="34" t="str">
        <f aca="false">IFERROR(INDEX(設定!$D$20:$D$34,MATCH(A48,設定!$A$20:$A$34,0))&amp;"","")</f>
        <v/>
      </c>
    </row>
    <row r="49" customFormat="false" ht="15" hidden="true" customHeight="false" outlineLevel="0" collapsed="false">
      <c r="A49" s="22" t="s">
        <v>157</v>
      </c>
      <c r="B49" s="23" t="s">
        <v>203</v>
      </c>
      <c r="C49" s="10" t="str">
        <f aca="false">IF(G49="","未受領",IF(G49="なし","報告なし",IF(AH49="○","起票済",IF(OR(AG49="○",F49="一致",F49="入金不要"),"入金確認済","受領済"))))</f>
        <v>報告なし</v>
      </c>
      <c r="D49" s="10" t="str">
        <f aca="false">IF(OR(G49="",G49="なし"),"―",IF(CH49="N","対象外",IF(AND(I49="",J49="",K49=""),"標報未入力",IF(CD49&gt;=設定!$B$4,"要確認","問題なし"))))</f>
        <v>―</v>
      </c>
      <c r="E49" s="24" t="str">
        <f aca="false">IF(OR(G49="",G49="なし",CE49="",CF49=0),"―",IF(CF49=CE49,"前月同額",IF(CE49=0,"―",IF(ABS(CF49/CE49-1)&gt;=設定!$B$5,"変動大 "&amp;TEXT(CF49/CE49-1,"+0%;-0%"),"〇"))))</f>
        <v>―</v>
      </c>
      <c r="F49" s="10" t="str">
        <f aca="false">IF(OR(G49="",G49="なし"),"―",IF(CF49=0,"入金不要",IF(COUNT(Z49,AB49,AD49,AF49)=0,IF(AG49="○","手動確認","未入金"),IF(AND(N(Z49)=Y49,IF(AA49="",TRUE(),N(AB49)=AA49),IF(AC49="",TRUE(),N(AD49)=AC49),IF(AE49="",TRUE(),N(AF49)=AE49)),"一致","不一致"))))</f>
        <v>―</v>
      </c>
      <c r="G49" s="25" t="s">
        <v>173</v>
      </c>
      <c r="H49" s="26"/>
      <c r="I49" s="27"/>
      <c r="J49" s="27"/>
      <c r="K49" s="27"/>
      <c r="L49" s="27"/>
      <c r="M49" s="27"/>
      <c r="N49" s="27"/>
      <c r="O49" s="27"/>
      <c r="P49" s="27"/>
      <c r="Q49" s="27"/>
      <c r="R49" s="27"/>
      <c r="S49" s="27"/>
      <c r="T49" s="27"/>
      <c r="U49" s="27"/>
      <c r="V49" s="27"/>
      <c r="W49" s="10" t="str">
        <f aca="false">IFERROR(INDEX(設定!$E$61:$E$106,MATCH(B49,設定!$B$61:$B$106,0)),"合算")</f>
        <v>合算</v>
      </c>
      <c r="X49" s="28"/>
      <c r="Y49" s="29" t="str">
        <f aca="false">IF(OR(G49="",G49="なし"),"",IF(W49="合算",CF49,IF(W49="掛金・負担金別",(AU49+AV49+AZ49+BB49+BD49),SUM(AU49:AY49))))</f>
        <v/>
      </c>
      <c r="Z49" s="27"/>
      <c r="AA49" s="29" t="str">
        <f aca="false">IF(OR(G49="",G49="なし"),"",IF(W49="掛金・負担金別",(AW49+AX49+AY49+BA49+BC49+BE49),IF(W49="経理区分別",AZ49+BA49,"")))</f>
        <v/>
      </c>
      <c r="AB49" s="27"/>
      <c r="AC49" s="29" t="str">
        <f aca="false">IF(OR(G49="",G49="なし"),"",IF(W49="経理区分別",BB49+BC49,""))</f>
        <v/>
      </c>
      <c r="AD49" s="27"/>
      <c r="AE49" s="29" t="str">
        <f aca="false">IF(OR(G49="",G49="なし"),"",IF(W49="経理区分別",BD49+BE49,""))</f>
        <v/>
      </c>
      <c r="AF49" s="27"/>
      <c r="AG49" s="26"/>
      <c r="AH49" s="26"/>
      <c r="AI49" s="30"/>
      <c r="AJ49" s="31"/>
      <c r="AK49" s="31"/>
      <c r="AL49" s="31"/>
      <c r="AM49" s="31"/>
      <c r="AN49" s="31"/>
      <c r="AO49" s="31"/>
      <c r="AP49" s="31"/>
      <c r="AQ49" s="31"/>
      <c r="AR49" s="31"/>
      <c r="AS49" s="31"/>
      <c r="AT49" s="31"/>
      <c r="AU49" s="31" t="n">
        <f aca="false">IF($G49="",AJ49,L49)</f>
        <v>0</v>
      </c>
      <c r="AV49" s="31" t="n">
        <f aca="false">IF($G49="",AK49,M49)</f>
        <v>0</v>
      </c>
      <c r="AW49" s="31" t="n">
        <f aca="false">IF($G49="",AL49,N49)</f>
        <v>0</v>
      </c>
      <c r="AX49" s="31" t="n">
        <f aca="false">IF($G49="",AM49,O49)</f>
        <v>0</v>
      </c>
      <c r="AY49" s="31" t="n">
        <f aca="false">IF($G49="",AN49,P49)</f>
        <v>0</v>
      </c>
      <c r="AZ49" s="31" t="n">
        <f aca="false">IF($G49="",AO49,Q49)</f>
        <v>0</v>
      </c>
      <c r="BA49" s="31" t="n">
        <f aca="false">IF($G49="",AP49,R49)</f>
        <v>0</v>
      </c>
      <c r="BB49" s="31" t="n">
        <f aca="false">IF($G49="",AQ49,S49)</f>
        <v>0</v>
      </c>
      <c r="BC49" s="31" t="n">
        <f aca="false">IF($G49="",AR49,T49)</f>
        <v>0</v>
      </c>
      <c r="BD49" s="31" t="n">
        <f aca="false">IF($G49="",AS49,U49)</f>
        <v>0</v>
      </c>
      <c r="BE49" s="31" t="n">
        <f aca="false">IF($G49="",AT49,V49)</f>
        <v>0</v>
      </c>
      <c r="BF49" s="31" t="n">
        <f aca="false">ROUNDDOWN(I49*設定!$B$10/1000,0)+ROUNDDOWN(I49*設定!$B$11/1000,0)</f>
        <v>0</v>
      </c>
      <c r="BG49" s="31" t="n">
        <f aca="false">ROUNDDOWN(I49*設定!$C$10/1000,0)+ROUNDDOWN(I49*設定!$C$11/1000,0)+ROUNDDOWN(I49*設定!$C$12/1000,0)</f>
        <v>0</v>
      </c>
      <c r="BH49" s="31" t="n">
        <f aca="false">ROUNDDOWN(J49*設定!$B$13/1000,0)</f>
        <v>0</v>
      </c>
      <c r="BI49" s="31" t="n">
        <f aca="false">ROUNDDOWN(J49*設定!$C$13/1000,0)</f>
        <v>0</v>
      </c>
      <c r="BJ49" s="31" t="n">
        <f aca="false">ROUNDDOWN(K49*設定!$B$14/1000,0)</f>
        <v>0</v>
      </c>
      <c r="BK49" s="31" t="n">
        <f aca="false">ROUNDDOWN(K49*設定!$C$14/1000,0)</f>
        <v>0</v>
      </c>
      <c r="BL49" s="31" t="n">
        <f aca="false">ROUNDDOWN(J49*設定!$B$15/1000,0)</f>
        <v>0</v>
      </c>
      <c r="BM49" s="31" t="n">
        <f aca="false">ROUNDDOWN(J49*設定!$C$15/1000,0)</f>
        <v>0</v>
      </c>
      <c r="BN49" s="31" t="n">
        <f aca="false">L49+M49</f>
        <v>0</v>
      </c>
      <c r="BO49" s="31" t="n">
        <f aca="false">N49+O49+P49</f>
        <v>0</v>
      </c>
      <c r="BP49" s="31" t="n">
        <f aca="false">Q49</f>
        <v>0</v>
      </c>
      <c r="BQ49" s="31" t="n">
        <f aca="false">R49</f>
        <v>0</v>
      </c>
      <c r="BR49" s="31" t="n">
        <f aca="false">S49</f>
        <v>0</v>
      </c>
      <c r="BS49" s="31" t="n">
        <f aca="false">T49</f>
        <v>0</v>
      </c>
      <c r="BT49" s="31" t="n">
        <f aca="false">U49</f>
        <v>0</v>
      </c>
      <c r="BU49" s="31" t="n">
        <f aca="false">V49</f>
        <v>0</v>
      </c>
      <c r="BV49" s="32" t="n">
        <f aca="false">IF(BF49=0,IF(BN49=0,0,1),(BN49-BF49)/BF49)</f>
        <v>0</v>
      </c>
      <c r="BW49" s="32" t="n">
        <f aca="false">IF(BG49=0,IF(BO49=0,0,1),(BO49-BG49)/BG49)</f>
        <v>0</v>
      </c>
      <c r="BX49" s="32" t="n">
        <f aca="false">IF(BH49=0,IF(BP49=0,0,1),(BP49-BH49)/BH49)</f>
        <v>0</v>
      </c>
      <c r="BY49" s="32" t="n">
        <f aca="false">IF(BI49=0,IF(BQ49=0,0,1),(BQ49-BI49)/BI49)</f>
        <v>0</v>
      </c>
      <c r="BZ49" s="32" t="n">
        <f aca="false">IF(BJ49=0,IF(BR49=0,0,1),(BR49-BJ49)/BJ49)</f>
        <v>0</v>
      </c>
      <c r="CA49" s="32" t="n">
        <f aca="false">IF(BK49=0,IF(BS49=0,0,1),(BS49-BK49)/BK49)</f>
        <v>0</v>
      </c>
      <c r="CB49" s="32" t="n">
        <f aca="false">IF(BL49=0,IF(BT49=0,0,1),(BT49-BL49)/BL49)</f>
        <v>0</v>
      </c>
      <c r="CC49" s="32" t="n">
        <f aca="false">IF(BM49=0,IF(BU49=0,0,1),(BU49-BM49)/BM49)</f>
        <v>0</v>
      </c>
      <c r="CD49" s="32" t="n">
        <f aca="false">MAX(MAX(BV49:CC49),-MIN(BV49:CC49))</f>
        <v>-0</v>
      </c>
      <c r="CE49" s="31" t="str">
        <f aca="false">IF(CI49="","",SUMIFS($CF$7:$CF$696,$A$7:$A$696,CI49,$B$7:$B$696,B49))</f>
        <v/>
      </c>
      <c r="CF49" s="31" t="n">
        <f aca="false">SUM(AU49:BE49)</f>
        <v>0</v>
      </c>
      <c r="CG49" s="33" t="str">
        <f aca="false">A49&amp;"|"&amp;B49</f>
        <v>2026-04 月例|自治労労働組合</v>
      </c>
      <c r="CH49" s="34" t="str">
        <f aca="false">IFERROR(INDEX(設定!$D$61:$D$106,MATCH(B49,設定!$B$61:$B$106,0)),"Y")</f>
        <v>Y</v>
      </c>
      <c r="CI49" s="34" t="str">
        <f aca="false">IFERROR(INDEX(設定!$D$20:$D$34,MATCH(A49,設定!$A$20:$A$34,0))&amp;"","")</f>
        <v/>
      </c>
    </row>
    <row r="50" customFormat="false" ht="15" hidden="true" customHeight="false" outlineLevel="0" collapsed="false">
      <c r="A50" s="22" t="s">
        <v>157</v>
      </c>
      <c r="B50" s="23" t="s">
        <v>204</v>
      </c>
      <c r="C50" s="10" t="str">
        <f aca="false">IF(G50="","未受領",IF(G50="なし","報告なし",IF(AH50="○","起票済",IF(OR(AG50="○",F50="一致",F50="入金不要"),"入金確認済","受領済"))))</f>
        <v>入金確認済</v>
      </c>
      <c r="D50" s="10" t="str">
        <f aca="false">IF(OR(G50="",G50="なし"),"―",IF(CH50="N","対象外",IF(AND(I50="",J50="",K50=""),"標報未入力",IF(CD50&gt;=設定!$B$4,"要確認","問題なし"))))</f>
        <v>標報未入力</v>
      </c>
      <c r="E50" s="24" t="str">
        <f aca="false">IF(OR(G50="",G50="なし",CE50="",CF50=0),"―",IF(CF50=CE50,"前月同額",IF(CE50=0,"―",IF(ABS(CF50/CE50-1)&gt;=設定!$B$5,"変動大 "&amp;TEXT(CF50/CE50-1,"+0%;-0%"),"〇"))))</f>
        <v>―</v>
      </c>
      <c r="F50" s="10" t="str">
        <f aca="false">IF(OR(G50="",G50="なし"),"―",IF(CF50=0,"入金不要",IF(COUNT(Z50,AB50,AD50,AF50)=0,IF(AG50="○","手動確認","未入金"),IF(AND(N(Z50)=Y50,IF(AA50="",TRUE(),N(AB50)=AA50),IF(AC50="",TRUE(),N(AD50)=AC50),IF(AE50="",TRUE(),N(AF50)=AE50)),"一致","不一致"))))</f>
        <v>手動確認</v>
      </c>
      <c r="G50" s="25" t="s">
        <v>159</v>
      </c>
      <c r="H50" s="26"/>
      <c r="I50" s="27"/>
      <c r="J50" s="27"/>
      <c r="K50" s="27"/>
      <c r="L50" s="27" t="n">
        <v>27450</v>
      </c>
      <c r="M50" s="27" t="n">
        <v>2250</v>
      </c>
      <c r="N50" s="27" t="n">
        <v>27450</v>
      </c>
      <c r="O50" s="27" t="n">
        <v>2250</v>
      </c>
      <c r="P50" s="27"/>
      <c r="Q50" s="27" t="n">
        <v>31116</v>
      </c>
      <c r="R50" s="27" t="n">
        <v>31146</v>
      </c>
      <c r="S50" s="27" t="n">
        <v>2370</v>
      </c>
      <c r="T50" s="27" t="n">
        <v>2370</v>
      </c>
      <c r="U50" s="27" t="n">
        <v>690</v>
      </c>
      <c r="V50" s="27" t="n">
        <v>690</v>
      </c>
      <c r="W50" s="10" t="str">
        <f aca="false">IFERROR(INDEX(設定!$E$61:$E$106,MATCH(B50,設定!$B$61:$B$106,0)),"合算")</f>
        <v>合算</v>
      </c>
      <c r="X50" s="28"/>
      <c r="Y50" s="29" t="n">
        <f aca="false">IF(OR(G50="",G50="なし"),"",IF(W50="合算",CF50,IF(W50="掛金・負担金別",(AU50+AV50+AZ50+BB50+BD50),SUM(AU50:AY50))))</f>
        <v>127782</v>
      </c>
      <c r="Z50" s="27"/>
      <c r="AA50" s="29" t="str">
        <f aca="false">IF(OR(G50="",G50="なし"),"",IF(W50="掛金・負担金別",(AW50+AX50+AY50+BA50+BC50+BE50),IF(W50="経理区分別",AZ50+BA50,"")))</f>
        <v/>
      </c>
      <c r="AB50" s="27"/>
      <c r="AC50" s="29" t="str">
        <f aca="false">IF(OR(G50="",G50="なし"),"",IF(W50="経理区分別",BB50+BC50,""))</f>
        <v/>
      </c>
      <c r="AD50" s="27"/>
      <c r="AE50" s="29" t="str">
        <f aca="false">IF(OR(G50="",G50="なし"),"",IF(W50="経理区分別",BD50+BE50,""))</f>
        <v/>
      </c>
      <c r="AF50" s="27"/>
      <c r="AG50" s="26" t="s">
        <v>160</v>
      </c>
      <c r="AH50" s="26"/>
      <c r="AI50" s="30"/>
      <c r="AJ50" s="31"/>
      <c r="AK50" s="31"/>
      <c r="AL50" s="31"/>
      <c r="AM50" s="31"/>
      <c r="AN50" s="31"/>
      <c r="AO50" s="31"/>
      <c r="AP50" s="31"/>
      <c r="AQ50" s="31"/>
      <c r="AR50" s="31"/>
      <c r="AS50" s="31"/>
      <c r="AT50" s="31"/>
      <c r="AU50" s="31" t="n">
        <f aca="false">IF($G50="",AJ50,L50)</f>
        <v>27450</v>
      </c>
      <c r="AV50" s="31" t="n">
        <f aca="false">IF($G50="",AK50,M50)</f>
        <v>2250</v>
      </c>
      <c r="AW50" s="31" t="n">
        <f aca="false">IF($G50="",AL50,N50)</f>
        <v>27450</v>
      </c>
      <c r="AX50" s="31" t="n">
        <f aca="false">IF($G50="",AM50,O50)</f>
        <v>2250</v>
      </c>
      <c r="AY50" s="31" t="n">
        <f aca="false">IF($G50="",AN50,P50)</f>
        <v>0</v>
      </c>
      <c r="AZ50" s="31" t="n">
        <f aca="false">IF($G50="",AO50,Q50)</f>
        <v>31116</v>
      </c>
      <c r="BA50" s="31" t="n">
        <f aca="false">IF($G50="",AP50,R50)</f>
        <v>31146</v>
      </c>
      <c r="BB50" s="31" t="n">
        <f aca="false">IF($G50="",AQ50,S50)</f>
        <v>2370</v>
      </c>
      <c r="BC50" s="31" t="n">
        <f aca="false">IF($G50="",AR50,T50)</f>
        <v>2370</v>
      </c>
      <c r="BD50" s="31" t="n">
        <f aca="false">IF($G50="",AS50,U50)</f>
        <v>690</v>
      </c>
      <c r="BE50" s="31" t="n">
        <f aca="false">IF($G50="",AT50,V50)</f>
        <v>690</v>
      </c>
      <c r="BF50" s="31" t="n">
        <f aca="false">ROUNDDOWN(I50*設定!$B$10/1000,0)+ROUNDDOWN(I50*設定!$B$11/1000,0)</f>
        <v>0</v>
      </c>
      <c r="BG50" s="31" t="n">
        <f aca="false">ROUNDDOWN(I50*設定!$C$10/1000,0)+ROUNDDOWN(I50*設定!$C$11/1000,0)+ROUNDDOWN(I50*設定!$C$12/1000,0)</f>
        <v>0</v>
      </c>
      <c r="BH50" s="31" t="n">
        <f aca="false">ROUNDDOWN(J50*設定!$B$13/1000,0)</f>
        <v>0</v>
      </c>
      <c r="BI50" s="31" t="n">
        <f aca="false">ROUNDDOWN(J50*設定!$C$13/1000,0)</f>
        <v>0</v>
      </c>
      <c r="BJ50" s="31" t="n">
        <f aca="false">ROUNDDOWN(K50*設定!$B$14/1000,0)</f>
        <v>0</v>
      </c>
      <c r="BK50" s="31" t="n">
        <f aca="false">ROUNDDOWN(K50*設定!$C$14/1000,0)</f>
        <v>0</v>
      </c>
      <c r="BL50" s="31" t="n">
        <f aca="false">ROUNDDOWN(J50*設定!$B$15/1000,0)</f>
        <v>0</v>
      </c>
      <c r="BM50" s="31" t="n">
        <f aca="false">ROUNDDOWN(J50*設定!$C$15/1000,0)</f>
        <v>0</v>
      </c>
      <c r="BN50" s="31" t="n">
        <f aca="false">L50+M50</f>
        <v>29700</v>
      </c>
      <c r="BO50" s="31" t="n">
        <f aca="false">N50+O50+P50</f>
        <v>29700</v>
      </c>
      <c r="BP50" s="31" t="n">
        <f aca="false">Q50</f>
        <v>31116</v>
      </c>
      <c r="BQ50" s="31" t="n">
        <f aca="false">R50</f>
        <v>31146</v>
      </c>
      <c r="BR50" s="31" t="n">
        <f aca="false">S50</f>
        <v>2370</v>
      </c>
      <c r="BS50" s="31" t="n">
        <f aca="false">T50</f>
        <v>2370</v>
      </c>
      <c r="BT50" s="31" t="n">
        <f aca="false">U50</f>
        <v>690</v>
      </c>
      <c r="BU50" s="31" t="n">
        <f aca="false">V50</f>
        <v>690</v>
      </c>
      <c r="BV50" s="32" t="n">
        <f aca="false">IF(BF50=0,IF(BN50=0,0,1),(BN50-BF50)/BF50)</f>
        <v>1</v>
      </c>
      <c r="BW50" s="32" t="n">
        <f aca="false">IF(BG50=0,IF(BO50=0,0,1),(BO50-BG50)/BG50)</f>
        <v>1</v>
      </c>
      <c r="BX50" s="32" t="n">
        <f aca="false">IF(BH50=0,IF(BP50=0,0,1),(BP50-BH50)/BH50)</f>
        <v>1</v>
      </c>
      <c r="BY50" s="32" t="n">
        <f aca="false">IF(BI50=0,IF(BQ50=0,0,1),(BQ50-BI50)/BI50)</f>
        <v>1</v>
      </c>
      <c r="BZ50" s="32" t="n">
        <f aca="false">IF(BJ50=0,IF(BR50=0,0,1),(BR50-BJ50)/BJ50)</f>
        <v>1</v>
      </c>
      <c r="CA50" s="32" t="n">
        <f aca="false">IF(BK50=0,IF(BS50=0,0,1),(BS50-BK50)/BK50)</f>
        <v>1</v>
      </c>
      <c r="CB50" s="32" t="n">
        <f aca="false">IF(BL50=0,IF(BT50=0,0,1),(BT50-BL50)/BL50)</f>
        <v>1</v>
      </c>
      <c r="CC50" s="32" t="n">
        <f aca="false">IF(BM50=0,IF(BU50=0,0,1),(BU50-BM50)/BM50)</f>
        <v>1</v>
      </c>
      <c r="CD50" s="32" t="n">
        <f aca="false">MAX(MAX(BV50:CC50),-MIN(BV50:CC50))</f>
        <v>1</v>
      </c>
      <c r="CE50" s="31" t="str">
        <f aca="false">IF(CI50="","",SUMIFS($CF$7:$CF$696,$A$7:$A$696,CI50,$B$7:$B$696,B50))</f>
        <v/>
      </c>
      <c r="CF50" s="31" t="n">
        <f aca="false">SUM(AU50:BE50)</f>
        <v>127782</v>
      </c>
      <c r="CG50" s="33" t="str">
        <f aca="false">A50&amp;"|"&amp;B50</f>
        <v>2026-04 月例|病院労働組合</v>
      </c>
      <c r="CH50" s="34" t="str">
        <f aca="false">IFERROR(INDEX(設定!$D$61:$D$106,MATCH(B50,設定!$B$61:$B$106,0)),"Y")</f>
        <v>Y</v>
      </c>
      <c r="CI50" s="34" t="str">
        <f aca="false">IFERROR(INDEX(設定!$D$20:$D$34,MATCH(A50,設定!$A$20:$A$34,0))&amp;"","")</f>
        <v/>
      </c>
    </row>
    <row r="51" customFormat="false" ht="15" hidden="true" customHeight="false" outlineLevel="0" collapsed="false">
      <c r="A51" s="22" t="s">
        <v>157</v>
      </c>
      <c r="B51" s="23" t="s">
        <v>205</v>
      </c>
      <c r="C51" s="10" t="str">
        <f aca="false">IF(G51="","未受領",IF(G51="なし","報告なし",IF(AH51="○","起票済",IF(OR(AG51="○",F51="一致",F51="入金不要"),"入金確認済","受領済"))))</f>
        <v>報告なし</v>
      </c>
      <c r="D51" s="10" t="str">
        <f aca="false">IF(OR(G51="",G51="なし"),"―",IF(CH51="N","対象外",IF(AND(I51="",J51="",K51=""),"標報未入力",IF(CD51&gt;=設定!$B$4,"要確認","問題なし"))))</f>
        <v>―</v>
      </c>
      <c r="E51" s="24" t="str">
        <f aca="false">IF(OR(G51="",G51="なし",CE51="",CF51=0),"―",IF(CF51=CE51,"前月同額",IF(CE51=0,"―",IF(ABS(CF51/CE51-1)&gt;=設定!$B$5,"変動大 "&amp;TEXT(CF51/CE51-1,"+0%;-0%"),"〇"))))</f>
        <v>―</v>
      </c>
      <c r="F51" s="10" t="str">
        <f aca="false">IF(OR(G51="",G51="なし"),"―",IF(CF51=0,"入金不要",IF(COUNT(Z51,AB51,AD51,AF51)=0,IF(AG51="○","手動確認","未入金"),IF(AND(N(Z51)=Y51,IF(AA51="",TRUE(),N(AB51)=AA51),IF(AC51="",TRUE(),N(AD51)=AC51),IF(AE51="",TRUE(),N(AF51)=AE51)),"一致","不一致"))))</f>
        <v>―</v>
      </c>
      <c r="G51" s="25" t="s">
        <v>173</v>
      </c>
      <c r="H51" s="26"/>
      <c r="I51" s="27"/>
      <c r="J51" s="27"/>
      <c r="K51" s="27"/>
      <c r="L51" s="27"/>
      <c r="M51" s="27"/>
      <c r="N51" s="27"/>
      <c r="O51" s="27"/>
      <c r="P51" s="27"/>
      <c r="Q51" s="27"/>
      <c r="R51" s="27"/>
      <c r="S51" s="27"/>
      <c r="T51" s="27"/>
      <c r="U51" s="27"/>
      <c r="V51" s="27"/>
      <c r="W51" s="10" t="str">
        <f aca="false">IFERROR(INDEX(設定!$E$61:$E$106,MATCH(B51,設定!$B$61:$B$106,0)),"合算")</f>
        <v>合算</v>
      </c>
      <c r="X51" s="28"/>
      <c r="Y51" s="29" t="str">
        <f aca="false">IF(OR(G51="",G51="なし"),"",IF(W51="合算",CF51,IF(W51="掛金・負担金別",(AU51+AV51+AZ51+BB51+BD51),SUM(AU51:AY51))))</f>
        <v/>
      </c>
      <c r="Z51" s="27"/>
      <c r="AA51" s="29" t="str">
        <f aca="false">IF(OR(G51="",G51="なし"),"",IF(W51="掛金・負担金別",(AW51+AX51+AY51+BA51+BC51+BE51),IF(W51="経理区分別",AZ51+BA51,"")))</f>
        <v/>
      </c>
      <c r="AB51" s="27"/>
      <c r="AC51" s="29" t="str">
        <f aca="false">IF(OR(G51="",G51="なし"),"",IF(W51="経理区分別",BB51+BC51,""))</f>
        <v/>
      </c>
      <c r="AD51" s="27"/>
      <c r="AE51" s="29" t="str">
        <f aca="false">IF(OR(G51="",G51="なし"),"",IF(W51="経理区分別",BD51+BE51,""))</f>
        <v/>
      </c>
      <c r="AF51" s="27"/>
      <c r="AG51" s="26"/>
      <c r="AH51" s="26"/>
      <c r="AI51" s="30"/>
      <c r="AJ51" s="31"/>
      <c r="AK51" s="31"/>
      <c r="AL51" s="31"/>
      <c r="AM51" s="31"/>
      <c r="AN51" s="31"/>
      <c r="AO51" s="31"/>
      <c r="AP51" s="31"/>
      <c r="AQ51" s="31"/>
      <c r="AR51" s="31"/>
      <c r="AS51" s="31"/>
      <c r="AT51" s="31"/>
      <c r="AU51" s="31" t="n">
        <f aca="false">IF($G51="",AJ51,L51)</f>
        <v>0</v>
      </c>
      <c r="AV51" s="31" t="n">
        <f aca="false">IF($G51="",AK51,M51)</f>
        <v>0</v>
      </c>
      <c r="AW51" s="31" t="n">
        <f aca="false">IF($G51="",AL51,N51)</f>
        <v>0</v>
      </c>
      <c r="AX51" s="31" t="n">
        <f aca="false">IF($G51="",AM51,O51)</f>
        <v>0</v>
      </c>
      <c r="AY51" s="31" t="n">
        <f aca="false">IF($G51="",AN51,P51)</f>
        <v>0</v>
      </c>
      <c r="AZ51" s="31" t="n">
        <f aca="false">IF($G51="",AO51,Q51)</f>
        <v>0</v>
      </c>
      <c r="BA51" s="31" t="n">
        <f aca="false">IF($G51="",AP51,R51)</f>
        <v>0</v>
      </c>
      <c r="BB51" s="31" t="n">
        <f aca="false">IF($G51="",AQ51,S51)</f>
        <v>0</v>
      </c>
      <c r="BC51" s="31" t="n">
        <f aca="false">IF($G51="",AR51,T51)</f>
        <v>0</v>
      </c>
      <c r="BD51" s="31" t="n">
        <f aca="false">IF($G51="",AS51,U51)</f>
        <v>0</v>
      </c>
      <c r="BE51" s="31" t="n">
        <f aca="false">IF($G51="",AT51,V51)</f>
        <v>0</v>
      </c>
      <c r="BF51" s="31" t="n">
        <f aca="false">ROUNDDOWN(I51*設定!$B$10/1000,0)+ROUNDDOWN(I51*設定!$B$11/1000,0)</f>
        <v>0</v>
      </c>
      <c r="BG51" s="31" t="n">
        <f aca="false">ROUNDDOWN(I51*設定!$C$10/1000,0)+ROUNDDOWN(I51*設定!$C$11/1000,0)+ROUNDDOWN(I51*設定!$C$12/1000,0)</f>
        <v>0</v>
      </c>
      <c r="BH51" s="31" t="n">
        <f aca="false">ROUNDDOWN(J51*設定!$B$13/1000,0)</f>
        <v>0</v>
      </c>
      <c r="BI51" s="31" t="n">
        <f aca="false">ROUNDDOWN(J51*設定!$C$13/1000,0)</f>
        <v>0</v>
      </c>
      <c r="BJ51" s="31" t="n">
        <f aca="false">ROUNDDOWN(K51*設定!$B$14/1000,0)</f>
        <v>0</v>
      </c>
      <c r="BK51" s="31" t="n">
        <f aca="false">ROUNDDOWN(K51*設定!$C$14/1000,0)</f>
        <v>0</v>
      </c>
      <c r="BL51" s="31" t="n">
        <f aca="false">ROUNDDOWN(J51*設定!$B$15/1000,0)</f>
        <v>0</v>
      </c>
      <c r="BM51" s="31" t="n">
        <f aca="false">ROUNDDOWN(J51*設定!$C$15/1000,0)</f>
        <v>0</v>
      </c>
      <c r="BN51" s="31" t="n">
        <f aca="false">L51+M51</f>
        <v>0</v>
      </c>
      <c r="BO51" s="31" t="n">
        <f aca="false">N51+O51+P51</f>
        <v>0</v>
      </c>
      <c r="BP51" s="31" t="n">
        <f aca="false">Q51</f>
        <v>0</v>
      </c>
      <c r="BQ51" s="31" t="n">
        <f aca="false">R51</f>
        <v>0</v>
      </c>
      <c r="BR51" s="31" t="n">
        <f aca="false">S51</f>
        <v>0</v>
      </c>
      <c r="BS51" s="31" t="n">
        <f aca="false">T51</f>
        <v>0</v>
      </c>
      <c r="BT51" s="31" t="n">
        <f aca="false">U51</f>
        <v>0</v>
      </c>
      <c r="BU51" s="31" t="n">
        <f aca="false">V51</f>
        <v>0</v>
      </c>
      <c r="BV51" s="32" t="n">
        <f aca="false">IF(BF51=0,IF(BN51=0,0,1),(BN51-BF51)/BF51)</f>
        <v>0</v>
      </c>
      <c r="BW51" s="32" t="n">
        <f aca="false">IF(BG51=0,IF(BO51=0,0,1),(BO51-BG51)/BG51)</f>
        <v>0</v>
      </c>
      <c r="BX51" s="32" t="n">
        <f aca="false">IF(BH51=0,IF(BP51=0,0,1),(BP51-BH51)/BH51)</f>
        <v>0</v>
      </c>
      <c r="BY51" s="32" t="n">
        <f aca="false">IF(BI51=0,IF(BQ51=0,0,1),(BQ51-BI51)/BI51)</f>
        <v>0</v>
      </c>
      <c r="BZ51" s="32" t="n">
        <f aca="false">IF(BJ51=0,IF(BR51=0,0,1),(BR51-BJ51)/BJ51)</f>
        <v>0</v>
      </c>
      <c r="CA51" s="32" t="n">
        <f aca="false">IF(BK51=0,IF(BS51=0,0,1),(BS51-BK51)/BK51)</f>
        <v>0</v>
      </c>
      <c r="CB51" s="32" t="n">
        <f aca="false">IF(BL51=0,IF(BT51=0,0,1),(BT51-BL51)/BL51)</f>
        <v>0</v>
      </c>
      <c r="CC51" s="32" t="n">
        <f aca="false">IF(BM51=0,IF(BU51=0,0,1),(BU51-BM51)/BM51)</f>
        <v>0</v>
      </c>
      <c r="CD51" s="32" t="n">
        <f aca="false">MAX(MAX(BV51:CC51),-MIN(BV51:CC51))</f>
        <v>-0</v>
      </c>
      <c r="CE51" s="31" t="str">
        <f aca="false">IF(CI51="","",SUMIFS($CF$7:$CF$696,$A$7:$A$696,CI51,$B$7:$B$696,B51))</f>
        <v/>
      </c>
      <c r="CF51" s="31" t="n">
        <f aca="false">SUM(AU51:BE51)</f>
        <v>0</v>
      </c>
      <c r="CG51" s="33" t="str">
        <f aca="false">A51&amp;"|"&amp;B51</f>
        <v>2026-04 月例|水道労働組合</v>
      </c>
      <c r="CH51" s="34" t="str">
        <f aca="false">IFERROR(INDEX(設定!$D$61:$D$106,MATCH(B51,設定!$B$61:$B$106,0)),"Y")</f>
        <v>Y</v>
      </c>
      <c r="CI51" s="34" t="str">
        <f aca="false">IFERROR(INDEX(設定!$D$20:$D$34,MATCH(A51,設定!$A$20:$A$34,0))&amp;"","")</f>
        <v/>
      </c>
    </row>
    <row r="52" customFormat="false" ht="15" hidden="true" customHeight="false" outlineLevel="0" collapsed="false">
      <c r="A52" s="22" t="s">
        <v>157</v>
      </c>
      <c r="B52" s="23" t="s">
        <v>206</v>
      </c>
      <c r="C52" s="10" t="str">
        <f aca="false">IF(G52="","未受領",IF(G52="なし","報告なし",IF(AH52="○","起票済",IF(OR(AG52="○",F52="一致",F52="入金不要"),"入金確認済","受領済"))))</f>
        <v>受領済</v>
      </c>
      <c r="D52" s="10" t="str">
        <f aca="false">IF(OR(G52="",G52="なし"),"―",IF(CH52="N","対象外",IF(AND(I52="",J52="",K52=""),"標報未入力",IF(CD52&gt;=設定!$B$4,"要確認","問題なし"))))</f>
        <v>対象外</v>
      </c>
      <c r="E52" s="24" t="str">
        <f aca="false">IF(OR(G52="",G52="なし",CE52="",CF52=0),"―",IF(CF52=CE52,"前月同額",IF(CE52=0,"―",IF(ABS(CF52/CE52-1)&gt;=設定!$B$5,"変動大 "&amp;TEXT(CF52/CE52-1,"+0%;-0%"),"〇"))))</f>
        <v>―</v>
      </c>
      <c r="F52" s="10" t="str">
        <f aca="false">IF(OR(G52="",G52="なし"),"―",IF(CF52=0,"入金不要",IF(COUNT(Z52,AB52,AD52,AF52)=0,IF(AG52="○","手動確認","未入金"),IF(AND(N(Z52)=Y52,IF(AA52="",TRUE(),N(AB52)=AA52),IF(AC52="",TRUE(),N(AD52)=AC52),IF(AE52="",TRUE(),N(AF52)=AE52)),"一致","不一致"))))</f>
        <v>未入金</v>
      </c>
      <c r="G52" s="25" t="s">
        <v>159</v>
      </c>
      <c r="H52" s="26"/>
      <c r="I52" s="27"/>
      <c r="J52" s="27"/>
      <c r="K52" s="27"/>
      <c r="L52" s="27"/>
      <c r="M52" s="27"/>
      <c r="N52" s="27"/>
      <c r="O52" s="27"/>
      <c r="P52" s="27"/>
      <c r="Q52" s="27" t="n">
        <v>98124999</v>
      </c>
      <c r="R52" s="27"/>
      <c r="S52" s="27" t="n">
        <v>5128891</v>
      </c>
      <c r="T52" s="27"/>
      <c r="U52" s="27" t="n">
        <v>2174616</v>
      </c>
      <c r="V52" s="27"/>
      <c r="W52" s="10" t="str">
        <f aca="false">IFERROR(INDEX(設定!$E$61:$E$106,MATCH(B52,設定!$B$61:$B$106,0)),"合算")</f>
        <v>合算</v>
      </c>
      <c r="X52" s="28"/>
      <c r="Y52" s="29" t="n">
        <f aca="false">IF(OR(G52="",G52="なし"),"",IF(W52="合算",CF52,IF(W52="掛金・負担金別",(AU52+AV52+AZ52+BB52+BD52),SUM(AU52:AY52))))</f>
        <v>105428506</v>
      </c>
      <c r="Z52" s="27"/>
      <c r="AA52" s="29" t="str">
        <f aca="false">IF(OR(G52="",G52="なし"),"",IF(W52="掛金・負担金別",(AW52+AX52+AY52+BA52+BC52+BE52),IF(W52="経理区分別",AZ52+BA52,"")))</f>
        <v/>
      </c>
      <c r="AB52" s="27"/>
      <c r="AC52" s="29" t="str">
        <f aca="false">IF(OR(G52="",G52="なし"),"",IF(W52="経理区分別",BB52+BC52,""))</f>
        <v/>
      </c>
      <c r="AD52" s="27"/>
      <c r="AE52" s="29" t="str">
        <f aca="false">IF(OR(G52="",G52="なし"),"",IF(W52="経理区分別",BD52+BE52,""))</f>
        <v/>
      </c>
      <c r="AF52" s="27"/>
      <c r="AG52" s="26"/>
      <c r="AH52" s="26"/>
      <c r="AI52" s="30"/>
      <c r="AJ52" s="31"/>
      <c r="AK52" s="31"/>
      <c r="AL52" s="31"/>
      <c r="AM52" s="31"/>
      <c r="AN52" s="31"/>
      <c r="AO52" s="31"/>
      <c r="AP52" s="31"/>
      <c r="AQ52" s="31"/>
      <c r="AR52" s="31"/>
      <c r="AS52" s="31"/>
      <c r="AT52" s="31"/>
      <c r="AU52" s="31" t="n">
        <f aca="false">IF($G52="",AJ52,L52)</f>
        <v>0</v>
      </c>
      <c r="AV52" s="31" t="n">
        <f aca="false">IF($G52="",AK52,M52)</f>
        <v>0</v>
      </c>
      <c r="AW52" s="31" t="n">
        <f aca="false">IF($G52="",AL52,N52)</f>
        <v>0</v>
      </c>
      <c r="AX52" s="31" t="n">
        <f aca="false">IF($G52="",AM52,O52)</f>
        <v>0</v>
      </c>
      <c r="AY52" s="31" t="n">
        <f aca="false">IF($G52="",AN52,P52)</f>
        <v>0</v>
      </c>
      <c r="AZ52" s="31" t="n">
        <f aca="false">IF($G52="",AO52,Q52)</f>
        <v>98124999</v>
      </c>
      <c r="BA52" s="31" t="n">
        <f aca="false">IF($G52="",AP52,R52)</f>
        <v>0</v>
      </c>
      <c r="BB52" s="31" t="n">
        <f aca="false">IF($G52="",AQ52,S52)</f>
        <v>5128891</v>
      </c>
      <c r="BC52" s="31" t="n">
        <f aca="false">IF($G52="",AR52,T52)</f>
        <v>0</v>
      </c>
      <c r="BD52" s="31" t="n">
        <f aca="false">IF($G52="",AS52,U52)</f>
        <v>2174616</v>
      </c>
      <c r="BE52" s="31" t="n">
        <f aca="false">IF($G52="",AT52,V52)</f>
        <v>0</v>
      </c>
      <c r="BF52" s="31" t="n">
        <f aca="false">ROUNDDOWN(I52*設定!$B$10/1000,0)+ROUNDDOWN(I52*設定!$B$11/1000,0)</f>
        <v>0</v>
      </c>
      <c r="BG52" s="31" t="n">
        <f aca="false">ROUNDDOWN(I52*設定!$C$10/1000,0)+ROUNDDOWN(I52*設定!$C$11/1000,0)+ROUNDDOWN(I52*設定!$C$12/1000,0)</f>
        <v>0</v>
      </c>
      <c r="BH52" s="31" t="n">
        <f aca="false">ROUNDDOWN(J52*設定!$B$13/1000,0)</f>
        <v>0</v>
      </c>
      <c r="BI52" s="31" t="n">
        <f aca="false">ROUNDDOWN(J52*設定!$C$13/1000,0)</f>
        <v>0</v>
      </c>
      <c r="BJ52" s="31" t="n">
        <f aca="false">ROUNDDOWN(K52*設定!$B$14/1000,0)</f>
        <v>0</v>
      </c>
      <c r="BK52" s="31" t="n">
        <f aca="false">ROUNDDOWN(K52*設定!$C$14/1000,0)</f>
        <v>0</v>
      </c>
      <c r="BL52" s="31" t="n">
        <f aca="false">ROUNDDOWN(J52*設定!$B$15/1000,0)</f>
        <v>0</v>
      </c>
      <c r="BM52" s="31" t="n">
        <f aca="false">ROUNDDOWN(J52*設定!$C$15/1000,0)</f>
        <v>0</v>
      </c>
      <c r="BN52" s="31" t="n">
        <f aca="false">L52+M52</f>
        <v>0</v>
      </c>
      <c r="BO52" s="31" t="n">
        <f aca="false">N52+O52+P52</f>
        <v>0</v>
      </c>
      <c r="BP52" s="31" t="n">
        <f aca="false">Q52</f>
        <v>98124999</v>
      </c>
      <c r="BQ52" s="31" t="n">
        <f aca="false">R52</f>
        <v>0</v>
      </c>
      <c r="BR52" s="31" t="n">
        <f aca="false">S52</f>
        <v>5128891</v>
      </c>
      <c r="BS52" s="31" t="n">
        <f aca="false">T52</f>
        <v>0</v>
      </c>
      <c r="BT52" s="31" t="n">
        <f aca="false">U52</f>
        <v>2174616</v>
      </c>
      <c r="BU52" s="31" t="n">
        <f aca="false">V52</f>
        <v>0</v>
      </c>
      <c r="BV52" s="32" t="n">
        <f aca="false">IF(BF52=0,IF(BN52=0,0,1),(BN52-BF52)/BF52)</f>
        <v>0</v>
      </c>
      <c r="BW52" s="32" t="n">
        <f aca="false">IF(BG52=0,IF(BO52=0,0,1),(BO52-BG52)/BG52)</f>
        <v>0</v>
      </c>
      <c r="BX52" s="32" t="n">
        <f aca="false">IF(BH52=0,IF(BP52=0,0,1),(BP52-BH52)/BH52)</f>
        <v>1</v>
      </c>
      <c r="BY52" s="32" t="n">
        <f aca="false">IF(BI52=0,IF(BQ52=0,0,1),(BQ52-BI52)/BI52)</f>
        <v>0</v>
      </c>
      <c r="BZ52" s="32" t="n">
        <f aca="false">IF(BJ52=0,IF(BR52=0,0,1),(BR52-BJ52)/BJ52)</f>
        <v>1</v>
      </c>
      <c r="CA52" s="32" t="n">
        <f aca="false">IF(BK52=0,IF(BS52=0,0,1),(BS52-BK52)/BK52)</f>
        <v>0</v>
      </c>
      <c r="CB52" s="32" t="n">
        <f aca="false">IF(BL52=0,IF(BT52=0,0,1),(BT52-BL52)/BL52)</f>
        <v>1</v>
      </c>
      <c r="CC52" s="32" t="n">
        <f aca="false">IF(BM52=0,IF(BU52=0,0,1),(BU52-BM52)/BM52)</f>
        <v>0</v>
      </c>
      <c r="CD52" s="32" t="n">
        <f aca="false">MAX(MAX(BV52:CC52),-MIN(BV52:CC52))</f>
        <v>1</v>
      </c>
      <c r="CE52" s="31" t="str">
        <f aca="false">IF(CI52="","",SUMIFS($CF$7:$CF$696,$A$7:$A$696,CI52,$B$7:$B$696,B52))</f>
        <v/>
      </c>
      <c r="CF52" s="31" t="n">
        <f aca="false">SUM(AU52:BE52)</f>
        <v>105428506</v>
      </c>
      <c r="CG52" s="33" t="str">
        <f aca="false">A52&amp;"|"&amp;B52</f>
        <v>2026-04 月例|任意継続組合員</v>
      </c>
      <c r="CH52" s="34" t="str">
        <f aca="false">IFERROR(INDEX(設定!$D$61:$D$106,MATCH(B52,設定!$B$61:$B$106,0)),"Y")</f>
        <v>N</v>
      </c>
      <c r="CI52" s="34" t="str">
        <f aca="false">IFERROR(INDEX(設定!$D$20:$D$34,MATCH(A52,設定!$A$20:$A$34,0))&amp;"","")</f>
        <v/>
      </c>
    </row>
    <row r="53" customFormat="false" ht="15" hidden="true" customHeight="false" outlineLevel="0" collapsed="false">
      <c r="A53" s="22" t="s">
        <v>207</v>
      </c>
      <c r="B53" s="23" t="s">
        <v>158</v>
      </c>
      <c r="C53" s="10" t="str">
        <f aca="false">IF(G53="","未受領",IF(G53="なし","報告なし",IF(AH53="○","起票済",IF(OR(AG53="○",F53="一致",F53="入金不要"),"入金確認済","受領済"))))</f>
        <v>入金確認済</v>
      </c>
      <c r="D53" s="10" t="str">
        <f aca="false">IF(OR(G53="",G53="なし"),"―",IF(CH53="N","対象外",IF(AND(I53="",J53="",K53=""),"標報未入力",IF(CD53&gt;=設定!$B$4,"要確認","問題なし"))))</f>
        <v>対象外</v>
      </c>
      <c r="E53" s="24" t="str">
        <f aca="false">IF(OR(G53="",G53="なし",CE53="",CF53=0),"―",IF(CF53=CE53,"前月同額",IF(CE53=0,"―",IF(ABS(CF53/CE53-1)&gt;=設定!$B$5,"変動大 "&amp;TEXT(CF53/CE53-1,"+0%;-0%"),"〇"))))</f>
        <v>〇</v>
      </c>
      <c r="F53" s="10" t="str">
        <f aca="false">IF(OR(G53="",G53="なし"),"―",IF(CF53=0,"入金不要",IF(COUNT(Z53,AB53,AD53,AF53)=0,IF(AG53="○","手動確認","未入金"),IF(AND(N(Z53)=Y53,IF(AA53="",TRUE(),N(AB53)=AA53),IF(AC53="",TRUE(),N(AD53)=AC53),IF(AE53="",TRUE(),N(AF53)=AE53)),"一致","不一致"))))</f>
        <v>手動確認</v>
      </c>
      <c r="G53" s="25" t="s">
        <v>159</v>
      </c>
      <c r="H53" s="26"/>
      <c r="I53" s="27"/>
      <c r="J53" s="27"/>
      <c r="K53" s="27"/>
      <c r="L53" s="27" t="n">
        <v>238475809</v>
      </c>
      <c r="M53" s="27" t="n">
        <v>19550325</v>
      </c>
      <c r="N53" s="27" t="n">
        <v>341906412</v>
      </c>
      <c r="O53" s="27" t="n">
        <v>19051575</v>
      </c>
      <c r="P53" s="27" t="n">
        <v>229826</v>
      </c>
      <c r="Q53" s="27" t="n">
        <v>172680807</v>
      </c>
      <c r="R53" s="27" t="n">
        <v>172045423</v>
      </c>
      <c r="S53" s="27" t="n">
        <v>15732881</v>
      </c>
      <c r="T53" s="27" t="n">
        <v>15312274</v>
      </c>
      <c r="U53" s="27" t="n">
        <v>3826633</v>
      </c>
      <c r="V53" s="27" t="n">
        <v>3748524</v>
      </c>
      <c r="W53" s="10" t="str">
        <f aca="false">IFERROR(INDEX(設定!$E$61:$E$106,MATCH(B53,設定!$B$61:$B$106,0)),"合算")</f>
        <v>合算</v>
      </c>
      <c r="X53" s="28"/>
      <c r="Y53" s="29" t="n">
        <f aca="false">IF(OR(G53="",G53="なし"),"",IF(W53="合算",CF53,IF(W53="掛金・負担金別",(AU53+AV53+AZ53+BB53+BD53),SUM(AU53:AY53))))</f>
        <v>1002560489</v>
      </c>
      <c r="Z53" s="27"/>
      <c r="AA53" s="29" t="str">
        <f aca="false">IF(OR(G53="",G53="なし"),"",IF(W53="掛金・負担金別",(AW53+AX53+AY53+BA53+BC53+BE53),IF(W53="経理区分別",AZ53+BA53,"")))</f>
        <v/>
      </c>
      <c r="AB53" s="27"/>
      <c r="AC53" s="29" t="str">
        <f aca="false">IF(OR(G53="",G53="なし"),"",IF(W53="経理区分別",BB53+BC53,""))</f>
        <v/>
      </c>
      <c r="AD53" s="27"/>
      <c r="AE53" s="29" t="str">
        <f aca="false">IF(OR(G53="",G53="なし"),"",IF(W53="経理区分別",BD53+BE53,""))</f>
        <v/>
      </c>
      <c r="AF53" s="27"/>
      <c r="AG53" s="26" t="s">
        <v>160</v>
      </c>
      <c r="AH53" s="26"/>
      <c r="AI53" s="30"/>
      <c r="AJ53" s="31"/>
      <c r="AK53" s="31"/>
      <c r="AL53" s="31"/>
      <c r="AM53" s="31"/>
      <c r="AN53" s="31"/>
      <c r="AO53" s="31"/>
      <c r="AP53" s="31"/>
      <c r="AQ53" s="31"/>
      <c r="AR53" s="31"/>
      <c r="AS53" s="31"/>
      <c r="AT53" s="31"/>
      <c r="AU53" s="31" t="n">
        <f aca="false">IF($G53="",AJ53,L53)</f>
        <v>238475809</v>
      </c>
      <c r="AV53" s="31" t="n">
        <f aca="false">IF($G53="",AK53,M53)</f>
        <v>19550325</v>
      </c>
      <c r="AW53" s="31" t="n">
        <f aca="false">IF($G53="",AL53,N53)</f>
        <v>341906412</v>
      </c>
      <c r="AX53" s="31" t="n">
        <f aca="false">IF($G53="",AM53,O53)</f>
        <v>19051575</v>
      </c>
      <c r="AY53" s="31" t="n">
        <f aca="false">IF($G53="",AN53,P53)</f>
        <v>229826</v>
      </c>
      <c r="AZ53" s="31" t="n">
        <f aca="false">IF($G53="",AO53,Q53)</f>
        <v>172680807</v>
      </c>
      <c r="BA53" s="31" t="n">
        <f aca="false">IF($G53="",AP53,R53)</f>
        <v>172045423</v>
      </c>
      <c r="BB53" s="31" t="n">
        <f aca="false">IF($G53="",AQ53,S53)</f>
        <v>15732881</v>
      </c>
      <c r="BC53" s="31" t="n">
        <f aca="false">IF($G53="",AR53,T53)</f>
        <v>15312274</v>
      </c>
      <c r="BD53" s="31" t="n">
        <f aca="false">IF($G53="",AS53,U53)</f>
        <v>3826633</v>
      </c>
      <c r="BE53" s="31" t="n">
        <f aca="false">IF($G53="",AT53,V53)</f>
        <v>3748524</v>
      </c>
      <c r="BF53" s="31" t="n">
        <f aca="false">ROUNDDOWN(I53*設定!$B$10/1000,0)+ROUNDDOWN(I53*設定!$B$11/1000,0)</f>
        <v>0</v>
      </c>
      <c r="BG53" s="31" t="n">
        <f aca="false">ROUNDDOWN(I53*設定!$C$10/1000,0)+ROUNDDOWN(I53*設定!$C$11/1000,0)+ROUNDDOWN(I53*設定!$C$12/1000,0)</f>
        <v>0</v>
      </c>
      <c r="BH53" s="31" t="n">
        <f aca="false">ROUNDDOWN(J53*設定!$B$13/1000,0)</f>
        <v>0</v>
      </c>
      <c r="BI53" s="31" t="n">
        <f aca="false">ROUNDDOWN(J53*設定!$C$13/1000,0)</f>
        <v>0</v>
      </c>
      <c r="BJ53" s="31" t="n">
        <f aca="false">ROUNDDOWN(K53*設定!$B$14/1000,0)</f>
        <v>0</v>
      </c>
      <c r="BK53" s="31" t="n">
        <f aca="false">ROUNDDOWN(K53*設定!$C$14/1000,0)</f>
        <v>0</v>
      </c>
      <c r="BL53" s="31" t="n">
        <f aca="false">ROUNDDOWN(J53*設定!$B$15/1000,0)</f>
        <v>0</v>
      </c>
      <c r="BM53" s="31" t="n">
        <f aca="false">ROUNDDOWN(J53*設定!$C$15/1000,0)</f>
        <v>0</v>
      </c>
      <c r="BN53" s="31" t="n">
        <f aca="false">L53+M53</f>
        <v>258026134</v>
      </c>
      <c r="BO53" s="31" t="n">
        <f aca="false">N53+O53+P53</f>
        <v>361187813</v>
      </c>
      <c r="BP53" s="31" t="n">
        <f aca="false">Q53</f>
        <v>172680807</v>
      </c>
      <c r="BQ53" s="31" t="n">
        <f aca="false">R53</f>
        <v>172045423</v>
      </c>
      <c r="BR53" s="31" t="n">
        <f aca="false">S53</f>
        <v>15732881</v>
      </c>
      <c r="BS53" s="31" t="n">
        <f aca="false">T53</f>
        <v>15312274</v>
      </c>
      <c r="BT53" s="31" t="n">
        <f aca="false">U53</f>
        <v>3826633</v>
      </c>
      <c r="BU53" s="31" t="n">
        <f aca="false">V53</f>
        <v>3748524</v>
      </c>
      <c r="BV53" s="32" t="n">
        <f aca="false">IF(BF53=0,IF(BN53=0,0,1),(BN53-BF53)/BF53)</f>
        <v>1</v>
      </c>
      <c r="BW53" s="32" t="n">
        <f aca="false">IF(BG53=0,IF(BO53=0,0,1),(BO53-BG53)/BG53)</f>
        <v>1</v>
      </c>
      <c r="BX53" s="32" t="n">
        <f aca="false">IF(BH53=0,IF(BP53=0,0,1),(BP53-BH53)/BH53)</f>
        <v>1</v>
      </c>
      <c r="BY53" s="32" t="n">
        <f aca="false">IF(BI53=0,IF(BQ53=0,0,1),(BQ53-BI53)/BI53)</f>
        <v>1</v>
      </c>
      <c r="BZ53" s="32" t="n">
        <f aca="false">IF(BJ53=0,IF(BR53=0,0,1),(BR53-BJ53)/BJ53)</f>
        <v>1</v>
      </c>
      <c r="CA53" s="32" t="n">
        <f aca="false">IF(BK53=0,IF(BS53=0,0,1),(BS53-BK53)/BK53)</f>
        <v>1</v>
      </c>
      <c r="CB53" s="32" t="n">
        <f aca="false">IF(BL53=0,IF(BT53=0,0,1),(BT53-BL53)/BL53)</f>
        <v>1</v>
      </c>
      <c r="CC53" s="32" t="n">
        <f aca="false">IF(BM53=0,IF(BU53=0,0,1),(BU53-BM53)/BM53)</f>
        <v>1</v>
      </c>
      <c r="CD53" s="32" t="n">
        <f aca="false">MAX(MAX(BV53:CC53),-MIN(BV53:CC53))</f>
        <v>1</v>
      </c>
      <c r="CE53" s="31" t="n">
        <f aca="false">IF(CI53="","",SUMIFS($CF$7:$CF$696,$A$7:$A$696,CI53,$B$7:$B$696,B53))</f>
        <v>998666978</v>
      </c>
      <c r="CF53" s="31" t="n">
        <f aca="false">SUM(AU53:BE53)</f>
        <v>1002560489</v>
      </c>
      <c r="CG53" s="33" t="str">
        <f aca="false">A53&amp;"|"&amp;B53</f>
        <v>2026-05 月例|市長部局</v>
      </c>
      <c r="CH53" s="34" t="str">
        <f aca="false">IFERROR(INDEX(設定!$D$61:$D$106,MATCH(B53,設定!$B$61:$B$106,0)),"Y")</f>
        <v>N</v>
      </c>
      <c r="CI53" s="34" t="str">
        <f aca="false">IFERROR(INDEX(設定!$D$20:$D$34,MATCH(A53,設定!$A$20:$A$34,0))&amp;"","")</f>
        <v>2026-04 月例</v>
      </c>
    </row>
    <row r="54" customFormat="false" ht="15" hidden="true" customHeight="false" outlineLevel="0" collapsed="false">
      <c r="A54" s="22" t="s">
        <v>207</v>
      </c>
      <c r="B54" s="23" t="s">
        <v>161</v>
      </c>
      <c r="C54" s="10" t="str">
        <f aca="false">IF(G54="","未受領",IF(G54="なし","報告なし",IF(AH54="○","起票済",IF(OR(AG54="○",F54="一致",F54="入金不要"),"入金確認済","受領済"))))</f>
        <v>入金確認済</v>
      </c>
      <c r="D54" s="10" t="str">
        <f aca="false">IF(OR(G54="",G54="なし"),"―",IF(CH54="N","対象外",IF(AND(I54="",J54="",K54=""),"標報未入力",IF(CD54&gt;=設定!$B$4,"要確認","問題なし"))))</f>
        <v>標報未入力</v>
      </c>
      <c r="E54" s="24" t="str">
        <f aca="false">IF(OR(G54="",G54="なし",CE54="",CF54=0),"―",IF(CF54=CE54,"前月同額",IF(CE54=0,"―",IF(ABS(CF54/CE54-1)&gt;=設定!$B$5,"変動大 "&amp;TEXT(CF54/CE54-1,"+0%;-0%"),"〇"))))</f>
        <v>〇</v>
      </c>
      <c r="F54" s="10" t="str">
        <f aca="false">IF(OR(G54="",G54="なし"),"―",IF(CF54=0,"入金不要",IF(COUNT(Z54,AB54,AD54,AF54)=0,IF(AG54="○","手動確認","未入金"),IF(AND(N(Z54)=Y54,IF(AA54="",TRUE(),N(AB54)=AA54),IF(AC54="",TRUE(),N(AD54)=AC54),IF(AE54="",TRUE(),N(AF54)=AE54)),"一致","不一致"))))</f>
        <v>手動確認</v>
      </c>
      <c r="G54" s="25" t="s">
        <v>159</v>
      </c>
      <c r="H54" s="26"/>
      <c r="I54" s="27"/>
      <c r="J54" s="27"/>
      <c r="K54" s="27"/>
      <c r="L54" s="27" t="n">
        <v>16359285</v>
      </c>
      <c r="M54" s="27" t="n">
        <v>1340925</v>
      </c>
      <c r="N54" s="27" t="n">
        <v>23561370</v>
      </c>
      <c r="O54" s="27" t="n">
        <v>1337175</v>
      </c>
      <c r="P54" s="27" t="n">
        <v>15777</v>
      </c>
      <c r="Q54" s="27" t="n">
        <v>9601929</v>
      </c>
      <c r="R54" s="27" t="n">
        <v>9739721</v>
      </c>
      <c r="S54" s="27" t="n">
        <v>1024897</v>
      </c>
      <c r="T54" s="27" t="n">
        <v>1020947</v>
      </c>
      <c r="U54" s="27" t="n">
        <v>212850</v>
      </c>
      <c r="V54" s="27" t="n">
        <v>212346</v>
      </c>
      <c r="W54" s="10" t="str">
        <f aca="false">IFERROR(INDEX(設定!$E$61:$E$106,MATCH(B54,設定!$B$61:$B$106,0)),"合算")</f>
        <v>合算</v>
      </c>
      <c r="X54" s="28"/>
      <c r="Y54" s="29" t="n">
        <f aca="false">IF(OR(G54="",G54="なし"),"",IF(W54="合算",CF54,IF(W54="掛金・負担金別",(AU54+AV54+AZ54+BB54+BD54),SUM(AU54:AY54))))</f>
        <v>64427222</v>
      </c>
      <c r="Z54" s="27"/>
      <c r="AA54" s="29" t="str">
        <f aca="false">IF(OR(G54="",G54="なし"),"",IF(W54="掛金・負担金別",(AW54+AX54+AY54+BA54+BC54+BE54),IF(W54="経理区分別",AZ54+BA54,"")))</f>
        <v/>
      </c>
      <c r="AB54" s="27"/>
      <c r="AC54" s="29" t="str">
        <f aca="false">IF(OR(G54="",G54="なし"),"",IF(W54="経理区分別",BB54+BC54,""))</f>
        <v/>
      </c>
      <c r="AD54" s="27"/>
      <c r="AE54" s="29" t="str">
        <f aca="false">IF(OR(G54="",G54="なし"),"",IF(W54="経理区分別",BD54+BE54,""))</f>
        <v/>
      </c>
      <c r="AF54" s="27"/>
      <c r="AG54" s="26" t="s">
        <v>160</v>
      </c>
      <c r="AH54" s="26"/>
      <c r="AI54" s="30"/>
      <c r="AJ54" s="31"/>
      <c r="AK54" s="31"/>
      <c r="AL54" s="31"/>
      <c r="AM54" s="31"/>
      <c r="AN54" s="31"/>
      <c r="AO54" s="31"/>
      <c r="AP54" s="31"/>
      <c r="AQ54" s="31"/>
      <c r="AR54" s="31"/>
      <c r="AS54" s="31"/>
      <c r="AT54" s="31"/>
      <c r="AU54" s="31" t="n">
        <f aca="false">IF($G54="",AJ54,L54)</f>
        <v>16359285</v>
      </c>
      <c r="AV54" s="31" t="n">
        <f aca="false">IF($G54="",AK54,M54)</f>
        <v>1340925</v>
      </c>
      <c r="AW54" s="31" t="n">
        <f aca="false">IF($G54="",AL54,N54)</f>
        <v>23561370</v>
      </c>
      <c r="AX54" s="31" t="n">
        <f aca="false">IF($G54="",AM54,O54)</f>
        <v>1337175</v>
      </c>
      <c r="AY54" s="31" t="n">
        <f aca="false">IF($G54="",AN54,P54)</f>
        <v>15777</v>
      </c>
      <c r="AZ54" s="31" t="n">
        <f aca="false">IF($G54="",AO54,Q54)</f>
        <v>9601929</v>
      </c>
      <c r="BA54" s="31" t="n">
        <f aca="false">IF($G54="",AP54,R54)</f>
        <v>9739721</v>
      </c>
      <c r="BB54" s="31" t="n">
        <f aca="false">IF($G54="",AQ54,S54)</f>
        <v>1024897</v>
      </c>
      <c r="BC54" s="31" t="n">
        <f aca="false">IF($G54="",AR54,T54)</f>
        <v>1020947</v>
      </c>
      <c r="BD54" s="31" t="n">
        <f aca="false">IF($G54="",AS54,U54)</f>
        <v>212850</v>
      </c>
      <c r="BE54" s="31" t="n">
        <f aca="false">IF($G54="",AT54,V54)</f>
        <v>212346</v>
      </c>
      <c r="BF54" s="31" t="n">
        <f aca="false">ROUNDDOWN(I54*設定!$B$10/1000,0)+ROUNDDOWN(I54*設定!$B$11/1000,0)</f>
        <v>0</v>
      </c>
      <c r="BG54" s="31" t="n">
        <f aca="false">ROUNDDOWN(I54*設定!$C$10/1000,0)+ROUNDDOWN(I54*設定!$C$11/1000,0)+ROUNDDOWN(I54*設定!$C$12/1000,0)</f>
        <v>0</v>
      </c>
      <c r="BH54" s="31" t="n">
        <f aca="false">ROUNDDOWN(J54*設定!$B$13/1000,0)</f>
        <v>0</v>
      </c>
      <c r="BI54" s="31" t="n">
        <f aca="false">ROUNDDOWN(J54*設定!$C$13/1000,0)</f>
        <v>0</v>
      </c>
      <c r="BJ54" s="31" t="n">
        <f aca="false">ROUNDDOWN(K54*設定!$B$14/1000,0)</f>
        <v>0</v>
      </c>
      <c r="BK54" s="31" t="n">
        <f aca="false">ROUNDDOWN(K54*設定!$C$14/1000,0)</f>
        <v>0</v>
      </c>
      <c r="BL54" s="31" t="n">
        <f aca="false">ROUNDDOWN(J54*設定!$B$15/1000,0)</f>
        <v>0</v>
      </c>
      <c r="BM54" s="31" t="n">
        <f aca="false">ROUNDDOWN(J54*設定!$C$15/1000,0)</f>
        <v>0</v>
      </c>
      <c r="BN54" s="31" t="n">
        <f aca="false">L54+M54</f>
        <v>17700210</v>
      </c>
      <c r="BO54" s="31" t="n">
        <f aca="false">N54+O54+P54</f>
        <v>24914322</v>
      </c>
      <c r="BP54" s="31" t="n">
        <f aca="false">Q54</f>
        <v>9601929</v>
      </c>
      <c r="BQ54" s="31" t="n">
        <f aca="false">R54</f>
        <v>9739721</v>
      </c>
      <c r="BR54" s="31" t="n">
        <f aca="false">S54</f>
        <v>1024897</v>
      </c>
      <c r="BS54" s="31" t="n">
        <f aca="false">T54</f>
        <v>1020947</v>
      </c>
      <c r="BT54" s="31" t="n">
        <f aca="false">U54</f>
        <v>212850</v>
      </c>
      <c r="BU54" s="31" t="n">
        <f aca="false">V54</f>
        <v>212346</v>
      </c>
      <c r="BV54" s="32" t="n">
        <f aca="false">IF(BF54=0,IF(BN54=0,0,1),(BN54-BF54)/BF54)</f>
        <v>1</v>
      </c>
      <c r="BW54" s="32" t="n">
        <f aca="false">IF(BG54=0,IF(BO54=0,0,1),(BO54-BG54)/BG54)</f>
        <v>1</v>
      </c>
      <c r="BX54" s="32" t="n">
        <f aca="false">IF(BH54=0,IF(BP54=0,0,1),(BP54-BH54)/BH54)</f>
        <v>1</v>
      </c>
      <c r="BY54" s="32" t="n">
        <f aca="false">IF(BI54=0,IF(BQ54=0,0,1),(BQ54-BI54)/BI54)</f>
        <v>1</v>
      </c>
      <c r="BZ54" s="32" t="n">
        <f aca="false">IF(BJ54=0,IF(BR54=0,0,1),(BR54-BJ54)/BJ54)</f>
        <v>1</v>
      </c>
      <c r="CA54" s="32" t="n">
        <f aca="false">IF(BK54=0,IF(BS54=0,0,1),(BS54-BK54)/BK54)</f>
        <v>1</v>
      </c>
      <c r="CB54" s="32" t="n">
        <f aca="false">IF(BL54=0,IF(BT54=0,0,1),(BT54-BL54)/BL54)</f>
        <v>1</v>
      </c>
      <c r="CC54" s="32" t="n">
        <f aca="false">IF(BM54=0,IF(BU54=0,0,1),(BU54-BM54)/BM54)</f>
        <v>1</v>
      </c>
      <c r="CD54" s="32" t="n">
        <f aca="false">MAX(MAX(BV54:CC54),-MIN(BV54:CC54))</f>
        <v>1</v>
      </c>
      <c r="CE54" s="31" t="n">
        <f aca="false">IF(CI54="","",SUMIFS($CF$7:$CF$696,$A$7:$A$696,CI54,$B$7:$B$696,B54))</f>
        <v>64799394</v>
      </c>
      <c r="CF54" s="31" t="n">
        <f aca="false">SUM(AU54:BE54)</f>
        <v>64427222</v>
      </c>
      <c r="CG54" s="33" t="str">
        <f aca="false">A54&amp;"|"&amp;B54</f>
        <v>2026-05 月例|下水道局</v>
      </c>
      <c r="CH54" s="34" t="str">
        <f aca="false">IFERROR(INDEX(設定!$D$61:$D$106,MATCH(B54,設定!$B$61:$B$106,0)),"Y")</f>
        <v>Y</v>
      </c>
      <c r="CI54" s="34" t="str">
        <f aca="false">IFERROR(INDEX(設定!$D$20:$D$34,MATCH(A54,設定!$A$20:$A$34,0))&amp;"","")</f>
        <v>2026-04 月例</v>
      </c>
    </row>
    <row r="55" customFormat="false" ht="15" hidden="true" customHeight="false" outlineLevel="0" collapsed="false">
      <c r="A55" s="22" t="s">
        <v>207</v>
      </c>
      <c r="B55" s="23" t="s">
        <v>162</v>
      </c>
      <c r="C55" s="10" t="str">
        <f aca="false">IF(G55="","未受領",IF(G55="なし","報告なし",IF(AH55="○","起票済",IF(OR(AG55="○",F55="一致",F55="入金不要"),"入金確認済","受領済"))))</f>
        <v>入金確認済</v>
      </c>
      <c r="D55" s="10" t="str">
        <f aca="false">IF(OR(G55="",G55="なし"),"―",IF(CH55="N","対象外",IF(AND(I55="",J55="",K55=""),"標報未入力",IF(CD55&gt;=設定!$B$4,"要確認","問題なし"))))</f>
        <v>対象外</v>
      </c>
      <c r="E55" s="24" t="str">
        <f aca="false">IF(OR(G55="",G55="なし",CE55="",CF55=0),"―",IF(CF55=CE55,"前月同額",IF(CE55=0,"―",IF(ABS(CF55/CE55-1)&gt;=設定!$B$5,"変動大 "&amp;TEXT(CF55/CE55-1,"+0%;-0%"),"〇"))))</f>
        <v>〇</v>
      </c>
      <c r="F55" s="10" t="str">
        <f aca="false">IF(OR(G55="",G55="なし"),"―",IF(CF55=0,"入金不要",IF(COUNT(Z55,AB55,AD55,AF55)=0,IF(AG55="○","手動確認","未入金"),IF(AND(N(Z55)=Y55,IF(AA55="",TRUE(),N(AB55)=AA55),IF(AC55="",TRUE(),N(AD55)=AC55),IF(AE55="",TRUE(),N(AF55)=AE55)),"一致","不一致"))))</f>
        <v>手動確認</v>
      </c>
      <c r="G55" s="25" t="s">
        <v>159</v>
      </c>
      <c r="H55" s="26"/>
      <c r="I55" s="27"/>
      <c r="J55" s="27"/>
      <c r="K55" s="27"/>
      <c r="L55" s="27" t="n">
        <v>55313397</v>
      </c>
      <c r="M55" s="27" t="n">
        <v>4533885</v>
      </c>
      <c r="N55" s="27" t="n">
        <v>79511518</v>
      </c>
      <c r="O55" s="27" t="n">
        <v>4518060</v>
      </c>
      <c r="P55" s="27" t="n">
        <v>52836</v>
      </c>
      <c r="Q55" s="27" t="n">
        <v>32062535</v>
      </c>
      <c r="R55" s="27" t="n">
        <v>32497376</v>
      </c>
      <c r="S55" s="27" t="n">
        <v>2046682</v>
      </c>
      <c r="T55" s="27" t="n">
        <v>2033728</v>
      </c>
      <c r="U55" s="27" t="n">
        <v>710742</v>
      </c>
      <c r="V55" s="27" t="n">
        <v>708581</v>
      </c>
      <c r="W55" s="10" t="str">
        <f aca="false">IFERROR(INDEX(設定!$E$61:$E$106,MATCH(B55,設定!$B$61:$B$106,0)),"合算")</f>
        <v>合算</v>
      </c>
      <c r="X55" s="28"/>
      <c r="Y55" s="29" t="n">
        <f aca="false">IF(OR(G55="",G55="なし"),"",IF(W55="合算",CF55,IF(W55="掛金・負担金別",(AU55+AV55+AZ55+BB55+BD55),SUM(AU55:AY55))))</f>
        <v>213989340</v>
      </c>
      <c r="Z55" s="27"/>
      <c r="AA55" s="29" t="str">
        <f aca="false">IF(OR(G55="",G55="なし"),"",IF(W55="掛金・負担金別",(AW55+AX55+AY55+BA55+BC55+BE55),IF(W55="経理区分別",AZ55+BA55,"")))</f>
        <v/>
      </c>
      <c r="AB55" s="27"/>
      <c r="AC55" s="29" t="str">
        <f aca="false">IF(OR(G55="",G55="なし"),"",IF(W55="経理区分別",BB55+BC55,""))</f>
        <v/>
      </c>
      <c r="AD55" s="27"/>
      <c r="AE55" s="29" t="str">
        <f aca="false">IF(OR(G55="",G55="なし"),"",IF(W55="経理区分別",BD55+BE55,""))</f>
        <v/>
      </c>
      <c r="AF55" s="27"/>
      <c r="AG55" s="26" t="s">
        <v>160</v>
      </c>
      <c r="AH55" s="26"/>
      <c r="AI55" s="30"/>
      <c r="AJ55" s="31"/>
      <c r="AK55" s="31"/>
      <c r="AL55" s="31"/>
      <c r="AM55" s="31"/>
      <c r="AN55" s="31"/>
      <c r="AO55" s="31"/>
      <c r="AP55" s="31"/>
      <c r="AQ55" s="31"/>
      <c r="AR55" s="31"/>
      <c r="AS55" s="31"/>
      <c r="AT55" s="31"/>
      <c r="AU55" s="31" t="n">
        <f aca="false">IF($G55="",AJ55,L55)</f>
        <v>55313397</v>
      </c>
      <c r="AV55" s="31" t="n">
        <f aca="false">IF($G55="",AK55,M55)</f>
        <v>4533885</v>
      </c>
      <c r="AW55" s="31" t="n">
        <f aca="false">IF($G55="",AL55,N55)</f>
        <v>79511518</v>
      </c>
      <c r="AX55" s="31" t="n">
        <f aca="false">IF($G55="",AM55,O55)</f>
        <v>4518060</v>
      </c>
      <c r="AY55" s="31" t="n">
        <f aca="false">IF($G55="",AN55,P55)</f>
        <v>52836</v>
      </c>
      <c r="AZ55" s="31" t="n">
        <f aca="false">IF($G55="",AO55,Q55)</f>
        <v>32062535</v>
      </c>
      <c r="BA55" s="31" t="n">
        <f aca="false">IF($G55="",AP55,R55)</f>
        <v>32497376</v>
      </c>
      <c r="BB55" s="31" t="n">
        <f aca="false">IF($G55="",AQ55,S55)</f>
        <v>2046682</v>
      </c>
      <c r="BC55" s="31" t="n">
        <f aca="false">IF($G55="",AR55,T55)</f>
        <v>2033728</v>
      </c>
      <c r="BD55" s="31" t="n">
        <f aca="false">IF($G55="",AS55,U55)</f>
        <v>710742</v>
      </c>
      <c r="BE55" s="31" t="n">
        <f aca="false">IF($G55="",AT55,V55)</f>
        <v>708581</v>
      </c>
      <c r="BF55" s="31" t="n">
        <f aca="false">ROUNDDOWN(I55*設定!$B$10/1000,0)+ROUNDDOWN(I55*設定!$B$11/1000,0)</f>
        <v>0</v>
      </c>
      <c r="BG55" s="31" t="n">
        <f aca="false">ROUNDDOWN(I55*設定!$C$10/1000,0)+ROUNDDOWN(I55*設定!$C$11/1000,0)+ROUNDDOWN(I55*設定!$C$12/1000,0)</f>
        <v>0</v>
      </c>
      <c r="BH55" s="31" t="n">
        <f aca="false">ROUNDDOWN(J55*設定!$B$13/1000,0)</f>
        <v>0</v>
      </c>
      <c r="BI55" s="31" t="n">
        <f aca="false">ROUNDDOWN(J55*設定!$C$13/1000,0)</f>
        <v>0</v>
      </c>
      <c r="BJ55" s="31" t="n">
        <f aca="false">ROUNDDOWN(K55*設定!$B$14/1000,0)</f>
        <v>0</v>
      </c>
      <c r="BK55" s="31" t="n">
        <f aca="false">ROUNDDOWN(K55*設定!$C$14/1000,0)</f>
        <v>0</v>
      </c>
      <c r="BL55" s="31" t="n">
        <f aca="false">ROUNDDOWN(J55*設定!$B$15/1000,0)</f>
        <v>0</v>
      </c>
      <c r="BM55" s="31" t="n">
        <f aca="false">ROUNDDOWN(J55*設定!$C$15/1000,0)</f>
        <v>0</v>
      </c>
      <c r="BN55" s="31" t="n">
        <f aca="false">L55+M55</f>
        <v>59847282</v>
      </c>
      <c r="BO55" s="31" t="n">
        <f aca="false">N55+O55+P55</f>
        <v>84082414</v>
      </c>
      <c r="BP55" s="31" t="n">
        <f aca="false">Q55</f>
        <v>32062535</v>
      </c>
      <c r="BQ55" s="31" t="n">
        <f aca="false">R55</f>
        <v>32497376</v>
      </c>
      <c r="BR55" s="31" t="n">
        <f aca="false">S55</f>
        <v>2046682</v>
      </c>
      <c r="BS55" s="31" t="n">
        <f aca="false">T55</f>
        <v>2033728</v>
      </c>
      <c r="BT55" s="31" t="n">
        <f aca="false">U55</f>
        <v>710742</v>
      </c>
      <c r="BU55" s="31" t="n">
        <f aca="false">V55</f>
        <v>708581</v>
      </c>
      <c r="BV55" s="32" t="n">
        <f aca="false">IF(BF55=0,IF(BN55=0,0,1),(BN55-BF55)/BF55)</f>
        <v>1</v>
      </c>
      <c r="BW55" s="32" t="n">
        <f aca="false">IF(BG55=0,IF(BO55=0,0,1),(BO55-BG55)/BG55)</f>
        <v>1</v>
      </c>
      <c r="BX55" s="32" t="n">
        <f aca="false">IF(BH55=0,IF(BP55=0,0,1),(BP55-BH55)/BH55)</f>
        <v>1</v>
      </c>
      <c r="BY55" s="32" t="n">
        <f aca="false">IF(BI55=0,IF(BQ55=0,0,1),(BQ55-BI55)/BI55)</f>
        <v>1</v>
      </c>
      <c r="BZ55" s="32" t="n">
        <f aca="false">IF(BJ55=0,IF(BR55=0,0,1),(BR55-BJ55)/BJ55)</f>
        <v>1</v>
      </c>
      <c r="CA55" s="32" t="n">
        <f aca="false">IF(BK55=0,IF(BS55=0,0,1),(BS55-BK55)/BK55)</f>
        <v>1</v>
      </c>
      <c r="CB55" s="32" t="n">
        <f aca="false">IF(BL55=0,IF(BT55=0,0,1),(BT55-BL55)/BL55)</f>
        <v>1</v>
      </c>
      <c r="CC55" s="32" t="n">
        <f aca="false">IF(BM55=0,IF(BU55=0,0,1),(BU55-BM55)/BM55)</f>
        <v>1</v>
      </c>
      <c r="CD55" s="32" t="n">
        <f aca="false">MAX(MAX(BV55:CC55),-MIN(BV55:CC55))</f>
        <v>1</v>
      </c>
      <c r="CE55" s="31" t="n">
        <f aca="false">IF(CI55="","",SUMIFS($CF$7:$CF$696,$A$7:$A$696,CI55,$B$7:$B$696,B55))</f>
        <v>213417635</v>
      </c>
      <c r="CF55" s="31" t="n">
        <f aca="false">SUM(AU55:BE55)</f>
        <v>213989340</v>
      </c>
      <c r="CG55" s="33" t="str">
        <f aca="false">A55&amp;"|"&amp;B55</f>
        <v>2026-05 月例|消防局</v>
      </c>
      <c r="CH55" s="34" t="str">
        <f aca="false">IFERROR(INDEX(設定!$D$61:$D$106,MATCH(B55,設定!$B$61:$B$106,0)),"Y")</f>
        <v>N</v>
      </c>
      <c r="CI55" s="34" t="str">
        <f aca="false">IFERROR(INDEX(設定!$D$20:$D$34,MATCH(A55,設定!$A$20:$A$34,0))&amp;"","")</f>
        <v>2026-04 月例</v>
      </c>
    </row>
    <row r="56" customFormat="false" ht="15" hidden="true" customHeight="false" outlineLevel="0" collapsed="false">
      <c r="A56" s="22" t="s">
        <v>207</v>
      </c>
      <c r="B56" s="23" t="s">
        <v>163</v>
      </c>
      <c r="C56" s="10" t="str">
        <f aca="false">IF(G56="","未受領",IF(G56="なし","報告なし",IF(AH56="○","起票済",IF(OR(AG56="○",F56="一致",F56="入金不要"),"入金確認済","受領済"))))</f>
        <v>入金確認済</v>
      </c>
      <c r="D56" s="10" t="str">
        <f aca="false">IF(OR(G56="",G56="なし"),"―",IF(CH56="N","対象外",IF(AND(I56="",J56="",K56=""),"標報未入力",IF(CD56&gt;=設定!$B$4,"要確認","問題なし"))))</f>
        <v>標報未入力</v>
      </c>
      <c r="E56" s="24" t="str">
        <f aca="false">IF(OR(G56="",G56="なし",CE56="",CF56=0),"―",IF(CF56=CE56,"前月同額",IF(CE56=0,"―",IF(ABS(CF56/CE56-1)&gt;=設定!$B$5,"変動大 "&amp;TEXT(CF56/CE56-1,"+0%;-0%"),"〇"))))</f>
        <v>〇</v>
      </c>
      <c r="F56" s="10" t="str">
        <f aca="false">IF(OR(G56="",G56="なし"),"―",IF(CF56=0,"入金不要",IF(COUNT(Z56,AB56,AD56,AF56)=0,IF(AG56="○","手動確認","未入金"),IF(AND(N(Z56)=Y56,IF(AA56="",TRUE(),N(AB56)=AA56),IF(AC56="",TRUE(),N(AD56)=AC56),IF(AE56="",TRUE(),N(AF56)=AE56)),"一致","不一致"))))</f>
        <v>手動確認</v>
      </c>
      <c r="G56" s="25" t="s">
        <v>159</v>
      </c>
      <c r="H56" s="26"/>
      <c r="I56" s="27"/>
      <c r="J56" s="27"/>
      <c r="K56" s="27"/>
      <c r="L56" s="27" t="n">
        <v>1810785</v>
      </c>
      <c r="M56" s="27" t="n">
        <v>148425</v>
      </c>
      <c r="N56" s="27" t="n">
        <v>2609982</v>
      </c>
      <c r="O56" s="27" t="n">
        <v>148425</v>
      </c>
      <c r="P56" s="27" t="n">
        <v>1740</v>
      </c>
      <c r="Q56" s="27" t="n">
        <v>1048696</v>
      </c>
      <c r="R56" s="27" t="n">
        <v>1066514</v>
      </c>
      <c r="S56" s="27" t="n">
        <v>101925</v>
      </c>
      <c r="T56" s="27" t="n">
        <v>101925</v>
      </c>
      <c r="U56" s="27" t="n">
        <v>23247</v>
      </c>
      <c r="V56" s="27" t="n">
        <v>23255</v>
      </c>
      <c r="W56" s="10" t="str">
        <f aca="false">IFERROR(INDEX(設定!$E$61:$E$106,MATCH(B56,設定!$B$61:$B$106,0)),"合算")</f>
        <v>合算</v>
      </c>
      <c r="X56" s="28"/>
      <c r="Y56" s="29" t="n">
        <f aca="false">IF(OR(G56="",G56="なし"),"",IF(W56="合算",CF56,IF(W56="掛金・負担金別",(AU56+AV56+AZ56+BB56+BD56),SUM(AU56:AY56))))</f>
        <v>7084919</v>
      </c>
      <c r="Z56" s="27"/>
      <c r="AA56" s="29" t="str">
        <f aca="false">IF(OR(G56="",G56="なし"),"",IF(W56="掛金・負担金別",(AW56+AX56+AY56+BA56+BC56+BE56),IF(W56="経理区分別",AZ56+BA56,"")))</f>
        <v/>
      </c>
      <c r="AB56" s="27"/>
      <c r="AC56" s="29" t="str">
        <f aca="false">IF(OR(G56="",G56="なし"),"",IF(W56="経理区分別",BB56+BC56,""))</f>
        <v/>
      </c>
      <c r="AD56" s="27"/>
      <c r="AE56" s="29" t="str">
        <f aca="false">IF(OR(G56="",G56="なし"),"",IF(W56="経理区分別",BD56+BE56,""))</f>
        <v/>
      </c>
      <c r="AF56" s="27"/>
      <c r="AG56" s="26" t="s">
        <v>160</v>
      </c>
      <c r="AH56" s="26"/>
      <c r="AI56" s="30"/>
      <c r="AJ56" s="31"/>
      <c r="AK56" s="31"/>
      <c r="AL56" s="31"/>
      <c r="AM56" s="31"/>
      <c r="AN56" s="31"/>
      <c r="AO56" s="31"/>
      <c r="AP56" s="31"/>
      <c r="AQ56" s="31"/>
      <c r="AR56" s="31"/>
      <c r="AS56" s="31"/>
      <c r="AT56" s="31"/>
      <c r="AU56" s="31" t="n">
        <f aca="false">IF($G56="",AJ56,L56)</f>
        <v>1810785</v>
      </c>
      <c r="AV56" s="31" t="n">
        <f aca="false">IF($G56="",AK56,M56)</f>
        <v>148425</v>
      </c>
      <c r="AW56" s="31" t="n">
        <f aca="false">IF($G56="",AL56,N56)</f>
        <v>2609982</v>
      </c>
      <c r="AX56" s="31" t="n">
        <f aca="false">IF($G56="",AM56,O56)</f>
        <v>148425</v>
      </c>
      <c r="AY56" s="31" t="n">
        <f aca="false">IF($G56="",AN56,P56)</f>
        <v>1740</v>
      </c>
      <c r="AZ56" s="31" t="n">
        <f aca="false">IF($G56="",AO56,Q56)</f>
        <v>1048696</v>
      </c>
      <c r="BA56" s="31" t="n">
        <f aca="false">IF($G56="",AP56,R56)</f>
        <v>1066514</v>
      </c>
      <c r="BB56" s="31" t="n">
        <f aca="false">IF($G56="",AQ56,S56)</f>
        <v>101925</v>
      </c>
      <c r="BC56" s="31" t="n">
        <f aca="false">IF($G56="",AR56,T56)</f>
        <v>101925</v>
      </c>
      <c r="BD56" s="31" t="n">
        <f aca="false">IF($G56="",AS56,U56)</f>
        <v>23247</v>
      </c>
      <c r="BE56" s="31" t="n">
        <f aca="false">IF($G56="",AT56,V56)</f>
        <v>23255</v>
      </c>
      <c r="BF56" s="31" t="n">
        <f aca="false">ROUNDDOWN(I56*設定!$B$10/1000,0)+ROUNDDOWN(I56*設定!$B$11/1000,0)</f>
        <v>0</v>
      </c>
      <c r="BG56" s="31" t="n">
        <f aca="false">ROUNDDOWN(I56*設定!$C$10/1000,0)+ROUNDDOWN(I56*設定!$C$11/1000,0)+ROUNDDOWN(I56*設定!$C$12/1000,0)</f>
        <v>0</v>
      </c>
      <c r="BH56" s="31" t="n">
        <f aca="false">ROUNDDOWN(J56*設定!$B$13/1000,0)</f>
        <v>0</v>
      </c>
      <c r="BI56" s="31" t="n">
        <f aca="false">ROUNDDOWN(J56*設定!$C$13/1000,0)</f>
        <v>0</v>
      </c>
      <c r="BJ56" s="31" t="n">
        <f aca="false">ROUNDDOWN(K56*設定!$B$14/1000,0)</f>
        <v>0</v>
      </c>
      <c r="BK56" s="31" t="n">
        <f aca="false">ROUNDDOWN(K56*設定!$C$14/1000,0)</f>
        <v>0</v>
      </c>
      <c r="BL56" s="31" t="n">
        <f aca="false">ROUNDDOWN(J56*設定!$B$15/1000,0)</f>
        <v>0</v>
      </c>
      <c r="BM56" s="31" t="n">
        <f aca="false">ROUNDDOWN(J56*設定!$C$15/1000,0)</f>
        <v>0</v>
      </c>
      <c r="BN56" s="31" t="n">
        <f aca="false">L56+M56</f>
        <v>1959210</v>
      </c>
      <c r="BO56" s="31" t="n">
        <f aca="false">N56+O56+P56</f>
        <v>2760147</v>
      </c>
      <c r="BP56" s="31" t="n">
        <f aca="false">Q56</f>
        <v>1048696</v>
      </c>
      <c r="BQ56" s="31" t="n">
        <f aca="false">R56</f>
        <v>1066514</v>
      </c>
      <c r="BR56" s="31" t="n">
        <f aca="false">S56</f>
        <v>101925</v>
      </c>
      <c r="BS56" s="31" t="n">
        <f aca="false">T56</f>
        <v>101925</v>
      </c>
      <c r="BT56" s="31" t="n">
        <f aca="false">U56</f>
        <v>23247</v>
      </c>
      <c r="BU56" s="31" t="n">
        <f aca="false">V56</f>
        <v>23255</v>
      </c>
      <c r="BV56" s="32" t="n">
        <f aca="false">IF(BF56=0,IF(BN56=0,0,1),(BN56-BF56)/BF56)</f>
        <v>1</v>
      </c>
      <c r="BW56" s="32" t="n">
        <f aca="false">IF(BG56=0,IF(BO56=0,0,1),(BO56-BG56)/BG56)</f>
        <v>1</v>
      </c>
      <c r="BX56" s="32" t="n">
        <f aca="false">IF(BH56=0,IF(BP56=0,0,1),(BP56-BH56)/BH56)</f>
        <v>1</v>
      </c>
      <c r="BY56" s="32" t="n">
        <f aca="false">IF(BI56=0,IF(BQ56=0,0,1),(BQ56-BI56)/BI56)</f>
        <v>1</v>
      </c>
      <c r="BZ56" s="32" t="n">
        <f aca="false">IF(BJ56=0,IF(BR56=0,0,1),(BR56-BJ56)/BJ56)</f>
        <v>1</v>
      </c>
      <c r="CA56" s="32" t="n">
        <f aca="false">IF(BK56=0,IF(BS56=0,0,1),(BS56-BK56)/BK56)</f>
        <v>1</v>
      </c>
      <c r="CB56" s="32" t="n">
        <f aca="false">IF(BL56=0,IF(BT56=0,0,1),(BT56-BL56)/BL56)</f>
        <v>1</v>
      </c>
      <c r="CC56" s="32" t="n">
        <f aca="false">IF(BM56=0,IF(BU56=0,0,1),(BU56-BM56)/BM56)</f>
        <v>1</v>
      </c>
      <c r="CD56" s="32" t="n">
        <f aca="false">MAX(MAX(BV56:CC56),-MIN(BV56:CC56))</f>
        <v>1</v>
      </c>
      <c r="CE56" s="31" t="n">
        <f aca="false">IF(CI56="","",SUMIFS($CF$7:$CF$696,$A$7:$A$696,CI56,$B$7:$B$696,B56))</f>
        <v>7101212</v>
      </c>
      <c r="CF56" s="31" t="n">
        <f aca="false">SUM(AU56:BE56)</f>
        <v>7084919</v>
      </c>
      <c r="CG56" s="33" t="str">
        <f aca="false">A56&amp;"|"&amp;B56</f>
        <v>2026-05 月例|議会事務局</v>
      </c>
      <c r="CH56" s="34" t="str">
        <f aca="false">IFERROR(INDEX(設定!$D$61:$D$106,MATCH(B56,設定!$B$61:$B$106,0)),"Y")</f>
        <v>Y</v>
      </c>
      <c r="CI56" s="34" t="str">
        <f aca="false">IFERROR(INDEX(設定!$D$20:$D$34,MATCH(A56,設定!$A$20:$A$34,0))&amp;"","")</f>
        <v>2026-04 月例</v>
      </c>
    </row>
    <row r="57" customFormat="false" ht="15" hidden="true" customHeight="false" outlineLevel="0" collapsed="false">
      <c r="A57" s="22" t="s">
        <v>207</v>
      </c>
      <c r="B57" s="23" t="s">
        <v>164</v>
      </c>
      <c r="C57" s="10" t="str">
        <f aca="false">IF(G57="","未受領",IF(G57="なし","報告なし",IF(AH57="○","起票済",IF(OR(AG57="○",F57="一致",F57="入金不要"),"入金確認済","受領済"))))</f>
        <v>入金確認済</v>
      </c>
      <c r="D57" s="10" t="str">
        <f aca="false">IF(OR(G57="",G57="なし"),"―",IF(CH57="N","対象外",IF(AND(I57="",J57="",K57=""),"標報未入力",IF(CD57&gt;=設定!$B$4,"要確認","問題なし"))))</f>
        <v>対象外</v>
      </c>
      <c r="E57" s="24" t="str">
        <f aca="false">IF(OR(G57="",G57="なし",CE57="",CF57=0),"―",IF(CF57=CE57,"前月同額",IF(CE57=0,"―",IF(ABS(CF57/CE57-1)&gt;=設定!$B$5,"変動大 "&amp;TEXT(CF57/CE57-1,"+0%;-0%"),"〇"))))</f>
        <v>〇</v>
      </c>
      <c r="F57" s="10" t="str">
        <f aca="false">IF(OR(G57="",G57="なし"),"―",IF(CF57=0,"入金不要",IF(COUNT(Z57,AB57,AD57,AF57)=0,IF(AG57="○","手動確認","未入金"),IF(AND(N(Z57)=Y57,IF(AA57="",TRUE(),N(AB57)=AA57),IF(AC57="",TRUE(),N(AD57)=AC57),IF(AE57="",TRUE(),N(AF57)=AE57)),"一致","不一致"))))</f>
        <v>手動確認</v>
      </c>
      <c r="G57" s="25" t="s">
        <v>159</v>
      </c>
      <c r="H57" s="26"/>
      <c r="I57" s="27"/>
      <c r="J57" s="27"/>
      <c r="K57" s="27"/>
      <c r="L57" s="27" t="n">
        <v>23673063</v>
      </c>
      <c r="M57" s="27" t="n">
        <v>1940415</v>
      </c>
      <c r="N57" s="27" t="n">
        <v>34108975</v>
      </c>
      <c r="O57" s="27" t="n">
        <v>1940415</v>
      </c>
      <c r="P57" s="27" t="n">
        <v>22724</v>
      </c>
      <c r="Q57" s="27" t="n">
        <v>23500578</v>
      </c>
      <c r="R57" s="27" t="n">
        <v>23962291</v>
      </c>
      <c r="S57" s="27" t="n">
        <v>2734336</v>
      </c>
      <c r="T57" s="27" t="n">
        <v>2743806</v>
      </c>
      <c r="U57" s="27" t="n">
        <v>519699</v>
      </c>
      <c r="V57" s="27" t="n">
        <v>521587</v>
      </c>
      <c r="W57" s="10" t="str">
        <f aca="false">IFERROR(INDEX(設定!$E$61:$E$106,MATCH(B57,設定!$B$61:$B$106,0)),"合算")</f>
        <v>合算</v>
      </c>
      <c r="X57" s="28"/>
      <c r="Y57" s="29" t="n">
        <f aca="false">IF(OR(G57="",G57="なし"),"",IF(W57="合算",CF57,IF(W57="掛金・負担金別",(AU57+AV57+AZ57+BB57+BD57),SUM(AU57:AY57))))</f>
        <v>115667889</v>
      </c>
      <c r="Z57" s="27"/>
      <c r="AA57" s="29" t="str">
        <f aca="false">IF(OR(G57="",G57="なし"),"",IF(W57="掛金・負担金別",(AW57+AX57+AY57+BA57+BC57+BE57),IF(W57="経理区分別",AZ57+BA57,"")))</f>
        <v/>
      </c>
      <c r="AB57" s="27"/>
      <c r="AC57" s="29" t="str">
        <f aca="false">IF(OR(G57="",G57="なし"),"",IF(W57="経理区分別",BB57+BC57,""))</f>
        <v/>
      </c>
      <c r="AD57" s="27"/>
      <c r="AE57" s="29" t="str">
        <f aca="false">IF(OR(G57="",G57="なし"),"",IF(W57="経理区分別",BD57+BE57,""))</f>
        <v/>
      </c>
      <c r="AF57" s="27"/>
      <c r="AG57" s="26" t="s">
        <v>160</v>
      </c>
      <c r="AH57" s="26"/>
      <c r="AI57" s="30"/>
      <c r="AJ57" s="31"/>
      <c r="AK57" s="31"/>
      <c r="AL57" s="31"/>
      <c r="AM57" s="31"/>
      <c r="AN57" s="31"/>
      <c r="AO57" s="31"/>
      <c r="AP57" s="31"/>
      <c r="AQ57" s="31"/>
      <c r="AR57" s="31"/>
      <c r="AS57" s="31"/>
      <c r="AT57" s="31"/>
      <c r="AU57" s="31" t="n">
        <f aca="false">IF($G57="",AJ57,L57)</f>
        <v>23673063</v>
      </c>
      <c r="AV57" s="31" t="n">
        <f aca="false">IF($G57="",AK57,M57)</f>
        <v>1940415</v>
      </c>
      <c r="AW57" s="31" t="n">
        <f aca="false">IF($G57="",AL57,N57)</f>
        <v>34108975</v>
      </c>
      <c r="AX57" s="31" t="n">
        <f aca="false">IF($G57="",AM57,O57)</f>
        <v>1940415</v>
      </c>
      <c r="AY57" s="31" t="n">
        <f aca="false">IF($G57="",AN57,P57)</f>
        <v>22724</v>
      </c>
      <c r="AZ57" s="31" t="n">
        <f aca="false">IF($G57="",AO57,Q57)</f>
        <v>23500578</v>
      </c>
      <c r="BA57" s="31" t="n">
        <f aca="false">IF($G57="",AP57,R57)</f>
        <v>23962291</v>
      </c>
      <c r="BB57" s="31" t="n">
        <f aca="false">IF($G57="",AQ57,S57)</f>
        <v>2734336</v>
      </c>
      <c r="BC57" s="31" t="n">
        <f aca="false">IF($G57="",AR57,T57)</f>
        <v>2743806</v>
      </c>
      <c r="BD57" s="31" t="n">
        <f aca="false">IF($G57="",AS57,U57)</f>
        <v>519699</v>
      </c>
      <c r="BE57" s="31" t="n">
        <f aca="false">IF($G57="",AT57,V57)</f>
        <v>521587</v>
      </c>
      <c r="BF57" s="31" t="n">
        <f aca="false">ROUNDDOWN(I57*設定!$B$10/1000,0)+ROUNDDOWN(I57*設定!$B$11/1000,0)</f>
        <v>0</v>
      </c>
      <c r="BG57" s="31" t="n">
        <f aca="false">ROUNDDOWN(I57*設定!$C$10/1000,0)+ROUNDDOWN(I57*設定!$C$11/1000,0)+ROUNDDOWN(I57*設定!$C$12/1000,0)</f>
        <v>0</v>
      </c>
      <c r="BH57" s="31" t="n">
        <f aca="false">ROUNDDOWN(J57*設定!$B$13/1000,0)</f>
        <v>0</v>
      </c>
      <c r="BI57" s="31" t="n">
        <f aca="false">ROUNDDOWN(J57*設定!$C$13/1000,0)</f>
        <v>0</v>
      </c>
      <c r="BJ57" s="31" t="n">
        <f aca="false">ROUNDDOWN(K57*設定!$B$14/1000,0)</f>
        <v>0</v>
      </c>
      <c r="BK57" s="31" t="n">
        <f aca="false">ROUNDDOWN(K57*設定!$C$14/1000,0)</f>
        <v>0</v>
      </c>
      <c r="BL57" s="31" t="n">
        <f aca="false">ROUNDDOWN(J57*設定!$B$15/1000,0)</f>
        <v>0</v>
      </c>
      <c r="BM57" s="31" t="n">
        <f aca="false">ROUNDDOWN(J57*設定!$C$15/1000,0)</f>
        <v>0</v>
      </c>
      <c r="BN57" s="31" t="n">
        <f aca="false">L57+M57</f>
        <v>25613478</v>
      </c>
      <c r="BO57" s="31" t="n">
        <f aca="false">N57+O57+P57</f>
        <v>36072114</v>
      </c>
      <c r="BP57" s="31" t="n">
        <f aca="false">Q57</f>
        <v>23500578</v>
      </c>
      <c r="BQ57" s="31" t="n">
        <f aca="false">R57</f>
        <v>23962291</v>
      </c>
      <c r="BR57" s="31" t="n">
        <f aca="false">S57</f>
        <v>2734336</v>
      </c>
      <c r="BS57" s="31" t="n">
        <f aca="false">T57</f>
        <v>2743806</v>
      </c>
      <c r="BT57" s="31" t="n">
        <f aca="false">U57</f>
        <v>519699</v>
      </c>
      <c r="BU57" s="31" t="n">
        <f aca="false">V57</f>
        <v>521587</v>
      </c>
      <c r="BV57" s="32" t="n">
        <f aca="false">IF(BF57=0,IF(BN57=0,0,1),(BN57-BF57)/BF57)</f>
        <v>1</v>
      </c>
      <c r="BW57" s="32" t="n">
        <f aca="false">IF(BG57=0,IF(BO57=0,0,1),(BO57-BG57)/BG57)</f>
        <v>1</v>
      </c>
      <c r="BX57" s="32" t="n">
        <f aca="false">IF(BH57=0,IF(BP57=0,0,1),(BP57-BH57)/BH57)</f>
        <v>1</v>
      </c>
      <c r="BY57" s="32" t="n">
        <f aca="false">IF(BI57=0,IF(BQ57=0,0,1),(BQ57-BI57)/BI57)</f>
        <v>1</v>
      </c>
      <c r="BZ57" s="32" t="n">
        <f aca="false">IF(BJ57=0,IF(BR57=0,0,1),(BR57-BJ57)/BJ57)</f>
        <v>1</v>
      </c>
      <c r="CA57" s="32" t="n">
        <f aca="false">IF(BK57=0,IF(BS57=0,0,1),(BS57-BK57)/BK57)</f>
        <v>1</v>
      </c>
      <c r="CB57" s="32" t="n">
        <f aca="false">IF(BL57=0,IF(BT57=0,0,1),(BT57-BL57)/BL57)</f>
        <v>1</v>
      </c>
      <c r="CC57" s="32" t="n">
        <f aca="false">IF(BM57=0,IF(BU57=0,0,1),(BU57-BM57)/BM57)</f>
        <v>1</v>
      </c>
      <c r="CD57" s="32" t="n">
        <f aca="false">MAX(MAX(BV57:CC57),-MIN(BV57:CC57))</f>
        <v>1</v>
      </c>
      <c r="CE57" s="31" t="n">
        <f aca="false">IF(CI57="","",SUMIFS($CF$7:$CF$696,$A$7:$A$696,CI57,$B$7:$B$696,B57))</f>
        <v>114359817</v>
      </c>
      <c r="CF57" s="31" t="n">
        <f aca="false">SUM(AU57:BE57)</f>
        <v>115667889</v>
      </c>
      <c r="CG57" s="33" t="str">
        <f aca="false">A57&amp;"|"&amp;B57</f>
        <v>2026-05 月例|教育委員会（総務課）</v>
      </c>
      <c r="CH57" s="34" t="str">
        <f aca="false">IFERROR(INDEX(設定!$D$61:$D$106,MATCH(B57,設定!$B$61:$B$106,0)),"Y")</f>
        <v>N</v>
      </c>
      <c r="CI57" s="34" t="str">
        <f aca="false">IFERROR(INDEX(設定!$D$20:$D$34,MATCH(A57,設定!$A$20:$A$34,0))&amp;"","")</f>
        <v>2026-04 月例</v>
      </c>
    </row>
    <row r="58" customFormat="false" ht="15" hidden="true" customHeight="false" outlineLevel="0" collapsed="false">
      <c r="A58" s="22" t="s">
        <v>207</v>
      </c>
      <c r="B58" s="23" t="s">
        <v>165</v>
      </c>
      <c r="C58" s="10" t="str">
        <f aca="false">IF(G58="","未受領",IF(G58="なし","報告なし",IF(AH58="○","起票済",IF(OR(AG58="○",F58="一致",F58="入金不要"),"入金確認済","受領済"))))</f>
        <v>入金確認済</v>
      </c>
      <c r="D58" s="10" t="str">
        <f aca="false">IF(OR(G58="",G58="なし"),"―",IF(CH58="N","対象外",IF(AND(I58="",J58="",K58=""),"標報未入力",IF(CD58&gt;=設定!$B$4,"要確認","問題なし"))))</f>
        <v>標報未入力</v>
      </c>
      <c r="E58" s="24" t="str">
        <f aca="false">IF(OR(G58="",G58="なし",CE58="",CF58=0),"―",IF(CF58=CE58,"前月同額",IF(CE58=0,"―",IF(ABS(CF58/CE58-1)&gt;=設定!$B$5,"変動大 "&amp;TEXT(CF58/CE58-1,"+0%;-0%"),"〇"))))</f>
        <v>前月同額</v>
      </c>
      <c r="F58" s="10" t="str">
        <f aca="false">IF(OR(G58="",G58="なし"),"―",IF(CF58=0,"入金不要",IF(COUNT(Z58,AB58,AD58,AF58)=0,IF(AG58="○","手動確認","未入金"),IF(AND(N(Z58)=Y58,IF(AA58="",TRUE(),N(AB58)=AA58),IF(AC58="",TRUE(),N(AD58)=AC58),IF(AE58="",TRUE(),N(AF58)=AE58)),"一致","不一致"))))</f>
        <v>手動確認</v>
      </c>
      <c r="G58" s="25" t="s">
        <v>159</v>
      </c>
      <c r="H58" s="26"/>
      <c r="I58" s="27"/>
      <c r="J58" s="27"/>
      <c r="K58" s="27"/>
      <c r="L58" s="27" t="n">
        <v>326655</v>
      </c>
      <c r="M58" s="27" t="n">
        <v>26775</v>
      </c>
      <c r="N58" s="27" t="n">
        <v>469098</v>
      </c>
      <c r="O58" s="27" t="n">
        <v>26775</v>
      </c>
      <c r="P58" s="27" t="n">
        <v>310</v>
      </c>
      <c r="Q58" s="27" t="n">
        <v>205363</v>
      </c>
      <c r="R58" s="27" t="n">
        <v>208810</v>
      </c>
      <c r="S58" s="27" t="n">
        <v>15800</v>
      </c>
      <c r="T58" s="27" t="n">
        <v>15800</v>
      </c>
      <c r="U58" s="27" t="n">
        <v>4552</v>
      </c>
      <c r="V58" s="27" t="n">
        <v>4553</v>
      </c>
      <c r="W58" s="10" t="str">
        <f aca="false">IFERROR(INDEX(設定!$E$61:$E$106,MATCH(B58,設定!$B$61:$B$106,0)),"合算")</f>
        <v>合算</v>
      </c>
      <c r="X58" s="28"/>
      <c r="Y58" s="29" t="n">
        <f aca="false">IF(OR(G58="",G58="なし"),"",IF(W58="合算",CF58,IF(W58="掛金・負担金別",(AU58+AV58+AZ58+BB58+BD58),SUM(AU58:AY58))))</f>
        <v>1304491</v>
      </c>
      <c r="Z58" s="27"/>
      <c r="AA58" s="29" t="str">
        <f aca="false">IF(OR(G58="",G58="なし"),"",IF(W58="掛金・負担金別",(AW58+AX58+AY58+BA58+BC58+BE58),IF(W58="経理区分別",AZ58+BA58,"")))</f>
        <v/>
      </c>
      <c r="AB58" s="27"/>
      <c r="AC58" s="29" t="str">
        <f aca="false">IF(OR(G58="",G58="なし"),"",IF(W58="経理区分別",BB58+BC58,""))</f>
        <v/>
      </c>
      <c r="AD58" s="27"/>
      <c r="AE58" s="29" t="str">
        <f aca="false">IF(OR(G58="",G58="なし"),"",IF(W58="経理区分別",BD58+BE58,""))</f>
        <v/>
      </c>
      <c r="AF58" s="27"/>
      <c r="AG58" s="26" t="s">
        <v>160</v>
      </c>
      <c r="AH58" s="26"/>
      <c r="AI58" s="30"/>
      <c r="AJ58" s="31"/>
      <c r="AK58" s="31"/>
      <c r="AL58" s="31"/>
      <c r="AM58" s="31"/>
      <c r="AN58" s="31"/>
      <c r="AO58" s="31"/>
      <c r="AP58" s="31"/>
      <c r="AQ58" s="31"/>
      <c r="AR58" s="31"/>
      <c r="AS58" s="31"/>
      <c r="AT58" s="31"/>
      <c r="AU58" s="31" t="n">
        <f aca="false">IF($G58="",AJ58,L58)</f>
        <v>326655</v>
      </c>
      <c r="AV58" s="31" t="n">
        <f aca="false">IF($G58="",AK58,M58)</f>
        <v>26775</v>
      </c>
      <c r="AW58" s="31" t="n">
        <f aca="false">IF($G58="",AL58,N58)</f>
        <v>469098</v>
      </c>
      <c r="AX58" s="31" t="n">
        <f aca="false">IF($G58="",AM58,O58)</f>
        <v>26775</v>
      </c>
      <c r="AY58" s="31" t="n">
        <f aca="false">IF($G58="",AN58,P58)</f>
        <v>310</v>
      </c>
      <c r="AZ58" s="31" t="n">
        <f aca="false">IF($G58="",AO58,Q58)</f>
        <v>205363</v>
      </c>
      <c r="BA58" s="31" t="n">
        <f aca="false">IF($G58="",AP58,R58)</f>
        <v>208810</v>
      </c>
      <c r="BB58" s="31" t="n">
        <f aca="false">IF($G58="",AQ58,S58)</f>
        <v>15800</v>
      </c>
      <c r="BC58" s="31" t="n">
        <f aca="false">IF($G58="",AR58,T58)</f>
        <v>15800</v>
      </c>
      <c r="BD58" s="31" t="n">
        <f aca="false">IF($G58="",AS58,U58)</f>
        <v>4552</v>
      </c>
      <c r="BE58" s="31" t="n">
        <f aca="false">IF($G58="",AT58,V58)</f>
        <v>4553</v>
      </c>
      <c r="BF58" s="31" t="n">
        <f aca="false">ROUNDDOWN(I58*設定!$B$10/1000,0)+ROUNDDOWN(I58*設定!$B$11/1000,0)</f>
        <v>0</v>
      </c>
      <c r="BG58" s="31" t="n">
        <f aca="false">ROUNDDOWN(I58*設定!$C$10/1000,0)+ROUNDDOWN(I58*設定!$C$11/1000,0)+ROUNDDOWN(I58*設定!$C$12/1000,0)</f>
        <v>0</v>
      </c>
      <c r="BH58" s="31" t="n">
        <f aca="false">ROUNDDOWN(J58*設定!$B$13/1000,0)</f>
        <v>0</v>
      </c>
      <c r="BI58" s="31" t="n">
        <f aca="false">ROUNDDOWN(J58*設定!$C$13/1000,0)</f>
        <v>0</v>
      </c>
      <c r="BJ58" s="31" t="n">
        <f aca="false">ROUNDDOWN(K58*設定!$B$14/1000,0)</f>
        <v>0</v>
      </c>
      <c r="BK58" s="31" t="n">
        <f aca="false">ROUNDDOWN(K58*設定!$C$14/1000,0)</f>
        <v>0</v>
      </c>
      <c r="BL58" s="31" t="n">
        <f aca="false">ROUNDDOWN(J58*設定!$B$15/1000,0)</f>
        <v>0</v>
      </c>
      <c r="BM58" s="31" t="n">
        <f aca="false">ROUNDDOWN(J58*設定!$C$15/1000,0)</f>
        <v>0</v>
      </c>
      <c r="BN58" s="31" t="n">
        <f aca="false">L58+M58</f>
        <v>353430</v>
      </c>
      <c r="BO58" s="31" t="n">
        <f aca="false">N58+O58+P58</f>
        <v>496183</v>
      </c>
      <c r="BP58" s="31" t="n">
        <f aca="false">Q58</f>
        <v>205363</v>
      </c>
      <c r="BQ58" s="31" t="n">
        <f aca="false">R58</f>
        <v>208810</v>
      </c>
      <c r="BR58" s="31" t="n">
        <f aca="false">S58</f>
        <v>15800</v>
      </c>
      <c r="BS58" s="31" t="n">
        <f aca="false">T58</f>
        <v>15800</v>
      </c>
      <c r="BT58" s="31" t="n">
        <f aca="false">U58</f>
        <v>4552</v>
      </c>
      <c r="BU58" s="31" t="n">
        <f aca="false">V58</f>
        <v>4553</v>
      </c>
      <c r="BV58" s="32" t="n">
        <f aca="false">IF(BF58=0,IF(BN58=0,0,1),(BN58-BF58)/BF58)</f>
        <v>1</v>
      </c>
      <c r="BW58" s="32" t="n">
        <f aca="false">IF(BG58=0,IF(BO58=0,0,1),(BO58-BG58)/BG58)</f>
        <v>1</v>
      </c>
      <c r="BX58" s="32" t="n">
        <f aca="false">IF(BH58=0,IF(BP58=0,0,1),(BP58-BH58)/BH58)</f>
        <v>1</v>
      </c>
      <c r="BY58" s="32" t="n">
        <f aca="false">IF(BI58=0,IF(BQ58=0,0,1),(BQ58-BI58)/BI58)</f>
        <v>1</v>
      </c>
      <c r="BZ58" s="32" t="n">
        <f aca="false">IF(BJ58=0,IF(BR58=0,0,1),(BR58-BJ58)/BJ58)</f>
        <v>1</v>
      </c>
      <c r="CA58" s="32" t="n">
        <f aca="false">IF(BK58=0,IF(BS58=0,0,1),(BS58-BK58)/BK58)</f>
        <v>1</v>
      </c>
      <c r="CB58" s="32" t="n">
        <f aca="false">IF(BL58=0,IF(BT58=0,0,1),(BT58-BL58)/BL58)</f>
        <v>1</v>
      </c>
      <c r="CC58" s="32" t="n">
        <f aca="false">IF(BM58=0,IF(BU58=0,0,1),(BU58-BM58)/BM58)</f>
        <v>1</v>
      </c>
      <c r="CD58" s="32" t="n">
        <f aca="false">MAX(MAX(BV58:CC58),-MIN(BV58:CC58))</f>
        <v>1</v>
      </c>
      <c r="CE58" s="31" t="n">
        <f aca="false">IF(CI58="","",SUMIFS($CF$7:$CF$696,$A$7:$A$696,CI58,$B$7:$B$696,B58))</f>
        <v>1304491</v>
      </c>
      <c r="CF58" s="31" t="n">
        <f aca="false">SUM(AU58:BE58)</f>
        <v>1304491</v>
      </c>
      <c r="CG58" s="33" t="str">
        <f aca="false">A58&amp;"|"&amp;B58</f>
        <v>2026-05 月例|選挙管理委員会</v>
      </c>
      <c r="CH58" s="34" t="str">
        <f aca="false">IFERROR(INDEX(設定!$D$61:$D$106,MATCH(B58,設定!$B$61:$B$106,0)),"Y")</f>
        <v>Y</v>
      </c>
      <c r="CI58" s="34" t="str">
        <f aca="false">IFERROR(INDEX(設定!$D$20:$D$34,MATCH(A58,設定!$A$20:$A$34,0))&amp;"","")</f>
        <v>2026-04 月例</v>
      </c>
    </row>
    <row r="59" customFormat="false" ht="15" hidden="true" customHeight="false" outlineLevel="0" collapsed="false">
      <c r="A59" s="22" t="s">
        <v>207</v>
      </c>
      <c r="B59" s="23" t="s">
        <v>166</v>
      </c>
      <c r="C59" s="10" t="str">
        <f aca="false">IF(G59="","未受領",IF(G59="なし","報告なし",IF(AH59="○","起票済",IF(OR(AG59="○",F59="一致",F59="入金不要"),"入金確認済","受領済"))))</f>
        <v>入金確認済</v>
      </c>
      <c r="D59" s="10" t="str">
        <f aca="false">IF(OR(G59="",G59="なし"),"―",IF(CH59="N","対象外",IF(AND(I59="",J59="",K59=""),"標報未入力",IF(CD59&gt;=設定!$B$4,"要確認","問題なし"))))</f>
        <v>標報未入力</v>
      </c>
      <c r="E59" s="24" t="str">
        <f aca="false">IF(OR(G59="",G59="なし",CE59="",CF59=0),"―",IF(CF59=CE59,"前月同額",IF(CE59=0,"―",IF(ABS(CF59/CE59-1)&gt;=設定!$B$5,"変動大 "&amp;TEXT(CF59/CE59-1,"+0%;-0%"),"〇"))))</f>
        <v>前月同額</v>
      </c>
      <c r="F59" s="10" t="str">
        <f aca="false">IF(OR(G59="",G59="なし"),"―",IF(CF59=0,"入金不要",IF(COUNT(Z59,AB59,AD59,AF59)=0,IF(AG59="○","手動確認","未入金"),IF(AND(N(Z59)=Y59,IF(AA59="",TRUE(),N(AB59)=AA59),IF(AC59="",TRUE(),N(AD59)=AC59),IF(AE59="",TRUE(),N(AF59)=AE59)),"一致","不一致"))))</f>
        <v>手動確認</v>
      </c>
      <c r="G59" s="25" t="s">
        <v>159</v>
      </c>
      <c r="H59" s="26"/>
      <c r="I59" s="27"/>
      <c r="J59" s="27"/>
      <c r="K59" s="27"/>
      <c r="L59" s="27" t="n">
        <v>597495</v>
      </c>
      <c r="M59" s="27" t="n">
        <v>48975</v>
      </c>
      <c r="N59" s="27" t="n">
        <v>858042</v>
      </c>
      <c r="O59" s="27" t="n">
        <v>48975</v>
      </c>
      <c r="P59" s="27" t="n">
        <v>567</v>
      </c>
      <c r="Q59" s="27" t="n">
        <v>343825</v>
      </c>
      <c r="R59" s="27" t="n">
        <v>349599</v>
      </c>
      <c r="S59" s="27" t="n">
        <v>28282</v>
      </c>
      <c r="T59" s="27" t="n">
        <v>28282</v>
      </c>
      <c r="U59" s="27" t="n">
        <v>7621</v>
      </c>
      <c r="V59" s="27" t="n">
        <v>7624</v>
      </c>
      <c r="W59" s="10" t="str">
        <f aca="false">IFERROR(INDEX(設定!$E$61:$E$106,MATCH(B59,設定!$B$61:$B$106,0)),"合算")</f>
        <v>合算</v>
      </c>
      <c r="X59" s="28"/>
      <c r="Y59" s="29" t="n">
        <f aca="false">IF(OR(G59="",G59="なし"),"",IF(W59="合算",CF59,IF(W59="掛金・負担金別",(AU59+AV59+AZ59+BB59+BD59),SUM(AU59:AY59))))</f>
        <v>2319287</v>
      </c>
      <c r="Z59" s="27"/>
      <c r="AA59" s="29" t="str">
        <f aca="false">IF(OR(G59="",G59="なし"),"",IF(W59="掛金・負担金別",(AW59+AX59+AY59+BA59+BC59+BE59),IF(W59="経理区分別",AZ59+BA59,"")))</f>
        <v/>
      </c>
      <c r="AB59" s="27"/>
      <c r="AC59" s="29" t="str">
        <f aca="false">IF(OR(G59="",G59="なし"),"",IF(W59="経理区分別",BB59+BC59,""))</f>
        <v/>
      </c>
      <c r="AD59" s="27"/>
      <c r="AE59" s="29" t="str">
        <f aca="false">IF(OR(G59="",G59="なし"),"",IF(W59="経理区分別",BD59+BE59,""))</f>
        <v/>
      </c>
      <c r="AF59" s="27"/>
      <c r="AG59" s="26" t="s">
        <v>160</v>
      </c>
      <c r="AH59" s="26"/>
      <c r="AI59" s="30"/>
      <c r="AJ59" s="31"/>
      <c r="AK59" s="31"/>
      <c r="AL59" s="31"/>
      <c r="AM59" s="31"/>
      <c r="AN59" s="31"/>
      <c r="AO59" s="31"/>
      <c r="AP59" s="31"/>
      <c r="AQ59" s="31"/>
      <c r="AR59" s="31"/>
      <c r="AS59" s="31"/>
      <c r="AT59" s="31"/>
      <c r="AU59" s="31" t="n">
        <f aca="false">IF($G59="",AJ59,L59)</f>
        <v>597495</v>
      </c>
      <c r="AV59" s="31" t="n">
        <f aca="false">IF($G59="",AK59,M59)</f>
        <v>48975</v>
      </c>
      <c r="AW59" s="31" t="n">
        <f aca="false">IF($G59="",AL59,N59)</f>
        <v>858042</v>
      </c>
      <c r="AX59" s="31" t="n">
        <f aca="false">IF($G59="",AM59,O59)</f>
        <v>48975</v>
      </c>
      <c r="AY59" s="31" t="n">
        <f aca="false">IF($G59="",AN59,P59)</f>
        <v>567</v>
      </c>
      <c r="AZ59" s="31" t="n">
        <f aca="false">IF($G59="",AO59,Q59)</f>
        <v>343825</v>
      </c>
      <c r="BA59" s="31" t="n">
        <f aca="false">IF($G59="",AP59,R59)</f>
        <v>349599</v>
      </c>
      <c r="BB59" s="31" t="n">
        <f aca="false">IF($G59="",AQ59,S59)</f>
        <v>28282</v>
      </c>
      <c r="BC59" s="31" t="n">
        <f aca="false">IF($G59="",AR59,T59)</f>
        <v>28282</v>
      </c>
      <c r="BD59" s="31" t="n">
        <f aca="false">IF($G59="",AS59,U59)</f>
        <v>7621</v>
      </c>
      <c r="BE59" s="31" t="n">
        <f aca="false">IF($G59="",AT59,V59)</f>
        <v>7624</v>
      </c>
      <c r="BF59" s="31" t="n">
        <f aca="false">ROUNDDOWN(I59*設定!$B$10/1000,0)+ROUNDDOWN(I59*設定!$B$11/1000,0)</f>
        <v>0</v>
      </c>
      <c r="BG59" s="31" t="n">
        <f aca="false">ROUNDDOWN(I59*設定!$C$10/1000,0)+ROUNDDOWN(I59*設定!$C$11/1000,0)+ROUNDDOWN(I59*設定!$C$12/1000,0)</f>
        <v>0</v>
      </c>
      <c r="BH59" s="31" t="n">
        <f aca="false">ROUNDDOWN(J59*設定!$B$13/1000,0)</f>
        <v>0</v>
      </c>
      <c r="BI59" s="31" t="n">
        <f aca="false">ROUNDDOWN(J59*設定!$C$13/1000,0)</f>
        <v>0</v>
      </c>
      <c r="BJ59" s="31" t="n">
        <f aca="false">ROUNDDOWN(K59*設定!$B$14/1000,0)</f>
        <v>0</v>
      </c>
      <c r="BK59" s="31" t="n">
        <f aca="false">ROUNDDOWN(K59*設定!$C$14/1000,0)</f>
        <v>0</v>
      </c>
      <c r="BL59" s="31" t="n">
        <f aca="false">ROUNDDOWN(J59*設定!$B$15/1000,0)</f>
        <v>0</v>
      </c>
      <c r="BM59" s="31" t="n">
        <f aca="false">ROUNDDOWN(J59*設定!$C$15/1000,0)</f>
        <v>0</v>
      </c>
      <c r="BN59" s="31" t="n">
        <f aca="false">L59+M59</f>
        <v>646470</v>
      </c>
      <c r="BO59" s="31" t="n">
        <f aca="false">N59+O59+P59</f>
        <v>907584</v>
      </c>
      <c r="BP59" s="31" t="n">
        <f aca="false">Q59</f>
        <v>343825</v>
      </c>
      <c r="BQ59" s="31" t="n">
        <f aca="false">R59</f>
        <v>349599</v>
      </c>
      <c r="BR59" s="31" t="n">
        <f aca="false">S59</f>
        <v>28282</v>
      </c>
      <c r="BS59" s="31" t="n">
        <f aca="false">T59</f>
        <v>28282</v>
      </c>
      <c r="BT59" s="31" t="n">
        <f aca="false">U59</f>
        <v>7621</v>
      </c>
      <c r="BU59" s="31" t="n">
        <f aca="false">V59</f>
        <v>7624</v>
      </c>
      <c r="BV59" s="32" t="n">
        <f aca="false">IF(BF59=0,IF(BN59=0,0,1),(BN59-BF59)/BF59)</f>
        <v>1</v>
      </c>
      <c r="BW59" s="32" t="n">
        <f aca="false">IF(BG59=0,IF(BO59=0,0,1),(BO59-BG59)/BG59)</f>
        <v>1</v>
      </c>
      <c r="BX59" s="32" t="n">
        <f aca="false">IF(BH59=0,IF(BP59=0,0,1),(BP59-BH59)/BH59)</f>
        <v>1</v>
      </c>
      <c r="BY59" s="32" t="n">
        <f aca="false">IF(BI59=0,IF(BQ59=0,0,1),(BQ59-BI59)/BI59)</f>
        <v>1</v>
      </c>
      <c r="BZ59" s="32" t="n">
        <f aca="false">IF(BJ59=0,IF(BR59=0,0,1),(BR59-BJ59)/BJ59)</f>
        <v>1</v>
      </c>
      <c r="CA59" s="32" t="n">
        <f aca="false">IF(BK59=0,IF(BS59=0,0,1),(BS59-BK59)/BK59)</f>
        <v>1</v>
      </c>
      <c r="CB59" s="32" t="n">
        <f aca="false">IF(BL59=0,IF(BT59=0,0,1),(BT59-BL59)/BL59)</f>
        <v>1</v>
      </c>
      <c r="CC59" s="32" t="n">
        <f aca="false">IF(BM59=0,IF(BU59=0,0,1),(BU59-BM59)/BM59)</f>
        <v>1</v>
      </c>
      <c r="CD59" s="32" t="n">
        <f aca="false">MAX(MAX(BV59:CC59),-MIN(BV59:CC59))</f>
        <v>1</v>
      </c>
      <c r="CE59" s="31" t="n">
        <f aca="false">IF(CI59="","",SUMIFS($CF$7:$CF$696,$A$7:$A$696,CI59,$B$7:$B$696,B59))</f>
        <v>2319287</v>
      </c>
      <c r="CF59" s="31" t="n">
        <f aca="false">SUM(AU59:BE59)</f>
        <v>2319287</v>
      </c>
      <c r="CG59" s="33" t="str">
        <f aca="false">A59&amp;"|"&amp;B59</f>
        <v>2026-05 月例|人事委員会</v>
      </c>
      <c r="CH59" s="34" t="str">
        <f aca="false">IFERROR(INDEX(設定!$D$61:$D$106,MATCH(B59,設定!$B$61:$B$106,0)),"Y")</f>
        <v>Y</v>
      </c>
      <c r="CI59" s="34" t="str">
        <f aca="false">IFERROR(INDEX(設定!$D$20:$D$34,MATCH(A59,設定!$A$20:$A$34,0))&amp;"","")</f>
        <v>2026-04 月例</v>
      </c>
    </row>
    <row r="60" customFormat="false" ht="15" hidden="true" customHeight="false" outlineLevel="0" collapsed="false">
      <c r="A60" s="22" t="s">
        <v>207</v>
      </c>
      <c r="B60" s="23" t="s">
        <v>167</v>
      </c>
      <c r="C60" s="10" t="str">
        <f aca="false">IF(G60="","未受領",IF(G60="なし","報告なし",IF(AH60="○","起票済",IF(OR(AG60="○",F60="一致",F60="入金不要"),"入金確認済","受領済"))))</f>
        <v>入金確認済</v>
      </c>
      <c r="D60" s="10" t="str">
        <f aca="false">IF(OR(G60="",G60="なし"),"―",IF(CH60="N","対象外",IF(AND(I60="",J60="",K60=""),"標報未入力",IF(CD60&gt;=設定!$B$4,"要確認","問題なし"))))</f>
        <v>標報未入力</v>
      </c>
      <c r="E60" s="24" t="str">
        <f aca="false">IF(OR(G60="",G60="なし",CE60="",CF60=0),"―",IF(CF60=CE60,"前月同額",IF(CE60=0,"―",IF(ABS(CF60/CE60-1)&gt;=設定!$B$5,"変動大 "&amp;TEXT(CF60/CE60-1,"+0%;-0%"),"〇"))))</f>
        <v>前月同額</v>
      </c>
      <c r="F60" s="10" t="str">
        <f aca="false">IF(OR(G60="",G60="なし"),"―",IF(CF60=0,"入金不要",IF(COUNT(Z60,AB60,AD60,AF60)=0,IF(AG60="○","手動確認","未入金"),IF(AND(N(Z60)=Y60,IF(AA60="",TRUE(),N(AB60)=AA60),IF(AC60="",TRUE(),N(AD60)=AC60),IF(AE60="",TRUE(),N(AF60)=AE60)),"一致","不一致"))))</f>
        <v>手動確認</v>
      </c>
      <c r="G60" s="25" t="s">
        <v>159</v>
      </c>
      <c r="H60" s="26"/>
      <c r="I60" s="27"/>
      <c r="J60" s="27"/>
      <c r="K60" s="27"/>
      <c r="L60" s="27" t="n">
        <v>1324920</v>
      </c>
      <c r="M60" s="27" t="n">
        <v>108600</v>
      </c>
      <c r="N60" s="27" t="n">
        <v>1913844</v>
      </c>
      <c r="O60" s="27" t="n">
        <v>108600</v>
      </c>
      <c r="P60" s="27" t="n">
        <v>1282</v>
      </c>
      <c r="Q60" s="27" t="n">
        <v>768034</v>
      </c>
      <c r="R60" s="27" t="n">
        <v>781174</v>
      </c>
      <c r="S60" s="27" t="n">
        <v>104201</v>
      </c>
      <c r="T60" s="27" t="n">
        <v>104201</v>
      </c>
      <c r="U60" s="27" t="n">
        <v>17023</v>
      </c>
      <c r="V60" s="27" t="n">
        <v>17030</v>
      </c>
      <c r="W60" s="10" t="str">
        <f aca="false">IFERROR(INDEX(設定!$E$61:$E$106,MATCH(B60,設定!$B$61:$B$106,0)),"合算")</f>
        <v>合算</v>
      </c>
      <c r="X60" s="28"/>
      <c r="Y60" s="29" t="n">
        <f aca="false">IF(OR(G60="",G60="なし"),"",IF(W60="合算",CF60,IF(W60="掛金・負担金別",(AU60+AV60+AZ60+BB60+BD60),SUM(AU60:AY60))))</f>
        <v>5248909</v>
      </c>
      <c r="Z60" s="27"/>
      <c r="AA60" s="29" t="str">
        <f aca="false">IF(OR(G60="",G60="なし"),"",IF(W60="掛金・負担金別",(AW60+AX60+AY60+BA60+BC60+BE60),IF(W60="経理区分別",AZ60+BA60,"")))</f>
        <v/>
      </c>
      <c r="AB60" s="27"/>
      <c r="AC60" s="29" t="str">
        <f aca="false">IF(OR(G60="",G60="なし"),"",IF(W60="経理区分別",BB60+BC60,""))</f>
        <v/>
      </c>
      <c r="AD60" s="27"/>
      <c r="AE60" s="29" t="str">
        <f aca="false">IF(OR(G60="",G60="なし"),"",IF(W60="経理区分別",BD60+BE60,""))</f>
        <v/>
      </c>
      <c r="AF60" s="27"/>
      <c r="AG60" s="26" t="s">
        <v>160</v>
      </c>
      <c r="AH60" s="26"/>
      <c r="AI60" s="30"/>
      <c r="AJ60" s="31"/>
      <c r="AK60" s="31"/>
      <c r="AL60" s="31"/>
      <c r="AM60" s="31"/>
      <c r="AN60" s="31"/>
      <c r="AO60" s="31"/>
      <c r="AP60" s="31"/>
      <c r="AQ60" s="31"/>
      <c r="AR60" s="31"/>
      <c r="AS60" s="31"/>
      <c r="AT60" s="31"/>
      <c r="AU60" s="31" t="n">
        <f aca="false">IF($G60="",AJ60,L60)</f>
        <v>1324920</v>
      </c>
      <c r="AV60" s="31" t="n">
        <f aca="false">IF($G60="",AK60,M60)</f>
        <v>108600</v>
      </c>
      <c r="AW60" s="31" t="n">
        <f aca="false">IF($G60="",AL60,N60)</f>
        <v>1913844</v>
      </c>
      <c r="AX60" s="31" t="n">
        <f aca="false">IF($G60="",AM60,O60)</f>
        <v>108600</v>
      </c>
      <c r="AY60" s="31" t="n">
        <f aca="false">IF($G60="",AN60,P60)</f>
        <v>1282</v>
      </c>
      <c r="AZ60" s="31" t="n">
        <f aca="false">IF($G60="",AO60,Q60)</f>
        <v>768034</v>
      </c>
      <c r="BA60" s="31" t="n">
        <f aca="false">IF($G60="",AP60,R60)</f>
        <v>781174</v>
      </c>
      <c r="BB60" s="31" t="n">
        <f aca="false">IF($G60="",AQ60,S60)</f>
        <v>104201</v>
      </c>
      <c r="BC60" s="31" t="n">
        <f aca="false">IF($G60="",AR60,T60)</f>
        <v>104201</v>
      </c>
      <c r="BD60" s="31" t="n">
        <f aca="false">IF($G60="",AS60,U60)</f>
        <v>17023</v>
      </c>
      <c r="BE60" s="31" t="n">
        <f aca="false">IF($G60="",AT60,V60)</f>
        <v>17030</v>
      </c>
      <c r="BF60" s="31" t="n">
        <f aca="false">ROUNDDOWN(I60*設定!$B$10/1000,0)+ROUNDDOWN(I60*設定!$B$11/1000,0)</f>
        <v>0</v>
      </c>
      <c r="BG60" s="31" t="n">
        <f aca="false">ROUNDDOWN(I60*設定!$C$10/1000,0)+ROUNDDOWN(I60*設定!$C$11/1000,0)+ROUNDDOWN(I60*設定!$C$12/1000,0)</f>
        <v>0</v>
      </c>
      <c r="BH60" s="31" t="n">
        <f aca="false">ROUNDDOWN(J60*設定!$B$13/1000,0)</f>
        <v>0</v>
      </c>
      <c r="BI60" s="31" t="n">
        <f aca="false">ROUNDDOWN(J60*設定!$C$13/1000,0)</f>
        <v>0</v>
      </c>
      <c r="BJ60" s="31" t="n">
        <f aca="false">ROUNDDOWN(K60*設定!$B$14/1000,0)</f>
        <v>0</v>
      </c>
      <c r="BK60" s="31" t="n">
        <f aca="false">ROUNDDOWN(K60*設定!$C$14/1000,0)</f>
        <v>0</v>
      </c>
      <c r="BL60" s="31" t="n">
        <f aca="false">ROUNDDOWN(J60*設定!$B$15/1000,0)</f>
        <v>0</v>
      </c>
      <c r="BM60" s="31" t="n">
        <f aca="false">ROUNDDOWN(J60*設定!$C$15/1000,0)</f>
        <v>0</v>
      </c>
      <c r="BN60" s="31" t="n">
        <f aca="false">L60+M60</f>
        <v>1433520</v>
      </c>
      <c r="BO60" s="31" t="n">
        <f aca="false">N60+O60+P60</f>
        <v>2023726</v>
      </c>
      <c r="BP60" s="31" t="n">
        <f aca="false">Q60</f>
        <v>768034</v>
      </c>
      <c r="BQ60" s="31" t="n">
        <f aca="false">R60</f>
        <v>781174</v>
      </c>
      <c r="BR60" s="31" t="n">
        <f aca="false">S60</f>
        <v>104201</v>
      </c>
      <c r="BS60" s="31" t="n">
        <f aca="false">T60</f>
        <v>104201</v>
      </c>
      <c r="BT60" s="31" t="n">
        <f aca="false">U60</f>
        <v>17023</v>
      </c>
      <c r="BU60" s="31" t="n">
        <f aca="false">V60</f>
        <v>17030</v>
      </c>
      <c r="BV60" s="32" t="n">
        <f aca="false">IF(BF60=0,IF(BN60=0,0,1),(BN60-BF60)/BF60)</f>
        <v>1</v>
      </c>
      <c r="BW60" s="32" t="n">
        <f aca="false">IF(BG60=0,IF(BO60=0,0,1),(BO60-BG60)/BG60)</f>
        <v>1</v>
      </c>
      <c r="BX60" s="32" t="n">
        <f aca="false">IF(BH60=0,IF(BP60=0,0,1),(BP60-BH60)/BH60)</f>
        <v>1</v>
      </c>
      <c r="BY60" s="32" t="n">
        <f aca="false">IF(BI60=0,IF(BQ60=0,0,1),(BQ60-BI60)/BI60)</f>
        <v>1</v>
      </c>
      <c r="BZ60" s="32" t="n">
        <f aca="false">IF(BJ60=0,IF(BR60=0,0,1),(BR60-BJ60)/BJ60)</f>
        <v>1</v>
      </c>
      <c r="CA60" s="32" t="n">
        <f aca="false">IF(BK60=0,IF(BS60=0,0,1),(BS60-BK60)/BK60)</f>
        <v>1</v>
      </c>
      <c r="CB60" s="32" t="n">
        <f aca="false">IF(BL60=0,IF(BT60=0,0,1),(BT60-BL60)/BL60)</f>
        <v>1</v>
      </c>
      <c r="CC60" s="32" t="n">
        <f aca="false">IF(BM60=0,IF(BU60=0,0,1),(BU60-BM60)/BM60)</f>
        <v>1</v>
      </c>
      <c r="CD60" s="32" t="n">
        <f aca="false">MAX(MAX(BV60:CC60),-MIN(BV60:CC60))</f>
        <v>1</v>
      </c>
      <c r="CE60" s="31" t="n">
        <f aca="false">IF(CI60="","",SUMIFS($CF$7:$CF$696,$A$7:$A$696,CI60,$B$7:$B$696,B60))</f>
        <v>5248909</v>
      </c>
      <c r="CF60" s="31" t="n">
        <f aca="false">SUM(AU60:BE60)</f>
        <v>5248909</v>
      </c>
      <c r="CG60" s="33" t="str">
        <f aca="false">A60&amp;"|"&amp;B60</f>
        <v>2026-05 月例|監査事務局</v>
      </c>
      <c r="CH60" s="34" t="str">
        <f aca="false">IFERROR(INDEX(設定!$D$61:$D$106,MATCH(B60,設定!$B$61:$B$106,0)),"Y")</f>
        <v>Y</v>
      </c>
      <c r="CI60" s="34" t="str">
        <f aca="false">IFERROR(INDEX(設定!$D$20:$D$34,MATCH(A60,設定!$A$20:$A$34,0))&amp;"","")</f>
        <v>2026-04 月例</v>
      </c>
    </row>
    <row r="61" customFormat="false" ht="15" hidden="true" customHeight="false" outlineLevel="0" collapsed="false">
      <c r="A61" s="22" t="s">
        <v>207</v>
      </c>
      <c r="B61" s="23" t="s">
        <v>168</v>
      </c>
      <c r="C61" s="10" t="str">
        <f aca="false">IF(G61="","未受領",IF(G61="なし","報告なし",IF(AH61="○","起票済",IF(OR(AG61="○",F61="一致",F61="入金不要"),"入金確認済","受領済"))))</f>
        <v>入金確認済</v>
      </c>
      <c r="D61" s="10" t="str">
        <f aca="false">IF(OR(G61="",G61="なし"),"―",IF(CH61="N","対象外",IF(AND(I61="",J61="",K61=""),"標報未入力",IF(CD61&gt;=設定!$B$4,"要確認","問題なし"))))</f>
        <v>標報未入力</v>
      </c>
      <c r="E61" s="24" t="str">
        <f aca="false">IF(OR(G61="",G61="なし",CE61="",CF61=0),"―",IF(CF61=CE61,"前月同額",IF(CE61=0,"―",IF(ABS(CF61/CE61-1)&gt;=設定!$B$5,"変動大 "&amp;TEXT(CF61/CE61-1,"+0%;-0%"),"〇"))))</f>
        <v>前月同額</v>
      </c>
      <c r="F61" s="10" t="str">
        <f aca="false">IF(OR(G61="",G61="なし"),"―",IF(CF61=0,"入金不要",IF(COUNT(Z61,AB61,AD61,AF61)=0,IF(AG61="○","手動確認","未入金"),IF(AND(N(Z61)=Y61,IF(AA61="",TRUE(),N(AB61)=AA61),IF(AC61="",TRUE(),N(AD61)=AC61),IF(AE61="",TRUE(),N(AF61)=AE61)),"一致","不一致"))))</f>
        <v>手動確認</v>
      </c>
      <c r="G61" s="25" t="s">
        <v>159</v>
      </c>
      <c r="H61" s="26"/>
      <c r="I61" s="27"/>
      <c r="J61" s="27"/>
      <c r="K61" s="27"/>
      <c r="L61" s="27" t="n">
        <v>409920</v>
      </c>
      <c r="M61" s="27" t="n">
        <v>33600</v>
      </c>
      <c r="N61" s="27" t="n">
        <v>588672</v>
      </c>
      <c r="O61" s="27" t="n">
        <v>33600</v>
      </c>
      <c r="P61" s="27" t="n">
        <v>389</v>
      </c>
      <c r="Q61" s="27" t="n">
        <v>306800</v>
      </c>
      <c r="R61" s="27" t="n">
        <v>311950</v>
      </c>
      <c r="S61" s="27" t="n">
        <v>35042</v>
      </c>
      <c r="T61" s="27" t="n">
        <v>35044</v>
      </c>
      <c r="U61" s="27" t="n">
        <v>6800</v>
      </c>
      <c r="V61" s="27" t="n">
        <v>6803</v>
      </c>
      <c r="W61" s="10" t="str">
        <f aca="false">IFERROR(INDEX(設定!$E$61:$E$106,MATCH(B61,設定!$B$61:$B$106,0)),"合算")</f>
        <v>合算</v>
      </c>
      <c r="X61" s="28"/>
      <c r="Y61" s="29" t="n">
        <f aca="false">IF(OR(G61="",G61="なし"),"",IF(W61="合算",CF61,IF(W61="掛金・負担金別",(AU61+AV61+AZ61+BB61+BD61),SUM(AU61:AY61))))</f>
        <v>1768620</v>
      </c>
      <c r="Z61" s="27"/>
      <c r="AA61" s="29" t="str">
        <f aca="false">IF(OR(G61="",G61="なし"),"",IF(W61="掛金・負担金別",(AW61+AX61+AY61+BA61+BC61+BE61),IF(W61="経理区分別",AZ61+BA61,"")))</f>
        <v/>
      </c>
      <c r="AB61" s="27"/>
      <c r="AC61" s="29" t="str">
        <f aca="false">IF(OR(G61="",G61="なし"),"",IF(W61="経理区分別",BB61+BC61,""))</f>
        <v/>
      </c>
      <c r="AD61" s="27"/>
      <c r="AE61" s="29" t="str">
        <f aca="false">IF(OR(G61="",G61="なし"),"",IF(W61="経理区分別",BD61+BE61,""))</f>
        <v/>
      </c>
      <c r="AF61" s="27"/>
      <c r="AG61" s="26" t="s">
        <v>160</v>
      </c>
      <c r="AH61" s="26"/>
      <c r="AI61" s="30"/>
      <c r="AJ61" s="31"/>
      <c r="AK61" s="31"/>
      <c r="AL61" s="31"/>
      <c r="AM61" s="31"/>
      <c r="AN61" s="31"/>
      <c r="AO61" s="31"/>
      <c r="AP61" s="31"/>
      <c r="AQ61" s="31"/>
      <c r="AR61" s="31"/>
      <c r="AS61" s="31"/>
      <c r="AT61" s="31"/>
      <c r="AU61" s="31" t="n">
        <f aca="false">IF($G61="",AJ61,L61)</f>
        <v>409920</v>
      </c>
      <c r="AV61" s="31" t="n">
        <f aca="false">IF($G61="",AK61,M61)</f>
        <v>33600</v>
      </c>
      <c r="AW61" s="31" t="n">
        <f aca="false">IF($G61="",AL61,N61)</f>
        <v>588672</v>
      </c>
      <c r="AX61" s="31" t="n">
        <f aca="false">IF($G61="",AM61,O61)</f>
        <v>33600</v>
      </c>
      <c r="AY61" s="31" t="n">
        <f aca="false">IF($G61="",AN61,P61)</f>
        <v>389</v>
      </c>
      <c r="AZ61" s="31" t="n">
        <f aca="false">IF($G61="",AO61,Q61)</f>
        <v>306800</v>
      </c>
      <c r="BA61" s="31" t="n">
        <f aca="false">IF($G61="",AP61,R61)</f>
        <v>311950</v>
      </c>
      <c r="BB61" s="31" t="n">
        <f aca="false">IF($G61="",AQ61,S61)</f>
        <v>35042</v>
      </c>
      <c r="BC61" s="31" t="n">
        <f aca="false">IF($G61="",AR61,T61)</f>
        <v>35044</v>
      </c>
      <c r="BD61" s="31" t="n">
        <f aca="false">IF($G61="",AS61,U61)</f>
        <v>6800</v>
      </c>
      <c r="BE61" s="31" t="n">
        <f aca="false">IF($G61="",AT61,V61)</f>
        <v>6803</v>
      </c>
      <c r="BF61" s="31" t="n">
        <f aca="false">ROUNDDOWN(I61*設定!$B$10/1000,0)+ROUNDDOWN(I61*設定!$B$11/1000,0)</f>
        <v>0</v>
      </c>
      <c r="BG61" s="31" t="n">
        <f aca="false">ROUNDDOWN(I61*設定!$C$10/1000,0)+ROUNDDOWN(I61*設定!$C$11/1000,0)+ROUNDDOWN(I61*設定!$C$12/1000,0)</f>
        <v>0</v>
      </c>
      <c r="BH61" s="31" t="n">
        <f aca="false">ROUNDDOWN(J61*設定!$B$13/1000,0)</f>
        <v>0</v>
      </c>
      <c r="BI61" s="31" t="n">
        <f aca="false">ROUNDDOWN(J61*設定!$C$13/1000,0)</f>
        <v>0</v>
      </c>
      <c r="BJ61" s="31" t="n">
        <f aca="false">ROUNDDOWN(K61*設定!$B$14/1000,0)</f>
        <v>0</v>
      </c>
      <c r="BK61" s="31" t="n">
        <f aca="false">ROUNDDOWN(K61*設定!$C$14/1000,0)</f>
        <v>0</v>
      </c>
      <c r="BL61" s="31" t="n">
        <f aca="false">ROUNDDOWN(J61*設定!$B$15/1000,0)</f>
        <v>0</v>
      </c>
      <c r="BM61" s="31" t="n">
        <f aca="false">ROUNDDOWN(J61*設定!$C$15/1000,0)</f>
        <v>0</v>
      </c>
      <c r="BN61" s="31" t="n">
        <f aca="false">L61+M61</f>
        <v>443520</v>
      </c>
      <c r="BO61" s="31" t="n">
        <f aca="false">N61+O61+P61</f>
        <v>622661</v>
      </c>
      <c r="BP61" s="31" t="n">
        <f aca="false">Q61</f>
        <v>306800</v>
      </c>
      <c r="BQ61" s="31" t="n">
        <f aca="false">R61</f>
        <v>311950</v>
      </c>
      <c r="BR61" s="31" t="n">
        <f aca="false">S61</f>
        <v>35042</v>
      </c>
      <c r="BS61" s="31" t="n">
        <f aca="false">T61</f>
        <v>35044</v>
      </c>
      <c r="BT61" s="31" t="n">
        <f aca="false">U61</f>
        <v>6800</v>
      </c>
      <c r="BU61" s="31" t="n">
        <f aca="false">V61</f>
        <v>6803</v>
      </c>
      <c r="BV61" s="32" t="n">
        <f aca="false">IF(BF61=0,IF(BN61=0,0,1),(BN61-BF61)/BF61)</f>
        <v>1</v>
      </c>
      <c r="BW61" s="32" t="n">
        <f aca="false">IF(BG61=0,IF(BO61=0,0,1),(BO61-BG61)/BG61)</f>
        <v>1</v>
      </c>
      <c r="BX61" s="32" t="n">
        <f aca="false">IF(BH61=0,IF(BP61=0,0,1),(BP61-BH61)/BH61)</f>
        <v>1</v>
      </c>
      <c r="BY61" s="32" t="n">
        <f aca="false">IF(BI61=0,IF(BQ61=0,0,1),(BQ61-BI61)/BI61)</f>
        <v>1</v>
      </c>
      <c r="BZ61" s="32" t="n">
        <f aca="false">IF(BJ61=0,IF(BR61=0,0,1),(BR61-BJ61)/BJ61)</f>
        <v>1</v>
      </c>
      <c r="CA61" s="32" t="n">
        <f aca="false">IF(BK61=0,IF(BS61=0,0,1),(BS61-BK61)/BK61)</f>
        <v>1</v>
      </c>
      <c r="CB61" s="32" t="n">
        <f aca="false">IF(BL61=0,IF(BT61=0,0,1),(BT61-BL61)/BL61)</f>
        <v>1</v>
      </c>
      <c r="CC61" s="32" t="n">
        <f aca="false">IF(BM61=0,IF(BU61=0,0,1),(BU61-BM61)/BM61)</f>
        <v>1</v>
      </c>
      <c r="CD61" s="32" t="n">
        <f aca="false">MAX(MAX(BV61:CC61),-MIN(BV61:CC61))</f>
        <v>1</v>
      </c>
      <c r="CE61" s="31" t="n">
        <f aca="false">IF(CI61="","",SUMIFS($CF$7:$CF$696,$A$7:$A$696,CI61,$B$7:$B$696,B61))</f>
        <v>1768620</v>
      </c>
      <c r="CF61" s="31" t="n">
        <f aca="false">SUM(AU61:BE61)</f>
        <v>1768620</v>
      </c>
      <c r="CG61" s="33" t="str">
        <f aca="false">A61&amp;"|"&amp;B61</f>
        <v>2026-05 月例|農業委員会</v>
      </c>
      <c r="CH61" s="34" t="str">
        <f aca="false">IFERROR(INDEX(設定!$D$61:$D$106,MATCH(B61,設定!$B$61:$B$106,0)),"Y")</f>
        <v>Y</v>
      </c>
      <c r="CI61" s="34" t="str">
        <f aca="false">IFERROR(INDEX(設定!$D$20:$D$34,MATCH(A61,設定!$A$20:$A$34,0))&amp;"","")</f>
        <v>2026-04 月例</v>
      </c>
    </row>
    <row r="62" customFormat="false" ht="15" hidden="true" customHeight="false" outlineLevel="0" collapsed="false">
      <c r="A62" s="22" t="s">
        <v>207</v>
      </c>
      <c r="B62" s="23" t="s">
        <v>169</v>
      </c>
      <c r="C62" s="10" t="str">
        <f aca="false">IF(G62="","未受領",IF(G62="なし","報告なし",IF(AH62="○","起票済",IF(OR(AG62="○",F62="一致",F62="入金不要"),"入金確認済","受領済"))))</f>
        <v>入金確認済</v>
      </c>
      <c r="D62" s="10" t="str">
        <f aca="false">IF(OR(G62="",G62="なし"),"―",IF(CH62="N","対象外",IF(AND(I62="",J62="",K62=""),"標報未入力",IF(CD62&gt;=設定!$B$4,"要確認","問題なし"))))</f>
        <v>対象外</v>
      </c>
      <c r="E62" s="24" t="str">
        <f aca="false">IF(OR(G62="",G62="なし",CE62="",CF62=0),"―",IF(CF62=CE62,"前月同額",IF(CE62=0,"―",IF(ABS(CF62/CE62-1)&gt;=設定!$B$5,"変動大 "&amp;TEXT(CF62/CE62-1,"+0%;-0%"),"〇"))))</f>
        <v>〇</v>
      </c>
      <c r="F62" s="10" t="str">
        <f aca="false">IF(OR(G62="",G62="なし"),"―",IF(CF62=0,"入金不要",IF(COUNT(Z62,AB62,AD62,AF62)=0,IF(AG62="○","手動確認","未入金"),IF(AND(N(Z62)=Y62,IF(AA62="",TRUE(),N(AB62)=AA62),IF(AC62="",TRUE(),N(AD62)=AC62),IF(AE62="",TRUE(),N(AF62)=AE62)),"一致","不一致"))))</f>
        <v>手動確認</v>
      </c>
      <c r="G62" s="25" t="s">
        <v>159</v>
      </c>
      <c r="H62" s="26"/>
      <c r="I62" s="27"/>
      <c r="J62" s="27"/>
      <c r="K62" s="27"/>
      <c r="L62" s="27" t="n">
        <v>22394625</v>
      </c>
      <c r="M62" s="27" t="n">
        <v>1835625</v>
      </c>
      <c r="N62" s="27" t="n">
        <v>32282244</v>
      </c>
      <c r="O62" s="27" t="n">
        <v>1835625</v>
      </c>
      <c r="P62" s="27" t="n">
        <v>21527</v>
      </c>
      <c r="Q62" s="27" t="n">
        <v>13377037</v>
      </c>
      <c r="R62" s="27" t="n">
        <v>13604624</v>
      </c>
      <c r="S62" s="27" t="n">
        <v>1337154</v>
      </c>
      <c r="T62" s="27" t="n">
        <v>1337154</v>
      </c>
      <c r="U62" s="27" t="n">
        <v>296548</v>
      </c>
      <c r="V62" s="27" t="n">
        <v>296639</v>
      </c>
      <c r="W62" s="10" t="str">
        <f aca="false">IFERROR(INDEX(設定!$E$61:$E$106,MATCH(B62,設定!$B$61:$B$106,0)),"合算")</f>
        <v>合算</v>
      </c>
      <c r="X62" s="28"/>
      <c r="Y62" s="29" t="n">
        <f aca="false">IF(OR(G62="",G62="なし"),"",IF(W62="合算",CF62,IF(W62="掛金・負担金別",(AU62+AV62+AZ62+BB62+BD62),SUM(AU62:AY62))))</f>
        <v>88618802</v>
      </c>
      <c r="Z62" s="27"/>
      <c r="AA62" s="29" t="str">
        <f aca="false">IF(OR(G62="",G62="なし"),"",IF(W62="掛金・負担金別",(AW62+AX62+AY62+BA62+BC62+BE62),IF(W62="経理区分別",AZ62+BA62,"")))</f>
        <v/>
      </c>
      <c r="AB62" s="27"/>
      <c r="AC62" s="29" t="str">
        <f aca="false">IF(OR(G62="",G62="なし"),"",IF(W62="経理区分別",BB62+BC62,""))</f>
        <v/>
      </c>
      <c r="AD62" s="27"/>
      <c r="AE62" s="29" t="str">
        <f aca="false">IF(OR(G62="",G62="なし"),"",IF(W62="経理区分別",BD62+BE62,""))</f>
        <v/>
      </c>
      <c r="AF62" s="27"/>
      <c r="AG62" s="26" t="s">
        <v>160</v>
      </c>
      <c r="AH62" s="26"/>
      <c r="AI62" s="30"/>
      <c r="AJ62" s="31"/>
      <c r="AK62" s="31"/>
      <c r="AL62" s="31"/>
      <c r="AM62" s="31"/>
      <c r="AN62" s="31"/>
      <c r="AO62" s="31"/>
      <c r="AP62" s="31"/>
      <c r="AQ62" s="31"/>
      <c r="AR62" s="31"/>
      <c r="AS62" s="31"/>
      <c r="AT62" s="31"/>
      <c r="AU62" s="31" t="n">
        <f aca="false">IF($G62="",AJ62,L62)</f>
        <v>22394625</v>
      </c>
      <c r="AV62" s="31" t="n">
        <f aca="false">IF($G62="",AK62,M62)</f>
        <v>1835625</v>
      </c>
      <c r="AW62" s="31" t="n">
        <f aca="false">IF($G62="",AL62,N62)</f>
        <v>32282244</v>
      </c>
      <c r="AX62" s="31" t="n">
        <f aca="false">IF($G62="",AM62,O62)</f>
        <v>1835625</v>
      </c>
      <c r="AY62" s="31" t="n">
        <f aca="false">IF($G62="",AN62,P62)</f>
        <v>21527</v>
      </c>
      <c r="AZ62" s="31" t="n">
        <f aca="false">IF($G62="",AO62,Q62)</f>
        <v>13377037</v>
      </c>
      <c r="BA62" s="31" t="n">
        <f aca="false">IF($G62="",AP62,R62)</f>
        <v>13604624</v>
      </c>
      <c r="BB62" s="31" t="n">
        <f aca="false">IF($G62="",AQ62,S62)</f>
        <v>1337154</v>
      </c>
      <c r="BC62" s="31" t="n">
        <f aca="false">IF($G62="",AR62,T62)</f>
        <v>1337154</v>
      </c>
      <c r="BD62" s="31" t="n">
        <f aca="false">IF($G62="",AS62,U62)</f>
        <v>296548</v>
      </c>
      <c r="BE62" s="31" t="n">
        <f aca="false">IF($G62="",AT62,V62)</f>
        <v>296639</v>
      </c>
      <c r="BF62" s="31" t="n">
        <f aca="false">ROUNDDOWN(I62*設定!$B$10/1000,0)+ROUNDDOWN(I62*設定!$B$11/1000,0)</f>
        <v>0</v>
      </c>
      <c r="BG62" s="31" t="n">
        <f aca="false">ROUNDDOWN(I62*設定!$C$10/1000,0)+ROUNDDOWN(I62*設定!$C$11/1000,0)+ROUNDDOWN(I62*設定!$C$12/1000,0)</f>
        <v>0</v>
      </c>
      <c r="BH62" s="31" t="n">
        <f aca="false">ROUNDDOWN(J62*設定!$B$13/1000,0)</f>
        <v>0</v>
      </c>
      <c r="BI62" s="31" t="n">
        <f aca="false">ROUNDDOWN(J62*設定!$C$13/1000,0)</f>
        <v>0</v>
      </c>
      <c r="BJ62" s="31" t="n">
        <f aca="false">ROUNDDOWN(K62*設定!$B$14/1000,0)</f>
        <v>0</v>
      </c>
      <c r="BK62" s="31" t="n">
        <f aca="false">ROUNDDOWN(K62*設定!$C$14/1000,0)</f>
        <v>0</v>
      </c>
      <c r="BL62" s="31" t="n">
        <f aca="false">ROUNDDOWN(J62*設定!$B$15/1000,0)</f>
        <v>0</v>
      </c>
      <c r="BM62" s="31" t="n">
        <f aca="false">ROUNDDOWN(J62*設定!$C$15/1000,0)</f>
        <v>0</v>
      </c>
      <c r="BN62" s="31" t="n">
        <f aca="false">L62+M62</f>
        <v>24230250</v>
      </c>
      <c r="BO62" s="31" t="n">
        <f aca="false">N62+O62+P62</f>
        <v>34139396</v>
      </c>
      <c r="BP62" s="31" t="n">
        <f aca="false">Q62</f>
        <v>13377037</v>
      </c>
      <c r="BQ62" s="31" t="n">
        <f aca="false">R62</f>
        <v>13604624</v>
      </c>
      <c r="BR62" s="31" t="n">
        <f aca="false">S62</f>
        <v>1337154</v>
      </c>
      <c r="BS62" s="31" t="n">
        <f aca="false">T62</f>
        <v>1337154</v>
      </c>
      <c r="BT62" s="31" t="n">
        <f aca="false">U62</f>
        <v>296548</v>
      </c>
      <c r="BU62" s="31" t="n">
        <f aca="false">V62</f>
        <v>296639</v>
      </c>
      <c r="BV62" s="32" t="n">
        <f aca="false">IF(BF62=0,IF(BN62=0,0,1),(BN62-BF62)/BF62)</f>
        <v>1</v>
      </c>
      <c r="BW62" s="32" t="n">
        <f aca="false">IF(BG62=0,IF(BO62=0,0,1),(BO62-BG62)/BG62)</f>
        <v>1</v>
      </c>
      <c r="BX62" s="32" t="n">
        <f aca="false">IF(BH62=0,IF(BP62=0,0,1),(BP62-BH62)/BH62)</f>
        <v>1</v>
      </c>
      <c r="BY62" s="32" t="n">
        <f aca="false">IF(BI62=0,IF(BQ62=0,0,1),(BQ62-BI62)/BI62)</f>
        <v>1</v>
      </c>
      <c r="BZ62" s="32" t="n">
        <f aca="false">IF(BJ62=0,IF(BR62=0,0,1),(BR62-BJ62)/BJ62)</f>
        <v>1</v>
      </c>
      <c r="CA62" s="32" t="n">
        <f aca="false">IF(BK62=0,IF(BS62=0,0,1),(BS62-BK62)/BK62)</f>
        <v>1</v>
      </c>
      <c r="CB62" s="32" t="n">
        <f aca="false">IF(BL62=0,IF(BT62=0,0,1),(BT62-BL62)/BL62)</f>
        <v>1</v>
      </c>
      <c r="CC62" s="32" t="n">
        <f aca="false">IF(BM62=0,IF(BU62=0,0,1),(BU62-BM62)/BM62)</f>
        <v>1</v>
      </c>
      <c r="CD62" s="32" t="n">
        <f aca="false">MAX(MAX(BV62:CC62),-MIN(BV62:CC62))</f>
        <v>1</v>
      </c>
      <c r="CE62" s="31" t="n">
        <f aca="false">IF(CI62="","",SUMIFS($CF$7:$CF$696,$A$7:$A$696,CI62,$B$7:$B$696,B62))</f>
        <v>88544575</v>
      </c>
      <c r="CF62" s="31" t="n">
        <f aca="false">SUM(AU62:BE62)</f>
        <v>88618802</v>
      </c>
      <c r="CG62" s="33" t="str">
        <f aca="false">A62&amp;"|"&amp;B62</f>
        <v>2026-05 月例|水道局</v>
      </c>
      <c r="CH62" s="34" t="str">
        <f aca="false">IFERROR(INDEX(設定!$D$61:$D$106,MATCH(B62,設定!$B$61:$B$106,0)),"Y")</f>
        <v>N</v>
      </c>
      <c r="CI62" s="34" t="str">
        <f aca="false">IFERROR(INDEX(設定!$D$20:$D$34,MATCH(A62,設定!$A$20:$A$34,0))&amp;"","")</f>
        <v>2026-04 月例</v>
      </c>
    </row>
    <row r="63" customFormat="false" ht="15" hidden="true" customHeight="false" outlineLevel="0" collapsed="false">
      <c r="A63" s="22" t="s">
        <v>207</v>
      </c>
      <c r="B63" s="23" t="s">
        <v>170</v>
      </c>
      <c r="C63" s="10" t="str">
        <f aca="false">IF(G63="","未受領",IF(G63="なし","報告なし",IF(AH63="○","起票済",IF(OR(AG63="○",F63="一致",F63="入金不要"),"入金確認済","受領済"))))</f>
        <v>入金確認済</v>
      </c>
      <c r="D63" s="10" t="str">
        <f aca="false">IF(OR(G63="",G63="なし"),"―",IF(CH63="N","対象外",IF(AND(I63="",J63="",K63=""),"標報未入力",IF(CD63&gt;=設定!$B$4,"要確認","問題なし"))))</f>
        <v>標報未入力</v>
      </c>
      <c r="E63" s="24" t="str">
        <f aca="false">IF(OR(G63="",G63="なし",CE63="",CF63=0),"―",IF(CF63=CE63,"前月同額",IF(CE63=0,"―",IF(ABS(CF63/CE63-1)&gt;=設定!$B$5,"変動大 "&amp;TEXT(CF63/CE63-1,"+0%;-0%"),"〇"))))</f>
        <v>前月同額</v>
      </c>
      <c r="F63" s="10" t="str">
        <f aca="false">IF(OR(G63="",G63="なし"),"―",IF(CF63=0,"入金不要",IF(COUNT(Z63,AB63,AD63,AF63)=0,IF(AG63="○","手動確認","未入金"),IF(AND(N(Z63)=Y63,IF(AA63="",TRUE(),N(AB63)=AA63),IF(AC63="",TRUE(),N(AD63)=AC63),IF(AE63="",TRUE(),N(AF63)=AE63)),"一致","不一致"))))</f>
        <v>手動確認</v>
      </c>
      <c r="G63" s="25" t="s">
        <v>159</v>
      </c>
      <c r="H63" s="26"/>
      <c r="I63" s="27"/>
      <c r="J63" s="27"/>
      <c r="K63" s="27"/>
      <c r="L63" s="27" t="n">
        <v>48495</v>
      </c>
      <c r="M63" s="27" t="n">
        <v>3975</v>
      </c>
      <c r="N63" s="27" t="n">
        <v>69642</v>
      </c>
      <c r="O63" s="27" t="n">
        <v>3975</v>
      </c>
      <c r="P63" s="27" t="n">
        <v>46</v>
      </c>
      <c r="Q63" s="27" t="n">
        <v>27485</v>
      </c>
      <c r="R63" s="27" t="n">
        <v>27946</v>
      </c>
      <c r="S63" s="27" t="n">
        <v>4187</v>
      </c>
      <c r="T63" s="27" t="n">
        <v>4187</v>
      </c>
      <c r="U63" s="27" t="n">
        <v>609</v>
      </c>
      <c r="V63" s="27" t="n">
        <v>609</v>
      </c>
      <c r="W63" s="10" t="str">
        <f aca="false">IFERROR(INDEX(設定!$E$61:$E$106,MATCH(B63,設定!$B$61:$B$106,0)),"合算")</f>
        <v>合算</v>
      </c>
      <c r="X63" s="28"/>
      <c r="Y63" s="29" t="n">
        <f aca="false">IF(OR(G63="",G63="なし"),"",IF(W63="合算",CF63,IF(W63="掛金・負担金別",(AU63+AV63+AZ63+BB63+BD63),SUM(AU63:AY63))))</f>
        <v>191156</v>
      </c>
      <c r="Z63" s="27"/>
      <c r="AA63" s="29" t="str">
        <f aca="false">IF(OR(G63="",G63="なし"),"",IF(W63="掛金・負担金別",(AW63+AX63+AY63+BA63+BC63+BE63),IF(W63="経理区分別",AZ63+BA63,"")))</f>
        <v/>
      </c>
      <c r="AB63" s="27"/>
      <c r="AC63" s="29" t="str">
        <f aca="false">IF(OR(G63="",G63="なし"),"",IF(W63="経理区分別",BB63+BC63,""))</f>
        <v/>
      </c>
      <c r="AD63" s="27"/>
      <c r="AE63" s="29" t="str">
        <f aca="false">IF(OR(G63="",G63="なし"),"",IF(W63="経理区分別",BD63+BE63,""))</f>
        <v/>
      </c>
      <c r="AF63" s="27"/>
      <c r="AG63" s="26" t="s">
        <v>160</v>
      </c>
      <c r="AH63" s="26"/>
      <c r="AI63" s="30"/>
      <c r="AJ63" s="31"/>
      <c r="AK63" s="31"/>
      <c r="AL63" s="31"/>
      <c r="AM63" s="31"/>
      <c r="AN63" s="31"/>
      <c r="AO63" s="31"/>
      <c r="AP63" s="31"/>
      <c r="AQ63" s="31"/>
      <c r="AR63" s="31"/>
      <c r="AS63" s="31"/>
      <c r="AT63" s="31"/>
      <c r="AU63" s="31" t="n">
        <f aca="false">IF($G63="",AJ63,L63)</f>
        <v>48495</v>
      </c>
      <c r="AV63" s="31" t="n">
        <f aca="false">IF($G63="",AK63,M63)</f>
        <v>3975</v>
      </c>
      <c r="AW63" s="31" t="n">
        <f aca="false">IF($G63="",AL63,N63)</f>
        <v>69642</v>
      </c>
      <c r="AX63" s="31" t="n">
        <f aca="false">IF($G63="",AM63,O63)</f>
        <v>3975</v>
      </c>
      <c r="AY63" s="31" t="n">
        <f aca="false">IF($G63="",AN63,P63)</f>
        <v>46</v>
      </c>
      <c r="AZ63" s="31" t="n">
        <f aca="false">IF($G63="",AO63,Q63)</f>
        <v>27485</v>
      </c>
      <c r="BA63" s="31" t="n">
        <f aca="false">IF($G63="",AP63,R63)</f>
        <v>27946</v>
      </c>
      <c r="BB63" s="31" t="n">
        <f aca="false">IF($G63="",AQ63,S63)</f>
        <v>4187</v>
      </c>
      <c r="BC63" s="31" t="n">
        <f aca="false">IF($G63="",AR63,T63)</f>
        <v>4187</v>
      </c>
      <c r="BD63" s="31" t="n">
        <f aca="false">IF($G63="",AS63,U63)</f>
        <v>609</v>
      </c>
      <c r="BE63" s="31" t="n">
        <f aca="false">IF($G63="",AT63,V63)</f>
        <v>609</v>
      </c>
      <c r="BF63" s="31" t="n">
        <f aca="false">ROUNDDOWN(I63*設定!$B$10/1000,0)+ROUNDDOWN(I63*設定!$B$11/1000,0)</f>
        <v>0</v>
      </c>
      <c r="BG63" s="31" t="n">
        <f aca="false">ROUNDDOWN(I63*設定!$C$10/1000,0)+ROUNDDOWN(I63*設定!$C$11/1000,0)+ROUNDDOWN(I63*設定!$C$12/1000,0)</f>
        <v>0</v>
      </c>
      <c r="BH63" s="31" t="n">
        <f aca="false">ROUNDDOWN(J63*設定!$B$13/1000,0)</f>
        <v>0</v>
      </c>
      <c r="BI63" s="31" t="n">
        <f aca="false">ROUNDDOWN(J63*設定!$C$13/1000,0)</f>
        <v>0</v>
      </c>
      <c r="BJ63" s="31" t="n">
        <f aca="false">ROUNDDOWN(K63*設定!$B$14/1000,0)</f>
        <v>0</v>
      </c>
      <c r="BK63" s="31" t="n">
        <f aca="false">ROUNDDOWN(K63*設定!$C$14/1000,0)</f>
        <v>0</v>
      </c>
      <c r="BL63" s="31" t="n">
        <f aca="false">ROUNDDOWN(J63*設定!$B$15/1000,0)</f>
        <v>0</v>
      </c>
      <c r="BM63" s="31" t="n">
        <f aca="false">ROUNDDOWN(J63*設定!$C$15/1000,0)</f>
        <v>0</v>
      </c>
      <c r="BN63" s="31" t="n">
        <f aca="false">L63+M63</f>
        <v>52470</v>
      </c>
      <c r="BO63" s="31" t="n">
        <f aca="false">N63+O63+P63</f>
        <v>73663</v>
      </c>
      <c r="BP63" s="31" t="n">
        <f aca="false">Q63</f>
        <v>27485</v>
      </c>
      <c r="BQ63" s="31" t="n">
        <f aca="false">R63</f>
        <v>27946</v>
      </c>
      <c r="BR63" s="31" t="n">
        <f aca="false">S63</f>
        <v>4187</v>
      </c>
      <c r="BS63" s="31" t="n">
        <f aca="false">T63</f>
        <v>4187</v>
      </c>
      <c r="BT63" s="31" t="n">
        <f aca="false">U63</f>
        <v>609</v>
      </c>
      <c r="BU63" s="31" t="n">
        <f aca="false">V63</f>
        <v>609</v>
      </c>
      <c r="BV63" s="32" t="n">
        <f aca="false">IF(BF63=0,IF(BN63=0,0,1),(BN63-BF63)/BF63)</f>
        <v>1</v>
      </c>
      <c r="BW63" s="32" t="n">
        <f aca="false">IF(BG63=0,IF(BO63=0,0,1),(BO63-BG63)/BG63)</f>
        <v>1</v>
      </c>
      <c r="BX63" s="32" t="n">
        <f aca="false">IF(BH63=0,IF(BP63=0,0,1),(BP63-BH63)/BH63)</f>
        <v>1</v>
      </c>
      <c r="BY63" s="32" t="n">
        <f aca="false">IF(BI63=0,IF(BQ63=0,0,1),(BQ63-BI63)/BI63)</f>
        <v>1</v>
      </c>
      <c r="BZ63" s="32" t="n">
        <f aca="false">IF(BJ63=0,IF(BR63=0,0,1),(BR63-BJ63)/BJ63)</f>
        <v>1</v>
      </c>
      <c r="CA63" s="32" t="n">
        <f aca="false">IF(BK63=0,IF(BS63=0,0,1),(BS63-BK63)/BK63)</f>
        <v>1</v>
      </c>
      <c r="CB63" s="32" t="n">
        <f aca="false">IF(BL63=0,IF(BT63=0,0,1),(BT63-BL63)/BL63)</f>
        <v>1</v>
      </c>
      <c r="CC63" s="32" t="n">
        <f aca="false">IF(BM63=0,IF(BU63=0,0,1),(BU63-BM63)/BM63)</f>
        <v>1</v>
      </c>
      <c r="CD63" s="32" t="n">
        <f aca="false">MAX(MAX(BV63:CC63),-MIN(BV63:CC63))</f>
        <v>1</v>
      </c>
      <c r="CE63" s="31" t="n">
        <f aca="false">IF(CI63="","",SUMIFS($CF$7:$CF$696,$A$7:$A$696,CI63,$B$7:$B$696,B63))</f>
        <v>191156</v>
      </c>
      <c r="CF63" s="31" t="n">
        <f aca="false">SUM(AU63:BE63)</f>
        <v>191156</v>
      </c>
      <c r="CG63" s="33" t="str">
        <f aca="false">A63&amp;"|"&amp;B63</f>
        <v>2026-05 月例|医療政策課(安芸市民)</v>
      </c>
      <c r="CH63" s="34" t="str">
        <f aca="false">IFERROR(INDEX(設定!$D$61:$D$106,MATCH(B63,設定!$B$61:$B$106,0)),"Y")</f>
        <v>Y</v>
      </c>
      <c r="CI63" s="34" t="str">
        <f aca="false">IFERROR(INDEX(設定!$D$20:$D$34,MATCH(A63,設定!$A$20:$A$34,0))&amp;"","")</f>
        <v>2026-04 月例</v>
      </c>
    </row>
    <row r="64" customFormat="false" ht="15" hidden="true" customHeight="false" outlineLevel="0" collapsed="false">
      <c r="A64" s="22" t="s">
        <v>207</v>
      </c>
      <c r="B64" s="23" t="s">
        <v>171</v>
      </c>
      <c r="C64" s="10" t="str">
        <f aca="false">IF(G64="","未受領",IF(G64="なし","報告なし",IF(AH64="○","起票済",IF(OR(AG64="○",F64="一致",F64="入金不要"),"入金確認済","受領済"))))</f>
        <v>入金確認済</v>
      </c>
      <c r="D64" s="10" t="str">
        <f aca="false">IF(OR(G64="",G64="なし"),"―",IF(CH64="N","対象外",IF(AND(I64="",J64="",K64=""),"標報未入力",IF(CD64&gt;=設定!$B$4,"要確認","問題なし"))))</f>
        <v>標報未入力</v>
      </c>
      <c r="E64" s="24" t="str">
        <f aca="false">IF(OR(G64="",G64="なし",CE64="",CF64=0),"―",IF(CF64=CE64,"前月同額",IF(CE64=0,"―",IF(ABS(CF64/CE64-1)&gt;=設定!$B$5,"変動大 "&amp;TEXT(CF64/CE64-1,"+0%;-0%"),"〇"))))</f>
        <v>―</v>
      </c>
      <c r="F64" s="10" t="str">
        <f aca="false">IF(OR(G64="",G64="なし"),"―",IF(CF64=0,"入金不要",IF(COUNT(Z64,AB64,AD64,AF64)=0,IF(AG64="○","手動確認","未入金"),IF(AND(N(Z64)=Y64,IF(AA64="",TRUE(),N(AB64)=AA64),IF(AC64="",TRUE(),N(AD64)=AC64),IF(AE64="",TRUE(),N(AF64)=AE64)),"一致","不一致"))))</f>
        <v>手動確認</v>
      </c>
      <c r="G64" s="25" t="s">
        <v>159</v>
      </c>
      <c r="H64" s="26"/>
      <c r="I64" s="27"/>
      <c r="J64" s="27"/>
      <c r="K64" s="27"/>
      <c r="L64" s="27" t="n">
        <v>0</v>
      </c>
      <c r="M64" s="27" t="n">
        <v>0</v>
      </c>
      <c r="N64" s="27"/>
      <c r="O64" s="27"/>
      <c r="P64" s="27" t="n">
        <v>0</v>
      </c>
      <c r="Q64" s="27" t="n">
        <v>319157</v>
      </c>
      <c r="R64" s="27" t="n">
        <v>324524</v>
      </c>
      <c r="S64" s="27" t="n">
        <v>9622</v>
      </c>
      <c r="T64" s="27" t="n">
        <v>9622</v>
      </c>
      <c r="U64" s="27" t="n">
        <v>6964</v>
      </c>
      <c r="V64" s="27" t="n">
        <v>6969</v>
      </c>
      <c r="W64" s="10" t="str">
        <f aca="false">IFERROR(INDEX(設定!$E$61:$E$106,MATCH(B64,設定!$B$61:$B$106,0)),"合算")</f>
        <v>合算</v>
      </c>
      <c r="X64" s="28"/>
      <c r="Y64" s="29" t="n">
        <f aca="false">IF(OR(G64="",G64="なし"),"",IF(W64="合算",CF64,IF(W64="掛金・負担金別",(AU64+AV64+AZ64+BB64+BD64),SUM(AU64:AY64))))</f>
        <v>676858</v>
      </c>
      <c r="Z64" s="27"/>
      <c r="AA64" s="29" t="str">
        <f aca="false">IF(OR(G64="",G64="なし"),"",IF(W64="掛金・負担金別",(AW64+AX64+AY64+BA64+BC64+BE64),IF(W64="経理区分別",AZ64+BA64,"")))</f>
        <v/>
      </c>
      <c r="AB64" s="27"/>
      <c r="AC64" s="29" t="str">
        <f aca="false">IF(OR(G64="",G64="なし"),"",IF(W64="経理区分別",BB64+BC64,""))</f>
        <v/>
      </c>
      <c r="AD64" s="27"/>
      <c r="AE64" s="29" t="str">
        <f aca="false">IF(OR(G64="",G64="なし"),"",IF(W64="経理区分別",BD64+BE64,""))</f>
        <v/>
      </c>
      <c r="AF64" s="27"/>
      <c r="AG64" s="26" t="s">
        <v>160</v>
      </c>
      <c r="AH64" s="26"/>
      <c r="AI64" s="30"/>
      <c r="AJ64" s="31"/>
      <c r="AK64" s="31"/>
      <c r="AL64" s="31"/>
      <c r="AM64" s="31"/>
      <c r="AN64" s="31"/>
      <c r="AO64" s="31"/>
      <c r="AP64" s="31"/>
      <c r="AQ64" s="31"/>
      <c r="AR64" s="31"/>
      <c r="AS64" s="31"/>
      <c r="AT64" s="31"/>
      <c r="AU64" s="31" t="n">
        <f aca="false">IF($G64="",AJ64,L64)</f>
        <v>0</v>
      </c>
      <c r="AV64" s="31" t="n">
        <f aca="false">IF($G64="",AK64,M64)</f>
        <v>0</v>
      </c>
      <c r="AW64" s="31" t="n">
        <f aca="false">IF($G64="",AL64,N64)</f>
        <v>0</v>
      </c>
      <c r="AX64" s="31" t="n">
        <f aca="false">IF($G64="",AM64,O64)</f>
        <v>0</v>
      </c>
      <c r="AY64" s="31" t="n">
        <f aca="false">IF($G64="",AN64,P64)</f>
        <v>0</v>
      </c>
      <c r="AZ64" s="31" t="n">
        <f aca="false">IF($G64="",AO64,Q64)</f>
        <v>319157</v>
      </c>
      <c r="BA64" s="31" t="n">
        <f aca="false">IF($G64="",AP64,R64)</f>
        <v>324524</v>
      </c>
      <c r="BB64" s="31" t="n">
        <f aca="false">IF($G64="",AQ64,S64)</f>
        <v>9622</v>
      </c>
      <c r="BC64" s="31" t="n">
        <f aca="false">IF($G64="",AR64,T64)</f>
        <v>9622</v>
      </c>
      <c r="BD64" s="31" t="n">
        <f aca="false">IF($G64="",AS64,U64)</f>
        <v>6964</v>
      </c>
      <c r="BE64" s="31" t="n">
        <f aca="false">IF($G64="",AT64,V64)</f>
        <v>6969</v>
      </c>
      <c r="BF64" s="31" t="n">
        <f aca="false">ROUNDDOWN(I64*設定!$B$10/1000,0)+ROUNDDOWN(I64*設定!$B$11/1000,0)</f>
        <v>0</v>
      </c>
      <c r="BG64" s="31" t="n">
        <f aca="false">ROUNDDOWN(I64*設定!$C$10/1000,0)+ROUNDDOWN(I64*設定!$C$11/1000,0)+ROUNDDOWN(I64*設定!$C$12/1000,0)</f>
        <v>0</v>
      </c>
      <c r="BH64" s="31" t="n">
        <f aca="false">ROUNDDOWN(J64*設定!$B$13/1000,0)</f>
        <v>0</v>
      </c>
      <c r="BI64" s="31" t="n">
        <f aca="false">ROUNDDOWN(J64*設定!$C$13/1000,0)</f>
        <v>0</v>
      </c>
      <c r="BJ64" s="31" t="n">
        <f aca="false">ROUNDDOWN(K64*設定!$B$14/1000,0)</f>
        <v>0</v>
      </c>
      <c r="BK64" s="31" t="n">
        <f aca="false">ROUNDDOWN(K64*設定!$C$14/1000,0)</f>
        <v>0</v>
      </c>
      <c r="BL64" s="31" t="n">
        <f aca="false">ROUNDDOWN(J64*設定!$B$15/1000,0)</f>
        <v>0</v>
      </c>
      <c r="BM64" s="31" t="n">
        <f aca="false">ROUNDDOWN(J64*設定!$C$15/1000,0)</f>
        <v>0</v>
      </c>
      <c r="BN64" s="31" t="n">
        <f aca="false">L64+M64</f>
        <v>0</v>
      </c>
      <c r="BO64" s="31" t="n">
        <f aca="false">N64+O64+P64</f>
        <v>0</v>
      </c>
      <c r="BP64" s="31" t="n">
        <f aca="false">Q64</f>
        <v>319157</v>
      </c>
      <c r="BQ64" s="31" t="n">
        <f aca="false">R64</f>
        <v>324524</v>
      </c>
      <c r="BR64" s="31" t="n">
        <f aca="false">S64</f>
        <v>9622</v>
      </c>
      <c r="BS64" s="31" t="n">
        <f aca="false">T64</f>
        <v>9622</v>
      </c>
      <c r="BT64" s="31" t="n">
        <f aca="false">U64</f>
        <v>6964</v>
      </c>
      <c r="BU64" s="31" t="n">
        <f aca="false">V64</f>
        <v>6969</v>
      </c>
      <c r="BV64" s="32" t="n">
        <f aca="false">IF(BF64=0,IF(BN64=0,0,1),(BN64-BF64)/BF64)</f>
        <v>0</v>
      </c>
      <c r="BW64" s="32" t="n">
        <f aca="false">IF(BG64=0,IF(BO64=0,0,1),(BO64-BG64)/BG64)</f>
        <v>0</v>
      </c>
      <c r="BX64" s="32" t="n">
        <f aca="false">IF(BH64=0,IF(BP64=0,0,1),(BP64-BH64)/BH64)</f>
        <v>1</v>
      </c>
      <c r="BY64" s="32" t="n">
        <f aca="false">IF(BI64=0,IF(BQ64=0,0,1),(BQ64-BI64)/BI64)</f>
        <v>1</v>
      </c>
      <c r="BZ64" s="32" t="n">
        <f aca="false">IF(BJ64=0,IF(BR64=0,0,1),(BR64-BJ64)/BJ64)</f>
        <v>1</v>
      </c>
      <c r="CA64" s="32" t="n">
        <f aca="false">IF(BK64=0,IF(BS64=0,0,1),(BS64-BK64)/BK64)</f>
        <v>1</v>
      </c>
      <c r="CB64" s="32" t="n">
        <f aca="false">IF(BL64=0,IF(BT64=0,0,1),(BT64-BL64)/BL64)</f>
        <v>1</v>
      </c>
      <c r="CC64" s="32" t="n">
        <f aca="false">IF(BM64=0,IF(BU64=0,0,1),(BU64-BM64)/BM64)</f>
        <v>1</v>
      </c>
      <c r="CD64" s="32" t="n">
        <f aca="false">MAX(MAX(BV64:CC64),-MIN(BV64:CC64))</f>
        <v>1</v>
      </c>
      <c r="CE64" s="31" t="n">
        <f aca="false">IF(CI64="","",SUMIFS($CF$7:$CF$696,$A$7:$A$696,CI64,$B$7:$B$696,B64))</f>
        <v>0</v>
      </c>
      <c r="CF64" s="31" t="n">
        <f aca="false">SUM(AU64:BE64)</f>
        <v>676858</v>
      </c>
      <c r="CG64" s="33" t="str">
        <f aca="false">A64&amp;"|"&amp;B64</f>
        <v>2026-05 月例|教育委員会（教育給与課）</v>
      </c>
      <c r="CH64" s="34" t="str">
        <f aca="false">IFERROR(INDEX(設定!$D$61:$D$106,MATCH(B64,設定!$B$61:$B$106,0)),"Y")</f>
        <v>Y</v>
      </c>
      <c r="CI64" s="34" t="str">
        <f aca="false">IFERROR(INDEX(設定!$D$20:$D$34,MATCH(A64,設定!$A$20:$A$34,0))&amp;"","")</f>
        <v>2026-04 月例</v>
      </c>
    </row>
    <row r="65" customFormat="false" ht="15" hidden="true" customHeight="false" outlineLevel="0" collapsed="false">
      <c r="A65" s="22" t="s">
        <v>207</v>
      </c>
      <c r="B65" s="23" t="s">
        <v>172</v>
      </c>
      <c r="C65" s="10" t="str">
        <f aca="false">IF(G65="","未受領",IF(G65="なし","報告なし",IF(AH65="○","起票済",IF(OR(AG65="○",F65="一致",F65="入金不要"),"入金確認済","受領済"))))</f>
        <v>報告なし</v>
      </c>
      <c r="D65" s="10" t="str">
        <f aca="false">IF(OR(G65="",G65="なし"),"―",IF(CH65="N","対象外",IF(AND(I65="",J65="",K65=""),"標報未入力",IF(CD65&gt;=設定!$B$4,"要確認","問題なし"))))</f>
        <v>―</v>
      </c>
      <c r="E65" s="24" t="str">
        <f aca="false">IF(OR(G65="",G65="なし",CE65="",CF65=0),"―",IF(CF65=CE65,"前月同額",IF(CE65=0,"―",IF(ABS(CF65/CE65-1)&gt;=設定!$B$5,"変動大 "&amp;TEXT(CF65/CE65-1,"+0%;-0%"),"〇"))))</f>
        <v>―</v>
      </c>
      <c r="F65" s="10" t="str">
        <f aca="false">IF(OR(G65="",G65="なし"),"―",IF(CF65=0,"入金不要",IF(COUNT(Z65,AB65,AD65,AF65)=0,IF(AG65="○","手動確認","未入金"),IF(AND(N(Z65)=Y65,IF(AA65="",TRUE(),N(AB65)=AA65),IF(AC65="",TRUE(),N(AD65)=AC65),IF(AE65="",TRUE(),N(AF65)=AE65)),"一致","不一致"))))</f>
        <v>―</v>
      </c>
      <c r="G65" s="25" t="s">
        <v>173</v>
      </c>
      <c r="H65" s="26"/>
      <c r="I65" s="27"/>
      <c r="J65" s="27"/>
      <c r="K65" s="27"/>
      <c r="L65" s="27"/>
      <c r="M65" s="27"/>
      <c r="N65" s="27"/>
      <c r="O65" s="27"/>
      <c r="P65" s="27"/>
      <c r="Q65" s="27"/>
      <c r="R65" s="27"/>
      <c r="S65" s="27"/>
      <c r="T65" s="27"/>
      <c r="U65" s="27"/>
      <c r="V65" s="27"/>
      <c r="W65" s="10" t="str">
        <f aca="false">IFERROR(INDEX(設定!$E$61:$E$106,MATCH(B65,設定!$B$61:$B$106,0)),"合算")</f>
        <v>合算</v>
      </c>
      <c r="X65" s="28"/>
      <c r="Y65" s="29" t="str">
        <f aca="false">IF(OR(G65="",G65="なし"),"",IF(W65="合算",CF65,IF(W65="掛金・負担金別",(AU65+AV65+AZ65+BB65+BD65),SUM(AU65:AY65))))</f>
        <v/>
      </c>
      <c r="Z65" s="27"/>
      <c r="AA65" s="29" t="str">
        <f aca="false">IF(OR(G65="",G65="なし"),"",IF(W65="掛金・負担金別",(AW65+AX65+AY65+BA65+BC65+BE65),IF(W65="経理区分別",AZ65+BA65,"")))</f>
        <v/>
      </c>
      <c r="AB65" s="27"/>
      <c r="AC65" s="29" t="str">
        <f aca="false">IF(OR(G65="",G65="なし"),"",IF(W65="経理区分別",BB65+BC65,""))</f>
        <v/>
      </c>
      <c r="AD65" s="27"/>
      <c r="AE65" s="29" t="str">
        <f aca="false">IF(OR(G65="",G65="なし"),"",IF(W65="経理区分別",BD65+BE65,""))</f>
        <v/>
      </c>
      <c r="AF65" s="27"/>
      <c r="AG65" s="26"/>
      <c r="AH65" s="26"/>
      <c r="AI65" s="30"/>
      <c r="AJ65" s="31"/>
      <c r="AK65" s="31"/>
      <c r="AL65" s="31"/>
      <c r="AM65" s="31"/>
      <c r="AN65" s="31"/>
      <c r="AO65" s="31"/>
      <c r="AP65" s="31"/>
      <c r="AQ65" s="31"/>
      <c r="AR65" s="31"/>
      <c r="AS65" s="31"/>
      <c r="AT65" s="31"/>
      <c r="AU65" s="31" t="n">
        <f aca="false">IF($G65="",AJ65,L65)</f>
        <v>0</v>
      </c>
      <c r="AV65" s="31" t="n">
        <f aca="false">IF($G65="",AK65,M65)</f>
        <v>0</v>
      </c>
      <c r="AW65" s="31" t="n">
        <f aca="false">IF($G65="",AL65,N65)</f>
        <v>0</v>
      </c>
      <c r="AX65" s="31" t="n">
        <f aca="false">IF($G65="",AM65,O65)</f>
        <v>0</v>
      </c>
      <c r="AY65" s="31" t="n">
        <f aca="false">IF($G65="",AN65,P65)</f>
        <v>0</v>
      </c>
      <c r="AZ65" s="31" t="n">
        <f aca="false">IF($G65="",AO65,Q65)</f>
        <v>0</v>
      </c>
      <c r="BA65" s="31" t="n">
        <f aca="false">IF($G65="",AP65,R65)</f>
        <v>0</v>
      </c>
      <c r="BB65" s="31" t="n">
        <f aca="false">IF($G65="",AQ65,S65)</f>
        <v>0</v>
      </c>
      <c r="BC65" s="31" t="n">
        <f aca="false">IF($G65="",AR65,T65)</f>
        <v>0</v>
      </c>
      <c r="BD65" s="31" t="n">
        <f aca="false">IF($G65="",AS65,U65)</f>
        <v>0</v>
      </c>
      <c r="BE65" s="31" t="n">
        <f aca="false">IF($G65="",AT65,V65)</f>
        <v>0</v>
      </c>
      <c r="BF65" s="31" t="n">
        <f aca="false">ROUNDDOWN(I65*設定!$B$10/1000,0)+ROUNDDOWN(I65*設定!$B$11/1000,0)</f>
        <v>0</v>
      </c>
      <c r="BG65" s="31" t="n">
        <f aca="false">ROUNDDOWN(I65*設定!$C$10/1000,0)+ROUNDDOWN(I65*設定!$C$11/1000,0)+ROUNDDOWN(I65*設定!$C$12/1000,0)</f>
        <v>0</v>
      </c>
      <c r="BH65" s="31" t="n">
        <f aca="false">ROUNDDOWN(J65*設定!$B$13/1000,0)</f>
        <v>0</v>
      </c>
      <c r="BI65" s="31" t="n">
        <f aca="false">ROUNDDOWN(J65*設定!$C$13/1000,0)</f>
        <v>0</v>
      </c>
      <c r="BJ65" s="31" t="n">
        <f aca="false">ROUNDDOWN(K65*設定!$B$14/1000,0)</f>
        <v>0</v>
      </c>
      <c r="BK65" s="31" t="n">
        <f aca="false">ROUNDDOWN(K65*設定!$C$14/1000,0)</f>
        <v>0</v>
      </c>
      <c r="BL65" s="31" t="n">
        <f aca="false">ROUNDDOWN(J65*設定!$B$15/1000,0)</f>
        <v>0</v>
      </c>
      <c r="BM65" s="31" t="n">
        <f aca="false">ROUNDDOWN(J65*設定!$C$15/1000,0)</f>
        <v>0</v>
      </c>
      <c r="BN65" s="31" t="n">
        <f aca="false">L65+M65</f>
        <v>0</v>
      </c>
      <c r="BO65" s="31" t="n">
        <f aca="false">N65+O65+P65</f>
        <v>0</v>
      </c>
      <c r="BP65" s="31" t="n">
        <f aca="false">Q65</f>
        <v>0</v>
      </c>
      <c r="BQ65" s="31" t="n">
        <f aca="false">R65</f>
        <v>0</v>
      </c>
      <c r="BR65" s="31" t="n">
        <f aca="false">S65</f>
        <v>0</v>
      </c>
      <c r="BS65" s="31" t="n">
        <f aca="false">T65</f>
        <v>0</v>
      </c>
      <c r="BT65" s="31" t="n">
        <f aca="false">U65</f>
        <v>0</v>
      </c>
      <c r="BU65" s="31" t="n">
        <f aca="false">V65</f>
        <v>0</v>
      </c>
      <c r="BV65" s="32" t="n">
        <f aca="false">IF(BF65=0,IF(BN65=0,0,1),(BN65-BF65)/BF65)</f>
        <v>0</v>
      </c>
      <c r="BW65" s="32" t="n">
        <f aca="false">IF(BG65=0,IF(BO65=0,0,1),(BO65-BG65)/BG65)</f>
        <v>0</v>
      </c>
      <c r="BX65" s="32" t="n">
        <f aca="false">IF(BH65=0,IF(BP65=0,0,1),(BP65-BH65)/BH65)</f>
        <v>0</v>
      </c>
      <c r="BY65" s="32" t="n">
        <f aca="false">IF(BI65=0,IF(BQ65=0,0,1),(BQ65-BI65)/BI65)</f>
        <v>0</v>
      </c>
      <c r="BZ65" s="32" t="n">
        <f aca="false">IF(BJ65=0,IF(BR65=0,0,1),(BR65-BJ65)/BJ65)</f>
        <v>0</v>
      </c>
      <c r="CA65" s="32" t="n">
        <f aca="false">IF(BK65=0,IF(BS65=0,0,1),(BS65-BK65)/BK65)</f>
        <v>0</v>
      </c>
      <c r="CB65" s="32" t="n">
        <f aca="false">IF(BL65=0,IF(BT65=0,0,1),(BT65-BL65)/BL65)</f>
        <v>0</v>
      </c>
      <c r="CC65" s="32" t="n">
        <f aca="false">IF(BM65=0,IF(BU65=0,0,1),(BU65-BM65)/BM65)</f>
        <v>0</v>
      </c>
      <c r="CD65" s="32" t="n">
        <f aca="false">MAX(MAX(BV65:CC65),-MIN(BV65:CC65))</f>
        <v>-0</v>
      </c>
      <c r="CE65" s="31" t="n">
        <f aca="false">IF(CI65="","",SUMIFS($CF$7:$CF$696,$A$7:$A$696,CI65,$B$7:$B$696,B65))</f>
        <v>0</v>
      </c>
      <c r="CF65" s="31" t="n">
        <f aca="false">SUM(AU65:BE65)</f>
        <v>0</v>
      </c>
      <c r="CG65" s="33" t="str">
        <f aca="false">A65&amp;"|"&amp;B65</f>
        <v>2026-05 月例|地方税共同機構</v>
      </c>
      <c r="CH65" s="34" t="str">
        <f aca="false">IFERROR(INDEX(設定!$D$61:$D$106,MATCH(B65,設定!$B$61:$B$106,0)),"Y")</f>
        <v>Y</v>
      </c>
      <c r="CI65" s="34" t="str">
        <f aca="false">IFERROR(INDEX(設定!$D$20:$D$34,MATCH(A65,設定!$A$20:$A$34,0))&amp;"","")</f>
        <v>2026-04 月例</v>
      </c>
    </row>
    <row r="66" customFormat="false" ht="15" hidden="true" customHeight="false" outlineLevel="0" collapsed="false">
      <c r="A66" s="22" t="s">
        <v>207</v>
      </c>
      <c r="B66" s="23" t="s">
        <v>174</v>
      </c>
      <c r="C66" s="10" t="str">
        <f aca="false">IF(G66="","未受領",IF(G66="なし","報告なし",IF(AH66="○","起票済",IF(OR(AG66="○",F66="一致",F66="入金不要"),"入金確認済","受領済"))))</f>
        <v>入金確認済</v>
      </c>
      <c r="D66" s="10" t="str">
        <f aca="false">IF(OR(G66="",G66="なし"),"―",IF(CH66="N","対象外",IF(AND(I66="",J66="",K66=""),"標報未入力",IF(CD66&gt;=設定!$B$4,"要確認","問題なし"))))</f>
        <v>標報未入力</v>
      </c>
      <c r="E66" s="24" t="str">
        <f aca="false">IF(OR(G66="",G66="なし",CE66="",CF66=0),"―",IF(CF66=CE66,"前月同額",IF(CE66=0,"―",IF(ABS(CF66/CE66-1)&gt;=設定!$B$5,"変動大 "&amp;TEXT(CF66/CE66-1,"+0%;-0%"),"〇"))))</f>
        <v>前月同額</v>
      </c>
      <c r="F66" s="10" t="str">
        <f aca="false">IF(OR(G66="",G66="なし"),"―",IF(CF66=0,"入金不要",IF(COUNT(Z66,AB66,AD66,AF66)=0,IF(AG66="○","手動確認","未入金"),IF(AND(N(Z66)=Y66,IF(AA66="",TRUE(),N(AB66)=AA66),IF(AC66="",TRUE(),N(AD66)=AC66),IF(AE66="",TRUE(),N(AF66)=AE66)),"一致","不一致"))))</f>
        <v>手動確認</v>
      </c>
      <c r="G66" s="25" t="s">
        <v>159</v>
      </c>
      <c r="H66" s="26"/>
      <c r="I66" s="27"/>
      <c r="J66" s="27"/>
      <c r="K66" s="27"/>
      <c r="L66" s="27" t="n">
        <v>0</v>
      </c>
      <c r="M66" s="27" t="n">
        <v>0</v>
      </c>
      <c r="N66" s="27" t="n">
        <v>765855</v>
      </c>
      <c r="O66" s="27" t="n">
        <v>62775</v>
      </c>
      <c r="P66" s="27" t="n">
        <v>789</v>
      </c>
      <c r="Q66" s="27" t="n">
        <v>0</v>
      </c>
      <c r="R66" s="27" t="n">
        <v>441236</v>
      </c>
      <c r="S66" s="27" t="n">
        <v>0</v>
      </c>
      <c r="T66" s="27" t="n">
        <v>54826</v>
      </c>
      <c r="U66" s="27" t="n">
        <v>0</v>
      </c>
      <c r="V66" s="27" t="n">
        <v>9775</v>
      </c>
      <c r="W66" s="10" t="str">
        <f aca="false">IFERROR(INDEX(設定!$E$61:$E$106,MATCH(B66,設定!$B$61:$B$106,0)),"合算")</f>
        <v>合算</v>
      </c>
      <c r="X66" s="28"/>
      <c r="Y66" s="29" t="n">
        <f aca="false">IF(OR(G66="",G66="なし"),"",IF(W66="合算",CF66,IF(W66="掛金・負担金別",(AU66+AV66+AZ66+BB66+BD66),SUM(AU66:AY66))))</f>
        <v>1335256</v>
      </c>
      <c r="Z66" s="27"/>
      <c r="AA66" s="29" t="str">
        <f aca="false">IF(OR(G66="",G66="なし"),"",IF(W66="掛金・負担金別",(AW66+AX66+AY66+BA66+BC66+BE66),IF(W66="経理区分別",AZ66+BA66,"")))</f>
        <v/>
      </c>
      <c r="AB66" s="27"/>
      <c r="AC66" s="29" t="str">
        <f aca="false">IF(OR(G66="",G66="なし"),"",IF(W66="経理区分別",BB66+BC66,""))</f>
        <v/>
      </c>
      <c r="AD66" s="27"/>
      <c r="AE66" s="29" t="str">
        <f aca="false">IF(OR(G66="",G66="なし"),"",IF(W66="経理区分別",BD66+BE66,""))</f>
        <v/>
      </c>
      <c r="AF66" s="27"/>
      <c r="AG66" s="26" t="s">
        <v>160</v>
      </c>
      <c r="AH66" s="26"/>
      <c r="AI66" s="30"/>
      <c r="AJ66" s="31"/>
      <c r="AK66" s="31"/>
      <c r="AL66" s="31"/>
      <c r="AM66" s="31"/>
      <c r="AN66" s="31"/>
      <c r="AO66" s="31"/>
      <c r="AP66" s="31"/>
      <c r="AQ66" s="31"/>
      <c r="AR66" s="31"/>
      <c r="AS66" s="31"/>
      <c r="AT66" s="31"/>
      <c r="AU66" s="31" t="n">
        <f aca="false">IF($G66="",AJ66,L66)</f>
        <v>0</v>
      </c>
      <c r="AV66" s="31" t="n">
        <f aca="false">IF($G66="",AK66,M66)</f>
        <v>0</v>
      </c>
      <c r="AW66" s="31" t="n">
        <f aca="false">IF($G66="",AL66,N66)</f>
        <v>765855</v>
      </c>
      <c r="AX66" s="31" t="n">
        <f aca="false">IF($G66="",AM66,O66)</f>
        <v>62775</v>
      </c>
      <c r="AY66" s="31" t="n">
        <f aca="false">IF($G66="",AN66,P66)</f>
        <v>789</v>
      </c>
      <c r="AZ66" s="31" t="n">
        <f aca="false">IF($G66="",AO66,Q66)</f>
        <v>0</v>
      </c>
      <c r="BA66" s="31" t="n">
        <f aca="false">IF($G66="",AP66,R66)</f>
        <v>441236</v>
      </c>
      <c r="BB66" s="31" t="n">
        <f aca="false">IF($G66="",AQ66,S66)</f>
        <v>0</v>
      </c>
      <c r="BC66" s="31" t="n">
        <f aca="false">IF($G66="",AR66,T66)</f>
        <v>54826</v>
      </c>
      <c r="BD66" s="31" t="n">
        <f aca="false">IF($G66="",AS66,U66)</f>
        <v>0</v>
      </c>
      <c r="BE66" s="31" t="n">
        <f aca="false">IF($G66="",AT66,V66)</f>
        <v>9775</v>
      </c>
      <c r="BF66" s="31" t="n">
        <f aca="false">ROUNDDOWN(I66*設定!$B$10/1000,0)+ROUNDDOWN(I66*設定!$B$11/1000,0)</f>
        <v>0</v>
      </c>
      <c r="BG66" s="31" t="n">
        <f aca="false">ROUNDDOWN(I66*設定!$C$10/1000,0)+ROUNDDOWN(I66*設定!$C$11/1000,0)+ROUNDDOWN(I66*設定!$C$12/1000,0)</f>
        <v>0</v>
      </c>
      <c r="BH66" s="31" t="n">
        <f aca="false">ROUNDDOWN(J66*設定!$B$13/1000,0)</f>
        <v>0</v>
      </c>
      <c r="BI66" s="31" t="n">
        <f aca="false">ROUNDDOWN(J66*設定!$C$13/1000,0)</f>
        <v>0</v>
      </c>
      <c r="BJ66" s="31" t="n">
        <f aca="false">ROUNDDOWN(K66*設定!$B$14/1000,0)</f>
        <v>0</v>
      </c>
      <c r="BK66" s="31" t="n">
        <f aca="false">ROUNDDOWN(K66*設定!$C$14/1000,0)</f>
        <v>0</v>
      </c>
      <c r="BL66" s="31" t="n">
        <f aca="false">ROUNDDOWN(J66*設定!$B$15/1000,0)</f>
        <v>0</v>
      </c>
      <c r="BM66" s="31" t="n">
        <f aca="false">ROUNDDOWN(J66*設定!$C$15/1000,0)</f>
        <v>0</v>
      </c>
      <c r="BN66" s="31" t="n">
        <f aca="false">L66+M66</f>
        <v>0</v>
      </c>
      <c r="BO66" s="31" t="n">
        <f aca="false">N66+O66+P66</f>
        <v>829419</v>
      </c>
      <c r="BP66" s="31" t="n">
        <f aca="false">Q66</f>
        <v>0</v>
      </c>
      <c r="BQ66" s="31" t="n">
        <f aca="false">R66</f>
        <v>441236</v>
      </c>
      <c r="BR66" s="31" t="n">
        <f aca="false">S66</f>
        <v>0</v>
      </c>
      <c r="BS66" s="31" t="n">
        <f aca="false">T66</f>
        <v>54826</v>
      </c>
      <c r="BT66" s="31" t="n">
        <f aca="false">U66</f>
        <v>0</v>
      </c>
      <c r="BU66" s="31" t="n">
        <f aca="false">V66</f>
        <v>9775</v>
      </c>
      <c r="BV66" s="32" t="n">
        <f aca="false">IF(BF66=0,IF(BN66=0,0,1),(BN66-BF66)/BF66)</f>
        <v>0</v>
      </c>
      <c r="BW66" s="32" t="n">
        <f aca="false">IF(BG66=0,IF(BO66=0,0,1),(BO66-BG66)/BG66)</f>
        <v>1</v>
      </c>
      <c r="BX66" s="32" t="n">
        <f aca="false">IF(BH66=0,IF(BP66=0,0,1),(BP66-BH66)/BH66)</f>
        <v>0</v>
      </c>
      <c r="BY66" s="32" t="n">
        <f aca="false">IF(BI66=0,IF(BQ66=0,0,1),(BQ66-BI66)/BI66)</f>
        <v>1</v>
      </c>
      <c r="BZ66" s="32" t="n">
        <f aca="false">IF(BJ66=0,IF(BR66=0,0,1),(BR66-BJ66)/BJ66)</f>
        <v>0</v>
      </c>
      <c r="CA66" s="32" t="n">
        <f aca="false">IF(BK66=0,IF(BS66=0,0,1),(BS66-BK66)/BK66)</f>
        <v>1</v>
      </c>
      <c r="CB66" s="32" t="n">
        <f aca="false">IF(BL66=0,IF(BT66=0,0,1),(BT66-BL66)/BL66)</f>
        <v>0</v>
      </c>
      <c r="CC66" s="32" t="n">
        <f aca="false">IF(BM66=0,IF(BU66=0,0,1),(BU66-BM66)/BM66)</f>
        <v>1</v>
      </c>
      <c r="CD66" s="32" t="n">
        <f aca="false">MAX(MAX(BV66:CC66),-MIN(BV66:CC66))</f>
        <v>1</v>
      </c>
      <c r="CE66" s="31" t="n">
        <f aca="false">IF(CI66="","",SUMIFS($CF$7:$CF$696,$A$7:$A$696,CI66,$B$7:$B$696,B66))</f>
        <v>1335256</v>
      </c>
      <c r="CF66" s="31" t="n">
        <f aca="false">SUM(AU66:BE66)</f>
        <v>1335256</v>
      </c>
      <c r="CG66" s="33" t="str">
        <f aca="false">A66&amp;"|"&amp;B66</f>
        <v>2026-05 月例|平和文化センター</v>
      </c>
      <c r="CH66" s="34" t="str">
        <f aca="false">IFERROR(INDEX(設定!$D$61:$D$106,MATCH(B66,設定!$B$61:$B$106,0)),"Y")</f>
        <v>Y</v>
      </c>
      <c r="CI66" s="34" t="str">
        <f aca="false">IFERROR(INDEX(設定!$D$20:$D$34,MATCH(A66,設定!$A$20:$A$34,0))&amp;"","")</f>
        <v>2026-04 月例</v>
      </c>
    </row>
    <row r="67" customFormat="false" ht="15" hidden="true" customHeight="false" outlineLevel="0" collapsed="false">
      <c r="A67" s="22" t="s">
        <v>207</v>
      </c>
      <c r="B67" s="23" t="s">
        <v>175</v>
      </c>
      <c r="C67" s="10" t="str">
        <f aca="false">IF(G67="","未受領",IF(G67="なし","報告なし",IF(AH67="○","起票済",IF(OR(AG67="○",F67="一致",F67="入金不要"),"入金確認済","受領済"))))</f>
        <v>入金確認済</v>
      </c>
      <c r="D67" s="10" t="str">
        <f aca="false">IF(OR(G67="",G67="なし"),"―",IF(CH67="N","対象外",IF(AND(I67="",J67="",K67=""),"標報未入力",IF(CD67&gt;=設定!$B$4,"要確認","問題なし"))))</f>
        <v>標報未入力</v>
      </c>
      <c r="E67" s="24" t="str">
        <f aca="false">IF(OR(G67="",G67="なし",CE67="",CF67=0),"―",IF(CF67=CE67,"前月同額",IF(CE67=0,"―",IF(ABS(CF67/CE67-1)&gt;=設定!$B$5,"変動大 "&amp;TEXT(CF67/CE67-1,"+0%;-0%"),"〇"))))</f>
        <v>〇</v>
      </c>
      <c r="F67" s="10" t="str">
        <f aca="false">IF(OR(G67="",G67="なし"),"―",IF(CF67=0,"入金不要",IF(COUNT(Z67,AB67,AD67,AF67)=0,IF(AG67="○","手動確認","未入金"),IF(AND(N(Z67)=Y67,IF(AA67="",TRUE(),N(AB67)=AA67),IF(AC67="",TRUE(),N(AD67)=AC67),IF(AE67="",TRUE(),N(AF67)=AE67)),"一致","不一致"))))</f>
        <v>手動確認</v>
      </c>
      <c r="G67" s="25" t="s">
        <v>159</v>
      </c>
      <c r="H67" s="26"/>
      <c r="I67" s="27"/>
      <c r="J67" s="27"/>
      <c r="K67" s="27"/>
      <c r="L67" s="27"/>
      <c r="M67" s="27"/>
      <c r="N67" s="27" t="n">
        <v>2020320</v>
      </c>
      <c r="O67" s="27" t="n">
        <v>165600</v>
      </c>
      <c r="P67" s="27" t="n">
        <v>1999</v>
      </c>
      <c r="Q67" s="27"/>
      <c r="R67" s="27" t="n">
        <v>1298833</v>
      </c>
      <c r="S67" s="27"/>
      <c r="T67" s="27" t="n">
        <v>141726</v>
      </c>
      <c r="U67" s="27"/>
      <c r="V67" s="27" t="n">
        <v>28771</v>
      </c>
      <c r="W67" s="10" t="str">
        <f aca="false">IFERROR(INDEX(設定!$E$61:$E$106,MATCH(B67,設定!$B$61:$B$106,0)),"合算")</f>
        <v>合算</v>
      </c>
      <c r="X67" s="28"/>
      <c r="Y67" s="29" t="n">
        <f aca="false">IF(OR(G67="",G67="なし"),"",IF(W67="合算",CF67,IF(W67="掛金・負担金別",(AU67+AV67+AZ67+BB67+BD67),SUM(AU67:AY67))))</f>
        <v>3657249</v>
      </c>
      <c r="Z67" s="27"/>
      <c r="AA67" s="29" t="str">
        <f aca="false">IF(OR(G67="",G67="なし"),"",IF(W67="掛金・負担金別",(AW67+AX67+AY67+BA67+BC67+BE67),IF(W67="経理区分別",AZ67+BA67,"")))</f>
        <v/>
      </c>
      <c r="AB67" s="27"/>
      <c r="AC67" s="29" t="str">
        <f aca="false">IF(OR(G67="",G67="なし"),"",IF(W67="経理区分別",BB67+BC67,""))</f>
        <v/>
      </c>
      <c r="AD67" s="27"/>
      <c r="AE67" s="29" t="str">
        <f aca="false">IF(OR(G67="",G67="なし"),"",IF(W67="経理区分別",BD67+BE67,""))</f>
        <v/>
      </c>
      <c r="AF67" s="27"/>
      <c r="AG67" s="26" t="s">
        <v>160</v>
      </c>
      <c r="AH67" s="26"/>
      <c r="AI67" s="30"/>
      <c r="AJ67" s="31"/>
      <c r="AK67" s="31"/>
      <c r="AL67" s="31"/>
      <c r="AM67" s="31"/>
      <c r="AN67" s="31"/>
      <c r="AO67" s="31"/>
      <c r="AP67" s="31"/>
      <c r="AQ67" s="31"/>
      <c r="AR67" s="31"/>
      <c r="AS67" s="31"/>
      <c r="AT67" s="31"/>
      <c r="AU67" s="31" t="n">
        <f aca="false">IF($G67="",AJ67,L67)</f>
        <v>0</v>
      </c>
      <c r="AV67" s="31" t="n">
        <f aca="false">IF($G67="",AK67,M67)</f>
        <v>0</v>
      </c>
      <c r="AW67" s="31" t="n">
        <f aca="false">IF($G67="",AL67,N67)</f>
        <v>2020320</v>
      </c>
      <c r="AX67" s="31" t="n">
        <f aca="false">IF($G67="",AM67,O67)</f>
        <v>165600</v>
      </c>
      <c r="AY67" s="31" t="n">
        <f aca="false">IF($G67="",AN67,P67)</f>
        <v>1999</v>
      </c>
      <c r="AZ67" s="31" t="n">
        <f aca="false">IF($G67="",AO67,Q67)</f>
        <v>0</v>
      </c>
      <c r="BA67" s="31" t="n">
        <f aca="false">IF($G67="",AP67,R67)</f>
        <v>1298833</v>
      </c>
      <c r="BB67" s="31" t="n">
        <f aca="false">IF($G67="",AQ67,S67)</f>
        <v>0</v>
      </c>
      <c r="BC67" s="31" t="n">
        <f aca="false">IF($G67="",AR67,T67)</f>
        <v>141726</v>
      </c>
      <c r="BD67" s="31" t="n">
        <f aca="false">IF($G67="",AS67,U67)</f>
        <v>0</v>
      </c>
      <c r="BE67" s="31" t="n">
        <f aca="false">IF($G67="",AT67,V67)</f>
        <v>28771</v>
      </c>
      <c r="BF67" s="31" t="n">
        <f aca="false">ROUNDDOWN(I67*設定!$B$10/1000,0)+ROUNDDOWN(I67*設定!$B$11/1000,0)</f>
        <v>0</v>
      </c>
      <c r="BG67" s="31" t="n">
        <f aca="false">ROUNDDOWN(I67*設定!$C$10/1000,0)+ROUNDDOWN(I67*設定!$C$11/1000,0)+ROUNDDOWN(I67*設定!$C$12/1000,0)</f>
        <v>0</v>
      </c>
      <c r="BH67" s="31" t="n">
        <f aca="false">ROUNDDOWN(J67*設定!$B$13/1000,0)</f>
        <v>0</v>
      </c>
      <c r="BI67" s="31" t="n">
        <f aca="false">ROUNDDOWN(J67*設定!$C$13/1000,0)</f>
        <v>0</v>
      </c>
      <c r="BJ67" s="31" t="n">
        <f aca="false">ROUNDDOWN(K67*設定!$B$14/1000,0)</f>
        <v>0</v>
      </c>
      <c r="BK67" s="31" t="n">
        <f aca="false">ROUNDDOWN(K67*設定!$C$14/1000,0)</f>
        <v>0</v>
      </c>
      <c r="BL67" s="31" t="n">
        <f aca="false">ROUNDDOWN(J67*設定!$B$15/1000,0)</f>
        <v>0</v>
      </c>
      <c r="BM67" s="31" t="n">
        <f aca="false">ROUNDDOWN(J67*設定!$C$15/1000,0)</f>
        <v>0</v>
      </c>
      <c r="BN67" s="31" t="n">
        <f aca="false">L67+M67</f>
        <v>0</v>
      </c>
      <c r="BO67" s="31" t="n">
        <f aca="false">N67+O67+P67</f>
        <v>2187919</v>
      </c>
      <c r="BP67" s="31" t="n">
        <f aca="false">Q67</f>
        <v>0</v>
      </c>
      <c r="BQ67" s="31" t="n">
        <f aca="false">R67</f>
        <v>1298833</v>
      </c>
      <c r="BR67" s="31" t="n">
        <f aca="false">S67</f>
        <v>0</v>
      </c>
      <c r="BS67" s="31" t="n">
        <f aca="false">T67</f>
        <v>141726</v>
      </c>
      <c r="BT67" s="31" t="n">
        <f aca="false">U67</f>
        <v>0</v>
      </c>
      <c r="BU67" s="31" t="n">
        <f aca="false">V67</f>
        <v>28771</v>
      </c>
      <c r="BV67" s="32" t="n">
        <f aca="false">IF(BF67=0,IF(BN67=0,0,1),(BN67-BF67)/BF67)</f>
        <v>0</v>
      </c>
      <c r="BW67" s="32" t="n">
        <f aca="false">IF(BG67=0,IF(BO67=0,0,1),(BO67-BG67)/BG67)</f>
        <v>1</v>
      </c>
      <c r="BX67" s="32" t="n">
        <f aca="false">IF(BH67=0,IF(BP67=0,0,1),(BP67-BH67)/BH67)</f>
        <v>0</v>
      </c>
      <c r="BY67" s="32" t="n">
        <f aca="false">IF(BI67=0,IF(BQ67=0,0,1),(BQ67-BI67)/BI67)</f>
        <v>1</v>
      </c>
      <c r="BZ67" s="32" t="n">
        <f aca="false">IF(BJ67=0,IF(BR67=0,0,1),(BR67-BJ67)/BJ67)</f>
        <v>0</v>
      </c>
      <c r="CA67" s="32" t="n">
        <f aca="false">IF(BK67=0,IF(BS67=0,0,1),(BS67-BK67)/BK67)</f>
        <v>1</v>
      </c>
      <c r="CB67" s="32" t="n">
        <f aca="false">IF(BL67=0,IF(BT67=0,0,1),(BT67-BL67)/BL67)</f>
        <v>0</v>
      </c>
      <c r="CC67" s="32" t="n">
        <f aca="false">IF(BM67=0,IF(BU67=0,0,1),(BU67-BM67)/BM67)</f>
        <v>1</v>
      </c>
      <c r="CD67" s="32" t="n">
        <f aca="false">MAX(MAX(BV67:CC67),-MIN(BV67:CC67))</f>
        <v>1</v>
      </c>
      <c r="CE67" s="31" t="n">
        <f aca="false">IF(CI67="","",SUMIFS($CF$7:$CF$696,$A$7:$A$696,CI67,$B$7:$B$696,B67))</f>
        <v>3694494</v>
      </c>
      <c r="CF67" s="31" t="n">
        <f aca="false">SUM(AU67:BE67)</f>
        <v>3657249</v>
      </c>
      <c r="CG67" s="33" t="str">
        <f aca="false">A67&amp;"|"&amp;B67</f>
        <v>2026-05 月例|社会福祉事業団</v>
      </c>
      <c r="CH67" s="34" t="str">
        <f aca="false">IFERROR(INDEX(設定!$D$61:$D$106,MATCH(B67,設定!$B$61:$B$106,0)),"Y")</f>
        <v>Y</v>
      </c>
      <c r="CI67" s="34" t="str">
        <f aca="false">IFERROR(INDEX(設定!$D$20:$D$34,MATCH(A67,設定!$A$20:$A$34,0))&amp;"","")</f>
        <v>2026-04 月例</v>
      </c>
    </row>
    <row r="68" customFormat="false" ht="15" hidden="true" customHeight="false" outlineLevel="0" collapsed="false">
      <c r="A68" s="22" t="s">
        <v>207</v>
      </c>
      <c r="B68" s="23" t="s">
        <v>176</v>
      </c>
      <c r="C68" s="10" t="str">
        <f aca="false">IF(G68="","未受領",IF(G68="なし","報告なし",IF(AH68="○","起票済",IF(OR(AG68="○",F68="一致",F68="入金不要"),"入金確認済","受領済"))))</f>
        <v>入金確認済</v>
      </c>
      <c r="D68" s="10" t="str">
        <f aca="false">IF(OR(G68="",G68="なし"),"―",IF(CH68="N","対象外",IF(AND(I68="",J68="",K68=""),"標報未入力",IF(CD68&gt;=設定!$B$4,"要確認","問題なし"))))</f>
        <v>標報未入力</v>
      </c>
      <c r="E68" s="24" t="str">
        <f aca="false">IF(OR(G68="",G68="なし",CE68="",CF68=0),"―",IF(CF68=CE68,"前月同額",IF(CE68=0,"―",IF(ABS(CF68/CE68-1)&gt;=設定!$B$5,"変動大 "&amp;TEXT(CF68/CE68-1,"+0%;-0%"),"〇"))))</f>
        <v>前月同額</v>
      </c>
      <c r="F68" s="10" t="str">
        <f aca="false">IF(OR(G68="",G68="なし"),"―",IF(CF68=0,"入金不要",IF(COUNT(Z68,AB68,AD68,AF68)=0,IF(AG68="○","手動確認","未入金"),IF(AND(N(Z68)=Y68,IF(AA68="",TRUE(),N(AB68)=AA68),IF(AC68="",TRUE(),N(AD68)=AC68),IF(AE68="",TRUE(),N(AF68)=AE68)),"一致","不一致"))))</f>
        <v>手動確認</v>
      </c>
      <c r="G68" s="25" t="s">
        <v>159</v>
      </c>
      <c r="H68" s="26"/>
      <c r="I68" s="27"/>
      <c r="J68" s="27"/>
      <c r="K68" s="27"/>
      <c r="L68" s="27"/>
      <c r="M68" s="27"/>
      <c r="N68" s="27" t="n">
        <v>59475</v>
      </c>
      <c r="O68" s="27" t="n">
        <v>4875</v>
      </c>
      <c r="P68" s="27" t="n">
        <v>56</v>
      </c>
      <c r="Q68" s="27"/>
      <c r="R68" s="27" t="n">
        <v>36856</v>
      </c>
      <c r="S68" s="27"/>
      <c r="T68" s="27" t="n">
        <v>5609</v>
      </c>
      <c r="U68" s="27"/>
      <c r="V68" s="27" t="n">
        <v>816</v>
      </c>
      <c r="W68" s="10" t="str">
        <f aca="false">IFERROR(INDEX(設定!$E$61:$E$106,MATCH(B68,設定!$B$61:$B$106,0)),"合算")</f>
        <v>合算</v>
      </c>
      <c r="X68" s="28"/>
      <c r="Y68" s="29" t="n">
        <f aca="false">IF(OR(G68="",G68="なし"),"",IF(W68="合算",CF68,IF(W68="掛金・負担金別",(AU68+AV68+AZ68+BB68+BD68),SUM(AU68:AY68))))</f>
        <v>107687</v>
      </c>
      <c r="Z68" s="27"/>
      <c r="AA68" s="29" t="str">
        <f aca="false">IF(OR(G68="",G68="なし"),"",IF(W68="掛金・負担金別",(AW68+AX68+AY68+BA68+BC68+BE68),IF(W68="経理区分別",AZ68+BA68,"")))</f>
        <v/>
      </c>
      <c r="AB68" s="27"/>
      <c r="AC68" s="29" t="str">
        <f aca="false">IF(OR(G68="",G68="なし"),"",IF(W68="経理区分別",BB68+BC68,""))</f>
        <v/>
      </c>
      <c r="AD68" s="27"/>
      <c r="AE68" s="29" t="str">
        <f aca="false">IF(OR(G68="",G68="なし"),"",IF(W68="経理区分別",BD68+BE68,""))</f>
        <v/>
      </c>
      <c r="AF68" s="27"/>
      <c r="AG68" s="26" t="s">
        <v>160</v>
      </c>
      <c r="AH68" s="26"/>
      <c r="AI68" s="30"/>
      <c r="AJ68" s="31"/>
      <c r="AK68" s="31"/>
      <c r="AL68" s="31"/>
      <c r="AM68" s="31"/>
      <c r="AN68" s="31"/>
      <c r="AO68" s="31"/>
      <c r="AP68" s="31"/>
      <c r="AQ68" s="31"/>
      <c r="AR68" s="31"/>
      <c r="AS68" s="31"/>
      <c r="AT68" s="31"/>
      <c r="AU68" s="31" t="n">
        <f aca="false">IF($G68="",AJ68,L68)</f>
        <v>0</v>
      </c>
      <c r="AV68" s="31" t="n">
        <f aca="false">IF($G68="",AK68,M68)</f>
        <v>0</v>
      </c>
      <c r="AW68" s="31" t="n">
        <f aca="false">IF($G68="",AL68,N68)</f>
        <v>59475</v>
      </c>
      <c r="AX68" s="31" t="n">
        <f aca="false">IF($G68="",AM68,O68)</f>
        <v>4875</v>
      </c>
      <c r="AY68" s="31" t="n">
        <f aca="false">IF($G68="",AN68,P68)</f>
        <v>56</v>
      </c>
      <c r="AZ68" s="31" t="n">
        <f aca="false">IF($G68="",AO68,Q68)</f>
        <v>0</v>
      </c>
      <c r="BA68" s="31" t="n">
        <f aca="false">IF($G68="",AP68,R68)</f>
        <v>36856</v>
      </c>
      <c r="BB68" s="31" t="n">
        <f aca="false">IF($G68="",AQ68,S68)</f>
        <v>0</v>
      </c>
      <c r="BC68" s="31" t="n">
        <f aca="false">IF($G68="",AR68,T68)</f>
        <v>5609</v>
      </c>
      <c r="BD68" s="31" t="n">
        <f aca="false">IF($G68="",AS68,U68)</f>
        <v>0</v>
      </c>
      <c r="BE68" s="31" t="n">
        <f aca="false">IF($G68="",AT68,V68)</f>
        <v>816</v>
      </c>
      <c r="BF68" s="31" t="n">
        <f aca="false">ROUNDDOWN(I68*設定!$B$10/1000,0)+ROUNDDOWN(I68*設定!$B$11/1000,0)</f>
        <v>0</v>
      </c>
      <c r="BG68" s="31" t="n">
        <f aca="false">ROUNDDOWN(I68*設定!$C$10/1000,0)+ROUNDDOWN(I68*設定!$C$11/1000,0)+ROUNDDOWN(I68*設定!$C$12/1000,0)</f>
        <v>0</v>
      </c>
      <c r="BH68" s="31" t="n">
        <f aca="false">ROUNDDOWN(J68*設定!$B$13/1000,0)</f>
        <v>0</v>
      </c>
      <c r="BI68" s="31" t="n">
        <f aca="false">ROUNDDOWN(J68*設定!$C$13/1000,0)</f>
        <v>0</v>
      </c>
      <c r="BJ68" s="31" t="n">
        <f aca="false">ROUNDDOWN(K68*設定!$B$14/1000,0)</f>
        <v>0</v>
      </c>
      <c r="BK68" s="31" t="n">
        <f aca="false">ROUNDDOWN(K68*設定!$C$14/1000,0)</f>
        <v>0</v>
      </c>
      <c r="BL68" s="31" t="n">
        <f aca="false">ROUNDDOWN(J68*設定!$B$15/1000,0)</f>
        <v>0</v>
      </c>
      <c r="BM68" s="31" t="n">
        <f aca="false">ROUNDDOWN(J68*設定!$C$15/1000,0)</f>
        <v>0</v>
      </c>
      <c r="BN68" s="31" t="n">
        <f aca="false">L68+M68</f>
        <v>0</v>
      </c>
      <c r="BO68" s="31" t="n">
        <f aca="false">N68+O68+P68</f>
        <v>64406</v>
      </c>
      <c r="BP68" s="31" t="n">
        <f aca="false">Q68</f>
        <v>0</v>
      </c>
      <c r="BQ68" s="31" t="n">
        <f aca="false">R68</f>
        <v>36856</v>
      </c>
      <c r="BR68" s="31" t="n">
        <f aca="false">S68</f>
        <v>0</v>
      </c>
      <c r="BS68" s="31" t="n">
        <f aca="false">T68</f>
        <v>5609</v>
      </c>
      <c r="BT68" s="31" t="n">
        <f aca="false">U68</f>
        <v>0</v>
      </c>
      <c r="BU68" s="31" t="n">
        <f aca="false">V68</f>
        <v>816</v>
      </c>
      <c r="BV68" s="32" t="n">
        <f aca="false">IF(BF68=0,IF(BN68=0,0,1),(BN68-BF68)/BF68)</f>
        <v>0</v>
      </c>
      <c r="BW68" s="32" t="n">
        <f aca="false">IF(BG68=0,IF(BO68=0,0,1),(BO68-BG68)/BG68)</f>
        <v>1</v>
      </c>
      <c r="BX68" s="32" t="n">
        <f aca="false">IF(BH68=0,IF(BP68=0,0,1),(BP68-BH68)/BH68)</f>
        <v>0</v>
      </c>
      <c r="BY68" s="32" t="n">
        <f aca="false">IF(BI68=0,IF(BQ68=0,0,1),(BQ68-BI68)/BI68)</f>
        <v>1</v>
      </c>
      <c r="BZ68" s="32" t="n">
        <f aca="false">IF(BJ68=0,IF(BR68=0,0,1),(BR68-BJ68)/BJ68)</f>
        <v>0</v>
      </c>
      <c r="CA68" s="32" t="n">
        <f aca="false">IF(BK68=0,IF(BS68=0,0,1),(BS68-BK68)/BK68)</f>
        <v>1</v>
      </c>
      <c r="CB68" s="32" t="n">
        <f aca="false">IF(BL68=0,IF(BT68=0,0,1),(BT68-BL68)/BL68)</f>
        <v>0</v>
      </c>
      <c r="CC68" s="32" t="n">
        <f aca="false">IF(BM68=0,IF(BU68=0,0,1),(BU68-BM68)/BM68)</f>
        <v>1</v>
      </c>
      <c r="CD68" s="32" t="n">
        <f aca="false">MAX(MAX(BV68:CC68),-MIN(BV68:CC68))</f>
        <v>1</v>
      </c>
      <c r="CE68" s="31" t="n">
        <f aca="false">IF(CI68="","",SUMIFS($CF$7:$CF$696,$A$7:$A$696,CI68,$B$7:$B$696,B68))</f>
        <v>107687</v>
      </c>
      <c r="CF68" s="31" t="n">
        <f aca="false">SUM(AU68:BE68)</f>
        <v>107687</v>
      </c>
      <c r="CG68" s="33" t="str">
        <f aca="false">A68&amp;"|"&amp;B68</f>
        <v>2026-05 月例|原爆障害対策協議会</v>
      </c>
      <c r="CH68" s="34" t="str">
        <f aca="false">IFERROR(INDEX(設定!$D$61:$D$106,MATCH(B68,設定!$B$61:$B$106,0)),"Y")</f>
        <v>Y</v>
      </c>
      <c r="CI68" s="34" t="str">
        <f aca="false">IFERROR(INDEX(設定!$D$20:$D$34,MATCH(A68,設定!$A$20:$A$34,0))&amp;"","")</f>
        <v>2026-04 月例</v>
      </c>
    </row>
    <row r="69" customFormat="false" ht="15" hidden="true" customHeight="false" outlineLevel="0" collapsed="false">
      <c r="A69" s="22" t="s">
        <v>207</v>
      </c>
      <c r="B69" s="23" t="s">
        <v>177</v>
      </c>
      <c r="C69" s="10" t="str">
        <f aca="false">IF(G69="","未受領",IF(G69="なし","報告なし",IF(AH69="○","起票済",IF(OR(AG69="○",F69="一致",F69="入金不要"),"入金確認済","受領済"))))</f>
        <v>入金確認済</v>
      </c>
      <c r="D69" s="10" t="str">
        <f aca="false">IF(OR(G69="",G69="なし"),"―",IF(CH69="N","対象外",IF(AND(I69="",J69="",K69=""),"標報未入力",IF(CD69&gt;=設定!$B$4,"要確認","問題なし"))))</f>
        <v>標報未入力</v>
      </c>
      <c r="E69" s="24" t="str">
        <f aca="false">IF(OR(G69="",G69="なし",CE69="",CF69=0),"―",IF(CF69=CE69,"前月同額",IF(CE69=0,"―",IF(ABS(CF69/CE69-1)&gt;=設定!$B$5,"変動大 "&amp;TEXT(CF69/CE69-1,"+0%;-0%"),"〇"))))</f>
        <v>前月同額</v>
      </c>
      <c r="F69" s="10" t="str">
        <f aca="false">IF(OR(G69="",G69="なし"),"―",IF(CF69=0,"入金不要",IF(COUNT(Z69,AB69,AD69,AF69)=0,IF(AG69="○","手動確認","未入金"),IF(AND(N(Z69)=Y69,IF(AA69="",TRUE(),N(AB69)=AA69),IF(AC69="",TRUE(),N(AD69)=AC69),IF(AE69="",TRUE(),N(AF69)=AE69)),"一致","不一致"))))</f>
        <v>手動確認</v>
      </c>
      <c r="G69" s="25" t="s">
        <v>159</v>
      </c>
      <c r="H69" s="26"/>
      <c r="I69" s="27"/>
      <c r="J69" s="27"/>
      <c r="K69" s="27"/>
      <c r="L69" s="27"/>
      <c r="M69" s="27"/>
      <c r="N69" s="27" t="n">
        <v>417240</v>
      </c>
      <c r="O69" s="27" t="n">
        <v>34200</v>
      </c>
      <c r="P69" s="27" t="n">
        <v>395</v>
      </c>
      <c r="Q69" s="27"/>
      <c r="R69" s="27" t="n">
        <v>236708</v>
      </c>
      <c r="S69" s="27"/>
      <c r="T69" s="27" t="n">
        <v>30968</v>
      </c>
      <c r="U69" s="27"/>
      <c r="V69" s="27" t="n">
        <v>5243</v>
      </c>
      <c r="W69" s="10" t="str">
        <f aca="false">IFERROR(INDEX(設定!$E$61:$E$106,MATCH(B69,設定!$B$61:$B$106,0)),"合算")</f>
        <v>合算</v>
      </c>
      <c r="X69" s="28"/>
      <c r="Y69" s="29" t="n">
        <f aca="false">IF(OR(G69="",G69="なし"),"",IF(W69="合算",CF69,IF(W69="掛金・負担金別",(AU69+AV69+AZ69+BB69+BD69),SUM(AU69:AY69))))</f>
        <v>724754</v>
      </c>
      <c r="Z69" s="27"/>
      <c r="AA69" s="29" t="str">
        <f aca="false">IF(OR(G69="",G69="なし"),"",IF(W69="掛金・負担金別",(AW69+AX69+AY69+BA69+BC69+BE69),IF(W69="経理区分別",AZ69+BA69,"")))</f>
        <v/>
      </c>
      <c r="AB69" s="27"/>
      <c r="AC69" s="29" t="str">
        <f aca="false">IF(OR(G69="",G69="なし"),"",IF(W69="経理区分別",BB69+BC69,""))</f>
        <v/>
      </c>
      <c r="AD69" s="27"/>
      <c r="AE69" s="29" t="str">
        <f aca="false">IF(OR(G69="",G69="なし"),"",IF(W69="経理区分別",BD69+BE69,""))</f>
        <v/>
      </c>
      <c r="AF69" s="27"/>
      <c r="AG69" s="26" t="s">
        <v>160</v>
      </c>
      <c r="AH69" s="26"/>
      <c r="AI69" s="30"/>
      <c r="AJ69" s="31"/>
      <c r="AK69" s="31"/>
      <c r="AL69" s="31"/>
      <c r="AM69" s="31"/>
      <c r="AN69" s="31"/>
      <c r="AO69" s="31"/>
      <c r="AP69" s="31"/>
      <c r="AQ69" s="31"/>
      <c r="AR69" s="31"/>
      <c r="AS69" s="31"/>
      <c r="AT69" s="31"/>
      <c r="AU69" s="31" t="n">
        <f aca="false">IF($G69="",AJ69,L69)</f>
        <v>0</v>
      </c>
      <c r="AV69" s="31" t="n">
        <f aca="false">IF($G69="",AK69,M69)</f>
        <v>0</v>
      </c>
      <c r="AW69" s="31" t="n">
        <f aca="false">IF($G69="",AL69,N69)</f>
        <v>417240</v>
      </c>
      <c r="AX69" s="31" t="n">
        <f aca="false">IF($G69="",AM69,O69)</f>
        <v>34200</v>
      </c>
      <c r="AY69" s="31" t="n">
        <f aca="false">IF($G69="",AN69,P69)</f>
        <v>395</v>
      </c>
      <c r="AZ69" s="31" t="n">
        <f aca="false">IF($G69="",AO69,Q69)</f>
        <v>0</v>
      </c>
      <c r="BA69" s="31" t="n">
        <f aca="false">IF($G69="",AP69,R69)</f>
        <v>236708</v>
      </c>
      <c r="BB69" s="31" t="n">
        <f aca="false">IF($G69="",AQ69,S69)</f>
        <v>0</v>
      </c>
      <c r="BC69" s="31" t="n">
        <f aca="false">IF($G69="",AR69,T69)</f>
        <v>30968</v>
      </c>
      <c r="BD69" s="31" t="n">
        <f aca="false">IF($G69="",AS69,U69)</f>
        <v>0</v>
      </c>
      <c r="BE69" s="31" t="n">
        <f aca="false">IF($G69="",AT69,V69)</f>
        <v>5243</v>
      </c>
      <c r="BF69" s="31" t="n">
        <f aca="false">ROUNDDOWN(I69*設定!$B$10/1000,0)+ROUNDDOWN(I69*設定!$B$11/1000,0)</f>
        <v>0</v>
      </c>
      <c r="BG69" s="31" t="n">
        <f aca="false">ROUNDDOWN(I69*設定!$C$10/1000,0)+ROUNDDOWN(I69*設定!$C$11/1000,0)+ROUNDDOWN(I69*設定!$C$12/1000,0)</f>
        <v>0</v>
      </c>
      <c r="BH69" s="31" t="n">
        <f aca="false">ROUNDDOWN(J69*設定!$B$13/1000,0)</f>
        <v>0</v>
      </c>
      <c r="BI69" s="31" t="n">
        <f aca="false">ROUNDDOWN(J69*設定!$C$13/1000,0)</f>
        <v>0</v>
      </c>
      <c r="BJ69" s="31" t="n">
        <f aca="false">ROUNDDOWN(K69*設定!$B$14/1000,0)</f>
        <v>0</v>
      </c>
      <c r="BK69" s="31" t="n">
        <f aca="false">ROUNDDOWN(K69*設定!$C$14/1000,0)</f>
        <v>0</v>
      </c>
      <c r="BL69" s="31" t="n">
        <f aca="false">ROUNDDOWN(J69*設定!$B$15/1000,0)</f>
        <v>0</v>
      </c>
      <c r="BM69" s="31" t="n">
        <f aca="false">ROUNDDOWN(J69*設定!$C$15/1000,0)</f>
        <v>0</v>
      </c>
      <c r="BN69" s="31" t="n">
        <f aca="false">L69+M69</f>
        <v>0</v>
      </c>
      <c r="BO69" s="31" t="n">
        <f aca="false">N69+O69+P69</f>
        <v>451835</v>
      </c>
      <c r="BP69" s="31" t="n">
        <f aca="false">Q69</f>
        <v>0</v>
      </c>
      <c r="BQ69" s="31" t="n">
        <f aca="false">R69</f>
        <v>236708</v>
      </c>
      <c r="BR69" s="31" t="n">
        <f aca="false">S69</f>
        <v>0</v>
      </c>
      <c r="BS69" s="31" t="n">
        <f aca="false">T69</f>
        <v>30968</v>
      </c>
      <c r="BT69" s="31" t="n">
        <f aca="false">U69</f>
        <v>0</v>
      </c>
      <c r="BU69" s="31" t="n">
        <f aca="false">V69</f>
        <v>5243</v>
      </c>
      <c r="BV69" s="32" t="n">
        <f aca="false">IF(BF69=0,IF(BN69=0,0,1),(BN69-BF69)/BF69)</f>
        <v>0</v>
      </c>
      <c r="BW69" s="32" t="n">
        <f aca="false">IF(BG69=0,IF(BO69=0,0,1),(BO69-BG69)/BG69)</f>
        <v>1</v>
      </c>
      <c r="BX69" s="32" t="n">
        <f aca="false">IF(BH69=0,IF(BP69=0,0,1),(BP69-BH69)/BH69)</f>
        <v>0</v>
      </c>
      <c r="BY69" s="32" t="n">
        <f aca="false">IF(BI69=0,IF(BQ69=0,0,1),(BQ69-BI69)/BI69)</f>
        <v>1</v>
      </c>
      <c r="BZ69" s="32" t="n">
        <f aca="false">IF(BJ69=0,IF(BR69=0,0,1),(BR69-BJ69)/BJ69)</f>
        <v>0</v>
      </c>
      <c r="CA69" s="32" t="n">
        <f aca="false">IF(BK69=0,IF(BS69=0,0,1),(BS69-BK69)/BK69)</f>
        <v>1</v>
      </c>
      <c r="CB69" s="32" t="n">
        <f aca="false">IF(BL69=0,IF(BT69=0,0,1),(BT69-BL69)/BL69)</f>
        <v>0</v>
      </c>
      <c r="CC69" s="32" t="n">
        <f aca="false">IF(BM69=0,IF(BU69=0,0,1),(BU69-BM69)/BM69)</f>
        <v>1</v>
      </c>
      <c r="CD69" s="32" t="n">
        <f aca="false">MAX(MAX(BV69:CC69),-MIN(BV69:CC69))</f>
        <v>1</v>
      </c>
      <c r="CE69" s="31" t="n">
        <f aca="false">IF(CI69="","",SUMIFS($CF$7:$CF$696,$A$7:$A$696,CI69,$B$7:$B$696,B69))</f>
        <v>724754</v>
      </c>
      <c r="CF69" s="31" t="n">
        <f aca="false">SUM(AU69:BE69)</f>
        <v>724754</v>
      </c>
      <c r="CG69" s="33" t="str">
        <f aca="false">A69&amp;"|"&amp;B69</f>
        <v>2026-05 月例|産業振興センター</v>
      </c>
      <c r="CH69" s="34" t="str">
        <f aca="false">IFERROR(INDEX(設定!$D$61:$D$106,MATCH(B69,設定!$B$61:$B$106,0)),"Y")</f>
        <v>Y</v>
      </c>
      <c r="CI69" s="34" t="str">
        <f aca="false">IFERROR(INDEX(設定!$D$20:$D$34,MATCH(A69,設定!$A$20:$A$34,0))&amp;"","")</f>
        <v>2026-04 月例</v>
      </c>
    </row>
    <row r="70" customFormat="false" ht="15" hidden="true" customHeight="false" outlineLevel="0" collapsed="false">
      <c r="A70" s="22" t="s">
        <v>207</v>
      </c>
      <c r="B70" s="23" t="s">
        <v>178</v>
      </c>
      <c r="C70" s="10" t="str">
        <f aca="false">IF(G70="","未受領",IF(G70="なし","報告なし",IF(AH70="○","起票済",IF(OR(AG70="○",F70="一致",F70="入金不要"),"入金確認済","受領済"))))</f>
        <v>入金確認済</v>
      </c>
      <c r="D70" s="10" t="str">
        <f aca="false">IF(OR(G70="",G70="なし"),"―",IF(CH70="N","対象外",IF(AND(I70="",J70="",K70=""),"標報未入力",IF(CD70&gt;=設定!$B$4,"要確認","問題なし"))))</f>
        <v>標報未入力</v>
      </c>
      <c r="E70" s="24" t="str">
        <f aca="false">IF(OR(G70="",G70="なし",CE70="",CF70=0),"―",IF(CF70=CE70,"前月同額",IF(CE70=0,"―",IF(ABS(CF70/CE70-1)&gt;=設定!$B$5,"変動大 "&amp;TEXT(CF70/CE70-1,"+0%;-0%"),"〇"))))</f>
        <v>前月同額</v>
      </c>
      <c r="F70" s="10" t="str">
        <f aca="false">IF(OR(G70="",G70="なし"),"―",IF(CF70=0,"入金不要",IF(COUNT(Z70,AB70,AD70,AF70)=0,IF(AG70="○","手動確認","未入金"),IF(AND(N(Z70)=Y70,IF(AA70="",TRUE(),N(AB70)=AA70),IF(AC70="",TRUE(),N(AD70)=AC70),IF(AE70="",TRUE(),N(AF70)=AE70)),"一致","不一致"))))</f>
        <v>手動確認</v>
      </c>
      <c r="G70" s="25" t="s">
        <v>159</v>
      </c>
      <c r="H70" s="26"/>
      <c r="I70" s="27"/>
      <c r="J70" s="27"/>
      <c r="K70" s="27"/>
      <c r="L70" s="27"/>
      <c r="M70" s="27"/>
      <c r="N70" s="27" t="n">
        <v>40260</v>
      </c>
      <c r="O70" s="27" t="n">
        <v>3300</v>
      </c>
      <c r="P70" s="27" t="n">
        <v>38</v>
      </c>
      <c r="Q70" s="27"/>
      <c r="R70" s="27" t="n">
        <v>22840</v>
      </c>
      <c r="S70" s="27"/>
      <c r="T70" s="27" t="n">
        <v>3476</v>
      </c>
      <c r="U70" s="27"/>
      <c r="V70" s="27" t="n">
        <v>506</v>
      </c>
      <c r="W70" s="10" t="str">
        <f aca="false">IFERROR(INDEX(設定!$E$61:$E$106,MATCH(B70,設定!$B$61:$B$106,0)),"合算")</f>
        <v>合算</v>
      </c>
      <c r="X70" s="28"/>
      <c r="Y70" s="29" t="n">
        <f aca="false">IF(OR(G70="",G70="なし"),"",IF(W70="合算",CF70,IF(W70="掛金・負担金別",(AU70+AV70+AZ70+BB70+BD70),SUM(AU70:AY70))))</f>
        <v>70420</v>
      </c>
      <c r="Z70" s="27"/>
      <c r="AA70" s="29" t="str">
        <f aca="false">IF(OR(G70="",G70="なし"),"",IF(W70="掛金・負担金別",(AW70+AX70+AY70+BA70+BC70+BE70),IF(W70="経理区分別",AZ70+BA70,"")))</f>
        <v/>
      </c>
      <c r="AB70" s="27"/>
      <c r="AC70" s="29" t="str">
        <f aca="false">IF(OR(G70="",G70="なし"),"",IF(W70="経理区分別",BB70+BC70,""))</f>
        <v/>
      </c>
      <c r="AD70" s="27"/>
      <c r="AE70" s="29" t="str">
        <f aca="false">IF(OR(G70="",G70="なし"),"",IF(W70="経理区分別",BD70+BE70,""))</f>
        <v/>
      </c>
      <c r="AF70" s="27"/>
      <c r="AG70" s="26" t="s">
        <v>160</v>
      </c>
      <c r="AH70" s="26"/>
      <c r="AI70" s="30"/>
      <c r="AJ70" s="31"/>
      <c r="AK70" s="31"/>
      <c r="AL70" s="31"/>
      <c r="AM70" s="31"/>
      <c r="AN70" s="31"/>
      <c r="AO70" s="31"/>
      <c r="AP70" s="31"/>
      <c r="AQ70" s="31"/>
      <c r="AR70" s="31"/>
      <c r="AS70" s="31"/>
      <c r="AT70" s="31"/>
      <c r="AU70" s="31" t="n">
        <f aca="false">IF($G70="",AJ70,L70)</f>
        <v>0</v>
      </c>
      <c r="AV70" s="31" t="n">
        <f aca="false">IF($G70="",AK70,M70)</f>
        <v>0</v>
      </c>
      <c r="AW70" s="31" t="n">
        <f aca="false">IF($G70="",AL70,N70)</f>
        <v>40260</v>
      </c>
      <c r="AX70" s="31" t="n">
        <f aca="false">IF($G70="",AM70,O70)</f>
        <v>3300</v>
      </c>
      <c r="AY70" s="31" t="n">
        <f aca="false">IF($G70="",AN70,P70)</f>
        <v>38</v>
      </c>
      <c r="AZ70" s="31" t="n">
        <f aca="false">IF($G70="",AO70,Q70)</f>
        <v>0</v>
      </c>
      <c r="BA70" s="31" t="n">
        <f aca="false">IF($G70="",AP70,R70)</f>
        <v>22840</v>
      </c>
      <c r="BB70" s="31" t="n">
        <f aca="false">IF($G70="",AQ70,S70)</f>
        <v>0</v>
      </c>
      <c r="BC70" s="31" t="n">
        <f aca="false">IF($G70="",AR70,T70)</f>
        <v>3476</v>
      </c>
      <c r="BD70" s="31" t="n">
        <f aca="false">IF($G70="",AS70,U70)</f>
        <v>0</v>
      </c>
      <c r="BE70" s="31" t="n">
        <f aca="false">IF($G70="",AT70,V70)</f>
        <v>506</v>
      </c>
      <c r="BF70" s="31" t="n">
        <f aca="false">ROUNDDOWN(I70*設定!$B$10/1000,0)+ROUNDDOWN(I70*設定!$B$11/1000,0)</f>
        <v>0</v>
      </c>
      <c r="BG70" s="31" t="n">
        <f aca="false">ROUNDDOWN(I70*設定!$C$10/1000,0)+ROUNDDOWN(I70*設定!$C$11/1000,0)+ROUNDDOWN(I70*設定!$C$12/1000,0)</f>
        <v>0</v>
      </c>
      <c r="BH70" s="31" t="n">
        <f aca="false">ROUNDDOWN(J70*設定!$B$13/1000,0)</f>
        <v>0</v>
      </c>
      <c r="BI70" s="31" t="n">
        <f aca="false">ROUNDDOWN(J70*設定!$C$13/1000,0)</f>
        <v>0</v>
      </c>
      <c r="BJ70" s="31" t="n">
        <f aca="false">ROUNDDOWN(K70*設定!$B$14/1000,0)</f>
        <v>0</v>
      </c>
      <c r="BK70" s="31" t="n">
        <f aca="false">ROUNDDOWN(K70*設定!$C$14/1000,0)</f>
        <v>0</v>
      </c>
      <c r="BL70" s="31" t="n">
        <f aca="false">ROUNDDOWN(J70*設定!$B$15/1000,0)</f>
        <v>0</v>
      </c>
      <c r="BM70" s="31" t="n">
        <f aca="false">ROUNDDOWN(J70*設定!$C$15/1000,0)</f>
        <v>0</v>
      </c>
      <c r="BN70" s="31" t="n">
        <f aca="false">L70+M70</f>
        <v>0</v>
      </c>
      <c r="BO70" s="31" t="n">
        <f aca="false">N70+O70+P70</f>
        <v>43598</v>
      </c>
      <c r="BP70" s="31" t="n">
        <f aca="false">Q70</f>
        <v>0</v>
      </c>
      <c r="BQ70" s="31" t="n">
        <f aca="false">R70</f>
        <v>22840</v>
      </c>
      <c r="BR70" s="31" t="n">
        <f aca="false">S70</f>
        <v>0</v>
      </c>
      <c r="BS70" s="31" t="n">
        <f aca="false">T70</f>
        <v>3476</v>
      </c>
      <c r="BT70" s="31" t="n">
        <f aca="false">U70</f>
        <v>0</v>
      </c>
      <c r="BU70" s="31" t="n">
        <f aca="false">V70</f>
        <v>506</v>
      </c>
      <c r="BV70" s="32" t="n">
        <f aca="false">IF(BF70=0,IF(BN70=0,0,1),(BN70-BF70)/BF70)</f>
        <v>0</v>
      </c>
      <c r="BW70" s="32" t="n">
        <f aca="false">IF(BG70=0,IF(BO70=0,0,1),(BO70-BG70)/BG70)</f>
        <v>1</v>
      </c>
      <c r="BX70" s="32" t="n">
        <f aca="false">IF(BH70=0,IF(BP70=0,0,1),(BP70-BH70)/BH70)</f>
        <v>0</v>
      </c>
      <c r="BY70" s="32" t="n">
        <f aca="false">IF(BI70=0,IF(BQ70=0,0,1),(BQ70-BI70)/BI70)</f>
        <v>1</v>
      </c>
      <c r="BZ70" s="32" t="n">
        <f aca="false">IF(BJ70=0,IF(BR70=0,0,1),(BR70-BJ70)/BJ70)</f>
        <v>0</v>
      </c>
      <c r="CA70" s="32" t="n">
        <f aca="false">IF(BK70=0,IF(BS70=0,0,1),(BS70-BK70)/BK70)</f>
        <v>1</v>
      </c>
      <c r="CB70" s="32" t="n">
        <f aca="false">IF(BL70=0,IF(BT70=0,0,1),(BT70-BL70)/BL70)</f>
        <v>0</v>
      </c>
      <c r="CC70" s="32" t="n">
        <f aca="false">IF(BM70=0,IF(BU70=0,0,1),(BU70-BM70)/BM70)</f>
        <v>1</v>
      </c>
      <c r="CD70" s="32" t="n">
        <f aca="false">MAX(MAX(BV70:CC70),-MIN(BV70:CC70))</f>
        <v>1</v>
      </c>
      <c r="CE70" s="31" t="n">
        <f aca="false">IF(CI70="","",SUMIFS($CF$7:$CF$696,$A$7:$A$696,CI70,$B$7:$B$696,B70))</f>
        <v>70420</v>
      </c>
      <c r="CF70" s="31" t="n">
        <f aca="false">SUM(AU70:BE70)</f>
        <v>70420</v>
      </c>
      <c r="CG70" s="33" t="str">
        <f aca="false">A70&amp;"|"&amp;B70</f>
        <v>2026-05 月例|ひろしま産業振興</v>
      </c>
      <c r="CH70" s="34" t="str">
        <f aca="false">IFERROR(INDEX(設定!$D$61:$D$106,MATCH(B70,設定!$B$61:$B$106,0)),"Y")</f>
        <v>Y</v>
      </c>
      <c r="CI70" s="34" t="str">
        <f aca="false">IFERROR(INDEX(設定!$D$20:$D$34,MATCH(A70,設定!$A$20:$A$34,0))&amp;"","")</f>
        <v>2026-04 月例</v>
      </c>
    </row>
    <row r="71" customFormat="false" ht="15" hidden="true" customHeight="false" outlineLevel="0" collapsed="false">
      <c r="A71" s="22" t="s">
        <v>207</v>
      </c>
      <c r="B71" s="23" t="s">
        <v>179</v>
      </c>
      <c r="C71" s="10" t="str">
        <f aca="false">IF(G71="","未受領",IF(G71="なし","報告なし",IF(AH71="○","起票済",IF(OR(AG71="○",F71="一致",F71="入金不要"),"入金確認済","受領済"))))</f>
        <v>入金確認済</v>
      </c>
      <c r="D71" s="10" t="str">
        <f aca="false">IF(OR(G71="",G71="なし"),"―",IF(CH71="N","対象外",IF(AND(I71="",J71="",K71=""),"標報未入力",IF(CD71&gt;=設定!$B$4,"要確認","問題なし"))))</f>
        <v>標報未入力</v>
      </c>
      <c r="E71" s="24" t="str">
        <f aca="false">IF(OR(G71="",G71="なし",CE71="",CF71=0),"―",IF(CF71=CE71,"前月同額",IF(CE71=0,"―",IF(ABS(CF71/CE71-1)&gt;=設定!$B$5,"変動大 "&amp;TEXT(CF71/CE71-1,"+0%;-0%"),"〇"))))</f>
        <v>―</v>
      </c>
      <c r="F71" s="10" t="str">
        <f aca="false">IF(OR(G71="",G71="なし"),"―",IF(CF71=0,"入金不要",IF(COUNT(Z71,AB71,AD71,AF71)=0,IF(AG71="○","手動確認","未入金"),IF(AND(N(Z71)=Y71,IF(AA71="",TRUE(),N(AB71)=AA71),IF(AC71="",TRUE(),N(AD71)=AC71),IF(AE71="",TRUE(),N(AF71)=AE71)),"一致","不一致"))))</f>
        <v>入金不要</v>
      </c>
      <c r="G71" s="25" t="s">
        <v>159</v>
      </c>
      <c r="H71" s="26"/>
      <c r="I71" s="27"/>
      <c r="J71" s="27"/>
      <c r="K71" s="27"/>
      <c r="L71" s="27"/>
      <c r="M71" s="27"/>
      <c r="N71" s="27" t="n">
        <v>0</v>
      </c>
      <c r="O71" s="27" t="n">
        <v>0</v>
      </c>
      <c r="P71" s="27" t="n">
        <v>0</v>
      </c>
      <c r="Q71" s="27"/>
      <c r="R71" s="27" t="n">
        <v>0</v>
      </c>
      <c r="S71" s="27"/>
      <c r="T71" s="27" t="n">
        <v>0</v>
      </c>
      <c r="U71" s="27"/>
      <c r="V71" s="27" t="n">
        <v>0</v>
      </c>
      <c r="W71" s="10" t="str">
        <f aca="false">IFERROR(INDEX(設定!$E$61:$E$106,MATCH(B71,設定!$B$61:$B$106,0)),"合算")</f>
        <v>合算</v>
      </c>
      <c r="X71" s="28"/>
      <c r="Y71" s="29" t="n">
        <f aca="false">IF(OR(G71="",G71="なし"),"",IF(W71="合算",CF71,IF(W71="掛金・負担金別",(AU71+AV71+AZ71+BB71+BD71),SUM(AU71:AY71))))</f>
        <v>0</v>
      </c>
      <c r="Z71" s="27"/>
      <c r="AA71" s="29" t="str">
        <f aca="false">IF(OR(G71="",G71="なし"),"",IF(W71="掛金・負担金別",(AW71+AX71+AY71+BA71+BC71+BE71),IF(W71="経理区分別",AZ71+BA71,"")))</f>
        <v/>
      </c>
      <c r="AB71" s="27"/>
      <c r="AC71" s="29" t="str">
        <f aca="false">IF(OR(G71="",G71="なし"),"",IF(W71="経理区分別",BB71+BC71,""))</f>
        <v/>
      </c>
      <c r="AD71" s="27"/>
      <c r="AE71" s="29" t="str">
        <f aca="false">IF(OR(G71="",G71="なし"),"",IF(W71="経理区分別",BD71+BE71,""))</f>
        <v/>
      </c>
      <c r="AF71" s="27"/>
      <c r="AG71" s="26" t="s">
        <v>160</v>
      </c>
      <c r="AH71" s="26"/>
      <c r="AI71" s="30"/>
      <c r="AJ71" s="31"/>
      <c r="AK71" s="31"/>
      <c r="AL71" s="31"/>
      <c r="AM71" s="31"/>
      <c r="AN71" s="31"/>
      <c r="AO71" s="31"/>
      <c r="AP71" s="31"/>
      <c r="AQ71" s="31"/>
      <c r="AR71" s="31"/>
      <c r="AS71" s="31"/>
      <c r="AT71" s="31"/>
      <c r="AU71" s="31" t="n">
        <f aca="false">IF($G71="",AJ71,L71)</f>
        <v>0</v>
      </c>
      <c r="AV71" s="31" t="n">
        <f aca="false">IF($G71="",AK71,M71)</f>
        <v>0</v>
      </c>
      <c r="AW71" s="31" t="n">
        <f aca="false">IF($G71="",AL71,N71)</f>
        <v>0</v>
      </c>
      <c r="AX71" s="31" t="n">
        <f aca="false">IF($G71="",AM71,O71)</f>
        <v>0</v>
      </c>
      <c r="AY71" s="31" t="n">
        <f aca="false">IF($G71="",AN71,P71)</f>
        <v>0</v>
      </c>
      <c r="AZ71" s="31" t="n">
        <f aca="false">IF($G71="",AO71,Q71)</f>
        <v>0</v>
      </c>
      <c r="BA71" s="31" t="n">
        <f aca="false">IF($G71="",AP71,R71)</f>
        <v>0</v>
      </c>
      <c r="BB71" s="31" t="n">
        <f aca="false">IF($G71="",AQ71,S71)</f>
        <v>0</v>
      </c>
      <c r="BC71" s="31" t="n">
        <f aca="false">IF($G71="",AR71,T71)</f>
        <v>0</v>
      </c>
      <c r="BD71" s="31" t="n">
        <f aca="false">IF($G71="",AS71,U71)</f>
        <v>0</v>
      </c>
      <c r="BE71" s="31" t="n">
        <f aca="false">IF($G71="",AT71,V71)</f>
        <v>0</v>
      </c>
      <c r="BF71" s="31" t="n">
        <f aca="false">ROUNDDOWN(I71*設定!$B$10/1000,0)+ROUNDDOWN(I71*設定!$B$11/1000,0)</f>
        <v>0</v>
      </c>
      <c r="BG71" s="31" t="n">
        <f aca="false">ROUNDDOWN(I71*設定!$C$10/1000,0)+ROUNDDOWN(I71*設定!$C$11/1000,0)+ROUNDDOWN(I71*設定!$C$12/1000,0)</f>
        <v>0</v>
      </c>
      <c r="BH71" s="31" t="n">
        <f aca="false">ROUNDDOWN(J71*設定!$B$13/1000,0)</f>
        <v>0</v>
      </c>
      <c r="BI71" s="31" t="n">
        <f aca="false">ROUNDDOWN(J71*設定!$C$13/1000,0)</f>
        <v>0</v>
      </c>
      <c r="BJ71" s="31" t="n">
        <f aca="false">ROUNDDOWN(K71*設定!$B$14/1000,0)</f>
        <v>0</v>
      </c>
      <c r="BK71" s="31" t="n">
        <f aca="false">ROUNDDOWN(K71*設定!$C$14/1000,0)</f>
        <v>0</v>
      </c>
      <c r="BL71" s="31" t="n">
        <f aca="false">ROUNDDOWN(J71*設定!$B$15/1000,0)</f>
        <v>0</v>
      </c>
      <c r="BM71" s="31" t="n">
        <f aca="false">ROUNDDOWN(J71*設定!$C$15/1000,0)</f>
        <v>0</v>
      </c>
      <c r="BN71" s="31" t="n">
        <f aca="false">L71+M71</f>
        <v>0</v>
      </c>
      <c r="BO71" s="31" t="n">
        <f aca="false">N71+O71+P71</f>
        <v>0</v>
      </c>
      <c r="BP71" s="31" t="n">
        <f aca="false">Q71</f>
        <v>0</v>
      </c>
      <c r="BQ71" s="31" t="n">
        <f aca="false">R71</f>
        <v>0</v>
      </c>
      <c r="BR71" s="31" t="n">
        <f aca="false">S71</f>
        <v>0</v>
      </c>
      <c r="BS71" s="31" t="n">
        <f aca="false">T71</f>
        <v>0</v>
      </c>
      <c r="BT71" s="31" t="n">
        <f aca="false">U71</f>
        <v>0</v>
      </c>
      <c r="BU71" s="31" t="n">
        <f aca="false">V71</f>
        <v>0</v>
      </c>
      <c r="BV71" s="32" t="n">
        <f aca="false">IF(BF71=0,IF(BN71=0,0,1),(BN71-BF71)/BF71)</f>
        <v>0</v>
      </c>
      <c r="BW71" s="32" t="n">
        <f aca="false">IF(BG71=0,IF(BO71=0,0,1),(BO71-BG71)/BG71)</f>
        <v>0</v>
      </c>
      <c r="BX71" s="32" t="n">
        <f aca="false">IF(BH71=0,IF(BP71=0,0,1),(BP71-BH71)/BH71)</f>
        <v>0</v>
      </c>
      <c r="BY71" s="32" t="n">
        <f aca="false">IF(BI71=0,IF(BQ71=0,0,1),(BQ71-BI71)/BI71)</f>
        <v>0</v>
      </c>
      <c r="BZ71" s="32" t="n">
        <f aca="false">IF(BJ71=0,IF(BR71=0,0,1),(BR71-BJ71)/BJ71)</f>
        <v>0</v>
      </c>
      <c r="CA71" s="32" t="n">
        <f aca="false">IF(BK71=0,IF(BS71=0,0,1),(BS71-BK71)/BK71)</f>
        <v>0</v>
      </c>
      <c r="CB71" s="32" t="n">
        <f aca="false">IF(BL71=0,IF(BT71=0,0,1),(BT71-BL71)/BL71)</f>
        <v>0</v>
      </c>
      <c r="CC71" s="32" t="n">
        <f aca="false">IF(BM71=0,IF(BU71=0,0,1),(BU71-BM71)/BM71)</f>
        <v>0</v>
      </c>
      <c r="CD71" s="32" t="n">
        <f aca="false">MAX(MAX(BV71:CC71),-MIN(BV71:CC71))</f>
        <v>-0</v>
      </c>
      <c r="CE71" s="31" t="n">
        <f aca="false">IF(CI71="","",SUMIFS($CF$7:$CF$696,$A$7:$A$696,CI71,$B$7:$B$696,B71))</f>
        <v>0</v>
      </c>
      <c r="CF71" s="31" t="n">
        <f aca="false">SUM(AU71:BE71)</f>
        <v>0</v>
      </c>
      <c r="CG71" s="33" t="str">
        <f aca="false">A71&amp;"|"&amp;B71</f>
        <v>2026-05 月例|都市整備公社　市</v>
      </c>
      <c r="CH71" s="34" t="str">
        <f aca="false">IFERROR(INDEX(設定!$D$61:$D$106,MATCH(B71,設定!$B$61:$B$106,0)),"Y")</f>
        <v>Y</v>
      </c>
      <c r="CI71" s="34" t="str">
        <f aca="false">IFERROR(INDEX(設定!$D$20:$D$34,MATCH(A71,設定!$A$20:$A$34,0))&amp;"","")</f>
        <v>2026-04 月例</v>
      </c>
    </row>
    <row r="72" customFormat="false" ht="15" hidden="true" customHeight="false" outlineLevel="0" collapsed="false">
      <c r="A72" s="22" t="s">
        <v>207</v>
      </c>
      <c r="B72" s="23" t="s">
        <v>180</v>
      </c>
      <c r="C72" s="10" t="str">
        <f aca="false">IF(G72="","未受領",IF(G72="なし","報告なし",IF(AH72="○","起票済",IF(OR(AG72="○",F72="一致",F72="入金不要"),"入金確認済","受領済"))))</f>
        <v>入金確認済</v>
      </c>
      <c r="D72" s="10" t="str">
        <f aca="false">IF(OR(G72="",G72="なし"),"―",IF(CH72="N","対象外",IF(AND(I72="",J72="",K72=""),"標報未入力",IF(CD72&gt;=設定!$B$4,"要確認","問題なし"))))</f>
        <v>標報未入力</v>
      </c>
      <c r="E72" s="24" t="str">
        <f aca="false">IF(OR(G72="",G72="なし",CE72="",CF72=0),"―",IF(CF72=CE72,"前月同額",IF(CE72=0,"―",IF(ABS(CF72/CE72-1)&gt;=設定!$B$5,"変動大 "&amp;TEXT(CF72/CE72-1,"+0%;-0%"),"〇"))))</f>
        <v>前月同額</v>
      </c>
      <c r="F72" s="10" t="str">
        <f aca="false">IF(OR(G72="",G72="なし"),"―",IF(CF72=0,"入金不要",IF(COUNT(Z72,AB72,AD72,AF72)=0,IF(AG72="○","手動確認","未入金"),IF(AND(N(Z72)=Y72,IF(AA72="",TRUE(),N(AB72)=AA72),IF(AC72="",TRUE(),N(AD72)=AC72),IF(AE72="",TRUE(),N(AF72)=AE72)),"一致","不一致"))))</f>
        <v>手動確認</v>
      </c>
      <c r="G72" s="25" t="s">
        <v>159</v>
      </c>
      <c r="H72" s="26"/>
      <c r="I72" s="27"/>
      <c r="J72" s="27"/>
      <c r="K72" s="27"/>
      <c r="L72" s="27"/>
      <c r="M72" s="27"/>
      <c r="N72" s="27" t="n">
        <v>193065</v>
      </c>
      <c r="O72" s="27" t="n">
        <v>15825</v>
      </c>
      <c r="P72" s="27" t="n">
        <v>183</v>
      </c>
      <c r="Q72" s="27"/>
      <c r="R72" s="27" t="n">
        <v>109530</v>
      </c>
      <c r="S72" s="27"/>
      <c r="T72" s="27" t="n">
        <v>12956</v>
      </c>
      <c r="U72" s="27"/>
      <c r="V72" s="27" t="n">
        <v>2426</v>
      </c>
      <c r="W72" s="10" t="str">
        <f aca="false">IFERROR(INDEX(設定!$E$61:$E$106,MATCH(B72,設定!$B$61:$B$106,0)),"合算")</f>
        <v>合算</v>
      </c>
      <c r="X72" s="28"/>
      <c r="Y72" s="29" t="n">
        <f aca="false">IF(OR(G72="",G72="なし"),"",IF(W72="合算",CF72,IF(W72="掛金・負担金別",(AU72+AV72+AZ72+BB72+BD72),SUM(AU72:AY72))))</f>
        <v>333985</v>
      </c>
      <c r="Z72" s="27"/>
      <c r="AA72" s="29" t="str">
        <f aca="false">IF(OR(G72="",G72="なし"),"",IF(W72="掛金・負担金別",(AW72+AX72+AY72+BA72+BC72+BE72),IF(W72="経理区分別",AZ72+BA72,"")))</f>
        <v/>
      </c>
      <c r="AB72" s="27"/>
      <c r="AC72" s="29" t="str">
        <f aca="false">IF(OR(G72="",G72="なし"),"",IF(W72="経理区分別",BB72+BC72,""))</f>
        <v/>
      </c>
      <c r="AD72" s="27"/>
      <c r="AE72" s="29" t="str">
        <f aca="false">IF(OR(G72="",G72="なし"),"",IF(W72="経理区分別",BD72+BE72,""))</f>
        <v/>
      </c>
      <c r="AF72" s="27"/>
      <c r="AG72" s="26" t="s">
        <v>160</v>
      </c>
      <c r="AH72" s="26"/>
      <c r="AI72" s="30"/>
      <c r="AJ72" s="31"/>
      <c r="AK72" s="31"/>
      <c r="AL72" s="31"/>
      <c r="AM72" s="31"/>
      <c r="AN72" s="31"/>
      <c r="AO72" s="31"/>
      <c r="AP72" s="31"/>
      <c r="AQ72" s="31"/>
      <c r="AR72" s="31"/>
      <c r="AS72" s="31"/>
      <c r="AT72" s="31"/>
      <c r="AU72" s="31" t="n">
        <f aca="false">IF($G72="",AJ72,L72)</f>
        <v>0</v>
      </c>
      <c r="AV72" s="31" t="n">
        <f aca="false">IF($G72="",AK72,M72)</f>
        <v>0</v>
      </c>
      <c r="AW72" s="31" t="n">
        <f aca="false">IF($G72="",AL72,N72)</f>
        <v>193065</v>
      </c>
      <c r="AX72" s="31" t="n">
        <f aca="false">IF($G72="",AM72,O72)</f>
        <v>15825</v>
      </c>
      <c r="AY72" s="31" t="n">
        <f aca="false">IF($G72="",AN72,P72)</f>
        <v>183</v>
      </c>
      <c r="AZ72" s="31" t="n">
        <f aca="false">IF($G72="",AO72,Q72)</f>
        <v>0</v>
      </c>
      <c r="BA72" s="31" t="n">
        <f aca="false">IF($G72="",AP72,R72)</f>
        <v>109530</v>
      </c>
      <c r="BB72" s="31" t="n">
        <f aca="false">IF($G72="",AQ72,S72)</f>
        <v>0</v>
      </c>
      <c r="BC72" s="31" t="n">
        <f aca="false">IF($G72="",AR72,T72)</f>
        <v>12956</v>
      </c>
      <c r="BD72" s="31" t="n">
        <f aca="false">IF($G72="",AS72,U72)</f>
        <v>0</v>
      </c>
      <c r="BE72" s="31" t="n">
        <f aca="false">IF($G72="",AT72,V72)</f>
        <v>2426</v>
      </c>
      <c r="BF72" s="31" t="n">
        <f aca="false">ROUNDDOWN(I72*設定!$B$10/1000,0)+ROUNDDOWN(I72*設定!$B$11/1000,0)</f>
        <v>0</v>
      </c>
      <c r="BG72" s="31" t="n">
        <f aca="false">ROUNDDOWN(I72*設定!$C$10/1000,0)+ROUNDDOWN(I72*設定!$C$11/1000,0)+ROUNDDOWN(I72*設定!$C$12/1000,0)</f>
        <v>0</v>
      </c>
      <c r="BH72" s="31" t="n">
        <f aca="false">ROUNDDOWN(J72*設定!$B$13/1000,0)</f>
        <v>0</v>
      </c>
      <c r="BI72" s="31" t="n">
        <f aca="false">ROUNDDOWN(J72*設定!$C$13/1000,0)</f>
        <v>0</v>
      </c>
      <c r="BJ72" s="31" t="n">
        <f aca="false">ROUNDDOWN(K72*設定!$B$14/1000,0)</f>
        <v>0</v>
      </c>
      <c r="BK72" s="31" t="n">
        <f aca="false">ROUNDDOWN(K72*設定!$C$14/1000,0)</f>
        <v>0</v>
      </c>
      <c r="BL72" s="31" t="n">
        <f aca="false">ROUNDDOWN(J72*設定!$B$15/1000,0)</f>
        <v>0</v>
      </c>
      <c r="BM72" s="31" t="n">
        <f aca="false">ROUNDDOWN(J72*設定!$C$15/1000,0)</f>
        <v>0</v>
      </c>
      <c r="BN72" s="31" t="n">
        <f aca="false">L72+M72</f>
        <v>0</v>
      </c>
      <c r="BO72" s="31" t="n">
        <f aca="false">N72+O72+P72</f>
        <v>209073</v>
      </c>
      <c r="BP72" s="31" t="n">
        <f aca="false">Q72</f>
        <v>0</v>
      </c>
      <c r="BQ72" s="31" t="n">
        <f aca="false">R72</f>
        <v>109530</v>
      </c>
      <c r="BR72" s="31" t="n">
        <f aca="false">S72</f>
        <v>0</v>
      </c>
      <c r="BS72" s="31" t="n">
        <f aca="false">T72</f>
        <v>12956</v>
      </c>
      <c r="BT72" s="31" t="n">
        <f aca="false">U72</f>
        <v>0</v>
      </c>
      <c r="BU72" s="31" t="n">
        <f aca="false">V72</f>
        <v>2426</v>
      </c>
      <c r="BV72" s="32" t="n">
        <f aca="false">IF(BF72=0,IF(BN72=0,0,1),(BN72-BF72)/BF72)</f>
        <v>0</v>
      </c>
      <c r="BW72" s="32" t="n">
        <f aca="false">IF(BG72=0,IF(BO72=0,0,1),(BO72-BG72)/BG72)</f>
        <v>1</v>
      </c>
      <c r="BX72" s="32" t="n">
        <f aca="false">IF(BH72=0,IF(BP72=0,0,1),(BP72-BH72)/BH72)</f>
        <v>0</v>
      </c>
      <c r="BY72" s="32" t="n">
        <f aca="false">IF(BI72=0,IF(BQ72=0,0,1),(BQ72-BI72)/BI72)</f>
        <v>1</v>
      </c>
      <c r="BZ72" s="32" t="n">
        <f aca="false">IF(BJ72=0,IF(BR72=0,0,1),(BR72-BJ72)/BJ72)</f>
        <v>0</v>
      </c>
      <c r="CA72" s="32" t="n">
        <f aca="false">IF(BK72=0,IF(BS72=0,0,1),(BS72-BK72)/BK72)</f>
        <v>1</v>
      </c>
      <c r="CB72" s="32" t="n">
        <f aca="false">IF(BL72=0,IF(BT72=0,0,1),(BT72-BL72)/BL72)</f>
        <v>0</v>
      </c>
      <c r="CC72" s="32" t="n">
        <f aca="false">IF(BM72=0,IF(BU72=0,0,1),(BU72-BM72)/BM72)</f>
        <v>1</v>
      </c>
      <c r="CD72" s="32" t="n">
        <f aca="false">MAX(MAX(BV72:CC72),-MIN(BV72:CC72))</f>
        <v>1</v>
      </c>
      <c r="CE72" s="31" t="n">
        <f aca="false">IF(CI72="","",SUMIFS($CF$7:$CF$696,$A$7:$A$696,CI72,$B$7:$B$696,B72))</f>
        <v>333985</v>
      </c>
      <c r="CF72" s="31" t="n">
        <f aca="false">SUM(AU72:BE72)</f>
        <v>333985</v>
      </c>
      <c r="CG72" s="33" t="str">
        <f aca="false">A72&amp;"|"&amp;B72</f>
        <v>2026-05 月例|都市整備公社　消防</v>
      </c>
      <c r="CH72" s="34" t="str">
        <f aca="false">IFERROR(INDEX(設定!$D$61:$D$106,MATCH(B72,設定!$B$61:$B$106,0)),"Y")</f>
        <v>Y</v>
      </c>
      <c r="CI72" s="34" t="str">
        <f aca="false">IFERROR(INDEX(設定!$D$20:$D$34,MATCH(A72,設定!$A$20:$A$34,0))&amp;"","")</f>
        <v>2026-04 月例</v>
      </c>
    </row>
    <row r="73" customFormat="false" ht="15" hidden="true" customHeight="false" outlineLevel="0" collapsed="false">
      <c r="A73" s="22" t="s">
        <v>207</v>
      </c>
      <c r="B73" s="23" t="s">
        <v>181</v>
      </c>
      <c r="C73" s="10" t="str">
        <f aca="false">IF(G73="","未受領",IF(G73="なし","報告なし",IF(AH73="○","起票済",IF(OR(AG73="○",F73="一致",F73="入金不要"),"入金確認済","受領済"))))</f>
        <v>入金確認済</v>
      </c>
      <c r="D73" s="10" t="str">
        <f aca="false">IF(OR(G73="",G73="なし"),"―",IF(CH73="N","対象外",IF(AND(I73="",J73="",K73=""),"標報未入力",IF(CD73&gt;=設定!$B$4,"要確認","問題なし"))))</f>
        <v>標報未入力</v>
      </c>
      <c r="E73" s="24" t="str">
        <f aca="false">IF(OR(G73="",G73="なし",CE73="",CF73=0),"―",IF(CF73=CE73,"前月同額",IF(CE73=0,"―",IF(ABS(CF73/CE73-1)&gt;=設定!$B$5,"変動大 "&amp;TEXT(CF73/CE73-1,"+0%;-0%"),"〇"))))</f>
        <v>〇</v>
      </c>
      <c r="F73" s="10" t="str">
        <f aca="false">IF(OR(G73="",G73="なし"),"―",IF(CF73=0,"入金不要",IF(COUNT(Z73,AB73,AD73,AF73)=0,IF(AG73="○","手動確認","未入金"),IF(AND(N(Z73)=Y73,IF(AA73="",TRUE(),N(AB73)=AA73),IF(AC73="",TRUE(),N(AD73)=AC73),IF(AE73="",TRUE(),N(AF73)=AE73)),"一致","不一致"))))</f>
        <v>手動確認</v>
      </c>
      <c r="G73" s="25" t="s">
        <v>159</v>
      </c>
      <c r="H73" s="26"/>
      <c r="I73" s="27"/>
      <c r="J73" s="27"/>
      <c r="K73" s="27"/>
      <c r="L73" s="27" t="n">
        <v>237900</v>
      </c>
      <c r="M73" s="27" t="n">
        <v>19500</v>
      </c>
      <c r="N73" s="27" t="n">
        <v>237900</v>
      </c>
      <c r="O73" s="27" t="n">
        <v>19500</v>
      </c>
      <c r="P73" s="27" t="n">
        <v>225</v>
      </c>
      <c r="Q73" s="27" t="n">
        <v>137945</v>
      </c>
      <c r="R73" s="27" t="n">
        <v>138080</v>
      </c>
      <c r="S73" s="27" t="n">
        <v>10744</v>
      </c>
      <c r="T73" s="27" t="n">
        <v>10744</v>
      </c>
      <c r="U73" s="27" t="n">
        <v>3058</v>
      </c>
      <c r="V73" s="27" t="n">
        <v>3059</v>
      </c>
      <c r="W73" s="10" t="str">
        <f aca="false">IFERROR(INDEX(設定!$E$61:$E$106,MATCH(B73,設定!$B$61:$B$106,0)),"合算")</f>
        <v>合算</v>
      </c>
      <c r="X73" s="28"/>
      <c r="Y73" s="29" t="n">
        <f aca="false">IF(OR(G73="",G73="なし"),"",IF(W73="合算",CF73,IF(W73="掛金・負担金別",(AU73+AV73+AZ73+BB73+BD73),SUM(AU73:AY73))))</f>
        <v>818655</v>
      </c>
      <c r="Z73" s="27"/>
      <c r="AA73" s="29" t="str">
        <f aca="false">IF(OR(G73="",G73="なし"),"",IF(W73="掛金・負担金別",(AW73+AX73+AY73+BA73+BC73+BE73),IF(W73="経理区分別",AZ73+BA73,"")))</f>
        <v/>
      </c>
      <c r="AB73" s="27"/>
      <c r="AC73" s="29" t="str">
        <f aca="false">IF(OR(G73="",G73="なし"),"",IF(W73="経理区分別",BB73+BC73,""))</f>
        <v/>
      </c>
      <c r="AD73" s="27"/>
      <c r="AE73" s="29" t="str">
        <f aca="false">IF(OR(G73="",G73="なし"),"",IF(W73="経理区分別",BD73+BE73,""))</f>
        <v/>
      </c>
      <c r="AF73" s="27"/>
      <c r="AG73" s="26" t="s">
        <v>160</v>
      </c>
      <c r="AH73" s="26"/>
      <c r="AI73" s="30"/>
      <c r="AJ73" s="31"/>
      <c r="AK73" s="31"/>
      <c r="AL73" s="31"/>
      <c r="AM73" s="31"/>
      <c r="AN73" s="31"/>
      <c r="AO73" s="31"/>
      <c r="AP73" s="31"/>
      <c r="AQ73" s="31"/>
      <c r="AR73" s="31"/>
      <c r="AS73" s="31"/>
      <c r="AT73" s="31"/>
      <c r="AU73" s="31" t="n">
        <f aca="false">IF($G73="",AJ73,L73)</f>
        <v>237900</v>
      </c>
      <c r="AV73" s="31" t="n">
        <f aca="false">IF($G73="",AK73,M73)</f>
        <v>19500</v>
      </c>
      <c r="AW73" s="31" t="n">
        <f aca="false">IF($G73="",AL73,N73)</f>
        <v>237900</v>
      </c>
      <c r="AX73" s="31" t="n">
        <f aca="false">IF($G73="",AM73,O73)</f>
        <v>19500</v>
      </c>
      <c r="AY73" s="31" t="n">
        <f aca="false">IF($G73="",AN73,P73)</f>
        <v>225</v>
      </c>
      <c r="AZ73" s="31" t="n">
        <f aca="false">IF($G73="",AO73,Q73)</f>
        <v>137945</v>
      </c>
      <c r="BA73" s="31" t="n">
        <f aca="false">IF($G73="",AP73,R73)</f>
        <v>138080</v>
      </c>
      <c r="BB73" s="31" t="n">
        <f aca="false">IF($G73="",AQ73,S73)</f>
        <v>10744</v>
      </c>
      <c r="BC73" s="31" t="n">
        <f aca="false">IF($G73="",AR73,T73)</f>
        <v>10744</v>
      </c>
      <c r="BD73" s="31" t="n">
        <f aca="false">IF($G73="",AS73,U73)</f>
        <v>3058</v>
      </c>
      <c r="BE73" s="31" t="n">
        <f aca="false">IF($G73="",AT73,V73)</f>
        <v>3059</v>
      </c>
      <c r="BF73" s="31" t="n">
        <f aca="false">ROUNDDOWN(I73*設定!$B$10/1000,0)+ROUNDDOWN(I73*設定!$B$11/1000,0)</f>
        <v>0</v>
      </c>
      <c r="BG73" s="31" t="n">
        <f aca="false">ROUNDDOWN(I73*設定!$C$10/1000,0)+ROUNDDOWN(I73*設定!$C$11/1000,0)+ROUNDDOWN(I73*設定!$C$12/1000,0)</f>
        <v>0</v>
      </c>
      <c r="BH73" s="31" t="n">
        <f aca="false">ROUNDDOWN(J73*設定!$B$13/1000,0)</f>
        <v>0</v>
      </c>
      <c r="BI73" s="31" t="n">
        <f aca="false">ROUNDDOWN(J73*設定!$C$13/1000,0)</f>
        <v>0</v>
      </c>
      <c r="BJ73" s="31" t="n">
        <f aca="false">ROUNDDOWN(K73*設定!$B$14/1000,0)</f>
        <v>0</v>
      </c>
      <c r="BK73" s="31" t="n">
        <f aca="false">ROUNDDOWN(K73*設定!$C$14/1000,0)</f>
        <v>0</v>
      </c>
      <c r="BL73" s="31" t="n">
        <f aca="false">ROUNDDOWN(J73*設定!$B$15/1000,0)</f>
        <v>0</v>
      </c>
      <c r="BM73" s="31" t="n">
        <f aca="false">ROUNDDOWN(J73*設定!$C$15/1000,0)</f>
        <v>0</v>
      </c>
      <c r="BN73" s="31" t="n">
        <f aca="false">L73+M73</f>
        <v>257400</v>
      </c>
      <c r="BO73" s="31" t="n">
        <f aca="false">N73+O73+P73</f>
        <v>257625</v>
      </c>
      <c r="BP73" s="31" t="n">
        <f aca="false">Q73</f>
        <v>137945</v>
      </c>
      <c r="BQ73" s="31" t="n">
        <f aca="false">R73</f>
        <v>138080</v>
      </c>
      <c r="BR73" s="31" t="n">
        <f aca="false">S73</f>
        <v>10744</v>
      </c>
      <c r="BS73" s="31" t="n">
        <f aca="false">T73</f>
        <v>10744</v>
      </c>
      <c r="BT73" s="31" t="n">
        <f aca="false">U73</f>
        <v>3058</v>
      </c>
      <c r="BU73" s="31" t="n">
        <f aca="false">V73</f>
        <v>3059</v>
      </c>
      <c r="BV73" s="32" t="n">
        <f aca="false">IF(BF73=0,IF(BN73=0,0,1),(BN73-BF73)/BF73)</f>
        <v>1</v>
      </c>
      <c r="BW73" s="32" t="n">
        <f aca="false">IF(BG73=0,IF(BO73=0,0,1),(BO73-BG73)/BG73)</f>
        <v>1</v>
      </c>
      <c r="BX73" s="32" t="n">
        <f aca="false">IF(BH73=0,IF(BP73=0,0,1),(BP73-BH73)/BH73)</f>
        <v>1</v>
      </c>
      <c r="BY73" s="32" t="n">
        <f aca="false">IF(BI73=0,IF(BQ73=0,0,1),(BQ73-BI73)/BI73)</f>
        <v>1</v>
      </c>
      <c r="BZ73" s="32" t="n">
        <f aca="false">IF(BJ73=0,IF(BR73=0,0,1),(BR73-BJ73)/BJ73)</f>
        <v>1</v>
      </c>
      <c r="CA73" s="32" t="n">
        <f aca="false">IF(BK73=0,IF(BS73=0,0,1),(BS73-BK73)/BK73)</f>
        <v>1</v>
      </c>
      <c r="CB73" s="32" t="n">
        <f aca="false">IF(BL73=0,IF(BT73=0,0,1),(BT73-BL73)/BL73)</f>
        <v>1</v>
      </c>
      <c r="CC73" s="32" t="n">
        <f aca="false">IF(BM73=0,IF(BU73=0,0,1),(BU73-BM73)/BM73)</f>
        <v>1</v>
      </c>
      <c r="CD73" s="32" t="n">
        <f aca="false">MAX(MAX(BV73:CC73),-MIN(BV73:CC73))</f>
        <v>1</v>
      </c>
      <c r="CE73" s="31" t="n">
        <f aca="false">IF(CI73="","",SUMIFS($CF$7:$CF$696,$A$7:$A$696,CI73,$B$7:$B$696,B73))</f>
        <v>805402</v>
      </c>
      <c r="CF73" s="31" t="n">
        <f aca="false">SUM(AU73:BE73)</f>
        <v>818655</v>
      </c>
      <c r="CG73" s="33" t="str">
        <f aca="false">A73&amp;"|"&amp;B73</f>
        <v>2026-05 月例|日本下水道事業団</v>
      </c>
      <c r="CH73" s="34" t="str">
        <f aca="false">IFERROR(INDEX(設定!$D$61:$D$106,MATCH(B73,設定!$B$61:$B$106,0)),"Y")</f>
        <v>Y</v>
      </c>
      <c r="CI73" s="34" t="str">
        <f aca="false">IFERROR(INDEX(設定!$D$20:$D$34,MATCH(A73,設定!$A$20:$A$34,0))&amp;"","")</f>
        <v>2026-04 月例</v>
      </c>
    </row>
    <row r="74" customFormat="false" ht="15" hidden="true" customHeight="false" outlineLevel="0" collapsed="false">
      <c r="A74" s="22" t="s">
        <v>207</v>
      </c>
      <c r="B74" s="23" t="s">
        <v>182</v>
      </c>
      <c r="C74" s="10" t="str">
        <f aca="false">IF(G74="","未受領",IF(G74="なし","報告なし",IF(AH74="○","起票済",IF(OR(AG74="○",F74="一致",F74="入金不要"),"入金確認済","受領済"))))</f>
        <v>入金確認済</v>
      </c>
      <c r="D74" s="10" t="str">
        <f aca="false">IF(OR(G74="",G74="なし"),"―",IF(CH74="N","対象外",IF(AND(I74="",J74="",K74=""),"標報未入力",IF(CD74&gt;=設定!$B$4,"要確認","問題なし"))))</f>
        <v>標報未入力</v>
      </c>
      <c r="E74" s="24" t="str">
        <f aca="false">IF(OR(G74="",G74="なし",CE74="",CF74=0),"―",IF(CF74=CE74,"前月同額",IF(CE74=0,"―",IF(ABS(CF74/CE74-1)&gt;=設定!$B$5,"変動大 "&amp;TEXT(CF74/CE74-1,"+0%;-0%"),"〇"))))</f>
        <v>前月同額</v>
      </c>
      <c r="F74" s="10" t="str">
        <f aca="false">IF(OR(G74="",G74="なし"),"―",IF(CF74=0,"入金不要",IF(COUNT(Z74,AB74,AD74,AF74)=0,IF(AG74="○","手動確認","未入金"),IF(AND(N(Z74)=Y74,IF(AA74="",TRUE(),N(AB74)=AA74),IF(AC74="",TRUE(),N(AD74)=AC74),IF(AE74="",TRUE(),N(AF74)=AE74)),"一致","不一致"))))</f>
        <v>手動確認</v>
      </c>
      <c r="G74" s="25" t="s">
        <v>159</v>
      </c>
      <c r="H74" s="26"/>
      <c r="I74" s="27"/>
      <c r="J74" s="27"/>
      <c r="K74" s="27"/>
      <c r="L74" s="27" t="n">
        <v>40260</v>
      </c>
      <c r="M74" s="27" t="n">
        <v>3300</v>
      </c>
      <c r="N74" s="27" t="n">
        <v>40260</v>
      </c>
      <c r="O74" s="27" t="n">
        <v>3300</v>
      </c>
      <c r="P74" s="27" t="n">
        <v>38</v>
      </c>
      <c r="Q74" s="27" t="n">
        <v>22818</v>
      </c>
      <c r="R74" s="27" t="n">
        <v>22840</v>
      </c>
      <c r="S74" s="27" t="n">
        <v>0</v>
      </c>
      <c r="T74" s="27" t="n">
        <v>0</v>
      </c>
      <c r="U74" s="27" t="n">
        <v>506</v>
      </c>
      <c r="V74" s="27" t="n">
        <v>506</v>
      </c>
      <c r="W74" s="10" t="str">
        <f aca="false">IFERROR(INDEX(設定!$E$61:$E$106,MATCH(B74,設定!$B$61:$B$106,0)),"合算")</f>
        <v>合算</v>
      </c>
      <c r="X74" s="28"/>
      <c r="Y74" s="29" t="n">
        <f aca="false">IF(OR(G74="",G74="なし"),"",IF(W74="合算",CF74,IF(W74="掛金・負担金別",(AU74+AV74+AZ74+BB74+BD74),SUM(AU74:AY74))))</f>
        <v>133828</v>
      </c>
      <c r="Z74" s="27"/>
      <c r="AA74" s="29" t="str">
        <f aca="false">IF(OR(G74="",G74="なし"),"",IF(W74="掛金・負担金別",(AW74+AX74+AY74+BA74+BC74+BE74),IF(W74="経理区分別",AZ74+BA74,"")))</f>
        <v/>
      </c>
      <c r="AB74" s="27"/>
      <c r="AC74" s="29" t="str">
        <f aca="false">IF(OR(G74="",G74="なし"),"",IF(W74="経理区分別",BB74+BC74,""))</f>
        <v/>
      </c>
      <c r="AD74" s="27"/>
      <c r="AE74" s="29" t="str">
        <f aca="false">IF(OR(G74="",G74="なし"),"",IF(W74="経理区分別",BD74+BE74,""))</f>
        <v/>
      </c>
      <c r="AF74" s="27"/>
      <c r="AG74" s="26" t="s">
        <v>160</v>
      </c>
      <c r="AH74" s="26"/>
      <c r="AI74" s="30"/>
      <c r="AJ74" s="31"/>
      <c r="AK74" s="31"/>
      <c r="AL74" s="31"/>
      <c r="AM74" s="31"/>
      <c r="AN74" s="31"/>
      <c r="AO74" s="31"/>
      <c r="AP74" s="31"/>
      <c r="AQ74" s="31"/>
      <c r="AR74" s="31"/>
      <c r="AS74" s="31"/>
      <c r="AT74" s="31"/>
      <c r="AU74" s="31" t="n">
        <f aca="false">IF($G74="",AJ74,L74)</f>
        <v>40260</v>
      </c>
      <c r="AV74" s="31" t="n">
        <f aca="false">IF($G74="",AK74,M74)</f>
        <v>3300</v>
      </c>
      <c r="AW74" s="31" t="n">
        <f aca="false">IF($G74="",AL74,N74)</f>
        <v>40260</v>
      </c>
      <c r="AX74" s="31" t="n">
        <f aca="false">IF($G74="",AM74,O74)</f>
        <v>3300</v>
      </c>
      <c r="AY74" s="31" t="n">
        <f aca="false">IF($G74="",AN74,P74)</f>
        <v>38</v>
      </c>
      <c r="AZ74" s="31" t="n">
        <f aca="false">IF($G74="",AO74,Q74)</f>
        <v>22818</v>
      </c>
      <c r="BA74" s="31" t="n">
        <f aca="false">IF($G74="",AP74,R74)</f>
        <v>22840</v>
      </c>
      <c r="BB74" s="31" t="n">
        <f aca="false">IF($G74="",AQ74,S74)</f>
        <v>0</v>
      </c>
      <c r="BC74" s="31" t="n">
        <f aca="false">IF($G74="",AR74,T74)</f>
        <v>0</v>
      </c>
      <c r="BD74" s="31" t="n">
        <f aca="false">IF($G74="",AS74,U74)</f>
        <v>506</v>
      </c>
      <c r="BE74" s="31" t="n">
        <f aca="false">IF($G74="",AT74,V74)</f>
        <v>506</v>
      </c>
      <c r="BF74" s="31" t="n">
        <f aca="false">ROUNDDOWN(I74*設定!$B$10/1000,0)+ROUNDDOWN(I74*設定!$B$11/1000,0)</f>
        <v>0</v>
      </c>
      <c r="BG74" s="31" t="n">
        <f aca="false">ROUNDDOWN(I74*設定!$C$10/1000,0)+ROUNDDOWN(I74*設定!$C$11/1000,0)+ROUNDDOWN(I74*設定!$C$12/1000,0)</f>
        <v>0</v>
      </c>
      <c r="BH74" s="31" t="n">
        <f aca="false">ROUNDDOWN(J74*設定!$B$13/1000,0)</f>
        <v>0</v>
      </c>
      <c r="BI74" s="31" t="n">
        <f aca="false">ROUNDDOWN(J74*設定!$C$13/1000,0)</f>
        <v>0</v>
      </c>
      <c r="BJ74" s="31" t="n">
        <f aca="false">ROUNDDOWN(K74*設定!$B$14/1000,0)</f>
        <v>0</v>
      </c>
      <c r="BK74" s="31" t="n">
        <f aca="false">ROUNDDOWN(K74*設定!$C$14/1000,0)</f>
        <v>0</v>
      </c>
      <c r="BL74" s="31" t="n">
        <f aca="false">ROUNDDOWN(J74*設定!$B$15/1000,0)</f>
        <v>0</v>
      </c>
      <c r="BM74" s="31" t="n">
        <f aca="false">ROUNDDOWN(J74*設定!$C$15/1000,0)</f>
        <v>0</v>
      </c>
      <c r="BN74" s="31" t="n">
        <f aca="false">L74+M74</f>
        <v>43560</v>
      </c>
      <c r="BO74" s="31" t="n">
        <f aca="false">N74+O74+P74</f>
        <v>43598</v>
      </c>
      <c r="BP74" s="31" t="n">
        <f aca="false">Q74</f>
        <v>22818</v>
      </c>
      <c r="BQ74" s="31" t="n">
        <f aca="false">R74</f>
        <v>22840</v>
      </c>
      <c r="BR74" s="31" t="n">
        <f aca="false">S74</f>
        <v>0</v>
      </c>
      <c r="BS74" s="31" t="n">
        <f aca="false">T74</f>
        <v>0</v>
      </c>
      <c r="BT74" s="31" t="n">
        <f aca="false">U74</f>
        <v>506</v>
      </c>
      <c r="BU74" s="31" t="n">
        <f aca="false">V74</f>
        <v>506</v>
      </c>
      <c r="BV74" s="32" t="n">
        <f aca="false">IF(BF74=0,IF(BN74=0,0,1),(BN74-BF74)/BF74)</f>
        <v>1</v>
      </c>
      <c r="BW74" s="32" t="n">
        <f aca="false">IF(BG74=0,IF(BO74=0,0,1),(BO74-BG74)/BG74)</f>
        <v>1</v>
      </c>
      <c r="BX74" s="32" t="n">
        <f aca="false">IF(BH74=0,IF(BP74=0,0,1),(BP74-BH74)/BH74)</f>
        <v>1</v>
      </c>
      <c r="BY74" s="32" t="n">
        <f aca="false">IF(BI74=0,IF(BQ74=0,0,1),(BQ74-BI74)/BI74)</f>
        <v>1</v>
      </c>
      <c r="BZ74" s="32" t="n">
        <f aca="false">IF(BJ74=0,IF(BR74=0,0,1),(BR74-BJ74)/BJ74)</f>
        <v>0</v>
      </c>
      <c r="CA74" s="32" t="n">
        <f aca="false">IF(BK74=0,IF(BS74=0,0,1),(BS74-BK74)/BK74)</f>
        <v>0</v>
      </c>
      <c r="CB74" s="32" t="n">
        <f aca="false">IF(BL74=0,IF(BT74=0,0,1),(BT74-BL74)/BL74)</f>
        <v>1</v>
      </c>
      <c r="CC74" s="32" t="n">
        <f aca="false">IF(BM74=0,IF(BU74=0,0,1),(BU74-BM74)/BM74)</f>
        <v>1</v>
      </c>
      <c r="CD74" s="32" t="n">
        <f aca="false">MAX(MAX(BV74:CC74),-MIN(BV74:CC74))</f>
        <v>1</v>
      </c>
      <c r="CE74" s="31" t="n">
        <f aca="false">IF(CI74="","",SUMIFS($CF$7:$CF$696,$A$7:$A$696,CI74,$B$7:$B$696,B74))</f>
        <v>133828</v>
      </c>
      <c r="CF74" s="31" t="n">
        <f aca="false">SUM(AU74:BE74)</f>
        <v>133828</v>
      </c>
      <c r="CG74" s="33" t="str">
        <f aca="false">A74&amp;"|"&amp;B74</f>
        <v>2026-05 月例|地方公務員災害補償基金本部</v>
      </c>
      <c r="CH74" s="34" t="str">
        <f aca="false">IFERROR(INDEX(設定!$D$61:$D$106,MATCH(B74,設定!$B$61:$B$106,0)),"Y")</f>
        <v>Y</v>
      </c>
      <c r="CI74" s="34" t="str">
        <f aca="false">IFERROR(INDEX(設定!$D$20:$D$34,MATCH(A74,設定!$A$20:$A$34,0))&amp;"","")</f>
        <v>2026-04 月例</v>
      </c>
    </row>
    <row r="75" customFormat="false" ht="15" hidden="true" customHeight="false" outlineLevel="0" collapsed="false">
      <c r="A75" s="22" t="s">
        <v>207</v>
      </c>
      <c r="B75" s="23" t="s">
        <v>183</v>
      </c>
      <c r="C75" s="10" t="str">
        <f aca="false">IF(G75="","未受領",IF(G75="なし","報告なし",IF(AH75="○","起票済",IF(OR(AG75="○",F75="一致",F75="入金不要"),"入金確認済","受領済"))))</f>
        <v>入金確認済</v>
      </c>
      <c r="D75" s="10" t="str">
        <f aca="false">IF(OR(G75="",G75="なし"),"―",IF(CH75="N","対象外",IF(AND(I75="",J75="",K75=""),"標報未入力",IF(CD75&gt;=設定!$B$4,"要確認","問題なし"))))</f>
        <v>標報未入力</v>
      </c>
      <c r="E75" s="24" t="str">
        <f aca="false">IF(OR(G75="",G75="なし",CE75="",CF75=0),"―",IF(CF75=CE75,"前月同額",IF(CE75=0,"―",IF(ABS(CF75/CE75-1)&gt;=設定!$B$5,"変動大 "&amp;TEXT(CF75/CE75-1,"+0%;-0%"),"〇"))))</f>
        <v>前月同額</v>
      </c>
      <c r="F75" s="10" t="str">
        <f aca="false">IF(OR(G75="",G75="なし"),"―",IF(CF75=0,"入金不要",IF(COUNT(Z75,AB75,AD75,AF75)=0,IF(AG75="○","手動確認","未入金"),IF(AND(N(Z75)=Y75,IF(AA75="",TRUE(),N(AB75)=AA75),IF(AC75="",TRUE(),N(AD75)=AC75),IF(AE75="",TRUE(),N(AF75)=AE75)),"一致","不一致"))))</f>
        <v>手動確認</v>
      </c>
      <c r="G75" s="25" t="s">
        <v>159</v>
      </c>
      <c r="H75" s="26"/>
      <c r="I75" s="27"/>
      <c r="J75" s="27"/>
      <c r="K75" s="27"/>
      <c r="L75" s="27" t="n">
        <v>107970</v>
      </c>
      <c r="M75" s="27" t="n">
        <v>8850</v>
      </c>
      <c r="N75" s="27" t="n">
        <v>107970</v>
      </c>
      <c r="O75" s="27" t="n">
        <v>8850</v>
      </c>
      <c r="P75" s="27" t="n">
        <v>102</v>
      </c>
      <c r="Q75" s="27" t="n">
        <v>61194</v>
      </c>
      <c r="R75" s="27" t="n">
        <v>61253</v>
      </c>
      <c r="S75" s="27" t="n">
        <v>9322</v>
      </c>
      <c r="T75" s="27" t="n">
        <v>9322</v>
      </c>
      <c r="U75" s="27" t="n">
        <v>1356</v>
      </c>
      <c r="V75" s="27" t="n">
        <v>1357</v>
      </c>
      <c r="W75" s="10" t="str">
        <f aca="false">IFERROR(INDEX(設定!$E$61:$E$106,MATCH(B75,設定!$B$61:$B$106,0)),"合算")</f>
        <v>合算</v>
      </c>
      <c r="X75" s="28"/>
      <c r="Y75" s="29" t="n">
        <f aca="false">IF(OR(G75="",G75="なし"),"",IF(W75="合算",CF75,IF(W75="掛金・負担金別",(AU75+AV75+AZ75+BB75+BD75),SUM(AU75:AY75))))</f>
        <v>377546</v>
      </c>
      <c r="Z75" s="27"/>
      <c r="AA75" s="29" t="str">
        <f aca="false">IF(OR(G75="",G75="なし"),"",IF(W75="掛金・負担金別",(AW75+AX75+AY75+BA75+BC75+BE75),IF(W75="経理区分別",AZ75+BA75,"")))</f>
        <v/>
      </c>
      <c r="AB75" s="27"/>
      <c r="AC75" s="29" t="str">
        <f aca="false">IF(OR(G75="",G75="なし"),"",IF(W75="経理区分別",BB75+BC75,""))</f>
        <v/>
      </c>
      <c r="AD75" s="27"/>
      <c r="AE75" s="29" t="str">
        <f aca="false">IF(OR(G75="",G75="なし"),"",IF(W75="経理区分別",BD75+BE75,""))</f>
        <v/>
      </c>
      <c r="AF75" s="27"/>
      <c r="AG75" s="26" t="s">
        <v>160</v>
      </c>
      <c r="AH75" s="26"/>
      <c r="AI75" s="30"/>
      <c r="AJ75" s="31"/>
      <c r="AK75" s="31"/>
      <c r="AL75" s="31"/>
      <c r="AM75" s="31"/>
      <c r="AN75" s="31"/>
      <c r="AO75" s="31"/>
      <c r="AP75" s="31"/>
      <c r="AQ75" s="31"/>
      <c r="AR75" s="31"/>
      <c r="AS75" s="31"/>
      <c r="AT75" s="31"/>
      <c r="AU75" s="31" t="n">
        <f aca="false">IF($G75="",AJ75,L75)</f>
        <v>107970</v>
      </c>
      <c r="AV75" s="31" t="n">
        <f aca="false">IF($G75="",AK75,M75)</f>
        <v>8850</v>
      </c>
      <c r="AW75" s="31" t="n">
        <f aca="false">IF($G75="",AL75,N75)</f>
        <v>107970</v>
      </c>
      <c r="AX75" s="31" t="n">
        <f aca="false">IF($G75="",AM75,O75)</f>
        <v>8850</v>
      </c>
      <c r="AY75" s="31" t="n">
        <f aca="false">IF($G75="",AN75,P75)</f>
        <v>102</v>
      </c>
      <c r="AZ75" s="31" t="n">
        <f aca="false">IF($G75="",AO75,Q75)</f>
        <v>61194</v>
      </c>
      <c r="BA75" s="31" t="n">
        <f aca="false">IF($G75="",AP75,R75)</f>
        <v>61253</v>
      </c>
      <c r="BB75" s="31" t="n">
        <f aca="false">IF($G75="",AQ75,S75)</f>
        <v>9322</v>
      </c>
      <c r="BC75" s="31" t="n">
        <f aca="false">IF($G75="",AR75,T75)</f>
        <v>9322</v>
      </c>
      <c r="BD75" s="31" t="n">
        <f aca="false">IF($G75="",AS75,U75)</f>
        <v>1356</v>
      </c>
      <c r="BE75" s="31" t="n">
        <f aca="false">IF($G75="",AT75,V75)</f>
        <v>1357</v>
      </c>
      <c r="BF75" s="31" t="n">
        <f aca="false">ROUNDDOWN(I75*設定!$B$10/1000,0)+ROUNDDOWN(I75*設定!$B$11/1000,0)</f>
        <v>0</v>
      </c>
      <c r="BG75" s="31" t="n">
        <f aca="false">ROUNDDOWN(I75*設定!$C$10/1000,0)+ROUNDDOWN(I75*設定!$C$11/1000,0)+ROUNDDOWN(I75*設定!$C$12/1000,0)</f>
        <v>0</v>
      </c>
      <c r="BH75" s="31" t="n">
        <f aca="false">ROUNDDOWN(J75*設定!$B$13/1000,0)</f>
        <v>0</v>
      </c>
      <c r="BI75" s="31" t="n">
        <f aca="false">ROUNDDOWN(J75*設定!$C$13/1000,0)</f>
        <v>0</v>
      </c>
      <c r="BJ75" s="31" t="n">
        <f aca="false">ROUNDDOWN(K75*設定!$B$14/1000,0)</f>
        <v>0</v>
      </c>
      <c r="BK75" s="31" t="n">
        <f aca="false">ROUNDDOWN(K75*設定!$C$14/1000,0)</f>
        <v>0</v>
      </c>
      <c r="BL75" s="31" t="n">
        <f aca="false">ROUNDDOWN(J75*設定!$B$15/1000,0)</f>
        <v>0</v>
      </c>
      <c r="BM75" s="31" t="n">
        <f aca="false">ROUNDDOWN(J75*設定!$C$15/1000,0)</f>
        <v>0</v>
      </c>
      <c r="BN75" s="31" t="n">
        <f aca="false">L75+M75</f>
        <v>116820</v>
      </c>
      <c r="BO75" s="31" t="n">
        <f aca="false">N75+O75+P75</f>
        <v>116922</v>
      </c>
      <c r="BP75" s="31" t="n">
        <f aca="false">Q75</f>
        <v>61194</v>
      </c>
      <c r="BQ75" s="31" t="n">
        <f aca="false">R75</f>
        <v>61253</v>
      </c>
      <c r="BR75" s="31" t="n">
        <f aca="false">S75</f>
        <v>9322</v>
      </c>
      <c r="BS75" s="31" t="n">
        <f aca="false">T75</f>
        <v>9322</v>
      </c>
      <c r="BT75" s="31" t="n">
        <f aca="false">U75</f>
        <v>1356</v>
      </c>
      <c r="BU75" s="31" t="n">
        <f aca="false">V75</f>
        <v>1357</v>
      </c>
      <c r="BV75" s="32" t="n">
        <f aca="false">IF(BF75=0,IF(BN75=0,0,1),(BN75-BF75)/BF75)</f>
        <v>1</v>
      </c>
      <c r="BW75" s="32" t="n">
        <f aca="false">IF(BG75=0,IF(BO75=0,0,1),(BO75-BG75)/BG75)</f>
        <v>1</v>
      </c>
      <c r="BX75" s="32" t="n">
        <f aca="false">IF(BH75=0,IF(BP75=0,0,1),(BP75-BH75)/BH75)</f>
        <v>1</v>
      </c>
      <c r="BY75" s="32" t="n">
        <f aca="false">IF(BI75=0,IF(BQ75=0,0,1),(BQ75-BI75)/BI75)</f>
        <v>1</v>
      </c>
      <c r="BZ75" s="32" t="n">
        <f aca="false">IF(BJ75=0,IF(BR75=0,0,1),(BR75-BJ75)/BJ75)</f>
        <v>1</v>
      </c>
      <c r="CA75" s="32" t="n">
        <f aca="false">IF(BK75=0,IF(BS75=0,0,1),(BS75-BK75)/BK75)</f>
        <v>1</v>
      </c>
      <c r="CB75" s="32" t="n">
        <f aca="false">IF(BL75=0,IF(BT75=0,0,1),(BT75-BL75)/BL75)</f>
        <v>1</v>
      </c>
      <c r="CC75" s="32" t="n">
        <f aca="false">IF(BM75=0,IF(BU75=0,0,1),(BU75-BM75)/BM75)</f>
        <v>1</v>
      </c>
      <c r="CD75" s="32" t="n">
        <f aca="false">MAX(MAX(BV75:CC75),-MIN(BV75:CC75))</f>
        <v>1</v>
      </c>
      <c r="CE75" s="31" t="n">
        <f aca="false">IF(CI75="","",SUMIFS($CF$7:$CF$696,$A$7:$A$696,CI75,$B$7:$B$696,B75))</f>
        <v>377546</v>
      </c>
      <c r="CF75" s="31" t="n">
        <f aca="false">SUM(AU75:BE75)</f>
        <v>377546</v>
      </c>
      <c r="CG75" s="33" t="str">
        <f aca="false">A75&amp;"|"&amp;B75</f>
        <v>2026-05 月例|救急振興財団</v>
      </c>
      <c r="CH75" s="34" t="str">
        <f aca="false">IFERROR(INDEX(設定!$D$61:$D$106,MATCH(B75,設定!$B$61:$B$106,0)),"Y")</f>
        <v>Y</v>
      </c>
      <c r="CI75" s="34" t="str">
        <f aca="false">IFERROR(INDEX(設定!$D$20:$D$34,MATCH(A75,設定!$A$20:$A$34,0))&amp;"","")</f>
        <v>2026-04 月例</v>
      </c>
    </row>
    <row r="76" customFormat="false" ht="15" hidden="true" customHeight="false" outlineLevel="0" collapsed="false">
      <c r="A76" s="22" t="s">
        <v>207</v>
      </c>
      <c r="B76" s="23" t="s">
        <v>184</v>
      </c>
      <c r="C76" s="10" t="str">
        <f aca="false">IF(G76="","未受領",IF(G76="なし","報告なし",IF(AH76="○","起票済",IF(OR(AG76="○",F76="一致",F76="入金不要"),"入金確認済","受領済"))))</f>
        <v>入金確認済</v>
      </c>
      <c r="D76" s="10" t="str">
        <f aca="false">IF(OR(G76="",G76="なし"),"―",IF(CH76="N","対象外",IF(AND(I76="",J76="",K76=""),"標報未入力",IF(CD76&gt;=設定!$B$4,"要確認","問題なし"))))</f>
        <v>標報未入力</v>
      </c>
      <c r="E76" s="24" t="str">
        <f aca="false">IF(OR(G76="",G76="なし",CE76="",CF76=0),"―",IF(CF76=CE76,"前月同額",IF(CE76=0,"―",IF(ABS(CF76/CE76-1)&gt;=設定!$B$5,"変動大 "&amp;TEXT(CF76/CE76-1,"+0%;-0%"),"〇"))))</f>
        <v>〇</v>
      </c>
      <c r="F76" s="10" t="str">
        <f aca="false">IF(OR(G76="",G76="なし"),"―",IF(CF76=0,"入金不要",IF(COUNT(Z76,AB76,AD76,AF76)=0,IF(AG76="○","手動確認","未入金"),IF(AND(N(Z76)=Y76,IF(AA76="",TRUE(),N(AB76)=AA76),IF(AC76="",TRUE(),N(AD76)=AC76),IF(AE76="",TRUE(),N(AF76)=AE76)),"一致","不一致"))))</f>
        <v>手動確認</v>
      </c>
      <c r="G76" s="25" t="s">
        <v>159</v>
      </c>
      <c r="H76" s="26"/>
      <c r="I76" s="27"/>
      <c r="J76" s="27"/>
      <c r="K76" s="27"/>
      <c r="L76" s="27" t="n">
        <v>746640</v>
      </c>
      <c r="M76" s="27" t="n">
        <v>61200</v>
      </c>
      <c r="N76" s="27" t="n">
        <v>784155</v>
      </c>
      <c r="O76" s="27" t="n">
        <v>64275</v>
      </c>
      <c r="P76" s="27" t="n">
        <v>804</v>
      </c>
      <c r="Q76" s="27" t="n">
        <v>423172</v>
      </c>
      <c r="R76" s="27" t="n">
        <v>444868</v>
      </c>
      <c r="S76" s="27" t="n">
        <v>39342</v>
      </c>
      <c r="T76" s="27" t="n">
        <v>39342</v>
      </c>
      <c r="U76" s="27" t="n">
        <v>9380</v>
      </c>
      <c r="V76" s="27" t="n">
        <v>9855</v>
      </c>
      <c r="W76" s="10" t="str">
        <f aca="false">IFERROR(INDEX(設定!$E$61:$E$106,MATCH(B76,設定!$B$61:$B$106,0)),"合算")</f>
        <v>合算</v>
      </c>
      <c r="X76" s="28"/>
      <c r="Y76" s="29" t="n">
        <f aca="false">IF(OR(G76="",G76="なし"),"",IF(W76="合算",CF76,IF(W76="掛金・負担金別",(AU76+AV76+AZ76+BB76+BD76),SUM(AU76:AY76))))</f>
        <v>2623033</v>
      </c>
      <c r="Z76" s="27"/>
      <c r="AA76" s="29" t="str">
        <f aca="false">IF(OR(G76="",G76="なし"),"",IF(W76="掛金・負担金別",(AW76+AX76+AY76+BA76+BC76+BE76),IF(W76="経理区分別",AZ76+BA76,"")))</f>
        <v/>
      </c>
      <c r="AB76" s="27"/>
      <c r="AC76" s="29" t="str">
        <f aca="false">IF(OR(G76="",G76="なし"),"",IF(W76="経理区分別",BB76+BC76,""))</f>
        <v/>
      </c>
      <c r="AD76" s="27"/>
      <c r="AE76" s="29" t="str">
        <f aca="false">IF(OR(G76="",G76="なし"),"",IF(W76="経理区分別",BD76+BE76,""))</f>
        <v/>
      </c>
      <c r="AF76" s="27"/>
      <c r="AG76" s="26" t="s">
        <v>160</v>
      </c>
      <c r="AH76" s="26"/>
      <c r="AI76" s="30"/>
      <c r="AJ76" s="31"/>
      <c r="AK76" s="31"/>
      <c r="AL76" s="31"/>
      <c r="AM76" s="31"/>
      <c r="AN76" s="31"/>
      <c r="AO76" s="31"/>
      <c r="AP76" s="31"/>
      <c r="AQ76" s="31"/>
      <c r="AR76" s="31"/>
      <c r="AS76" s="31"/>
      <c r="AT76" s="31"/>
      <c r="AU76" s="31" t="n">
        <f aca="false">IF($G76="",AJ76,L76)</f>
        <v>746640</v>
      </c>
      <c r="AV76" s="31" t="n">
        <f aca="false">IF($G76="",AK76,M76)</f>
        <v>61200</v>
      </c>
      <c r="AW76" s="31" t="n">
        <f aca="false">IF($G76="",AL76,N76)</f>
        <v>784155</v>
      </c>
      <c r="AX76" s="31" t="n">
        <f aca="false">IF($G76="",AM76,O76)</f>
        <v>64275</v>
      </c>
      <c r="AY76" s="31" t="n">
        <f aca="false">IF($G76="",AN76,P76)</f>
        <v>804</v>
      </c>
      <c r="AZ76" s="31" t="n">
        <f aca="false">IF($G76="",AO76,Q76)</f>
        <v>423172</v>
      </c>
      <c r="BA76" s="31" t="n">
        <f aca="false">IF($G76="",AP76,R76)</f>
        <v>444868</v>
      </c>
      <c r="BB76" s="31" t="n">
        <f aca="false">IF($G76="",AQ76,S76)</f>
        <v>39342</v>
      </c>
      <c r="BC76" s="31" t="n">
        <f aca="false">IF($G76="",AR76,T76)</f>
        <v>39342</v>
      </c>
      <c r="BD76" s="31" t="n">
        <f aca="false">IF($G76="",AS76,U76)</f>
        <v>9380</v>
      </c>
      <c r="BE76" s="31" t="n">
        <f aca="false">IF($G76="",AT76,V76)</f>
        <v>9855</v>
      </c>
      <c r="BF76" s="31" t="n">
        <f aca="false">ROUNDDOWN(I76*設定!$B$10/1000,0)+ROUNDDOWN(I76*設定!$B$11/1000,0)</f>
        <v>0</v>
      </c>
      <c r="BG76" s="31" t="n">
        <f aca="false">ROUNDDOWN(I76*設定!$C$10/1000,0)+ROUNDDOWN(I76*設定!$C$11/1000,0)+ROUNDDOWN(I76*設定!$C$12/1000,0)</f>
        <v>0</v>
      </c>
      <c r="BH76" s="31" t="n">
        <f aca="false">ROUNDDOWN(J76*設定!$B$13/1000,0)</f>
        <v>0</v>
      </c>
      <c r="BI76" s="31" t="n">
        <f aca="false">ROUNDDOWN(J76*設定!$C$13/1000,0)</f>
        <v>0</v>
      </c>
      <c r="BJ76" s="31" t="n">
        <f aca="false">ROUNDDOWN(K76*設定!$B$14/1000,0)</f>
        <v>0</v>
      </c>
      <c r="BK76" s="31" t="n">
        <f aca="false">ROUNDDOWN(K76*設定!$C$14/1000,0)</f>
        <v>0</v>
      </c>
      <c r="BL76" s="31" t="n">
        <f aca="false">ROUNDDOWN(J76*設定!$B$15/1000,0)</f>
        <v>0</v>
      </c>
      <c r="BM76" s="31" t="n">
        <f aca="false">ROUNDDOWN(J76*設定!$C$15/1000,0)</f>
        <v>0</v>
      </c>
      <c r="BN76" s="31" t="n">
        <f aca="false">L76+M76</f>
        <v>807840</v>
      </c>
      <c r="BO76" s="31" t="n">
        <f aca="false">N76+O76+P76</f>
        <v>849234</v>
      </c>
      <c r="BP76" s="31" t="n">
        <f aca="false">Q76</f>
        <v>423172</v>
      </c>
      <c r="BQ76" s="31" t="n">
        <f aca="false">R76</f>
        <v>444868</v>
      </c>
      <c r="BR76" s="31" t="n">
        <f aca="false">S76</f>
        <v>39342</v>
      </c>
      <c r="BS76" s="31" t="n">
        <f aca="false">T76</f>
        <v>39342</v>
      </c>
      <c r="BT76" s="31" t="n">
        <f aca="false">U76</f>
        <v>9380</v>
      </c>
      <c r="BU76" s="31" t="n">
        <f aca="false">V76</f>
        <v>9855</v>
      </c>
      <c r="BV76" s="32" t="n">
        <f aca="false">IF(BF76=0,IF(BN76=0,0,1),(BN76-BF76)/BF76)</f>
        <v>1</v>
      </c>
      <c r="BW76" s="32" t="n">
        <f aca="false">IF(BG76=0,IF(BO76=0,0,1),(BO76-BG76)/BG76)</f>
        <v>1</v>
      </c>
      <c r="BX76" s="32" t="n">
        <f aca="false">IF(BH76=0,IF(BP76=0,0,1),(BP76-BH76)/BH76)</f>
        <v>1</v>
      </c>
      <c r="BY76" s="32" t="n">
        <f aca="false">IF(BI76=0,IF(BQ76=0,0,1),(BQ76-BI76)/BI76)</f>
        <v>1</v>
      </c>
      <c r="BZ76" s="32" t="n">
        <f aca="false">IF(BJ76=0,IF(BR76=0,0,1),(BR76-BJ76)/BJ76)</f>
        <v>1</v>
      </c>
      <c r="CA76" s="32" t="n">
        <f aca="false">IF(BK76=0,IF(BS76=0,0,1),(BS76-BK76)/BK76)</f>
        <v>1</v>
      </c>
      <c r="CB76" s="32" t="n">
        <f aca="false">IF(BL76=0,IF(BT76=0,0,1),(BT76-BL76)/BL76)</f>
        <v>1</v>
      </c>
      <c r="CC76" s="32" t="n">
        <f aca="false">IF(BM76=0,IF(BU76=0,0,1),(BU76-BM76)/BM76)</f>
        <v>1</v>
      </c>
      <c r="CD76" s="32" t="n">
        <f aca="false">MAX(MAX(BV76:CC76),-MIN(BV76:CC76))</f>
        <v>1</v>
      </c>
      <c r="CE76" s="31" t="n">
        <f aca="false">IF(CI76="","",SUMIFS($CF$7:$CF$696,$A$7:$A$696,CI76,$B$7:$B$696,B76))</f>
        <v>2685356</v>
      </c>
      <c r="CF76" s="31" t="n">
        <f aca="false">SUM(AU76:BE76)</f>
        <v>2623033</v>
      </c>
      <c r="CG76" s="33" t="str">
        <f aca="false">A76&amp;"|"&amp;B76</f>
        <v>2026-05 月例|高速道路公社</v>
      </c>
      <c r="CH76" s="34" t="str">
        <f aca="false">IFERROR(INDEX(設定!$D$61:$D$106,MATCH(B76,設定!$B$61:$B$106,0)),"Y")</f>
        <v>Y</v>
      </c>
      <c r="CI76" s="34" t="str">
        <f aca="false">IFERROR(INDEX(設定!$D$20:$D$34,MATCH(A76,設定!$A$20:$A$34,0))&amp;"","")</f>
        <v>2026-04 月例</v>
      </c>
    </row>
    <row r="77" customFormat="false" ht="15" hidden="true" customHeight="false" outlineLevel="0" collapsed="false">
      <c r="A77" s="22" t="s">
        <v>207</v>
      </c>
      <c r="B77" s="23" t="s">
        <v>185</v>
      </c>
      <c r="C77" s="10" t="str">
        <f aca="false">IF(G77="","未受領",IF(G77="なし","報告なし",IF(AH77="○","起票済",IF(OR(AG77="○",F77="一致",F77="入金不要"),"入金確認済","受領済"))))</f>
        <v>入金確認済</v>
      </c>
      <c r="D77" s="10" t="str">
        <f aca="false">IF(OR(G77="",G77="なし"),"―",IF(CH77="N","対象外",IF(AND(I77="",J77="",K77=""),"標報未入力",IF(CD77&gt;=設定!$B$4,"要確認","問題なし"))))</f>
        <v>標報未入力</v>
      </c>
      <c r="E77" s="24" t="str">
        <f aca="false">IF(OR(G77="",G77="なし",CE77="",CF77=0),"―",IF(CF77=CE77,"前月同額",IF(CE77=0,"―",IF(ABS(CF77/CE77-1)&gt;=設定!$B$5,"変動大 "&amp;TEXT(CF77/CE77-1,"+0%;-0%"),"〇"))))</f>
        <v>〇</v>
      </c>
      <c r="F77" s="10" t="str">
        <f aca="false">IF(OR(G77="",G77="なし"),"―",IF(CF77=0,"入金不要",IF(COUNT(Z77,AB77,AD77,AF77)=0,IF(AG77="○","手動確認","未入金"),IF(AND(N(Z77)=Y77,IF(AA77="",TRUE(),N(AB77)=AA77),IF(AC77="",TRUE(),N(AD77)=AC77),IF(AE77="",TRUE(),N(AF77)=AE77)),"一致","不一致"))))</f>
        <v>手動確認</v>
      </c>
      <c r="G77" s="25" t="s">
        <v>159</v>
      </c>
      <c r="H77" s="26"/>
      <c r="I77" s="27"/>
      <c r="J77" s="27"/>
      <c r="K77" s="27"/>
      <c r="L77" s="27"/>
      <c r="M77" s="27"/>
      <c r="N77" s="27" t="n">
        <v>607560</v>
      </c>
      <c r="O77" s="27" t="n">
        <v>49800</v>
      </c>
      <c r="P77" s="27" t="n">
        <v>603</v>
      </c>
      <c r="Q77" s="27"/>
      <c r="R77" s="27" t="n">
        <v>344697</v>
      </c>
      <c r="S77" s="27"/>
      <c r="T77" s="27" t="n">
        <v>28203</v>
      </c>
      <c r="U77" s="27"/>
      <c r="V77" s="27" t="n">
        <v>7634</v>
      </c>
      <c r="W77" s="10" t="str">
        <f aca="false">IFERROR(INDEX(設定!$E$61:$E$106,MATCH(B77,設定!$B$61:$B$106,0)),"合算")</f>
        <v>合算</v>
      </c>
      <c r="X77" s="28"/>
      <c r="Y77" s="29" t="n">
        <f aca="false">IF(OR(G77="",G77="なし"),"",IF(W77="合算",CF77,IF(W77="掛金・負担金別",(AU77+AV77+AZ77+BB77+BD77),SUM(AU77:AY77))))</f>
        <v>1038497</v>
      </c>
      <c r="Z77" s="27"/>
      <c r="AA77" s="29" t="str">
        <f aca="false">IF(OR(G77="",G77="なし"),"",IF(W77="掛金・負担金別",(AW77+AX77+AY77+BA77+BC77+BE77),IF(W77="経理区分別",AZ77+BA77,"")))</f>
        <v/>
      </c>
      <c r="AB77" s="27"/>
      <c r="AC77" s="29" t="str">
        <f aca="false">IF(OR(G77="",G77="なし"),"",IF(W77="経理区分別",BB77+BC77,""))</f>
        <v/>
      </c>
      <c r="AD77" s="27"/>
      <c r="AE77" s="29" t="str">
        <f aca="false">IF(OR(G77="",G77="なし"),"",IF(W77="経理区分別",BD77+BE77,""))</f>
        <v/>
      </c>
      <c r="AF77" s="27"/>
      <c r="AG77" s="26" t="s">
        <v>160</v>
      </c>
      <c r="AH77" s="26"/>
      <c r="AI77" s="30"/>
      <c r="AJ77" s="31"/>
      <c r="AK77" s="31"/>
      <c r="AL77" s="31"/>
      <c r="AM77" s="31"/>
      <c r="AN77" s="31"/>
      <c r="AO77" s="31"/>
      <c r="AP77" s="31"/>
      <c r="AQ77" s="31"/>
      <c r="AR77" s="31"/>
      <c r="AS77" s="31"/>
      <c r="AT77" s="31"/>
      <c r="AU77" s="31" t="n">
        <f aca="false">IF($G77="",AJ77,L77)</f>
        <v>0</v>
      </c>
      <c r="AV77" s="31" t="n">
        <f aca="false">IF($G77="",AK77,M77)</f>
        <v>0</v>
      </c>
      <c r="AW77" s="31" t="n">
        <f aca="false">IF($G77="",AL77,N77)</f>
        <v>607560</v>
      </c>
      <c r="AX77" s="31" t="n">
        <f aca="false">IF($G77="",AM77,O77)</f>
        <v>49800</v>
      </c>
      <c r="AY77" s="31" t="n">
        <f aca="false">IF($G77="",AN77,P77)</f>
        <v>603</v>
      </c>
      <c r="AZ77" s="31" t="n">
        <f aca="false">IF($G77="",AO77,Q77)</f>
        <v>0</v>
      </c>
      <c r="BA77" s="31" t="n">
        <f aca="false">IF($G77="",AP77,R77)</f>
        <v>344697</v>
      </c>
      <c r="BB77" s="31" t="n">
        <f aca="false">IF($G77="",AQ77,S77)</f>
        <v>0</v>
      </c>
      <c r="BC77" s="31" t="n">
        <f aca="false">IF($G77="",AR77,T77)</f>
        <v>28203</v>
      </c>
      <c r="BD77" s="31" t="n">
        <f aca="false">IF($G77="",AS77,U77)</f>
        <v>0</v>
      </c>
      <c r="BE77" s="31" t="n">
        <f aca="false">IF($G77="",AT77,V77)</f>
        <v>7634</v>
      </c>
      <c r="BF77" s="31" t="n">
        <f aca="false">ROUNDDOWN(I77*設定!$B$10/1000,0)+ROUNDDOWN(I77*設定!$B$11/1000,0)</f>
        <v>0</v>
      </c>
      <c r="BG77" s="31" t="n">
        <f aca="false">ROUNDDOWN(I77*設定!$C$10/1000,0)+ROUNDDOWN(I77*設定!$C$11/1000,0)+ROUNDDOWN(I77*設定!$C$12/1000,0)</f>
        <v>0</v>
      </c>
      <c r="BH77" s="31" t="n">
        <f aca="false">ROUNDDOWN(J77*設定!$B$13/1000,0)</f>
        <v>0</v>
      </c>
      <c r="BI77" s="31" t="n">
        <f aca="false">ROUNDDOWN(J77*設定!$C$13/1000,0)</f>
        <v>0</v>
      </c>
      <c r="BJ77" s="31" t="n">
        <f aca="false">ROUNDDOWN(K77*設定!$B$14/1000,0)</f>
        <v>0</v>
      </c>
      <c r="BK77" s="31" t="n">
        <f aca="false">ROUNDDOWN(K77*設定!$C$14/1000,0)</f>
        <v>0</v>
      </c>
      <c r="BL77" s="31" t="n">
        <f aca="false">ROUNDDOWN(J77*設定!$B$15/1000,0)</f>
        <v>0</v>
      </c>
      <c r="BM77" s="31" t="n">
        <f aca="false">ROUNDDOWN(J77*設定!$C$15/1000,0)</f>
        <v>0</v>
      </c>
      <c r="BN77" s="31" t="n">
        <f aca="false">L77+M77</f>
        <v>0</v>
      </c>
      <c r="BO77" s="31" t="n">
        <f aca="false">N77+O77+P77</f>
        <v>657963</v>
      </c>
      <c r="BP77" s="31" t="n">
        <f aca="false">Q77</f>
        <v>0</v>
      </c>
      <c r="BQ77" s="31" t="n">
        <f aca="false">R77</f>
        <v>344697</v>
      </c>
      <c r="BR77" s="31" t="n">
        <f aca="false">S77</f>
        <v>0</v>
      </c>
      <c r="BS77" s="31" t="n">
        <f aca="false">T77</f>
        <v>28203</v>
      </c>
      <c r="BT77" s="31" t="n">
        <f aca="false">U77</f>
        <v>0</v>
      </c>
      <c r="BU77" s="31" t="n">
        <f aca="false">V77</f>
        <v>7634</v>
      </c>
      <c r="BV77" s="32" t="n">
        <f aca="false">IF(BF77=0,IF(BN77=0,0,1),(BN77-BF77)/BF77)</f>
        <v>0</v>
      </c>
      <c r="BW77" s="32" t="n">
        <f aca="false">IF(BG77=0,IF(BO77=0,0,1),(BO77-BG77)/BG77)</f>
        <v>1</v>
      </c>
      <c r="BX77" s="32" t="n">
        <f aca="false">IF(BH77=0,IF(BP77=0,0,1),(BP77-BH77)/BH77)</f>
        <v>0</v>
      </c>
      <c r="BY77" s="32" t="n">
        <f aca="false">IF(BI77=0,IF(BQ77=0,0,1),(BQ77-BI77)/BI77)</f>
        <v>1</v>
      </c>
      <c r="BZ77" s="32" t="n">
        <f aca="false">IF(BJ77=0,IF(BR77=0,0,1),(BR77-BJ77)/BJ77)</f>
        <v>0</v>
      </c>
      <c r="CA77" s="32" t="n">
        <f aca="false">IF(BK77=0,IF(BS77=0,0,1),(BS77-BK77)/BK77)</f>
        <v>1</v>
      </c>
      <c r="CB77" s="32" t="n">
        <f aca="false">IF(BL77=0,IF(BT77=0,0,1),(BT77-BL77)/BL77)</f>
        <v>0</v>
      </c>
      <c r="CC77" s="32" t="n">
        <f aca="false">IF(BM77=0,IF(BU77=0,0,1),(BU77-BM77)/BM77)</f>
        <v>1</v>
      </c>
      <c r="CD77" s="32" t="n">
        <f aca="false">MAX(MAX(BV77:CC77),-MIN(BV77:CC77))</f>
        <v>1</v>
      </c>
      <c r="CE77" s="31" t="n">
        <f aca="false">IF(CI77="","",SUMIFS($CF$7:$CF$696,$A$7:$A$696,CI77,$B$7:$B$696,B77))</f>
        <v>1029368</v>
      </c>
      <c r="CF77" s="31" t="n">
        <f aca="false">SUM(AU77:BE77)</f>
        <v>1038497</v>
      </c>
      <c r="CG77" s="33" t="str">
        <f aca="false">A77&amp;"|"&amp;B77</f>
        <v>2026-05 月例|農林水産振興センタ</v>
      </c>
      <c r="CH77" s="34" t="str">
        <f aca="false">IFERROR(INDEX(設定!$D$61:$D$106,MATCH(B77,設定!$B$61:$B$106,0)),"Y")</f>
        <v>Y</v>
      </c>
      <c r="CI77" s="34" t="str">
        <f aca="false">IFERROR(INDEX(設定!$D$20:$D$34,MATCH(A77,設定!$A$20:$A$34,0))&amp;"","")</f>
        <v>2026-04 月例</v>
      </c>
    </row>
    <row r="78" customFormat="false" ht="15" hidden="true" customHeight="false" outlineLevel="0" collapsed="false">
      <c r="A78" s="22" t="s">
        <v>207</v>
      </c>
      <c r="B78" s="23" t="s">
        <v>186</v>
      </c>
      <c r="C78" s="10" t="str">
        <f aca="false">IF(G78="","未受領",IF(G78="なし","報告なし",IF(AH78="○","起票済",IF(OR(AG78="○",F78="一致",F78="入金不要"),"入金確認済","受領済"))))</f>
        <v>入金確認済</v>
      </c>
      <c r="D78" s="10" t="str">
        <f aca="false">IF(OR(G78="",G78="なし"),"―",IF(CH78="N","対象外",IF(AND(I78="",J78="",K78=""),"標報未入力",IF(CD78&gt;=設定!$B$4,"要確認","問題なし"))))</f>
        <v>標報未入力</v>
      </c>
      <c r="E78" s="24" t="str">
        <f aca="false">IF(OR(G78="",G78="なし",CE78="",CF78=0),"―",IF(CF78=CE78,"前月同額",IF(CE78=0,"―",IF(ABS(CF78/CE78-1)&gt;=設定!$B$5,"変動大 "&amp;TEXT(CF78/CE78-1,"+0%;-0%"),"〇"))))</f>
        <v>前月同額</v>
      </c>
      <c r="F78" s="10" t="str">
        <f aca="false">IF(OR(G78="",G78="なし"),"―",IF(CF78=0,"入金不要",IF(COUNT(Z78,AB78,AD78,AF78)=0,IF(AG78="○","手動確認","未入金"),IF(AND(N(Z78)=Y78,IF(AA78="",TRUE(),N(AB78)=AA78),IF(AC78="",TRUE(),N(AD78)=AC78),IF(AE78="",TRUE(),N(AF78)=AE78)),"一致","不一致"))))</f>
        <v>手動確認</v>
      </c>
      <c r="G78" s="25" t="s">
        <v>159</v>
      </c>
      <c r="H78" s="26"/>
      <c r="I78" s="27"/>
      <c r="J78" s="27"/>
      <c r="K78" s="27"/>
      <c r="L78" s="27"/>
      <c r="M78" s="27"/>
      <c r="N78" s="27" t="n">
        <v>1056825</v>
      </c>
      <c r="O78" s="27" t="n">
        <v>86625</v>
      </c>
      <c r="P78" s="27" t="n">
        <v>1000</v>
      </c>
      <c r="Q78" s="27"/>
      <c r="R78" s="27" t="n">
        <v>602672</v>
      </c>
      <c r="S78" s="27"/>
      <c r="T78" s="27" t="n">
        <v>86347</v>
      </c>
      <c r="U78" s="27"/>
      <c r="V78" s="27" t="n">
        <v>13350</v>
      </c>
      <c r="W78" s="10" t="str">
        <f aca="false">IFERROR(INDEX(設定!$E$61:$E$106,MATCH(B78,設定!$B$61:$B$106,0)),"合算")</f>
        <v>合算</v>
      </c>
      <c r="X78" s="28"/>
      <c r="Y78" s="29" t="n">
        <f aca="false">IF(OR(G78="",G78="なし"),"",IF(W78="合算",CF78,IF(W78="掛金・負担金別",(AU78+AV78+AZ78+BB78+BD78),SUM(AU78:AY78))))</f>
        <v>1846819</v>
      </c>
      <c r="Z78" s="27"/>
      <c r="AA78" s="29" t="str">
        <f aca="false">IF(OR(G78="",G78="なし"),"",IF(W78="掛金・負担金別",(AW78+AX78+AY78+BA78+BC78+BE78),IF(W78="経理区分別",AZ78+BA78,"")))</f>
        <v/>
      </c>
      <c r="AB78" s="27"/>
      <c r="AC78" s="29" t="str">
        <f aca="false">IF(OR(G78="",G78="なし"),"",IF(W78="経理区分別",BB78+BC78,""))</f>
        <v/>
      </c>
      <c r="AD78" s="27"/>
      <c r="AE78" s="29" t="str">
        <f aca="false">IF(OR(G78="",G78="なし"),"",IF(W78="経理区分別",BD78+BE78,""))</f>
        <v/>
      </c>
      <c r="AF78" s="27"/>
      <c r="AG78" s="26" t="s">
        <v>160</v>
      </c>
      <c r="AH78" s="26"/>
      <c r="AI78" s="30"/>
      <c r="AJ78" s="31"/>
      <c r="AK78" s="31"/>
      <c r="AL78" s="31"/>
      <c r="AM78" s="31"/>
      <c r="AN78" s="31"/>
      <c r="AO78" s="31"/>
      <c r="AP78" s="31"/>
      <c r="AQ78" s="31"/>
      <c r="AR78" s="31"/>
      <c r="AS78" s="31"/>
      <c r="AT78" s="31"/>
      <c r="AU78" s="31" t="n">
        <f aca="false">IF($G78="",AJ78,L78)</f>
        <v>0</v>
      </c>
      <c r="AV78" s="31" t="n">
        <f aca="false">IF($G78="",AK78,M78)</f>
        <v>0</v>
      </c>
      <c r="AW78" s="31" t="n">
        <f aca="false">IF($G78="",AL78,N78)</f>
        <v>1056825</v>
      </c>
      <c r="AX78" s="31" t="n">
        <f aca="false">IF($G78="",AM78,O78)</f>
        <v>86625</v>
      </c>
      <c r="AY78" s="31" t="n">
        <f aca="false">IF($G78="",AN78,P78)</f>
        <v>1000</v>
      </c>
      <c r="AZ78" s="31" t="n">
        <f aca="false">IF($G78="",AO78,Q78)</f>
        <v>0</v>
      </c>
      <c r="BA78" s="31" t="n">
        <f aca="false">IF($G78="",AP78,R78)</f>
        <v>602672</v>
      </c>
      <c r="BB78" s="31" t="n">
        <f aca="false">IF($G78="",AQ78,S78)</f>
        <v>0</v>
      </c>
      <c r="BC78" s="31" t="n">
        <f aca="false">IF($G78="",AR78,T78)</f>
        <v>86347</v>
      </c>
      <c r="BD78" s="31" t="n">
        <f aca="false">IF($G78="",AS78,U78)</f>
        <v>0</v>
      </c>
      <c r="BE78" s="31" t="n">
        <f aca="false">IF($G78="",AT78,V78)</f>
        <v>13350</v>
      </c>
      <c r="BF78" s="31" t="n">
        <f aca="false">ROUNDDOWN(I78*設定!$B$10/1000,0)+ROUNDDOWN(I78*設定!$B$11/1000,0)</f>
        <v>0</v>
      </c>
      <c r="BG78" s="31" t="n">
        <f aca="false">ROUNDDOWN(I78*設定!$C$10/1000,0)+ROUNDDOWN(I78*設定!$C$11/1000,0)+ROUNDDOWN(I78*設定!$C$12/1000,0)</f>
        <v>0</v>
      </c>
      <c r="BH78" s="31" t="n">
        <f aca="false">ROUNDDOWN(J78*設定!$B$13/1000,0)</f>
        <v>0</v>
      </c>
      <c r="BI78" s="31" t="n">
        <f aca="false">ROUNDDOWN(J78*設定!$C$13/1000,0)</f>
        <v>0</v>
      </c>
      <c r="BJ78" s="31" t="n">
        <f aca="false">ROUNDDOWN(K78*設定!$B$14/1000,0)</f>
        <v>0</v>
      </c>
      <c r="BK78" s="31" t="n">
        <f aca="false">ROUNDDOWN(K78*設定!$C$14/1000,0)</f>
        <v>0</v>
      </c>
      <c r="BL78" s="31" t="n">
        <f aca="false">ROUNDDOWN(J78*設定!$B$15/1000,0)</f>
        <v>0</v>
      </c>
      <c r="BM78" s="31" t="n">
        <f aca="false">ROUNDDOWN(J78*設定!$C$15/1000,0)</f>
        <v>0</v>
      </c>
      <c r="BN78" s="31" t="n">
        <f aca="false">L78+M78</f>
        <v>0</v>
      </c>
      <c r="BO78" s="31" t="n">
        <f aca="false">N78+O78+P78</f>
        <v>1144450</v>
      </c>
      <c r="BP78" s="31" t="n">
        <f aca="false">Q78</f>
        <v>0</v>
      </c>
      <c r="BQ78" s="31" t="n">
        <f aca="false">R78</f>
        <v>602672</v>
      </c>
      <c r="BR78" s="31" t="n">
        <f aca="false">S78</f>
        <v>0</v>
      </c>
      <c r="BS78" s="31" t="n">
        <f aca="false">T78</f>
        <v>86347</v>
      </c>
      <c r="BT78" s="31" t="n">
        <f aca="false">U78</f>
        <v>0</v>
      </c>
      <c r="BU78" s="31" t="n">
        <f aca="false">V78</f>
        <v>13350</v>
      </c>
      <c r="BV78" s="32" t="n">
        <f aca="false">IF(BF78=0,IF(BN78=0,0,1),(BN78-BF78)/BF78)</f>
        <v>0</v>
      </c>
      <c r="BW78" s="32" t="n">
        <f aca="false">IF(BG78=0,IF(BO78=0,0,1),(BO78-BG78)/BG78)</f>
        <v>1</v>
      </c>
      <c r="BX78" s="32" t="n">
        <f aca="false">IF(BH78=0,IF(BP78=0,0,1),(BP78-BH78)/BH78)</f>
        <v>0</v>
      </c>
      <c r="BY78" s="32" t="n">
        <f aca="false">IF(BI78=0,IF(BQ78=0,0,1),(BQ78-BI78)/BI78)</f>
        <v>1</v>
      </c>
      <c r="BZ78" s="32" t="n">
        <f aca="false">IF(BJ78=0,IF(BR78=0,0,1),(BR78-BJ78)/BJ78)</f>
        <v>0</v>
      </c>
      <c r="CA78" s="32" t="n">
        <f aca="false">IF(BK78=0,IF(BS78=0,0,1),(BS78-BK78)/BK78)</f>
        <v>1</v>
      </c>
      <c r="CB78" s="32" t="n">
        <f aca="false">IF(BL78=0,IF(BT78=0,0,1),(BT78-BL78)/BL78)</f>
        <v>0</v>
      </c>
      <c r="CC78" s="32" t="n">
        <f aca="false">IF(BM78=0,IF(BU78=0,0,1),(BU78-BM78)/BM78)</f>
        <v>1</v>
      </c>
      <c r="CD78" s="32" t="n">
        <f aca="false">MAX(MAX(BV78:CC78),-MIN(BV78:CC78))</f>
        <v>1</v>
      </c>
      <c r="CE78" s="31" t="n">
        <f aca="false">IF(CI78="","",SUMIFS($CF$7:$CF$696,$A$7:$A$696,CI78,$B$7:$B$696,B78))</f>
        <v>1846819</v>
      </c>
      <c r="CF78" s="31" t="n">
        <f aca="false">SUM(AU78:BE78)</f>
        <v>1846819</v>
      </c>
      <c r="CG78" s="33" t="str">
        <f aca="false">A78&amp;"|"&amp;B78</f>
        <v>2026-05 月例|文化財団　市長部局</v>
      </c>
      <c r="CH78" s="34" t="str">
        <f aca="false">IFERROR(INDEX(設定!$D$61:$D$106,MATCH(B78,設定!$B$61:$B$106,0)),"Y")</f>
        <v>Y</v>
      </c>
      <c r="CI78" s="34" t="str">
        <f aca="false">IFERROR(INDEX(設定!$D$20:$D$34,MATCH(A78,設定!$A$20:$A$34,0))&amp;"","")</f>
        <v>2026-04 月例</v>
      </c>
    </row>
    <row r="79" customFormat="false" ht="15" hidden="true" customHeight="false" outlineLevel="0" collapsed="false">
      <c r="A79" s="22" t="s">
        <v>207</v>
      </c>
      <c r="B79" s="23" t="s">
        <v>187</v>
      </c>
      <c r="C79" s="10" t="str">
        <f aca="false">IF(G79="","未受領",IF(G79="なし","報告なし",IF(AH79="○","起票済",IF(OR(AG79="○",F79="一致",F79="入金不要"),"入金確認済","受領済"))))</f>
        <v>入金確認済</v>
      </c>
      <c r="D79" s="10" t="str">
        <f aca="false">IF(OR(G79="",G79="なし"),"―",IF(CH79="N","対象外",IF(AND(I79="",J79="",K79=""),"標報未入力",IF(CD79&gt;=設定!$B$4,"要確認","問題なし"))))</f>
        <v>標報未入力</v>
      </c>
      <c r="E79" s="24" t="str">
        <f aca="false">IF(OR(G79="",G79="なし",CE79="",CF79=0),"―",IF(CF79=CE79,"前月同額",IF(CE79=0,"―",IF(ABS(CF79/CE79-1)&gt;=設定!$B$5,"変動大 "&amp;TEXT(CF79/CE79-1,"+0%;-0%"),"〇"))))</f>
        <v>―</v>
      </c>
      <c r="F79" s="10" t="str">
        <f aca="false">IF(OR(G79="",G79="なし"),"―",IF(CF79=0,"入金不要",IF(COUNT(Z79,AB79,AD79,AF79)=0,IF(AG79="○","手動確認","未入金"),IF(AND(N(Z79)=Y79,IF(AA79="",TRUE(),N(AB79)=AA79),IF(AC79="",TRUE(),N(AD79)=AC79),IF(AE79="",TRUE(),N(AF79)=AE79)),"一致","不一致"))))</f>
        <v>入金不要</v>
      </c>
      <c r="G79" s="25" t="s">
        <v>159</v>
      </c>
      <c r="H79" s="26"/>
      <c r="I79" s="27"/>
      <c r="J79" s="27"/>
      <c r="K79" s="27"/>
      <c r="L79" s="27"/>
      <c r="M79" s="27"/>
      <c r="N79" s="27" t="n">
        <v>0</v>
      </c>
      <c r="O79" s="27" t="n">
        <v>0</v>
      </c>
      <c r="P79" s="27" t="n">
        <v>0</v>
      </c>
      <c r="Q79" s="27"/>
      <c r="R79" s="27" t="n">
        <v>0</v>
      </c>
      <c r="S79" s="27"/>
      <c r="T79" s="27" t="n">
        <v>0</v>
      </c>
      <c r="U79" s="27"/>
      <c r="V79" s="27" t="n">
        <v>0</v>
      </c>
      <c r="W79" s="10" t="str">
        <f aca="false">IFERROR(INDEX(設定!$E$61:$E$106,MATCH(B79,設定!$B$61:$B$106,0)),"合算")</f>
        <v>合算</v>
      </c>
      <c r="X79" s="28"/>
      <c r="Y79" s="29" t="n">
        <f aca="false">IF(OR(G79="",G79="なし"),"",IF(W79="合算",CF79,IF(W79="掛金・負担金別",(AU79+AV79+AZ79+BB79+BD79),SUM(AU79:AY79))))</f>
        <v>0</v>
      </c>
      <c r="Z79" s="27"/>
      <c r="AA79" s="29" t="str">
        <f aca="false">IF(OR(G79="",G79="なし"),"",IF(W79="掛金・負担金別",(AW79+AX79+AY79+BA79+BC79+BE79),IF(W79="経理区分別",AZ79+BA79,"")))</f>
        <v/>
      </c>
      <c r="AB79" s="27"/>
      <c r="AC79" s="29" t="str">
        <f aca="false">IF(OR(G79="",G79="なし"),"",IF(W79="経理区分別",BB79+BC79,""))</f>
        <v/>
      </c>
      <c r="AD79" s="27"/>
      <c r="AE79" s="29" t="str">
        <f aca="false">IF(OR(G79="",G79="なし"),"",IF(W79="経理区分別",BD79+BE79,""))</f>
        <v/>
      </c>
      <c r="AF79" s="27"/>
      <c r="AG79" s="26" t="s">
        <v>160</v>
      </c>
      <c r="AH79" s="26"/>
      <c r="AI79" s="30"/>
      <c r="AJ79" s="31"/>
      <c r="AK79" s="31"/>
      <c r="AL79" s="31"/>
      <c r="AM79" s="31"/>
      <c r="AN79" s="31"/>
      <c r="AO79" s="31"/>
      <c r="AP79" s="31"/>
      <c r="AQ79" s="31"/>
      <c r="AR79" s="31"/>
      <c r="AS79" s="31"/>
      <c r="AT79" s="31"/>
      <c r="AU79" s="31" t="n">
        <f aca="false">IF($G79="",AJ79,L79)</f>
        <v>0</v>
      </c>
      <c r="AV79" s="31" t="n">
        <f aca="false">IF($G79="",AK79,M79)</f>
        <v>0</v>
      </c>
      <c r="AW79" s="31" t="n">
        <f aca="false">IF($G79="",AL79,N79)</f>
        <v>0</v>
      </c>
      <c r="AX79" s="31" t="n">
        <f aca="false">IF($G79="",AM79,O79)</f>
        <v>0</v>
      </c>
      <c r="AY79" s="31" t="n">
        <f aca="false">IF($G79="",AN79,P79)</f>
        <v>0</v>
      </c>
      <c r="AZ79" s="31" t="n">
        <f aca="false">IF($G79="",AO79,Q79)</f>
        <v>0</v>
      </c>
      <c r="BA79" s="31" t="n">
        <f aca="false">IF($G79="",AP79,R79)</f>
        <v>0</v>
      </c>
      <c r="BB79" s="31" t="n">
        <f aca="false">IF($G79="",AQ79,S79)</f>
        <v>0</v>
      </c>
      <c r="BC79" s="31" t="n">
        <f aca="false">IF($G79="",AR79,T79)</f>
        <v>0</v>
      </c>
      <c r="BD79" s="31" t="n">
        <f aca="false">IF($G79="",AS79,U79)</f>
        <v>0</v>
      </c>
      <c r="BE79" s="31" t="n">
        <f aca="false">IF($G79="",AT79,V79)</f>
        <v>0</v>
      </c>
      <c r="BF79" s="31" t="n">
        <f aca="false">ROUNDDOWN(I79*設定!$B$10/1000,0)+ROUNDDOWN(I79*設定!$B$11/1000,0)</f>
        <v>0</v>
      </c>
      <c r="BG79" s="31" t="n">
        <f aca="false">ROUNDDOWN(I79*設定!$C$10/1000,0)+ROUNDDOWN(I79*設定!$C$11/1000,0)+ROUNDDOWN(I79*設定!$C$12/1000,0)</f>
        <v>0</v>
      </c>
      <c r="BH79" s="31" t="n">
        <f aca="false">ROUNDDOWN(J79*設定!$B$13/1000,0)</f>
        <v>0</v>
      </c>
      <c r="BI79" s="31" t="n">
        <f aca="false">ROUNDDOWN(J79*設定!$C$13/1000,0)</f>
        <v>0</v>
      </c>
      <c r="BJ79" s="31" t="n">
        <f aca="false">ROUNDDOWN(K79*設定!$B$14/1000,0)</f>
        <v>0</v>
      </c>
      <c r="BK79" s="31" t="n">
        <f aca="false">ROUNDDOWN(K79*設定!$C$14/1000,0)</f>
        <v>0</v>
      </c>
      <c r="BL79" s="31" t="n">
        <f aca="false">ROUNDDOWN(J79*設定!$B$15/1000,0)</f>
        <v>0</v>
      </c>
      <c r="BM79" s="31" t="n">
        <f aca="false">ROUNDDOWN(J79*設定!$C$15/1000,0)</f>
        <v>0</v>
      </c>
      <c r="BN79" s="31" t="n">
        <f aca="false">L79+M79</f>
        <v>0</v>
      </c>
      <c r="BO79" s="31" t="n">
        <f aca="false">N79+O79+P79</f>
        <v>0</v>
      </c>
      <c r="BP79" s="31" t="n">
        <f aca="false">Q79</f>
        <v>0</v>
      </c>
      <c r="BQ79" s="31" t="n">
        <f aca="false">R79</f>
        <v>0</v>
      </c>
      <c r="BR79" s="31" t="n">
        <f aca="false">S79</f>
        <v>0</v>
      </c>
      <c r="BS79" s="31" t="n">
        <f aca="false">T79</f>
        <v>0</v>
      </c>
      <c r="BT79" s="31" t="n">
        <f aca="false">U79</f>
        <v>0</v>
      </c>
      <c r="BU79" s="31" t="n">
        <f aca="false">V79</f>
        <v>0</v>
      </c>
      <c r="BV79" s="32" t="n">
        <f aca="false">IF(BF79=0,IF(BN79=0,0,1),(BN79-BF79)/BF79)</f>
        <v>0</v>
      </c>
      <c r="BW79" s="32" t="n">
        <f aca="false">IF(BG79=0,IF(BO79=0,0,1),(BO79-BG79)/BG79)</f>
        <v>0</v>
      </c>
      <c r="BX79" s="32" t="n">
        <f aca="false">IF(BH79=0,IF(BP79=0,0,1),(BP79-BH79)/BH79)</f>
        <v>0</v>
      </c>
      <c r="BY79" s="32" t="n">
        <f aca="false">IF(BI79=0,IF(BQ79=0,0,1),(BQ79-BI79)/BI79)</f>
        <v>0</v>
      </c>
      <c r="BZ79" s="32" t="n">
        <f aca="false">IF(BJ79=0,IF(BR79=0,0,1),(BR79-BJ79)/BJ79)</f>
        <v>0</v>
      </c>
      <c r="CA79" s="32" t="n">
        <f aca="false">IF(BK79=0,IF(BS79=0,0,1),(BS79-BK79)/BK79)</f>
        <v>0</v>
      </c>
      <c r="CB79" s="32" t="n">
        <f aca="false">IF(BL79=0,IF(BT79=0,0,1),(BT79-BL79)/BL79)</f>
        <v>0</v>
      </c>
      <c r="CC79" s="32" t="n">
        <f aca="false">IF(BM79=0,IF(BU79=0,0,1),(BU79-BM79)/BM79)</f>
        <v>0</v>
      </c>
      <c r="CD79" s="32" t="n">
        <f aca="false">MAX(MAX(BV79:CC79),-MIN(BV79:CC79))</f>
        <v>-0</v>
      </c>
      <c r="CE79" s="31" t="n">
        <f aca="false">IF(CI79="","",SUMIFS($CF$7:$CF$696,$A$7:$A$696,CI79,$B$7:$B$696,B79))</f>
        <v>0</v>
      </c>
      <c r="CF79" s="31" t="n">
        <f aca="false">SUM(AU79:BE79)</f>
        <v>0</v>
      </c>
      <c r="CG79" s="33" t="str">
        <f aca="false">A79&amp;"|"&amp;B79</f>
        <v>2026-05 月例|文化財団　教育委員会</v>
      </c>
      <c r="CH79" s="34" t="str">
        <f aca="false">IFERROR(INDEX(設定!$D$61:$D$106,MATCH(B79,設定!$B$61:$B$106,0)),"Y")</f>
        <v>Y</v>
      </c>
      <c r="CI79" s="34" t="str">
        <f aca="false">IFERROR(INDEX(設定!$D$20:$D$34,MATCH(A79,設定!$A$20:$A$34,0))&amp;"","")</f>
        <v>2026-04 月例</v>
      </c>
    </row>
    <row r="80" customFormat="false" ht="15" hidden="true" customHeight="false" outlineLevel="0" collapsed="false">
      <c r="A80" s="22" t="s">
        <v>207</v>
      </c>
      <c r="B80" s="23" t="s">
        <v>188</v>
      </c>
      <c r="C80" s="10" t="str">
        <f aca="false">IF(G80="","未受領",IF(G80="なし","報告なし",IF(AH80="○","起票済",IF(OR(AG80="○",F80="一致",F80="入金不要"),"入金確認済","受領済"))))</f>
        <v>入金確認済</v>
      </c>
      <c r="D80" s="10" t="str">
        <f aca="false">IF(OR(G80="",G80="なし"),"―",IF(CH80="N","対象外",IF(AND(I80="",J80="",K80=""),"標報未入力",IF(CD80&gt;=設定!$B$4,"要確認","問題なし"))))</f>
        <v>標報未入力</v>
      </c>
      <c r="E80" s="24" t="str">
        <f aca="false">IF(OR(G80="",G80="なし",CE80="",CF80=0),"―",IF(CF80=CE80,"前月同額",IF(CE80=0,"―",IF(ABS(CF80/CE80-1)&gt;=設定!$B$5,"変動大 "&amp;TEXT(CF80/CE80-1,"+0%;-0%"),"〇"))))</f>
        <v>前月同額</v>
      </c>
      <c r="F80" s="10" t="str">
        <f aca="false">IF(OR(G80="",G80="なし"),"―",IF(CF80=0,"入金不要",IF(COUNT(Z80,AB80,AD80,AF80)=0,IF(AG80="○","手動確認","未入金"),IF(AND(N(Z80)=Y80,IF(AA80="",TRUE(),N(AB80)=AA80),IF(AC80="",TRUE(),N(AD80)=AC80),IF(AE80="",TRUE(),N(AF80)=AE80)),"一致","不一致"))))</f>
        <v>手動確認</v>
      </c>
      <c r="G80" s="25" t="s">
        <v>159</v>
      </c>
      <c r="H80" s="26"/>
      <c r="I80" s="27"/>
      <c r="J80" s="27"/>
      <c r="K80" s="27"/>
      <c r="L80" s="27"/>
      <c r="M80" s="27"/>
      <c r="N80" s="27" t="n">
        <v>405345</v>
      </c>
      <c r="O80" s="27" t="n">
        <v>33225</v>
      </c>
      <c r="P80" s="27" t="n">
        <v>383</v>
      </c>
      <c r="Q80" s="27"/>
      <c r="R80" s="27" t="n">
        <v>229959</v>
      </c>
      <c r="S80" s="27"/>
      <c r="T80" s="27" t="n">
        <v>34997</v>
      </c>
      <c r="U80" s="27"/>
      <c r="V80" s="27" t="n">
        <v>5093</v>
      </c>
      <c r="W80" s="10" t="str">
        <f aca="false">IFERROR(INDEX(設定!$E$61:$E$106,MATCH(B80,設定!$B$61:$B$106,0)),"合算")</f>
        <v>合算</v>
      </c>
      <c r="X80" s="28"/>
      <c r="Y80" s="29" t="n">
        <f aca="false">IF(OR(G80="",G80="なし"),"",IF(W80="合算",CF80,IF(W80="掛金・負担金別",(AU80+AV80+AZ80+BB80+BD80),SUM(AU80:AY80))))</f>
        <v>709002</v>
      </c>
      <c r="Z80" s="27"/>
      <c r="AA80" s="29" t="str">
        <f aca="false">IF(OR(G80="",G80="なし"),"",IF(W80="掛金・負担金別",(AW80+AX80+AY80+BA80+BC80+BE80),IF(W80="経理区分別",AZ80+BA80,"")))</f>
        <v/>
      </c>
      <c r="AB80" s="27"/>
      <c r="AC80" s="29" t="str">
        <f aca="false">IF(OR(G80="",G80="なし"),"",IF(W80="経理区分別",BB80+BC80,""))</f>
        <v/>
      </c>
      <c r="AD80" s="27"/>
      <c r="AE80" s="29" t="str">
        <f aca="false">IF(OR(G80="",G80="なし"),"",IF(W80="経理区分別",BD80+BE80,""))</f>
        <v/>
      </c>
      <c r="AF80" s="27"/>
      <c r="AG80" s="26" t="s">
        <v>160</v>
      </c>
      <c r="AH80" s="26"/>
      <c r="AI80" s="30"/>
      <c r="AJ80" s="31"/>
      <c r="AK80" s="31"/>
      <c r="AL80" s="31"/>
      <c r="AM80" s="31"/>
      <c r="AN80" s="31"/>
      <c r="AO80" s="31"/>
      <c r="AP80" s="31"/>
      <c r="AQ80" s="31"/>
      <c r="AR80" s="31"/>
      <c r="AS80" s="31"/>
      <c r="AT80" s="31"/>
      <c r="AU80" s="31" t="n">
        <f aca="false">IF($G80="",AJ80,L80)</f>
        <v>0</v>
      </c>
      <c r="AV80" s="31" t="n">
        <f aca="false">IF($G80="",AK80,M80)</f>
        <v>0</v>
      </c>
      <c r="AW80" s="31" t="n">
        <f aca="false">IF($G80="",AL80,N80)</f>
        <v>405345</v>
      </c>
      <c r="AX80" s="31" t="n">
        <f aca="false">IF($G80="",AM80,O80)</f>
        <v>33225</v>
      </c>
      <c r="AY80" s="31" t="n">
        <f aca="false">IF($G80="",AN80,P80)</f>
        <v>383</v>
      </c>
      <c r="AZ80" s="31" t="n">
        <f aca="false">IF($G80="",AO80,Q80)</f>
        <v>0</v>
      </c>
      <c r="BA80" s="31" t="n">
        <f aca="false">IF($G80="",AP80,R80)</f>
        <v>229959</v>
      </c>
      <c r="BB80" s="31" t="n">
        <f aca="false">IF($G80="",AQ80,S80)</f>
        <v>0</v>
      </c>
      <c r="BC80" s="31" t="n">
        <f aca="false">IF($G80="",AR80,T80)</f>
        <v>34997</v>
      </c>
      <c r="BD80" s="31" t="n">
        <f aca="false">IF($G80="",AS80,U80)</f>
        <v>0</v>
      </c>
      <c r="BE80" s="31" t="n">
        <f aca="false">IF($G80="",AT80,V80)</f>
        <v>5093</v>
      </c>
      <c r="BF80" s="31" t="n">
        <f aca="false">ROUNDDOWN(I80*設定!$B$10/1000,0)+ROUNDDOWN(I80*設定!$B$11/1000,0)</f>
        <v>0</v>
      </c>
      <c r="BG80" s="31" t="n">
        <f aca="false">ROUNDDOWN(I80*設定!$C$10/1000,0)+ROUNDDOWN(I80*設定!$C$11/1000,0)+ROUNDDOWN(I80*設定!$C$12/1000,0)</f>
        <v>0</v>
      </c>
      <c r="BH80" s="31" t="n">
        <f aca="false">ROUNDDOWN(J80*設定!$B$13/1000,0)</f>
        <v>0</v>
      </c>
      <c r="BI80" s="31" t="n">
        <f aca="false">ROUNDDOWN(J80*設定!$C$13/1000,0)</f>
        <v>0</v>
      </c>
      <c r="BJ80" s="31" t="n">
        <f aca="false">ROUNDDOWN(K80*設定!$B$14/1000,0)</f>
        <v>0</v>
      </c>
      <c r="BK80" s="31" t="n">
        <f aca="false">ROUNDDOWN(K80*設定!$C$14/1000,0)</f>
        <v>0</v>
      </c>
      <c r="BL80" s="31" t="n">
        <f aca="false">ROUNDDOWN(J80*設定!$B$15/1000,0)</f>
        <v>0</v>
      </c>
      <c r="BM80" s="31" t="n">
        <f aca="false">ROUNDDOWN(J80*設定!$C$15/1000,0)</f>
        <v>0</v>
      </c>
      <c r="BN80" s="31" t="n">
        <f aca="false">L80+M80</f>
        <v>0</v>
      </c>
      <c r="BO80" s="31" t="n">
        <f aca="false">N80+O80+P80</f>
        <v>438953</v>
      </c>
      <c r="BP80" s="31" t="n">
        <f aca="false">Q80</f>
        <v>0</v>
      </c>
      <c r="BQ80" s="31" t="n">
        <f aca="false">R80</f>
        <v>229959</v>
      </c>
      <c r="BR80" s="31" t="n">
        <f aca="false">S80</f>
        <v>0</v>
      </c>
      <c r="BS80" s="31" t="n">
        <f aca="false">T80</f>
        <v>34997</v>
      </c>
      <c r="BT80" s="31" t="n">
        <f aca="false">U80</f>
        <v>0</v>
      </c>
      <c r="BU80" s="31" t="n">
        <f aca="false">V80</f>
        <v>5093</v>
      </c>
      <c r="BV80" s="32" t="n">
        <f aca="false">IF(BF80=0,IF(BN80=0,0,1),(BN80-BF80)/BF80)</f>
        <v>0</v>
      </c>
      <c r="BW80" s="32" t="n">
        <f aca="false">IF(BG80=0,IF(BO80=0,0,1),(BO80-BG80)/BG80)</f>
        <v>1</v>
      </c>
      <c r="BX80" s="32" t="n">
        <f aca="false">IF(BH80=0,IF(BP80=0,0,1),(BP80-BH80)/BH80)</f>
        <v>0</v>
      </c>
      <c r="BY80" s="32" t="n">
        <f aca="false">IF(BI80=0,IF(BQ80=0,0,1),(BQ80-BI80)/BI80)</f>
        <v>1</v>
      </c>
      <c r="BZ80" s="32" t="n">
        <f aca="false">IF(BJ80=0,IF(BR80=0,0,1),(BR80-BJ80)/BJ80)</f>
        <v>0</v>
      </c>
      <c r="CA80" s="32" t="n">
        <f aca="false">IF(BK80=0,IF(BS80=0,0,1),(BS80-BK80)/BK80)</f>
        <v>1</v>
      </c>
      <c r="CB80" s="32" t="n">
        <f aca="false">IF(BL80=0,IF(BT80=0,0,1),(BT80-BL80)/BL80)</f>
        <v>0</v>
      </c>
      <c r="CC80" s="32" t="n">
        <f aca="false">IF(BM80=0,IF(BU80=0,0,1),(BU80-BM80)/BM80)</f>
        <v>1</v>
      </c>
      <c r="CD80" s="32" t="n">
        <f aca="false">MAX(MAX(BV80:CC80),-MIN(BV80:CC80))</f>
        <v>1</v>
      </c>
      <c r="CE80" s="31" t="n">
        <f aca="false">IF(CI80="","",SUMIFS($CF$7:$CF$696,$A$7:$A$696,CI80,$B$7:$B$696,B80))</f>
        <v>709002</v>
      </c>
      <c r="CF80" s="31" t="n">
        <f aca="false">SUM(AU80:BE80)</f>
        <v>709002</v>
      </c>
      <c r="CG80" s="33" t="str">
        <f aca="false">A80&amp;"|"&amp;B80</f>
        <v>2026-05 月例|みどり生きもの協会</v>
      </c>
      <c r="CH80" s="34" t="str">
        <f aca="false">IFERROR(INDEX(設定!$D$61:$D$106,MATCH(B80,設定!$B$61:$B$106,0)),"Y")</f>
        <v>Y</v>
      </c>
      <c r="CI80" s="34" t="str">
        <f aca="false">IFERROR(INDEX(設定!$D$20:$D$34,MATCH(A80,設定!$A$20:$A$34,0))&amp;"","")</f>
        <v>2026-04 月例</v>
      </c>
    </row>
    <row r="81" customFormat="false" ht="15" hidden="true" customHeight="false" outlineLevel="0" collapsed="false">
      <c r="A81" s="22" t="s">
        <v>207</v>
      </c>
      <c r="B81" s="23" t="s">
        <v>189</v>
      </c>
      <c r="C81" s="10" t="str">
        <f aca="false">IF(G81="","未受領",IF(G81="なし","報告なし",IF(AH81="○","起票済",IF(OR(AG81="○",F81="一致",F81="入金不要"),"入金確認済","受領済"))))</f>
        <v>入金確認済</v>
      </c>
      <c r="D81" s="10" t="str">
        <f aca="false">IF(OR(G81="",G81="なし"),"―",IF(CH81="N","対象外",IF(AND(I81="",J81="",K81=""),"標報未入力",IF(CD81&gt;=設定!$B$4,"要確認","問題なし"))))</f>
        <v>標報未入力</v>
      </c>
      <c r="E81" s="24" t="str">
        <f aca="false">IF(OR(G81="",G81="なし",CE81="",CF81=0),"―",IF(CF81=CE81,"前月同額",IF(CE81=0,"―",IF(ABS(CF81/CE81-1)&gt;=設定!$B$5,"変動大 "&amp;TEXT(CF81/CE81-1,"+0%;-0%"),"〇"))))</f>
        <v>前月同額</v>
      </c>
      <c r="F81" s="10" t="str">
        <f aca="false">IF(OR(G81="",G81="なし"),"―",IF(CF81=0,"入金不要",IF(COUNT(Z81,AB81,AD81,AF81)=0,IF(AG81="○","手動確認","未入金"),IF(AND(N(Z81)=Y81,IF(AA81="",TRUE(),N(AB81)=AA81),IF(AC81="",TRUE(),N(AD81)=AC81),IF(AE81="",TRUE(),N(AF81)=AE81)),"一致","不一致"))))</f>
        <v>手動確認</v>
      </c>
      <c r="G81" s="25" t="s">
        <v>159</v>
      </c>
      <c r="H81" s="26"/>
      <c r="I81" s="27"/>
      <c r="J81" s="27"/>
      <c r="K81" s="27"/>
      <c r="L81" s="27" t="n">
        <v>148230</v>
      </c>
      <c r="M81" s="27" t="n">
        <v>12150</v>
      </c>
      <c r="N81" s="27" t="n">
        <v>148230</v>
      </c>
      <c r="O81" s="27" t="n">
        <v>12150</v>
      </c>
      <c r="P81" s="27" t="n">
        <v>140</v>
      </c>
      <c r="Q81" s="27" t="n">
        <v>87123</v>
      </c>
      <c r="R81" s="27" t="n">
        <v>87208</v>
      </c>
      <c r="S81" s="27" t="n">
        <v>10033</v>
      </c>
      <c r="T81" s="27" t="n">
        <v>10033</v>
      </c>
      <c r="U81" s="27" t="n">
        <v>1931</v>
      </c>
      <c r="V81" s="27" t="n">
        <v>1932</v>
      </c>
      <c r="W81" s="10" t="str">
        <f aca="false">IFERROR(INDEX(設定!$E$61:$E$106,MATCH(B81,設定!$B$61:$B$106,0)),"合算")</f>
        <v>合算</v>
      </c>
      <c r="X81" s="28"/>
      <c r="Y81" s="29" t="n">
        <f aca="false">IF(OR(G81="",G81="なし"),"",IF(W81="合算",CF81,IF(W81="掛金・負担金別",(AU81+AV81+AZ81+BB81+BD81),SUM(AU81:AY81))))</f>
        <v>519160</v>
      </c>
      <c r="Z81" s="27"/>
      <c r="AA81" s="29" t="str">
        <f aca="false">IF(OR(G81="",G81="なし"),"",IF(W81="掛金・負担金別",(AW81+AX81+AY81+BA81+BC81+BE81),IF(W81="経理区分別",AZ81+BA81,"")))</f>
        <v/>
      </c>
      <c r="AB81" s="27"/>
      <c r="AC81" s="29" t="str">
        <f aca="false">IF(OR(G81="",G81="なし"),"",IF(W81="経理区分別",BB81+BC81,""))</f>
        <v/>
      </c>
      <c r="AD81" s="27"/>
      <c r="AE81" s="29" t="str">
        <f aca="false">IF(OR(G81="",G81="なし"),"",IF(W81="経理区分別",BD81+BE81,""))</f>
        <v/>
      </c>
      <c r="AF81" s="27"/>
      <c r="AG81" s="26" t="s">
        <v>160</v>
      </c>
      <c r="AH81" s="26"/>
      <c r="AI81" s="30"/>
      <c r="AJ81" s="31"/>
      <c r="AK81" s="31"/>
      <c r="AL81" s="31"/>
      <c r="AM81" s="31"/>
      <c r="AN81" s="31"/>
      <c r="AO81" s="31"/>
      <c r="AP81" s="31"/>
      <c r="AQ81" s="31"/>
      <c r="AR81" s="31"/>
      <c r="AS81" s="31"/>
      <c r="AT81" s="31"/>
      <c r="AU81" s="31" t="n">
        <f aca="false">IF($G81="",AJ81,L81)</f>
        <v>148230</v>
      </c>
      <c r="AV81" s="31" t="n">
        <f aca="false">IF($G81="",AK81,M81)</f>
        <v>12150</v>
      </c>
      <c r="AW81" s="31" t="n">
        <f aca="false">IF($G81="",AL81,N81)</f>
        <v>148230</v>
      </c>
      <c r="AX81" s="31" t="n">
        <f aca="false">IF($G81="",AM81,O81)</f>
        <v>12150</v>
      </c>
      <c r="AY81" s="31" t="n">
        <f aca="false">IF($G81="",AN81,P81)</f>
        <v>140</v>
      </c>
      <c r="AZ81" s="31" t="n">
        <f aca="false">IF($G81="",AO81,Q81)</f>
        <v>87123</v>
      </c>
      <c r="BA81" s="31" t="n">
        <f aca="false">IF($G81="",AP81,R81)</f>
        <v>87208</v>
      </c>
      <c r="BB81" s="31" t="n">
        <f aca="false">IF($G81="",AQ81,S81)</f>
        <v>10033</v>
      </c>
      <c r="BC81" s="31" t="n">
        <f aca="false">IF($G81="",AR81,T81)</f>
        <v>10033</v>
      </c>
      <c r="BD81" s="31" t="n">
        <f aca="false">IF($G81="",AS81,U81)</f>
        <v>1931</v>
      </c>
      <c r="BE81" s="31" t="n">
        <f aca="false">IF($G81="",AT81,V81)</f>
        <v>1932</v>
      </c>
      <c r="BF81" s="31" t="n">
        <f aca="false">ROUNDDOWN(I81*設定!$B$10/1000,0)+ROUNDDOWN(I81*設定!$B$11/1000,0)</f>
        <v>0</v>
      </c>
      <c r="BG81" s="31" t="n">
        <f aca="false">ROUNDDOWN(I81*設定!$C$10/1000,0)+ROUNDDOWN(I81*設定!$C$11/1000,0)+ROUNDDOWN(I81*設定!$C$12/1000,0)</f>
        <v>0</v>
      </c>
      <c r="BH81" s="31" t="n">
        <f aca="false">ROUNDDOWN(J81*設定!$B$13/1000,0)</f>
        <v>0</v>
      </c>
      <c r="BI81" s="31" t="n">
        <f aca="false">ROUNDDOWN(J81*設定!$C$13/1000,0)</f>
        <v>0</v>
      </c>
      <c r="BJ81" s="31" t="n">
        <f aca="false">ROUNDDOWN(K81*設定!$B$14/1000,0)</f>
        <v>0</v>
      </c>
      <c r="BK81" s="31" t="n">
        <f aca="false">ROUNDDOWN(K81*設定!$C$14/1000,0)</f>
        <v>0</v>
      </c>
      <c r="BL81" s="31" t="n">
        <f aca="false">ROUNDDOWN(J81*設定!$B$15/1000,0)</f>
        <v>0</v>
      </c>
      <c r="BM81" s="31" t="n">
        <f aca="false">ROUNDDOWN(J81*設定!$C$15/1000,0)</f>
        <v>0</v>
      </c>
      <c r="BN81" s="31" t="n">
        <f aca="false">L81+M81</f>
        <v>160380</v>
      </c>
      <c r="BO81" s="31" t="n">
        <f aca="false">N81+O81+P81</f>
        <v>160520</v>
      </c>
      <c r="BP81" s="31" t="n">
        <f aca="false">Q81</f>
        <v>87123</v>
      </c>
      <c r="BQ81" s="31" t="n">
        <f aca="false">R81</f>
        <v>87208</v>
      </c>
      <c r="BR81" s="31" t="n">
        <f aca="false">S81</f>
        <v>10033</v>
      </c>
      <c r="BS81" s="31" t="n">
        <f aca="false">T81</f>
        <v>10033</v>
      </c>
      <c r="BT81" s="31" t="n">
        <f aca="false">U81</f>
        <v>1931</v>
      </c>
      <c r="BU81" s="31" t="n">
        <f aca="false">V81</f>
        <v>1932</v>
      </c>
      <c r="BV81" s="32" t="n">
        <f aca="false">IF(BF81=0,IF(BN81=0,0,1),(BN81-BF81)/BF81)</f>
        <v>1</v>
      </c>
      <c r="BW81" s="32" t="n">
        <f aca="false">IF(BG81=0,IF(BO81=0,0,1),(BO81-BG81)/BG81)</f>
        <v>1</v>
      </c>
      <c r="BX81" s="32" t="n">
        <f aca="false">IF(BH81=0,IF(BP81=0,0,1),(BP81-BH81)/BH81)</f>
        <v>1</v>
      </c>
      <c r="BY81" s="32" t="n">
        <f aca="false">IF(BI81=0,IF(BQ81=0,0,1),(BQ81-BI81)/BI81)</f>
        <v>1</v>
      </c>
      <c r="BZ81" s="32" t="n">
        <f aca="false">IF(BJ81=0,IF(BR81=0,0,1),(BR81-BJ81)/BJ81)</f>
        <v>1</v>
      </c>
      <c r="CA81" s="32" t="n">
        <f aca="false">IF(BK81=0,IF(BS81=0,0,1),(BS81-BK81)/BK81)</f>
        <v>1</v>
      </c>
      <c r="CB81" s="32" t="n">
        <f aca="false">IF(BL81=0,IF(BT81=0,0,1),(BT81-BL81)/BL81)</f>
        <v>1</v>
      </c>
      <c r="CC81" s="32" t="n">
        <f aca="false">IF(BM81=0,IF(BU81=0,0,1),(BU81-BM81)/BM81)</f>
        <v>1</v>
      </c>
      <c r="CD81" s="32" t="n">
        <f aca="false">MAX(MAX(BV81:CC81),-MIN(BV81:CC81))</f>
        <v>1</v>
      </c>
      <c r="CE81" s="31" t="n">
        <f aca="false">IF(CI81="","",SUMIFS($CF$7:$CF$696,$A$7:$A$696,CI81,$B$7:$B$696,B81))</f>
        <v>519160</v>
      </c>
      <c r="CF81" s="31" t="n">
        <f aca="false">SUM(AU81:BE81)</f>
        <v>519160</v>
      </c>
      <c r="CG81" s="33" t="str">
        <f aca="false">A81&amp;"|"&amp;B81</f>
        <v>2026-05 月例|県下水道公社</v>
      </c>
      <c r="CH81" s="34" t="str">
        <f aca="false">IFERROR(INDEX(設定!$D$61:$D$106,MATCH(B81,設定!$B$61:$B$106,0)),"Y")</f>
        <v>Y</v>
      </c>
      <c r="CI81" s="34" t="str">
        <f aca="false">IFERROR(INDEX(設定!$D$20:$D$34,MATCH(A81,設定!$A$20:$A$34,0))&amp;"","")</f>
        <v>2026-04 月例</v>
      </c>
    </row>
    <row r="82" customFormat="false" ht="26.85" hidden="true" customHeight="false" outlineLevel="0" collapsed="false">
      <c r="A82" s="22" t="s">
        <v>207</v>
      </c>
      <c r="B82" s="35" t="s">
        <v>208</v>
      </c>
      <c r="C82" s="10" t="str">
        <f aca="false">IF(G82="","未受領",IF(G82="なし","報告なし",IF(AH82="○","起票済",IF(OR(AG82="○",F82="一致",F82="入金不要"),"入金確認済","受領済"))))</f>
        <v>入金確認済</v>
      </c>
      <c r="D82" s="10" t="str">
        <f aca="false">IF(OR(G82="",G82="なし"),"―",IF(CH82="N","対象外",IF(AND(I82="",J82="",K82=""),"標報未入力",IF(CD82&gt;=設定!$B$4,"要確認","問題なし"))))</f>
        <v>標報未入力</v>
      </c>
      <c r="E82" s="24" t="str">
        <f aca="false">IF(OR(G82="",G82="なし",CE82="",CF82=0),"―",IF(CF82=CE82,"前月同額",IF(CE82=0,"―",IF(ABS(CF82/CE82-1)&gt;=設定!$B$5,"変動大 "&amp;TEXT(CF82/CE82-1,"+0%;-0%"),"〇"))))</f>
        <v>前月同額</v>
      </c>
      <c r="F82" s="10" t="str">
        <f aca="false">IF(OR(G82="",G82="なし"),"―",IF(CF82=0,"入金不要",IF(COUNT(Z82,AB82,AD82,AF82)=0,IF(AG82="○","手動確認","未入金"),IF(AND(N(Z82)=Y82,IF(AA82="",TRUE(),N(AB82)=AA82),IF(AC82="",TRUE(),N(AD82)=AC82),IF(AE82="",TRUE(),N(AF82)=AE82)),"一致","不一致"))))</f>
        <v>手動確認</v>
      </c>
      <c r="G82" s="25" t="s">
        <v>159</v>
      </c>
      <c r="H82" s="26"/>
      <c r="I82" s="27"/>
      <c r="J82" s="27"/>
      <c r="K82" s="27"/>
      <c r="L82" s="27"/>
      <c r="M82" s="27"/>
      <c r="N82" s="27" t="n">
        <v>455670</v>
      </c>
      <c r="O82" s="27" t="n">
        <v>37350</v>
      </c>
      <c r="P82" s="27" t="n">
        <v>432</v>
      </c>
      <c r="Q82" s="27"/>
      <c r="R82" s="27" t="n">
        <v>263702</v>
      </c>
      <c r="S82" s="27"/>
      <c r="T82" s="27" t="n">
        <v>21093</v>
      </c>
      <c r="U82" s="27"/>
      <c r="V82" s="27" t="n">
        <v>5842</v>
      </c>
      <c r="W82" s="10" t="str">
        <f aca="false">IFERROR(INDEX(設定!$E$61:$E$106,MATCH(B82,設定!$B$61:$B$106,0)),"合算")</f>
        <v>合算</v>
      </c>
      <c r="X82" s="28"/>
      <c r="Y82" s="29" t="n">
        <f aca="false">IF(OR(G82="",G82="なし"),"",IF(W82="合算",CF82,IF(W82="掛金・負担金別",(AU82+AV82+AZ82+BB82+BD82),SUM(AU82:AY82))))</f>
        <v>784089</v>
      </c>
      <c r="Z82" s="27"/>
      <c r="AA82" s="29" t="str">
        <f aca="false">IF(OR(G82="",G82="なし"),"",IF(W82="掛金・負担金別",(AW82+AX82+AY82+BA82+BC82+BE82),IF(W82="経理区分別",AZ82+BA82,"")))</f>
        <v/>
      </c>
      <c r="AB82" s="27"/>
      <c r="AC82" s="29" t="str">
        <f aca="false">IF(OR(G82="",G82="なし"),"",IF(W82="経理区分別",BB82+BC82,""))</f>
        <v/>
      </c>
      <c r="AD82" s="27"/>
      <c r="AE82" s="29" t="str">
        <f aca="false">IF(OR(G82="",G82="なし"),"",IF(W82="経理区分別",BD82+BE82,""))</f>
        <v/>
      </c>
      <c r="AF82" s="27"/>
      <c r="AG82" s="26" t="s">
        <v>160</v>
      </c>
      <c r="AH82" s="26"/>
      <c r="AI82" s="30"/>
      <c r="AJ82" s="31"/>
      <c r="AK82" s="31"/>
      <c r="AL82" s="31"/>
      <c r="AM82" s="31"/>
      <c r="AN82" s="31"/>
      <c r="AO82" s="31"/>
      <c r="AP82" s="31"/>
      <c r="AQ82" s="31"/>
      <c r="AR82" s="31"/>
      <c r="AS82" s="31"/>
      <c r="AT82" s="31"/>
      <c r="AU82" s="31" t="n">
        <f aca="false">IF($G82="",AJ82,L82)</f>
        <v>0</v>
      </c>
      <c r="AV82" s="31" t="n">
        <f aca="false">IF($G82="",AK82,M82)</f>
        <v>0</v>
      </c>
      <c r="AW82" s="31" t="n">
        <f aca="false">IF($G82="",AL82,N82)</f>
        <v>455670</v>
      </c>
      <c r="AX82" s="31" t="n">
        <f aca="false">IF($G82="",AM82,O82)</f>
        <v>37350</v>
      </c>
      <c r="AY82" s="31" t="n">
        <f aca="false">IF($G82="",AN82,P82)</f>
        <v>432</v>
      </c>
      <c r="AZ82" s="31" t="n">
        <f aca="false">IF($G82="",AO82,Q82)</f>
        <v>0</v>
      </c>
      <c r="BA82" s="31" t="n">
        <f aca="false">IF($G82="",AP82,R82)</f>
        <v>263702</v>
      </c>
      <c r="BB82" s="31" t="n">
        <f aca="false">IF($G82="",AQ82,S82)</f>
        <v>0</v>
      </c>
      <c r="BC82" s="31" t="n">
        <f aca="false">IF($G82="",AR82,T82)</f>
        <v>21093</v>
      </c>
      <c r="BD82" s="31" t="n">
        <f aca="false">IF($G82="",AS82,U82)</f>
        <v>0</v>
      </c>
      <c r="BE82" s="31" t="n">
        <f aca="false">IF($G82="",AT82,V82)</f>
        <v>5842</v>
      </c>
      <c r="BF82" s="31" t="n">
        <f aca="false">ROUNDDOWN(I82*設定!$B$10/1000,0)+ROUNDDOWN(I82*設定!$B$11/1000,0)</f>
        <v>0</v>
      </c>
      <c r="BG82" s="31" t="n">
        <f aca="false">ROUNDDOWN(I82*設定!$C$10/1000,0)+ROUNDDOWN(I82*設定!$C$11/1000,0)+ROUNDDOWN(I82*設定!$C$12/1000,0)</f>
        <v>0</v>
      </c>
      <c r="BH82" s="31" t="n">
        <f aca="false">ROUNDDOWN(J82*設定!$B$13/1000,0)</f>
        <v>0</v>
      </c>
      <c r="BI82" s="31" t="n">
        <f aca="false">ROUNDDOWN(J82*設定!$C$13/1000,0)</f>
        <v>0</v>
      </c>
      <c r="BJ82" s="31" t="n">
        <f aca="false">ROUNDDOWN(K82*設定!$B$14/1000,0)</f>
        <v>0</v>
      </c>
      <c r="BK82" s="31" t="n">
        <f aca="false">ROUNDDOWN(K82*設定!$C$14/1000,0)</f>
        <v>0</v>
      </c>
      <c r="BL82" s="31" t="n">
        <f aca="false">ROUNDDOWN(J82*設定!$B$15/1000,0)</f>
        <v>0</v>
      </c>
      <c r="BM82" s="31" t="n">
        <f aca="false">ROUNDDOWN(J82*設定!$C$15/1000,0)</f>
        <v>0</v>
      </c>
      <c r="BN82" s="31" t="n">
        <f aca="false">L82+M82</f>
        <v>0</v>
      </c>
      <c r="BO82" s="31" t="n">
        <f aca="false">N82+O82+P82</f>
        <v>493452</v>
      </c>
      <c r="BP82" s="31" t="n">
        <f aca="false">Q82</f>
        <v>0</v>
      </c>
      <c r="BQ82" s="31" t="n">
        <f aca="false">R82</f>
        <v>263702</v>
      </c>
      <c r="BR82" s="31" t="n">
        <f aca="false">S82</f>
        <v>0</v>
      </c>
      <c r="BS82" s="31" t="n">
        <f aca="false">T82</f>
        <v>21093</v>
      </c>
      <c r="BT82" s="31" t="n">
        <f aca="false">U82</f>
        <v>0</v>
      </c>
      <c r="BU82" s="31" t="n">
        <f aca="false">V82</f>
        <v>5842</v>
      </c>
      <c r="BV82" s="32" t="n">
        <f aca="false">IF(BF82=0,IF(BN82=0,0,1),(BN82-BF82)/BF82)</f>
        <v>0</v>
      </c>
      <c r="BW82" s="32" t="n">
        <f aca="false">IF(BG82=0,IF(BO82=0,0,1),(BO82-BG82)/BG82)</f>
        <v>1</v>
      </c>
      <c r="BX82" s="32" t="n">
        <f aca="false">IF(BH82=0,IF(BP82=0,0,1),(BP82-BH82)/BH82)</f>
        <v>0</v>
      </c>
      <c r="BY82" s="32" t="n">
        <f aca="false">IF(BI82=0,IF(BQ82=0,0,1),(BQ82-BI82)/BI82)</f>
        <v>1</v>
      </c>
      <c r="BZ82" s="32" t="n">
        <f aca="false">IF(BJ82=0,IF(BR82=0,0,1),(BR82-BJ82)/BJ82)</f>
        <v>0</v>
      </c>
      <c r="CA82" s="32" t="n">
        <f aca="false">IF(BK82=0,IF(BS82=0,0,1),(BS82-BK82)/BK82)</f>
        <v>1</v>
      </c>
      <c r="CB82" s="32" t="n">
        <f aca="false">IF(BL82=0,IF(BT82=0,0,1),(BT82-BL82)/BL82)</f>
        <v>0</v>
      </c>
      <c r="CC82" s="32" t="n">
        <f aca="false">IF(BM82=0,IF(BU82=0,0,1),(BU82-BM82)/BM82)</f>
        <v>1</v>
      </c>
      <c r="CD82" s="32" t="n">
        <f aca="false">MAX(MAX(BV82:CC82),-MIN(BV82:CC82))</f>
        <v>1</v>
      </c>
      <c r="CE82" s="31" t="n">
        <f aca="false">IF(CI82="","",SUMIFS($CF$7:$CF$696,$A$7:$A$696,CI82,$B$7:$B$696,B82))</f>
        <v>784089</v>
      </c>
      <c r="CF82" s="31" t="n">
        <f aca="false">SUM(AU82:BE82)</f>
        <v>784089</v>
      </c>
      <c r="CG82" s="36" t="str">
        <f aca="false">A82&amp;"|"&amp;B82</f>
        <v>2026-05 月例|バス協調・共創
プラットフォーム</v>
      </c>
      <c r="CH82" s="34" t="str">
        <f aca="false">IFERROR(INDEX(設定!$D$61:$D$106,MATCH(B82,設定!$B$61:$B$106,0)),"Y")</f>
        <v>Y</v>
      </c>
      <c r="CI82" s="34" t="str">
        <f aca="false">IFERROR(INDEX(設定!$D$20:$D$34,MATCH(A82,設定!$A$20:$A$34,0))&amp;"","")</f>
        <v>2026-04 月例</v>
      </c>
    </row>
    <row r="83" customFormat="false" ht="15" hidden="true" customHeight="false" outlineLevel="0" collapsed="false">
      <c r="A83" s="22" t="s">
        <v>207</v>
      </c>
      <c r="B83" s="23" t="s">
        <v>191</v>
      </c>
      <c r="C83" s="10" t="str">
        <f aca="false">IF(G83="","未受領",IF(G83="なし","報告なし",IF(AH83="○","起票済",IF(OR(AG83="○",F83="一致",F83="入金不要"),"入金確認済","受領済"))))</f>
        <v>入金確認済</v>
      </c>
      <c r="D83" s="10" t="str">
        <f aca="false">IF(OR(G83="",G83="なし"),"―",IF(CH83="N","対象外",IF(AND(I83="",J83="",K83=""),"標報未入力",IF(CD83&gt;=設定!$B$4,"要確認","問題なし"))))</f>
        <v>標報未入力</v>
      </c>
      <c r="E83" s="24" t="str">
        <f aca="false">IF(OR(G83="",G83="なし",CE83="",CF83=0),"―",IF(CF83=CE83,"前月同額",IF(CE83=0,"―",IF(ABS(CF83/CE83-1)&gt;=設定!$B$5,"変動大 "&amp;TEXT(CF83/CE83-1,"+0%;-0%"),"〇"))))</f>
        <v>前月同額</v>
      </c>
      <c r="F83" s="10" t="str">
        <f aca="false">IF(OR(G83="",G83="なし"),"―",IF(CF83=0,"入金不要",IF(COUNT(Z83,AB83,AD83,AF83)=0,IF(AG83="○","手動確認","未入金"),IF(AND(N(Z83)=Y83,IF(AA83="",TRUE(),N(AB83)=AA83),IF(AC83="",TRUE(),N(AD83)=AC83),IF(AE83="",TRUE(),N(AF83)=AE83)),"一致","不一致"))))</f>
        <v>手動確認</v>
      </c>
      <c r="G83" s="25" t="s">
        <v>159</v>
      </c>
      <c r="H83" s="26"/>
      <c r="I83" s="27"/>
      <c r="J83" s="27"/>
      <c r="K83" s="27"/>
      <c r="L83" s="27" t="n">
        <v>56730</v>
      </c>
      <c r="M83" s="27" t="n">
        <v>4650</v>
      </c>
      <c r="N83" s="27" t="n">
        <v>56730</v>
      </c>
      <c r="O83" s="27" t="n">
        <v>4650</v>
      </c>
      <c r="P83" s="27" t="n">
        <v>53</v>
      </c>
      <c r="Q83" s="27" t="n">
        <v>32153</v>
      </c>
      <c r="R83" s="27" t="n">
        <v>32184</v>
      </c>
      <c r="S83" s="27" t="n">
        <v>4898</v>
      </c>
      <c r="T83" s="27" t="n">
        <v>4898</v>
      </c>
      <c r="U83" s="27" t="n">
        <v>713</v>
      </c>
      <c r="V83" s="27" t="n">
        <v>713</v>
      </c>
      <c r="W83" s="10" t="str">
        <f aca="false">IFERROR(INDEX(設定!$E$61:$E$106,MATCH(B83,設定!$B$61:$B$106,0)),"合算")</f>
        <v>合算</v>
      </c>
      <c r="X83" s="28"/>
      <c r="Y83" s="29" t="n">
        <f aca="false">IF(OR(G83="",G83="なし"),"",IF(W83="合算",CF83,IF(W83="掛金・負担金別",(AU83+AV83+AZ83+BB83+BD83),SUM(AU83:AY83))))</f>
        <v>198372</v>
      </c>
      <c r="Z83" s="27"/>
      <c r="AA83" s="29" t="str">
        <f aca="false">IF(OR(G83="",G83="なし"),"",IF(W83="掛金・負担金別",(AW83+AX83+AY83+BA83+BC83+BE83),IF(W83="経理区分別",AZ83+BA83,"")))</f>
        <v/>
      </c>
      <c r="AB83" s="27"/>
      <c r="AC83" s="29" t="str">
        <f aca="false">IF(OR(G83="",G83="なし"),"",IF(W83="経理区分別",BB83+BC83,""))</f>
        <v/>
      </c>
      <c r="AD83" s="27"/>
      <c r="AE83" s="29" t="str">
        <f aca="false">IF(OR(G83="",G83="なし"),"",IF(W83="経理区分別",BD83+BE83,""))</f>
        <v/>
      </c>
      <c r="AF83" s="27"/>
      <c r="AG83" s="26" t="s">
        <v>160</v>
      </c>
      <c r="AH83" s="26"/>
      <c r="AI83" s="30"/>
      <c r="AJ83" s="31"/>
      <c r="AK83" s="31"/>
      <c r="AL83" s="31"/>
      <c r="AM83" s="31"/>
      <c r="AN83" s="31"/>
      <c r="AO83" s="31"/>
      <c r="AP83" s="31"/>
      <c r="AQ83" s="31"/>
      <c r="AR83" s="31"/>
      <c r="AS83" s="31"/>
      <c r="AT83" s="31"/>
      <c r="AU83" s="31" t="n">
        <f aca="false">IF($G83="",AJ83,L83)</f>
        <v>56730</v>
      </c>
      <c r="AV83" s="31" t="n">
        <f aca="false">IF($G83="",AK83,M83)</f>
        <v>4650</v>
      </c>
      <c r="AW83" s="31" t="n">
        <f aca="false">IF($G83="",AL83,N83)</f>
        <v>56730</v>
      </c>
      <c r="AX83" s="31" t="n">
        <f aca="false">IF($G83="",AM83,O83)</f>
        <v>4650</v>
      </c>
      <c r="AY83" s="31" t="n">
        <f aca="false">IF($G83="",AN83,P83)</f>
        <v>53</v>
      </c>
      <c r="AZ83" s="31" t="n">
        <f aca="false">IF($G83="",AO83,Q83)</f>
        <v>32153</v>
      </c>
      <c r="BA83" s="31" t="n">
        <f aca="false">IF($G83="",AP83,R83)</f>
        <v>32184</v>
      </c>
      <c r="BB83" s="31" t="n">
        <f aca="false">IF($G83="",AQ83,S83)</f>
        <v>4898</v>
      </c>
      <c r="BC83" s="31" t="n">
        <f aca="false">IF($G83="",AR83,T83)</f>
        <v>4898</v>
      </c>
      <c r="BD83" s="31" t="n">
        <f aca="false">IF($G83="",AS83,U83)</f>
        <v>713</v>
      </c>
      <c r="BE83" s="31" t="n">
        <f aca="false">IF($G83="",AT83,V83)</f>
        <v>713</v>
      </c>
      <c r="BF83" s="31" t="n">
        <f aca="false">ROUNDDOWN(I83*設定!$B$10/1000,0)+ROUNDDOWN(I83*設定!$B$11/1000,0)</f>
        <v>0</v>
      </c>
      <c r="BG83" s="31" t="n">
        <f aca="false">ROUNDDOWN(I83*設定!$C$10/1000,0)+ROUNDDOWN(I83*設定!$C$11/1000,0)+ROUNDDOWN(I83*設定!$C$12/1000,0)</f>
        <v>0</v>
      </c>
      <c r="BH83" s="31" t="n">
        <f aca="false">ROUNDDOWN(J83*設定!$B$13/1000,0)</f>
        <v>0</v>
      </c>
      <c r="BI83" s="31" t="n">
        <f aca="false">ROUNDDOWN(J83*設定!$C$13/1000,0)</f>
        <v>0</v>
      </c>
      <c r="BJ83" s="31" t="n">
        <f aca="false">ROUNDDOWN(K83*設定!$B$14/1000,0)</f>
        <v>0</v>
      </c>
      <c r="BK83" s="31" t="n">
        <f aca="false">ROUNDDOWN(K83*設定!$C$14/1000,0)</f>
        <v>0</v>
      </c>
      <c r="BL83" s="31" t="n">
        <f aca="false">ROUNDDOWN(J83*設定!$B$15/1000,0)</f>
        <v>0</v>
      </c>
      <c r="BM83" s="31" t="n">
        <f aca="false">ROUNDDOWN(J83*設定!$C$15/1000,0)</f>
        <v>0</v>
      </c>
      <c r="BN83" s="31" t="n">
        <f aca="false">L83+M83</f>
        <v>61380</v>
      </c>
      <c r="BO83" s="31" t="n">
        <f aca="false">N83+O83+P83</f>
        <v>61433</v>
      </c>
      <c r="BP83" s="31" t="n">
        <f aca="false">Q83</f>
        <v>32153</v>
      </c>
      <c r="BQ83" s="31" t="n">
        <f aca="false">R83</f>
        <v>32184</v>
      </c>
      <c r="BR83" s="31" t="n">
        <f aca="false">S83</f>
        <v>4898</v>
      </c>
      <c r="BS83" s="31" t="n">
        <f aca="false">T83</f>
        <v>4898</v>
      </c>
      <c r="BT83" s="31" t="n">
        <f aca="false">U83</f>
        <v>713</v>
      </c>
      <c r="BU83" s="31" t="n">
        <f aca="false">V83</f>
        <v>713</v>
      </c>
      <c r="BV83" s="32" t="n">
        <f aca="false">IF(BF83=0,IF(BN83=0,0,1),(BN83-BF83)/BF83)</f>
        <v>1</v>
      </c>
      <c r="BW83" s="32" t="n">
        <f aca="false">IF(BG83=0,IF(BO83=0,0,1),(BO83-BG83)/BG83)</f>
        <v>1</v>
      </c>
      <c r="BX83" s="32" t="n">
        <f aca="false">IF(BH83=0,IF(BP83=0,0,1),(BP83-BH83)/BH83)</f>
        <v>1</v>
      </c>
      <c r="BY83" s="32" t="n">
        <f aca="false">IF(BI83=0,IF(BQ83=0,0,1),(BQ83-BI83)/BI83)</f>
        <v>1</v>
      </c>
      <c r="BZ83" s="32" t="n">
        <f aca="false">IF(BJ83=0,IF(BR83=0,0,1),(BR83-BJ83)/BJ83)</f>
        <v>1</v>
      </c>
      <c r="CA83" s="32" t="n">
        <f aca="false">IF(BK83=0,IF(BS83=0,0,1),(BS83-BK83)/BK83)</f>
        <v>1</v>
      </c>
      <c r="CB83" s="32" t="n">
        <f aca="false">IF(BL83=0,IF(BT83=0,0,1),(BT83-BL83)/BL83)</f>
        <v>1</v>
      </c>
      <c r="CC83" s="32" t="n">
        <f aca="false">IF(BM83=0,IF(BU83=0,0,1),(BU83-BM83)/BM83)</f>
        <v>1</v>
      </c>
      <c r="CD83" s="32" t="n">
        <f aca="false">MAX(MAX(BV83:CC83),-MIN(BV83:CC83))</f>
        <v>1</v>
      </c>
      <c r="CE83" s="31" t="n">
        <f aca="false">IF(CI83="","",SUMIFS($CF$7:$CF$696,$A$7:$A$696,CI83,$B$7:$B$696,B83))</f>
        <v>198372</v>
      </c>
      <c r="CF83" s="31" t="n">
        <f aca="false">SUM(AU83:BE83)</f>
        <v>198372</v>
      </c>
      <c r="CG83" s="33" t="str">
        <f aca="false">A83&amp;"|"&amp;B83</f>
        <v>2026-05 月例|広島県市長会</v>
      </c>
      <c r="CH83" s="34" t="str">
        <f aca="false">IFERROR(INDEX(設定!$D$61:$D$106,MATCH(B83,設定!$B$61:$B$106,0)),"Y")</f>
        <v>Y</v>
      </c>
      <c r="CI83" s="34" t="str">
        <f aca="false">IFERROR(INDEX(設定!$D$20:$D$34,MATCH(A83,設定!$A$20:$A$34,0))&amp;"","")</f>
        <v>2026-04 月例</v>
      </c>
    </row>
    <row r="84" customFormat="false" ht="15" hidden="true" customHeight="false" outlineLevel="0" collapsed="false">
      <c r="A84" s="22" t="s">
        <v>207</v>
      </c>
      <c r="B84" s="23" t="s">
        <v>192</v>
      </c>
      <c r="C84" s="10" t="str">
        <f aca="false">IF(G84="","未受領",IF(G84="なし","報告なし",IF(AH84="○","起票済",IF(OR(AG84="○",F84="一致",F84="入金不要"),"入金確認済","受領済"))))</f>
        <v>入金確認済</v>
      </c>
      <c r="D84" s="10" t="str">
        <f aca="false">IF(OR(G84="",G84="なし"),"―",IF(CH84="N","対象外",IF(AND(I84="",J84="",K84=""),"標報未入力",IF(CD84&gt;=設定!$B$4,"要確認","問題なし"))))</f>
        <v>標報未入力</v>
      </c>
      <c r="E84" s="24" t="str">
        <f aca="false">IF(OR(G84="",G84="なし",CE84="",CF84=0),"―",IF(CF84=CE84,"前月同額",IF(CE84=0,"―",IF(ABS(CF84/CE84-1)&gt;=設定!$B$5,"変動大 "&amp;TEXT(CF84/CE84-1,"+0%;-0%"),"〇"))))</f>
        <v>前月同額</v>
      </c>
      <c r="F84" s="10" t="str">
        <f aca="false">IF(OR(G84="",G84="なし"),"―",IF(CF84=0,"入金不要",IF(COUNT(Z84,AB84,AD84,AF84)=0,IF(AG84="○","手動確認","未入金"),IF(AND(N(Z84)=Y84,IF(AA84="",TRUE(),N(AB84)=AA84),IF(AC84="",TRUE(),N(AD84)=AC84),IF(AE84="",TRUE(),N(AF84)=AE84)),"一致","不一致"))))</f>
        <v>手動確認</v>
      </c>
      <c r="G84" s="25" t="s">
        <v>159</v>
      </c>
      <c r="H84" s="26"/>
      <c r="I84" s="27"/>
      <c r="J84" s="27"/>
      <c r="K84" s="27"/>
      <c r="L84" s="27" t="n">
        <v>59475</v>
      </c>
      <c r="M84" s="27" t="n">
        <v>4875</v>
      </c>
      <c r="N84" s="27" t="n">
        <v>59475</v>
      </c>
      <c r="O84" s="27" t="n">
        <v>4875</v>
      </c>
      <c r="P84" s="27" t="n">
        <v>56</v>
      </c>
      <c r="Q84" s="27" t="n">
        <v>38895</v>
      </c>
      <c r="R84" s="27" t="n">
        <v>38932</v>
      </c>
      <c r="S84" s="27" t="n">
        <v>5925</v>
      </c>
      <c r="T84" s="27" t="n">
        <v>5925</v>
      </c>
      <c r="U84" s="27" t="n">
        <v>862</v>
      </c>
      <c r="V84" s="27" t="n">
        <v>862</v>
      </c>
      <c r="W84" s="10" t="str">
        <f aca="false">IFERROR(INDEX(設定!$E$61:$E$106,MATCH(B84,設定!$B$61:$B$106,0)),"合算")</f>
        <v>合算</v>
      </c>
      <c r="X84" s="28"/>
      <c r="Y84" s="29" t="n">
        <f aca="false">IF(OR(G84="",G84="なし"),"",IF(W84="合算",CF84,IF(W84="掛金・負担金別",(AU84+AV84+AZ84+BB84+BD84),SUM(AU84:AY84))))</f>
        <v>220157</v>
      </c>
      <c r="Z84" s="27"/>
      <c r="AA84" s="29" t="str">
        <f aca="false">IF(OR(G84="",G84="なし"),"",IF(W84="掛金・負担金別",(AW84+AX84+AY84+BA84+BC84+BE84),IF(W84="経理区分別",AZ84+BA84,"")))</f>
        <v/>
      </c>
      <c r="AB84" s="27"/>
      <c r="AC84" s="29" t="str">
        <f aca="false">IF(OR(G84="",G84="なし"),"",IF(W84="経理区分別",BB84+BC84,""))</f>
        <v/>
      </c>
      <c r="AD84" s="27"/>
      <c r="AE84" s="29" t="str">
        <f aca="false">IF(OR(G84="",G84="なし"),"",IF(W84="経理区分別",BD84+BE84,""))</f>
        <v/>
      </c>
      <c r="AF84" s="27"/>
      <c r="AG84" s="26" t="s">
        <v>160</v>
      </c>
      <c r="AH84" s="26"/>
      <c r="AI84" s="30"/>
      <c r="AJ84" s="31"/>
      <c r="AK84" s="31"/>
      <c r="AL84" s="31"/>
      <c r="AM84" s="31"/>
      <c r="AN84" s="31"/>
      <c r="AO84" s="31"/>
      <c r="AP84" s="31"/>
      <c r="AQ84" s="31"/>
      <c r="AR84" s="31"/>
      <c r="AS84" s="31"/>
      <c r="AT84" s="31"/>
      <c r="AU84" s="31" t="n">
        <f aca="false">IF($G84="",AJ84,L84)</f>
        <v>59475</v>
      </c>
      <c r="AV84" s="31" t="n">
        <f aca="false">IF($G84="",AK84,M84)</f>
        <v>4875</v>
      </c>
      <c r="AW84" s="31" t="n">
        <f aca="false">IF($G84="",AL84,N84)</f>
        <v>59475</v>
      </c>
      <c r="AX84" s="31" t="n">
        <f aca="false">IF($G84="",AM84,O84)</f>
        <v>4875</v>
      </c>
      <c r="AY84" s="31" t="n">
        <f aca="false">IF($G84="",AN84,P84)</f>
        <v>56</v>
      </c>
      <c r="AZ84" s="31" t="n">
        <f aca="false">IF($G84="",AO84,Q84)</f>
        <v>38895</v>
      </c>
      <c r="BA84" s="31" t="n">
        <f aca="false">IF($G84="",AP84,R84)</f>
        <v>38932</v>
      </c>
      <c r="BB84" s="31" t="n">
        <f aca="false">IF($G84="",AQ84,S84)</f>
        <v>5925</v>
      </c>
      <c r="BC84" s="31" t="n">
        <f aca="false">IF($G84="",AR84,T84)</f>
        <v>5925</v>
      </c>
      <c r="BD84" s="31" t="n">
        <f aca="false">IF($G84="",AS84,U84)</f>
        <v>862</v>
      </c>
      <c r="BE84" s="31" t="n">
        <f aca="false">IF($G84="",AT84,V84)</f>
        <v>862</v>
      </c>
      <c r="BF84" s="31" t="n">
        <f aca="false">ROUNDDOWN(I84*設定!$B$10/1000,0)+ROUNDDOWN(I84*設定!$B$11/1000,0)</f>
        <v>0</v>
      </c>
      <c r="BG84" s="31" t="n">
        <f aca="false">ROUNDDOWN(I84*設定!$C$10/1000,0)+ROUNDDOWN(I84*設定!$C$11/1000,0)+ROUNDDOWN(I84*設定!$C$12/1000,0)</f>
        <v>0</v>
      </c>
      <c r="BH84" s="31" t="n">
        <f aca="false">ROUNDDOWN(J84*設定!$B$13/1000,0)</f>
        <v>0</v>
      </c>
      <c r="BI84" s="31" t="n">
        <f aca="false">ROUNDDOWN(J84*設定!$C$13/1000,0)</f>
        <v>0</v>
      </c>
      <c r="BJ84" s="31" t="n">
        <f aca="false">ROUNDDOWN(K84*設定!$B$14/1000,0)</f>
        <v>0</v>
      </c>
      <c r="BK84" s="31" t="n">
        <f aca="false">ROUNDDOWN(K84*設定!$C$14/1000,0)</f>
        <v>0</v>
      </c>
      <c r="BL84" s="31" t="n">
        <f aca="false">ROUNDDOWN(J84*設定!$B$15/1000,0)</f>
        <v>0</v>
      </c>
      <c r="BM84" s="31" t="n">
        <f aca="false">ROUNDDOWN(J84*設定!$C$15/1000,0)</f>
        <v>0</v>
      </c>
      <c r="BN84" s="31" t="n">
        <f aca="false">L84+M84</f>
        <v>64350</v>
      </c>
      <c r="BO84" s="31" t="n">
        <f aca="false">N84+O84+P84</f>
        <v>64406</v>
      </c>
      <c r="BP84" s="31" t="n">
        <f aca="false">Q84</f>
        <v>38895</v>
      </c>
      <c r="BQ84" s="31" t="n">
        <f aca="false">R84</f>
        <v>38932</v>
      </c>
      <c r="BR84" s="31" t="n">
        <f aca="false">S84</f>
        <v>5925</v>
      </c>
      <c r="BS84" s="31" t="n">
        <f aca="false">T84</f>
        <v>5925</v>
      </c>
      <c r="BT84" s="31" t="n">
        <f aca="false">U84</f>
        <v>862</v>
      </c>
      <c r="BU84" s="31" t="n">
        <f aca="false">V84</f>
        <v>862</v>
      </c>
      <c r="BV84" s="32" t="n">
        <f aca="false">IF(BF84=0,IF(BN84=0,0,1),(BN84-BF84)/BF84)</f>
        <v>1</v>
      </c>
      <c r="BW84" s="32" t="n">
        <f aca="false">IF(BG84=0,IF(BO84=0,0,1),(BO84-BG84)/BG84)</f>
        <v>1</v>
      </c>
      <c r="BX84" s="32" t="n">
        <f aca="false">IF(BH84=0,IF(BP84=0,0,1),(BP84-BH84)/BH84)</f>
        <v>1</v>
      </c>
      <c r="BY84" s="32" t="n">
        <f aca="false">IF(BI84=0,IF(BQ84=0,0,1),(BQ84-BI84)/BI84)</f>
        <v>1</v>
      </c>
      <c r="BZ84" s="32" t="n">
        <f aca="false">IF(BJ84=0,IF(BR84=0,0,1),(BR84-BJ84)/BJ84)</f>
        <v>1</v>
      </c>
      <c r="CA84" s="32" t="n">
        <f aca="false">IF(BK84=0,IF(BS84=0,0,1),(BS84-BK84)/BK84)</f>
        <v>1</v>
      </c>
      <c r="CB84" s="32" t="n">
        <f aca="false">IF(BL84=0,IF(BT84=0,0,1),(BT84-BL84)/BL84)</f>
        <v>1</v>
      </c>
      <c r="CC84" s="32" t="n">
        <f aca="false">IF(BM84=0,IF(BU84=0,0,1),(BU84-BM84)/BM84)</f>
        <v>1</v>
      </c>
      <c r="CD84" s="32" t="n">
        <f aca="false">MAX(MAX(BV84:CC84),-MIN(BV84:CC84))</f>
        <v>1</v>
      </c>
      <c r="CE84" s="31" t="n">
        <f aca="false">IF(CI84="","",SUMIFS($CF$7:$CF$696,$A$7:$A$696,CI84,$B$7:$B$696,B84))</f>
        <v>220157</v>
      </c>
      <c r="CF84" s="31" t="n">
        <f aca="false">SUM(AU84:BE84)</f>
        <v>220157</v>
      </c>
      <c r="CG84" s="33" t="str">
        <f aca="false">A84&amp;"|"&amp;B84</f>
        <v>2026-05 月例|全国市町村研修財団</v>
      </c>
      <c r="CH84" s="34" t="str">
        <f aca="false">IFERROR(INDEX(設定!$D$61:$D$106,MATCH(B84,設定!$B$61:$B$106,0)),"Y")</f>
        <v>Y</v>
      </c>
      <c r="CI84" s="34" t="str">
        <f aca="false">IFERROR(INDEX(設定!$D$20:$D$34,MATCH(A84,設定!$A$20:$A$34,0))&amp;"","")</f>
        <v>2026-04 月例</v>
      </c>
    </row>
    <row r="85" customFormat="false" ht="15" hidden="true" customHeight="false" outlineLevel="0" collapsed="false">
      <c r="A85" s="22" t="s">
        <v>207</v>
      </c>
      <c r="B85" s="23" t="s">
        <v>193</v>
      </c>
      <c r="C85" s="10" t="str">
        <f aca="false">IF(G85="","未受領",IF(G85="なし","報告なし",IF(AH85="○","起票済",IF(OR(AG85="○",F85="一致",F85="入金不要"),"入金確認済","受領済"))))</f>
        <v>入金確認済</v>
      </c>
      <c r="D85" s="10" t="str">
        <f aca="false">IF(OR(G85="",G85="なし"),"―",IF(CH85="N","対象外",IF(AND(I85="",J85="",K85=""),"標報未入力",IF(CD85&gt;=設定!$B$4,"要確認","問題なし"))))</f>
        <v>標報未入力</v>
      </c>
      <c r="E85" s="24" t="str">
        <f aca="false">IF(OR(G85="",G85="なし",CE85="",CF85=0),"―",IF(CF85=CE85,"前月同額",IF(CE85=0,"―",IF(ABS(CF85/CE85-1)&gt;=設定!$B$5,"変動大 "&amp;TEXT(CF85/CE85-1,"+0%;-0%"),"〇"))))</f>
        <v>前月同額</v>
      </c>
      <c r="F85" s="10" t="str">
        <f aca="false">IF(OR(G85="",G85="なし"),"―",IF(CF85=0,"入金不要",IF(COUNT(Z85,AB85,AD85,AF85)=0,IF(AG85="○","手動確認","未入金"),IF(AND(N(Z85)=Y85,IF(AA85="",TRUE(),N(AB85)=AA85),IF(AC85="",TRUE(),N(AD85)=AC85),IF(AE85="",TRUE(),N(AF85)=AE85)),"一致","不一致"))))</f>
        <v>手動確認</v>
      </c>
      <c r="G85" s="25" t="s">
        <v>159</v>
      </c>
      <c r="H85" s="26"/>
      <c r="I85" s="27"/>
      <c r="J85" s="27"/>
      <c r="K85" s="27"/>
      <c r="L85" s="27" t="n">
        <v>37515</v>
      </c>
      <c r="M85" s="27" t="n">
        <v>3075</v>
      </c>
      <c r="N85" s="27" t="n">
        <v>37515</v>
      </c>
      <c r="O85" s="27" t="n">
        <v>3075</v>
      </c>
      <c r="P85" s="27" t="n">
        <v>35</v>
      </c>
      <c r="Q85" s="27" t="n">
        <v>21262</v>
      </c>
      <c r="R85" s="27" t="n">
        <v>21283</v>
      </c>
      <c r="S85" s="27" t="n">
        <v>0</v>
      </c>
      <c r="T85" s="27" t="n">
        <v>0</v>
      </c>
      <c r="U85" s="27" t="n">
        <v>471</v>
      </c>
      <c r="V85" s="27" t="n">
        <v>471</v>
      </c>
      <c r="W85" s="10" t="str">
        <f aca="false">IFERROR(INDEX(設定!$E$61:$E$106,MATCH(B85,設定!$B$61:$B$106,0)),"合算")</f>
        <v>合算</v>
      </c>
      <c r="X85" s="28"/>
      <c r="Y85" s="29" t="n">
        <f aca="false">IF(OR(G85="",G85="なし"),"",IF(W85="合算",CF85,IF(W85="掛金・負担金別",(AU85+AV85+AZ85+BB85+BD85),SUM(AU85:AY85))))</f>
        <v>124702</v>
      </c>
      <c r="Z85" s="27"/>
      <c r="AA85" s="29" t="str">
        <f aca="false">IF(OR(G85="",G85="なし"),"",IF(W85="掛金・負担金別",(AW85+AX85+AY85+BA85+BC85+BE85),IF(W85="経理区分別",AZ85+BA85,"")))</f>
        <v/>
      </c>
      <c r="AB85" s="27"/>
      <c r="AC85" s="29" t="str">
        <f aca="false">IF(OR(G85="",G85="なし"),"",IF(W85="経理区分別",BB85+BC85,""))</f>
        <v/>
      </c>
      <c r="AD85" s="27"/>
      <c r="AE85" s="29" t="str">
        <f aca="false">IF(OR(G85="",G85="なし"),"",IF(W85="経理区分別",BD85+BE85,""))</f>
        <v/>
      </c>
      <c r="AF85" s="27"/>
      <c r="AG85" s="26" t="s">
        <v>160</v>
      </c>
      <c r="AH85" s="26"/>
      <c r="AI85" s="30"/>
      <c r="AJ85" s="31"/>
      <c r="AK85" s="31"/>
      <c r="AL85" s="31"/>
      <c r="AM85" s="31"/>
      <c r="AN85" s="31"/>
      <c r="AO85" s="31"/>
      <c r="AP85" s="31"/>
      <c r="AQ85" s="31"/>
      <c r="AR85" s="31"/>
      <c r="AS85" s="31"/>
      <c r="AT85" s="31"/>
      <c r="AU85" s="31" t="n">
        <f aca="false">IF($G85="",AJ85,L85)</f>
        <v>37515</v>
      </c>
      <c r="AV85" s="31" t="n">
        <f aca="false">IF($G85="",AK85,M85)</f>
        <v>3075</v>
      </c>
      <c r="AW85" s="31" t="n">
        <f aca="false">IF($G85="",AL85,N85)</f>
        <v>37515</v>
      </c>
      <c r="AX85" s="31" t="n">
        <f aca="false">IF($G85="",AM85,O85)</f>
        <v>3075</v>
      </c>
      <c r="AY85" s="31" t="n">
        <f aca="false">IF($G85="",AN85,P85)</f>
        <v>35</v>
      </c>
      <c r="AZ85" s="31" t="n">
        <f aca="false">IF($G85="",AO85,Q85)</f>
        <v>21262</v>
      </c>
      <c r="BA85" s="31" t="n">
        <f aca="false">IF($G85="",AP85,R85)</f>
        <v>21283</v>
      </c>
      <c r="BB85" s="31" t="n">
        <f aca="false">IF($G85="",AQ85,S85)</f>
        <v>0</v>
      </c>
      <c r="BC85" s="31" t="n">
        <f aca="false">IF($G85="",AR85,T85)</f>
        <v>0</v>
      </c>
      <c r="BD85" s="31" t="n">
        <f aca="false">IF($G85="",AS85,U85)</f>
        <v>471</v>
      </c>
      <c r="BE85" s="31" t="n">
        <f aca="false">IF($G85="",AT85,V85)</f>
        <v>471</v>
      </c>
      <c r="BF85" s="31" t="n">
        <f aca="false">ROUNDDOWN(I85*設定!$B$10/1000,0)+ROUNDDOWN(I85*設定!$B$11/1000,0)</f>
        <v>0</v>
      </c>
      <c r="BG85" s="31" t="n">
        <f aca="false">ROUNDDOWN(I85*設定!$C$10/1000,0)+ROUNDDOWN(I85*設定!$C$11/1000,0)+ROUNDDOWN(I85*設定!$C$12/1000,0)</f>
        <v>0</v>
      </c>
      <c r="BH85" s="31" t="n">
        <f aca="false">ROUNDDOWN(J85*設定!$B$13/1000,0)</f>
        <v>0</v>
      </c>
      <c r="BI85" s="31" t="n">
        <f aca="false">ROUNDDOWN(J85*設定!$C$13/1000,0)</f>
        <v>0</v>
      </c>
      <c r="BJ85" s="31" t="n">
        <f aca="false">ROUNDDOWN(K85*設定!$B$14/1000,0)</f>
        <v>0</v>
      </c>
      <c r="BK85" s="31" t="n">
        <f aca="false">ROUNDDOWN(K85*設定!$C$14/1000,0)</f>
        <v>0</v>
      </c>
      <c r="BL85" s="31" t="n">
        <f aca="false">ROUNDDOWN(J85*設定!$B$15/1000,0)</f>
        <v>0</v>
      </c>
      <c r="BM85" s="31" t="n">
        <f aca="false">ROUNDDOWN(J85*設定!$C$15/1000,0)</f>
        <v>0</v>
      </c>
      <c r="BN85" s="31" t="n">
        <f aca="false">L85+M85</f>
        <v>40590</v>
      </c>
      <c r="BO85" s="31" t="n">
        <f aca="false">N85+O85+P85</f>
        <v>40625</v>
      </c>
      <c r="BP85" s="31" t="n">
        <f aca="false">Q85</f>
        <v>21262</v>
      </c>
      <c r="BQ85" s="31" t="n">
        <f aca="false">R85</f>
        <v>21283</v>
      </c>
      <c r="BR85" s="31" t="n">
        <f aca="false">S85</f>
        <v>0</v>
      </c>
      <c r="BS85" s="31" t="n">
        <f aca="false">T85</f>
        <v>0</v>
      </c>
      <c r="BT85" s="31" t="n">
        <f aca="false">U85</f>
        <v>471</v>
      </c>
      <c r="BU85" s="31" t="n">
        <f aca="false">V85</f>
        <v>471</v>
      </c>
      <c r="BV85" s="32" t="n">
        <f aca="false">IF(BF85=0,IF(BN85=0,0,1),(BN85-BF85)/BF85)</f>
        <v>1</v>
      </c>
      <c r="BW85" s="32" t="n">
        <f aca="false">IF(BG85=0,IF(BO85=0,0,1),(BO85-BG85)/BG85)</f>
        <v>1</v>
      </c>
      <c r="BX85" s="32" t="n">
        <f aca="false">IF(BH85=0,IF(BP85=0,0,1),(BP85-BH85)/BH85)</f>
        <v>1</v>
      </c>
      <c r="BY85" s="32" t="n">
        <f aca="false">IF(BI85=0,IF(BQ85=0,0,1),(BQ85-BI85)/BI85)</f>
        <v>1</v>
      </c>
      <c r="BZ85" s="32" t="n">
        <f aca="false">IF(BJ85=0,IF(BR85=0,0,1),(BR85-BJ85)/BJ85)</f>
        <v>0</v>
      </c>
      <c r="CA85" s="32" t="n">
        <f aca="false">IF(BK85=0,IF(BS85=0,0,1),(BS85-BK85)/BK85)</f>
        <v>0</v>
      </c>
      <c r="CB85" s="32" t="n">
        <f aca="false">IF(BL85=0,IF(BT85=0,0,1),(BT85-BL85)/BL85)</f>
        <v>1</v>
      </c>
      <c r="CC85" s="32" t="n">
        <f aca="false">IF(BM85=0,IF(BU85=0,0,1),(BU85-BM85)/BM85)</f>
        <v>1</v>
      </c>
      <c r="CD85" s="32" t="n">
        <f aca="false">MAX(MAX(BV85:CC85),-MIN(BV85:CC85))</f>
        <v>1</v>
      </c>
      <c r="CE85" s="31" t="n">
        <f aca="false">IF(CI85="","",SUMIFS($CF$7:$CF$696,$A$7:$A$696,CI85,$B$7:$B$696,B85))</f>
        <v>124702</v>
      </c>
      <c r="CF85" s="31" t="n">
        <f aca="false">SUM(AU85:BE85)</f>
        <v>124702</v>
      </c>
      <c r="CG85" s="33" t="str">
        <f aca="false">A85&amp;"|"&amp;B85</f>
        <v>2026-05 月例|都市再生機構</v>
      </c>
      <c r="CH85" s="34" t="str">
        <f aca="false">IFERROR(INDEX(設定!$D$61:$D$106,MATCH(B85,設定!$B$61:$B$106,0)),"Y")</f>
        <v>Y</v>
      </c>
      <c r="CI85" s="34" t="str">
        <f aca="false">IFERROR(INDEX(設定!$D$20:$D$34,MATCH(A85,設定!$A$20:$A$34,0))&amp;"","")</f>
        <v>2026-04 月例</v>
      </c>
    </row>
    <row r="86" customFormat="false" ht="15" hidden="true" customHeight="false" outlineLevel="0" collapsed="false">
      <c r="A86" s="22" t="s">
        <v>207</v>
      </c>
      <c r="B86" s="23" t="s">
        <v>194</v>
      </c>
      <c r="C86" s="10" t="str">
        <f aca="false">IF(G86="","未受領",IF(G86="なし","報告なし",IF(AH86="○","起票済",IF(OR(AG86="○",F86="一致",F86="入金不要"),"入金確認済","受領済"))))</f>
        <v>入金確認済</v>
      </c>
      <c r="D86" s="10" t="str">
        <f aca="false">IF(OR(G86="",G86="なし"),"―",IF(CH86="N","対象外",IF(AND(I86="",J86="",K86=""),"標報未入力",IF(CD86&gt;=設定!$B$4,"要確認","問題なし"))))</f>
        <v>標報未入力</v>
      </c>
      <c r="E86" s="24" t="str">
        <f aca="false">IF(OR(G86="",G86="なし",CE86="",CF86=0),"―",IF(CF86=CE86,"前月同額",IF(CE86=0,"―",IF(ABS(CF86/CE86-1)&gt;=設定!$B$5,"変動大 "&amp;TEXT(CF86/CE86-1,"+0%;-0%"),"〇"))))</f>
        <v>前月同額</v>
      </c>
      <c r="F86" s="10" t="str">
        <f aca="false">IF(OR(G86="",G86="なし"),"―",IF(CF86=0,"入金不要",IF(COUNT(Z86,AB86,AD86,AF86)=0,IF(AG86="○","手動確認","未入金"),IF(AND(N(Z86)=Y86,IF(AA86="",TRUE(),N(AB86)=AA86),IF(AC86="",TRUE(),N(AD86)=AC86),IF(AE86="",TRUE(),N(AF86)=AE86)),"一致","不一致"))))</f>
        <v>手動確認</v>
      </c>
      <c r="G86" s="25" t="s">
        <v>159</v>
      </c>
      <c r="H86" s="26"/>
      <c r="I86" s="27"/>
      <c r="J86" s="27"/>
      <c r="K86" s="27"/>
      <c r="L86" s="27" t="n">
        <v>1201395</v>
      </c>
      <c r="M86" s="27" t="n">
        <v>98475</v>
      </c>
      <c r="N86" s="27" t="n">
        <v>1201395</v>
      </c>
      <c r="O86" s="27" t="n">
        <v>98475</v>
      </c>
      <c r="P86" s="27" t="n">
        <v>1208</v>
      </c>
      <c r="Q86" s="27" t="n">
        <v>690245</v>
      </c>
      <c r="R86" s="27" t="n">
        <v>690961</v>
      </c>
      <c r="S86" s="27" t="n">
        <v>79632</v>
      </c>
      <c r="T86" s="27" t="n">
        <v>79632</v>
      </c>
      <c r="U86" s="27" t="n">
        <v>15300</v>
      </c>
      <c r="V86" s="27" t="n">
        <v>15306</v>
      </c>
      <c r="W86" s="10" t="str">
        <f aca="false">IFERROR(INDEX(設定!$E$61:$E$106,MATCH(B86,設定!$B$61:$B$106,0)),"合算")</f>
        <v>合算</v>
      </c>
      <c r="X86" s="28"/>
      <c r="Y86" s="29" t="n">
        <f aca="false">IF(OR(G86="",G86="なし"),"",IF(W86="合算",CF86,IF(W86="掛金・負担金別",(AU86+AV86+AZ86+BB86+BD86),SUM(AU86:AY86))))</f>
        <v>4172024</v>
      </c>
      <c r="Z86" s="27"/>
      <c r="AA86" s="29" t="str">
        <f aca="false">IF(OR(G86="",G86="なし"),"",IF(W86="掛金・負担金別",(AW86+AX86+AY86+BA86+BC86+BE86),IF(W86="経理区分別",AZ86+BA86,"")))</f>
        <v/>
      </c>
      <c r="AB86" s="27"/>
      <c r="AC86" s="29" t="str">
        <f aca="false">IF(OR(G86="",G86="なし"),"",IF(W86="経理区分別",BB86+BC86,""))</f>
        <v/>
      </c>
      <c r="AD86" s="27"/>
      <c r="AE86" s="29" t="str">
        <f aca="false">IF(OR(G86="",G86="なし"),"",IF(W86="経理区分別",BD86+BE86,""))</f>
        <v/>
      </c>
      <c r="AF86" s="27"/>
      <c r="AG86" s="26" t="s">
        <v>160</v>
      </c>
      <c r="AH86" s="26"/>
      <c r="AI86" s="30"/>
      <c r="AJ86" s="31"/>
      <c r="AK86" s="31"/>
      <c r="AL86" s="31"/>
      <c r="AM86" s="31"/>
      <c r="AN86" s="31"/>
      <c r="AO86" s="31"/>
      <c r="AP86" s="31"/>
      <c r="AQ86" s="31"/>
      <c r="AR86" s="31"/>
      <c r="AS86" s="31"/>
      <c r="AT86" s="31"/>
      <c r="AU86" s="31" t="n">
        <f aca="false">IF($G86="",AJ86,L86)</f>
        <v>1201395</v>
      </c>
      <c r="AV86" s="31" t="n">
        <f aca="false">IF($G86="",AK86,M86)</f>
        <v>98475</v>
      </c>
      <c r="AW86" s="31" t="n">
        <f aca="false">IF($G86="",AL86,N86)</f>
        <v>1201395</v>
      </c>
      <c r="AX86" s="31" t="n">
        <f aca="false">IF($G86="",AM86,O86)</f>
        <v>98475</v>
      </c>
      <c r="AY86" s="31" t="n">
        <f aca="false">IF($G86="",AN86,P86)</f>
        <v>1208</v>
      </c>
      <c r="AZ86" s="31" t="n">
        <f aca="false">IF($G86="",AO86,Q86)</f>
        <v>690245</v>
      </c>
      <c r="BA86" s="31" t="n">
        <f aca="false">IF($G86="",AP86,R86)</f>
        <v>690961</v>
      </c>
      <c r="BB86" s="31" t="n">
        <f aca="false">IF($G86="",AQ86,S86)</f>
        <v>79632</v>
      </c>
      <c r="BC86" s="31" t="n">
        <f aca="false">IF($G86="",AR86,T86)</f>
        <v>79632</v>
      </c>
      <c r="BD86" s="31" t="n">
        <f aca="false">IF($G86="",AS86,U86)</f>
        <v>15300</v>
      </c>
      <c r="BE86" s="31" t="n">
        <f aca="false">IF($G86="",AT86,V86)</f>
        <v>15306</v>
      </c>
      <c r="BF86" s="31" t="n">
        <f aca="false">ROUNDDOWN(I86*設定!$B$10/1000,0)+ROUNDDOWN(I86*設定!$B$11/1000,0)</f>
        <v>0</v>
      </c>
      <c r="BG86" s="31" t="n">
        <f aca="false">ROUNDDOWN(I86*設定!$C$10/1000,0)+ROUNDDOWN(I86*設定!$C$11/1000,0)+ROUNDDOWN(I86*設定!$C$12/1000,0)</f>
        <v>0</v>
      </c>
      <c r="BH86" s="31" t="n">
        <f aca="false">ROUNDDOWN(J86*設定!$B$13/1000,0)</f>
        <v>0</v>
      </c>
      <c r="BI86" s="31" t="n">
        <f aca="false">ROUNDDOWN(J86*設定!$C$13/1000,0)</f>
        <v>0</v>
      </c>
      <c r="BJ86" s="31" t="n">
        <f aca="false">ROUNDDOWN(K86*設定!$B$14/1000,0)</f>
        <v>0</v>
      </c>
      <c r="BK86" s="31" t="n">
        <f aca="false">ROUNDDOWN(K86*設定!$C$14/1000,0)</f>
        <v>0</v>
      </c>
      <c r="BL86" s="31" t="n">
        <f aca="false">ROUNDDOWN(J86*設定!$B$15/1000,0)</f>
        <v>0</v>
      </c>
      <c r="BM86" s="31" t="n">
        <f aca="false">ROUNDDOWN(J86*設定!$C$15/1000,0)</f>
        <v>0</v>
      </c>
      <c r="BN86" s="31" t="n">
        <f aca="false">L86+M86</f>
        <v>1299870</v>
      </c>
      <c r="BO86" s="31" t="n">
        <f aca="false">N86+O86+P86</f>
        <v>1301078</v>
      </c>
      <c r="BP86" s="31" t="n">
        <f aca="false">Q86</f>
        <v>690245</v>
      </c>
      <c r="BQ86" s="31" t="n">
        <f aca="false">R86</f>
        <v>690961</v>
      </c>
      <c r="BR86" s="31" t="n">
        <f aca="false">S86</f>
        <v>79632</v>
      </c>
      <c r="BS86" s="31" t="n">
        <f aca="false">T86</f>
        <v>79632</v>
      </c>
      <c r="BT86" s="31" t="n">
        <f aca="false">U86</f>
        <v>15300</v>
      </c>
      <c r="BU86" s="31" t="n">
        <f aca="false">V86</f>
        <v>15306</v>
      </c>
      <c r="BV86" s="32" t="n">
        <f aca="false">IF(BF86=0,IF(BN86=0,0,1),(BN86-BF86)/BF86)</f>
        <v>1</v>
      </c>
      <c r="BW86" s="32" t="n">
        <f aca="false">IF(BG86=0,IF(BO86=0,0,1),(BO86-BG86)/BG86)</f>
        <v>1</v>
      </c>
      <c r="BX86" s="32" t="n">
        <f aca="false">IF(BH86=0,IF(BP86=0,0,1),(BP86-BH86)/BH86)</f>
        <v>1</v>
      </c>
      <c r="BY86" s="32" t="n">
        <f aca="false">IF(BI86=0,IF(BQ86=0,0,1),(BQ86-BI86)/BI86)</f>
        <v>1</v>
      </c>
      <c r="BZ86" s="32" t="n">
        <f aca="false">IF(BJ86=0,IF(BR86=0,0,1),(BR86-BJ86)/BJ86)</f>
        <v>1</v>
      </c>
      <c r="CA86" s="32" t="n">
        <f aca="false">IF(BK86=0,IF(BS86=0,0,1),(BS86-BK86)/BK86)</f>
        <v>1</v>
      </c>
      <c r="CB86" s="32" t="n">
        <f aca="false">IF(BL86=0,IF(BT86=0,0,1),(BT86-BL86)/BL86)</f>
        <v>1</v>
      </c>
      <c r="CC86" s="32" t="n">
        <f aca="false">IF(BM86=0,IF(BU86=0,0,1),(BU86-BM86)/BM86)</f>
        <v>1</v>
      </c>
      <c r="CD86" s="32" t="n">
        <f aca="false">MAX(MAX(BV86:CC86),-MIN(BV86:CC86))</f>
        <v>1</v>
      </c>
      <c r="CE86" s="31" t="n">
        <f aca="false">IF(CI86="","",SUMIFS($CF$7:$CF$696,$A$7:$A$696,CI86,$B$7:$B$696,B86))</f>
        <v>4172024</v>
      </c>
      <c r="CF86" s="31" t="n">
        <f aca="false">SUM(AU86:BE86)</f>
        <v>4172024</v>
      </c>
      <c r="CG86" s="33" t="str">
        <f aca="false">A86&amp;"|"&amp;B86</f>
        <v>2026-05 月例|広島市立大学</v>
      </c>
      <c r="CH86" s="34" t="str">
        <f aca="false">IFERROR(INDEX(設定!$D$61:$D$106,MATCH(B86,設定!$B$61:$B$106,0)),"Y")</f>
        <v>Y</v>
      </c>
      <c r="CI86" s="34" t="str">
        <f aca="false">IFERROR(INDEX(設定!$D$20:$D$34,MATCH(A86,設定!$A$20:$A$34,0))&amp;"","")</f>
        <v>2026-04 月例</v>
      </c>
    </row>
    <row r="87" customFormat="false" ht="15" hidden="true" customHeight="false" outlineLevel="0" collapsed="false">
      <c r="A87" s="22" t="s">
        <v>207</v>
      </c>
      <c r="B87" s="23" t="s">
        <v>195</v>
      </c>
      <c r="C87" s="10" t="str">
        <f aca="false">IF(G87="","未受領",IF(G87="なし","報告なし",IF(AH87="○","起票済",IF(OR(AG87="○",F87="一致",F87="入金不要"),"入金確認済","受領済"))))</f>
        <v>入金確認済</v>
      </c>
      <c r="D87" s="10" t="str">
        <f aca="false">IF(OR(G87="",G87="なし"),"―",IF(CH87="N","対象外",IF(AND(I87="",J87="",K87=""),"標報未入力",IF(CD87&gt;=設定!$B$4,"要確認","問題なし"))))</f>
        <v>標報未入力</v>
      </c>
      <c r="E87" s="24" t="str">
        <f aca="false">IF(OR(G87="",G87="なし",CE87="",CF87=0),"―",IF(CF87=CE87,"前月同額",IF(CE87=0,"―",IF(ABS(CF87/CE87-1)&gt;=設定!$B$5,"変動大 "&amp;TEXT(CF87/CE87-1,"+0%;-0%"),"〇"))))</f>
        <v>前月同額</v>
      </c>
      <c r="F87" s="10" t="str">
        <f aca="false">IF(OR(G87="",G87="なし"),"―",IF(CF87=0,"入金不要",IF(COUNT(Z87,AB87,AD87,AF87)=0,IF(AG87="○","手動確認","未入金"),IF(AND(N(Z87)=Y87,IF(AA87="",TRUE(),N(AB87)=AA87),IF(AC87="",TRUE(),N(AD87)=AC87),IF(AE87="",TRUE(),N(AF87)=AE87)),"一致","不一致"))))</f>
        <v>手動確認</v>
      </c>
      <c r="G87" s="25" t="s">
        <v>159</v>
      </c>
      <c r="H87" s="26"/>
      <c r="I87" s="27"/>
      <c r="J87" s="27"/>
      <c r="K87" s="27"/>
      <c r="L87" s="27"/>
      <c r="M87" s="27"/>
      <c r="N87" s="27" t="n">
        <v>242475</v>
      </c>
      <c r="O87" s="27" t="n">
        <v>19875</v>
      </c>
      <c r="P87" s="27" t="n">
        <v>230</v>
      </c>
      <c r="Q87" s="27"/>
      <c r="R87" s="27" t="n">
        <v>140676</v>
      </c>
      <c r="S87" s="27"/>
      <c r="T87" s="27" t="n">
        <v>10507</v>
      </c>
      <c r="U87" s="27"/>
      <c r="V87" s="27" t="n">
        <v>3116</v>
      </c>
      <c r="W87" s="10" t="str">
        <f aca="false">IFERROR(INDEX(設定!$E$61:$E$106,MATCH(B87,設定!$B$61:$B$106,0)),"合算")</f>
        <v>合算</v>
      </c>
      <c r="X87" s="28"/>
      <c r="Y87" s="29" t="n">
        <f aca="false">IF(OR(G87="",G87="なし"),"",IF(W87="合算",CF87,IF(W87="掛金・負担金別",(AU87+AV87+AZ87+BB87+BD87),SUM(AU87:AY87))))</f>
        <v>416879</v>
      </c>
      <c r="Z87" s="27"/>
      <c r="AA87" s="29" t="str">
        <f aca="false">IF(OR(G87="",G87="なし"),"",IF(W87="掛金・負担金別",(AW87+AX87+AY87+BA87+BC87+BE87),IF(W87="経理区分別",AZ87+BA87,"")))</f>
        <v/>
      </c>
      <c r="AB87" s="27"/>
      <c r="AC87" s="29" t="str">
        <f aca="false">IF(OR(G87="",G87="なし"),"",IF(W87="経理区分別",BB87+BC87,""))</f>
        <v/>
      </c>
      <c r="AD87" s="27"/>
      <c r="AE87" s="29" t="str">
        <f aca="false">IF(OR(G87="",G87="なし"),"",IF(W87="経理区分別",BD87+BE87,""))</f>
        <v/>
      </c>
      <c r="AF87" s="27"/>
      <c r="AG87" s="26" t="s">
        <v>160</v>
      </c>
      <c r="AH87" s="26"/>
      <c r="AI87" s="30"/>
      <c r="AJ87" s="31"/>
      <c r="AK87" s="31"/>
      <c r="AL87" s="31"/>
      <c r="AM87" s="31"/>
      <c r="AN87" s="31"/>
      <c r="AO87" s="31"/>
      <c r="AP87" s="31"/>
      <c r="AQ87" s="31"/>
      <c r="AR87" s="31"/>
      <c r="AS87" s="31"/>
      <c r="AT87" s="31"/>
      <c r="AU87" s="31" t="n">
        <f aca="false">IF($G87="",AJ87,L87)</f>
        <v>0</v>
      </c>
      <c r="AV87" s="31" t="n">
        <f aca="false">IF($G87="",AK87,M87)</f>
        <v>0</v>
      </c>
      <c r="AW87" s="31" t="n">
        <f aca="false">IF($G87="",AL87,N87)</f>
        <v>242475</v>
      </c>
      <c r="AX87" s="31" t="n">
        <f aca="false">IF($G87="",AM87,O87)</f>
        <v>19875</v>
      </c>
      <c r="AY87" s="31" t="n">
        <f aca="false">IF($G87="",AN87,P87)</f>
        <v>230</v>
      </c>
      <c r="AZ87" s="31" t="n">
        <f aca="false">IF($G87="",AO87,Q87)</f>
        <v>0</v>
      </c>
      <c r="BA87" s="31" t="n">
        <f aca="false">IF($G87="",AP87,R87)</f>
        <v>140676</v>
      </c>
      <c r="BB87" s="31" t="n">
        <f aca="false">IF($G87="",AQ87,S87)</f>
        <v>0</v>
      </c>
      <c r="BC87" s="31" t="n">
        <f aca="false">IF($G87="",AR87,T87)</f>
        <v>10507</v>
      </c>
      <c r="BD87" s="31" t="n">
        <f aca="false">IF($G87="",AS87,U87)</f>
        <v>0</v>
      </c>
      <c r="BE87" s="31" t="n">
        <f aca="false">IF($G87="",AT87,V87)</f>
        <v>3116</v>
      </c>
      <c r="BF87" s="31" t="n">
        <f aca="false">ROUNDDOWN(I87*設定!$B$10/1000,0)+ROUNDDOWN(I87*設定!$B$11/1000,0)</f>
        <v>0</v>
      </c>
      <c r="BG87" s="31" t="n">
        <f aca="false">ROUNDDOWN(I87*設定!$C$10/1000,0)+ROUNDDOWN(I87*設定!$C$11/1000,0)+ROUNDDOWN(I87*設定!$C$12/1000,0)</f>
        <v>0</v>
      </c>
      <c r="BH87" s="31" t="n">
        <f aca="false">ROUNDDOWN(J87*設定!$B$13/1000,0)</f>
        <v>0</v>
      </c>
      <c r="BI87" s="31" t="n">
        <f aca="false">ROUNDDOWN(J87*設定!$C$13/1000,0)</f>
        <v>0</v>
      </c>
      <c r="BJ87" s="31" t="n">
        <f aca="false">ROUNDDOWN(K87*設定!$B$14/1000,0)</f>
        <v>0</v>
      </c>
      <c r="BK87" s="31" t="n">
        <f aca="false">ROUNDDOWN(K87*設定!$C$14/1000,0)</f>
        <v>0</v>
      </c>
      <c r="BL87" s="31" t="n">
        <f aca="false">ROUNDDOWN(J87*設定!$B$15/1000,0)</f>
        <v>0</v>
      </c>
      <c r="BM87" s="31" t="n">
        <f aca="false">ROUNDDOWN(J87*設定!$C$15/1000,0)</f>
        <v>0</v>
      </c>
      <c r="BN87" s="31" t="n">
        <f aca="false">L87+M87</f>
        <v>0</v>
      </c>
      <c r="BO87" s="31" t="n">
        <f aca="false">N87+O87+P87</f>
        <v>262580</v>
      </c>
      <c r="BP87" s="31" t="n">
        <f aca="false">Q87</f>
        <v>0</v>
      </c>
      <c r="BQ87" s="31" t="n">
        <f aca="false">R87</f>
        <v>140676</v>
      </c>
      <c r="BR87" s="31" t="n">
        <f aca="false">S87</f>
        <v>0</v>
      </c>
      <c r="BS87" s="31" t="n">
        <f aca="false">T87</f>
        <v>10507</v>
      </c>
      <c r="BT87" s="31" t="n">
        <f aca="false">U87</f>
        <v>0</v>
      </c>
      <c r="BU87" s="31" t="n">
        <f aca="false">V87</f>
        <v>3116</v>
      </c>
      <c r="BV87" s="32" t="n">
        <f aca="false">IF(BF87=0,IF(BN87=0,0,1),(BN87-BF87)/BF87)</f>
        <v>0</v>
      </c>
      <c r="BW87" s="32" t="n">
        <f aca="false">IF(BG87=0,IF(BO87=0,0,1),(BO87-BG87)/BG87)</f>
        <v>1</v>
      </c>
      <c r="BX87" s="32" t="n">
        <f aca="false">IF(BH87=0,IF(BP87=0,0,1),(BP87-BH87)/BH87)</f>
        <v>0</v>
      </c>
      <c r="BY87" s="32" t="n">
        <f aca="false">IF(BI87=0,IF(BQ87=0,0,1),(BQ87-BI87)/BI87)</f>
        <v>1</v>
      </c>
      <c r="BZ87" s="32" t="n">
        <f aca="false">IF(BJ87=0,IF(BR87=0,0,1),(BR87-BJ87)/BJ87)</f>
        <v>0</v>
      </c>
      <c r="CA87" s="32" t="n">
        <f aca="false">IF(BK87=0,IF(BS87=0,0,1),(BS87-BK87)/BK87)</f>
        <v>1</v>
      </c>
      <c r="CB87" s="32" t="n">
        <f aca="false">IF(BL87=0,IF(BT87=0,0,1),(BT87-BL87)/BL87)</f>
        <v>0</v>
      </c>
      <c r="CC87" s="32" t="n">
        <f aca="false">IF(BM87=0,IF(BU87=0,0,1),(BU87-BM87)/BM87)</f>
        <v>1</v>
      </c>
      <c r="CD87" s="32" t="n">
        <f aca="false">MAX(MAX(BV87:CC87),-MIN(BV87:CC87))</f>
        <v>1</v>
      </c>
      <c r="CE87" s="31" t="n">
        <f aca="false">IF(CI87="","",SUMIFS($CF$7:$CF$696,$A$7:$A$696,CI87,$B$7:$B$696,B87))</f>
        <v>416879</v>
      </c>
      <c r="CF87" s="31" t="n">
        <f aca="false">SUM(AU87:BE87)</f>
        <v>416879</v>
      </c>
      <c r="CG87" s="33" t="str">
        <f aca="false">A87&amp;"|"&amp;B87</f>
        <v>2026-05 月例|社会福祉協議会</v>
      </c>
      <c r="CH87" s="34" t="str">
        <f aca="false">IFERROR(INDEX(設定!$D$61:$D$106,MATCH(B87,設定!$B$61:$B$106,0)),"Y")</f>
        <v>Y</v>
      </c>
      <c r="CI87" s="34" t="str">
        <f aca="false">IFERROR(INDEX(設定!$D$20:$D$34,MATCH(A87,設定!$A$20:$A$34,0))&amp;"","")</f>
        <v>2026-04 月例</v>
      </c>
    </row>
    <row r="88" customFormat="false" ht="15" hidden="true" customHeight="false" outlineLevel="0" collapsed="false">
      <c r="A88" s="22" t="s">
        <v>207</v>
      </c>
      <c r="B88" s="23" t="s">
        <v>196</v>
      </c>
      <c r="C88" s="10" t="str">
        <f aca="false">IF(G88="","未受領",IF(G88="なし","報告なし",IF(AH88="○","起票済",IF(OR(AG88="○",F88="一致",F88="入金不要"),"入金確認済","受領済"))))</f>
        <v>入金確認済</v>
      </c>
      <c r="D88" s="10" t="str">
        <f aca="false">IF(OR(G88="",G88="なし"),"―",IF(CH88="N","対象外",IF(AND(I88="",J88="",K88=""),"標報未入力",IF(CD88&gt;=設定!$B$4,"要確認","問題なし"))))</f>
        <v>対象外</v>
      </c>
      <c r="E88" s="24" t="str">
        <f aca="false">IF(OR(G88="",G88="なし",CE88="",CF88=0),"―",IF(CF88=CE88,"前月同額",IF(CE88=0,"―",IF(ABS(CF88/CE88-1)&gt;=設定!$B$5,"変動大 "&amp;TEXT(CF88/CE88-1,"+0%;-0%"),"〇"))))</f>
        <v>〇</v>
      </c>
      <c r="F88" s="10" t="str">
        <f aca="false">IF(OR(G88="",G88="なし"),"―",IF(CF88=0,"入金不要",IF(COUNT(Z88,AB88,AD88,AF88)=0,IF(AG88="○","手動確認","未入金"),IF(AND(N(Z88)=Y88,IF(AA88="",TRUE(),N(AB88)=AA88),IF(AC88="",TRUE(),N(AD88)=AC88),IF(AE88="",TRUE(),N(AF88)=AE88)),"一致","不一致"))))</f>
        <v>手動確認</v>
      </c>
      <c r="G88" s="25" t="s">
        <v>159</v>
      </c>
      <c r="H88" s="26"/>
      <c r="I88" s="27"/>
      <c r="J88" s="27"/>
      <c r="K88" s="27"/>
      <c r="L88" s="27" t="n">
        <v>127524281</v>
      </c>
      <c r="M88" s="27" t="n">
        <v>10453259</v>
      </c>
      <c r="N88" s="27" t="n">
        <v>185981551</v>
      </c>
      <c r="O88" s="27" t="n">
        <v>10453259</v>
      </c>
      <c r="P88" s="27" t="n">
        <v>126981</v>
      </c>
      <c r="Q88" s="27" t="n">
        <v>94292495</v>
      </c>
      <c r="R88" s="27" t="n">
        <v>94414784</v>
      </c>
      <c r="S88" s="27" t="n">
        <v>7943371</v>
      </c>
      <c r="T88" s="27" t="n">
        <v>7940439</v>
      </c>
      <c r="U88" s="27" t="n">
        <v>2091503</v>
      </c>
      <c r="V88" s="27" t="n">
        <v>2091503</v>
      </c>
      <c r="W88" s="10" t="str">
        <f aca="false">IFERROR(INDEX(設定!$E$61:$E$106,MATCH(B88,設定!$B$61:$B$106,0)),"合算")</f>
        <v>合算</v>
      </c>
      <c r="X88" s="28"/>
      <c r="Y88" s="29" t="n">
        <f aca="false">IF(OR(G88="",G88="なし"),"",IF(W88="合算",CF88,IF(W88="掛金・負担金別",(AU88+AV88+AZ88+BB88+BD88),SUM(AU88:AY88))))</f>
        <v>543313426</v>
      </c>
      <c r="Z88" s="27"/>
      <c r="AA88" s="29" t="str">
        <f aca="false">IF(OR(G88="",G88="なし"),"",IF(W88="掛金・負担金別",(AW88+AX88+AY88+BA88+BC88+BE88),IF(W88="経理区分別",AZ88+BA88,"")))</f>
        <v/>
      </c>
      <c r="AB88" s="27"/>
      <c r="AC88" s="29" t="str">
        <f aca="false">IF(OR(G88="",G88="なし"),"",IF(W88="経理区分別",BB88+BC88,""))</f>
        <v/>
      </c>
      <c r="AD88" s="27"/>
      <c r="AE88" s="29" t="str">
        <f aca="false">IF(OR(G88="",G88="なし"),"",IF(W88="経理区分別",BD88+BE88,""))</f>
        <v/>
      </c>
      <c r="AF88" s="27"/>
      <c r="AG88" s="26" t="s">
        <v>160</v>
      </c>
      <c r="AH88" s="26"/>
      <c r="AI88" s="30"/>
      <c r="AJ88" s="31"/>
      <c r="AK88" s="31"/>
      <c r="AL88" s="31"/>
      <c r="AM88" s="31"/>
      <c r="AN88" s="31"/>
      <c r="AO88" s="31"/>
      <c r="AP88" s="31"/>
      <c r="AQ88" s="31"/>
      <c r="AR88" s="31"/>
      <c r="AS88" s="31"/>
      <c r="AT88" s="31"/>
      <c r="AU88" s="31" t="n">
        <f aca="false">IF($G88="",AJ88,L88)</f>
        <v>127524281</v>
      </c>
      <c r="AV88" s="31" t="n">
        <f aca="false">IF($G88="",AK88,M88)</f>
        <v>10453259</v>
      </c>
      <c r="AW88" s="31" t="n">
        <f aca="false">IF($G88="",AL88,N88)</f>
        <v>185981551</v>
      </c>
      <c r="AX88" s="31" t="n">
        <f aca="false">IF($G88="",AM88,O88)</f>
        <v>10453259</v>
      </c>
      <c r="AY88" s="31" t="n">
        <f aca="false">IF($G88="",AN88,P88)</f>
        <v>126981</v>
      </c>
      <c r="AZ88" s="31" t="n">
        <f aca="false">IF($G88="",AO88,Q88)</f>
        <v>94292495</v>
      </c>
      <c r="BA88" s="31" t="n">
        <f aca="false">IF($G88="",AP88,R88)</f>
        <v>94414784</v>
      </c>
      <c r="BB88" s="31" t="n">
        <f aca="false">IF($G88="",AQ88,S88)</f>
        <v>7943371</v>
      </c>
      <c r="BC88" s="31" t="n">
        <f aca="false">IF($G88="",AR88,T88)</f>
        <v>7940439</v>
      </c>
      <c r="BD88" s="31" t="n">
        <f aca="false">IF($G88="",AS88,U88)</f>
        <v>2091503</v>
      </c>
      <c r="BE88" s="31" t="n">
        <f aca="false">IF($G88="",AT88,V88)</f>
        <v>2091503</v>
      </c>
      <c r="BF88" s="31" t="n">
        <f aca="false">ROUNDDOWN(I88*設定!$B$10/1000,0)+ROUNDDOWN(I88*設定!$B$11/1000,0)</f>
        <v>0</v>
      </c>
      <c r="BG88" s="31" t="n">
        <f aca="false">ROUNDDOWN(I88*設定!$C$10/1000,0)+ROUNDDOWN(I88*設定!$C$11/1000,0)+ROUNDDOWN(I88*設定!$C$12/1000,0)</f>
        <v>0</v>
      </c>
      <c r="BH88" s="31" t="n">
        <f aca="false">ROUNDDOWN(J88*設定!$B$13/1000,0)</f>
        <v>0</v>
      </c>
      <c r="BI88" s="31" t="n">
        <f aca="false">ROUNDDOWN(J88*設定!$C$13/1000,0)</f>
        <v>0</v>
      </c>
      <c r="BJ88" s="31" t="n">
        <f aca="false">ROUNDDOWN(K88*設定!$B$14/1000,0)</f>
        <v>0</v>
      </c>
      <c r="BK88" s="31" t="n">
        <f aca="false">ROUNDDOWN(K88*設定!$C$14/1000,0)</f>
        <v>0</v>
      </c>
      <c r="BL88" s="31" t="n">
        <f aca="false">ROUNDDOWN(J88*設定!$B$15/1000,0)</f>
        <v>0</v>
      </c>
      <c r="BM88" s="31" t="n">
        <f aca="false">ROUNDDOWN(J88*設定!$C$15/1000,0)</f>
        <v>0</v>
      </c>
      <c r="BN88" s="31" t="n">
        <f aca="false">L88+M88</f>
        <v>137977540</v>
      </c>
      <c r="BO88" s="31" t="n">
        <f aca="false">N88+O88+P88</f>
        <v>196561791</v>
      </c>
      <c r="BP88" s="31" t="n">
        <f aca="false">Q88</f>
        <v>94292495</v>
      </c>
      <c r="BQ88" s="31" t="n">
        <f aca="false">R88</f>
        <v>94414784</v>
      </c>
      <c r="BR88" s="31" t="n">
        <f aca="false">S88</f>
        <v>7943371</v>
      </c>
      <c r="BS88" s="31" t="n">
        <f aca="false">T88</f>
        <v>7940439</v>
      </c>
      <c r="BT88" s="31" t="n">
        <f aca="false">U88</f>
        <v>2091503</v>
      </c>
      <c r="BU88" s="31" t="n">
        <f aca="false">V88</f>
        <v>2091503</v>
      </c>
      <c r="BV88" s="32" t="n">
        <f aca="false">IF(BF88=0,IF(BN88=0,0,1),(BN88-BF88)/BF88)</f>
        <v>1</v>
      </c>
      <c r="BW88" s="32" t="n">
        <f aca="false">IF(BG88=0,IF(BO88=0,0,1),(BO88-BG88)/BG88)</f>
        <v>1</v>
      </c>
      <c r="BX88" s="32" t="n">
        <f aca="false">IF(BH88=0,IF(BP88=0,0,1),(BP88-BH88)/BH88)</f>
        <v>1</v>
      </c>
      <c r="BY88" s="32" t="n">
        <f aca="false">IF(BI88=0,IF(BQ88=0,0,1),(BQ88-BI88)/BI88)</f>
        <v>1</v>
      </c>
      <c r="BZ88" s="32" t="n">
        <f aca="false">IF(BJ88=0,IF(BR88=0,0,1),(BR88-BJ88)/BJ88)</f>
        <v>1</v>
      </c>
      <c r="CA88" s="32" t="n">
        <f aca="false">IF(BK88=0,IF(BS88=0,0,1),(BS88-BK88)/BK88)</f>
        <v>1</v>
      </c>
      <c r="CB88" s="32" t="n">
        <f aca="false">IF(BL88=0,IF(BT88=0,0,1),(BT88-BL88)/BL88)</f>
        <v>1</v>
      </c>
      <c r="CC88" s="32" t="n">
        <f aca="false">IF(BM88=0,IF(BU88=0,0,1),(BU88-BM88)/BM88)</f>
        <v>1</v>
      </c>
      <c r="CD88" s="32" t="n">
        <f aca="false">MAX(MAX(BV88:CC88),-MIN(BV88:CC88))</f>
        <v>1</v>
      </c>
      <c r="CE88" s="31" t="n">
        <f aca="false">IF(CI88="","",SUMIFS($CF$7:$CF$696,$A$7:$A$696,CI88,$B$7:$B$696,B88))</f>
        <v>539297708</v>
      </c>
      <c r="CF88" s="31" t="n">
        <f aca="false">SUM(AU88:BE88)</f>
        <v>543313426</v>
      </c>
      <c r="CG88" s="33" t="str">
        <f aca="false">A88&amp;"|"&amp;B88</f>
        <v>2026-05 月例|市立病院機構</v>
      </c>
      <c r="CH88" s="34" t="str">
        <f aca="false">IFERROR(INDEX(設定!$D$61:$D$106,MATCH(B88,設定!$B$61:$B$106,0)),"Y")</f>
        <v>N</v>
      </c>
      <c r="CI88" s="34" t="str">
        <f aca="false">IFERROR(INDEX(設定!$D$20:$D$34,MATCH(A88,設定!$A$20:$A$34,0))&amp;"","")</f>
        <v>2026-04 月例</v>
      </c>
    </row>
    <row r="89" customFormat="false" ht="15" hidden="true" customHeight="false" outlineLevel="0" collapsed="false">
      <c r="A89" s="22" t="s">
        <v>207</v>
      </c>
      <c r="B89" s="23" t="s">
        <v>197</v>
      </c>
      <c r="C89" s="10" t="str">
        <f aca="false">IF(G89="","未受領",IF(G89="なし","報告なし",IF(AH89="○","起票済",IF(OR(AG89="○",F89="一致",F89="入金不要"),"入金確認済","受領済"))))</f>
        <v>入金確認済</v>
      </c>
      <c r="D89" s="10" t="str">
        <f aca="false">IF(OR(G89="",G89="なし"),"―",IF(CH89="N","対象外",IF(AND(I89="",J89="",K89=""),"標報未入力",IF(CD89&gt;=設定!$B$4,"要確認","問題なし"))))</f>
        <v>標報未入力</v>
      </c>
      <c r="E89" s="24" t="str">
        <f aca="false">IF(OR(G89="",G89="なし",CE89="",CF89=0),"―",IF(CF89=CE89,"前月同額",IF(CE89=0,"―",IF(ABS(CF89/CE89-1)&gt;=設定!$B$5,"変動大 "&amp;TEXT(CF89/CE89-1,"+0%;-0%"),"〇"))))</f>
        <v>変動大 +20%</v>
      </c>
      <c r="F89" s="10" t="str">
        <f aca="false">IF(OR(G89="",G89="なし"),"―",IF(CF89=0,"入金不要",IF(COUNT(Z89,AB89,AD89,AF89)=0,IF(AG89="○","手動確認","未入金"),IF(AND(N(Z89)=Y89,IF(AA89="",TRUE(),N(AB89)=AA89),IF(AC89="",TRUE(),N(AD89)=AC89),IF(AE89="",TRUE(),N(AF89)=AE89)),"一致","不一致"))))</f>
        <v>手動確認</v>
      </c>
      <c r="G89" s="25" t="s">
        <v>159</v>
      </c>
      <c r="H89" s="26"/>
      <c r="I89" s="27"/>
      <c r="J89" s="27"/>
      <c r="K89" s="27"/>
      <c r="L89" s="27"/>
      <c r="M89" s="27"/>
      <c r="N89" s="27"/>
      <c r="O89" s="27"/>
      <c r="P89" s="27"/>
      <c r="Q89" s="27" t="n">
        <v>125499</v>
      </c>
      <c r="R89" s="27" t="n">
        <v>104857</v>
      </c>
      <c r="S89" s="27" t="n">
        <v>11060</v>
      </c>
      <c r="T89" s="27" t="n">
        <v>11060</v>
      </c>
      <c r="U89" s="27" t="n">
        <v>2781</v>
      </c>
      <c r="V89" s="27" t="n">
        <v>2322</v>
      </c>
      <c r="W89" s="10" t="str">
        <f aca="false">IFERROR(INDEX(設定!$E$61:$E$106,MATCH(B89,設定!$B$61:$B$106,0)),"合算")</f>
        <v>合算</v>
      </c>
      <c r="X89" s="28"/>
      <c r="Y89" s="29" t="n">
        <f aca="false">IF(OR(G89="",G89="なし"),"",IF(W89="合算",CF89,IF(W89="掛金・負担金別",(AU89+AV89+AZ89+BB89+BD89),SUM(AU89:AY89))))</f>
        <v>257579</v>
      </c>
      <c r="Z89" s="27"/>
      <c r="AA89" s="29" t="str">
        <f aca="false">IF(OR(G89="",G89="なし"),"",IF(W89="掛金・負担金別",(AW89+AX89+AY89+BA89+BC89+BE89),IF(W89="経理区分別",AZ89+BA89,"")))</f>
        <v/>
      </c>
      <c r="AB89" s="27"/>
      <c r="AC89" s="29" t="str">
        <f aca="false">IF(OR(G89="",G89="なし"),"",IF(W89="経理区分別",BB89+BC89,""))</f>
        <v/>
      </c>
      <c r="AD89" s="27"/>
      <c r="AE89" s="29" t="str">
        <f aca="false">IF(OR(G89="",G89="なし"),"",IF(W89="経理区分別",BD89+BE89,""))</f>
        <v/>
      </c>
      <c r="AF89" s="27"/>
      <c r="AG89" s="26" t="s">
        <v>160</v>
      </c>
      <c r="AH89" s="26"/>
      <c r="AI89" s="30"/>
      <c r="AJ89" s="31"/>
      <c r="AK89" s="31"/>
      <c r="AL89" s="31"/>
      <c r="AM89" s="31"/>
      <c r="AN89" s="31"/>
      <c r="AO89" s="31"/>
      <c r="AP89" s="31"/>
      <c r="AQ89" s="31"/>
      <c r="AR89" s="31"/>
      <c r="AS89" s="31"/>
      <c r="AT89" s="31"/>
      <c r="AU89" s="31" t="n">
        <f aca="false">IF($G89="",AJ89,L89)</f>
        <v>0</v>
      </c>
      <c r="AV89" s="31" t="n">
        <f aca="false">IF($G89="",AK89,M89)</f>
        <v>0</v>
      </c>
      <c r="AW89" s="31" t="n">
        <f aca="false">IF($G89="",AL89,N89)</f>
        <v>0</v>
      </c>
      <c r="AX89" s="31" t="n">
        <f aca="false">IF($G89="",AM89,O89)</f>
        <v>0</v>
      </c>
      <c r="AY89" s="31" t="n">
        <f aca="false">IF($G89="",AN89,P89)</f>
        <v>0</v>
      </c>
      <c r="AZ89" s="31" t="n">
        <f aca="false">IF($G89="",AO89,Q89)</f>
        <v>125499</v>
      </c>
      <c r="BA89" s="31" t="n">
        <f aca="false">IF($G89="",AP89,R89)</f>
        <v>104857</v>
      </c>
      <c r="BB89" s="31" t="n">
        <f aca="false">IF($G89="",AQ89,S89)</f>
        <v>11060</v>
      </c>
      <c r="BC89" s="31" t="n">
        <f aca="false">IF($G89="",AR89,T89)</f>
        <v>11060</v>
      </c>
      <c r="BD89" s="31" t="n">
        <f aca="false">IF($G89="",AS89,U89)</f>
        <v>2781</v>
      </c>
      <c r="BE89" s="31" t="n">
        <f aca="false">IF($G89="",AT89,V89)</f>
        <v>2322</v>
      </c>
      <c r="BF89" s="31" t="n">
        <f aca="false">ROUNDDOWN(I89*設定!$B$10/1000,0)+ROUNDDOWN(I89*設定!$B$11/1000,0)</f>
        <v>0</v>
      </c>
      <c r="BG89" s="31" t="n">
        <f aca="false">ROUNDDOWN(I89*設定!$C$10/1000,0)+ROUNDDOWN(I89*設定!$C$11/1000,0)+ROUNDDOWN(I89*設定!$C$12/1000,0)</f>
        <v>0</v>
      </c>
      <c r="BH89" s="31" t="n">
        <f aca="false">ROUNDDOWN(J89*設定!$B$13/1000,0)</f>
        <v>0</v>
      </c>
      <c r="BI89" s="31" t="n">
        <f aca="false">ROUNDDOWN(J89*設定!$C$13/1000,0)</f>
        <v>0</v>
      </c>
      <c r="BJ89" s="31" t="n">
        <f aca="false">ROUNDDOWN(K89*設定!$B$14/1000,0)</f>
        <v>0</v>
      </c>
      <c r="BK89" s="31" t="n">
        <f aca="false">ROUNDDOWN(K89*設定!$C$14/1000,0)</f>
        <v>0</v>
      </c>
      <c r="BL89" s="31" t="n">
        <f aca="false">ROUNDDOWN(J89*設定!$B$15/1000,0)</f>
        <v>0</v>
      </c>
      <c r="BM89" s="31" t="n">
        <f aca="false">ROUNDDOWN(J89*設定!$C$15/1000,0)</f>
        <v>0</v>
      </c>
      <c r="BN89" s="31" t="n">
        <f aca="false">L89+M89</f>
        <v>0</v>
      </c>
      <c r="BO89" s="31" t="n">
        <f aca="false">N89+O89+P89</f>
        <v>0</v>
      </c>
      <c r="BP89" s="31" t="n">
        <f aca="false">Q89</f>
        <v>125499</v>
      </c>
      <c r="BQ89" s="31" t="n">
        <f aca="false">R89</f>
        <v>104857</v>
      </c>
      <c r="BR89" s="31" t="n">
        <f aca="false">S89</f>
        <v>11060</v>
      </c>
      <c r="BS89" s="31" t="n">
        <f aca="false">T89</f>
        <v>11060</v>
      </c>
      <c r="BT89" s="31" t="n">
        <f aca="false">U89</f>
        <v>2781</v>
      </c>
      <c r="BU89" s="31" t="n">
        <f aca="false">V89</f>
        <v>2322</v>
      </c>
      <c r="BV89" s="32" t="n">
        <f aca="false">IF(BF89=0,IF(BN89=0,0,1),(BN89-BF89)/BF89)</f>
        <v>0</v>
      </c>
      <c r="BW89" s="32" t="n">
        <f aca="false">IF(BG89=0,IF(BO89=0,0,1),(BO89-BG89)/BG89)</f>
        <v>0</v>
      </c>
      <c r="BX89" s="32" t="n">
        <f aca="false">IF(BH89=0,IF(BP89=0,0,1),(BP89-BH89)/BH89)</f>
        <v>1</v>
      </c>
      <c r="BY89" s="32" t="n">
        <f aca="false">IF(BI89=0,IF(BQ89=0,0,1),(BQ89-BI89)/BI89)</f>
        <v>1</v>
      </c>
      <c r="BZ89" s="32" t="n">
        <f aca="false">IF(BJ89=0,IF(BR89=0,0,1),(BR89-BJ89)/BJ89)</f>
        <v>1</v>
      </c>
      <c r="CA89" s="32" t="n">
        <f aca="false">IF(BK89=0,IF(BS89=0,0,1),(BS89-BK89)/BK89)</f>
        <v>1</v>
      </c>
      <c r="CB89" s="32" t="n">
        <f aca="false">IF(BL89=0,IF(BT89=0,0,1),(BT89-BL89)/BL89)</f>
        <v>1</v>
      </c>
      <c r="CC89" s="32" t="n">
        <f aca="false">IF(BM89=0,IF(BU89=0,0,1),(BU89-BM89)/BM89)</f>
        <v>1</v>
      </c>
      <c r="CD89" s="32" t="n">
        <f aca="false">MAX(MAX(BV89:CC89),-MIN(BV89:CC89))</f>
        <v>1</v>
      </c>
      <c r="CE89" s="31" t="n">
        <f aca="false">IF(CI89="","",SUMIFS($CF$7:$CF$696,$A$7:$A$696,CI89,$B$7:$B$696,B89))</f>
        <v>215171</v>
      </c>
      <c r="CF89" s="31" t="n">
        <f aca="false">SUM(AU89:BE89)</f>
        <v>257579</v>
      </c>
      <c r="CG89" s="33" t="str">
        <f aca="false">A89&amp;"|"&amp;B89</f>
        <v>2026-05 月例|職員共済組合</v>
      </c>
      <c r="CH89" s="34" t="str">
        <f aca="false">IFERROR(INDEX(設定!$D$61:$D$106,MATCH(B89,設定!$B$61:$B$106,0)),"Y")</f>
        <v>Y</v>
      </c>
      <c r="CI89" s="34" t="str">
        <f aca="false">IFERROR(INDEX(設定!$D$20:$D$34,MATCH(A89,設定!$A$20:$A$34,0))&amp;"","")</f>
        <v>2026-04 月例</v>
      </c>
    </row>
    <row r="90" customFormat="false" ht="26.85" hidden="true" customHeight="false" outlineLevel="0" collapsed="false">
      <c r="A90" s="22" t="s">
        <v>207</v>
      </c>
      <c r="B90" s="35" t="s">
        <v>198</v>
      </c>
      <c r="C90" s="10" t="str">
        <f aca="false">IF(G90="","未受領",IF(G90="なし","報告なし",IF(AH90="○","起票済",IF(OR(AG90="○",F90="一致",F90="入金不要"),"入金確認済","受領済"))))</f>
        <v>報告なし</v>
      </c>
      <c r="D90" s="10" t="str">
        <f aca="false">IF(OR(G90="",G90="なし"),"―",IF(CH90="N","対象外",IF(AND(I90="",J90="",K90=""),"標報未入力",IF(CD90&gt;=設定!$B$4,"要確認","問題なし"))))</f>
        <v>―</v>
      </c>
      <c r="E90" s="24" t="str">
        <f aca="false">IF(OR(G90="",G90="なし",CE90="",CF90=0),"―",IF(CF90=CE90,"前月同額",IF(CE90=0,"―",IF(ABS(CF90/CE90-1)&gt;=設定!$B$5,"変動大 "&amp;TEXT(CF90/CE90-1,"+0%;-0%"),"〇"))))</f>
        <v>―</v>
      </c>
      <c r="F90" s="10" t="str">
        <f aca="false">IF(OR(G90="",G90="なし"),"―",IF(CF90=0,"入金不要",IF(COUNT(Z90,AB90,AD90,AF90)=0,IF(AG90="○","手動確認","未入金"),IF(AND(N(Z90)=Y90,IF(AA90="",TRUE(),N(AB90)=AA90),IF(AC90="",TRUE(),N(AD90)=AC90),IF(AE90="",TRUE(),N(AF90)=AE90)),"一致","不一致"))))</f>
        <v>―</v>
      </c>
      <c r="G90" s="25" t="s">
        <v>173</v>
      </c>
      <c r="H90" s="26"/>
      <c r="I90" s="27"/>
      <c r="J90" s="27"/>
      <c r="K90" s="27"/>
      <c r="L90" s="27"/>
      <c r="M90" s="27"/>
      <c r="N90" s="27"/>
      <c r="O90" s="27"/>
      <c r="P90" s="27"/>
      <c r="Q90" s="27"/>
      <c r="R90" s="27"/>
      <c r="S90" s="27"/>
      <c r="T90" s="27"/>
      <c r="U90" s="27"/>
      <c r="V90" s="27"/>
      <c r="W90" s="10" t="str">
        <f aca="false">IFERROR(INDEX(設定!$E$61:$E$106,MATCH(B90,設定!$B$61:$B$106,0)),"合算")</f>
        <v>合算</v>
      </c>
      <c r="X90" s="28"/>
      <c r="Y90" s="29" t="str">
        <f aca="false">IF(OR(G90="",G90="なし"),"",IF(W90="合算",CF90,IF(W90="掛金・負担金別",(AU90+AV90+AZ90+BB90+BD90),SUM(AU90:AY90))))</f>
        <v/>
      </c>
      <c r="Z90" s="27"/>
      <c r="AA90" s="29" t="str">
        <f aca="false">IF(OR(G90="",G90="なし"),"",IF(W90="掛金・負担金別",(AW90+AX90+AY90+BA90+BC90+BE90),IF(W90="経理区分別",AZ90+BA90,"")))</f>
        <v/>
      </c>
      <c r="AB90" s="27"/>
      <c r="AC90" s="29" t="str">
        <f aca="false">IF(OR(G90="",G90="なし"),"",IF(W90="経理区分別",BB90+BC90,""))</f>
        <v/>
      </c>
      <c r="AD90" s="27"/>
      <c r="AE90" s="29" t="str">
        <f aca="false">IF(OR(G90="",G90="なし"),"",IF(W90="経理区分別",BD90+BE90,""))</f>
        <v/>
      </c>
      <c r="AF90" s="27"/>
      <c r="AG90" s="26"/>
      <c r="AH90" s="26"/>
      <c r="AI90" s="30"/>
      <c r="AJ90" s="31"/>
      <c r="AK90" s="31"/>
      <c r="AL90" s="31"/>
      <c r="AM90" s="31"/>
      <c r="AN90" s="31"/>
      <c r="AO90" s="31"/>
      <c r="AP90" s="31"/>
      <c r="AQ90" s="31"/>
      <c r="AR90" s="31"/>
      <c r="AS90" s="31"/>
      <c r="AT90" s="31"/>
      <c r="AU90" s="31" t="n">
        <f aca="false">IF($G90="",AJ90,L90)</f>
        <v>0</v>
      </c>
      <c r="AV90" s="31" t="n">
        <f aca="false">IF($G90="",AK90,M90)</f>
        <v>0</v>
      </c>
      <c r="AW90" s="31" t="n">
        <f aca="false">IF($G90="",AL90,N90)</f>
        <v>0</v>
      </c>
      <c r="AX90" s="31" t="n">
        <f aca="false">IF($G90="",AM90,O90)</f>
        <v>0</v>
      </c>
      <c r="AY90" s="31" t="n">
        <f aca="false">IF($G90="",AN90,P90)</f>
        <v>0</v>
      </c>
      <c r="AZ90" s="31" t="n">
        <f aca="false">IF($G90="",AO90,Q90)</f>
        <v>0</v>
      </c>
      <c r="BA90" s="31" t="n">
        <f aca="false">IF($G90="",AP90,R90)</f>
        <v>0</v>
      </c>
      <c r="BB90" s="31" t="n">
        <f aca="false">IF($G90="",AQ90,S90)</f>
        <v>0</v>
      </c>
      <c r="BC90" s="31" t="n">
        <f aca="false">IF($G90="",AR90,T90)</f>
        <v>0</v>
      </c>
      <c r="BD90" s="31" t="n">
        <f aca="false">IF($G90="",AS90,U90)</f>
        <v>0</v>
      </c>
      <c r="BE90" s="31" t="n">
        <f aca="false">IF($G90="",AT90,V90)</f>
        <v>0</v>
      </c>
      <c r="BF90" s="31" t="n">
        <f aca="false">ROUNDDOWN(I90*設定!$B$10/1000,0)+ROUNDDOWN(I90*設定!$B$11/1000,0)</f>
        <v>0</v>
      </c>
      <c r="BG90" s="31" t="n">
        <f aca="false">ROUNDDOWN(I90*設定!$C$10/1000,0)+ROUNDDOWN(I90*設定!$C$11/1000,0)+ROUNDDOWN(I90*設定!$C$12/1000,0)</f>
        <v>0</v>
      </c>
      <c r="BH90" s="31" t="n">
        <f aca="false">ROUNDDOWN(J90*設定!$B$13/1000,0)</f>
        <v>0</v>
      </c>
      <c r="BI90" s="31" t="n">
        <f aca="false">ROUNDDOWN(J90*設定!$C$13/1000,0)</f>
        <v>0</v>
      </c>
      <c r="BJ90" s="31" t="n">
        <f aca="false">ROUNDDOWN(K90*設定!$B$14/1000,0)</f>
        <v>0</v>
      </c>
      <c r="BK90" s="31" t="n">
        <f aca="false">ROUNDDOWN(K90*設定!$C$14/1000,0)</f>
        <v>0</v>
      </c>
      <c r="BL90" s="31" t="n">
        <f aca="false">ROUNDDOWN(J90*設定!$B$15/1000,0)</f>
        <v>0</v>
      </c>
      <c r="BM90" s="31" t="n">
        <f aca="false">ROUNDDOWN(J90*設定!$C$15/1000,0)</f>
        <v>0</v>
      </c>
      <c r="BN90" s="31" t="n">
        <f aca="false">L90+M90</f>
        <v>0</v>
      </c>
      <c r="BO90" s="31" t="n">
        <f aca="false">N90+O90+P90</f>
        <v>0</v>
      </c>
      <c r="BP90" s="31" t="n">
        <f aca="false">Q90</f>
        <v>0</v>
      </c>
      <c r="BQ90" s="31" t="n">
        <f aca="false">R90</f>
        <v>0</v>
      </c>
      <c r="BR90" s="31" t="n">
        <f aca="false">S90</f>
        <v>0</v>
      </c>
      <c r="BS90" s="31" t="n">
        <f aca="false">T90</f>
        <v>0</v>
      </c>
      <c r="BT90" s="31" t="n">
        <f aca="false">U90</f>
        <v>0</v>
      </c>
      <c r="BU90" s="31" t="n">
        <f aca="false">V90</f>
        <v>0</v>
      </c>
      <c r="BV90" s="32" t="n">
        <f aca="false">IF(BF90=0,IF(BN90=0,0,1),(BN90-BF90)/BF90)</f>
        <v>0</v>
      </c>
      <c r="BW90" s="32" t="n">
        <f aca="false">IF(BG90=0,IF(BO90=0,0,1),(BO90-BG90)/BG90)</f>
        <v>0</v>
      </c>
      <c r="BX90" s="32" t="n">
        <f aca="false">IF(BH90=0,IF(BP90=0,0,1),(BP90-BH90)/BH90)</f>
        <v>0</v>
      </c>
      <c r="BY90" s="32" t="n">
        <f aca="false">IF(BI90=0,IF(BQ90=0,0,1),(BQ90-BI90)/BI90)</f>
        <v>0</v>
      </c>
      <c r="BZ90" s="32" t="n">
        <f aca="false">IF(BJ90=0,IF(BR90=0,0,1),(BR90-BJ90)/BJ90)</f>
        <v>0</v>
      </c>
      <c r="CA90" s="32" t="n">
        <f aca="false">IF(BK90=0,IF(BS90=0,0,1),(BS90-BK90)/BK90)</f>
        <v>0</v>
      </c>
      <c r="CB90" s="32" t="n">
        <f aca="false">IF(BL90=0,IF(BT90=0,0,1),(BT90-BL90)/BL90)</f>
        <v>0</v>
      </c>
      <c r="CC90" s="32" t="n">
        <f aca="false">IF(BM90=0,IF(BU90=0,0,1),(BU90-BM90)/BM90)</f>
        <v>0</v>
      </c>
      <c r="CD90" s="32" t="n">
        <f aca="false">MAX(MAX(BV90:CC90),-MIN(BV90:CC90))</f>
        <v>-0</v>
      </c>
      <c r="CE90" s="31" t="n">
        <f aca="false">IF(CI90="","",SUMIFS($CF$7:$CF$696,$A$7:$A$696,CI90,$B$7:$B$696,B90))</f>
        <v>0</v>
      </c>
      <c r="CF90" s="31" t="n">
        <f aca="false">SUM(AU90:BE90)</f>
        <v>0</v>
      </c>
      <c r="CG90" s="36" t="str">
        <f aca="false">A90&amp;"|"&amp;B90</f>
        <v>2026-05 月例|地方公共団体
情報システム機構</v>
      </c>
      <c r="CH90" s="34" t="str">
        <f aca="false">IFERROR(INDEX(設定!$D$61:$D$106,MATCH(B90,設定!$B$61:$B$106,0)),"Y")</f>
        <v>Y</v>
      </c>
      <c r="CI90" s="34" t="str">
        <f aca="false">IFERROR(INDEX(設定!$D$20:$D$34,MATCH(A90,設定!$A$20:$A$34,0))&amp;"","")</f>
        <v>2026-04 月例</v>
      </c>
    </row>
    <row r="91" customFormat="false" ht="15" hidden="true" customHeight="false" outlineLevel="0" collapsed="false">
      <c r="A91" s="22" t="s">
        <v>207</v>
      </c>
      <c r="B91" s="23" t="s">
        <v>199</v>
      </c>
      <c r="C91" s="10" t="str">
        <f aca="false">IF(G91="","未受領",IF(G91="なし","報告なし",IF(AH91="○","起票済",IF(OR(AG91="○",F91="一致",F91="入金不要"),"入金確認済","受領済"))))</f>
        <v>入金確認済</v>
      </c>
      <c r="D91" s="10" t="str">
        <f aca="false">IF(OR(G91="",G91="なし"),"―",IF(CH91="N","対象外",IF(AND(I91="",J91="",K91=""),"標報未入力",IF(CD91&gt;=設定!$B$4,"要確認","問題なし"))))</f>
        <v>標報未入力</v>
      </c>
      <c r="E91" s="24" t="str">
        <f aca="false">IF(OR(G91="",G91="なし",CE91="",CF91=0),"―",IF(CF91=CE91,"前月同額",IF(CE91=0,"―",IF(ABS(CF91/CE91-1)&gt;=設定!$B$5,"変動大 "&amp;TEXT(CF91/CE91-1,"+0%;-0%"),"〇"))))</f>
        <v>〇</v>
      </c>
      <c r="F91" s="10" t="str">
        <f aca="false">IF(OR(G91="",G91="なし"),"―",IF(CF91=0,"入金不要",IF(COUNT(Z91,AB91,AD91,AF91)=0,IF(AG91="○","手動確認","未入金"),IF(AND(N(Z91)=Y91,IF(AA91="",TRUE(),N(AB91)=AA91),IF(AC91="",TRUE(),N(AD91)=AC91),IF(AE91="",TRUE(),N(AF91)=AE91)),"一致","不一致"))))</f>
        <v>手動確認</v>
      </c>
      <c r="G91" s="25" t="s">
        <v>159</v>
      </c>
      <c r="H91" s="26"/>
      <c r="I91" s="27"/>
      <c r="J91" s="27"/>
      <c r="K91" s="27"/>
      <c r="L91" s="27" t="n">
        <v>118950</v>
      </c>
      <c r="M91" s="27" t="n">
        <v>9750</v>
      </c>
      <c r="N91" s="27" t="n">
        <v>118950</v>
      </c>
      <c r="O91" s="27" t="n">
        <v>9750</v>
      </c>
      <c r="P91" s="27" t="n">
        <v>112</v>
      </c>
      <c r="Q91" s="27" t="n">
        <v>87124</v>
      </c>
      <c r="R91" s="27" t="n">
        <v>87209</v>
      </c>
      <c r="S91" s="27" t="n">
        <v>13272</v>
      </c>
      <c r="T91" s="27" t="n">
        <v>13272</v>
      </c>
      <c r="U91" s="27" t="n">
        <v>1932</v>
      </c>
      <c r="V91" s="27" t="n">
        <v>1931</v>
      </c>
      <c r="W91" s="10" t="str">
        <f aca="false">IFERROR(INDEX(設定!$E$61:$E$106,MATCH(B91,設定!$B$61:$B$106,0)),"合算")</f>
        <v>合算</v>
      </c>
      <c r="X91" s="28"/>
      <c r="Y91" s="29" t="n">
        <f aca="false">IF(OR(G91="",G91="なし"),"",IF(W91="合算",CF91,IF(W91="掛金・負担金別",(AU91+AV91+AZ91+BB91+BD91),SUM(AU91:AY91))))</f>
        <v>462252</v>
      </c>
      <c r="Z91" s="27"/>
      <c r="AA91" s="29" t="str">
        <f aca="false">IF(OR(G91="",G91="なし"),"",IF(W91="掛金・負担金別",(AW91+AX91+AY91+BA91+BC91+BE91),IF(W91="経理区分別",AZ91+BA91,"")))</f>
        <v/>
      </c>
      <c r="AB91" s="27"/>
      <c r="AC91" s="29" t="str">
        <f aca="false">IF(OR(G91="",G91="なし"),"",IF(W91="経理区分別",BB91+BC91,""))</f>
        <v/>
      </c>
      <c r="AD91" s="27"/>
      <c r="AE91" s="29" t="str">
        <f aca="false">IF(OR(G91="",G91="なし"),"",IF(W91="経理区分別",BD91+BE91,""))</f>
        <v/>
      </c>
      <c r="AF91" s="27"/>
      <c r="AG91" s="26" t="s">
        <v>160</v>
      </c>
      <c r="AH91" s="26"/>
      <c r="AI91" s="30"/>
      <c r="AJ91" s="31"/>
      <c r="AK91" s="31"/>
      <c r="AL91" s="31"/>
      <c r="AM91" s="31"/>
      <c r="AN91" s="31"/>
      <c r="AO91" s="31"/>
      <c r="AP91" s="31"/>
      <c r="AQ91" s="31"/>
      <c r="AR91" s="31"/>
      <c r="AS91" s="31"/>
      <c r="AT91" s="31"/>
      <c r="AU91" s="31" t="n">
        <f aca="false">IF($G91="",AJ91,L91)</f>
        <v>118950</v>
      </c>
      <c r="AV91" s="31" t="n">
        <f aca="false">IF($G91="",AK91,M91)</f>
        <v>9750</v>
      </c>
      <c r="AW91" s="31" t="n">
        <f aca="false">IF($G91="",AL91,N91)</f>
        <v>118950</v>
      </c>
      <c r="AX91" s="31" t="n">
        <f aca="false">IF($G91="",AM91,O91)</f>
        <v>9750</v>
      </c>
      <c r="AY91" s="31" t="n">
        <f aca="false">IF($G91="",AN91,P91)</f>
        <v>112</v>
      </c>
      <c r="AZ91" s="31" t="n">
        <f aca="false">IF($G91="",AO91,Q91)</f>
        <v>87124</v>
      </c>
      <c r="BA91" s="31" t="n">
        <f aca="false">IF($G91="",AP91,R91)</f>
        <v>87209</v>
      </c>
      <c r="BB91" s="31" t="n">
        <f aca="false">IF($G91="",AQ91,S91)</f>
        <v>13272</v>
      </c>
      <c r="BC91" s="31" t="n">
        <f aca="false">IF($G91="",AR91,T91)</f>
        <v>13272</v>
      </c>
      <c r="BD91" s="31" t="n">
        <f aca="false">IF($G91="",AS91,U91)</f>
        <v>1932</v>
      </c>
      <c r="BE91" s="31" t="n">
        <f aca="false">IF($G91="",AT91,V91)</f>
        <v>1931</v>
      </c>
      <c r="BF91" s="31" t="n">
        <f aca="false">ROUNDDOWN(I91*設定!$B$10/1000,0)+ROUNDDOWN(I91*設定!$B$11/1000,0)</f>
        <v>0</v>
      </c>
      <c r="BG91" s="31" t="n">
        <f aca="false">ROUNDDOWN(I91*設定!$C$10/1000,0)+ROUNDDOWN(I91*設定!$C$11/1000,0)+ROUNDDOWN(I91*設定!$C$12/1000,0)</f>
        <v>0</v>
      </c>
      <c r="BH91" s="31" t="n">
        <f aca="false">ROUNDDOWN(J91*設定!$B$13/1000,0)</f>
        <v>0</v>
      </c>
      <c r="BI91" s="31" t="n">
        <f aca="false">ROUNDDOWN(J91*設定!$C$13/1000,0)</f>
        <v>0</v>
      </c>
      <c r="BJ91" s="31" t="n">
        <f aca="false">ROUNDDOWN(K91*設定!$B$14/1000,0)</f>
        <v>0</v>
      </c>
      <c r="BK91" s="31" t="n">
        <f aca="false">ROUNDDOWN(K91*設定!$C$14/1000,0)</f>
        <v>0</v>
      </c>
      <c r="BL91" s="31" t="n">
        <f aca="false">ROUNDDOWN(J91*設定!$B$15/1000,0)</f>
        <v>0</v>
      </c>
      <c r="BM91" s="31" t="n">
        <f aca="false">ROUNDDOWN(J91*設定!$C$15/1000,0)</f>
        <v>0</v>
      </c>
      <c r="BN91" s="31" t="n">
        <f aca="false">L91+M91</f>
        <v>128700</v>
      </c>
      <c r="BO91" s="31" t="n">
        <f aca="false">N91+O91+P91</f>
        <v>128812</v>
      </c>
      <c r="BP91" s="31" t="n">
        <f aca="false">Q91</f>
        <v>87124</v>
      </c>
      <c r="BQ91" s="31" t="n">
        <f aca="false">R91</f>
        <v>87209</v>
      </c>
      <c r="BR91" s="31" t="n">
        <f aca="false">S91</f>
        <v>13272</v>
      </c>
      <c r="BS91" s="31" t="n">
        <f aca="false">T91</f>
        <v>13272</v>
      </c>
      <c r="BT91" s="31" t="n">
        <f aca="false">U91</f>
        <v>1932</v>
      </c>
      <c r="BU91" s="31" t="n">
        <f aca="false">V91</f>
        <v>1931</v>
      </c>
      <c r="BV91" s="32" t="n">
        <f aca="false">IF(BF91=0,IF(BN91=0,0,1),(BN91-BF91)/BF91)</f>
        <v>1</v>
      </c>
      <c r="BW91" s="32" t="n">
        <f aca="false">IF(BG91=0,IF(BO91=0,0,1),(BO91-BG91)/BG91)</f>
        <v>1</v>
      </c>
      <c r="BX91" s="32" t="n">
        <f aca="false">IF(BH91=0,IF(BP91=0,0,1),(BP91-BH91)/BH91)</f>
        <v>1</v>
      </c>
      <c r="BY91" s="32" t="n">
        <f aca="false">IF(BI91=0,IF(BQ91=0,0,1),(BQ91-BI91)/BI91)</f>
        <v>1</v>
      </c>
      <c r="BZ91" s="32" t="n">
        <f aca="false">IF(BJ91=0,IF(BR91=0,0,1),(BR91-BJ91)/BJ91)</f>
        <v>1</v>
      </c>
      <c r="CA91" s="32" t="n">
        <f aca="false">IF(BK91=0,IF(BS91=0,0,1),(BS91-BK91)/BK91)</f>
        <v>1</v>
      </c>
      <c r="CB91" s="32" t="n">
        <f aca="false">IF(BL91=0,IF(BT91=0,0,1),(BT91-BL91)/BL91)</f>
        <v>1</v>
      </c>
      <c r="CC91" s="32" t="n">
        <f aca="false">IF(BM91=0,IF(BU91=0,0,1),(BU91-BM91)/BM91)</f>
        <v>1</v>
      </c>
      <c r="CD91" s="32" t="n">
        <f aca="false">MAX(MAX(BV91:CC91),-MIN(BV91:CC91))</f>
        <v>1</v>
      </c>
      <c r="CE91" s="31" t="n">
        <f aca="false">IF(CI91="","",SUMIFS($CF$7:$CF$696,$A$7:$A$696,CI91,$B$7:$B$696,B91))</f>
        <v>450064</v>
      </c>
      <c r="CF91" s="31" t="n">
        <f aca="false">SUM(AU91:BE91)</f>
        <v>462252</v>
      </c>
      <c r="CG91" s="33" t="str">
        <f aca="false">A91&amp;"|"&amp;B91</f>
        <v>2026-05 月例|全国市長会</v>
      </c>
      <c r="CH91" s="34" t="str">
        <f aca="false">IFERROR(INDEX(設定!$D$61:$D$106,MATCH(B91,設定!$B$61:$B$106,0)),"Y")</f>
        <v>Y</v>
      </c>
      <c r="CI91" s="34" t="str">
        <f aca="false">IFERROR(INDEX(設定!$D$20:$D$34,MATCH(A91,設定!$A$20:$A$34,0))&amp;"","")</f>
        <v>2026-04 月例</v>
      </c>
    </row>
    <row r="92" customFormat="false" ht="15" hidden="true" customHeight="false" outlineLevel="0" collapsed="false">
      <c r="A92" s="22" t="s">
        <v>207</v>
      </c>
      <c r="B92" s="23" t="s">
        <v>200</v>
      </c>
      <c r="C92" s="10" t="str">
        <f aca="false">IF(G92="","未受領",IF(G92="なし","報告なし",IF(AH92="○","起票済",IF(OR(AG92="○",F92="一致",F92="入金不要"),"入金確認済","受領済"))))</f>
        <v>入金確認済</v>
      </c>
      <c r="D92" s="10" t="str">
        <f aca="false">IF(OR(G92="",G92="なし"),"―",IF(CH92="N","対象外",IF(AND(I92="",J92="",K92=""),"標報未入力",IF(CD92&gt;=設定!$B$4,"要確認","問題なし"))))</f>
        <v>標報未入力</v>
      </c>
      <c r="E92" s="24" t="str">
        <f aca="false">IF(OR(G92="",G92="なし",CE92="",CF92=0),"―",IF(CF92=CE92,"前月同額",IF(CE92=0,"―",IF(ABS(CF92/CE92-1)&gt;=設定!$B$5,"変動大 "&amp;TEXT(CF92/CE92-1,"+0%;-0%"),"〇"))))</f>
        <v>前月同額</v>
      </c>
      <c r="F92" s="10" t="str">
        <f aca="false">IF(OR(G92="",G92="なし"),"―",IF(CF92=0,"入金不要",IF(COUNT(Z92,AB92,AD92,AF92)=0,IF(AG92="○","手動確認","未入金"),IF(AND(N(Z92)=Y92,IF(AA92="",TRUE(),N(AB92)=AA92),IF(AC92="",TRUE(),N(AD92)=AC92),IF(AE92="",TRUE(),N(AF92)=AE92)),"一致","不一致"))))</f>
        <v>手動確認</v>
      </c>
      <c r="G92" s="25" t="s">
        <v>159</v>
      </c>
      <c r="H92" s="26"/>
      <c r="I92" s="27"/>
      <c r="J92" s="27"/>
      <c r="K92" s="27"/>
      <c r="L92" s="27" t="n">
        <v>145485</v>
      </c>
      <c r="M92" s="27" t="n">
        <v>11925</v>
      </c>
      <c r="N92" s="27" t="n">
        <v>145485</v>
      </c>
      <c r="O92" s="27" t="n">
        <v>11925</v>
      </c>
      <c r="P92" s="27" t="n">
        <v>138</v>
      </c>
      <c r="Q92" s="27"/>
      <c r="R92" s="27"/>
      <c r="S92" s="27"/>
      <c r="T92" s="27"/>
      <c r="U92" s="27"/>
      <c r="V92" s="27"/>
      <c r="W92" s="10" t="str">
        <f aca="false">IFERROR(INDEX(設定!$E$61:$E$106,MATCH(B92,設定!$B$61:$B$106,0)),"合算")</f>
        <v>合算</v>
      </c>
      <c r="X92" s="28"/>
      <c r="Y92" s="29" t="n">
        <f aca="false">IF(OR(G92="",G92="なし"),"",IF(W92="合算",CF92,IF(W92="掛金・負担金別",(AU92+AV92+AZ92+BB92+BD92),SUM(AU92:AY92))))</f>
        <v>314958</v>
      </c>
      <c r="Z92" s="27"/>
      <c r="AA92" s="29" t="str">
        <f aca="false">IF(OR(G92="",G92="なし"),"",IF(W92="掛金・負担金別",(AW92+AX92+AY92+BA92+BC92+BE92),IF(W92="経理区分別",AZ92+BA92,"")))</f>
        <v/>
      </c>
      <c r="AB92" s="27"/>
      <c r="AC92" s="29" t="str">
        <f aca="false">IF(OR(G92="",G92="なし"),"",IF(W92="経理区分別",BB92+BC92,""))</f>
        <v/>
      </c>
      <c r="AD92" s="27"/>
      <c r="AE92" s="29" t="str">
        <f aca="false">IF(OR(G92="",G92="なし"),"",IF(W92="経理区分別",BD92+BE92,""))</f>
        <v/>
      </c>
      <c r="AF92" s="27"/>
      <c r="AG92" s="26" t="s">
        <v>160</v>
      </c>
      <c r="AH92" s="26"/>
      <c r="AI92" s="30"/>
      <c r="AJ92" s="31"/>
      <c r="AK92" s="31"/>
      <c r="AL92" s="31"/>
      <c r="AM92" s="31"/>
      <c r="AN92" s="31"/>
      <c r="AO92" s="31"/>
      <c r="AP92" s="31"/>
      <c r="AQ92" s="31"/>
      <c r="AR92" s="31"/>
      <c r="AS92" s="31"/>
      <c r="AT92" s="31"/>
      <c r="AU92" s="31" t="n">
        <f aca="false">IF($G92="",AJ92,L92)</f>
        <v>145485</v>
      </c>
      <c r="AV92" s="31" t="n">
        <f aca="false">IF($G92="",AK92,M92)</f>
        <v>11925</v>
      </c>
      <c r="AW92" s="31" t="n">
        <f aca="false">IF($G92="",AL92,N92)</f>
        <v>145485</v>
      </c>
      <c r="AX92" s="31" t="n">
        <f aca="false">IF($G92="",AM92,O92)</f>
        <v>11925</v>
      </c>
      <c r="AY92" s="31" t="n">
        <f aca="false">IF($G92="",AN92,P92)</f>
        <v>138</v>
      </c>
      <c r="AZ92" s="31" t="n">
        <f aca="false">IF($G92="",AO92,Q92)</f>
        <v>0</v>
      </c>
      <c r="BA92" s="31" t="n">
        <f aca="false">IF($G92="",AP92,R92)</f>
        <v>0</v>
      </c>
      <c r="BB92" s="31" t="n">
        <f aca="false">IF($G92="",AQ92,S92)</f>
        <v>0</v>
      </c>
      <c r="BC92" s="31" t="n">
        <f aca="false">IF($G92="",AR92,T92)</f>
        <v>0</v>
      </c>
      <c r="BD92" s="31" t="n">
        <f aca="false">IF($G92="",AS92,U92)</f>
        <v>0</v>
      </c>
      <c r="BE92" s="31" t="n">
        <f aca="false">IF($G92="",AT92,V92)</f>
        <v>0</v>
      </c>
      <c r="BF92" s="31" t="n">
        <f aca="false">ROUNDDOWN(I92*設定!$B$10/1000,0)+ROUNDDOWN(I92*設定!$B$11/1000,0)</f>
        <v>0</v>
      </c>
      <c r="BG92" s="31" t="n">
        <f aca="false">ROUNDDOWN(I92*設定!$C$10/1000,0)+ROUNDDOWN(I92*設定!$C$11/1000,0)+ROUNDDOWN(I92*設定!$C$12/1000,0)</f>
        <v>0</v>
      </c>
      <c r="BH92" s="31" t="n">
        <f aca="false">ROUNDDOWN(J92*設定!$B$13/1000,0)</f>
        <v>0</v>
      </c>
      <c r="BI92" s="31" t="n">
        <f aca="false">ROUNDDOWN(J92*設定!$C$13/1000,0)</f>
        <v>0</v>
      </c>
      <c r="BJ92" s="31" t="n">
        <f aca="false">ROUNDDOWN(K92*設定!$B$14/1000,0)</f>
        <v>0</v>
      </c>
      <c r="BK92" s="31" t="n">
        <f aca="false">ROUNDDOWN(K92*設定!$C$14/1000,0)</f>
        <v>0</v>
      </c>
      <c r="BL92" s="31" t="n">
        <f aca="false">ROUNDDOWN(J92*設定!$B$15/1000,0)</f>
        <v>0</v>
      </c>
      <c r="BM92" s="31" t="n">
        <f aca="false">ROUNDDOWN(J92*設定!$C$15/1000,0)</f>
        <v>0</v>
      </c>
      <c r="BN92" s="31" t="n">
        <f aca="false">L92+M92</f>
        <v>157410</v>
      </c>
      <c r="BO92" s="31" t="n">
        <f aca="false">N92+O92+P92</f>
        <v>157548</v>
      </c>
      <c r="BP92" s="31" t="n">
        <f aca="false">Q92</f>
        <v>0</v>
      </c>
      <c r="BQ92" s="31" t="n">
        <f aca="false">R92</f>
        <v>0</v>
      </c>
      <c r="BR92" s="31" t="n">
        <f aca="false">S92</f>
        <v>0</v>
      </c>
      <c r="BS92" s="31" t="n">
        <f aca="false">T92</f>
        <v>0</v>
      </c>
      <c r="BT92" s="31" t="n">
        <f aca="false">U92</f>
        <v>0</v>
      </c>
      <c r="BU92" s="31" t="n">
        <f aca="false">V92</f>
        <v>0</v>
      </c>
      <c r="BV92" s="32" t="n">
        <f aca="false">IF(BF92=0,IF(BN92=0,0,1),(BN92-BF92)/BF92)</f>
        <v>1</v>
      </c>
      <c r="BW92" s="32" t="n">
        <f aca="false">IF(BG92=0,IF(BO92=0,0,1),(BO92-BG92)/BG92)</f>
        <v>1</v>
      </c>
      <c r="BX92" s="32" t="n">
        <f aca="false">IF(BH92=0,IF(BP92=0,0,1),(BP92-BH92)/BH92)</f>
        <v>0</v>
      </c>
      <c r="BY92" s="32" t="n">
        <f aca="false">IF(BI92=0,IF(BQ92=0,0,1),(BQ92-BI92)/BI92)</f>
        <v>0</v>
      </c>
      <c r="BZ92" s="32" t="n">
        <f aca="false">IF(BJ92=0,IF(BR92=0,0,1),(BR92-BJ92)/BJ92)</f>
        <v>0</v>
      </c>
      <c r="CA92" s="32" t="n">
        <f aca="false">IF(BK92=0,IF(BS92=0,0,1),(BS92-BK92)/BK92)</f>
        <v>0</v>
      </c>
      <c r="CB92" s="32" t="n">
        <f aca="false">IF(BL92=0,IF(BT92=0,0,1),(BT92-BL92)/BL92)</f>
        <v>0</v>
      </c>
      <c r="CC92" s="32" t="n">
        <f aca="false">IF(BM92=0,IF(BU92=0,0,1),(BU92-BM92)/BM92)</f>
        <v>0</v>
      </c>
      <c r="CD92" s="32" t="n">
        <f aca="false">MAX(MAX(BV92:CC92),-MIN(BV92:CC92))</f>
        <v>1</v>
      </c>
      <c r="CE92" s="31" t="n">
        <f aca="false">IF(CI92="","",SUMIFS($CF$7:$CF$696,$A$7:$A$696,CI92,$B$7:$B$696,B92))</f>
        <v>314958</v>
      </c>
      <c r="CF92" s="31" t="n">
        <f aca="false">SUM(AU92:BE92)</f>
        <v>314958</v>
      </c>
      <c r="CG92" s="33" t="str">
        <f aca="false">A92&amp;"|"&amp;B92</f>
        <v>2026-05 月例|高速交通（株）</v>
      </c>
      <c r="CH92" s="34" t="str">
        <f aca="false">IFERROR(INDEX(設定!$D$61:$D$106,MATCH(B92,設定!$B$61:$B$106,0)),"Y")</f>
        <v>Y</v>
      </c>
      <c r="CI92" s="34" t="str">
        <f aca="false">IFERROR(INDEX(設定!$D$20:$D$34,MATCH(A92,設定!$A$20:$A$34,0))&amp;"","")</f>
        <v>2026-04 月例</v>
      </c>
    </row>
    <row r="93" customFormat="false" ht="15" hidden="true" customHeight="false" outlineLevel="0" collapsed="false">
      <c r="A93" s="22" t="s">
        <v>207</v>
      </c>
      <c r="B93" s="23" t="s">
        <v>201</v>
      </c>
      <c r="C93" s="10" t="str">
        <f aca="false">IF(G93="","未受領",IF(G93="なし","報告なし",IF(AH93="○","起票済",IF(OR(AG93="○",F93="一致",F93="入金不要"),"入金確認済","受領済"))))</f>
        <v>入金確認済</v>
      </c>
      <c r="D93" s="10" t="str">
        <f aca="false">IF(OR(G93="",G93="なし"),"―",IF(CH93="N","対象外",IF(AND(I93="",J93="",K93=""),"標報未入力",IF(CD93&gt;=設定!$B$4,"要確認","問題なし"))))</f>
        <v>標報未入力</v>
      </c>
      <c r="E93" s="24" t="str">
        <f aca="false">IF(OR(G93="",G93="なし",CE93="",CF93=0),"―",IF(CF93=CE93,"前月同額",IF(CE93=0,"―",IF(ABS(CF93/CE93-1)&gt;=設定!$B$5,"変動大 "&amp;TEXT(CF93/CE93-1,"+0%;-0%"),"〇"))))</f>
        <v>前月同額</v>
      </c>
      <c r="F93" s="10" t="str">
        <f aca="false">IF(OR(G93="",G93="なし"),"―",IF(CF93=0,"入金不要",IF(COUNT(Z93,AB93,AD93,AF93)=0,IF(AG93="○","手動確認","未入金"),IF(AND(N(Z93)=Y93,IF(AA93="",TRUE(),N(AB93)=AA93),IF(AC93="",TRUE(),N(AD93)=AC93),IF(AE93="",TRUE(),N(AF93)=AE93)),"一致","不一致"))))</f>
        <v>手動確認</v>
      </c>
      <c r="G93" s="25" t="s">
        <v>159</v>
      </c>
      <c r="H93" s="26"/>
      <c r="I93" s="27"/>
      <c r="J93" s="27"/>
      <c r="K93" s="27"/>
      <c r="L93" s="27" t="n">
        <v>45750</v>
      </c>
      <c r="M93" s="27" t="n">
        <v>3750</v>
      </c>
      <c r="N93" s="27" t="n">
        <v>45750</v>
      </c>
      <c r="O93" s="27" t="n">
        <v>3750</v>
      </c>
      <c r="P93" s="27" t="n">
        <v>43</v>
      </c>
      <c r="Q93" s="27"/>
      <c r="R93" s="27"/>
      <c r="S93" s="27"/>
      <c r="T93" s="27"/>
      <c r="U93" s="27"/>
      <c r="V93" s="27"/>
      <c r="W93" s="10" t="str">
        <f aca="false">IFERROR(INDEX(設定!$E$61:$E$106,MATCH(B93,設定!$B$61:$B$106,0)),"合算")</f>
        <v>合算</v>
      </c>
      <c r="X93" s="28"/>
      <c r="Y93" s="29" t="n">
        <f aca="false">IF(OR(G93="",G93="なし"),"",IF(W93="合算",CF93,IF(W93="掛金・負担金別",(AU93+AV93+AZ93+BB93+BD93),SUM(AU93:AY93))))</f>
        <v>99043</v>
      </c>
      <c r="Z93" s="27"/>
      <c r="AA93" s="29" t="str">
        <f aca="false">IF(OR(G93="",G93="なし"),"",IF(W93="掛金・負担金別",(AW93+AX93+AY93+BA93+BC93+BE93),IF(W93="経理区分別",AZ93+BA93,"")))</f>
        <v/>
      </c>
      <c r="AB93" s="27"/>
      <c r="AC93" s="29" t="str">
        <f aca="false">IF(OR(G93="",G93="なし"),"",IF(W93="経理区分別",BB93+BC93,""))</f>
        <v/>
      </c>
      <c r="AD93" s="27"/>
      <c r="AE93" s="29" t="str">
        <f aca="false">IF(OR(G93="",G93="なし"),"",IF(W93="経理区分別",BD93+BE93,""))</f>
        <v/>
      </c>
      <c r="AF93" s="27"/>
      <c r="AG93" s="26" t="s">
        <v>160</v>
      </c>
      <c r="AH93" s="26"/>
      <c r="AI93" s="30"/>
      <c r="AJ93" s="31"/>
      <c r="AK93" s="31"/>
      <c r="AL93" s="31"/>
      <c r="AM93" s="31"/>
      <c r="AN93" s="31"/>
      <c r="AO93" s="31"/>
      <c r="AP93" s="31"/>
      <c r="AQ93" s="31"/>
      <c r="AR93" s="31"/>
      <c r="AS93" s="31"/>
      <c r="AT93" s="31"/>
      <c r="AU93" s="31" t="n">
        <f aca="false">IF($G93="",AJ93,L93)</f>
        <v>45750</v>
      </c>
      <c r="AV93" s="31" t="n">
        <f aca="false">IF($G93="",AK93,M93)</f>
        <v>3750</v>
      </c>
      <c r="AW93" s="31" t="n">
        <f aca="false">IF($G93="",AL93,N93)</f>
        <v>45750</v>
      </c>
      <c r="AX93" s="31" t="n">
        <f aca="false">IF($G93="",AM93,O93)</f>
        <v>3750</v>
      </c>
      <c r="AY93" s="31" t="n">
        <f aca="false">IF($G93="",AN93,P93)</f>
        <v>43</v>
      </c>
      <c r="AZ93" s="31" t="n">
        <f aca="false">IF($G93="",AO93,Q93)</f>
        <v>0</v>
      </c>
      <c r="BA93" s="31" t="n">
        <f aca="false">IF($G93="",AP93,R93)</f>
        <v>0</v>
      </c>
      <c r="BB93" s="31" t="n">
        <f aca="false">IF($G93="",AQ93,S93)</f>
        <v>0</v>
      </c>
      <c r="BC93" s="31" t="n">
        <f aca="false">IF($G93="",AR93,T93)</f>
        <v>0</v>
      </c>
      <c r="BD93" s="31" t="n">
        <f aca="false">IF($G93="",AS93,U93)</f>
        <v>0</v>
      </c>
      <c r="BE93" s="31" t="n">
        <f aca="false">IF($G93="",AT93,V93)</f>
        <v>0</v>
      </c>
      <c r="BF93" s="31" t="n">
        <f aca="false">ROUNDDOWN(I93*設定!$B$10/1000,0)+ROUNDDOWN(I93*設定!$B$11/1000,0)</f>
        <v>0</v>
      </c>
      <c r="BG93" s="31" t="n">
        <f aca="false">ROUNDDOWN(I93*設定!$C$10/1000,0)+ROUNDDOWN(I93*設定!$C$11/1000,0)+ROUNDDOWN(I93*設定!$C$12/1000,0)</f>
        <v>0</v>
      </c>
      <c r="BH93" s="31" t="n">
        <f aca="false">ROUNDDOWN(J93*設定!$B$13/1000,0)</f>
        <v>0</v>
      </c>
      <c r="BI93" s="31" t="n">
        <f aca="false">ROUNDDOWN(J93*設定!$C$13/1000,0)</f>
        <v>0</v>
      </c>
      <c r="BJ93" s="31" t="n">
        <f aca="false">ROUNDDOWN(K93*設定!$B$14/1000,0)</f>
        <v>0</v>
      </c>
      <c r="BK93" s="31" t="n">
        <f aca="false">ROUNDDOWN(K93*設定!$C$14/1000,0)</f>
        <v>0</v>
      </c>
      <c r="BL93" s="31" t="n">
        <f aca="false">ROUNDDOWN(J93*設定!$B$15/1000,0)</f>
        <v>0</v>
      </c>
      <c r="BM93" s="31" t="n">
        <f aca="false">ROUNDDOWN(J93*設定!$C$15/1000,0)</f>
        <v>0</v>
      </c>
      <c r="BN93" s="31" t="n">
        <f aca="false">L93+M93</f>
        <v>49500</v>
      </c>
      <c r="BO93" s="31" t="n">
        <f aca="false">N93+O93+P93</f>
        <v>49543</v>
      </c>
      <c r="BP93" s="31" t="n">
        <f aca="false">Q93</f>
        <v>0</v>
      </c>
      <c r="BQ93" s="31" t="n">
        <f aca="false">R93</f>
        <v>0</v>
      </c>
      <c r="BR93" s="31" t="n">
        <f aca="false">S93</f>
        <v>0</v>
      </c>
      <c r="BS93" s="31" t="n">
        <f aca="false">T93</f>
        <v>0</v>
      </c>
      <c r="BT93" s="31" t="n">
        <f aca="false">U93</f>
        <v>0</v>
      </c>
      <c r="BU93" s="31" t="n">
        <f aca="false">V93</f>
        <v>0</v>
      </c>
      <c r="BV93" s="32" t="n">
        <f aca="false">IF(BF93=0,IF(BN93=0,0,1),(BN93-BF93)/BF93)</f>
        <v>1</v>
      </c>
      <c r="BW93" s="32" t="n">
        <f aca="false">IF(BG93=0,IF(BO93=0,0,1),(BO93-BG93)/BG93)</f>
        <v>1</v>
      </c>
      <c r="BX93" s="32" t="n">
        <f aca="false">IF(BH93=0,IF(BP93=0,0,1),(BP93-BH93)/BH93)</f>
        <v>0</v>
      </c>
      <c r="BY93" s="32" t="n">
        <f aca="false">IF(BI93=0,IF(BQ93=0,0,1),(BQ93-BI93)/BI93)</f>
        <v>0</v>
      </c>
      <c r="BZ93" s="32" t="n">
        <f aca="false">IF(BJ93=0,IF(BR93=0,0,1),(BR93-BJ93)/BJ93)</f>
        <v>0</v>
      </c>
      <c r="CA93" s="32" t="n">
        <f aca="false">IF(BK93=0,IF(BS93=0,0,1),(BS93-BK93)/BK93)</f>
        <v>0</v>
      </c>
      <c r="CB93" s="32" t="n">
        <f aca="false">IF(BL93=0,IF(BT93=0,0,1),(BT93-BL93)/BL93)</f>
        <v>0</v>
      </c>
      <c r="CC93" s="32" t="n">
        <f aca="false">IF(BM93=0,IF(BU93=0,0,1),(BU93-BM93)/BM93)</f>
        <v>0</v>
      </c>
      <c r="CD93" s="32" t="n">
        <f aca="false">MAX(MAX(BV93:CC93),-MIN(BV93:CC93))</f>
        <v>1</v>
      </c>
      <c r="CE93" s="31" t="n">
        <f aca="false">IF(CI93="","",SUMIFS($CF$7:$CF$696,$A$7:$A$696,CI93,$B$7:$B$696,B93))</f>
        <v>99043</v>
      </c>
      <c r="CF93" s="31" t="n">
        <f aca="false">SUM(AU93:BE93)</f>
        <v>99043</v>
      </c>
      <c r="CG93" s="33" t="str">
        <f aca="false">A93&amp;"|"&amp;B93</f>
        <v>2026-05 月例|広島駅南口開発（株）</v>
      </c>
      <c r="CH93" s="34" t="str">
        <f aca="false">IFERROR(INDEX(設定!$D$61:$D$106,MATCH(B93,設定!$B$61:$B$106,0)),"Y")</f>
        <v>Y</v>
      </c>
      <c r="CI93" s="34" t="str">
        <f aca="false">IFERROR(INDEX(設定!$D$20:$D$34,MATCH(A93,設定!$A$20:$A$34,0))&amp;"","")</f>
        <v>2026-04 月例</v>
      </c>
    </row>
    <row r="94" customFormat="false" ht="15" hidden="true" customHeight="false" outlineLevel="0" collapsed="false">
      <c r="A94" s="22" t="s">
        <v>207</v>
      </c>
      <c r="B94" s="23" t="s">
        <v>202</v>
      </c>
      <c r="C94" s="10" t="str">
        <f aca="false">IF(G94="","未受領",IF(G94="なし","報告なし",IF(AH94="○","起票済",IF(OR(AG94="○",F94="一致",F94="入金不要"),"入金確認済","受領済"))))</f>
        <v>入金確認済</v>
      </c>
      <c r="D94" s="10" t="str">
        <f aca="false">IF(OR(G94="",G94="なし"),"―",IF(CH94="N","対象外",IF(AND(I94="",J94="",K94=""),"標報未入力",IF(CD94&gt;=設定!$B$4,"要確認","問題なし"))))</f>
        <v>標報未入力</v>
      </c>
      <c r="E94" s="24" t="str">
        <f aca="false">IF(OR(G94="",G94="なし",CE94="",CF94=0),"―",IF(CF94=CE94,"前月同額",IF(CE94=0,"―",IF(ABS(CF94/CE94-1)&gt;=設定!$B$5,"変動大 "&amp;TEXT(CF94/CE94-1,"+0%;-0%"),"〇"))))</f>
        <v>前月同額</v>
      </c>
      <c r="F94" s="10" t="str">
        <f aca="false">IF(OR(G94="",G94="なし"),"―",IF(CF94=0,"入金不要",IF(COUNT(Z94,AB94,AD94,AF94)=0,IF(AG94="○","手動確認","未入金"),IF(AND(N(Z94)=Y94,IF(AA94="",TRUE(),N(AB94)=AA94),IF(AC94="",TRUE(),N(AD94)=AC94),IF(AE94="",TRUE(),N(AF94)=AE94)),"一致","不一致"))))</f>
        <v>手動確認</v>
      </c>
      <c r="G94" s="25" t="s">
        <v>159</v>
      </c>
      <c r="H94" s="26"/>
      <c r="I94" s="27"/>
      <c r="J94" s="27"/>
      <c r="K94" s="27"/>
      <c r="L94" s="27" t="n">
        <v>29280</v>
      </c>
      <c r="M94" s="27" t="n">
        <v>2400</v>
      </c>
      <c r="N94" s="27" t="n">
        <v>29280</v>
      </c>
      <c r="O94" s="27" t="n">
        <v>2400</v>
      </c>
      <c r="P94" s="27"/>
      <c r="Q94" s="27" t="n">
        <v>16595</v>
      </c>
      <c r="R94" s="27" t="n">
        <v>16611</v>
      </c>
      <c r="S94" s="27" t="n">
        <v>2528</v>
      </c>
      <c r="T94" s="27" t="n">
        <v>2528</v>
      </c>
      <c r="U94" s="27" t="n">
        <v>368</v>
      </c>
      <c r="V94" s="27" t="n">
        <v>368</v>
      </c>
      <c r="W94" s="10" t="str">
        <f aca="false">IFERROR(INDEX(設定!$E$61:$E$106,MATCH(B94,設定!$B$61:$B$106,0)),"合算")</f>
        <v>合算</v>
      </c>
      <c r="X94" s="28"/>
      <c r="Y94" s="29" t="n">
        <f aca="false">IF(OR(G94="",G94="なし"),"",IF(W94="合算",CF94,IF(W94="掛金・負担金別",(AU94+AV94+AZ94+BB94+BD94),SUM(AU94:AY94))))</f>
        <v>102358</v>
      </c>
      <c r="Z94" s="27"/>
      <c r="AA94" s="29" t="str">
        <f aca="false">IF(OR(G94="",G94="なし"),"",IF(W94="掛金・負担金別",(AW94+AX94+AY94+BA94+BC94+BE94),IF(W94="経理区分別",AZ94+BA94,"")))</f>
        <v/>
      </c>
      <c r="AB94" s="27"/>
      <c r="AC94" s="29" t="str">
        <f aca="false">IF(OR(G94="",G94="なし"),"",IF(W94="経理区分別",BB94+BC94,""))</f>
        <v/>
      </c>
      <c r="AD94" s="27"/>
      <c r="AE94" s="29" t="str">
        <f aca="false">IF(OR(G94="",G94="なし"),"",IF(W94="経理区分別",BD94+BE94,""))</f>
        <v/>
      </c>
      <c r="AF94" s="27"/>
      <c r="AG94" s="26" t="s">
        <v>160</v>
      </c>
      <c r="AH94" s="26"/>
      <c r="AI94" s="30"/>
      <c r="AJ94" s="31"/>
      <c r="AK94" s="31"/>
      <c r="AL94" s="31"/>
      <c r="AM94" s="31"/>
      <c r="AN94" s="31"/>
      <c r="AO94" s="31"/>
      <c r="AP94" s="31"/>
      <c r="AQ94" s="31"/>
      <c r="AR94" s="31"/>
      <c r="AS94" s="31"/>
      <c r="AT94" s="31"/>
      <c r="AU94" s="31" t="n">
        <f aca="false">IF($G94="",AJ94,L94)</f>
        <v>29280</v>
      </c>
      <c r="AV94" s="31" t="n">
        <f aca="false">IF($G94="",AK94,M94)</f>
        <v>2400</v>
      </c>
      <c r="AW94" s="31" t="n">
        <f aca="false">IF($G94="",AL94,N94)</f>
        <v>29280</v>
      </c>
      <c r="AX94" s="31" t="n">
        <f aca="false">IF($G94="",AM94,O94)</f>
        <v>2400</v>
      </c>
      <c r="AY94" s="31" t="n">
        <f aca="false">IF($G94="",AN94,P94)</f>
        <v>0</v>
      </c>
      <c r="AZ94" s="31" t="n">
        <f aca="false">IF($G94="",AO94,Q94)</f>
        <v>16595</v>
      </c>
      <c r="BA94" s="31" t="n">
        <f aca="false">IF($G94="",AP94,R94)</f>
        <v>16611</v>
      </c>
      <c r="BB94" s="31" t="n">
        <f aca="false">IF($G94="",AQ94,S94)</f>
        <v>2528</v>
      </c>
      <c r="BC94" s="31" t="n">
        <f aca="false">IF($G94="",AR94,T94)</f>
        <v>2528</v>
      </c>
      <c r="BD94" s="31" t="n">
        <f aca="false">IF($G94="",AS94,U94)</f>
        <v>368</v>
      </c>
      <c r="BE94" s="31" t="n">
        <f aca="false">IF($G94="",AT94,V94)</f>
        <v>368</v>
      </c>
      <c r="BF94" s="31" t="n">
        <f aca="false">ROUNDDOWN(I94*設定!$B$10/1000,0)+ROUNDDOWN(I94*設定!$B$11/1000,0)</f>
        <v>0</v>
      </c>
      <c r="BG94" s="31" t="n">
        <f aca="false">ROUNDDOWN(I94*設定!$C$10/1000,0)+ROUNDDOWN(I94*設定!$C$11/1000,0)+ROUNDDOWN(I94*設定!$C$12/1000,0)</f>
        <v>0</v>
      </c>
      <c r="BH94" s="31" t="n">
        <f aca="false">ROUNDDOWN(J94*設定!$B$13/1000,0)</f>
        <v>0</v>
      </c>
      <c r="BI94" s="31" t="n">
        <f aca="false">ROUNDDOWN(J94*設定!$C$13/1000,0)</f>
        <v>0</v>
      </c>
      <c r="BJ94" s="31" t="n">
        <f aca="false">ROUNDDOWN(K94*設定!$B$14/1000,0)</f>
        <v>0</v>
      </c>
      <c r="BK94" s="31" t="n">
        <f aca="false">ROUNDDOWN(K94*設定!$C$14/1000,0)</f>
        <v>0</v>
      </c>
      <c r="BL94" s="31" t="n">
        <f aca="false">ROUNDDOWN(J94*設定!$B$15/1000,0)</f>
        <v>0</v>
      </c>
      <c r="BM94" s="31" t="n">
        <f aca="false">ROUNDDOWN(J94*設定!$C$15/1000,0)</f>
        <v>0</v>
      </c>
      <c r="BN94" s="31" t="n">
        <f aca="false">L94+M94</f>
        <v>31680</v>
      </c>
      <c r="BO94" s="31" t="n">
        <f aca="false">N94+O94+P94</f>
        <v>31680</v>
      </c>
      <c r="BP94" s="31" t="n">
        <f aca="false">Q94</f>
        <v>16595</v>
      </c>
      <c r="BQ94" s="31" t="n">
        <f aca="false">R94</f>
        <v>16611</v>
      </c>
      <c r="BR94" s="31" t="n">
        <f aca="false">S94</f>
        <v>2528</v>
      </c>
      <c r="BS94" s="31" t="n">
        <f aca="false">T94</f>
        <v>2528</v>
      </c>
      <c r="BT94" s="31" t="n">
        <f aca="false">U94</f>
        <v>368</v>
      </c>
      <c r="BU94" s="31" t="n">
        <f aca="false">V94</f>
        <v>368</v>
      </c>
      <c r="BV94" s="32" t="n">
        <f aca="false">IF(BF94=0,IF(BN94=0,0,1),(BN94-BF94)/BF94)</f>
        <v>1</v>
      </c>
      <c r="BW94" s="32" t="n">
        <f aca="false">IF(BG94=0,IF(BO94=0,0,1),(BO94-BG94)/BG94)</f>
        <v>1</v>
      </c>
      <c r="BX94" s="32" t="n">
        <f aca="false">IF(BH94=0,IF(BP94=0,0,1),(BP94-BH94)/BH94)</f>
        <v>1</v>
      </c>
      <c r="BY94" s="32" t="n">
        <f aca="false">IF(BI94=0,IF(BQ94=0,0,1),(BQ94-BI94)/BI94)</f>
        <v>1</v>
      </c>
      <c r="BZ94" s="32" t="n">
        <f aca="false">IF(BJ94=0,IF(BR94=0,0,1),(BR94-BJ94)/BJ94)</f>
        <v>1</v>
      </c>
      <c r="CA94" s="32" t="n">
        <f aca="false">IF(BK94=0,IF(BS94=0,0,1),(BS94-BK94)/BK94)</f>
        <v>1</v>
      </c>
      <c r="CB94" s="32" t="n">
        <f aca="false">IF(BL94=0,IF(BT94=0,0,1),(BT94-BL94)/BL94)</f>
        <v>1</v>
      </c>
      <c r="CC94" s="32" t="n">
        <f aca="false">IF(BM94=0,IF(BU94=0,0,1),(BU94-BM94)/BM94)</f>
        <v>1</v>
      </c>
      <c r="CD94" s="32" t="n">
        <f aca="false">MAX(MAX(BV94:CC94),-MIN(BV94:CC94))</f>
        <v>1</v>
      </c>
      <c r="CE94" s="31" t="n">
        <f aca="false">IF(CI94="","",SUMIFS($CF$7:$CF$696,$A$7:$A$696,CI94,$B$7:$B$696,B94))</f>
        <v>102358</v>
      </c>
      <c r="CF94" s="31" t="n">
        <f aca="false">SUM(AU94:BE94)</f>
        <v>102358</v>
      </c>
      <c r="CG94" s="33" t="str">
        <f aca="false">A94&amp;"|"&amp;B94</f>
        <v>2026-05 月例|市職員労働組合</v>
      </c>
      <c r="CH94" s="34" t="str">
        <f aca="false">IFERROR(INDEX(設定!$D$61:$D$106,MATCH(B94,設定!$B$61:$B$106,0)),"Y")</f>
        <v>Y</v>
      </c>
      <c r="CI94" s="34" t="str">
        <f aca="false">IFERROR(INDEX(設定!$D$20:$D$34,MATCH(A94,設定!$A$20:$A$34,0))&amp;"","")</f>
        <v>2026-04 月例</v>
      </c>
    </row>
    <row r="95" customFormat="false" ht="15" hidden="true" customHeight="false" outlineLevel="0" collapsed="false">
      <c r="A95" s="22" t="s">
        <v>207</v>
      </c>
      <c r="B95" s="23" t="s">
        <v>203</v>
      </c>
      <c r="C95" s="10" t="str">
        <f aca="false">IF(G95="","未受領",IF(G95="なし","報告なし",IF(AH95="○","起票済",IF(OR(AG95="○",F95="一致",F95="入金不要"),"入金確認済","受領済"))))</f>
        <v>未受領</v>
      </c>
      <c r="D95" s="10" t="str">
        <f aca="false">IF(OR(G95="",G95="なし"),"―",IF(CH95="N","対象外",IF(AND(I95="",J95="",K95=""),"標報未入力",IF(CD95&gt;=設定!$B$4,"要確認","問題なし"))))</f>
        <v>―</v>
      </c>
      <c r="E95" s="24" t="str">
        <f aca="false">IF(OR(G95="",G95="なし",CE95="",CF95=0),"―",IF(CF95=CE95,"前月同額",IF(CE95=0,"―",IF(ABS(CF95/CE95-1)&gt;=設定!$B$5,"変動大 "&amp;TEXT(CF95/CE95-1,"+0%;-0%"),"〇"))))</f>
        <v>―</v>
      </c>
      <c r="F95" s="10" t="str">
        <f aca="false">IF(OR(G95="",G95="なし"),"―",IF(CF95=0,"入金不要",IF(COUNT(Z95,AB95,AD95,AF95)=0,IF(AG95="○","手動確認","未入金"),IF(AND(N(Z95)=Y95,IF(AA95="",TRUE(),N(AB95)=AA95),IF(AC95="",TRUE(),N(AD95)=AC95),IF(AE95="",TRUE(),N(AF95)=AE95)),"一致","不一致"))))</f>
        <v>―</v>
      </c>
      <c r="G95" s="25"/>
      <c r="H95" s="26"/>
      <c r="I95" s="27"/>
      <c r="J95" s="27"/>
      <c r="K95" s="27"/>
      <c r="L95" s="27"/>
      <c r="M95" s="27"/>
      <c r="N95" s="27"/>
      <c r="O95" s="27"/>
      <c r="P95" s="27"/>
      <c r="Q95" s="27"/>
      <c r="R95" s="27"/>
      <c r="S95" s="27"/>
      <c r="T95" s="27"/>
      <c r="U95" s="27"/>
      <c r="V95" s="27"/>
      <c r="W95" s="10" t="str">
        <f aca="false">IFERROR(INDEX(設定!$E$61:$E$106,MATCH(B95,設定!$B$61:$B$106,0)),"合算")</f>
        <v>合算</v>
      </c>
      <c r="X95" s="28"/>
      <c r="Y95" s="29" t="str">
        <f aca="false">IF(OR(G95="",G95="なし"),"",IF(W95="合算",CF95,IF(W95="掛金・負担金別",(AU95+AV95+AZ95+BB95+BD95),SUM(AU95:AY95))))</f>
        <v/>
      </c>
      <c r="Z95" s="27"/>
      <c r="AA95" s="29" t="str">
        <f aca="false">IF(OR(G95="",G95="なし"),"",IF(W95="掛金・負担金別",(AW95+AX95+AY95+BA95+BC95+BE95),IF(W95="経理区分別",AZ95+BA95,"")))</f>
        <v/>
      </c>
      <c r="AB95" s="27"/>
      <c r="AC95" s="29" t="str">
        <f aca="false">IF(OR(G95="",G95="なし"),"",IF(W95="経理区分別",BB95+BC95,""))</f>
        <v/>
      </c>
      <c r="AD95" s="27"/>
      <c r="AE95" s="29" t="str">
        <f aca="false">IF(OR(G95="",G95="なし"),"",IF(W95="経理区分別",BD95+BE95,""))</f>
        <v/>
      </c>
      <c r="AF95" s="27"/>
      <c r="AG95" s="26"/>
      <c r="AH95" s="26"/>
      <c r="AI95" s="30"/>
      <c r="AJ95" s="31" t="n">
        <v>0</v>
      </c>
      <c r="AK95" s="31" t="n">
        <v>0</v>
      </c>
      <c r="AL95" s="31" t="n">
        <v>0</v>
      </c>
      <c r="AM95" s="31" t="n">
        <v>0</v>
      </c>
      <c r="AN95" s="31"/>
      <c r="AO95" s="31" t="n">
        <v>0</v>
      </c>
      <c r="AP95" s="31" t="n">
        <v>0</v>
      </c>
      <c r="AQ95" s="31" t="n">
        <v>0</v>
      </c>
      <c r="AR95" s="31" t="n">
        <v>0</v>
      </c>
      <c r="AS95" s="31" t="n">
        <v>0</v>
      </c>
      <c r="AT95" s="31" t="n">
        <v>0</v>
      </c>
      <c r="AU95" s="31" t="n">
        <f aca="false">IF($G95="",AJ95,L95)</f>
        <v>0</v>
      </c>
      <c r="AV95" s="31" t="n">
        <f aca="false">IF($G95="",AK95,M95)</f>
        <v>0</v>
      </c>
      <c r="AW95" s="31" t="n">
        <f aca="false">IF($G95="",AL95,N95)</f>
        <v>0</v>
      </c>
      <c r="AX95" s="31" t="n">
        <f aca="false">IF($G95="",AM95,O95)</f>
        <v>0</v>
      </c>
      <c r="AY95" s="31" t="n">
        <f aca="false">IF($G95="",AN95,P95)</f>
        <v>0</v>
      </c>
      <c r="AZ95" s="31" t="n">
        <f aca="false">IF($G95="",AO95,Q95)</f>
        <v>0</v>
      </c>
      <c r="BA95" s="31" t="n">
        <f aca="false">IF($G95="",AP95,R95)</f>
        <v>0</v>
      </c>
      <c r="BB95" s="31" t="n">
        <f aca="false">IF($G95="",AQ95,S95)</f>
        <v>0</v>
      </c>
      <c r="BC95" s="31" t="n">
        <f aca="false">IF($G95="",AR95,T95)</f>
        <v>0</v>
      </c>
      <c r="BD95" s="31" t="n">
        <f aca="false">IF($G95="",AS95,U95)</f>
        <v>0</v>
      </c>
      <c r="BE95" s="31" t="n">
        <f aca="false">IF($G95="",AT95,V95)</f>
        <v>0</v>
      </c>
      <c r="BF95" s="31" t="n">
        <f aca="false">ROUNDDOWN(I95*設定!$B$10/1000,0)+ROUNDDOWN(I95*設定!$B$11/1000,0)</f>
        <v>0</v>
      </c>
      <c r="BG95" s="31" t="n">
        <f aca="false">ROUNDDOWN(I95*設定!$C$10/1000,0)+ROUNDDOWN(I95*設定!$C$11/1000,0)+ROUNDDOWN(I95*設定!$C$12/1000,0)</f>
        <v>0</v>
      </c>
      <c r="BH95" s="31" t="n">
        <f aca="false">ROUNDDOWN(J95*設定!$B$13/1000,0)</f>
        <v>0</v>
      </c>
      <c r="BI95" s="31" t="n">
        <f aca="false">ROUNDDOWN(J95*設定!$C$13/1000,0)</f>
        <v>0</v>
      </c>
      <c r="BJ95" s="31" t="n">
        <f aca="false">ROUNDDOWN(K95*設定!$B$14/1000,0)</f>
        <v>0</v>
      </c>
      <c r="BK95" s="31" t="n">
        <f aca="false">ROUNDDOWN(K95*設定!$C$14/1000,0)</f>
        <v>0</v>
      </c>
      <c r="BL95" s="31" t="n">
        <f aca="false">ROUNDDOWN(J95*設定!$B$15/1000,0)</f>
        <v>0</v>
      </c>
      <c r="BM95" s="31" t="n">
        <f aca="false">ROUNDDOWN(J95*設定!$C$15/1000,0)</f>
        <v>0</v>
      </c>
      <c r="BN95" s="31" t="n">
        <f aca="false">L95+M95</f>
        <v>0</v>
      </c>
      <c r="BO95" s="31" t="n">
        <f aca="false">N95+O95+P95</f>
        <v>0</v>
      </c>
      <c r="BP95" s="31" t="n">
        <f aca="false">Q95</f>
        <v>0</v>
      </c>
      <c r="BQ95" s="31" t="n">
        <f aca="false">R95</f>
        <v>0</v>
      </c>
      <c r="BR95" s="31" t="n">
        <f aca="false">S95</f>
        <v>0</v>
      </c>
      <c r="BS95" s="31" t="n">
        <f aca="false">T95</f>
        <v>0</v>
      </c>
      <c r="BT95" s="31" t="n">
        <f aca="false">U95</f>
        <v>0</v>
      </c>
      <c r="BU95" s="31" t="n">
        <f aca="false">V95</f>
        <v>0</v>
      </c>
      <c r="BV95" s="32" t="n">
        <f aca="false">IF(BF95=0,IF(BN95=0,0,1),(BN95-BF95)/BF95)</f>
        <v>0</v>
      </c>
      <c r="BW95" s="32" t="n">
        <f aca="false">IF(BG95=0,IF(BO95=0,0,1),(BO95-BG95)/BG95)</f>
        <v>0</v>
      </c>
      <c r="BX95" s="32" t="n">
        <f aca="false">IF(BH95=0,IF(BP95=0,0,1),(BP95-BH95)/BH95)</f>
        <v>0</v>
      </c>
      <c r="BY95" s="32" t="n">
        <f aca="false">IF(BI95=0,IF(BQ95=0,0,1),(BQ95-BI95)/BI95)</f>
        <v>0</v>
      </c>
      <c r="BZ95" s="32" t="n">
        <f aca="false">IF(BJ95=0,IF(BR95=0,0,1),(BR95-BJ95)/BJ95)</f>
        <v>0</v>
      </c>
      <c r="CA95" s="32" t="n">
        <f aca="false">IF(BK95=0,IF(BS95=0,0,1),(BS95-BK95)/BK95)</f>
        <v>0</v>
      </c>
      <c r="CB95" s="32" t="n">
        <f aca="false">IF(BL95=0,IF(BT95=0,0,1),(BT95-BL95)/BL95)</f>
        <v>0</v>
      </c>
      <c r="CC95" s="32" t="n">
        <f aca="false">IF(BM95=0,IF(BU95=0,0,1),(BU95-BM95)/BM95)</f>
        <v>0</v>
      </c>
      <c r="CD95" s="32" t="n">
        <f aca="false">MAX(MAX(BV95:CC95),-MIN(BV95:CC95))</f>
        <v>-0</v>
      </c>
      <c r="CE95" s="31" t="n">
        <f aca="false">IF(CI95="","",SUMIFS($CF$7:$CF$696,$A$7:$A$696,CI95,$B$7:$B$696,B95))</f>
        <v>0</v>
      </c>
      <c r="CF95" s="31" t="n">
        <f aca="false">SUM(AU95:BE95)</f>
        <v>0</v>
      </c>
      <c r="CG95" s="33" t="str">
        <f aca="false">A95&amp;"|"&amp;B95</f>
        <v>2026-05 月例|自治労労働組合</v>
      </c>
      <c r="CH95" s="34" t="str">
        <f aca="false">IFERROR(INDEX(設定!$D$61:$D$106,MATCH(B95,設定!$B$61:$B$106,0)),"Y")</f>
        <v>Y</v>
      </c>
      <c r="CI95" s="34" t="str">
        <f aca="false">IFERROR(INDEX(設定!$D$20:$D$34,MATCH(A95,設定!$A$20:$A$34,0))&amp;"","")</f>
        <v>2026-04 月例</v>
      </c>
    </row>
    <row r="96" customFormat="false" ht="15" hidden="true" customHeight="false" outlineLevel="0" collapsed="false">
      <c r="A96" s="22" t="s">
        <v>207</v>
      </c>
      <c r="B96" s="23" t="s">
        <v>204</v>
      </c>
      <c r="C96" s="10" t="str">
        <f aca="false">IF(G96="","未受領",IF(G96="なし","報告なし",IF(AH96="○","起票済",IF(OR(AG96="○",F96="一致",F96="入金不要"),"入金確認済","受領済"))))</f>
        <v>入金確認済</v>
      </c>
      <c r="D96" s="10" t="str">
        <f aca="false">IF(OR(G96="",G96="なし"),"―",IF(CH96="N","対象外",IF(AND(I96="",J96="",K96=""),"標報未入力",IF(CD96&gt;=設定!$B$4,"要確認","問題なし"))))</f>
        <v>標報未入力</v>
      </c>
      <c r="E96" s="24" t="str">
        <f aca="false">IF(OR(G96="",G96="なし",CE96="",CF96=0),"―",IF(CF96=CE96,"前月同額",IF(CE96=0,"―",IF(ABS(CF96/CE96-1)&gt;=設定!$B$5,"変動大 "&amp;TEXT(CF96/CE96-1,"+0%;-0%"),"〇"))))</f>
        <v>前月同額</v>
      </c>
      <c r="F96" s="10" t="str">
        <f aca="false">IF(OR(G96="",G96="なし"),"―",IF(CF96=0,"入金不要",IF(COUNT(Z96,AB96,AD96,AF96)=0,IF(AG96="○","手動確認","未入金"),IF(AND(N(Z96)=Y96,IF(AA96="",TRUE(),N(AB96)=AA96),IF(AC96="",TRUE(),N(AD96)=AC96),IF(AE96="",TRUE(),N(AF96)=AE96)),"一致","不一致"))))</f>
        <v>手動確認</v>
      </c>
      <c r="G96" s="25" t="s">
        <v>159</v>
      </c>
      <c r="H96" s="26"/>
      <c r="I96" s="27"/>
      <c r="J96" s="27"/>
      <c r="K96" s="27"/>
      <c r="L96" s="27" t="n">
        <v>27450</v>
      </c>
      <c r="M96" s="27" t="n">
        <v>2250</v>
      </c>
      <c r="N96" s="27" t="n">
        <v>27450</v>
      </c>
      <c r="O96" s="27" t="n">
        <v>2250</v>
      </c>
      <c r="P96" s="27"/>
      <c r="Q96" s="27" t="n">
        <v>31116</v>
      </c>
      <c r="R96" s="27" t="n">
        <v>31146</v>
      </c>
      <c r="S96" s="27" t="n">
        <v>2370</v>
      </c>
      <c r="T96" s="27" t="n">
        <v>2370</v>
      </c>
      <c r="U96" s="27" t="n">
        <v>690</v>
      </c>
      <c r="V96" s="27" t="n">
        <v>690</v>
      </c>
      <c r="W96" s="10" t="str">
        <f aca="false">IFERROR(INDEX(設定!$E$61:$E$106,MATCH(B96,設定!$B$61:$B$106,0)),"合算")</f>
        <v>合算</v>
      </c>
      <c r="X96" s="28"/>
      <c r="Y96" s="29" t="n">
        <f aca="false">IF(OR(G96="",G96="なし"),"",IF(W96="合算",CF96,IF(W96="掛金・負担金別",(AU96+AV96+AZ96+BB96+BD96),SUM(AU96:AY96))))</f>
        <v>127782</v>
      </c>
      <c r="Z96" s="27"/>
      <c r="AA96" s="29" t="str">
        <f aca="false">IF(OR(G96="",G96="なし"),"",IF(W96="掛金・負担金別",(AW96+AX96+AY96+BA96+BC96+BE96),IF(W96="経理区分別",AZ96+BA96,"")))</f>
        <v/>
      </c>
      <c r="AB96" s="27"/>
      <c r="AC96" s="29" t="str">
        <f aca="false">IF(OR(G96="",G96="なし"),"",IF(W96="経理区分別",BB96+BC96,""))</f>
        <v/>
      </c>
      <c r="AD96" s="27"/>
      <c r="AE96" s="29" t="str">
        <f aca="false">IF(OR(G96="",G96="なし"),"",IF(W96="経理区分別",BD96+BE96,""))</f>
        <v/>
      </c>
      <c r="AF96" s="27"/>
      <c r="AG96" s="26" t="s">
        <v>160</v>
      </c>
      <c r="AH96" s="26"/>
      <c r="AI96" s="30"/>
      <c r="AJ96" s="31"/>
      <c r="AK96" s="31"/>
      <c r="AL96" s="31"/>
      <c r="AM96" s="31"/>
      <c r="AN96" s="31"/>
      <c r="AO96" s="31"/>
      <c r="AP96" s="31"/>
      <c r="AQ96" s="31"/>
      <c r="AR96" s="31"/>
      <c r="AS96" s="31"/>
      <c r="AT96" s="31"/>
      <c r="AU96" s="31" t="n">
        <f aca="false">IF($G96="",AJ96,L96)</f>
        <v>27450</v>
      </c>
      <c r="AV96" s="31" t="n">
        <f aca="false">IF($G96="",AK96,M96)</f>
        <v>2250</v>
      </c>
      <c r="AW96" s="31" t="n">
        <f aca="false">IF($G96="",AL96,N96)</f>
        <v>27450</v>
      </c>
      <c r="AX96" s="31" t="n">
        <f aca="false">IF($G96="",AM96,O96)</f>
        <v>2250</v>
      </c>
      <c r="AY96" s="31" t="n">
        <f aca="false">IF($G96="",AN96,P96)</f>
        <v>0</v>
      </c>
      <c r="AZ96" s="31" t="n">
        <f aca="false">IF($G96="",AO96,Q96)</f>
        <v>31116</v>
      </c>
      <c r="BA96" s="31" t="n">
        <f aca="false">IF($G96="",AP96,R96)</f>
        <v>31146</v>
      </c>
      <c r="BB96" s="31" t="n">
        <f aca="false">IF($G96="",AQ96,S96)</f>
        <v>2370</v>
      </c>
      <c r="BC96" s="31" t="n">
        <f aca="false">IF($G96="",AR96,T96)</f>
        <v>2370</v>
      </c>
      <c r="BD96" s="31" t="n">
        <f aca="false">IF($G96="",AS96,U96)</f>
        <v>690</v>
      </c>
      <c r="BE96" s="31" t="n">
        <f aca="false">IF($G96="",AT96,V96)</f>
        <v>690</v>
      </c>
      <c r="BF96" s="31" t="n">
        <f aca="false">ROUNDDOWN(I96*設定!$B$10/1000,0)+ROUNDDOWN(I96*設定!$B$11/1000,0)</f>
        <v>0</v>
      </c>
      <c r="BG96" s="31" t="n">
        <f aca="false">ROUNDDOWN(I96*設定!$C$10/1000,0)+ROUNDDOWN(I96*設定!$C$11/1000,0)+ROUNDDOWN(I96*設定!$C$12/1000,0)</f>
        <v>0</v>
      </c>
      <c r="BH96" s="31" t="n">
        <f aca="false">ROUNDDOWN(J96*設定!$B$13/1000,0)</f>
        <v>0</v>
      </c>
      <c r="BI96" s="31" t="n">
        <f aca="false">ROUNDDOWN(J96*設定!$C$13/1000,0)</f>
        <v>0</v>
      </c>
      <c r="BJ96" s="31" t="n">
        <f aca="false">ROUNDDOWN(K96*設定!$B$14/1000,0)</f>
        <v>0</v>
      </c>
      <c r="BK96" s="31" t="n">
        <f aca="false">ROUNDDOWN(K96*設定!$C$14/1000,0)</f>
        <v>0</v>
      </c>
      <c r="BL96" s="31" t="n">
        <f aca="false">ROUNDDOWN(J96*設定!$B$15/1000,0)</f>
        <v>0</v>
      </c>
      <c r="BM96" s="31" t="n">
        <f aca="false">ROUNDDOWN(J96*設定!$C$15/1000,0)</f>
        <v>0</v>
      </c>
      <c r="BN96" s="31" t="n">
        <f aca="false">L96+M96</f>
        <v>29700</v>
      </c>
      <c r="BO96" s="31" t="n">
        <f aca="false">N96+O96+P96</f>
        <v>29700</v>
      </c>
      <c r="BP96" s="31" t="n">
        <f aca="false">Q96</f>
        <v>31116</v>
      </c>
      <c r="BQ96" s="31" t="n">
        <f aca="false">R96</f>
        <v>31146</v>
      </c>
      <c r="BR96" s="31" t="n">
        <f aca="false">S96</f>
        <v>2370</v>
      </c>
      <c r="BS96" s="31" t="n">
        <f aca="false">T96</f>
        <v>2370</v>
      </c>
      <c r="BT96" s="31" t="n">
        <f aca="false">U96</f>
        <v>690</v>
      </c>
      <c r="BU96" s="31" t="n">
        <f aca="false">V96</f>
        <v>690</v>
      </c>
      <c r="BV96" s="32" t="n">
        <f aca="false">IF(BF96=0,IF(BN96=0,0,1),(BN96-BF96)/BF96)</f>
        <v>1</v>
      </c>
      <c r="BW96" s="32" t="n">
        <f aca="false">IF(BG96=0,IF(BO96=0,0,1),(BO96-BG96)/BG96)</f>
        <v>1</v>
      </c>
      <c r="BX96" s="32" t="n">
        <f aca="false">IF(BH96=0,IF(BP96=0,0,1),(BP96-BH96)/BH96)</f>
        <v>1</v>
      </c>
      <c r="BY96" s="32" t="n">
        <f aca="false">IF(BI96=0,IF(BQ96=0,0,1),(BQ96-BI96)/BI96)</f>
        <v>1</v>
      </c>
      <c r="BZ96" s="32" t="n">
        <f aca="false">IF(BJ96=0,IF(BR96=0,0,1),(BR96-BJ96)/BJ96)</f>
        <v>1</v>
      </c>
      <c r="CA96" s="32" t="n">
        <f aca="false">IF(BK96=0,IF(BS96=0,0,1),(BS96-BK96)/BK96)</f>
        <v>1</v>
      </c>
      <c r="CB96" s="32" t="n">
        <f aca="false">IF(BL96=0,IF(BT96=0,0,1),(BT96-BL96)/BL96)</f>
        <v>1</v>
      </c>
      <c r="CC96" s="32" t="n">
        <f aca="false">IF(BM96=0,IF(BU96=0,0,1),(BU96-BM96)/BM96)</f>
        <v>1</v>
      </c>
      <c r="CD96" s="32" t="n">
        <f aca="false">MAX(MAX(BV96:CC96),-MIN(BV96:CC96))</f>
        <v>1</v>
      </c>
      <c r="CE96" s="31" t="n">
        <f aca="false">IF(CI96="","",SUMIFS($CF$7:$CF$696,$A$7:$A$696,CI96,$B$7:$B$696,B96))</f>
        <v>127782</v>
      </c>
      <c r="CF96" s="31" t="n">
        <f aca="false">SUM(AU96:BE96)</f>
        <v>127782</v>
      </c>
      <c r="CG96" s="33" t="str">
        <f aca="false">A96&amp;"|"&amp;B96</f>
        <v>2026-05 月例|病院労働組合</v>
      </c>
      <c r="CH96" s="34" t="str">
        <f aca="false">IFERROR(INDEX(設定!$D$61:$D$106,MATCH(B96,設定!$B$61:$B$106,0)),"Y")</f>
        <v>Y</v>
      </c>
      <c r="CI96" s="34" t="str">
        <f aca="false">IFERROR(INDEX(設定!$D$20:$D$34,MATCH(A96,設定!$A$20:$A$34,0))&amp;"","")</f>
        <v>2026-04 月例</v>
      </c>
    </row>
    <row r="97" customFormat="false" ht="15" hidden="true" customHeight="false" outlineLevel="0" collapsed="false">
      <c r="A97" s="22" t="s">
        <v>207</v>
      </c>
      <c r="B97" s="23" t="s">
        <v>205</v>
      </c>
      <c r="C97" s="10" t="str">
        <f aca="false">IF(G97="","未受領",IF(G97="なし","報告なし",IF(AH97="○","起票済",IF(OR(AG97="○",F97="一致",F97="入金不要"),"入金確認済","受領済"))))</f>
        <v>報告なし</v>
      </c>
      <c r="D97" s="10" t="str">
        <f aca="false">IF(OR(G97="",G97="なし"),"―",IF(CH97="N","対象外",IF(AND(I97="",J97="",K97=""),"標報未入力",IF(CD97&gt;=設定!$B$4,"要確認","問題なし"))))</f>
        <v>―</v>
      </c>
      <c r="E97" s="24" t="str">
        <f aca="false">IF(OR(G97="",G97="なし",CE97="",CF97=0),"―",IF(CF97=CE97,"前月同額",IF(CE97=0,"―",IF(ABS(CF97/CE97-1)&gt;=設定!$B$5,"変動大 "&amp;TEXT(CF97/CE97-1,"+0%;-0%"),"〇"))))</f>
        <v>―</v>
      </c>
      <c r="F97" s="10" t="str">
        <f aca="false">IF(OR(G97="",G97="なし"),"―",IF(CF97=0,"入金不要",IF(COUNT(Z97,AB97,AD97,AF97)=0,IF(AG97="○","手動確認","未入金"),IF(AND(N(Z97)=Y97,IF(AA97="",TRUE(),N(AB97)=AA97),IF(AC97="",TRUE(),N(AD97)=AC97),IF(AE97="",TRUE(),N(AF97)=AE97)),"一致","不一致"))))</f>
        <v>―</v>
      </c>
      <c r="G97" s="25" t="s">
        <v>173</v>
      </c>
      <c r="H97" s="26"/>
      <c r="I97" s="27"/>
      <c r="J97" s="27"/>
      <c r="K97" s="27"/>
      <c r="L97" s="27"/>
      <c r="M97" s="27"/>
      <c r="N97" s="27"/>
      <c r="O97" s="27"/>
      <c r="P97" s="27"/>
      <c r="Q97" s="27"/>
      <c r="R97" s="27"/>
      <c r="S97" s="27"/>
      <c r="T97" s="27"/>
      <c r="U97" s="27"/>
      <c r="V97" s="27"/>
      <c r="W97" s="10" t="str">
        <f aca="false">IFERROR(INDEX(設定!$E$61:$E$106,MATCH(B97,設定!$B$61:$B$106,0)),"合算")</f>
        <v>合算</v>
      </c>
      <c r="X97" s="28"/>
      <c r="Y97" s="29" t="str">
        <f aca="false">IF(OR(G97="",G97="なし"),"",IF(W97="合算",CF97,IF(W97="掛金・負担金別",(AU97+AV97+AZ97+BB97+BD97),SUM(AU97:AY97))))</f>
        <v/>
      </c>
      <c r="Z97" s="27"/>
      <c r="AA97" s="29" t="str">
        <f aca="false">IF(OR(G97="",G97="なし"),"",IF(W97="掛金・負担金別",(AW97+AX97+AY97+BA97+BC97+BE97),IF(W97="経理区分別",AZ97+BA97,"")))</f>
        <v/>
      </c>
      <c r="AB97" s="27"/>
      <c r="AC97" s="29" t="str">
        <f aca="false">IF(OR(G97="",G97="なし"),"",IF(W97="経理区分別",BB97+BC97,""))</f>
        <v/>
      </c>
      <c r="AD97" s="27"/>
      <c r="AE97" s="29" t="str">
        <f aca="false">IF(OR(G97="",G97="なし"),"",IF(W97="経理区分別",BD97+BE97,""))</f>
        <v/>
      </c>
      <c r="AF97" s="27"/>
      <c r="AG97" s="26"/>
      <c r="AH97" s="26"/>
      <c r="AI97" s="30"/>
      <c r="AJ97" s="31"/>
      <c r="AK97" s="31"/>
      <c r="AL97" s="31"/>
      <c r="AM97" s="31"/>
      <c r="AN97" s="31"/>
      <c r="AO97" s="31"/>
      <c r="AP97" s="31"/>
      <c r="AQ97" s="31"/>
      <c r="AR97" s="31"/>
      <c r="AS97" s="31"/>
      <c r="AT97" s="31"/>
      <c r="AU97" s="31" t="n">
        <f aca="false">IF($G97="",AJ97,L97)</f>
        <v>0</v>
      </c>
      <c r="AV97" s="31" t="n">
        <f aca="false">IF($G97="",AK97,M97)</f>
        <v>0</v>
      </c>
      <c r="AW97" s="31" t="n">
        <f aca="false">IF($G97="",AL97,N97)</f>
        <v>0</v>
      </c>
      <c r="AX97" s="31" t="n">
        <f aca="false">IF($G97="",AM97,O97)</f>
        <v>0</v>
      </c>
      <c r="AY97" s="31" t="n">
        <f aca="false">IF($G97="",AN97,P97)</f>
        <v>0</v>
      </c>
      <c r="AZ97" s="31" t="n">
        <f aca="false">IF($G97="",AO97,Q97)</f>
        <v>0</v>
      </c>
      <c r="BA97" s="31" t="n">
        <f aca="false">IF($G97="",AP97,R97)</f>
        <v>0</v>
      </c>
      <c r="BB97" s="31" t="n">
        <f aca="false">IF($G97="",AQ97,S97)</f>
        <v>0</v>
      </c>
      <c r="BC97" s="31" t="n">
        <f aca="false">IF($G97="",AR97,T97)</f>
        <v>0</v>
      </c>
      <c r="BD97" s="31" t="n">
        <f aca="false">IF($G97="",AS97,U97)</f>
        <v>0</v>
      </c>
      <c r="BE97" s="31" t="n">
        <f aca="false">IF($G97="",AT97,V97)</f>
        <v>0</v>
      </c>
      <c r="BF97" s="31" t="n">
        <f aca="false">ROUNDDOWN(I97*設定!$B$10/1000,0)+ROUNDDOWN(I97*設定!$B$11/1000,0)</f>
        <v>0</v>
      </c>
      <c r="BG97" s="31" t="n">
        <f aca="false">ROUNDDOWN(I97*設定!$C$10/1000,0)+ROUNDDOWN(I97*設定!$C$11/1000,0)+ROUNDDOWN(I97*設定!$C$12/1000,0)</f>
        <v>0</v>
      </c>
      <c r="BH97" s="31" t="n">
        <f aca="false">ROUNDDOWN(J97*設定!$B$13/1000,0)</f>
        <v>0</v>
      </c>
      <c r="BI97" s="31" t="n">
        <f aca="false">ROUNDDOWN(J97*設定!$C$13/1000,0)</f>
        <v>0</v>
      </c>
      <c r="BJ97" s="31" t="n">
        <f aca="false">ROUNDDOWN(K97*設定!$B$14/1000,0)</f>
        <v>0</v>
      </c>
      <c r="BK97" s="31" t="n">
        <f aca="false">ROUNDDOWN(K97*設定!$C$14/1000,0)</f>
        <v>0</v>
      </c>
      <c r="BL97" s="31" t="n">
        <f aca="false">ROUNDDOWN(J97*設定!$B$15/1000,0)</f>
        <v>0</v>
      </c>
      <c r="BM97" s="31" t="n">
        <f aca="false">ROUNDDOWN(J97*設定!$C$15/1000,0)</f>
        <v>0</v>
      </c>
      <c r="BN97" s="31" t="n">
        <f aca="false">L97+M97</f>
        <v>0</v>
      </c>
      <c r="BO97" s="31" t="n">
        <f aca="false">N97+O97+P97</f>
        <v>0</v>
      </c>
      <c r="BP97" s="31" t="n">
        <f aca="false">Q97</f>
        <v>0</v>
      </c>
      <c r="BQ97" s="31" t="n">
        <f aca="false">R97</f>
        <v>0</v>
      </c>
      <c r="BR97" s="31" t="n">
        <f aca="false">S97</f>
        <v>0</v>
      </c>
      <c r="BS97" s="31" t="n">
        <f aca="false">T97</f>
        <v>0</v>
      </c>
      <c r="BT97" s="31" t="n">
        <f aca="false">U97</f>
        <v>0</v>
      </c>
      <c r="BU97" s="31" t="n">
        <f aca="false">V97</f>
        <v>0</v>
      </c>
      <c r="BV97" s="32" t="n">
        <f aca="false">IF(BF97=0,IF(BN97=0,0,1),(BN97-BF97)/BF97)</f>
        <v>0</v>
      </c>
      <c r="BW97" s="32" t="n">
        <f aca="false">IF(BG97=0,IF(BO97=0,0,1),(BO97-BG97)/BG97)</f>
        <v>0</v>
      </c>
      <c r="BX97" s="32" t="n">
        <f aca="false">IF(BH97=0,IF(BP97=0,0,1),(BP97-BH97)/BH97)</f>
        <v>0</v>
      </c>
      <c r="BY97" s="32" t="n">
        <f aca="false">IF(BI97=0,IF(BQ97=0,0,1),(BQ97-BI97)/BI97)</f>
        <v>0</v>
      </c>
      <c r="BZ97" s="32" t="n">
        <f aca="false">IF(BJ97=0,IF(BR97=0,0,1),(BR97-BJ97)/BJ97)</f>
        <v>0</v>
      </c>
      <c r="CA97" s="32" t="n">
        <f aca="false">IF(BK97=0,IF(BS97=0,0,1),(BS97-BK97)/BK97)</f>
        <v>0</v>
      </c>
      <c r="CB97" s="32" t="n">
        <f aca="false">IF(BL97=0,IF(BT97=0,0,1),(BT97-BL97)/BL97)</f>
        <v>0</v>
      </c>
      <c r="CC97" s="32" t="n">
        <f aca="false">IF(BM97=0,IF(BU97=0,0,1),(BU97-BM97)/BM97)</f>
        <v>0</v>
      </c>
      <c r="CD97" s="32" t="n">
        <f aca="false">MAX(MAX(BV97:CC97),-MIN(BV97:CC97))</f>
        <v>-0</v>
      </c>
      <c r="CE97" s="31" t="n">
        <f aca="false">IF(CI97="","",SUMIFS($CF$7:$CF$696,$A$7:$A$696,CI97,$B$7:$B$696,B97))</f>
        <v>0</v>
      </c>
      <c r="CF97" s="31" t="n">
        <f aca="false">SUM(AU97:BE97)</f>
        <v>0</v>
      </c>
      <c r="CG97" s="33" t="str">
        <f aca="false">A97&amp;"|"&amp;B97</f>
        <v>2026-05 月例|水道労働組合</v>
      </c>
      <c r="CH97" s="34" t="str">
        <f aca="false">IFERROR(INDEX(設定!$D$61:$D$106,MATCH(B97,設定!$B$61:$B$106,0)),"Y")</f>
        <v>Y</v>
      </c>
      <c r="CI97" s="34" t="str">
        <f aca="false">IFERROR(INDEX(設定!$D$20:$D$34,MATCH(A97,設定!$A$20:$A$34,0))&amp;"","")</f>
        <v>2026-04 月例</v>
      </c>
    </row>
    <row r="98" customFormat="false" ht="15" hidden="true" customHeight="false" outlineLevel="0" collapsed="false">
      <c r="A98" s="22" t="s">
        <v>207</v>
      </c>
      <c r="B98" s="23" t="s">
        <v>206</v>
      </c>
      <c r="C98" s="10" t="str">
        <f aca="false">IF(G98="","未受領",IF(G98="なし","報告なし",IF(AH98="○","起票済",IF(OR(AG98="○",F98="一致",F98="入金不要"),"入金確認済","受領済"))))</f>
        <v>受領済</v>
      </c>
      <c r="D98" s="10" t="str">
        <f aca="false">IF(OR(G98="",G98="なし"),"―",IF(CH98="N","対象外",IF(AND(I98="",J98="",K98=""),"標報未入力",IF(CD98&gt;=設定!$B$4,"要確認","問題なし"))))</f>
        <v>対象外</v>
      </c>
      <c r="E98" s="24" t="str">
        <f aca="false">IF(OR(G98="",G98="なし",CE98="",CF98=0),"―",IF(CF98=CE98,"前月同額",IF(CE98=0,"―",IF(ABS(CF98/CE98-1)&gt;=設定!$B$5,"変動大 "&amp;TEXT(CF98/CE98-1,"+0%;-0%"),"〇"))))</f>
        <v>変動大 -97%</v>
      </c>
      <c r="F98" s="10" t="str">
        <f aca="false">IF(OR(G98="",G98="なし"),"―",IF(CF98=0,"入金不要",IF(COUNT(Z98,AB98,AD98,AF98)=0,IF(AG98="○","手動確認","未入金"),IF(AND(N(Z98)=Y98,IF(AA98="",TRUE(),N(AB98)=AA98),IF(AC98="",TRUE(),N(AD98)=AC98),IF(AE98="",TRUE(),N(AF98)=AE98)),"一致","不一致"))))</f>
        <v>未入金</v>
      </c>
      <c r="G98" s="25" t="s">
        <v>159</v>
      </c>
      <c r="H98" s="26"/>
      <c r="I98" s="27"/>
      <c r="J98" s="27"/>
      <c r="K98" s="27"/>
      <c r="L98" s="27"/>
      <c r="M98" s="27"/>
      <c r="N98" s="27"/>
      <c r="O98" s="27"/>
      <c r="P98" s="27"/>
      <c r="Q98" s="27" t="n">
        <v>2899667</v>
      </c>
      <c r="R98" s="27"/>
      <c r="S98" s="27" t="n">
        <v>166737</v>
      </c>
      <c r="T98" s="27"/>
      <c r="U98" s="27" t="n">
        <v>64285</v>
      </c>
      <c r="V98" s="27"/>
      <c r="W98" s="10" t="str">
        <f aca="false">IFERROR(INDEX(設定!$E$61:$E$106,MATCH(B98,設定!$B$61:$B$106,0)),"合算")</f>
        <v>合算</v>
      </c>
      <c r="X98" s="28"/>
      <c r="Y98" s="29" t="n">
        <f aca="false">IF(OR(G98="",G98="なし"),"",IF(W98="合算",CF98,IF(W98="掛金・負担金別",(AU98+AV98+AZ98+BB98+BD98),SUM(AU98:AY98))))</f>
        <v>3130689</v>
      </c>
      <c r="Z98" s="27"/>
      <c r="AA98" s="29" t="str">
        <f aca="false">IF(OR(G98="",G98="なし"),"",IF(W98="掛金・負担金別",(AW98+AX98+AY98+BA98+BC98+BE98),IF(W98="経理区分別",AZ98+BA98,"")))</f>
        <v/>
      </c>
      <c r="AB98" s="27"/>
      <c r="AC98" s="29" t="str">
        <f aca="false">IF(OR(G98="",G98="なし"),"",IF(W98="経理区分別",BB98+BC98,""))</f>
        <v/>
      </c>
      <c r="AD98" s="27"/>
      <c r="AE98" s="29" t="str">
        <f aca="false">IF(OR(G98="",G98="なし"),"",IF(W98="経理区分別",BD98+BE98,""))</f>
        <v/>
      </c>
      <c r="AF98" s="27"/>
      <c r="AG98" s="26"/>
      <c r="AH98" s="26"/>
      <c r="AI98" s="30"/>
      <c r="AJ98" s="31"/>
      <c r="AK98" s="31"/>
      <c r="AL98" s="31"/>
      <c r="AM98" s="31"/>
      <c r="AN98" s="31"/>
      <c r="AO98" s="31"/>
      <c r="AP98" s="31"/>
      <c r="AQ98" s="31"/>
      <c r="AR98" s="31"/>
      <c r="AS98" s="31"/>
      <c r="AT98" s="31"/>
      <c r="AU98" s="31" t="n">
        <f aca="false">IF($G98="",AJ98,L98)</f>
        <v>0</v>
      </c>
      <c r="AV98" s="31" t="n">
        <f aca="false">IF($G98="",AK98,M98)</f>
        <v>0</v>
      </c>
      <c r="AW98" s="31" t="n">
        <f aca="false">IF($G98="",AL98,N98)</f>
        <v>0</v>
      </c>
      <c r="AX98" s="31" t="n">
        <f aca="false">IF($G98="",AM98,O98)</f>
        <v>0</v>
      </c>
      <c r="AY98" s="31" t="n">
        <f aca="false">IF($G98="",AN98,P98)</f>
        <v>0</v>
      </c>
      <c r="AZ98" s="31" t="n">
        <f aca="false">IF($G98="",AO98,Q98)</f>
        <v>2899667</v>
      </c>
      <c r="BA98" s="31" t="n">
        <f aca="false">IF($G98="",AP98,R98)</f>
        <v>0</v>
      </c>
      <c r="BB98" s="31" t="n">
        <f aca="false">IF($G98="",AQ98,S98)</f>
        <v>166737</v>
      </c>
      <c r="BC98" s="31" t="n">
        <f aca="false">IF($G98="",AR98,T98)</f>
        <v>0</v>
      </c>
      <c r="BD98" s="31" t="n">
        <f aca="false">IF($G98="",AS98,U98)</f>
        <v>64285</v>
      </c>
      <c r="BE98" s="31" t="n">
        <f aca="false">IF($G98="",AT98,V98)</f>
        <v>0</v>
      </c>
      <c r="BF98" s="31" t="n">
        <f aca="false">ROUNDDOWN(I98*設定!$B$10/1000,0)+ROUNDDOWN(I98*設定!$B$11/1000,0)</f>
        <v>0</v>
      </c>
      <c r="BG98" s="31" t="n">
        <f aca="false">ROUNDDOWN(I98*設定!$C$10/1000,0)+ROUNDDOWN(I98*設定!$C$11/1000,0)+ROUNDDOWN(I98*設定!$C$12/1000,0)</f>
        <v>0</v>
      </c>
      <c r="BH98" s="31" t="n">
        <f aca="false">ROUNDDOWN(J98*設定!$B$13/1000,0)</f>
        <v>0</v>
      </c>
      <c r="BI98" s="31" t="n">
        <f aca="false">ROUNDDOWN(J98*設定!$C$13/1000,0)</f>
        <v>0</v>
      </c>
      <c r="BJ98" s="31" t="n">
        <f aca="false">ROUNDDOWN(K98*設定!$B$14/1000,0)</f>
        <v>0</v>
      </c>
      <c r="BK98" s="31" t="n">
        <f aca="false">ROUNDDOWN(K98*設定!$C$14/1000,0)</f>
        <v>0</v>
      </c>
      <c r="BL98" s="31" t="n">
        <f aca="false">ROUNDDOWN(J98*設定!$B$15/1000,0)</f>
        <v>0</v>
      </c>
      <c r="BM98" s="31" t="n">
        <f aca="false">ROUNDDOWN(J98*設定!$C$15/1000,0)</f>
        <v>0</v>
      </c>
      <c r="BN98" s="31" t="n">
        <f aca="false">L98+M98</f>
        <v>0</v>
      </c>
      <c r="BO98" s="31" t="n">
        <f aca="false">N98+O98+P98</f>
        <v>0</v>
      </c>
      <c r="BP98" s="31" t="n">
        <f aca="false">Q98</f>
        <v>2899667</v>
      </c>
      <c r="BQ98" s="31" t="n">
        <f aca="false">R98</f>
        <v>0</v>
      </c>
      <c r="BR98" s="31" t="n">
        <f aca="false">S98</f>
        <v>166737</v>
      </c>
      <c r="BS98" s="31" t="n">
        <f aca="false">T98</f>
        <v>0</v>
      </c>
      <c r="BT98" s="31" t="n">
        <f aca="false">U98</f>
        <v>64285</v>
      </c>
      <c r="BU98" s="31" t="n">
        <f aca="false">V98</f>
        <v>0</v>
      </c>
      <c r="BV98" s="32" t="n">
        <f aca="false">IF(BF98=0,IF(BN98=0,0,1),(BN98-BF98)/BF98)</f>
        <v>0</v>
      </c>
      <c r="BW98" s="32" t="n">
        <f aca="false">IF(BG98=0,IF(BO98=0,0,1),(BO98-BG98)/BG98)</f>
        <v>0</v>
      </c>
      <c r="BX98" s="32" t="n">
        <f aca="false">IF(BH98=0,IF(BP98=0,0,1),(BP98-BH98)/BH98)</f>
        <v>1</v>
      </c>
      <c r="BY98" s="32" t="n">
        <f aca="false">IF(BI98=0,IF(BQ98=0,0,1),(BQ98-BI98)/BI98)</f>
        <v>0</v>
      </c>
      <c r="BZ98" s="32" t="n">
        <f aca="false">IF(BJ98=0,IF(BR98=0,0,1),(BR98-BJ98)/BJ98)</f>
        <v>1</v>
      </c>
      <c r="CA98" s="32" t="n">
        <f aca="false">IF(BK98=0,IF(BS98=0,0,1),(BS98-BK98)/BK98)</f>
        <v>0</v>
      </c>
      <c r="CB98" s="32" t="n">
        <f aca="false">IF(BL98=0,IF(BT98=0,0,1),(BT98-BL98)/BL98)</f>
        <v>1</v>
      </c>
      <c r="CC98" s="32" t="n">
        <f aca="false">IF(BM98=0,IF(BU98=0,0,1),(BU98-BM98)/BM98)</f>
        <v>0</v>
      </c>
      <c r="CD98" s="32" t="n">
        <f aca="false">MAX(MAX(BV98:CC98),-MIN(BV98:CC98))</f>
        <v>1</v>
      </c>
      <c r="CE98" s="31" t="n">
        <f aca="false">IF(CI98="","",SUMIFS($CF$7:$CF$696,$A$7:$A$696,CI98,$B$7:$B$696,B98))</f>
        <v>105428506</v>
      </c>
      <c r="CF98" s="31" t="n">
        <f aca="false">SUM(AU98:BE98)</f>
        <v>3130689</v>
      </c>
      <c r="CG98" s="33" t="str">
        <f aca="false">A98&amp;"|"&amp;B98</f>
        <v>2026-05 月例|任意継続組合員</v>
      </c>
      <c r="CH98" s="34" t="str">
        <f aca="false">IFERROR(INDEX(設定!$D$61:$D$106,MATCH(B98,設定!$B$61:$B$106,0)),"Y")</f>
        <v>N</v>
      </c>
      <c r="CI98" s="34" t="str">
        <f aca="false">IFERROR(INDEX(設定!$D$20:$D$34,MATCH(A98,設定!$A$20:$A$34,0))&amp;"","")</f>
        <v>2026-04 月例</v>
      </c>
    </row>
    <row r="99" customFormat="false" ht="15" hidden="true" customHeight="false" outlineLevel="0" collapsed="false">
      <c r="A99" s="22" t="s">
        <v>209</v>
      </c>
      <c r="B99" s="23" t="s">
        <v>158</v>
      </c>
      <c r="C99" s="10" t="str">
        <f aca="false">IF(G99="","未受領",IF(G99="なし","報告なし",IF(AH99="○","起票済",IF(OR(AG99="○",F99="一致",F99="入金不要"),"入金確認済","受領済"))))</f>
        <v>入金確認済</v>
      </c>
      <c r="D99" s="10" t="str">
        <f aca="false">IF(OR(G99="",G99="なし"),"―",IF(CH99="N","対象外",IF(AND(I99="",J99="",K99=""),"標報未入力",IF(CD99&gt;=設定!$B$4,"要確認","問題なし"))))</f>
        <v>対象外</v>
      </c>
      <c r="E99" s="24" t="str">
        <f aca="false">IF(OR(G99="",G99="なし",CE99="",CF99=0),"―",IF(CF99=CE99,"前月同額",IF(CE99=0,"―",IF(ABS(CF99/CE99-1)&gt;=設定!$B$5,"変動大 "&amp;TEXT(CF99/CE99-1,"+0%;-0%"),"〇"))))</f>
        <v>〇</v>
      </c>
      <c r="F99" s="10" t="str">
        <f aca="false">IF(OR(G99="",G99="なし"),"―",IF(CF99=0,"入金不要",IF(COUNT(Z99,AB99,AD99,AF99)=0,IF(AG99="○","手動確認","未入金"),IF(AND(N(Z99)=Y99,IF(AA99="",TRUE(),N(AB99)=AA99),IF(AC99="",TRUE(),N(AD99)=AC99),IF(AE99="",TRUE(),N(AF99)=AE99)),"一致","不一致"))))</f>
        <v>手動確認</v>
      </c>
      <c r="G99" s="25" t="s">
        <v>159</v>
      </c>
      <c r="H99" s="26"/>
      <c r="I99" s="27"/>
      <c r="J99" s="27"/>
      <c r="K99" s="27"/>
      <c r="L99" s="27" t="n">
        <v>238039995</v>
      </c>
      <c r="M99" s="27" t="n">
        <v>19517220</v>
      </c>
      <c r="N99" s="27" t="n">
        <v>341263694</v>
      </c>
      <c r="O99" s="27" t="n">
        <v>19000006</v>
      </c>
      <c r="P99" s="27" t="n">
        <v>229788</v>
      </c>
      <c r="Q99" s="27" t="n">
        <v>172547279</v>
      </c>
      <c r="R99" s="27" t="n">
        <v>171825765</v>
      </c>
      <c r="S99" s="27" t="n">
        <v>15775131</v>
      </c>
      <c r="T99" s="27" t="n">
        <v>15353813</v>
      </c>
      <c r="U99" s="27" t="n">
        <v>3824083</v>
      </c>
      <c r="V99" s="27" t="n">
        <v>3744338</v>
      </c>
      <c r="W99" s="10" t="str">
        <f aca="false">IFERROR(INDEX(設定!$E$61:$E$106,MATCH(B99,設定!$B$61:$B$106,0)),"合算")</f>
        <v>合算</v>
      </c>
      <c r="X99" s="28"/>
      <c r="Y99" s="29" t="n">
        <f aca="false">IF(OR(G99="",G99="なし"),"",IF(W99="合算",CF99,IF(W99="掛金・負担金別",(AU99+AV99+AZ99+BB99+BD99),SUM(AU99:AY99))))</f>
        <v>1001121112</v>
      </c>
      <c r="Z99" s="27"/>
      <c r="AA99" s="29" t="str">
        <f aca="false">IF(OR(G99="",G99="なし"),"",IF(W99="掛金・負担金別",(AW99+AX99+AY99+BA99+BC99+BE99),IF(W99="経理区分別",AZ99+BA99,"")))</f>
        <v/>
      </c>
      <c r="AB99" s="27"/>
      <c r="AC99" s="29" t="str">
        <f aca="false">IF(OR(G99="",G99="なし"),"",IF(W99="経理区分別",BB99+BC99,""))</f>
        <v/>
      </c>
      <c r="AD99" s="27"/>
      <c r="AE99" s="29" t="str">
        <f aca="false">IF(OR(G99="",G99="なし"),"",IF(W99="経理区分別",BD99+BE99,""))</f>
        <v/>
      </c>
      <c r="AF99" s="27"/>
      <c r="AG99" s="26" t="s">
        <v>160</v>
      </c>
      <c r="AH99" s="26"/>
      <c r="AI99" s="30"/>
      <c r="AJ99" s="31"/>
      <c r="AK99" s="31"/>
      <c r="AL99" s="31"/>
      <c r="AM99" s="31"/>
      <c r="AN99" s="31"/>
      <c r="AO99" s="31"/>
      <c r="AP99" s="31"/>
      <c r="AQ99" s="31"/>
      <c r="AR99" s="31"/>
      <c r="AS99" s="31"/>
      <c r="AT99" s="31"/>
      <c r="AU99" s="31" t="n">
        <f aca="false">IF($G99="",AJ99,L99)</f>
        <v>238039995</v>
      </c>
      <c r="AV99" s="31" t="n">
        <f aca="false">IF($G99="",AK99,M99)</f>
        <v>19517220</v>
      </c>
      <c r="AW99" s="31" t="n">
        <f aca="false">IF($G99="",AL99,N99)</f>
        <v>341263694</v>
      </c>
      <c r="AX99" s="31" t="n">
        <f aca="false">IF($G99="",AM99,O99)</f>
        <v>19000006</v>
      </c>
      <c r="AY99" s="31" t="n">
        <f aca="false">IF($G99="",AN99,P99)</f>
        <v>229788</v>
      </c>
      <c r="AZ99" s="31" t="n">
        <f aca="false">IF($G99="",AO99,Q99)</f>
        <v>172547279</v>
      </c>
      <c r="BA99" s="31" t="n">
        <f aca="false">IF($G99="",AP99,R99)</f>
        <v>171825765</v>
      </c>
      <c r="BB99" s="31" t="n">
        <f aca="false">IF($G99="",AQ99,S99)</f>
        <v>15775131</v>
      </c>
      <c r="BC99" s="31" t="n">
        <f aca="false">IF($G99="",AR99,T99)</f>
        <v>15353813</v>
      </c>
      <c r="BD99" s="31" t="n">
        <f aca="false">IF($G99="",AS99,U99)</f>
        <v>3824083</v>
      </c>
      <c r="BE99" s="31" t="n">
        <f aca="false">IF($G99="",AT99,V99)</f>
        <v>3744338</v>
      </c>
      <c r="BF99" s="31" t="n">
        <f aca="false">ROUNDDOWN(I99*設定!$B$10/1000,0)+ROUNDDOWN(I99*設定!$B$11/1000,0)</f>
        <v>0</v>
      </c>
      <c r="BG99" s="31" t="n">
        <f aca="false">ROUNDDOWN(I99*設定!$C$10/1000,0)+ROUNDDOWN(I99*設定!$C$11/1000,0)+ROUNDDOWN(I99*設定!$C$12/1000,0)</f>
        <v>0</v>
      </c>
      <c r="BH99" s="31" t="n">
        <f aca="false">ROUNDDOWN(J99*設定!$B$13/1000,0)</f>
        <v>0</v>
      </c>
      <c r="BI99" s="31" t="n">
        <f aca="false">ROUNDDOWN(J99*設定!$C$13/1000,0)</f>
        <v>0</v>
      </c>
      <c r="BJ99" s="31" t="n">
        <f aca="false">ROUNDDOWN(K99*設定!$B$14/1000,0)</f>
        <v>0</v>
      </c>
      <c r="BK99" s="31" t="n">
        <f aca="false">ROUNDDOWN(K99*設定!$C$14/1000,0)</f>
        <v>0</v>
      </c>
      <c r="BL99" s="31" t="n">
        <f aca="false">ROUNDDOWN(J99*設定!$B$15/1000,0)</f>
        <v>0</v>
      </c>
      <c r="BM99" s="31" t="n">
        <f aca="false">ROUNDDOWN(J99*設定!$C$15/1000,0)</f>
        <v>0</v>
      </c>
      <c r="BN99" s="31" t="n">
        <f aca="false">L99+M99</f>
        <v>257557215</v>
      </c>
      <c r="BO99" s="31" t="n">
        <f aca="false">N99+O99+P99</f>
        <v>360493488</v>
      </c>
      <c r="BP99" s="31" t="n">
        <f aca="false">Q99</f>
        <v>172547279</v>
      </c>
      <c r="BQ99" s="31" t="n">
        <f aca="false">R99</f>
        <v>171825765</v>
      </c>
      <c r="BR99" s="31" t="n">
        <f aca="false">S99</f>
        <v>15775131</v>
      </c>
      <c r="BS99" s="31" t="n">
        <f aca="false">T99</f>
        <v>15353813</v>
      </c>
      <c r="BT99" s="31" t="n">
        <f aca="false">U99</f>
        <v>3824083</v>
      </c>
      <c r="BU99" s="31" t="n">
        <f aca="false">V99</f>
        <v>3744338</v>
      </c>
      <c r="BV99" s="32" t="n">
        <f aca="false">IF(BF99=0,IF(BN99=0,0,1),(BN99-BF99)/BF99)</f>
        <v>1</v>
      </c>
      <c r="BW99" s="32" t="n">
        <f aca="false">IF(BG99=0,IF(BO99=0,0,1),(BO99-BG99)/BG99)</f>
        <v>1</v>
      </c>
      <c r="BX99" s="32" t="n">
        <f aca="false">IF(BH99=0,IF(BP99=0,0,1),(BP99-BH99)/BH99)</f>
        <v>1</v>
      </c>
      <c r="BY99" s="32" t="n">
        <f aca="false">IF(BI99=0,IF(BQ99=0,0,1),(BQ99-BI99)/BI99)</f>
        <v>1</v>
      </c>
      <c r="BZ99" s="32" t="n">
        <f aca="false">IF(BJ99=0,IF(BR99=0,0,1),(BR99-BJ99)/BJ99)</f>
        <v>1</v>
      </c>
      <c r="CA99" s="32" t="n">
        <f aca="false">IF(BK99=0,IF(BS99=0,0,1),(BS99-BK99)/BK99)</f>
        <v>1</v>
      </c>
      <c r="CB99" s="32" t="n">
        <f aca="false">IF(BL99=0,IF(BT99=0,0,1),(BT99-BL99)/BL99)</f>
        <v>1</v>
      </c>
      <c r="CC99" s="32" t="n">
        <f aca="false">IF(BM99=0,IF(BU99=0,0,1),(BU99-BM99)/BM99)</f>
        <v>1</v>
      </c>
      <c r="CD99" s="32" t="n">
        <f aca="false">MAX(MAX(BV99:CC99),-MIN(BV99:CC99))</f>
        <v>1</v>
      </c>
      <c r="CE99" s="31" t="n">
        <f aca="false">IF(CI99="","",SUMIFS($CF$7:$CF$696,$A$7:$A$696,CI99,$B$7:$B$696,B99))</f>
        <v>1002560489</v>
      </c>
      <c r="CF99" s="31" t="n">
        <f aca="false">SUM(AU99:BE99)</f>
        <v>1001121112</v>
      </c>
      <c r="CG99" s="33" t="str">
        <f aca="false">A99&amp;"|"&amp;B99</f>
        <v>2026-06 月例|市長部局</v>
      </c>
      <c r="CH99" s="34" t="str">
        <f aca="false">IFERROR(INDEX(設定!$D$61:$D$106,MATCH(B99,設定!$B$61:$B$106,0)),"Y")</f>
        <v>N</v>
      </c>
      <c r="CI99" s="34" t="str">
        <f aca="false">IFERROR(INDEX(設定!$D$20:$D$34,MATCH(A99,設定!$A$20:$A$34,0))&amp;"","")</f>
        <v>2026-05 月例</v>
      </c>
    </row>
    <row r="100" customFormat="false" ht="15" hidden="true" customHeight="false" outlineLevel="0" collapsed="false">
      <c r="A100" s="22" t="s">
        <v>209</v>
      </c>
      <c r="B100" s="23" t="s">
        <v>161</v>
      </c>
      <c r="C100" s="10" t="str">
        <f aca="false">IF(G100="","未受領",IF(G100="なし","報告なし",IF(AH100="○","起票済",IF(OR(AG100="○",F100="一致",F100="入金不要"),"入金確認済","受領済"))))</f>
        <v>入金確認済</v>
      </c>
      <c r="D100" s="10" t="str">
        <f aca="false">IF(OR(G100="",G100="なし"),"―",IF(CH100="N","対象外",IF(AND(I100="",J100="",K100=""),"標報未入力",IF(CD100&gt;=設定!$B$4,"要確認","問題なし"))))</f>
        <v>標報未入力</v>
      </c>
      <c r="E100" s="24" t="str">
        <f aca="false">IF(OR(G100="",G100="なし",CE100="",CF100=0),"―",IF(CF100=CE100,"前月同額",IF(CE100=0,"―",IF(ABS(CF100/CE100-1)&gt;=設定!$B$5,"変動大 "&amp;TEXT(CF100/CE100-1,"+0%;-0%"),"〇"))))</f>
        <v>〇</v>
      </c>
      <c r="F100" s="10" t="str">
        <f aca="false">IF(OR(G100="",G100="なし"),"―",IF(CF100=0,"入金不要",IF(COUNT(Z100,AB100,AD100,AF100)=0,IF(AG100="○","手動確認","未入金"),IF(AND(N(Z100)=Y100,IF(AA100="",TRUE(),N(AB100)=AA100),IF(AC100="",TRUE(),N(AD100)=AC100),IF(AE100="",TRUE(),N(AF100)=AE100)),"一致","不一致"))))</f>
        <v>手動確認</v>
      </c>
      <c r="G100" s="25" t="s">
        <v>159</v>
      </c>
      <c r="H100" s="26"/>
      <c r="I100" s="27"/>
      <c r="J100" s="27"/>
      <c r="K100" s="27"/>
      <c r="L100" s="27" t="n">
        <v>16387375</v>
      </c>
      <c r="M100" s="27" t="n">
        <v>1343227</v>
      </c>
      <c r="N100" s="27" t="n">
        <v>23626468</v>
      </c>
      <c r="O100" s="27" t="n">
        <v>1340527</v>
      </c>
      <c r="P100" s="27" t="n">
        <v>15829</v>
      </c>
      <c r="Q100" s="27" t="n">
        <v>9617811</v>
      </c>
      <c r="R100" s="27" t="n">
        <v>9763388</v>
      </c>
      <c r="S100" s="27" t="n">
        <v>1023847</v>
      </c>
      <c r="T100" s="27" t="n">
        <v>1023846</v>
      </c>
      <c r="U100" s="27" t="n">
        <v>213218</v>
      </c>
      <c r="V100" s="27" t="n">
        <v>212876</v>
      </c>
      <c r="W100" s="10" t="str">
        <f aca="false">IFERROR(INDEX(設定!$E$61:$E$106,MATCH(B100,設定!$B$61:$B$106,0)),"合算")</f>
        <v>合算</v>
      </c>
      <c r="X100" s="28"/>
      <c r="Y100" s="29" t="n">
        <f aca="false">IF(OR(G100="",G100="なし"),"",IF(W100="合算",CF100,IF(W100="掛金・負担金別",(AU100+AV100+AZ100+BB100+BD100),SUM(AU100:AY100))))</f>
        <v>64568412</v>
      </c>
      <c r="Z100" s="27"/>
      <c r="AA100" s="29" t="str">
        <f aca="false">IF(OR(G100="",G100="なし"),"",IF(W100="掛金・負担金別",(AW100+AX100+AY100+BA100+BC100+BE100),IF(W100="経理区分別",AZ100+BA100,"")))</f>
        <v/>
      </c>
      <c r="AB100" s="27"/>
      <c r="AC100" s="29" t="str">
        <f aca="false">IF(OR(G100="",G100="なし"),"",IF(W100="経理区分別",BB100+BC100,""))</f>
        <v/>
      </c>
      <c r="AD100" s="27"/>
      <c r="AE100" s="29" t="str">
        <f aca="false">IF(OR(G100="",G100="なし"),"",IF(W100="経理区分別",BD100+BE100,""))</f>
        <v/>
      </c>
      <c r="AF100" s="27"/>
      <c r="AG100" s="26" t="s">
        <v>160</v>
      </c>
      <c r="AH100" s="26"/>
      <c r="AI100" s="30"/>
      <c r="AJ100" s="31"/>
      <c r="AK100" s="31"/>
      <c r="AL100" s="31"/>
      <c r="AM100" s="31"/>
      <c r="AN100" s="31"/>
      <c r="AO100" s="31"/>
      <c r="AP100" s="31"/>
      <c r="AQ100" s="31"/>
      <c r="AR100" s="31"/>
      <c r="AS100" s="31"/>
      <c r="AT100" s="31"/>
      <c r="AU100" s="31" t="n">
        <f aca="false">IF($G100="",AJ100,L100)</f>
        <v>16387375</v>
      </c>
      <c r="AV100" s="31" t="n">
        <f aca="false">IF($G100="",AK100,M100)</f>
        <v>1343227</v>
      </c>
      <c r="AW100" s="31" t="n">
        <f aca="false">IF($G100="",AL100,N100)</f>
        <v>23626468</v>
      </c>
      <c r="AX100" s="31" t="n">
        <f aca="false">IF($G100="",AM100,O100)</f>
        <v>1340527</v>
      </c>
      <c r="AY100" s="31" t="n">
        <f aca="false">IF($G100="",AN100,P100)</f>
        <v>15829</v>
      </c>
      <c r="AZ100" s="31" t="n">
        <f aca="false">IF($G100="",AO100,Q100)</f>
        <v>9617811</v>
      </c>
      <c r="BA100" s="31" t="n">
        <f aca="false">IF($G100="",AP100,R100)</f>
        <v>9763388</v>
      </c>
      <c r="BB100" s="31" t="n">
        <f aca="false">IF($G100="",AQ100,S100)</f>
        <v>1023847</v>
      </c>
      <c r="BC100" s="31" t="n">
        <f aca="false">IF($G100="",AR100,T100)</f>
        <v>1023846</v>
      </c>
      <c r="BD100" s="31" t="n">
        <f aca="false">IF($G100="",AS100,U100)</f>
        <v>213218</v>
      </c>
      <c r="BE100" s="31" t="n">
        <f aca="false">IF($G100="",AT100,V100)</f>
        <v>212876</v>
      </c>
      <c r="BF100" s="31" t="n">
        <f aca="false">ROUNDDOWN(I100*設定!$B$10/1000,0)+ROUNDDOWN(I100*設定!$B$11/1000,0)</f>
        <v>0</v>
      </c>
      <c r="BG100" s="31" t="n">
        <f aca="false">ROUNDDOWN(I100*設定!$C$10/1000,0)+ROUNDDOWN(I100*設定!$C$11/1000,0)+ROUNDDOWN(I100*設定!$C$12/1000,0)</f>
        <v>0</v>
      </c>
      <c r="BH100" s="31" t="n">
        <f aca="false">ROUNDDOWN(J100*設定!$B$13/1000,0)</f>
        <v>0</v>
      </c>
      <c r="BI100" s="31" t="n">
        <f aca="false">ROUNDDOWN(J100*設定!$C$13/1000,0)</f>
        <v>0</v>
      </c>
      <c r="BJ100" s="31" t="n">
        <f aca="false">ROUNDDOWN(K100*設定!$B$14/1000,0)</f>
        <v>0</v>
      </c>
      <c r="BK100" s="31" t="n">
        <f aca="false">ROUNDDOWN(K100*設定!$C$14/1000,0)</f>
        <v>0</v>
      </c>
      <c r="BL100" s="31" t="n">
        <f aca="false">ROUNDDOWN(J100*設定!$B$15/1000,0)</f>
        <v>0</v>
      </c>
      <c r="BM100" s="31" t="n">
        <f aca="false">ROUNDDOWN(J100*設定!$C$15/1000,0)</f>
        <v>0</v>
      </c>
      <c r="BN100" s="31" t="n">
        <f aca="false">L100+M100</f>
        <v>17730602</v>
      </c>
      <c r="BO100" s="31" t="n">
        <f aca="false">N100+O100+P100</f>
        <v>24982824</v>
      </c>
      <c r="BP100" s="31" t="n">
        <f aca="false">Q100</f>
        <v>9617811</v>
      </c>
      <c r="BQ100" s="31" t="n">
        <f aca="false">R100</f>
        <v>9763388</v>
      </c>
      <c r="BR100" s="31" t="n">
        <f aca="false">S100</f>
        <v>1023847</v>
      </c>
      <c r="BS100" s="31" t="n">
        <f aca="false">T100</f>
        <v>1023846</v>
      </c>
      <c r="BT100" s="31" t="n">
        <f aca="false">U100</f>
        <v>213218</v>
      </c>
      <c r="BU100" s="31" t="n">
        <f aca="false">V100</f>
        <v>212876</v>
      </c>
      <c r="BV100" s="32" t="n">
        <f aca="false">IF(BF100=0,IF(BN100=0,0,1),(BN100-BF100)/BF100)</f>
        <v>1</v>
      </c>
      <c r="BW100" s="32" t="n">
        <f aca="false">IF(BG100=0,IF(BO100=0,0,1),(BO100-BG100)/BG100)</f>
        <v>1</v>
      </c>
      <c r="BX100" s="32" t="n">
        <f aca="false">IF(BH100=0,IF(BP100=0,0,1),(BP100-BH100)/BH100)</f>
        <v>1</v>
      </c>
      <c r="BY100" s="32" t="n">
        <f aca="false">IF(BI100=0,IF(BQ100=0,0,1),(BQ100-BI100)/BI100)</f>
        <v>1</v>
      </c>
      <c r="BZ100" s="32" t="n">
        <f aca="false">IF(BJ100=0,IF(BR100=0,0,1),(BR100-BJ100)/BJ100)</f>
        <v>1</v>
      </c>
      <c r="CA100" s="32" t="n">
        <f aca="false">IF(BK100=0,IF(BS100=0,0,1),(BS100-BK100)/BK100)</f>
        <v>1</v>
      </c>
      <c r="CB100" s="32" t="n">
        <f aca="false">IF(BL100=0,IF(BT100=0,0,1),(BT100-BL100)/BL100)</f>
        <v>1</v>
      </c>
      <c r="CC100" s="32" t="n">
        <f aca="false">IF(BM100=0,IF(BU100=0,0,1),(BU100-BM100)/BM100)</f>
        <v>1</v>
      </c>
      <c r="CD100" s="32" t="n">
        <f aca="false">MAX(MAX(BV100:CC100),-MIN(BV100:CC100))</f>
        <v>1</v>
      </c>
      <c r="CE100" s="31" t="n">
        <f aca="false">IF(CI100="","",SUMIFS($CF$7:$CF$696,$A$7:$A$696,CI100,$B$7:$B$696,B100))</f>
        <v>64427222</v>
      </c>
      <c r="CF100" s="31" t="n">
        <f aca="false">SUM(AU100:BE100)</f>
        <v>64568412</v>
      </c>
      <c r="CG100" s="33" t="str">
        <f aca="false">A100&amp;"|"&amp;B100</f>
        <v>2026-06 月例|下水道局</v>
      </c>
      <c r="CH100" s="34" t="str">
        <f aca="false">IFERROR(INDEX(設定!$D$61:$D$106,MATCH(B100,設定!$B$61:$B$106,0)),"Y")</f>
        <v>Y</v>
      </c>
      <c r="CI100" s="34" t="str">
        <f aca="false">IFERROR(INDEX(設定!$D$20:$D$34,MATCH(A100,設定!$A$20:$A$34,0))&amp;"","")</f>
        <v>2026-05 月例</v>
      </c>
    </row>
    <row r="101" customFormat="false" ht="15" hidden="true" customHeight="false" outlineLevel="0" collapsed="false">
      <c r="A101" s="22" t="s">
        <v>209</v>
      </c>
      <c r="B101" s="23" t="s">
        <v>162</v>
      </c>
      <c r="C101" s="10" t="str">
        <f aca="false">IF(G101="","未受領",IF(G101="なし","報告なし",IF(AH101="○","起票済",IF(OR(AG101="○",F101="一致",F101="入金不要"),"入金確認済","受領済"))))</f>
        <v>入金確認済</v>
      </c>
      <c r="D101" s="10" t="str">
        <f aca="false">IF(OR(G101="",G101="なし"),"―",IF(CH101="N","対象外",IF(AND(I101="",J101="",K101=""),"標報未入力",IF(CD101&gt;=設定!$B$4,"要確認","問題なし"))))</f>
        <v>対象外</v>
      </c>
      <c r="E101" s="24" t="str">
        <f aca="false">IF(OR(G101="",G101="なし",CE101="",CF101=0),"―",IF(CF101=CE101,"前月同額",IF(CE101=0,"―",IF(ABS(CF101/CE101-1)&gt;=設定!$B$5,"変動大 "&amp;TEXT(CF101/CE101-1,"+0%;-0%"),"〇"))))</f>
        <v>〇</v>
      </c>
      <c r="F101" s="10" t="str">
        <f aca="false">IF(OR(G101="",G101="なし"),"―",IF(CF101=0,"入金不要",IF(COUNT(Z101,AB101,AD101,AF101)=0,IF(AG101="○","手動確認","未入金"),IF(AND(N(Z101)=Y101,IF(AA101="",TRUE(),N(AB101)=AA101),IF(AC101="",TRUE(),N(AD101)=AC101),IF(AE101="",TRUE(),N(AF101)=AE101)),"一致","不一致"))))</f>
        <v>手動確認</v>
      </c>
      <c r="G101" s="25" t="s">
        <v>159</v>
      </c>
      <c r="H101" s="26"/>
      <c r="I101" s="27"/>
      <c r="J101" s="27"/>
      <c r="K101" s="27"/>
      <c r="L101" s="27" t="n">
        <v>55241295</v>
      </c>
      <c r="M101" s="27" t="n">
        <v>4527975</v>
      </c>
      <c r="N101" s="27" t="n">
        <v>79419549</v>
      </c>
      <c r="O101" s="27" t="n">
        <v>4512150</v>
      </c>
      <c r="P101" s="27" t="n">
        <v>52792</v>
      </c>
      <c r="Q101" s="27" t="n">
        <v>32013376</v>
      </c>
      <c r="R101" s="27" t="n">
        <v>32447648</v>
      </c>
      <c r="S101" s="27" t="n">
        <v>2060286</v>
      </c>
      <c r="T101" s="27" t="n">
        <v>2047332</v>
      </c>
      <c r="U101" s="27" t="n">
        <v>709650</v>
      </c>
      <c r="V101" s="27" t="n">
        <v>707489</v>
      </c>
      <c r="W101" s="10" t="str">
        <f aca="false">IFERROR(INDEX(設定!$E$61:$E$106,MATCH(B101,設定!$B$61:$B$106,0)),"合算")</f>
        <v>合算</v>
      </c>
      <c r="X101" s="28"/>
      <c r="Y101" s="29" t="n">
        <f aca="false">IF(OR(G101="",G101="なし"),"",IF(W101="合算",CF101,IF(W101="掛金・負担金別",(AU101+AV101+AZ101+BB101+BD101),SUM(AU101:AY101))))</f>
        <v>213739542</v>
      </c>
      <c r="Z101" s="27"/>
      <c r="AA101" s="29" t="str">
        <f aca="false">IF(OR(G101="",G101="なし"),"",IF(W101="掛金・負担金別",(AW101+AX101+AY101+BA101+BC101+BE101),IF(W101="経理区分別",AZ101+BA101,"")))</f>
        <v/>
      </c>
      <c r="AB101" s="27"/>
      <c r="AC101" s="29" t="str">
        <f aca="false">IF(OR(G101="",G101="なし"),"",IF(W101="経理区分別",BB101+BC101,""))</f>
        <v/>
      </c>
      <c r="AD101" s="27"/>
      <c r="AE101" s="29" t="str">
        <f aca="false">IF(OR(G101="",G101="なし"),"",IF(W101="経理区分別",BD101+BE101,""))</f>
        <v/>
      </c>
      <c r="AF101" s="27"/>
      <c r="AG101" s="26" t="s">
        <v>160</v>
      </c>
      <c r="AH101" s="26"/>
      <c r="AI101" s="30"/>
      <c r="AJ101" s="31"/>
      <c r="AK101" s="31"/>
      <c r="AL101" s="31"/>
      <c r="AM101" s="31"/>
      <c r="AN101" s="31"/>
      <c r="AO101" s="31"/>
      <c r="AP101" s="31"/>
      <c r="AQ101" s="31"/>
      <c r="AR101" s="31"/>
      <c r="AS101" s="31"/>
      <c r="AT101" s="31"/>
      <c r="AU101" s="31" t="n">
        <f aca="false">IF($G101="",AJ101,L101)</f>
        <v>55241295</v>
      </c>
      <c r="AV101" s="31" t="n">
        <f aca="false">IF($G101="",AK101,M101)</f>
        <v>4527975</v>
      </c>
      <c r="AW101" s="31" t="n">
        <f aca="false">IF($G101="",AL101,N101)</f>
        <v>79419549</v>
      </c>
      <c r="AX101" s="31" t="n">
        <f aca="false">IF($G101="",AM101,O101)</f>
        <v>4512150</v>
      </c>
      <c r="AY101" s="31" t="n">
        <f aca="false">IF($G101="",AN101,P101)</f>
        <v>52792</v>
      </c>
      <c r="AZ101" s="31" t="n">
        <f aca="false">IF($G101="",AO101,Q101)</f>
        <v>32013376</v>
      </c>
      <c r="BA101" s="31" t="n">
        <f aca="false">IF($G101="",AP101,R101)</f>
        <v>32447648</v>
      </c>
      <c r="BB101" s="31" t="n">
        <f aca="false">IF($G101="",AQ101,S101)</f>
        <v>2060286</v>
      </c>
      <c r="BC101" s="31" t="n">
        <f aca="false">IF($G101="",AR101,T101)</f>
        <v>2047332</v>
      </c>
      <c r="BD101" s="31" t="n">
        <f aca="false">IF($G101="",AS101,U101)</f>
        <v>709650</v>
      </c>
      <c r="BE101" s="31" t="n">
        <f aca="false">IF($G101="",AT101,V101)</f>
        <v>707489</v>
      </c>
      <c r="BF101" s="31" t="n">
        <f aca="false">ROUNDDOWN(I101*設定!$B$10/1000,0)+ROUNDDOWN(I101*設定!$B$11/1000,0)</f>
        <v>0</v>
      </c>
      <c r="BG101" s="31" t="n">
        <f aca="false">ROUNDDOWN(I101*設定!$C$10/1000,0)+ROUNDDOWN(I101*設定!$C$11/1000,0)+ROUNDDOWN(I101*設定!$C$12/1000,0)</f>
        <v>0</v>
      </c>
      <c r="BH101" s="31" t="n">
        <f aca="false">ROUNDDOWN(J101*設定!$B$13/1000,0)</f>
        <v>0</v>
      </c>
      <c r="BI101" s="31" t="n">
        <f aca="false">ROUNDDOWN(J101*設定!$C$13/1000,0)</f>
        <v>0</v>
      </c>
      <c r="BJ101" s="31" t="n">
        <f aca="false">ROUNDDOWN(K101*設定!$B$14/1000,0)</f>
        <v>0</v>
      </c>
      <c r="BK101" s="31" t="n">
        <f aca="false">ROUNDDOWN(K101*設定!$C$14/1000,0)</f>
        <v>0</v>
      </c>
      <c r="BL101" s="31" t="n">
        <f aca="false">ROUNDDOWN(J101*設定!$B$15/1000,0)</f>
        <v>0</v>
      </c>
      <c r="BM101" s="31" t="n">
        <f aca="false">ROUNDDOWN(J101*設定!$C$15/1000,0)</f>
        <v>0</v>
      </c>
      <c r="BN101" s="31" t="n">
        <f aca="false">L101+M101</f>
        <v>59769270</v>
      </c>
      <c r="BO101" s="31" t="n">
        <f aca="false">N101+O101+P101</f>
        <v>83984491</v>
      </c>
      <c r="BP101" s="31" t="n">
        <f aca="false">Q101</f>
        <v>32013376</v>
      </c>
      <c r="BQ101" s="31" t="n">
        <f aca="false">R101</f>
        <v>32447648</v>
      </c>
      <c r="BR101" s="31" t="n">
        <f aca="false">S101</f>
        <v>2060286</v>
      </c>
      <c r="BS101" s="31" t="n">
        <f aca="false">T101</f>
        <v>2047332</v>
      </c>
      <c r="BT101" s="31" t="n">
        <f aca="false">U101</f>
        <v>709650</v>
      </c>
      <c r="BU101" s="31" t="n">
        <f aca="false">V101</f>
        <v>707489</v>
      </c>
      <c r="BV101" s="32" t="n">
        <f aca="false">IF(BF101=0,IF(BN101=0,0,1),(BN101-BF101)/BF101)</f>
        <v>1</v>
      </c>
      <c r="BW101" s="32" t="n">
        <f aca="false">IF(BG101=0,IF(BO101=0,0,1),(BO101-BG101)/BG101)</f>
        <v>1</v>
      </c>
      <c r="BX101" s="32" t="n">
        <f aca="false">IF(BH101=0,IF(BP101=0,0,1),(BP101-BH101)/BH101)</f>
        <v>1</v>
      </c>
      <c r="BY101" s="32" t="n">
        <f aca="false">IF(BI101=0,IF(BQ101=0,0,1),(BQ101-BI101)/BI101)</f>
        <v>1</v>
      </c>
      <c r="BZ101" s="32" t="n">
        <f aca="false">IF(BJ101=0,IF(BR101=0,0,1),(BR101-BJ101)/BJ101)</f>
        <v>1</v>
      </c>
      <c r="CA101" s="32" t="n">
        <f aca="false">IF(BK101=0,IF(BS101=0,0,1),(BS101-BK101)/BK101)</f>
        <v>1</v>
      </c>
      <c r="CB101" s="32" t="n">
        <f aca="false">IF(BL101=0,IF(BT101=0,0,1),(BT101-BL101)/BL101)</f>
        <v>1</v>
      </c>
      <c r="CC101" s="32" t="n">
        <f aca="false">IF(BM101=0,IF(BU101=0,0,1),(BU101-BM101)/BM101)</f>
        <v>1</v>
      </c>
      <c r="CD101" s="32" t="n">
        <f aca="false">MAX(MAX(BV101:CC101),-MIN(BV101:CC101))</f>
        <v>1</v>
      </c>
      <c r="CE101" s="31" t="n">
        <f aca="false">IF(CI101="","",SUMIFS($CF$7:$CF$696,$A$7:$A$696,CI101,$B$7:$B$696,B101))</f>
        <v>213989340</v>
      </c>
      <c r="CF101" s="31" t="n">
        <f aca="false">SUM(AU101:BE101)</f>
        <v>213739542</v>
      </c>
      <c r="CG101" s="33" t="str">
        <f aca="false">A101&amp;"|"&amp;B101</f>
        <v>2026-06 月例|消防局</v>
      </c>
      <c r="CH101" s="34" t="str">
        <f aca="false">IFERROR(INDEX(設定!$D$61:$D$106,MATCH(B101,設定!$B$61:$B$106,0)),"Y")</f>
        <v>N</v>
      </c>
      <c r="CI101" s="34" t="str">
        <f aca="false">IFERROR(INDEX(設定!$D$20:$D$34,MATCH(A101,設定!$A$20:$A$34,0))&amp;"","")</f>
        <v>2026-05 月例</v>
      </c>
    </row>
    <row r="102" customFormat="false" ht="15" hidden="true" customHeight="false" outlineLevel="0" collapsed="false">
      <c r="A102" s="22" t="s">
        <v>209</v>
      </c>
      <c r="B102" s="23" t="s">
        <v>163</v>
      </c>
      <c r="C102" s="10" t="str">
        <f aca="false">IF(G102="","未受領",IF(G102="なし","報告なし",IF(AH102="○","起票済",IF(OR(AG102="○",F102="一致",F102="入金不要"),"入金確認済","受領済"))))</f>
        <v>入金確認済</v>
      </c>
      <c r="D102" s="10" t="str">
        <f aca="false">IF(OR(G102="",G102="なし"),"―",IF(CH102="N","対象外",IF(AND(I102="",J102="",K102=""),"標報未入力",IF(CD102&gt;=設定!$B$4,"要確認","問題なし"))))</f>
        <v>標報未入力</v>
      </c>
      <c r="E102" s="24" t="str">
        <f aca="false">IF(OR(G102="",G102="なし",CE102="",CF102=0),"―",IF(CF102=CE102,"前月同額",IF(CE102=0,"―",IF(ABS(CF102/CE102-1)&gt;=設定!$B$5,"変動大 "&amp;TEXT(CF102/CE102-1,"+0%;-0%"),"〇"))))</f>
        <v>前月同額</v>
      </c>
      <c r="F102" s="10" t="str">
        <f aca="false">IF(OR(G102="",G102="なし"),"―",IF(CF102=0,"入金不要",IF(COUNT(Z102,AB102,AD102,AF102)=0,IF(AG102="○","手動確認","未入金"),IF(AND(N(Z102)=Y102,IF(AA102="",TRUE(),N(AB102)=AA102),IF(AC102="",TRUE(),N(AD102)=AC102),IF(AE102="",TRUE(),N(AF102)=AE102)),"一致","不一致"))))</f>
        <v>手動確認</v>
      </c>
      <c r="G102" s="25" t="s">
        <v>159</v>
      </c>
      <c r="H102" s="26"/>
      <c r="I102" s="27"/>
      <c r="J102" s="27"/>
      <c r="K102" s="27"/>
      <c r="L102" s="27" t="n">
        <v>1810785</v>
      </c>
      <c r="M102" s="27" t="n">
        <v>148425</v>
      </c>
      <c r="N102" s="27" t="n">
        <v>2609982</v>
      </c>
      <c r="O102" s="27" t="n">
        <v>148425</v>
      </c>
      <c r="P102" s="27" t="n">
        <v>1740</v>
      </c>
      <c r="Q102" s="27" t="n">
        <v>1048696</v>
      </c>
      <c r="R102" s="27" t="n">
        <v>1066514</v>
      </c>
      <c r="S102" s="27" t="n">
        <v>101925</v>
      </c>
      <c r="T102" s="27" t="n">
        <v>101925</v>
      </c>
      <c r="U102" s="27" t="n">
        <v>23247</v>
      </c>
      <c r="V102" s="27" t="n">
        <v>23255</v>
      </c>
      <c r="W102" s="10" t="str">
        <f aca="false">IFERROR(INDEX(設定!$E$61:$E$106,MATCH(B102,設定!$B$61:$B$106,0)),"合算")</f>
        <v>合算</v>
      </c>
      <c r="X102" s="28"/>
      <c r="Y102" s="29" t="n">
        <f aca="false">IF(OR(G102="",G102="なし"),"",IF(W102="合算",CF102,IF(W102="掛金・負担金別",(AU102+AV102+AZ102+BB102+BD102),SUM(AU102:AY102))))</f>
        <v>7084919</v>
      </c>
      <c r="Z102" s="27"/>
      <c r="AA102" s="29" t="str">
        <f aca="false">IF(OR(G102="",G102="なし"),"",IF(W102="掛金・負担金別",(AW102+AX102+AY102+BA102+BC102+BE102),IF(W102="経理区分別",AZ102+BA102,"")))</f>
        <v/>
      </c>
      <c r="AB102" s="27"/>
      <c r="AC102" s="29" t="str">
        <f aca="false">IF(OR(G102="",G102="なし"),"",IF(W102="経理区分別",BB102+BC102,""))</f>
        <v/>
      </c>
      <c r="AD102" s="27"/>
      <c r="AE102" s="29" t="str">
        <f aca="false">IF(OR(G102="",G102="なし"),"",IF(W102="経理区分別",BD102+BE102,""))</f>
        <v/>
      </c>
      <c r="AF102" s="27"/>
      <c r="AG102" s="26" t="s">
        <v>160</v>
      </c>
      <c r="AH102" s="26"/>
      <c r="AI102" s="30"/>
      <c r="AJ102" s="31"/>
      <c r="AK102" s="31"/>
      <c r="AL102" s="31"/>
      <c r="AM102" s="31"/>
      <c r="AN102" s="31"/>
      <c r="AO102" s="31"/>
      <c r="AP102" s="31"/>
      <c r="AQ102" s="31"/>
      <c r="AR102" s="31"/>
      <c r="AS102" s="31"/>
      <c r="AT102" s="31"/>
      <c r="AU102" s="31" t="n">
        <f aca="false">IF($G102="",AJ102,L102)</f>
        <v>1810785</v>
      </c>
      <c r="AV102" s="31" t="n">
        <f aca="false">IF($G102="",AK102,M102)</f>
        <v>148425</v>
      </c>
      <c r="AW102" s="31" t="n">
        <f aca="false">IF($G102="",AL102,N102)</f>
        <v>2609982</v>
      </c>
      <c r="AX102" s="31" t="n">
        <f aca="false">IF($G102="",AM102,O102)</f>
        <v>148425</v>
      </c>
      <c r="AY102" s="31" t="n">
        <f aca="false">IF($G102="",AN102,P102)</f>
        <v>1740</v>
      </c>
      <c r="AZ102" s="31" t="n">
        <f aca="false">IF($G102="",AO102,Q102)</f>
        <v>1048696</v>
      </c>
      <c r="BA102" s="31" t="n">
        <f aca="false">IF($G102="",AP102,R102)</f>
        <v>1066514</v>
      </c>
      <c r="BB102" s="31" t="n">
        <f aca="false">IF($G102="",AQ102,S102)</f>
        <v>101925</v>
      </c>
      <c r="BC102" s="31" t="n">
        <f aca="false">IF($G102="",AR102,T102)</f>
        <v>101925</v>
      </c>
      <c r="BD102" s="31" t="n">
        <f aca="false">IF($G102="",AS102,U102)</f>
        <v>23247</v>
      </c>
      <c r="BE102" s="31" t="n">
        <f aca="false">IF($G102="",AT102,V102)</f>
        <v>23255</v>
      </c>
      <c r="BF102" s="31" t="n">
        <f aca="false">ROUNDDOWN(I102*設定!$B$10/1000,0)+ROUNDDOWN(I102*設定!$B$11/1000,0)</f>
        <v>0</v>
      </c>
      <c r="BG102" s="31" t="n">
        <f aca="false">ROUNDDOWN(I102*設定!$C$10/1000,0)+ROUNDDOWN(I102*設定!$C$11/1000,0)+ROUNDDOWN(I102*設定!$C$12/1000,0)</f>
        <v>0</v>
      </c>
      <c r="BH102" s="31" t="n">
        <f aca="false">ROUNDDOWN(J102*設定!$B$13/1000,0)</f>
        <v>0</v>
      </c>
      <c r="BI102" s="31" t="n">
        <f aca="false">ROUNDDOWN(J102*設定!$C$13/1000,0)</f>
        <v>0</v>
      </c>
      <c r="BJ102" s="31" t="n">
        <f aca="false">ROUNDDOWN(K102*設定!$B$14/1000,0)</f>
        <v>0</v>
      </c>
      <c r="BK102" s="31" t="n">
        <f aca="false">ROUNDDOWN(K102*設定!$C$14/1000,0)</f>
        <v>0</v>
      </c>
      <c r="BL102" s="31" t="n">
        <f aca="false">ROUNDDOWN(J102*設定!$B$15/1000,0)</f>
        <v>0</v>
      </c>
      <c r="BM102" s="31" t="n">
        <f aca="false">ROUNDDOWN(J102*設定!$C$15/1000,0)</f>
        <v>0</v>
      </c>
      <c r="BN102" s="31" t="n">
        <f aca="false">L102+M102</f>
        <v>1959210</v>
      </c>
      <c r="BO102" s="31" t="n">
        <f aca="false">N102+O102+P102</f>
        <v>2760147</v>
      </c>
      <c r="BP102" s="31" t="n">
        <f aca="false">Q102</f>
        <v>1048696</v>
      </c>
      <c r="BQ102" s="31" t="n">
        <f aca="false">R102</f>
        <v>1066514</v>
      </c>
      <c r="BR102" s="31" t="n">
        <f aca="false">S102</f>
        <v>101925</v>
      </c>
      <c r="BS102" s="31" t="n">
        <f aca="false">T102</f>
        <v>101925</v>
      </c>
      <c r="BT102" s="31" t="n">
        <f aca="false">U102</f>
        <v>23247</v>
      </c>
      <c r="BU102" s="31" t="n">
        <f aca="false">V102</f>
        <v>23255</v>
      </c>
      <c r="BV102" s="32" t="n">
        <f aca="false">IF(BF102=0,IF(BN102=0,0,1),(BN102-BF102)/BF102)</f>
        <v>1</v>
      </c>
      <c r="BW102" s="32" t="n">
        <f aca="false">IF(BG102=0,IF(BO102=0,0,1),(BO102-BG102)/BG102)</f>
        <v>1</v>
      </c>
      <c r="BX102" s="32" t="n">
        <f aca="false">IF(BH102=0,IF(BP102=0,0,1),(BP102-BH102)/BH102)</f>
        <v>1</v>
      </c>
      <c r="BY102" s="32" t="n">
        <f aca="false">IF(BI102=0,IF(BQ102=0,0,1),(BQ102-BI102)/BI102)</f>
        <v>1</v>
      </c>
      <c r="BZ102" s="32" t="n">
        <f aca="false">IF(BJ102=0,IF(BR102=0,0,1),(BR102-BJ102)/BJ102)</f>
        <v>1</v>
      </c>
      <c r="CA102" s="32" t="n">
        <f aca="false">IF(BK102=0,IF(BS102=0,0,1),(BS102-BK102)/BK102)</f>
        <v>1</v>
      </c>
      <c r="CB102" s="32" t="n">
        <f aca="false">IF(BL102=0,IF(BT102=0,0,1),(BT102-BL102)/BL102)</f>
        <v>1</v>
      </c>
      <c r="CC102" s="32" t="n">
        <f aca="false">IF(BM102=0,IF(BU102=0,0,1),(BU102-BM102)/BM102)</f>
        <v>1</v>
      </c>
      <c r="CD102" s="32" t="n">
        <f aca="false">MAX(MAX(BV102:CC102),-MIN(BV102:CC102))</f>
        <v>1</v>
      </c>
      <c r="CE102" s="31" t="n">
        <f aca="false">IF(CI102="","",SUMIFS($CF$7:$CF$696,$A$7:$A$696,CI102,$B$7:$B$696,B102))</f>
        <v>7084919</v>
      </c>
      <c r="CF102" s="31" t="n">
        <f aca="false">SUM(AU102:BE102)</f>
        <v>7084919</v>
      </c>
      <c r="CG102" s="33" t="str">
        <f aca="false">A102&amp;"|"&amp;B102</f>
        <v>2026-06 月例|議会事務局</v>
      </c>
      <c r="CH102" s="34" t="str">
        <f aca="false">IFERROR(INDEX(設定!$D$61:$D$106,MATCH(B102,設定!$B$61:$B$106,0)),"Y")</f>
        <v>Y</v>
      </c>
      <c r="CI102" s="34" t="str">
        <f aca="false">IFERROR(INDEX(設定!$D$20:$D$34,MATCH(A102,設定!$A$20:$A$34,0))&amp;"","")</f>
        <v>2026-05 月例</v>
      </c>
    </row>
    <row r="103" customFormat="false" ht="15" hidden="true" customHeight="false" outlineLevel="0" collapsed="false">
      <c r="A103" s="22" t="s">
        <v>209</v>
      </c>
      <c r="B103" s="23" t="s">
        <v>164</v>
      </c>
      <c r="C103" s="10" t="str">
        <f aca="false">IF(G103="","未受領",IF(G103="なし","報告なし",IF(AH103="○","起票済",IF(OR(AG103="○",F103="一致",F103="入金不要"),"入金確認済","受領済"))))</f>
        <v>入金確認済</v>
      </c>
      <c r="D103" s="10" t="str">
        <f aca="false">IF(OR(G103="",G103="なし"),"―",IF(CH103="N","対象外",IF(AND(I103="",J103="",K103=""),"標報未入力",IF(CD103&gt;=設定!$B$4,"要確認","問題なし"))))</f>
        <v>対象外</v>
      </c>
      <c r="E103" s="24" t="str">
        <f aca="false">IF(OR(G103="",G103="なし",CE103="",CF103=0),"―",IF(CF103=CE103,"前月同額",IF(CE103=0,"―",IF(ABS(CF103/CE103-1)&gt;=設定!$B$5,"変動大 "&amp;TEXT(CF103/CE103-1,"+0%;-0%"),"〇"))))</f>
        <v>〇</v>
      </c>
      <c r="F103" s="10" t="str">
        <f aca="false">IF(OR(G103="",G103="なし"),"―",IF(CF103=0,"入金不要",IF(COUNT(Z103,AB103,AD103,AF103)=0,IF(AG103="○","手動確認","未入金"),IF(AND(N(Z103)=Y103,IF(AA103="",TRUE(),N(AB103)=AA103),IF(AC103="",TRUE(),N(AD103)=AC103),IF(AE103="",TRUE(),N(AF103)=AE103)),"一致","不一致"))))</f>
        <v>手動確認</v>
      </c>
      <c r="G103" s="25" t="s">
        <v>159</v>
      </c>
      <c r="H103" s="26"/>
      <c r="I103" s="27"/>
      <c r="J103" s="27"/>
      <c r="K103" s="27"/>
      <c r="L103" s="27" t="n">
        <v>23665011</v>
      </c>
      <c r="M103" s="27" t="n">
        <v>1939755</v>
      </c>
      <c r="N103" s="27" t="n">
        <v>34091829</v>
      </c>
      <c r="O103" s="27" t="n">
        <v>1939800</v>
      </c>
      <c r="P103" s="27" t="n">
        <v>22702</v>
      </c>
      <c r="Q103" s="27" t="n">
        <v>23489766</v>
      </c>
      <c r="R103" s="27" t="n">
        <v>23826312</v>
      </c>
      <c r="S103" s="27" t="n">
        <v>2747911</v>
      </c>
      <c r="T103" s="27" t="n">
        <v>2740362</v>
      </c>
      <c r="U103" s="27" t="n">
        <v>520296</v>
      </c>
      <c r="V103" s="27" t="n">
        <v>519504</v>
      </c>
      <c r="W103" s="10" t="str">
        <f aca="false">IFERROR(INDEX(設定!$E$61:$E$106,MATCH(B103,設定!$B$61:$B$106,0)),"合算")</f>
        <v>合算</v>
      </c>
      <c r="X103" s="28"/>
      <c r="Y103" s="29" t="n">
        <f aca="false">IF(OR(G103="",G103="なし"),"",IF(W103="合算",CF103,IF(W103="掛金・負担金別",(AU103+AV103+AZ103+BB103+BD103),SUM(AU103:AY103))))</f>
        <v>115503248</v>
      </c>
      <c r="Z103" s="27"/>
      <c r="AA103" s="29" t="str">
        <f aca="false">IF(OR(G103="",G103="なし"),"",IF(W103="掛金・負担金別",(AW103+AX103+AY103+BA103+BC103+BE103),IF(W103="経理区分別",AZ103+BA103,"")))</f>
        <v/>
      </c>
      <c r="AB103" s="27"/>
      <c r="AC103" s="29" t="str">
        <f aca="false">IF(OR(G103="",G103="なし"),"",IF(W103="経理区分別",BB103+BC103,""))</f>
        <v/>
      </c>
      <c r="AD103" s="27"/>
      <c r="AE103" s="29" t="str">
        <f aca="false">IF(OR(G103="",G103="なし"),"",IF(W103="経理区分別",BD103+BE103,""))</f>
        <v/>
      </c>
      <c r="AF103" s="27"/>
      <c r="AG103" s="26" t="s">
        <v>160</v>
      </c>
      <c r="AH103" s="26"/>
      <c r="AI103" s="30"/>
      <c r="AJ103" s="31"/>
      <c r="AK103" s="31"/>
      <c r="AL103" s="31"/>
      <c r="AM103" s="31"/>
      <c r="AN103" s="31"/>
      <c r="AO103" s="31"/>
      <c r="AP103" s="31"/>
      <c r="AQ103" s="31"/>
      <c r="AR103" s="31"/>
      <c r="AS103" s="31"/>
      <c r="AT103" s="31"/>
      <c r="AU103" s="31" t="n">
        <f aca="false">IF($G103="",AJ103,L103)</f>
        <v>23665011</v>
      </c>
      <c r="AV103" s="31" t="n">
        <f aca="false">IF($G103="",AK103,M103)</f>
        <v>1939755</v>
      </c>
      <c r="AW103" s="31" t="n">
        <f aca="false">IF($G103="",AL103,N103)</f>
        <v>34091829</v>
      </c>
      <c r="AX103" s="31" t="n">
        <f aca="false">IF($G103="",AM103,O103)</f>
        <v>1939800</v>
      </c>
      <c r="AY103" s="31" t="n">
        <f aca="false">IF($G103="",AN103,P103)</f>
        <v>22702</v>
      </c>
      <c r="AZ103" s="31" t="n">
        <f aca="false">IF($G103="",AO103,Q103)</f>
        <v>23489766</v>
      </c>
      <c r="BA103" s="31" t="n">
        <f aca="false">IF($G103="",AP103,R103)</f>
        <v>23826312</v>
      </c>
      <c r="BB103" s="31" t="n">
        <f aca="false">IF($G103="",AQ103,S103)</f>
        <v>2747911</v>
      </c>
      <c r="BC103" s="31" t="n">
        <f aca="false">IF($G103="",AR103,T103)</f>
        <v>2740362</v>
      </c>
      <c r="BD103" s="31" t="n">
        <f aca="false">IF($G103="",AS103,U103)</f>
        <v>520296</v>
      </c>
      <c r="BE103" s="31" t="n">
        <f aca="false">IF($G103="",AT103,V103)</f>
        <v>519504</v>
      </c>
      <c r="BF103" s="31" t="n">
        <f aca="false">ROUNDDOWN(I103*設定!$B$10/1000,0)+ROUNDDOWN(I103*設定!$B$11/1000,0)</f>
        <v>0</v>
      </c>
      <c r="BG103" s="31" t="n">
        <f aca="false">ROUNDDOWN(I103*設定!$C$10/1000,0)+ROUNDDOWN(I103*設定!$C$11/1000,0)+ROUNDDOWN(I103*設定!$C$12/1000,0)</f>
        <v>0</v>
      </c>
      <c r="BH103" s="31" t="n">
        <f aca="false">ROUNDDOWN(J103*設定!$B$13/1000,0)</f>
        <v>0</v>
      </c>
      <c r="BI103" s="31" t="n">
        <f aca="false">ROUNDDOWN(J103*設定!$C$13/1000,0)</f>
        <v>0</v>
      </c>
      <c r="BJ103" s="31" t="n">
        <f aca="false">ROUNDDOWN(K103*設定!$B$14/1000,0)</f>
        <v>0</v>
      </c>
      <c r="BK103" s="31" t="n">
        <f aca="false">ROUNDDOWN(K103*設定!$C$14/1000,0)</f>
        <v>0</v>
      </c>
      <c r="BL103" s="31" t="n">
        <f aca="false">ROUNDDOWN(J103*設定!$B$15/1000,0)</f>
        <v>0</v>
      </c>
      <c r="BM103" s="31" t="n">
        <f aca="false">ROUNDDOWN(J103*設定!$C$15/1000,0)</f>
        <v>0</v>
      </c>
      <c r="BN103" s="31" t="n">
        <f aca="false">L103+M103</f>
        <v>25604766</v>
      </c>
      <c r="BO103" s="31" t="n">
        <f aca="false">N103+O103+P103</f>
        <v>36054331</v>
      </c>
      <c r="BP103" s="31" t="n">
        <f aca="false">Q103</f>
        <v>23489766</v>
      </c>
      <c r="BQ103" s="31" t="n">
        <f aca="false">R103</f>
        <v>23826312</v>
      </c>
      <c r="BR103" s="31" t="n">
        <f aca="false">S103</f>
        <v>2747911</v>
      </c>
      <c r="BS103" s="31" t="n">
        <f aca="false">T103</f>
        <v>2740362</v>
      </c>
      <c r="BT103" s="31" t="n">
        <f aca="false">U103</f>
        <v>520296</v>
      </c>
      <c r="BU103" s="31" t="n">
        <f aca="false">V103</f>
        <v>519504</v>
      </c>
      <c r="BV103" s="32" t="n">
        <f aca="false">IF(BF103=0,IF(BN103=0,0,1),(BN103-BF103)/BF103)</f>
        <v>1</v>
      </c>
      <c r="BW103" s="32" t="n">
        <f aca="false">IF(BG103=0,IF(BO103=0,0,1),(BO103-BG103)/BG103)</f>
        <v>1</v>
      </c>
      <c r="BX103" s="32" t="n">
        <f aca="false">IF(BH103=0,IF(BP103=0,0,1),(BP103-BH103)/BH103)</f>
        <v>1</v>
      </c>
      <c r="BY103" s="32" t="n">
        <f aca="false">IF(BI103=0,IF(BQ103=0,0,1),(BQ103-BI103)/BI103)</f>
        <v>1</v>
      </c>
      <c r="BZ103" s="32" t="n">
        <f aca="false">IF(BJ103=0,IF(BR103=0,0,1),(BR103-BJ103)/BJ103)</f>
        <v>1</v>
      </c>
      <c r="CA103" s="32" t="n">
        <f aca="false">IF(BK103=0,IF(BS103=0,0,1),(BS103-BK103)/BK103)</f>
        <v>1</v>
      </c>
      <c r="CB103" s="32" t="n">
        <f aca="false">IF(BL103=0,IF(BT103=0,0,1),(BT103-BL103)/BL103)</f>
        <v>1</v>
      </c>
      <c r="CC103" s="32" t="n">
        <f aca="false">IF(BM103=0,IF(BU103=0,0,1),(BU103-BM103)/BM103)</f>
        <v>1</v>
      </c>
      <c r="CD103" s="32" t="n">
        <f aca="false">MAX(MAX(BV103:CC103),-MIN(BV103:CC103))</f>
        <v>1</v>
      </c>
      <c r="CE103" s="31" t="n">
        <f aca="false">IF(CI103="","",SUMIFS($CF$7:$CF$696,$A$7:$A$696,CI103,$B$7:$B$696,B103))</f>
        <v>115667889</v>
      </c>
      <c r="CF103" s="31" t="n">
        <f aca="false">SUM(AU103:BE103)</f>
        <v>115503248</v>
      </c>
      <c r="CG103" s="33" t="str">
        <f aca="false">A103&amp;"|"&amp;B103</f>
        <v>2026-06 月例|教育委員会（総務課）</v>
      </c>
      <c r="CH103" s="34" t="str">
        <f aca="false">IFERROR(INDEX(設定!$D$61:$D$106,MATCH(B103,設定!$B$61:$B$106,0)),"Y")</f>
        <v>N</v>
      </c>
      <c r="CI103" s="34" t="str">
        <f aca="false">IFERROR(INDEX(設定!$D$20:$D$34,MATCH(A103,設定!$A$20:$A$34,0))&amp;"","")</f>
        <v>2026-05 月例</v>
      </c>
    </row>
    <row r="104" customFormat="false" ht="15" hidden="true" customHeight="false" outlineLevel="0" collapsed="false">
      <c r="A104" s="22" t="s">
        <v>209</v>
      </c>
      <c r="B104" s="23" t="s">
        <v>165</v>
      </c>
      <c r="C104" s="10" t="str">
        <f aca="false">IF(G104="","未受領",IF(G104="なし","報告なし",IF(AH104="○","起票済",IF(OR(AG104="○",F104="一致",F104="入金不要"),"入金確認済","受領済"))))</f>
        <v>入金確認済</v>
      </c>
      <c r="D104" s="10" t="str">
        <f aca="false">IF(OR(G104="",G104="なし"),"―",IF(CH104="N","対象外",IF(AND(I104="",J104="",K104=""),"標報未入力",IF(CD104&gt;=設定!$B$4,"要確認","問題なし"))))</f>
        <v>標報未入力</v>
      </c>
      <c r="E104" s="24" t="str">
        <f aca="false">IF(OR(G104="",G104="なし",CE104="",CF104=0),"―",IF(CF104=CE104,"前月同額",IF(CE104=0,"―",IF(ABS(CF104/CE104-1)&gt;=設定!$B$5,"変動大 "&amp;TEXT(CF104/CE104-1,"+0%;-0%"),"〇"))))</f>
        <v>前月同額</v>
      </c>
      <c r="F104" s="10" t="str">
        <f aca="false">IF(OR(G104="",G104="なし"),"―",IF(CF104=0,"入金不要",IF(COUNT(Z104,AB104,AD104,AF104)=0,IF(AG104="○","手動確認","未入金"),IF(AND(N(Z104)=Y104,IF(AA104="",TRUE(),N(AB104)=AA104),IF(AC104="",TRUE(),N(AD104)=AC104),IF(AE104="",TRUE(),N(AF104)=AE104)),"一致","不一致"))))</f>
        <v>手動確認</v>
      </c>
      <c r="G104" s="25" t="s">
        <v>159</v>
      </c>
      <c r="H104" s="26"/>
      <c r="I104" s="27"/>
      <c r="J104" s="27"/>
      <c r="K104" s="27"/>
      <c r="L104" s="27" t="n">
        <v>326655</v>
      </c>
      <c r="M104" s="27" t="n">
        <v>26775</v>
      </c>
      <c r="N104" s="27" t="n">
        <v>469098</v>
      </c>
      <c r="O104" s="27" t="n">
        <v>26775</v>
      </c>
      <c r="P104" s="27" t="n">
        <v>310</v>
      </c>
      <c r="Q104" s="27" t="n">
        <v>205363</v>
      </c>
      <c r="R104" s="27" t="n">
        <v>208810</v>
      </c>
      <c r="S104" s="27" t="n">
        <v>15800</v>
      </c>
      <c r="T104" s="27" t="n">
        <v>15800</v>
      </c>
      <c r="U104" s="27" t="n">
        <v>4552</v>
      </c>
      <c r="V104" s="27" t="n">
        <v>4553</v>
      </c>
      <c r="W104" s="10" t="str">
        <f aca="false">IFERROR(INDEX(設定!$E$61:$E$106,MATCH(B104,設定!$B$61:$B$106,0)),"合算")</f>
        <v>合算</v>
      </c>
      <c r="X104" s="28"/>
      <c r="Y104" s="29" t="n">
        <f aca="false">IF(OR(G104="",G104="なし"),"",IF(W104="合算",CF104,IF(W104="掛金・負担金別",(AU104+AV104+AZ104+BB104+BD104),SUM(AU104:AY104))))</f>
        <v>1304491</v>
      </c>
      <c r="Z104" s="27"/>
      <c r="AA104" s="29" t="str">
        <f aca="false">IF(OR(G104="",G104="なし"),"",IF(W104="掛金・負担金別",(AW104+AX104+AY104+BA104+BC104+BE104),IF(W104="経理区分別",AZ104+BA104,"")))</f>
        <v/>
      </c>
      <c r="AB104" s="27"/>
      <c r="AC104" s="29" t="str">
        <f aca="false">IF(OR(G104="",G104="なし"),"",IF(W104="経理区分別",BB104+BC104,""))</f>
        <v/>
      </c>
      <c r="AD104" s="27"/>
      <c r="AE104" s="29" t="str">
        <f aca="false">IF(OR(G104="",G104="なし"),"",IF(W104="経理区分別",BD104+BE104,""))</f>
        <v/>
      </c>
      <c r="AF104" s="27"/>
      <c r="AG104" s="26" t="s">
        <v>160</v>
      </c>
      <c r="AH104" s="26"/>
      <c r="AI104" s="30"/>
      <c r="AJ104" s="31"/>
      <c r="AK104" s="31"/>
      <c r="AL104" s="31"/>
      <c r="AM104" s="31"/>
      <c r="AN104" s="31"/>
      <c r="AO104" s="31"/>
      <c r="AP104" s="31"/>
      <c r="AQ104" s="31"/>
      <c r="AR104" s="31"/>
      <c r="AS104" s="31"/>
      <c r="AT104" s="31"/>
      <c r="AU104" s="31" t="n">
        <f aca="false">IF($G104="",AJ104,L104)</f>
        <v>326655</v>
      </c>
      <c r="AV104" s="31" t="n">
        <f aca="false">IF($G104="",AK104,M104)</f>
        <v>26775</v>
      </c>
      <c r="AW104" s="31" t="n">
        <f aca="false">IF($G104="",AL104,N104)</f>
        <v>469098</v>
      </c>
      <c r="AX104" s="31" t="n">
        <f aca="false">IF($G104="",AM104,O104)</f>
        <v>26775</v>
      </c>
      <c r="AY104" s="31" t="n">
        <f aca="false">IF($G104="",AN104,P104)</f>
        <v>310</v>
      </c>
      <c r="AZ104" s="31" t="n">
        <f aca="false">IF($G104="",AO104,Q104)</f>
        <v>205363</v>
      </c>
      <c r="BA104" s="31" t="n">
        <f aca="false">IF($G104="",AP104,R104)</f>
        <v>208810</v>
      </c>
      <c r="BB104" s="31" t="n">
        <f aca="false">IF($G104="",AQ104,S104)</f>
        <v>15800</v>
      </c>
      <c r="BC104" s="31" t="n">
        <f aca="false">IF($G104="",AR104,T104)</f>
        <v>15800</v>
      </c>
      <c r="BD104" s="31" t="n">
        <f aca="false">IF($G104="",AS104,U104)</f>
        <v>4552</v>
      </c>
      <c r="BE104" s="31" t="n">
        <f aca="false">IF($G104="",AT104,V104)</f>
        <v>4553</v>
      </c>
      <c r="BF104" s="31" t="n">
        <f aca="false">ROUNDDOWN(I104*設定!$B$10/1000,0)+ROUNDDOWN(I104*設定!$B$11/1000,0)</f>
        <v>0</v>
      </c>
      <c r="BG104" s="31" t="n">
        <f aca="false">ROUNDDOWN(I104*設定!$C$10/1000,0)+ROUNDDOWN(I104*設定!$C$11/1000,0)+ROUNDDOWN(I104*設定!$C$12/1000,0)</f>
        <v>0</v>
      </c>
      <c r="BH104" s="31" t="n">
        <f aca="false">ROUNDDOWN(J104*設定!$B$13/1000,0)</f>
        <v>0</v>
      </c>
      <c r="BI104" s="31" t="n">
        <f aca="false">ROUNDDOWN(J104*設定!$C$13/1000,0)</f>
        <v>0</v>
      </c>
      <c r="BJ104" s="31" t="n">
        <f aca="false">ROUNDDOWN(K104*設定!$B$14/1000,0)</f>
        <v>0</v>
      </c>
      <c r="BK104" s="31" t="n">
        <f aca="false">ROUNDDOWN(K104*設定!$C$14/1000,0)</f>
        <v>0</v>
      </c>
      <c r="BL104" s="31" t="n">
        <f aca="false">ROUNDDOWN(J104*設定!$B$15/1000,0)</f>
        <v>0</v>
      </c>
      <c r="BM104" s="31" t="n">
        <f aca="false">ROUNDDOWN(J104*設定!$C$15/1000,0)</f>
        <v>0</v>
      </c>
      <c r="BN104" s="31" t="n">
        <f aca="false">L104+M104</f>
        <v>353430</v>
      </c>
      <c r="BO104" s="31" t="n">
        <f aca="false">N104+O104+P104</f>
        <v>496183</v>
      </c>
      <c r="BP104" s="31" t="n">
        <f aca="false">Q104</f>
        <v>205363</v>
      </c>
      <c r="BQ104" s="31" t="n">
        <f aca="false">R104</f>
        <v>208810</v>
      </c>
      <c r="BR104" s="31" t="n">
        <f aca="false">S104</f>
        <v>15800</v>
      </c>
      <c r="BS104" s="31" t="n">
        <f aca="false">T104</f>
        <v>15800</v>
      </c>
      <c r="BT104" s="31" t="n">
        <f aca="false">U104</f>
        <v>4552</v>
      </c>
      <c r="BU104" s="31" t="n">
        <f aca="false">V104</f>
        <v>4553</v>
      </c>
      <c r="BV104" s="32" t="n">
        <f aca="false">IF(BF104=0,IF(BN104=0,0,1),(BN104-BF104)/BF104)</f>
        <v>1</v>
      </c>
      <c r="BW104" s="32" t="n">
        <f aca="false">IF(BG104=0,IF(BO104=0,0,1),(BO104-BG104)/BG104)</f>
        <v>1</v>
      </c>
      <c r="BX104" s="32" t="n">
        <f aca="false">IF(BH104=0,IF(BP104=0,0,1),(BP104-BH104)/BH104)</f>
        <v>1</v>
      </c>
      <c r="BY104" s="32" t="n">
        <f aca="false">IF(BI104=0,IF(BQ104=0,0,1),(BQ104-BI104)/BI104)</f>
        <v>1</v>
      </c>
      <c r="BZ104" s="32" t="n">
        <f aca="false">IF(BJ104=0,IF(BR104=0,0,1),(BR104-BJ104)/BJ104)</f>
        <v>1</v>
      </c>
      <c r="CA104" s="32" t="n">
        <f aca="false">IF(BK104=0,IF(BS104=0,0,1),(BS104-BK104)/BK104)</f>
        <v>1</v>
      </c>
      <c r="CB104" s="32" t="n">
        <f aca="false">IF(BL104=0,IF(BT104=0,0,1),(BT104-BL104)/BL104)</f>
        <v>1</v>
      </c>
      <c r="CC104" s="32" t="n">
        <f aca="false">IF(BM104=0,IF(BU104=0,0,1),(BU104-BM104)/BM104)</f>
        <v>1</v>
      </c>
      <c r="CD104" s="32" t="n">
        <f aca="false">MAX(MAX(BV104:CC104),-MIN(BV104:CC104))</f>
        <v>1</v>
      </c>
      <c r="CE104" s="31" t="n">
        <f aca="false">IF(CI104="","",SUMIFS($CF$7:$CF$696,$A$7:$A$696,CI104,$B$7:$B$696,B104))</f>
        <v>1304491</v>
      </c>
      <c r="CF104" s="31" t="n">
        <f aca="false">SUM(AU104:BE104)</f>
        <v>1304491</v>
      </c>
      <c r="CG104" s="33" t="str">
        <f aca="false">A104&amp;"|"&amp;B104</f>
        <v>2026-06 月例|選挙管理委員会</v>
      </c>
      <c r="CH104" s="34" t="str">
        <f aca="false">IFERROR(INDEX(設定!$D$61:$D$106,MATCH(B104,設定!$B$61:$B$106,0)),"Y")</f>
        <v>Y</v>
      </c>
      <c r="CI104" s="34" t="str">
        <f aca="false">IFERROR(INDEX(設定!$D$20:$D$34,MATCH(A104,設定!$A$20:$A$34,0))&amp;"","")</f>
        <v>2026-05 月例</v>
      </c>
    </row>
    <row r="105" customFormat="false" ht="15" hidden="true" customHeight="false" outlineLevel="0" collapsed="false">
      <c r="A105" s="22" t="s">
        <v>209</v>
      </c>
      <c r="B105" s="23" t="s">
        <v>166</v>
      </c>
      <c r="C105" s="10" t="str">
        <f aca="false">IF(G105="","未受領",IF(G105="なし","報告なし",IF(AH105="○","起票済",IF(OR(AG105="○",F105="一致",F105="入金不要"),"入金確認済","受領済"))))</f>
        <v>入金確認済</v>
      </c>
      <c r="D105" s="10" t="str">
        <f aca="false">IF(OR(G105="",G105="なし"),"―",IF(CH105="N","対象外",IF(AND(I105="",J105="",K105=""),"標報未入力",IF(CD105&gt;=設定!$B$4,"要確認","問題なし"))))</f>
        <v>標報未入力</v>
      </c>
      <c r="E105" s="24" t="str">
        <f aca="false">IF(OR(G105="",G105="なし",CE105="",CF105=0),"―",IF(CF105=CE105,"前月同額",IF(CE105=0,"―",IF(ABS(CF105/CE105-1)&gt;=設定!$B$5,"変動大 "&amp;TEXT(CF105/CE105-1,"+0%;-0%"),"〇"))))</f>
        <v>〇</v>
      </c>
      <c r="F105" s="10" t="str">
        <f aca="false">IF(OR(G105="",G105="なし"),"―",IF(CF105=0,"入金不要",IF(COUNT(Z105,AB105,AD105,AF105)=0,IF(AG105="○","手動確認","未入金"),IF(AND(N(Z105)=Y105,IF(AA105="",TRUE(),N(AB105)=AA105),IF(AC105="",TRUE(),N(AD105)=AC105),IF(AE105="",TRUE(),N(AF105)=AE105)),"一致","不一致"))))</f>
        <v>手動確認</v>
      </c>
      <c r="G105" s="25" t="s">
        <v>159</v>
      </c>
      <c r="H105" s="26"/>
      <c r="I105" s="27"/>
      <c r="J105" s="27"/>
      <c r="K105" s="27"/>
      <c r="L105" s="27" t="n">
        <v>597495</v>
      </c>
      <c r="M105" s="27" t="n">
        <v>48975</v>
      </c>
      <c r="N105" s="27" t="n">
        <v>858042</v>
      </c>
      <c r="O105" s="27" t="n">
        <v>48975</v>
      </c>
      <c r="P105" s="27" t="n">
        <v>567</v>
      </c>
      <c r="Q105" s="27" t="n">
        <v>352122</v>
      </c>
      <c r="R105" s="27" t="n">
        <v>358035</v>
      </c>
      <c r="S105" s="27" t="n">
        <v>29546</v>
      </c>
      <c r="T105" s="27" t="n">
        <v>29546</v>
      </c>
      <c r="U105" s="27" t="n">
        <v>7805</v>
      </c>
      <c r="V105" s="27" t="n">
        <v>7808</v>
      </c>
      <c r="W105" s="10" t="str">
        <f aca="false">IFERROR(INDEX(設定!$E$61:$E$106,MATCH(B105,設定!$B$61:$B$106,0)),"合算")</f>
        <v>合算</v>
      </c>
      <c r="X105" s="28"/>
      <c r="Y105" s="29" t="n">
        <f aca="false">IF(OR(G105="",G105="なし"),"",IF(W105="合算",CF105,IF(W105="掛金・負担金別",(AU105+AV105+AZ105+BB105+BD105),SUM(AU105:AY105))))</f>
        <v>2338916</v>
      </c>
      <c r="Z105" s="27"/>
      <c r="AA105" s="29" t="str">
        <f aca="false">IF(OR(G105="",G105="なし"),"",IF(W105="掛金・負担金別",(AW105+AX105+AY105+BA105+BC105+BE105),IF(W105="経理区分別",AZ105+BA105,"")))</f>
        <v/>
      </c>
      <c r="AB105" s="27"/>
      <c r="AC105" s="29" t="str">
        <f aca="false">IF(OR(G105="",G105="なし"),"",IF(W105="経理区分別",BB105+BC105,""))</f>
        <v/>
      </c>
      <c r="AD105" s="27"/>
      <c r="AE105" s="29" t="str">
        <f aca="false">IF(OR(G105="",G105="なし"),"",IF(W105="経理区分別",BD105+BE105,""))</f>
        <v/>
      </c>
      <c r="AF105" s="27"/>
      <c r="AG105" s="26" t="s">
        <v>160</v>
      </c>
      <c r="AH105" s="26"/>
      <c r="AI105" s="30"/>
      <c r="AJ105" s="31"/>
      <c r="AK105" s="31"/>
      <c r="AL105" s="31"/>
      <c r="AM105" s="31"/>
      <c r="AN105" s="31"/>
      <c r="AO105" s="31"/>
      <c r="AP105" s="31"/>
      <c r="AQ105" s="31"/>
      <c r="AR105" s="31"/>
      <c r="AS105" s="31"/>
      <c r="AT105" s="31"/>
      <c r="AU105" s="31" t="n">
        <f aca="false">IF($G105="",AJ105,L105)</f>
        <v>597495</v>
      </c>
      <c r="AV105" s="31" t="n">
        <f aca="false">IF($G105="",AK105,M105)</f>
        <v>48975</v>
      </c>
      <c r="AW105" s="31" t="n">
        <f aca="false">IF($G105="",AL105,N105)</f>
        <v>858042</v>
      </c>
      <c r="AX105" s="31" t="n">
        <f aca="false">IF($G105="",AM105,O105)</f>
        <v>48975</v>
      </c>
      <c r="AY105" s="31" t="n">
        <f aca="false">IF($G105="",AN105,P105)</f>
        <v>567</v>
      </c>
      <c r="AZ105" s="31" t="n">
        <f aca="false">IF($G105="",AO105,Q105)</f>
        <v>352122</v>
      </c>
      <c r="BA105" s="31" t="n">
        <f aca="false">IF($G105="",AP105,R105)</f>
        <v>358035</v>
      </c>
      <c r="BB105" s="31" t="n">
        <f aca="false">IF($G105="",AQ105,S105)</f>
        <v>29546</v>
      </c>
      <c r="BC105" s="31" t="n">
        <f aca="false">IF($G105="",AR105,T105)</f>
        <v>29546</v>
      </c>
      <c r="BD105" s="31" t="n">
        <f aca="false">IF($G105="",AS105,U105)</f>
        <v>7805</v>
      </c>
      <c r="BE105" s="31" t="n">
        <f aca="false">IF($G105="",AT105,V105)</f>
        <v>7808</v>
      </c>
      <c r="BF105" s="31" t="n">
        <f aca="false">ROUNDDOWN(I105*設定!$B$10/1000,0)+ROUNDDOWN(I105*設定!$B$11/1000,0)</f>
        <v>0</v>
      </c>
      <c r="BG105" s="31" t="n">
        <f aca="false">ROUNDDOWN(I105*設定!$C$10/1000,0)+ROUNDDOWN(I105*設定!$C$11/1000,0)+ROUNDDOWN(I105*設定!$C$12/1000,0)</f>
        <v>0</v>
      </c>
      <c r="BH105" s="31" t="n">
        <f aca="false">ROUNDDOWN(J105*設定!$B$13/1000,0)</f>
        <v>0</v>
      </c>
      <c r="BI105" s="31" t="n">
        <f aca="false">ROUNDDOWN(J105*設定!$C$13/1000,0)</f>
        <v>0</v>
      </c>
      <c r="BJ105" s="31" t="n">
        <f aca="false">ROUNDDOWN(K105*設定!$B$14/1000,0)</f>
        <v>0</v>
      </c>
      <c r="BK105" s="31" t="n">
        <f aca="false">ROUNDDOWN(K105*設定!$C$14/1000,0)</f>
        <v>0</v>
      </c>
      <c r="BL105" s="31" t="n">
        <f aca="false">ROUNDDOWN(J105*設定!$B$15/1000,0)</f>
        <v>0</v>
      </c>
      <c r="BM105" s="31" t="n">
        <f aca="false">ROUNDDOWN(J105*設定!$C$15/1000,0)</f>
        <v>0</v>
      </c>
      <c r="BN105" s="31" t="n">
        <f aca="false">L105+M105</f>
        <v>646470</v>
      </c>
      <c r="BO105" s="31" t="n">
        <f aca="false">N105+O105+P105</f>
        <v>907584</v>
      </c>
      <c r="BP105" s="31" t="n">
        <f aca="false">Q105</f>
        <v>352122</v>
      </c>
      <c r="BQ105" s="31" t="n">
        <f aca="false">R105</f>
        <v>358035</v>
      </c>
      <c r="BR105" s="31" t="n">
        <f aca="false">S105</f>
        <v>29546</v>
      </c>
      <c r="BS105" s="31" t="n">
        <f aca="false">T105</f>
        <v>29546</v>
      </c>
      <c r="BT105" s="31" t="n">
        <f aca="false">U105</f>
        <v>7805</v>
      </c>
      <c r="BU105" s="31" t="n">
        <f aca="false">V105</f>
        <v>7808</v>
      </c>
      <c r="BV105" s="32" t="n">
        <f aca="false">IF(BF105=0,IF(BN105=0,0,1),(BN105-BF105)/BF105)</f>
        <v>1</v>
      </c>
      <c r="BW105" s="32" t="n">
        <f aca="false">IF(BG105=0,IF(BO105=0,0,1),(BO105-BG105)/BG105)</f>
        <v>1</v>
      </c>
      <c r="BX105" s="32" t="n">
        <f aca="false">IF(BH105=0,IF(BP105=0,0,1),(BP105-BH105)/BH105)</f>
        <v>1</v>
      </c>
      <c r="BY105" s="32" t="n">
        <f aca="false">IF(BI105=0,IF(BQ105=0,0,1),(BQ105-BI105)/BI105)</f>
        <v>1</v>
      </c>
      <c r="BZ105" s="32" t="n">
        <f aca="false">IF(BJ105=0,IF(BR105=0,0,1),(BR105-BJ105)/BJ105)</f>
        <v>1</v>
      </c>
      <c r="CA105" s="32" t="n">
        <f aca="false">IF(BK105=0,IF(BS105=0,0,1),(BS105-BK105)/BK105)</f>
        <v>1</v>
      </c>
      <c r="CB105" s="32" t="n">
        <f aca="false">IF(BL105=0,IF(BT105=0,0,1),(BT105-BL105)/BL105)</f>
        <v>1</v>
      </c>
      <c r="CC105" s="32" t="n">
        <f aca="false">IF(BM105=0,IF(BU105=0,0,1),(BU105-BM105)/BM105)</f>
        <v>1</v>
      </c>
      <c r="CD105" s="32" t="n">
        <f aca="false">MAX(MAX(BV105:CC105),-MIN(BV105:CC105))</f>
        <v>1</v>
      </c>
      <c r="CE105" s="31" t="n">
        <f aca="false">IF(CI105="","",SUMIFS($CF$7:$CF$696,$A$7:$A$696,CI105,$B$7:$B$696,B105))</f>
        <v>2319287</v>
      </c>
      <c r="CF105" s="31" t="n">
        <f aca="false">SUM(AU105:BE105)</f>
        <v>2338916</v>
      </c>
      <c r="CG105" s="33" t="str">
        <f aca="false">A105&amp;"|"&amp;B105</f>
        <v>2026-06 月例|人事委員会</v>
      </c>
      <c r="CH105" s="34" t="str">
        <f aca="false">IFERROR(INDEX(設定!$D$61:$D$106,MATCH(B105,設定!$B$61:$B$106,0)),"Y")</f>
        <v>Y</v>
      </c>
      <c r="CI105" s="34" t="str">
        <f aca="false">IFERROR(INDEX(設定!$D$20:$D$34,MATCH(A105,設定!$A$20:$A$34,0))&amp;"","")</f>
        <v>2026-05 月例</v>
      </c>
    </row>
    <row r="106" customFormat="false" ht="15" hidden="true" customHeight="false" outlineLevel="0" collapsed="false">
      <c r="A106" s="22" t="s">
        <v>209</v>
      </c>
      <c r="B106" s="23" t="s">
        <v>167</v>
      </c>
      <c r="C106" s="10" t="str">
        <f aca="false">IF(G106="","未受領",IF(G106="なし","報告なし",IF(AH106="○","起票済",IF(OR(AG106="○",F106="一致",F106="入金不要"),"入金確認済","受領済"))))</f>
        <v>入金確認済</v>
      </c>
      <c r="D106" s="10" t="str">
        <f aca="false">IF(OR(G106="",G106="なし"),"―",IF(CH106="N","対象外",IF(AND(I106="",J106="",K106=""),"標報未入力",IF(CD106&gt;=設定!$B$4,"要確認","問題なし"))))</f>
        <v>標報未入力</v>
      </c>
      <c r="E106" s="24" t="str">
        <f aca="false">IF(OR(G106="",G106="なし",CE106="",CF106=0),"―",IF(CF106=CE106,"前月同額",IF(CE106=0,"―",IF(ABS(CF106/CE106-1)&gt;=設定!$B$5,"変動大 "&amp;TEXT(CF106/CE106-1,"+0%;-0%"),"〇"))))</f>
        <v>前月同額</v>
      </c>
      <c r="F106" s="10" t="str">
        <f aca="false">IF(OR(G106="",G106="なし"),"―",IF(CF106=0,"入金不要",IF(COUNT(Z106,AB106,AD106,AF106)=0,IF(AG106="○","手動確認","未入金"),IF(AND(N(Z106)=Y106,IF(AA106="",TRUE(),N(AB106)=AA106),IF(AC106="",TRUE(),N(AD106)=AC106),IF(AE106="",TRUE(),N(AF106)=AE106)),"一致","不一致"))))</f>
        <v>手動確認</v>
      </c>
      <c r="G106" s="25" t="s">
        <v>159</v>
      </c>
      <c r="H106" s="26"/>
      <c r="I106" s="27"/>
      <c r="J106" s="27"/>
      <c r="K106" s="27"/>
      <c r="L106" s="27" t="n">
        <v>1324920</v>
      </c>
      <c r="M106" s="27" t="n">
        <v>108600</v>
      </c>
      <c r="N106" s="27" t="n">
        <v>1913844</v>
      </c>
      <c r="O106" s="27" t="n">
        <v>108600</v>
      </c>
      <c r="P106" s="27" t="n">
        <v>1282</v>
      </c>
      <c r="Q106" s="27" t="n">
        <v>768034</v>
      </c>
      <c r="R106" s="27" t="n">
        <v>781174</v>
      </c>
      <c r="S106" s="27" t="n">
        <v>104201</v>
      </c>
      <c r="T106" s="27" t="n">
        <v>104201</v>
      </c>
      <c r="U106" s="27" t="n">
        <v>17023</v>
      </c>
      <c r="V106" s="27" t="n">
        <v>17030</v>
      </c>
      <c r="W106" s="10" t="str">
        <f aca="false">IFERROR(INDEX(設定!$E$61:$E$106,MATCH(B106,設定!$B$61:$B$106,0)),"合算")</f>
        <v>合算</v>
      </c>
      <c r="X106" s="28"/>
      <c r="Y106" s="29" t="n">
        <f aca="false">IF(OR(G106="",G106="なし"),"",IF(W106="合算",CF106,IF(W106="掛金・負担金別",(AU106+AV106+AZ106+BB106+BD106),SUM(AU106:AY106))))</f>
        <v>5248909</v>
      </c>
      <c r="Z106" s="27"/>
      <c r="AA106" s="29" t="str">
        <f aca="false">IF(OR(G106="",G106="なし"),"",IF(W106="掛金・負担金別",(AW106+AX106+AY106+BA106+BC106+BE106),IF(W106="経理区分別",AZ106+BA106,"")))</f>
        <v/>
      </c>
      <c r="AB106" s="27"/>
      <c r="AC106" s="29" t="str">
        <f aca="false">IF(OR(G106="",G106="なし"),"",IF(W106="経理区分別",BB106+BC106,""))</f>
        <v/>
      </c>
      <c r="AD106" s="27"/>
      <c r="AE106" s="29" t="str">
        <f aca="false">IF(OR(G106="",G106="なし"),"",IF(W106="経理区分別",BD106+BE106,""))</f>
        <v/>
      </c>
      <c r="AF106" s="27"/>
      <c r="AG106" s="26" t="s">
        <v>160</v>
      </c>
      <c r="AH106" s="26"/>
      <c r="AI106" s="30"/>
      <c r="AJ106" s="31"/>
      <c r="AK106" s="31"/>
      <c r="AL106" s="31"/>
      <c r="AM106" s="31"/>
      <c r="AN106" s="31"/>
      <c r="AO106" s="31"/>
      <c r="AP106" s="31"/>
      <c r="AQ106" s="31"/>
      <c r="AR106" s="31"/>
      <c r="AS106" s="31"/>
      <c r="AT106" s="31"/>
      <c r="AU106" s="31" t="n">
        <f aca="false">IF($G106="",AJ106,L106)</f>
        <v>1324920</v>
      </c>
      <c r="AV106" s="31" t="n">
        <f aca="false">IF($G106="",AK106,M106)</f>
        <v>108600</v>
      </c>
      <c r="AW106" s="31" t="n">
        <f aca="false">IF($G106="",AL106,N106)</f>
        <v>1913844</v>
      </c>
      <c r="AX106" s="31" t="n">
        <f aca="false">IF($G106="",AM106,O106)</f>
        <v>108600</v>
      </c>
      <c r="AY106" s="31" t="n">
        <f aca="false">IF($G106="",AN106,P106)</f>
        <v>1282</v>
      </c>
      <c r="AZ106" s="31" t="n">
        <f aca="false">IF($G106="",AO106,Q106)</f>
        <v>768034</v>
      </c>
      <c r="BA106" s="31" t="n">
        <f aca="false">IF($G106="",AP106,R106)</f>
        <v>781174</v>
      </c>
      <c r="BB106" s="31" t="n">
        <f aca="false">IF($G106="",AQ106,S106)</f>
        <v>104201</v>
      </c>
      <c r="BC106" s="31" t="n">
        <f aca="false">IF($G106="",AR106,T106)</f>
        <v>104201</v>
      </c>
      <c r="BD106" s="31" t="n">
        <f aca="false">IF($G106="",AS106,U106)</f>
        <v>17023</v>
      </c>
      <c r="BE106" s="31" t="n">
        <f aca="false">IF($G106="",AT106,V106)</f>
        <v>17030</v>
      </c>
      <c r="BF106" s="31" t="n">
        <f aca="false">ROUNDDOWN(I106*設定!$B$10/1000,0)+ROUNDDOWN(I106*設定!$B$11/1000,0)</f>
        <v>0</v>
      </c>
      <c r="BG106" s="31" t="n">
        <f aca="false">ROUNDDOWN(I106*設定!$C$10/1000,0)+ROUNDDOWN(I106*設定!$C$11/1000,0)+ROUNDDOWN(I106*設定!$C$12/1000,0)</f>
        <v>0</v>
      </c>
      <c r="BH106" s="31" t="n">
        <f aca="false">ROUNDDOWN(J106*設定!$B$13/1000,0)</f>
        <v>0</v>
      </c>
      <c r="BI106" s="31" t="n">
        <f aca="false">ROUNDDOWN(J106*設定!$C$13/1000,0)</f>
        <v>0</v>
      </c>
      <c r="BJ106" s="31" t="n">
        <f aca="false">ROUNDDOWN(K106*設定!$B$14/1000,0)</f>
        <v>0</v>
      </c>
      <c r="BK106" s="31" t="n">
        <f aca="false">ROUNDDOWN(K106*設定!$C$14/1000,0)</f>
        <v>0</v>
      </c>
      <c r="BL106" s="31" t="n">
        <f aca="false">ROUNDDOWN(J106*設定!$B$15/1000,0)</f>
        <v>0</v>
      </c>
      <c r="BM106" s="31" t="n">
        <f aca="false">ROUNDDOWN(J106*設定!$C$15/1000,0)</f>
        <v>0</v>
      </c>
      <c r="BN106" s="31" t="n">
        <f aca="false">L106+M106</f>
        <v>1433520</v>
      </c>
      <c r="BO106" s="31" t="n">
        <f aca="false">N106+O106+P106</f>
        <v>2023726</v>
      </c>
      <c r="BP106" s="31" t="n">
        <f aca="false">Q106</f>
        <v>768034</v>
      </c>
      <c r="BQ106" s="31" t="n">
        <f aca="false">R106</f>
        <v>781174</v>
      </c>
      <c r="BR106" s="31" t="n">
        <f aca="false">S106</f>
        <v>104201</v>
      </c>
      <c r="BS106" s="31" t="n">
        <f aca="false">T106</f>
        <v>104201</v>
      </c>
      <c r="BT106" s="31" t="n">
        <f aca="false">U106</f>
        <v>17023</v>
      </c>
      <c r="BU106" s="31" t="n">
        <f aca="false">V106</f>
        <v>17030</v>
      </c>
      <c r="BV106" s="32" t="n">
        <f aca="false">IF(BF106=0,IF(BN106=0,0,1),(BN106-BF106)/BF106)</f>
        <v>1</v>
      </c>
      <c r="BW106" s="32" t="n">
        <f aca="false">IF(BG106=0,IF(BO106=0,0,1),(BO106-BG106)/BG106)</f>
        <v>1</v>
      </c>
      <c r="BX106" s="32" t="n">
        <f aca="false">IF(BH106=0,IF(BP106=0,0,1),(BP106-BH106)/BH106)</f>
        <v>1</v>
      </c>
      <c r="BY106" s="32" t="n">
        <f aca="false">IF(BI106=0,IF(BQ106=0,0,1),(BQ106-BI106)/BI106)</f>
        <v>1</v>
      </c>
      <c r="BZ106" s="32" t="n">
        <f aca="false">IF(BJ106=0,IF(BR106=0,0,1),(BR106-BJ106)/BJ106)</f>
        <v>1</v>
      </c>
      <c r="CA106" s="32" t="n">
        <f aca="false">IF(BK106=0,IF(BS106=0,0,1),(BS106-BK106)/BK106)</f>
        <v>1</v>
      </c>
      <c r="CB106" s="32" t="n">
        <f aca="false">IF(BL106=0,IF(BT106=0,0,1),(BT106-BL106)/BL106)</f>
        <v>1</v>
      </c>
      <c r="CC106" s="32" t="n">
        <f aca="false">IF(BM106=0,IF(BU106=0,0,1),(BU106-BM106)/BM106)</f>
        <v>1</v>
      </c>
      <c r="CD106" s="32" t="n">
        <f aca="false">MAX(MAX(BV106:CC106),-MIN(BV106:CC106))</f>
        <v>1</v>
      </c>
      <c r="CE106" s="31" t="n">
        <f aca="false">IF(CI106="","",SUMIFS($CF$7:$CF$696,$A$7:$A$696,CI106,$B$7:$B$696,B106))</f>
        <v>5248909</v>
      </c>
      <c r="CF106" s="31" t="n">
        <f aca="false">SUM(AU106:BE106)</f>
        <v>5248909</v>
      </c>
      <c r="CG106" s="33" t="str">
        <f aca="false">A106&amp;"|"&amp;B106</f>
        <v>2026-06 月例|監査事務局</v>
      </c>
      <c r="CH106" s="34" t="str">
        <f aca="false">IFERROR(INDEX(設定!$D$61:$D$106,MATCH(B106,設定!$B$61:$B$106,0)),"Y")</f>
        <v>Y</v>
      </c>
      <c r="CI106" s="34" t="str">
        <f aca="false">IFERROR(INDEX(設定!$D$20:$D$34,MATCH(A106,設定!$A$20:$A$34,0))&amp;"","")</f>
        <v>2026-05 月例</v>
      </c>
    </row>
    <row r="107" customFormat="false" ht="15" hidden="true" customHeight="false" outlineLevel="0" collapsed="false">
      <c r="A107" s="22" t="s">
        <v>209</v>
      </c>
      <c r="B107" s="23" t="s">
        <v>168</v>
      </c>
      <c r="C107" s="10" t="str">
        <f aca="false">IF(G107="","未受領",IF(G107="なし","報告なし",IF(AH107="○","起票済",IF(OR(AG107="○",F107="一致",F107="入金不要"),"入金確認済","受領済"))))</f>
        <v>入金確認済</v>
      </c>
      <c r="D107" s="10" t="str">
        <f aca="false">IF(OR(G107="",G107="なし"),"―",IF(CH107="N","対象外",IF(AND(I107="",J107="",K107=""),"標報未入力",IF(CD107&gt;=設定!$B$4,"要確認","問題なし"))))</f>
        <v>標報未入力</v>
      </c>
      <c r="E107" s="24" t="str">
        <f aca="false">IF(OR(G107="",G107="なし",CE107="",CF107=0),"―",IF(CF107=CE107,"前月同額",IF(CE107=0,"―",IF(ABS(CF107/CE107-1)&gt;=設定!$B$5,"変動大 "&amp;TEXT(CF107/CE107-1,"+0%;-0%"),"〇"))))</f>
        <v>前月同額</v>
      </c>
      <c r="F107" s="10" t="str">
        <f aca="false">IF(OR(G107="",G107="なし"),"―",IF(CF107=0,"入金不要",IF(COUNT(Z107,AB107,AD107,AF107)=0,IF(AG107="○","手動確認","未入金"),IF(AND(N(Z107)=Y107,IF(AA107="",TRUE(),N(AB107)=AA107),IF(AC107="",TRUE(),N(AD107)=AC107),IF(AE107="",TRUE(),N(AF107)=AE107)),"一致","不一致"))))</f>
        <v>手動確認</v>
      </c>
      <c r="G107" s="25" t="s">
        <v>159</v>
      </c>
      <c r="H107" s="26"/>
      <c r="I107" s="27"/>
      <c r="J107" s="27"/>
      <c r="K107" s="27"/>
      <c r="L107" s="27" t="n">
        <v>409920</v>
      </c>
      <c r="M107" s="27" t="n">
        <v>33600</v>
      </c>
      <c r="N107" s="27" t="n">
        <v>588672</v>
      </c>
      <c r="O107" s="27" t="n">
        <v>33600</v>
      </c>
      <c r="P107" s="27" t="n">
        <v>389</v>
      </c>
      <c r="Q107" s="27" t="n">
        <v>306800</v>
      </c>
      <c r="R107" s="27" t="n">
        <v>311950</v>
      </c>
      <c r="S107" s="27" t="n">
        <v>35042</v>
      </c>
      <c r="T107" s="27" t="n">
        <v>35044</v>
      </c>
      <c r="U107" s="27" t="n">
        <v>6800</v>
      </c>
      <c r="V107" s="27" t="n">
        <v>6803</v>
      </c>
      <c r="W107" s="10" t="str">
        <f aca="false">IFERROR(INDEX(設定!$E$61:$E$106,MATCH(B107,設定!$B$61:$B$106,0)),"合算")</f>
        <v>合算</v>
      </c>
      <c r="X107" s="28"/>
      <c r="Y107" s="29" t="n">
        <f aca="false">IF(OR(G107="",G107="なし"),"",IF(W107="合算",CF107,IF(W107="掛金・負担金別",(AU107+AV107+AZ107+BB107+BD107),SUM(AU107:AY107))))</f>
        <v>1768620</v>
      </c>
      <c r="Z107" s="27"/>
      <c r="AA107" s="29" t="str">
        <f aca="false">IF(OR(G107="",G107="なし"),"",IF(W107="掛金・負担金別",(AW107+AX107+AY107+BA107+BC107+BE107),IF(W107="経理区分別",AZ107+BA107,"")))</f>
        <v/>
      </c>
      <c r="AB107" s="27"/>
      <c r="AC107" s="29" t="str">
        <f aca="false">IF(OR(G107="",G107="なし"),"",IF(W107="経理区分別",BB107+BC107,""))</f>
        <v/>
      </c>
      <c r="AD107" s="27"/>
      <c r="AE107" s="29" t="str">
        <f aca="false">IF(OR(G107="",G107="なし"),"",IF(W107="経理区分別",BD107+BE107,""))</f>
        <v/>
      </c>
      <c r="AF107" s="27"/>
      <c r="AG107" s="26" t="s">
        <v>160</v>
      </c>
      <c r="AH107" s="26"/>
      <c r="AI107" s="30"/>
      <c r="AJ107" s="31"/>
      <c r="AK107" s="31"/>
      <c r="AL107" s="31"/>
      <c r="AM107" s="31"/>
      <c r="AN107" s="31"/>
      <c r="AO107" s="31"/>
      <c r="AP107" s="31"/>
      <c r="AQ107" s="31"/>
      <c r="AR107" s="31"/>
      <c r="AS107" s="31"/>
      <c r="AT107" s="31"/>
      <c r="AU107" s="31" t="n">
        <f aca="false">IF($G107="",AJ107,L107)</f>
        <v>409920</v>
      </c>
      <c r="AV107" s="31" t="n">
        <f aca="false">IF($G107="",AK107,M107)</f>
        <v>33600</v>
      </c>
      <c r="AW107" s="31" t="n">
        <f aca="false">IF($G107="",AL107,N107)</f>
        <v>588672</v>
      </c>
      <c r="AX107" s="31" t="n">
        <f aca="false">IF($G107="",AM107,O107)</f>
        <v>33600</v>
      </c>
      <c r="AY107" s="31" t="n">
        <f aca="false">IF($G107="",AN107,P107)</f>
        <v>389</v>
      </c>
      <c r="AZ107" s="31" t="n">
        <f aca="false">IF($G107="",AO107,Q107)</f>
        <v>306800</v>
      </c>
      <c r="BA107" s="31" t="n">
        <f aca="false">IF($G107="",AP107,R107)</f>
        <v>311950</v>
      </c>
      <c r="BB107" s="31" t="n">
        <f aca="false">IF($G107="",AQ107,S107)</f>
        <v>35042</v>
      </c>
      <c r="BC107" s="31" t="n">
        <f aca="false">IF($G107="",AR107,T107)</f>
        <v>35044</v>
      </c>
      <c r="BD107" s="31" t="n">
        <f aca="false">IF($G107="",AS107,U107)</f>
        <v>6800</v>
      </c>
      <c r="BE107" s="31" t="n">
        <f aca="false">IF($G107="",AT107,V107)</f>
        <v>6803</v>
      </c>
      <c r="BF107" s="31" t="n">
        <f aca="false">ROUNDDOWN(I107*設定!$B$10/1000,0)+ROUNDDOWN(I107*設定!$B$11/1000,0)</f>
        <v>0</v>
      </c>
      <c r="BG107" s="31" t="n">
        <f aca="false">ROUNDDOWN(I107*設定!$C$10/1000,0)+ROUNDDOWN(I107*設定!$C$11/1000,0)+ROUNDDOWN(I107*設定!$C$12/1000,0)</f>
        <v>0</v>
      </c>
      <c r="BH107" s="31" t="n">
        <f aca="false">ROUNDDOWN(J107*設定!$B$13/1000,0)</f>
        <v>0</v>
      </c>
      <c r="BI107" s="31" t="n">
        <f aca="false">ROUNDDOWN(J107*設定!$C$13/1000,0)</f>
        <v>0</v>
      </c>
      <c r="BJ107" s="31" t="n">
        <f aca="false">ROUNDDOWN(K107*設定!$B$14/1000,0)</f>
        <v>0</v>
      </c>
      <c r="BK107" s="31" t="n">
        <f aca="false">ROUNDDOWN(K107*設定!$C$14/1000,0)</f>
        <v>0</v>
      </c>
      <c r="BL107" s="31" t="n">
        <f aca="false">ROUNDDOWN(J107*設定!$B$15/1000,0)</f>
        <v>0</v>
      </c>
      <c r="BM107" s="31" t="n">
        <f aca="false">ROUNDDOWN(J107*設定!$C$15/1000,0)</f>
        <v>0</v>
      </c>
      <c r="BN107" s="31" t="n">
        <f aca="false">L107+M107</f>
        <v>443520</v>
      </c>
      <c r="BO107" s="31" t="n">
        <f aca="false">N107+O107+P107</f>
        <v>622661</v>
      </c>
      <c r="BP107" s="31" t="n">
        <f aca="false">Q107</f>
        <v>306800</v>
      </c>
      <c r="BQ107" s="31" t="n">
        <f aca="false">R107</f>
        <v>311950</v>
      </c>
      <c r="BR107" s="31" t="n">
        <f aca="false">S107</f>
        <v>35042</v>
      </c>
      <c r="BS107" s="31" t="n">
        <f aca="false">T107</f>
        <v>35044</v>
      </c>
      <c r="BT107" s="31" t="n">
        <f aca="false">U107</f>
        <v>6800</v>
      </c>
      <c r="BU107" s="31" t="n">
        <f aca="false">V107</f>
        <v>6803</v>
      </c>
      <c r="BV107" s="32" t="n">
        <f aca="false">IF(BF107=0,IF(BN107=0,0,1),(BN107-BF107)/BF107)</f>
        <v>1</v>
      </c>
      <c r="BW107" s="32" t="n">
        <f aca="false">IF(BG107=0,IF(BO107=0,0,1),(BO107-BG107)/BG107)</f>
        <v>1</v>
      </c>
      <c r="BX107" s="32" t="n">
        <f aca="false">IF(BH107=0,IF(BP107=0,0,1),(BP107-BH107)/BH107)</f>
        <v>1</v>
      </c>
      <c r="BY107" s="32" t="n">
        <f aca="false">IF(BI107=0,IF(BQ107=0,0,1),(BQ107-BI107)/BI107)</f>
        <v>1</v>
      </c>
      <c r="BZ107" s="32" t="n">
        <f aca="false">IF(BJ107=0,IF(BR107=0,0,1),(BR107-BJ107)/BJ107)</f>
        <v>1</v>
      </c>
      <c r="CA107" s="32" t="n">
        <f aca="false">IF(BK107=0,IF(BS107=0,0,1),(BS107-BK107)/BK107)</f>
        <v>1</v>
      </c>
      <c r="CB107" s="32" t="n">
        <f aca="false">IF(BL107=0,IF(BT107=0,0,1),(BT107-BL107)/BL107)</f>
        <v>1</v>
      </c>
      <c r="CC107" s="32" t="n">
        <f aca="false">IF(BM107=0,IF(BU107=0,0,1),(BU107-BM107)/BM107)</f>
        <v>1</v>
      </c>
      <c r="CD107" s="32" t="n">
        <f aca="false">MAX(MAX(BV107:CC107),-MIN(BV107:CC107))</f>
        <v>1</v>
      </c>
      <c r="CE107" s="31" t="n">
        <f aca="false">IF(CI107="","",SUMIFS($CF$7:$CF$696,$A$7:$A$696,CI107,$B$7:$B$696,B107))</f>
        <v>1768620</v>
      </c>
      <c r="CF107" s="31" t="n">
        <f aca="false">SUM(AU107:BE107)</f>
        <v>1768620</v>
      </c>
      <c r="CG107" s="33" t="str">
        <f aca="false">A107&amp;"|"&amp;B107</f>
        <v>2026-06 月例|農業委員会</v>
      </c>
      <c r="CH107" s="34" t="str">
        <f aca="false">IFERROR(INDEX(設定!$D$61:$D$106,MATCH(B107,設定!$B$61:$B$106,0)),"Y")</f>
        <v>Y</v>
      </c>
      <c r="CI107" s="34" t="str">
        <f aca="false">IFERROR(INDEX(設定!$D$20:$D$34,MATCH(A107,設定!$A$20:$A$34,0))&amp;"","")</f>
        <v>2026-05 月例</v>
      </c>
    </row>
    <row r="108" customFormat="false" ht="15" hidden="true" customHeight="false" outlineLevel="0" collapsed="false">
      <c r="A108" s="22" t="s">
        <v>209</v>
      </c>
      <c r="B108" s="23" t="s">
        <v>169</v>
      </c>
      <c r="C108" s="10" t="str">
        <f aca="false">IF(G108="","未受領",IF(G108="なし","報告なし",IF(AH108="○","起票済",IF(OR(AG108="○",F108="一致",F108="入金不要"),"入金確認済","受領済"))))</f>
        <v>入金確認済</v>
      </c>
      <c r="D108" s="10" t="str">
        <f aca="false">IF(OR(G108="",G108="なし"),"―",IF(CH108="N","対象外",IF(AND(I108="",J108="",K108=""),"標報未入力",IF(CD108&gt;=設定!$B$4,"要確認","問題なし"))))</f>
        <v>対象外</v>
      </c>
      <c r="E108" s="24" t="str">
        <f aca="false">IF(OR(G108="",G108="なし",CE108="",CF108=0),"―",IF(CF108=CE108,"前月同額",IF(CE108=0,"―",IF(ABS(CF108/CE108-1)&gt;=設定!$B$5,"変動大 "&amp;TEXT(CF108/CE108-1,"+0%;-0%"),"〇"))))</f>
        <v>〇</v>
      </c>
      <c r="F108" s="10" t="str">
        <f aca="false">IF(OR(G108="",G108="なし"),"―",IF(CF108=0,"入金不要",IF(COUNT(Z108,AB108,AD108,AF108)=0,IF(AG108="○","手動確認","未入金"),IF(AND(N(Z108)=Y108,IF(AA108="",TRUE(),N(AB108)=AA108),IF(AC108="",TRUE(),N(AD108)=AC108),IF(AE108="",TRUE(),N(AF108)=AE108)),"一致","不一致"))))</f>
        <v>手動確認</v>
      </c>
      <c r="G108" s="25" t="s">
        <v>159</v>
      </c>
      <c r="H108" s="26"/>
      <c r="I108" s="27"/>
      <c r="J108" s="27"/>
      <c r="K108" s="27"/>
      <c r="L108" s="27" t="n">
        <v>22336980</v>
      </c>
      <c r="M108" s="27" t="n">
        <v>1830900</v>
      </c>
      <c r="N108" s="27" t="n">
        <v>32242155</v>
      </c>
      <c r="O108" s="27" t="n">
        <v>1830900</v>
      </c>
      <c r="P108" s="27" t="n">
        <v>21567</v>
      </c>
      <c r="Q108" s="27" t="n">
        <v>13344367</v>
      </c>
      <c r="R108" s="27" t="n">
        <v>13572074</v>
      </c>
      <c r="S108" s="27" t="n">
        <v>1346476</v>
      </c>
      <c r="T108" s="27" t="n">
        <v>1346476</v>
      </c>
      <c r="U108" s="27" t="n">
        <v>295823</v>
      </c>
      <c r="V108" s="27" t="n">
        <v>295914</v>
      </c>
      <c r="W108" s="10" t="str">
        <f aca="false">IFERROR(INDEX(設定!$E$61:$E$106,MATCH(B108,設定!$B$61:$B$106,0)),"合算")</f>
        <v>合算</v>
      </c>
      <c r="X108" s="28"/>
      <c r="Y108" s="29" t="n">
        <f aca="false">IF(OR(G108="",G108="なし"),"",IF(W108="合算",CF108,IF(W108="掛金・負担金別",(AU108+AV108+AZ108+BB108+BD108),SUM(AU108:AY108))))</f>
        <v>88463632</v>
      </c>
      <c r="Z108" s="27"/>
      <c r="AA108" s="29" t="str">
        <f aca="false">IF(OR(G108="",G108="なし"),"",IF(W108="掛金・負担金別",(AW108+AX108+AY108+BA108+BC108+BE108),IF(W108="経理区分別",AZ108+BA108,"")))</f>
        <v/>
      </c>
      <c r="AB108" s="27"/>
      <c r="AC108" s="29" t="str">
        <f aca="false">IF(OR(G108="",G108="なし"),"",IF(W108="経理区分別",BB108+BC108,""))</f>
        <v/>
      </c>
      <c r="AD108" s="27"/>
      <c r="AE108" s="29" t="str">
        <f aca="false">IF(OR(G108="",G108="なし"),"",IF(W108="経理区分別",BD108+BE108,""))</f>
        <v/>
      </c>
      <c r="AF108" s="27"/>
      <c r="AG108" s="26" t="s">
        <v>160</v>
      </c>
      <c r="AH108" s="26"/>
      <c r="AI108" s="30"/>
      <c r="AJ108" s="31"/>
      <c r="AK108" s="31"/>
      <c r="AL108" s="31"/>
      <c r="AM108" s="31"/>
      <c r="AN108" s="31"/>
      <c r="AO108" s="31"/>
      <c r="AP108" s="31"/>
      <c r="AQ108" s="31"/>
      <c r="AR108" s="31"/>
      <c r="AS108" s="31"/>
      <c r="AT108" s="31"/>
      <c r="AU108" s="31" t="n">
        <f aca="false">IF($G108="",AJ108,L108)</f>
        <v>22336980</v>
      </c>
      <c r="AV108" s="31" t="n">
        <f aca="false">IF($G108="",AK108,M108)</f>
        <v>1830900</v>
      </c>
      <c r="AW108" s="31" t="n">
        <f aca="false">IF($G108="",AL108,N108)</f>
        <v>32242155</v>
      </c>
      <c r="AX108" s="31" t="n">
        <f aca="false">IF($G108="",AM108,O108)</f>
        <v>1830900</v>
      </c>
      <c r="AY108" s="31" t="n">
        <f aca="false">IF($G108="",AN108,P108)</f>
        <v>21567</v>
      </c>
      <c r="AZ108" s="31" t="n">
        <f aca="false">IF($G108="",AO108,Q108)</f>
        <v>13344367</v>
      </c>
      <c r="BA108" s="31" t="n">
        <f aca="false">IF($G108="",AP108,R108)</f>
        <v>13572074</v>
      </c>
      <c r="BB108" s="31" t="n">
        <f aca="false">IF($G108="",AQ108,S108)</f>
        <v>1346476</v>
      </c>
      <c r="BC108" s="31" t="n">
        <f aca="false">IF($G108="",AR108,T108)</f>
        <v>1346476</v>
      </c>
      <c r="BD108" s="31" t="n">
        <f aca="false">IF($G108="",AS108,U108)</f>
        <v>295823</v>
      </c>
      <c r="BE108" s="31" t="n">
        <f aca="false">IF($G108="",AT108,V108)</f>
        <v>295914</v>
      </c>
      <c r="BF108" s="31" t="n">
        <f aca="false">ROUNDDOWN(I108*設定!$B$10/1000,0)+ROUNDDOWN(I108*設定!$B$11/1000,0)</f>
        <v>0</v>
      </c>
      <c r="BG108" s="31" t="n">
        <f aca="false">ROUNDDOWN(I108*設定!$C$10/1000,0)+ROUNDDOWN(I108*設定!$C$11/1000,0)+ROUNDDOWN(I108*設定!$C$12/1000,0)</f>
        <v>0</v>
      </c>
      <c r="BH108" s="31" t="n">
        <f aca="false">ROUNDDOWN(J108*設定!$B$13/1000,0)</f>
        <v>0</v>
      </c>
      <c r="BI108" s="31" t="n">
        <f aca="false">ROUNDDOWN(J108*設定!$C$13/1000,0)</f>
        <v>0</v>
      </c>
      <c r="BJ108" s="31" t="n">
        <f aca="false">ROUNDDOWN(K108*設定!$B$14/1000,0)</f>
        <v>0</v>
      </c>
      <c r="BK108" s="31" t="n">
        <f aca="false">ROUNDDOWN(K108*設定!$C$14/1000,0)</f>
        <v>0</v>
      </c>
      <c r="BL108" s="31" t="n">
        <f aca="false">ROUNDDOWN(J108*設定!$B$15/1000,0)</f>
        <v>0</v>
      </c>
      <c r="BM108" s="31" t="n">
        <f aca="false">ROUNDDOWN(J108*設定!$C$15/1000,0)</f>
        <v>0</v>
      </c>
      <c r="BN108" s="31" t="n">
        <f aca="false">L108+M108</f>
        <v>24167880</v>
      </c>
      <c r="BO108" s="31" t="n">
        <f aca="false">N108+O108+P108</f>
        <v>34094622</v>
      </c>
      <c r="BP108" s="31" t="n">
        <f aca="false">Q108</f>
        <v>13344367</v>
      </c>
      <c r="BQ108" s="31" t="n">
        <f aca="false">R108</f>
        <v>13572074</v>
      </c>
      <c r="BR108" s="31" t="n">
        <f aca="false">S108</f>
        <v>1346476</v>
      </c>
      <c r="BS108" s="31" t="n">
        <f aca="false">T108</f>
        <v>1346476</v>
      </c>
      <c r="BT108" s="31" t="n">
        <f aca="false">U108</f>
        <v>295823</v>
      </c>
      <c r="BU108" s="31" t="n">
        <f aca="false">V108</f>
        <v>295914</v>
      </c>
      <c r="BV108" s="32" t="n">
        <f aca="false">IF(BF108=0,IF(BN108=0,0,1),(BN108-BF108)/BF108)</f>
        <v>1</v>
      </c>
      <c r="BW108" s="32" t="n">
        <f aca="false">IF(BG108=0,IF(BO108=0,0,1),(BO108-BG108)/BG108)</f>
        <v>1</v>
      </c>
      <c r="BX108" s="32" t="n">
        <f aca="false">IF(BH108=0,IF(BP108=0,0,1),(BP108-BH108)/BH108)</f>
        <v>1</v>
      </c>
      <c r="BY108" s="32" t="n">
        <f aca="false">IF(BI108=0,IF(BQ108=0,0,1),(BQ108-BI108)/BI108)</f>
        <v>1</v>
      </c>
      <c r="BZ108" s="32" t="n">
        <f aca="false">IF(BJ108=0,IF(BR108=0,0,1),(BR108-BJ108)/BJ108)</f>
        <v>1</v>
      </c>
      <c r="CA108" s="32" t="n">
        <f aca="false">IF(BK108=0,IF(BS108=0,0,1),(BS108-BK108)/BK108)</f>
        <v>1</v>
      </c>
      <c r="CB108" s="32" t="n">
        <f aca="false">IF(BL108=0,IF(BT108=0,0,1),(BT108-BL108)/BL108)</f>
        <v>1</v>
      </c>
      <c r="CC108" s="32" t="n">
        <f aca="false">IF(BM108=0,IF(BU108=0,0,1),(BU108-BM108)/BM108)</f>
        <v>1</v>
      </c>
      <c r="CD108" s="32" t="n">
        <f aca="false">MAX(MAX(BV108:CC108),-MIN(BV108:CC108))</f>
        <v>1</v>
      </c>
      <c r="CE108" s="31" t="n">
        <f aca="false">IF(CI108="","",SUMIFS($CF$7:$CF$696,$A$7:$A$696,CI108,$B$7:$B$696,B108))</f>
        <v>88618802</v>
      </c>
      <c r="CF108" s="31" t="n">
        <f aca="false">SUM(AU108:BE108)</f>
        <v>88463632</v>
      </c>
      <c r="CG108" s="33" t="str">
        <f aca="false">A108&amp;"|"&amp;B108</f>
        <v>2026-06 月例|水道局</v>
      </c>
      <c r="CH108" s="34" t="str">
        <f aca="false">IFERROR(INDEX(設定!$D$61:$D$106,MATCH(B108,設定!$B$61:$B$106,0)),"Y")</f>
        <v>N</v>
      </c>
      <c r="CI108" s="34" t="str">
        <f aca="false">IFERROR(INDEX(設定!$D$20:$D$34,MATCH(A108,設定!$A$20:$A$34,0))&amp;"","")</f>
        <v>2026-05 月例</v>
      </c>
    </row>
    <row r="109" customFormat="false" ht="15" hidden="true" customHeight="false" outlineLevel="0" collapsed="false">
      <c r="A109" s="22" t="s">
        <v>209</v>
      </c>
      <c r="B109" s="23" t="s">
        <v>170</v>
      </c>
      <c r="C109" s="10" t="str">
        <f aca="false">IF(G109="","未受領",IF(G109="なし","報告なし",IF(AH109="○","起票済",IF(OR(AG109="○",F109="一致",F109="入金不要"),"入金確認済","受領済"))))</f>
        <v>入金確認済</v>
      </c>
      <c r="D109" s="10" t="str">
        <f aca="false">IF(OR(G109="",G109="なし"),"―",IF(CH109="N","対象外",IF(AND(I109="",J109="",K109=""),"標報未入力",IF(CD109&gt;=設定!$B$4,"要確認","問題なし"))))</f>
        <v>標報未入力</v>
      </c>
      <c r="E109" s="24" t="str">
        <f aca="false">IF(OR(G109="",G109="なし",CE109="",CF109=0),"―",IF(CF109=CE109,"前月同額",IF(CE109=0,"―",IF(ABS(CF109/CE109-1)&gt;=設定!$B$5,"変動大 "&amp;TEXT(CF109/CE109-1,"+0%;-0%"),"〇"))))</f>
        <v>前月同額</v>
      </c>
      <c r="F109" s="10" t="str">
        <f aca="false">IF(OR(G109="",G109="なし"),"―",IF(CF109=0,"入金不要",IF(COUNT(Z109,AB109,AD109,AF109)=0,IF(AG109="○","手動確認","未入金"),IF(AND(N(Z109)=Y109,IF(AA109="",TRUE(),N(AB109)=AA109),IF(AC109="",TRUE(),N(AD109)=AC109),IF(AE109="",TRUE(),N(AF109)=AE109)),"一致","不一致"))))</f>
        <v>手動確認</v>
      </c>
      <c r="G109" s="25" t="s">
        <v>159</v>
      </c>
      <c r="H109" s="26"/>
      <c r="I109" s="27"/>
      <c r="J109" s="27"/>
      <c r="K109" s="27"/>
      <c r="L109" s="27" t="n">
        <v>48495</v>
      </c>
      <c r="M109" s="27" t="n">
        <v>3975</v>
      </c>
      <c r="N109" s="27" t="n">
        <v>69642</v>
      </c>
      <c r="O109" s="27" t="n">
        <v>3975</v>
      </c>
      <c r="P109" s="27" t="n">
        <v>46</v>
      </c>
      <c r="Q109" s="27" t="n">
        <v>27485</v>
      </c>
      <c r="R109" s="27" t="n">
        <v>27946</v>
      </c>
      <c r="S109" s="27" t="n">
        <v>4187</v>
      </c>
      <c r="T109" s="27" t="n">
        <v>4187</v>
      </c>
      <c r="U109" s="27" t="n">
        <v>609</v>
      </c>
      <c r="V109" s="27" t="n">
        <v>609</v>
      </c>
      <c r="W109" s="10" t="str">
        <f aca="false">IFERROR(INDEX(設定!$E$61:$E$106,MATCH(B109,設定!$B$61:$B$106,0)),"合算")</f>
        <v>合算</v>
      </c>
      <c r="X109" s="28"/>
      <c r="Y109" s="29" t="n">
        <f aca="false">IF(OR(G109="",G109="なし"),"",IF(W109="合算",CF109,IF(W109="掛金・負担金別",(AU109+AV109+AZ109+BB109+BD109),SUM(AU109:AY109))))</f>
        <v>191156</v>
      </c>
      <c r="Z109" s="27"/>
      <c r="AA109" s="29" t="str">
        <f aca="false">IF(OR(G109="",G109="なし"),"",IF(W109="掛金・負担金別",(AW109+AX109+AY109+BA109+BC109+BE109),IF(W109="経理区分別",AZ109+BA109,"")))</f>
        <v/>
      </c>
      <c r="AB109" s="27"/>
      <c r="AC109" s="29" t="str">
        <f aca="false">IF(OR(G109="",G109="なし"),"",IF(W109="経理区分別",BB109+BC109,""))</f>
        <v/>
      </c>
      <c r="AD109" s="27"/>
      <c r="AE109" s="29" t="str">
        <f aca="false">IF(OR(G109="",G109="なし"),"",IF(W109="経理区分別",BD109+BE109,""))</f>
        <v/>
      </c>
      <c r="AF109" s="27"/>
      <c r="AG109" s="26" t="s">
        <v>160</v>
      </c>
      <c r="AH109" s="26"/>
      <c r="AI109" s="30"/>
      <c r="AJ109" s="31"/>
      <c r="AK109" s="31"/>
      <c r="AL109" s="31"/>
      <c r="AM109" s="31"/>
      <c r="AN109" s="31"/>
      <c r="AO109" s="31"/>
      <c r="AP109" s="31"/>
      <c r="AQ109" s="31"/>
      <c r="AR109" s="31"/>
      <c r="AS109" s="31"/>
      <c r="AT109" s="31"/>
      <c r="AU109" s="31" t="n">
        <f aca="false">IF($G109="",AJ109,L109)</f>
        <v>48495</v>
      </c>
      <c r="AV109" s="31" t="n">
        <f aca="false">IF($G109="",AK109,M109)</f>
        <v>3975</v>
      </c>
      <c r="AW109" s="31" t="n">
        <f aca="false">IF($G109="",AL109,N109)</f>
        <v>69642</v>
      </c>
      <c r="AX109" s="31" t="n">
        <f aca="false">IF($G109="",AM109,O109)</f>
        <v>3975</v>
      </c>
      <c r="AY109" s="31" t="n">
        <f aca="false">IF($G109="",AN109,P109)</f>
        <v>46</v>
      </c>
      <c r="AZ109" s="31" t="n">
        <f aca="false">IF($G109="",AO109,Q109)</f>
        <v>27485</v>
      </c>
      <c r="BA109" s="31" t="n">
        <f aca="false">IF($G109="",AP109,R109)</f>
        <v>27946</v>
      </c>
      <c r="BB109" s="31" t="n">
        <f aca="false">IF($G109="",AQ109,S109)</f>
        <v>4187</v>
      </c>
      <c r="BC109" s="31" t="n">
        <f aca="false">IF($G109="",AR109,T109)</f>
        <v>4187</v>
      </c>
      <c r="BD109" s="31" t="n">
        <f aca="false">IF($G109="",AS109,U109)</f>
        <v>609</v>
      </c>
      <c r="BE109" s="31" t="n">
        <f aca="false">IF($G109="",AT109,V109)</f>
        <v>609</v>
      </c>
      <c r="BF109" s="31" t="n">
        <f aca="false">ROUNDDOWN(I109*設定!$B$10/1000,0)+ROUNDDOWN(I109*設定!$B$11/1000,0)</f>
        <v>0</v>
      </c>
      <c r="BG109" s="31" t="n">
        <f aca="false">ROUNDDOWN(I109*設定!$C$10/1000,0)+ROUNDDOWN(I109*設定!$C$11/1000,0)+ROUNDDOWN(I109*設定!$C$12/1000,0)</f>
        <v>0</v>
      </c>
      <c r="BH109" s="31" t="n">
        <f aca="false">ROUNDDOWN(J109*設定!$B$13/1000,0)</f>
        <v>0</v>
      </c>
      <c r="BI109" s="31" t="n">
        <f aca="false">ROUNDDOWN(J109*設定!$C$13/1000,0)</f>
        <v>0</v>
      </c>
      <c r="BJ109" s="31" t="n">
        <f aca="false">ROUNDDOWN(K109*設定!$B$14/1000,0)</f>
        <v>0</v>
      </c>
      <c r="BK109" s="31" t="n">
        <f aca="false">ROUNDDOWN(K109*設定!$C$14/1000,0)</f>
        <v>0</v>
      </c>
      <c r="BL109" s="31" t="n">
        <f aca="false">ROUNDDOWN(J109*設定!$B$15/1000,0)</f>
        <v>0</v>
      </c>
      <c r="BM109" s="31" t="n">
        <f aca="false">ROUNDDOWN(J109*設定!$C$15/1000,0)</f>
        <v>0</v>
      </c>
      <c r="BN109" s="31" t="n">
        <f aca="false">L109+M109</f>
        <v>52470</v>
      </c>
      <c r="BO109" s="31" t="n">
        <f aca="false">N109+O109+P109</f>
        <v>73663</v>
      </c>
      <c r="BP109" s="31" t="n">
        <f aca="false">Q109</f>
        <v>27485</v>
      </c>
      <c r="BQ109" s="31" t="n">
        <f aca="false">R109</f>
        <v>27946</v>
      </c>
      <c r="BR109" s="31" t="n">
        <f aca="false">S109</f>
        <v>4187</v>
      </c>
      <c r="BS109" s="31" t="n">
        <f aca="false">T109</f>
        <v>4187</v>
      </c>
      <c r="BT109" s="31" t="n">
        <f aca="false">U109</f>
        <v>609</v>
      </c>
      <c r="BU109" s="31" t="n">
        <f aca="false">V109</f>
        <v>609</v>
      </c>
      <c r="BV109" s="32" t="n">
        <f aca="false">IF(BF109=0,IF(BN109=0,0,1),(BN109-BF109)/BF109)</f>
        <v>1</v>
      </c>
      <c r="BW109" s="32" t="n">
        <f aca="false">IF(BG109=0,IF(BO109=0,0,1),(BO109-BG109)/BG109)</f>
        <v>1</v>
      </c>
      <c r="BX109" s="32" t="n">
        <f aca="false">IF(BH109=0,IF(BP109=0,0,1),(BP109-BH109)/BH109)</f>
        <v>1</v>
      </c>
      <c r="BY109" s="32" t="n">
        <f aca="false">IF(BI109=0,IF(BQ109=0,0,1),(BQ109-BI109)/BI109)</f>
        <v>1</v>
      </c>
      <c r="BZ109" s="32" t="n">
        <f aca="false">IF(BJ109=0,IF(BR109=0,0,1),(BR109-BJ109)/BJ109)</f>
        <v>1</v>
      </c>
      <c r="CA109" s="32" t="n">
        <f aca="false">IF(BK109=0,IF(BS109=0,0,1),(BS109-BK109)/BK109)</f>
        <v>1</v>
      </c>
      <c r="CB109" s="32" t="n">
        <f aca="false">IF(BL109=0,IF(BT109=0,0,1),(BT109-BL109)/BL109)</f>
        <v>1</v>
      </c>
      <c r="CC109" s="32" t="n">
        <f aca="false">IF(BM109=0,IF(BU109=0,0,1),(BU109-BM109)/BM109)</f>
        <v>1</v>
      </c>
      <c r="CD109" s="32" t="n">
        <f aca="false">MAX(MAX(BV109:CC109),-MIN(BV109:CC109))</f>
        <v>1</v>
      </c>
      <c r="CE109" s="31" t="n">
        <f aca="false">IF(CI109="","",SUMIFS($CF$7:$CF$696,$A$7:$A$696,CI109,$B$7:$B$696,B109))</f>
        <v>191156</v>
      </c>
      <c r="CF109" s="31" t="n">
        <f aca="false">SUM(AU109:BE109)</f>
        <v>191156</v>
      </c>
      <c r="CG109" s="33" t="str">
        <f aca="false">A109&amp;"|"&amp;B109</f>
        <v>2026-06 月例|医療政策課(安芸市民)</v>
      </c>
      <c r="CH109" s="34" t="str">
        <f aca="false">IFERROR(INDEX(設定!$D$61:$D$106,MATCH(B109,設定!$B$61:$B$106,0)),"Y")</f>
        <v>Y</v>
      </c>
      <c r="CI109" s="34" t="str">
        <f aca="false">IFERROR(INDEX(設定!$D$20:$D$34,MATCH(A109,設定!$A$20:$A$34,0))&amp;"","")</f>
        <v>2026-05 月例</v>
      </c>
    </row>
    <row r="110" customFormat="false" ht="15" hidden="true" customHeight="false" outlineLevel="0" collapsed="false">
      <c r="A110" s="22" t="s">
        <v>209</v>
      </c>
      <c r="B110" s="23" t="s">
        <v>171</v>
      </c>
      <c r="C110" s="10" t="str">
        <f aca="false">IF(G110="","未受領",IF(G110="なし","報告なし",IF(AH110="○","起票済",IF(OR(AG110="○",F110="一致",F110="入金不要"),"入金確認済","受領済"))))</f>
        <v>入金確認済</v>
      </c>
      <c r="D110" s="10" t="str">
        <f aca="false">IF(OR(G110="",G110="なし"),"―",IF(CH110="N","対象外",IF(AND(I110="",J110="",K110=""),"標報未入力",IF(CD110&gt;=設定!$B$4,"要確認","問題なし"))))</f>
        <v>標報未入力</v>
      </c>
      <c r="E110" s="24" t="str">
        <f aca="false">IF(OR(G110="",G110="なし",CE110="",CF110=0),"―",IF(CF110=CE110,"前月同額",IF(CE110=0,"―",IF(ABS(CF110/CE110-1)&gt;=設定!$B$5,"変動大 "&amp;TEXT(CF110/CE110-1,"+0%;-0%"),"〇"))))</f>
        <v>変動大 -11%</v>
      </c>
      <c r="F110" s="10" t="str">
        <f aca="false">IF(OR(G110="",G110="なし"),"―",IF(CF110=0,"入金不要",IF(COUNT(Z110,AB110,AD110,AF110)=0,IF(AG110="○","手動確認","未入金"),IF(AND(N(Z110)=Y110,IF(AA110="",TRUE(),N(AB110)=AA110),IF(AC110="",TRUE(),N(AD110)=AC110),IF(AE110="",TRUE(),N(AF110)=AE110)),"一致","不一致"))))</f>
        <v>手動確認</v>
      </c>
      <c r="G110" s="25" t="s">
        <v>159</v>
      </c>
      <c r="H110" s="26"/>
      <c r="I110" s="27"/>
      <c r="J110" s="27"/>
      <c r="K110" s="27"/>
      <c r="L110" s="27" t="n">
        <v>0</v>
      </c>
      <c r="M110" s="27" t="n">
        <v>0</v>
      </c>
      <c r="N110" s="27"/>
      <c r="O110" s="27"/>
      <c r="P110" s="27" t="n">
        <v>0</v>
      </c>
      <c r="Q110" s="27" t="n">
        <v>277437</v>
      </c>
      <c r="R110" s="27" t="n">
        <v>282103</v>
      </c>
      <c r="S110" s="27" t="n">
        <v>14378</v>
      </c>
      <c r="T110" s="27" t="n">
        <v>14378</v>
      </c>
      <c r="U110" s="27" t="n">
        <v>6149</v>
      </c>
      <c r="V110" s="27" t="n">
        <v>6152</v>
      </c>
      <c r="W110" s="10" t="str">
        <f aca="false">IFERROR(INDEX(設定!$E$61:$E$106,MATCH(B110,設定!$B$61:$B$106,0)),"合算")</f>
        <v>合算</v>
      </c>
      <c r="X110" s="28"/>
      <c r="Y110" s="29" t="n">
        <f aca="false">IF(OR(G110="",G110="なし"),"",IF(W110="合算",CF110,IF(W110="掛金・負担金別",(AU110+AV110+AZ110+BB110+BD110),SUM(AU110:AY110))))</f>
        <v>600597</v>
      </c>
      <c r="Z110" s="27"/>
      <c r="AA110" s="29" t="str">
        <f aca="false">IF(OR(G110="",G110="なし"),"",IF(W110="掛金・負担金別",(AW110+AX110+AY110+BA110+BC110+BE110),IF(W110="経理区分別",AZ110+BA110,"")))</f>
        <v/>
      </c>
      <c r="AB110" s="27"/>
      <c r="AC110" s="29" t="str">
        <f aca="false">IF(OR(G110="",G110="なし"),"",IF(W110="経理区分別",BB110+BC110,""))</f>
        <v/>
      </c>
      <c r="AD110" s="27"/>
      <c r="AE110" s="29" t="str">
        <f aca="false">IF(OR(G110="",G110="なし"),"",IF(W110="経理区分別",BD110+BE110,""))</f>
        <v/>
      </c>
      <c r="AF110" s="27"/>
      <c r="AG110" s="26" t="s">
        <v>160</v>
      </c>
      <c r="AH110" s="26"/>
      <c r="AI110" s="30"/>
      <c r="AJ110" s="31"/>
      <c r="AK110" s="31"/>
      <c r="AL110" s="31"/>
      <c r="AM110" s="31"/>
      <c r="AN110" s="31"/>
      <c r="AO110" s="31"/>
      <c r="AP110" s="31"/>
      <c r="AQ110" s="31"/>
      <c r="AR110" s="31"/>
      <c r="AS110" s="31"/>
      <c r="AT110" s="31"/>
      <c r="AU110" s="31" t="n">
        <f aca="false">IF($G110="",AJ110,L110)</f>
        <v>0</v>
      </c>
      <c r="AV110" s="31" t="n">
        <f aca="false">IF($G110="",AK110,M110)</f>
        <v>0</v>
      </c>
      <c r="AW110" s="31" t="n">
        <f aca="false">IF($G110="",AL110,N110)</f>
        <v>0</v>
      </c>
      <c r="AX110" s="31" t="n">
        <f aca="false">IF($G110="",AM110,O110)</f>
        <v>0</v>
      </c>
      <c r="AY110" s="31" t="n">
        <f aca="false">IF($G110="",AN110,P110)</f>
        <v>0</v>
      </c>
      <c r="AZ110" s="31" t="n">
        <f aca="false">IF($G110="",AO110,Q110)</f>
        <v>277437</v>
      </c>
      <c r="BA110" s="31" t="n">
        <f aca="false">IF($G110="",AP110,R110)</f>
        <v>282103</v>
      </c>
      <c r="BB110" s="31" t="n">
        <f aca="false">IF($G110="",AQ110,S110)</f>
        <v>14378</v>
      </c>
      <c r="BC110" s="31" t="n">
        <f aca="false">IF($G110="",AR110,T110)</f>
        <v>14378</v>
      </c>
      <c r="BD110" s="31" t="n">
        <f aca="false">IF($G110="",AS110,U110)</f>
        <v>6149</v>
      </c>
      <c r="BE110" s="31" t="n">
        <f aca="false">IF($G110="",AT110,V110)</f>
        <v>6152</v>
      </c>
      <c r="BF110" s="31" t="n">
        <f aca="false">ROUNDDOWN(I110*設定!$B$10/1000,0)+ROUNDDOWN(I110*設定!$B$11/1000,0)</f>
        <v>0</v>
      </c>
      <c r="BG110" s="31" t="n">
        <f aca="false">ROUNDDOWN(I110*設定!$C$10/1000,0)+ROUNDDOWN(I110*設定!$C$11/1000,0)+ROUNDDOWN(I110*設定!$C$12/1000,0)</f>
        <v>0</v>
      </c>
      <c r="BH110" s="31" t="n">
        <f aca="false">ROUNDDOWN(J110*設定!$B$13/1000,0)</f>
        <v>0</v>
      </c>
      <c r="BI110" s="31" t="n">
        <f aca="false">ROUNDDOWN(J110*設定!$C$13/1000,0)</f>
        <v>0</v>
      </c>
      <c r="BJ110" s="31" t="n">
        <f aca="false">ROUNDDOWN(K110*設定!$B$14/1000,0)</f>
        <v>0</v>
      </c>
      <c r="BK110" s="31" t="n">
        <f aca="false">ROUNDDOWN(K110*設定!$C$14/1000,0)</f>
        <v>0</v>
      </c>
      <c r="BL110" s="31" t="n">
        <f aca="false">ROUNDDOWN(J110*設定!$B$15/1000,0)</f>
        <v>0</v>
      </c>
      <c r="BM110" s="31" t="n">
        <f aca="false">ROUNDDOWN(J110*設定!$C$15/1000,0)</f>
        <v>0</v>
      </c>
      <c r="BN110" s="31" t="n">
        <f aca="false">L110+M110</f>
        <v>0</v>
      </c>
      <c r="BO110" s="31" t="n">
        <f aca="false">N110+O110+P110</f>
        <v>0</v>
      </c>
      <c r="BP110" s="31" t="n">
        <f aca="false">Q110</f>
        <v>277437</v>
      </c>
      <c r="BQ110" s="31" t="n">
        <f aca="false">R110</f>
        <v>282103</v>
      </c>
      <c r="BR110" s="31" t="n">
        <f aca="false">S110</f>
        <v>14378</v>
      </c>
      <c r="BS110" s="31" t="n">
        <f aca="false">T110</f>
        <v>14378</v>
      </c>
      <c r="BT110" s="31" t="n">
        <f aca="false">U110</f>
        <v>6149</v>
      </c>
      <c r="BU110" s="31" t="n">
        <f aca="false">V110</f>
        <v>6152</v>
      </c>
      <c r="BV110" s="32" t="n">
        <f aca="false">IF(BF110=0,IF(BN110=0,0,1),(BN110-BF110)/BF110)</f>
        <v>0</v>
      </c>
      <c r="BW110" s="32" t="n">
        <f aca="false">IF(BG110=0,IF(BO110=0,0,1),(BO110-BG110)/BG110)</f>
        <v>0</v>
      </c>
      <c r="BX110" s="32" t="n">
        <f aca="false">IF(BH110=0,IF(BP110=0,0,1),(BP110-BH110)/BH110)</f>
        <v>1</v>
      </c>
      <c r="BY110" s="32" t="n">
        <f aca="false">IF(BI110=0,IF(BQ110=0,0,1),(BQ110-BI110)/BI110)</f>
        <v>1</v>
      </c>
      <c r="BZ110" s="32" t="n">
        <f aca="false">IF(BJ110=0,IF(BR110=0,0,1),(BR110-BJ110)/BJ110)</f>
        <v>1</v>
      </c>
      <c r="CA110" s="32" t="n">
        <f aca="false">IF(BK110=0,IF(BS110=0,0,1),(BS110-BK110)/BK110)</f>
        <v>1</v>
      </c>
      <c r="CB110" s="32" t="n">
        <f aca="false">IF(BL110=0,IF(BT110=0,0,1),(BT110-BL110)/BL110)</f>
        <v>1</v>
      </c>
      <c r="CC110" s="32" t="n">
        <f aca="false">IF(BM110=0,IF(BU110=0,0,1),(BU110-BM110)/BM110)</f>
        <v>1</v>
      </c>
      <c r="CD110" s="32" t="n">
        <f aca="false">MAX(MAX(BV110:CC110),-MIN(BV110:CC110))</f>
        <v>1</v>
      </c>
      <c r="CE110" s="31" t="n">
        <f aca="false">IF(CI110="","",SUMIFS($CF$7:$CF$696,$A$7:$A$696,CI110,$B$7:$B$696,B110))</f>
        <v>676858</v>
      </c>
      <c r="CF110" s="31" t="n">
        <f aca="false">SUM(AU110:BE110)</f>
        <v>600597</v>
      </c>
      <c r="CG110" s="33" t="str">
        <f aca="false">A110&amp;"|"&amp;B110</f>
        <v>2026-06 月例|教育委員会（教育給与課）</v>
      </c>
      <c r="CH110" s="34" t="str">
        <f aca="false">IFERROR(INDEX(設定!$D$61:$D$106,MATCH(B110,設定!$B$61:$B$106,0)),"Y")</f>
        <v>Y</v>
      </c>
      <c r="CI110" s="34" t="str">
        <f aca="false">IFERROR(INDEX(設定!$D$20:$D$34,MATCH(A110,設定!$A$20:$A$34,0))&amp;"","")</f>
        <v>2026-05 月例</v>
      </c>
    </row>
    <row r="111" customFormat="false" ht="15" hidden="true" customHeight="false" outlineLevel="0" collapsed="false">
      <c r="A111" s="22" t="s">
        <v>209</v>
      </c>
      <c r="B111" s="23" t="s">
        <v>172</v>
      </c>
      <c r="C111" s="10" t="str">
        <f aca="false">IF(G111="","未受領",IF(G111="なし","報告なし",IF(AH111="○","起票済",IF(OR(AG111="○",F111="一致",F111="入金不要"),"入金確認済","受領済"))))</f>
        <v>報告なし</v>
      </c>
      <c r="D111" s="10" t="str">
        <f aca="false">IF(OR(G111="",G111="なし"),"―",IF(CH111="N","対象外",IF(AND(I111="",J111="",K111=""),"標報未入力",IF(CD111&gt;=設定!$B$4,"要確認","問題なし"))))</f>
        <v>―</v>
      </c>
      <c r="E111" s="24" t="str">
        <f aca="false">IF(OR(G111="",G111="なし",CE111="",CF111=0),"―",IF(CF111=CE111,"前月同額",IF(CE111=0,"―",IF(ABS(CF111/CE111-1)&gt;=設定!$B$5,"変動大 "&amp;TEXT(CF111/CE111-1,"+0%;-0%"),"〇"))))</f>
        <v>―</v>
      </c>
      <c r="F111" s="10" t="str">
        <f aca="false">IF(OR(G111="",G111="なし"),"―",IF(CF111=0,"入金不要",IF(COUNT(Z111,AB111,AD111,AF111)=0,IF(AG111="○","手動確認","未入金"),IF(AND(N(Z111)=Y111,IF(AA111="",TRUE(),N(AB111)=AA111),IF(AC111="",TRUE(),N(AD111)=AC111),IF(AE111="",TRUE(),N(AF111)=AE111)),"一致","不一致"))))</f>
        <v>―</v>
      </c>
      <c r="G111" s="25" t="s">
        <v>173</v>
      </c>
      <c r="H111" s="26"/>
      <c r="I111" s="27"/>
      <c r="J111" s="27"/>
      <c r="K111" s="27"/>
      <c r="L111" s="27"/>
      <c r="M111" s="27"/>
      <c r="N111" s="27"/>
      <c r="O111" s="27"/>
      <c r="P111" s="27"/>
      <c r="Q111" s="27"/>
      <c r="R111" s="27"/>
      <c r="S111" s="27"/>
      <c r="T111" s="27"/>
      <c r="U111" s="27"/>
      <c r="V111" s="27"/>
      <c r="W111" s="10" t="str">
        <f aca="false">IFERROR(INDEX(設定!$E$61:$E$106,MATCH(B111,設定!$B$61:$B$106,0)),"合算")</f>
        <v>合算</v>
      </c>
      <c r="X111" s="28"/>
      <c r="Y111" s="29" t="str">
        <f aca="false">IF(OR(G111="",G111="なし"),"",IF(W111="合算",CF111,IF(W111="掛金・負担金別",(AU111+AV111+AZ111+BB111+BD111),SUM(AU111:AY111))))</f>
        <v/>
      </c>
      <c r="Z111" s="27"/>
      <c r="AA111" s="29" t="str">
        <f aca="false">IF(OR(G111="",G111="なし"),"",IF(W111="掛金・負担金別",(AW111+AX111+AY111+BA111+BC111+BE111),IF(W111="経理区分別",AZ111+BA111,"")))</f>
        <v/>
      </c>
      <c r="AB111" s="27"/>
      <c r="AC111" s="29" t="str">
        <f aca="false">IF(OR(G111="",G111="なし"),"",IF(W111="経理区分別",BB111+BC111,""))</f>
        <v/>
      </c>
      <c r="AD111" s="27"/>
      <c r="AE111" s="29" t="str">
        <f aca="false">IF(OR(G111="",G111="なし"),"",IF(W111="経理区分別",BD111+BE111,""))</f>
        <v/>
      </c>
      <c r="AF111" s="27"/>
      <c r="AG111" s="26"/>
      <c r="AH111" s="26"/>
      <c r="AI111" s="30"/>
      <c r="AJ111" s="31"/>
      <c r="AK111" s="31"/>
      <c r="AL111" s="31"/>
      <c r="AM111" s="31"/>
      <c r="AN111" s="31"/>
      <c r="AO111" s="31"/>
      <c r="AP111" s="31"/>
      <c r="AQ111" s="31"/>
      <c r="AR111" s="31"/>
      <c r="AS111" s="31"/>
      <c r="AT111" s="31"/>
      <c r="AU111" s="31" t="n">
        <f aca="false">IF($G111="",AJ111,L111)</f>
        <v>0</v>
      </c>
      <c r="AV111" s="31" t="n">
        <f aca="false">IF($G111="",AK111,M111)</f>
        <v>0</v>
      </c>
      <c r="AW111" s="31" t="n">
        <f aca="false">IF($G111="",AL111,N111)</f>
        <v>0</v>
      </c>
      <c r="AX111" s="31" t="n">
        <f aca="false">IF($G111="",AM111,O111)</f>
        <v>0</v>
      </c>
      <c r="AY111" s="31" t="n">
        <f aca="false">IF($G111="",AN111,P111)</f>
        <v>0</v>
      </c>
      <c r="AZ111" s="31" t="n">
        <f aca="false">IF($G111="",AO111,Q111)</f>
        <v>0</v>
      </c>
      <c r="BA111" s="31" t="n">
        <f aca="false">IF($G111="",AP111,R111)</f>
        <v>0</v>
      </c>
      <c r="BB111" s="31" t="n">
        <f aca="false">IF($G111="",AQ111,S111)</f>
        <v>0</v>
      </c>
      <c r="BC111" s="31" t="n">
        <f aca="false">IF($G111="",AR111,T111)</f>
        <v>0</v>
      </c>
      <c r="BD111" s="31" t="n">
        <f aca="false">IF($G111="",AS111,U111)</f>
        <v>0</v>
      </c>
      <c r="BE111" s="31" t="n">
        <f aca="false">IF($G111="",AT111,V111)</f>
        <v>0</v>
      </c>
      <c r="BF111" s="31" t="n">
        <f aca="false">ROUNDDOWN(I111*設定!$B$10/1000,0)+ROUNDDOWN(I111*設定!$B$11/1000,0)</f>
        <v>0</v>
      </c>
      <c r="BG111" s="31" t="n">
        <f aca="false">ROUNDDOWN(I111*設定!$C$10/1000,0)+ROUNDDOWN(I111*設定!$C$11/1000,0)+ROUNDDOWN(I111*設定!$C$12/1000,0)</f>
        <v>0</v>
      </c>
      <c r="BH111" s="31" t="n">
        <f aca="false">ROUNDDOWN(J111*設定!$B$13/1000,0)</f>
        <v>0</v>
      </c>
      <c r="BI111" s="31" t="n">
        <f aca="false">ROUNDDOWN(J111*設定!$C$13/1000,0)</f>
        <v>0</v>
      </c>
      <c r="BJ111" s="31" t="n">
        <f aca="false">ROUNDDOWN(K111*設定!$B$14/1000,0)</f>
        <v>0</v>
      </c>
      <c r="BK111" s="31" t="n">
        <f aca="false">ROUNDDOWN(K111*設定!$C$14/1000,0)</f>
        <v>0</v>
      </c>
      <c r="BL111" s="31" t="n">
        <f aca="false">ROUNDDOWN(J111*設定!$B$15/1000,0)</f>
        <v>0</v>
      </c>
      <c r="BM111" s="31" t="n">
        <f aca="false">ROUNDDOWN(J111*設定!$C$15/1000,0)</f>
        <v>0</v>
      </c>
      <c r="BN111" s="31" t="n">
        <f aca="false">L111+M111</f>
        <v>0</v>
      </c>
      <c r="BO111" s="31" t="n">
        <f aca="false">N111+O111+P111</f>
        <v>0</v>
      </c>
      <c r="BP111" s="31" t="n">
        <f aca="false">Q111</f>
        <v>0</v>
      </c>
      <c r="BQ111" s="31" t="n">
        <f aca="false">R111</f>
        <v>0</v>
      </c>
      <c r="BR111" s="31" t="n">
        <f aca="false">S111</f>
        <v>0</v>
      </c>
      <c r="BS111" s="31" t="n">
        <f aca="false">T111</f>
        <v>0</v>
      </c>
      <c r="BT111" s="31" t="n">
        <f aca="false">U111</f>
        <v>0</v>
      </c>
      <c r="BU111" s="31" t="n">
        <f aca="false">V111</f>
        <v>0</v>
      </c>
      <c r="BV111" s="32" t="n">
        <f aca="false">IF(BF111=0,IF(BN111=0,0,1),(BN111-BF111)/BF111)</f>
        <v>0</v>
      </c>
      <c r="BW111" s="32" t="n">
        <f aca="false">IF(BG111=0,IF(BO111=0,0,1),(BO111-BG111)/BG111)</f>
        <v>0</v>
      </c>
      <c r="BX111" s="32" t="n">
        <f aca="false">IF(BH111=0,IF(BP111=0,0,1),(BP111-BH111)/BH111)</f>
        <v>0</v>
      </c>
      <c r="BY111" s="32" t="n">
        <f aca="false">IF(BI111=0,IF(BQ111=0,0,1),(BQ111-BI111)/BI111)</f>
        <v>0</v>
      </c>
      <c r="BZ111" s="32" t="n">
        <f aca="false">IF(BJ111=0,IF(BR111=0,0,1),(BR111-BJ111)/BJ111)</f>
        <v>0</v>
      </c>
      <c r="CA111" s="32" t="n">
        <f aca="false">IF(BK111=0,IF(BS111=0,0,1),(BS111-BK111)/BK111)</f>
        <v>0</v>
      </c>
      <c r="CB111" s="32" t="n">
        <f aca="false">IF(BL111=0,IF(BT111=0,0,1),(BT111-BL111)/BL111)</f>
        <v>0</v>
      </c>
      <c r="CC111" s="32" t="n">
        <f aca="false">IF(BM111=0,IF(BU111=0,0,1),(BU111-BM111)/BM111)</f>
        <v>0</v>
      </c>
      <c r="CD111" s="32" t="n">
        <f aca="false">MAX(MAX(BV111:CC111),-MIN(BV111:CC111))</f>
        <v>-0</v>
      </c>
      <c r="CE111" s="31" t="n">
        <f aca="false">IF(CI111="","",SUMIFS($CF$7:$CF$696,$A$7:$A$696,CI111,$B$7:$B$696,B111))</f>
        <v>0</v>
      </c>
      <c r="CF111" s="31" t="n">
        <f aca="false">SUM(AU111:BE111)</f>
        <v>0</v>
      </c>
      <c r="CG111" s="33" t="str">
        <f aca="false">A111&amp;"|"&amp;B111</f>
        <v>2026-06 月例|地方税共同機構</v>
      </c>
      <c r="CH111" s="34" t="str">
        <f aca="false">IFERROR(INDEX(設定!$D$61:$D$106,MATCH(B111,設定!$B$61:$B$106,0)),"Y")</f>
        <v>Y</v>
      </c>
      <c r="CI111" s="34" t="str">
        <f aca="false">IFERROR(INDEX(設定!$D$20:$D$34,MATCH(A111,設定!$A$20:$A$34,0))&amp;"","")</f>
        <v>2026-05 月例</v>
      </c>
    </row>
    <row r="112" customFormat="false" ht="15" hidden="true" customHeight="false" outlineLevel="0" collapsed="false">
      <c r="A112" s="22" t="s">
        <v>209</v>
      </c>
      <c r="B112" s="23" t="s">
        <v>174</v>
      </c>
      <c r="C112" s="10" t="str">
        <f aca="false">IF(G112="","未受領",IF(G112="なし","報告なし",IF(AH112="○","起票済",IF(OR(AG112="○",F112="一致",F112="入金不要"),"入金確認済","受領済"))))</f>
        <v>入金確認済</v>
      </c>
      <c r="D112" s="10" t="str">
        <f aca="false">IF(OR(G112="",G112="なし"),"―",IF(CH112="N","対象外",IF(AND(I112="",J112="",K112=""),"標報未入力",IF(CD112&gt;=設定!$B$4,"要確認","問題なし"))))</f>
        <v>標報未入力</v>
      </c>
      <c r="E112" s="24" t="str">
        <f aca="false">IF(OR(G112="",G112="なし",CE112="",CF112=0),"―",IF(CF112=CE112,"前月同額",IF(CE112=0,"―",IF(ABS(CF112/CE112-1)&gt;=設定!$B$5,"変動大 "&amp;TEXT(CF112/CE112-1,"+0%;-0%"),"〇"))))</f>
        <v>前月同額</v>
      </c>
      <c r="F112" s="10" t="str">
        <f aca="false">IF(OR(G112="",G112="なし"),"―",IF(CF112=0,"入金不要",IF(COUNT(Z112,AB112,AD112,AF112)=0,IF(AG112="○","手動確認","未入金"),IF(AND(N(Z112)=Y112,IF(AA112="",TRUE(),N(AB112)=AA112),IF(AC112="",TRUE(),N(AD112)=AC112),IF(AE112="",TRUE(),N(AF112)=AE112)),"一致","不一致"))))</f>
        <v>手動確認</v>
      </c>
      <c r="G112" s="25" t="s">
        <v>159</v>
      </c>
      <c r="H112" s="26"/>
      <c r="I112" s="27"/>
      <c r="J112" s="27"/>
      <c r="K112" s="27"/>
      <c r="L112" s="27" t="n">
        <v>0</v>
      </c>
      <c r="M112" s="27" t="n">
        <v>0</v>
      </c>
      <c r="N112" s="27" t="n">
        <v>765855</v>
      </c>
      <c r="O112" s="27" t="n">
        <v>62775</v>
      </c>
      <c r="P112" s="27" t="n">
        <v>789</v>
      </c>
      <c r="Q112" s="27" t="n">
        <v>0</v>
      </c>
      <c r="R112" s="27" t="n">
        <v>441236</v>
      </c>
      <c r="S112" s="27" t="n">
        <v>0</v>
      </c>
      <c r="T112" s="27" t="n">
        <v>54826</v>
      </c>
      <c r="U112" s="27" t="n">
        <v>0</v>
      </c>
      <c r="V112" s="27" t="n">
        <v>9775</v>
      </c>
      <c r="W112" s="10" t="str">
        <f aca="false">IFERROR(INDEX(設定!$E$61:$E$106,MATCH(B112,設定!$B$61:$B$106,0)),"合算")</f>
        <v>合算</v>
      </c>
      <c r="X112" s="28"/>
      <c r="Y112" s="29" t="n">
        <f aca="false">IF(OR(G112="",G112="なし"),"",IF(W112="合算",CF112,IF(W112="掛金・負担金別",(AU112+AV112+AZ112+BB112+BD112),SUM(AU112:AY112))))</f>
        <v>1335256</v>
      </c>
      <c r="Z112" s="27"/>
      <c r="AA112" s="29" t="str">
        <f aca="false">IF(OR(G112="",G112="なし"),"",IF(W112="掛金・負担金別",(AW112+AX112+AY112+BA112+BC112+BE112),IF(W112="経理区分別",AZ112+BA112,"")))</f>
        <v/>
      </c>
      <c r="AB112" s="27"/>
      <c r="AC112" s="29" t="str">
        <f aca="false">IF(OR(G112="",G112="なし"),"",IF(W112="経理区分別",BB112+BC112,""))</f>
        <v/>
      </c>
      <c r="AD112" s="27"/>
      <c r="AE112" s="29" t="str">
        <f aca="false">IF(OR(G112="",G112="なし"),"",IF(W112="経理区分別",BD112+BE112,""))</f>
        <v/>
      </c>
      <c r="AF112" s="27"/>
      <c r="AG112" s="26" t="s">
        <v>160</v>
      </c>
      <c r="AH112" s="26"/>
      <c r="AI112" s="30"/>
      <c r="AJ112" s="31"/>
      <c r="AK112" s="31"/>
      <c r="AL112" s="31"/>
      <c r="AM112" s="31"/>
      <c r="AN112" s="31"/>
      <c r="AO112" s="31"/>
      <c r="AP112" s="31"/>
      <c r="AQ112" s="31"/>
      <c r="AR112" s="31"/>
      <c r="AS112" s="31"/>
      <c r="AT112" s="31"/>
      <c r="AU112" s="31" t="n">
        <f aca="false">IF($G112="",AJ112,L112)</f>
        <v>0</v>
      </c>
      <c r="AV112" s="31" t="n">
        <f aca="false">IF($G112="",AK112,M112)</f>
        <v>0</v>
      </c>
      <c r="AW112" s="31" t="n">
        <f aca="false">IF($G112="",AL112,N112)</f>
        <v>765855</v>
      </c>
      <c r="AX112" s="31" t="n">
        <f aca="false">IF($G112="",AM112,O112)</f>
        <v>62775</v>
      </c>
      <c r="AY112" s="31" t="n">
        <f aca="false">IF($G112="",AN112,P112)</f>
        <v>789</v>
      </c>
      <c r="AZ112" s="31" t="n">
        <f aca="false">IF($G112="",AO112,Q112)</f>
        <v>0</v>
      </c>
      <c r="BA112" s="31" t="n">
        <f aca="false">IF($G112="",AP112,R112)</f>
        <v>441236</v>
      </c>
      <c r="BB112" s="31" t="n">
        <f aca="false">IF($G112="",AQ112,S112)</f>
        <v>0</v>
      </c>
      <c r="BC112" s="31" t="n">
        <f aca="false">IF($G112="",AR112,T112)</f>
        <v>54826</v>
      </c>
      <c r="BD112" s="31" t="n">
        <f aca="false">IF($G112="",AS112,U112)</f>
        <v>0</v>
      </c>
      <c r="BE112" s="31" t="n">
        <f aca="false">IF($G112="",AT112,V112)</f>
        <v>9775</v>
      </c>
      <c r="BF112" s="31" t="n">
        <f aca="false">ROUNDDOWN(I112*設定!$B$10/1000,0)+ROUNDDOWN(I112*設定!$B$11/1000,0)</f>
        <v>0</v>
      </c>
      <c r="BG112" s="31" t="n">
        <f aca="false">ROUNDDOWN(I112*設定!$C$10/1000,0)+ROUNDDOWN(I112*設定!$C$11/1000,0)+ROUNDDOWN(I112*設定!$C$12/1000,0)</f>
        <v>0</v>
      </c>
      <c r="BH112" s="31" t="n">
        <f aca="false">ROUNDDOWN(J112*設定!$B$13/1000,0)</f>
        <v>0</v>
      </c>
      <c r="BI112" s="31" t="n">
        <f aca="false">ROUNDDOWN(J112*設定!$C$13/1000,0)</f>
        <v>0</v>
      </c>
      <c r="BJ112" s="31" t="n">
        <f aca="false">ROUNDDOWN(K112*設定!$B$14/1000,0)</f>
        <v>0</v>
      </c>
      <c r="BK112" s="31" t="n">
        <f aca="false">ROUNDDOWN(K112*設定!$C$14/1000,0)</f>
        <v>0</v>
      </c>
      <c r="BL112" s="31" t="n">
        <f aca="false">ROUNDDOWN(J112*設定!$B$15/1000,0)</f>
        <v>0</v>
      </c>
      <c r="BM112" s="31" t="n">
        <f aca="false">ROUNDDOWN(J112*設定!$C$15/1000,0)</f>
        <v>0</v>
      </c>
      <c r="BN112" s="31" t="n">
        <f aca="false">L112+M112</f>
        <v>0</v>
      </c>
      <c r="BO112" s="31" t="n">
        <f aca="false">N112+O112+P112</f>
        <v>829419</v>
      </c>
      <c r="BP112" s="31" t="n">
        <f aca="false">Q112</f>
        <v>0</v>
      </c>
      <c r="BQ112" s="31" t="n">
        <f aca="false">R112</f>
        <v>441236</v>
      </c>
      <c r="BR112" s="31" t="n">
        <f aca="false">S112</f>
        <v>0</v>
      </c>
      <c r="BS112" s="31" t="n">
        <f aca="false">T112</f>
        <v>54826</v>
      </c>
      <c r="BT112" s="31" t="n">
        <f aca="false">U112</f>
        <v>0</v>
      </c>
      <c r="BU112" s="31" t="n">
        <f aca="false">V112</f>
        <v>9775</v>
      </c>
      <c r="BV112" s="32" t="n">
        <f aca="false">IF(BF112=0,IF(BN112=0,0,1),(BN112-BF112)/BF112)</f>
        <v>0</v>
      </c>
      <c r="BW112" s="32" t="n">
        <f aca="false">IF(BG112=0,IF(BO112=0,0,1),(BO112-BG112)/BG112)</f>
        <v>1</v>
      </c>
      <c r="BX112" s="32" t="n">
        <f aca="false">IF(BH112=0,IF(BP112=0,0,1),(BP112-BH112)/BH112)</f>
        <v>0</v>
      </c>
      <c r="BY112" s="32" t="n">
        <f aca="false">IF(BI112=0,IF(BQ112=0,0,1),(BQ112-BI112)/BI112)</f>
        <v>1</v>
      </c>
      <c r="BZ112" s="32" t="n">
        <f aca="false">IF(BJ112=0,IF(BR112=0,0,1),(BR112-BJ112)/BJ112)</f>
        <v>0</v>
      </c>
      <c r="CA112" s="32" t="n">
        <f aca="false">IF(BK112=0,IF(BS112=0,0,1),(BS112-BK112)/BK112)</f>
        <v>1</v>
      </c>
      <c r="CB112" s="32" t="n">
        <f aca="false">IF(BL112=0,IF(BT112=0,0,1),(BT112-BL112)/BL112)</f>
        <v>0</v>
      </c>
      <c r="CC112" s="32" t="n">
        <f aca="false">IF(BM112=0,IF(BU112=0,0,1),(BU112-BM112)/BM112)</f>
        <v>1</v>
      </c>
      <c r="CD112" s="32" t="n">
        <f aca="false">MAX(MAX(BV112:CC112),-MIN(BV112:CC112))</f>
        <v>1</v>
      </c>
      <c r="CE112" s="31" t="n">
        <f aca="false">IF(CI112="","",SUMIFS($CF$7:$CF$696,$A$7:$A$696,CI112,$B$7:$B$696,B112))</f>
        <v>1335256</v>
      </c>
      <c r="CF112" s="31" t="n">
        <f aca="false">SUM(AU112:BE112)</f>
        <v>1335256</v>
      </c>
      <c r="CG112" s="33" t="str">
        <f aca="false">A112&amp;"|"&amp;B112</f>
        <v>2026-06 月例|平和文化センター</v>
      </c>
      <c r="CH112" s="34" t="str">
        <f aca="false">IFERROR(INDEX(設定!$D$61:$D$106,MATCH(B112,設定!$B$61:$B$106,0)),"Y")</f>
        <v>Y</v>
      </c>
      <c r="CI112" s="34" t="str">
        <f aca="false">IFERROR(INDEX(設定!$D$20:$D$34,MATCH(A112,設定!$A$20:$A$34,0))&amp;"","")</f>
        <v>2026-05 月例</v>
      </c>
    </row>
    <row r="113" customFormat="false" ht="15" hidden="true" customHeight="false" outlineLevel="0" collapsed="false">
      <c r="A113" s="22" t="s">
        <v>209</v>
      </c>
      <c r="B113" s="23" t="s">
        <v>175</v>
      </c>
      <c r="C113" s="10" t="str">
        <f aca="false">IF(G113="","未受領",IF(G113="なし","報告なし",IF(AH113="○","起票済",IF(OR(AG113="○",F113="一致",F113="入金不要"),"入金確認済","受領済"))))</f>
        <v>入金確認済</v>
      </c>
      <c r="D113" s="10" t="str">
        <f aca="false">IF(OR(G113="",G113="なし"),"―",IF(CH113="N","対象外",IF(AND(I113="",J113="",K113=""),"標報未入力",IF(CD113&gt;=設定!$B$4,"要確認","問題なし"))))</f>
        <v>標報未入力</v>
      </c>
      <c r="E113" s="24" t="str">
        <f aca="false">IF(OR(G113="",G113="なし",CE113="",CF113=0),"―",IF(CF113=CE113,"前月同額",IF(CE113=0,"―",IF(ABS(CF113/CE113-1)&gt;=設定!$B$5,"変動大 "&amp;TEXT(CF113/CE113-1,"+0%;-0%"),"〇"))))</f>
        <v>〇</v>
      </c>
      <c r="F113" s="10" t="str">
        <f aca="false">IF(OR(G113="",G113="なし"),"―",IF(CF113=0,"入金不要",IF(COUNT(Z113,AB113,AD113,AF113)=0,IF(AG113="○","手動確認","未入金"),IF(AND(N(Z113)=Y113,IF(AA113="",TRUE(),N(AB113)=AA113),IF(AC113="",TRUE(),N(AD113)=AC113),IF(AE113="",TRUE(),N(AF113)=AE113)),"一致","不一致"))))</f>
        <v>手動確認</v>
      </c>
      <c r="G113" s="25" t="s">
        <v>159</v>
      </c>
      <c r="H113" s="26"/>
      <c r="I113" s="27"/>
      <c r="J113" s="27"/>
      <c r="K113" s="27"/>
      <c r="L113" s="27"/>
      <c r="M113" s="27"/>
      <c r="N113" s="27" t="n">
        <v>1990125</v>
      </c>
      <c r="O113" s="27" t="n">
        <v>163125</v>
      </c>
      <c r="P113" s="27" t="n">
        <v>1996</v>
      </c>
      <c r="Q113" s="27"/>
      <c r="R113" s="27" t="n">
        <v>1279122</v>
      </c>
      <c r="S113" s="27"/>
      <c r="T113" s="27" t="n">
        <v>141726</v>
      </c>
      <c r="U113" s="27"/>
      <c r="V113" s="27" t="n">
        <v>28333</v>
      </c>
      <c r="W113" s="10" t="str">
        <f aca="false">IFERROR(INDEX(設定!$E$61:$E$106,MATCH(B113,設定!$B$61:$B$106,0)),"合算")</f>
        <v>合算</v>
      </c>
      <c r="X113" s="28"/>
      <c r="Y113" s="29" t="n">
        <f aca="false">IF(OR(G113="",G113="なし"),"",IF(W113="合算",CF113,IF(W113="掛金・負担金別",(AU113+AV113+AZ113+BB113+BD113),SUM(AU113:AY113))))</f>
        <v>3604427</v>
      </c>
      <c r="Z113" s="27"/>
      <c r="AA113" s="29" t="str">
        <f aca="false">IF(OR(G113="",G113="なし"),"",IF(W113="掛金・負担金別",(AW113+AX113+AY113+BA113+BC113+BE113),IF(W113="経理区分別",AZ113+BA113,"")))</f>
        <v/>
      </c>
      <c r="AB113" s="27"/>
      <c r="AC113" s="29" t="str">
        <f aca="false">IF(OR(G113="",G113="なし"),"",IF(W113="経理区分別",BB113+BC113,""))</f>
        <v/>
      </c>
      <c r="AD113" s="27"/>
      <c r="AE113" s="29" t="str">
        <f aca="false">IF(OR(G113="",G113="なし"),"",IF(W113="経理区分別",BD113+BE113,""))</f>
        <v/>
      </c>
      <c r="AF113" s="27"/>
      <c r="AG113" s="26" t="s">
        <v>160</v>
      </c>
      <c r="AH113" s="26"/>
      <c r="AI113" s="30"/>
      <c r="AJ113" s="31"/>
      <c r="AK113" s="31"/>
      <c r="AL113" s="31"/>
      <c r="AM113" s="31"/>
      <c r="AN113" s="31"/>
      <c r="AO113" s="31"/>
      <c r="AP113" s="31"/>
      <c r="AQ113" s="31"/>
      <c r="AR113" s="31"/>
      <c r="AS113" s="31"/>
      <c r="AT113" s="31"/>
      <c r="AU113" s="31" t="n">
        <f aca="false">IF($G113="",AJ113,L113)</f>
        <v>0</v>
      </c>
      <c r="AV113" s="31" t="n">
        <f aca="false">IF($G113="",AK113,M113)</f>
        <v>0</v>
      </c>
      <c r="AW113" s="31" t="n">
        <f aca="false">IF($G113="",AL113,N113)</f>
        <v>1990125</v>
      </c>
      <c r="AX113" s="31" t="n">
        <f aca="false">IF($G113="",AM113,O113)</f>
        <v>163125</v>
      </c>
      <c r="AY113" s="31" t="n">
        <f aca="false">IF($G113="",AN113,P113)</f>
        <v>1996</v>
      </c>
      <c r="AZ113" s="31" t="n">
        <f aca="false">IF($G113="",AO113,Q113)</f>
        <v>0</v>
      </c>
      <c r="BA113" s="31" t="n">
        <f aca="false">IF($G113="",AP113,R113)</f>
        <v>1279122</v>
      </c>
      <c r="BB113" s="31" t="n">
        <f aca="false">IF($G113="",AQ113,S113)</f>
        <v>0</v>
      </c>
      <c r="BC113" s="31" t="n">
        <f aca="false">IF($G113="",AR113,T113)</f>
        <v>141726</v>
      </c>
      <c r="BD113" s="31" t="n">
        <f aca="false">IF($G113="",AS113,U113)</f>
        <v>0</v>
      </c>
      <c r="BE113" s="31" t="n">
        <f aca="false">IF($G113="",AT113,V113)</f>
        <v>28333</v>
      </c>
      <c r="BF113" s="31" t="n">
        <f aca="false">ROUNDDOWN(I113*設定!$B$10/1000,0)+ROUNDDOWN(I113*設定!$B$11/1000,0)</f>
        <v>0</v>
      </c>
      <c r="BG113" s="31" t="n">
        <f aca="false">ROUNDDOWN(I113*設定!$C$10/1000,0)+ROUNDDOWN(I113*設定!$C$11/1000,0)+ROUNDDOWN(I113*設定!$C$12/1000,0)</f>
        <v>0</v>
      </c>
      <c r="BH113" s="31" t="n">
        <f aca="false">ROUNDDOWN(J113*設定!$B$13/1000,0)</f>
        <v>0</v>
      </c>
      <c r="BI113" s="31" t="n">
        <f aca="false">ROUNDDOWN(J113*設定!$C$13/1000,0)</f>
        <v>0</v>
      </c>
      <c r="BJ113" s="31" t="n">
        <f aca="false">ROUNDDOWN(K113*設定!$B$14/1000,0)</f>
        <v>0</v>
      </c>
      <c r="BK113" s="31" t="n">
        <f aca="false">ROUNDDOWN(K113*設定!$C$14/1000,0)</f>
        <v>0</v>
      </c>
      <c r="BL113" s="31" t="n">
        <f aca="false">ROUNDDOWN(J113*設定!$B$15/1000,0)</f>
        <v>0</v>
      </c>
      <c r="BM113" s="31" t="n">
        <f aca="false">ROUNDDOWN(J113*設定!$C$15/1000,0)</f>
        <v>0</v>
      </c>
      <c r="BN113" s="31" t="n">
        <f aca="false">L113+M113</f>
        <v>0</v>
      </c>
      <c r="BO113" s="31" t="n">
        <f aca="false">N113+O113+P113</f>
        <v>2155246</v>
      </c>
      <c r="BP113" s="31" t="n">
        <f aca="false">Q113</f>
        <v>0</v>
      </c>
      <c r="BQ113" s="31" t="n">
        <f aca="false">R113</f>
        <v>1279122</v>
      </c>
      <c r="BR113" s="31" t="n">
        <f aca="false">S113</f>
        <v>0</v>
      </c>
      <c r="BS113" s="31" t="n">
        <f aca="false">T113</f>
        <v>141726</v>
      </c>
      <c r="BT113" s="31" t="n">
        <f aca="false">U113</f>
        <v>0</v>
      </c>
      <c r="BU113" s="31" t="n">
        <f aca="false">V113</f>
        <v>28333</v>
      </c>
      <c r="BV113" s="32" t="n">
        <f aca="false">IF(BF113=0,IF(BN113=0,0,1),(BN113-BF113)/BF113)</f>
        <v>0</v>
      </c>
      <c r="BW113" s="32" t="n">
        <f aca="false">IF(BG113=0,IF(BO113=0,0,1),(BO113-BG113)/BG113)</f>
        <v>1</v>
      </c>
      <c r="BX113" s="32" t="n">
        <f aca="false">IF(BH113=0,IF(BP113=0,0,1),(BP113-BH113)/BH113)</f>
        <v>0</v>
      </c>
      <c r="BY113" s="32" t="n">
        <f aca="false">IF(BI113=0,IF(BQ113=0,0,1),(BQ113-BI113)/BI113)</f>
        <v>1</v>
      </c>
      <c r="BZ113" s="32" t="n">
        <f aca="false">IF(BJ113=0,IF(BR113=0,0,1),(BR113-BJ113)/BJ113)</f>
        <v>0</v>
      </c>
      <c r="CA113" s="32" t="n">
        <f aca="false">IF(BK113=0,IF(BS113=0,0,1),(BS113-BK113)/BK113)</f>
        <v>1</v>
      </c>
      <c r="CB113" s="32" t="n">
        <f aca="false">IF(BL113=0,IF(BT113=0,0,1),(BT113-BL113)/BL113)</f>
        <v>0</v>
      </c>
      <c r="CC113" s="32" t="n">
        <f aca="false">IF(BM113=0,IF(BU113=0,0,1),(BU113-BM113)/BM113)</f>
        <v>1</v>
      </c>
      <c r="CD113" s="32" t="n">
        <f aca="false">MAX(MAX(BV113:CC113),-MIN(BV113:CC113))</f>
        <v>1</v>
      </c>
      <c r="CE113" s="31" t="n">
        <f aca="false">IF(CI113="","",SUMIFS($CF$7:$CF$696,$A$7:$A$696,CI113,$B$7:$B$696,B113))</f>
        <v>3657249</v>
      </c>
      <c r="CF113" s="31" t="n">
        <f aca="false">SUM(AU113:BE113)</f>
        <v>3604427</v>
      </c>
      <c r="CG113" s="33" t="str">
        <f aca="false">A113&amp;"|"&amp;B113</f>
        <v>2026-06 月例|社会福祉事業団</v>
      </c>
      <c r="CH113" s="34" t="str">
        <f aca="false">IFERROR(INDEX(設定!$D$61:$D$106,MATCH(B113,設定!$B$61:$B$106,0)),"Y")</f>
        <v>Y</v>
      </c>
      <c r="CI113" s="34" t="str">
        <f aca="false">IFERROR(INDEX(設定!$D$20:$D$34,MATCH(A113,設定!$A$20:$A$34,0))&amp;"","")</f>
        <v>2026-05 月例</v>
      </c>
    </row>
    <row r="114" customFormat="false" ht="15" hidden="true" customHeight="false" outlineLevel="0" collapsed="false">
      <c r="A114" s="22" t="s">
        <v>209</v>
      </c>
      <c r="B114" s="23" t="s">
        <v>176</v>
      </c>
      <c r="C114" s="10" t="str">
        <f aca="false">IF(G114="","未受領",IF(G114="なし","報告なし",IF(AH114="○","起票済",IF(OR(AG114="○",F114="一致",F114="入金不要"),"入金確認済","受領済"))))</f>
        <v>入金確認済</v>
      </c>
      <c r="D114" s="10" t="str">
        <f aca="false">IF(OR(G114="",G114="なし"),"―",IF(CH114="N","対象外",IF(AND(I114="",J114="",K114=""),"標報未入力",IF(CD114&gt;=設定!$B$4,"要確認","問題なし"))))</f>
        <v>標報未入力</v>
      </c>
      <c r="E114" s="24" t="str">
        <f aca="false">IF(OR(G114="",G114="なし",CE114="",CF114=0),"―",IF(CF114=CE114,"前月同額",IF(CE114=0,"―",IF(ABS(CF114/CE114-1)&gt;=設定!$B$5,"変動大 "&amp;TEXT(CF114/CE114-1,"+0%;-0%"),"〇"))))</f>
        <v>前月同額</v>
      </c>
      <c r="F114" s="10" t="str">
        <f aca="false">IF(OR(G114="",G114="なし"),"―",IF(CF114=0,"入金不要",IF(COUNT(Z114,AB114,AD114,AF114)=0,IF(AG114="○","手動確認","未入金"),IF(AND(N(Z114)=Y114,IF(AA114="",TRUE(),N(AB114)=AA114),IF(AC114="",TRUE(),N(AD114)=AC114),IF(AE114="",TRUE(),N(AF114)=AE114)),"一致","不一致"))))</f>
        <v>手動確認</v>
      </c>
      <c r="G114" s="25" t="s">
        <v>159</v>
      </c>
      <c r="H114" s="26"/>
      <c r="I114" s="27"/>
      <c r="J114" s="27"/>
      <c r="K114" s="27"/>
      <c r="L114" s="27"/>
      <c r="M114" s="27"/>
      <c r="N114" s="27" t="n">
        <v>59475</v>
      </c>
      <c r="O114" s="27" t="n">
        <v>4875</v>
      </c>
      <c r="P114" s="27" t="n">
        <v>56</v>
      </c>
      <c r="Q114" s="27"/>
      <c r="R114" s="27" t="n">
        <v>36856</v>
      </c>
      <c r="S114" s="27"/>
      <c r="T114" s="27" t="n">
        <v>5609</v>
      </c>
      <c r="U114" s="27"/>
      <c r="V114" s="27" t="n">
        <v>816</v>
      </c>
      <c r="W114" s="10" t="str">
        <f aca="false">IFERROR(INDEX(設定!$E$61:$E$106,MATCH(B114,設定!$B$61:$B$106,0)),"合算")</f>
        <v>合算</v>
      </c>
      <c r="X114" s="28"/>
      <c r="Y114" s="29" t="n">
        <f aca="false">IF(OR(G114="",G114="なし"),"",IF(W114="合算",CF114,IF(W114="掛金・負担金別",(AU114+AV114+AZ114+BB114+BD114),SUM(AU114:AY114))))</f>
        <v>107687</v>
      </c>
      <c r="Z114" s="27"/>
      <c r="AA114" s="29" t="str">
        <f aca="false">IF(OR(G114="",G114="なし"),"",IF(W114="掛金・負担金別",(AW114+AX114+AY114+BA114+BC114+BE114),IF(W114="経理区分別",AZ114+BA114,"")))</f>
        <v/>
      </c>
      <c r="AB114" s="27"/>
      <c r="AC114" s="29" t="str">
        <f aca="false">IF(OR(G114="",G114="なし"),"",IF(W114="経理区分別",BB114+BC114,""))</f>
        <v/>
      </c>
      <c r="AD114" s="27"/>
      <c r="AE114" s="29" t="str">
        <f aca="false">IF(OR(G114="",G114="なし"),"",IF(W114="経理区分別",BD114+BE114,""))</f>
        <v/>
      </c>
      <c r="AF114" s="27"/>
      <c r="AG114" s="26" t="s">
        <v>160</v>
      </c>
      <c r="AH114" s="26"/>
      <c r="AI114" s="30"/>
      <c r="AJ114" s="31"/>
      <c r="AK114" s="31"/>
      <c r="AL114" s="31"/>
      <c r="AM114" s="31"/>
      <c r="AN114" s="31"/>
      <c r="AO114" s="31"/>
      <c r="AP114" s="31"/>
      <c r="AQ114" s="31"/>
      <c r="AR114" s="31"/>
      <c r="AS114" s="31"/>
      <c r="AT114" s="31"/>
      <c r="AU114" s="31" t="n">
        <f aca="false">IF($G114="",AJ114,L114)</f>
        <v>0</v>
      </c>
      <c r="AV114" s="31" t="n">
        <f aca="false">IF($G114="",AK114,M114)</f>
        <v>0</v>
      </c>
      <c r="AW114" s="31" t="n">
        <f aca="false">IF($G114="",AL114,N114)</f>
        <v>59475</v>
      </c>
      <c r="AX114" s="31" t="n">
        <f aca="false">IF($G114="",AM114,O114)</f>
        <v>4875</v>
      </c>
      <c r="AY114" s="31" t="n">
        <f aca="false">IF($G114="",AN114,P114)</f>
        <v>56</v>
      </c>
      <c r="AZ114" s="31" t="n">
        <f aca="false">IF($G114="",AO114,Q114)</f>
        <v>0</v>
      </c>
      <c r="BA114" s="31" t="n">
        <f aca="false">IF($G114="",AP114,R114)</f>
        <v>36856</v>
      </c>
      <c r="BB114" s="31" t="n">
        <f aca="false">IF($G114="",AQ114,S114)</f>
        <v>0</v>
      </c>
      <c r="BC114" s="31" t="n">
        <f aca="false">IF($G114="",AR114,T114)</f>
        <v>5609</v>
      </c>
      <c r="BD114" s="31" t="n">
        <f aca="false">IF($G114="",AS114,U114)</f>
        <v>0</v>
      </c>
      <c r="BE114" s="31" t="n">
        <f aca="false">IF($G114="",AT114,V114)</f>
        <v>816</v>
      </c>
      <c r="BF114" s="31" t="n">
        <f aca="false">ROUNDDOWN(I114*設定!$B$10/1000,0)+ROUNDDOWN(I114*設定!$B$11/1000,0)</f>
        <v>0</v>
      </c>
      <c r="BG114" s="31" t="n">
        <f aca="false">ROUNDDOWN(I114*設定!$C$10/1000,0)+ROUNDDOWN(I114*設定!$C$11/1000,0)+ROUNDDOWN(I114*設定!$C$12/1000,0)</f>
        <v>0</v>
      </c>
      <c r="BH114" s="31" t="n">
        <f aca="false">ROUNDDOWN(J114*設定!$B$13/1000,0)</f>
        <v>0</v>
      </c>
      <c r="BI114" s="31" t="n">
        <f aca="false">ROUNDDOWN(J114*設定!$C$13/1000,0)</f>
        <v>0</v>
      </c>
      <c r="BJ114" s="31" t="n">
        <f aca="false">ROUNDDOWN(K114*設定!$B$14/1000,0)</f>
        <v>0</v>
      </c>
      <c r="BK114" s="31" t="n">
        <f aca="false">ROUNDDOWN(K114*設定!$C$14/1000,0)</f>
        <v>0</v>
      </c>
      <c r="BL114" s="31" t="n">
        <f aca="false">ROUNDDOWN(J114*設定!$B$15/1000,0)</f>
        <v>0</v>
      </c>
      <c r="BM114" s="31" t="n">
        <f aca="false">ROUNDDOWN(J114*設定!$C$15/1000,0)</f>
        <v>0</v>
      </c>
      <c r="BN114" s="31" t="n">
        <f aca="false">L114+M114</f>
        <v>0</v>
      </c>
      <c r="BO114" s="31" t="n">
        <f aca="false">N114+O114+P114</f>
        <v>64406</v>
      </c>
      <c r="BP114" s="31" t="n">
        <f aca="false">Q114</f>
        <v>0</v>
      </c>
      <c r="BQ114" s="31" t="n">
        <f aca="false">R114</f>
        <v>36856</v>
      </c>
      <c r="BR114" s="31" t="n">
        <f aca="false">S114</f>
        <v>0</v>
      </c>
      <c r="BS114" s="31" t="n">
        <f aca="false">T114</f>
        <v>5609</v>
      </c>
      <c r="BT114" s="31" t="n">
        <f aca="false">U114</f>
        <v>0</v>
      </c>
      <c r="BU114" s="31" t="n">
        <f aca="false">V114</f>
        <v>816</v>
      </c>
      <c r="BV114" s="32" t="n">
        <f aca="false">IF(BF114=0,IF(BN114=0,0,1),(BN114-BF114)/BF114)</f>
        <v>0</v>
      </c>
      <c r="BW114" s="32" t="n">
        <f aca="false">IF(BG114=0,IF(BO114=0,0,1),(BO114-BG114)/BG114)</f>
        <v>1</v>
      </c>
      <c r="BX114" s="32" t="n">
        <f aca="false">IF(BH114=0,IF(BP114=0,0,1),(BP114-BH114)/BH114)</f>
        <v>0</v>
      </c>
      <c r="BY114" s="32" t="n">
        <f aca="false">IF(BI114=0,IF(BQ114=0,0,1),(BQ114-BI114)/BI114)</f>
        <v>1</v>
      </c>
      <c r="BZ114" s="32" t="n">
        <f aca="false">IF(BJ114=0,IF(BR114=0,0,1),(BR114-BJ114)/BJ114)</f>
        <v>0</v>
      </c>
      <c r="CA114" s="32" t="n">
        <f aca="false">IF(BK114=0,IF(BS114=0,0,1),(BS114-BK114)/BK114)</f>
        <v>1</v>
      </c>
      <c r="CB114" s="32" t="n">
        <f aca="false">IF(BL114=0,IF(BT114=0,0,1),(BT114-BL114)/BL114)</f>
        <v>0</v>
      </c>
      <c r="CC114" s="32" t="n">
        <f aca="false">IF(BM114=0,IF(BU114=0,0,1),(BU114-BM114)/BM114)</f>
        <v>1</v>
      </c>
      <c r="CD114" s="32" t="n">
        <f aca="false">MAX(MAX(BV114:CC114),-MIN(BV114:CC114))</f>
        <v>1</v>
      </c>
      <c r="CE114" s="31" t="n">
        <f aca="false">IF(CI114="","",SUMIFS($CF$7:$CF$696,$A$7:$A$696,CI114,$B$7:$B$696,B114))</f>
        <v>107687</v>
      </c>
      <c r="CF114" s="31" t="n">
        <f aca="false">SUM(AU114:BE114)</f>
        <v>107687</v>
      </c>
      <c r="CG114" s="33" t="str">
        <f aca="false">A114&amp;"|"&amp;B114</f>
        <v>2026-06 月例|原爆障害対策協議会</v>
      </c>
      <c r="CH114" s="34" t="str">
        <f aca="false">IFERROR(INDEX(設定!$D$61:$D$106,MATCH(B114,設定!$B$61:$B$106,0)),"Y")</f>
        <v>Y</v>
      </c>
      <c r="CI114" s="34" t="str">
        <f aca="false">IFERROR(INDEX(設定!$D$20:$D$34,MATCH(A114,設定!$A$20:$A$34,0))&amp;"","")</f>
        <v>2026-05 月例</v>
      </c>
    </row>
    <row r="115" customFormat="false" ht="15" hidden="true" customHeight="false" outlineLevel="0" collapsed="false">
      <c r="A115" s="22" t="s">
        <v>209</v>
      </c>
      <c r="B115" s="23" t="s">
        <v>177</v>
      </c>
      <c r="C115" s="10" t="str">
        <f aca="false">IF(G115="","未受領",IF(G115="なし","報告なし",IF(AH115="○","起票済",IF(OR(AG115="○",F115="一致",F115="入金不要"),"入金確認済","受領済"))))</f>
        <v>入金確認済</v>
      </c>
      <c r="D115" s="10" t="str">
        <f aca="false">IF(OR(G115="",G115="なし"),"―",IF(CH115="N","対象外",IF(AND(I115="",J115="",K115=""),"標報未入力",IF(CD115&gt;=設定!$B$4,"要確認","問題なし"))))</f>
        <v>標報未入力</v>
      </c>
      <c r="E115" s="24" t="str">
        <f aca="false">IF(OR(G115="",G115="なし",CE115="",CF115=0),"―",IF(CF115=CE115,"前月同額",IF(CE115=0,"―",IF(ABS(CF115/CE115-1)&gt;=設定!$B$5,"変動大 "&amp;TEXT(CF115/CE115-1,"+0%;-0%"),"〇"))))</f>
        <v>変動大 -12%</v>
      </c>
      <c r="F115" s="10" t="str">
        <f aca="false">IF(OR(G115="",G115="なし"),"―",IF(CF115=0,"入金不要",IF(COUNT(Z115,AB115,AD115,AF115)=0,IF(AG115="○","手動確認","未入金"),IF(AND(N(Z115)=Y115,IF(AA115="",TRUE(),N(AB115)=AA115),IF(AC115="",TRUE(),N(AD115)=AC115),IF(AE115="",TRUE(),N(AF115)=AE115)),"一致","不一致"))))</f>
        <v>手動確認</v>
      </c>
      <c r="G115" s="25" t="s">
        <v>159</v>
      </c>
      <c r="H115" s="26"/>
      <c r="I115" s="27"/>
      <c r="J115" s="27"/>
      <c r="K115" s="27"/>
      <c r="L115" s="27"/>
      <c r="M115" s="27"/>
      <c r="N115" s="27" t="n">
        <v>368745</v>
      </c>
      <c r="O115" s="27" t="n">
        <v>30225</v>
      </c>
      <c r="P115" s="27" t="n">
        <v>395</v>
      </c>
      <c r="Q115" s="27"/>
      <c r="R115" s="27" t="n">
        <v>209223</v>
      </c>
      <c r="S115" s="27"/>
      <c r="T115" s="27" t="n">
        <v>26781</v>
      </c>
      <c r="U115" s="27"/>
      <c r="V115" s="27" t="n">
        <v>4634</v>
      </c>
      <c r="W115" s="10" t="str">
        <f aca="false">IFERROR(INDEX(設定!$E$61:$E$106,MATCH(B115,設定!$B$61:$B$106,0)),"合算")</f>
        <v>合算</v>
      </c>
      <c r="X115" s="28"/>
      <c r="Y115" s="29" t="n">
        <f aca="false">IF(OR(G115="",G115="なし"),"",IF(W115="合算",CF115,IF(W115="掛金・負担金別",(AU115+AV115+AZ115+BB115+BD115),SUM(AU115:AY115))))</f>
        <v>640003</v>
      </c>
      <c r="Z115" s="27"/>
      <c r="AA115" s="29" t="str">
        <f aca="false">IF(OR(G115="",G115="なし"),"",IF(W115="掛金・負担金別",(AW115+AX115+AY115+BA115+BC115+BE115),IF(W115="経理区分別",AZ115+BA115,"")))</f>
        <v/>
      </c>
      <c r="AB115" s="27"/>
      <c r="AC115" s="29" t="str">
        <f aca="false">IF(OR(G115="",G115="なし"),"",IF(W115="経理区分別",BB115+BC115,""))</f>
        <v/>
      </c>
      <c r="AD115" s="27"/>
      <c r="AE115" s="29" t="str">
        <f aca="false">IF(OR(G115="",G115="なし"),"",IF(W115="経理区分別",BD115+BE115,""))</f>
        <v/>
      </c>
      <c r="AF115" s="27"/>
      <c r="AG115" s="26" t="s">
        <v>160</v>
      </c>
      <c r="AH115" s="26"/>
      <c r="AI115" s="30"/>
      <c r="AJ115" s="31"/>
      <c r="AK115" s="31"/>
      <c r="AL115" s="31"/>
      <c r="AM115" s="31"/>
      <c r="AN115" s="31"/>
      <c r="AO115" s="31"/>
      <c r="AP115" s="31"/>
      <c r="AQ115" s="31"/>
      <c r="AR115" s="31"/>
      <c r="AS115" s="31"/>
      <c r="AT115" s="31"/>
      <c r="AU115" s="31" t="n">
        <f aca="false">IF($G115="",AJ115,L115)</f>
        <v>0</v>
      </c>
      <c r="AV115" s="31" t="n">
        <f aca="false">IF($G115="",AK115,M115)</f>
        <v>0</v>
      </c>
      <c r="AW115" s="31" t="n">
        <f aca="false">IF($G115="",AL115,N115)</f>
        <v>368745</v>
      </c>
      <c r="AX115" s="31" t="n">
        <f aca="false">IF($G115="",AM115,O115)</f>
        <v>30225</v>
      </c>
      <c r="AY115" s="31" t="n">
        <f aca="false">IF($G115="",AN115,P115)</f>
        <v>395</v>
      </c>
      <c r="AZ115" s="31" t="n">
        <f aca="false">IF($G115="",AO115,Q115)</f>
        <v>0</v>
      </c>
      <c r="BA115" s="31" t="n">
        <f aca="false">IF($G115="",AP115,R115)</f>
        <v>209223</v>
      </c>
      <c r="BB115" s="31" t="n">
        <f aca="false">IF($G115="",AQ115,S115)</f>
        <v>0</v>
      </c>
      <c r="BC115" s="31" t="n">
        <f aca="false">IF($G115="",AR115,T115)</f>
        <v>26781</v>
      </c>
      <c r="BD115" s="31" t="n">
        <f aca="false">IF($G115="",AS115,U115)</f>
        <v>0</v>
      </c>
      <c r="BE115" s="31" t="n">
        <f aca="false">IF($G115="",AT115,V115)</f>
        <v>4634</v>
      </c>
      <c r="BF115" s="31" t="n">
        <f aca="false">ROUNDDOWN(I115*設定!$B$10/1000,0)+ROUNDDOWN(I115*設定!$B$11/1000,0)</f>
        <v>0</v>
      </c>
      <c r="BG115" s="31" t="n">
        <f aca="false">ROUNDDOWN(I115*設定!$C$10/1000,0)+ROUNDDOWN(I115*設定!$C$11/1000,0)+ROUNDDOWN(I115*設定!$C$12/1000,0)</f>
        <v>0</v>
      </c>
      <c r="BH115" s="31" t="n">
        <f aca="false">ROUNDDOWN(J115*設定!$B$13/1000,0)</f>
        <v>0</v>
      </c>
      <c r="BI115" s="31" t="n">
        <f aca="false">ROUNDDOWN(J115*設定!$C$13/1000,0)</f>
        <v>0</v>
      </c>
      <c r="BJ115" s="31" t="n">
        <f aca="false">ROUNDDOWN(K115*設定!$B$14/1000,0)</f>
        <v>0</v>
      </c>
      <c r="BK115" s="31" t="n">
        <f aca="false">ROUNDDOWN(K115*設定!$C$14/1000,0)</f>
        <v>0</v>
      </c>
      <c r="BL115" s="31" t="n">
        <f aca="false">ROUNDDOWN(J115*設定!$B$15/1000,0)</f>
        <v>0</v>
      </c>
      <c r="BM115" s="31" t="n">
        <f aca="false">ROUNDDOWN(J115*設定!$C$15/1000,0)</f>
        <v>0</v>
      </c>
      <c r="BN115" s="31" t="n">
        <f aca="false">L115+M115</f>
        <v>0</v>
      </c>
      <c r="BO115" s="31" t="n">
        <f aca="false">N115+O115+P115</f>
        <v>399365</v>
      </c>
      <c r="BP115" s="31" t="n">
        <f aca="false">Q115</f>
        <v>0</v>
      </c>
      <c r="BQ115" s="31" t="n">
        <f aca="false">R115</f>
        <v>209223</v>
      </c>
      <c r="BR115" s="31" t="n">
        <f aca="false">S115</f>
        <v>0</v>
      </c>
      <c r="BS115" s="31" t="n">
        <f aca="false">T115</f>
        <v>26781</v>
      </c>
      <c r="BT115" s="31" t="n">
        <f aca="false">U115</f>
        <v>0</v>
      </c>
      <c r="BU115" s="31" t="n">
        <f aca="false">V115</f>
        <v>4634</v>
      </c>
      <c r="BV115" s="32" t="n">
        <f aca="false">IF(BF115=0,IF(BN115=0,0,1),(BN115-BF115)/BF115)</f>
        <v>0</v>
      </c>
      <c r="BW115" s="32" t="n">
        <f aca="false">IF(BG115=0,IF(BO115=0,0,1),(BO115-BG115)/BG115)</f>
        <v>1</v>
      </c>
      <c r="BX115" s="32" t="n">
        <f aca="false">IF(BH115=0,IF(BP115=0,0,1),(BP115-BH115)/BH115)</f>
        <v>0</v>
      </c>
      <c r="BY115" s="32" t="n">
        <f aca="false">IF(BI115=0,IF(BQ115=0,0,1),(BQ115-BI115)/BI115)</f>
        <v>1</v>
      </c>
      <c r="BZ115" s="32" t="n">
        <f aca="false">IF(BJ115=0,IF(BR115=0,0,1),(BR115-BJ115)/BJ115)</f>
        <v>0</v>
      </c>
      <c r="CA115" s="32" t="n">
        <f aca="false">IF(BK115=0,IF(BS115=0,0,1),(BS115-BK115)/BK115)</f>
        <v>1</v>
      </c>
      <c r="CB115" s="32" t="n">
        <f aca="false">IF(BL115=0,IF(BT115=0,0,1),(BT115-BL115)/BL115)</f>
        <v>0</v>
      </c>
      <c r="CC115" s="32" t="n">
        <f aca="false">IF(BM115=0,IF(BU115=0,0,1),(BU115-BM115)/BM115)</f>
        <v>1</v>
      </c>
      <c r="CD115" s="32" t="n">
        <f aca="false">MAX(MAX(BV115:CC115),-MIN(BV115:CC115))</f>
        <v>1</v>
      </c>
      <c r="CE115" s="31" t="n">
        <f aca="false">IF(CI115="","",SUMIFS($CF$7:$CF$696,$A$7:$A$696,CI115,$B$7:$B$696,B115))</f>
        <v>724754</v>
      </c>
      <c r="CF115" s="31" t="n">
        <f aca="false">SUM(AU115:BE115)</f>
        <v>640003</v>
      </c>
      <c r="CG115" s="33" t="str">
        <f aca="false">A115&amp;"|"&amp;B115</f>
        <v>2026-06 月例|産業振興センター</v>
      </c>
      <c r="CH115" s="34" t="str">
        <f aca="false">IFERROR(INDEX(設定!$D$61:$D$106,MATCH(B115,設定!$B$61:$B$106,0)),"Y")</f>
        <v>Y</v>
      </c>
      <c r="CI115" s="34" t="str">
        <f aca="false">IFERROR(INDEX(設定!$D$20:$D$34,MATCH(A115,設定!$A$20:$A$34,0))&amp;"","")</f>
        <v>2026-05 月例</v>
      </c>
    </row>
    <row r="116" customFormat="false" ht="15" hidden="true" customHeight="false" outlineLevel="0" collapsed="false">
      <c r="A116" s="22" t="s">
        <v>209</v>
      </c>
      <c r="B116" s="23" t="s">
        <v>178</v>
      </c>
      <c r="C116" s="10" t="str">
        <f aca="false">IF(G116="","未受領",IF(G116="なし","報告なし",IF(AH116="○","起票済",IF(OR(AG116="○",F116="一致",F116="入金不要"),"入金確認済","受領済"))))</f>
        <v>入金確認済</v>
      </c>
      <c r="D116" s="10" t="str">
        <f aca="false">IF(OR(G116="",G116="なし"),"―",IF(CH116="N","対象外",IF(AND(I116="",J116="",K116=""),"標報未入力",IF(CD116&gt;=設定!$B$4,"要確認","問題なし"))))</f>
        <v>標報未入力</v>
      </c>
      <c r="E116" s="24" t="str">
        <f aca="false">IF(OR(G116="",G116="なし",CE116="",CF116=0),"―",IF(CF116=CE116,"前月同額",IF(CE116=0,"―",IF(ABS(CF116/CE116-1)&gt;=設定!$B$5,"変動大 "&amp;TEXT(CF116/CE116-1,"+0%;-0%"),"〇"))))</f>
        <v>前月同額</v>
      </c>
      <c r="F116" s="10" t="str">
        <f aca="false">IF(OR(G116="",G116="なし"),"―",IF(CF116=0,"入金不要",IF(COUNT(Z116,AB116,AD116,AF116)=0,IF(AG116="○","手動確認","未入金"),IF(AND(N(Z116)=Y116,IF(AA116="",TRUE(),N(AB116)=AA116),IF(AC116="",TRUE(),N(AD116)=AC116),IF(AE116="",TRUE(),N(AF116)=AE116)),"一致","不一致"))))</f>
        <v>手動確認</v>
      </c>
      <c r="G116" s="25" t="s">
        <v>159</v>
      </c>
      <c r="H116" s="26"/>
      <c r="I116" s="27"/>
      <c r="J116" s="27"/>
      <c r="K116" s="27"/>
      <c r="L116" s="27"/>
      <c r="M116" s="27"/>
      <c r="N116" s="27" t="n">
        <v>40260</v>
      </c>
      <c r="O116" s="27" t="n">
        <v>3300</v>
      </c>
      <c r="P116" s="27" t="n">
        <v>38</v>
      </c>
      <c r="Q116" s="27"/>
      <c r="R116" s="27" t="n">
        <v>22840</v>
      </c>
      <c r="S116" s="27"/>
      <c r="T116" s="27" t="n">
        <v>3476</v>
      </c>
      <c r="U116" s="27"/>
      <c r="V116" s="27" t="n">
        <v>506</v>
      </c>
      <c r="W116" s="10" t="str">
        <f aca="false">IFERROR(INDEX(設定!$E$61:$E$106,MATCH(B116,設定!$B$61:$B$106,0)),"合算")</f>
        <v>合算</v>
      </c>
      <c r="X116" s="28"/>
      <c r="Y116" s="29" t="n">
        <f aca="false">IF(OR(G116="",G116="なし"),"",IF(W116="合算",CF116,IF(W116="掛金・負担金別",(AU116+AV116+AZ116+BB116+BD116),SUM(AU116:AY116))))</f>
        <v>70420</v>
      </c>
      <c r="Z116" s="27"/>
      <c r="AA116" s="29" t="str">
        <f aca="false">IF(OR(G116="",G116="なし"),"",IF(W116="掛金・負担金別",(AW116+AX116+AY116+BA116+BC116+BE116),IF(W116="経理区分別",AZ116+BA116,"")))</f>
        <v/>
      </c>
      <c r="AB116" s="27"/>
      <c r="AC116" s="29" t="str">
        <f aca="false">IF(OR(G116="",G116="なし"),"",IF(W116="経理区分別",BB116+BC116,""))</f>
        <v/>
      </c>
      <c r="AD116" s="27"/>
      <c r="AE116" s="29" t="str">
        <f aca="false">IF(OR(G116="",G116="なし"),"",IF(W116="経理区分別",BD116+BE116,""))</f>
        <v/>
      </c>
      <c r="AF116" s="27"/>
      <c r="AG116" s="26" t="s">
        <v>160</v>
      </c>
      <c r="AH116" s="26"/>
      <c r="AI116" s="30"/>
      <c r="AJ116" s="31"/>
      <c r="AK116" s="31"/>
      <c r="AL116" s="31"/>
      <c r="AM116" s="31"/>
      <c r="AN116" s="31"/>
      <c r="AO116" s="31"/>
      <c r="AP116" s="31"/>
      <c r="AQ116" s="31"/>
      <c r="AR116" s="31"/>
      <c r="AS116" s="31"/>
      <c r="AT116" s="31"/>
      <c r="AU116" s="31" t="n">
        <f aca="false">IF($G116="",AJ116,L116)</f>
        <v>0</v>
      </c>
      <c r="AV116" s="31" t="n">
        <f aca="false">IF($G116="",AK116,M116)</f>
        <v>0</v>
      </c>
      <c r="AW116" s="31" t="n">
        <f aca="false">IF($G116="",AL116,N116)</f>
        <v>40260</v>
      </c>
      <c r="AX116" s="31" t="n">
        <f aca="false">IF($G116="",AM116,O116)</f>
        <v>3300</v>
      </c>
      <c r="AY116" s="31" t="n">
        <f aca="false">IF($G116="",AN116,P116)</f>
        <v>38</v>
      </c>
      <c r="AZ116" s="31" t="n">
        <f aca="false">IF($G116="",AO116,Q116)</f>
        <v>0</v>
      </c>
      <c r="BA116" s="31" t="n">
        <f aca="false">IF($G116="",AP116,R116)</f>
        <v>22840</v>
      </c>
      <c r="BB116" s="31" t="n">
        <f aca="false">IF($G116="",AQ116,S116)</f>
        <v>0</v>
      </c>
      <c r="BC116" s="31" t="n">
        <f aca="false">IF($G116="",AR116,T116)</f>
        <v>3476</v>
      </c>
      <c r="BD116" s="31" t="n">
        <f aca="false">IF($G116="",AS116,U116)</f>
        <v>0</v>
      </c>
      <c r="BE116" s="31" t="n">
        <f aca="false">IF($G116="",AT116,V116)</f>
        <v>506</v>
      </c>
      <c r="BF116" s="31" t="n">
        <f aca="false">ROUNDDOWN(I116*設定!$B$10/1000,0)+ROUNDDOWN(I116*設定!$B$11/1000,0)</f>
        <v>0</v>
      </c>
      <c r="BG116" s="31" t="n">
        <f aca="false">ROUNDDOWN(I116*設定!$C$10/1000,0)+ROUNDDOWN(I116*設定!$C$11/1000,0)+ROUNDDOWN(I116*設定!$C$12/1000,0)</f>
        <v>0</v>
      </c>
      <c r="BH116" s="31" t="n">
        <f aca="false">ROUNDDOWN(J116*設定!$B$13/1000,0)</f>
        <v>0</v>
      </c>
      <c r="BI116" s="31" t="n">
        <f aca="false">ROUNDDOWN(J116*設定!$C$13/1000,0)</f>
        <v>0</v>
      </c>
      <c r="BJ116" s="31" t="n">
        <f aca="false">ROUNDDOWN(K116*設定!$B$14/1000,0)</f>
        <v>0</v>
      </c>
      <c r="BK116" s="31" t="n">
        <f aca="false">ROUNDDOWN(K116*設定!$C$14/1000,0)</f>
        <v>0</v>
      </c>
      <c r="BL116" s="31" t="n">
        <f aca="false">ROUNDDOWN(J116*設定!$B$15/1000,0)</f>
        <v>0</v>
      </c>
      <c r="BM116" s="31" t="n">
        <f aca="false">ROUNDDOWN(J116*設定!$C$15/1000,0)</f>
        <v>0</v>
      </c>
      <c r="BN116" s="31" t="n">
        <f aca="false">L116+M116</f>
        <v>0</v>
      </c>
      <c r="BO116" s="31" t="n">
        <f aca="false">N116+O116+P116</f>
        <v>43598</v>
      </c>
      <c r="BP116" s="31" t="n">
        <f aca="false">Q116</f>
        <v>0</v>
      </c>
      <c r="BQ116" s="31" t="n">
        <f aca="false">R116</f>
        <v>22840</v>
      </c>
      <c r="BR116" s="31" t="n">
        <f aca="false">S116</f>
        <v>0</v>
      </c>
      <c r="BS116" s="31" t="n">
        <f aca="false">T116</f>
        <v>3476</v>
      </c>
      <c r="BT116" s="31" t="n">
        <f aca="false">U116</f>
        <v>0</v>
      </c>
      <c r="BU116" s="31" t="n">
        <f aca="false">V116</f>
        <v>506</v>
      </c>
      <c r="BV116" s="32" t="n">
        <f aca="false">IF(BF116=0,IF(BN116=0,0,1),(BN116-BF116)/BF116)</f>
        <v>0</v>
      </c>
      <c r="BW116" s="32" t="n">
        <f aca="false">IF(BG116=0,IF(BO116=0,0,1),(BO116-BG116)/BG116)</f>
        <v>1</v>
      </c>
      <c r="BX116" s="32" t="n">
        <f aca="false">IF(BH116=0,IF(BP116=0,0,1),(BP116-BH116)/BH116)</f>
        <v>0</v>
      </c>
      <c r="BY116" s="32" t="n">
        <f aca="false">IF(BI116=0,IF(BQ116=0,0,1),(BQ116-BI116)/BI116)</f>
        <v>1</v>
      </c>
      <c r="BZ116" s="32" t="n">
        <f aca="false">IF(BJ116=0,IF(BR116=0,0,1),(BR116-BJ116)/BJ116)</f>
        <v>0</v>
      </c>
      <c r="CA116" s="32" t="n">
        <f aca="false">IF(BK116=0,IF(BS116=0,0,1),(BS116-BK116)/BK116)</f>
        <v>1</v>
      </c>
      <c r="CB116" s="32" t="n">
        <f aca="false">IF(BL116=0,IF(BT116=0,0,1),(BT116-BL116)/BL116)</f>
        <v>0</v>
      </c>
      <c r="CC116" s="32" t="n">
        <f aca="false">IF(BM116=0,IF(BU116=0,0,1),(BU116-BM116)/BM116)</f>
        <v>1</v>
      </c>
      <c r="CD116" s="32" t="n">
        <f aca="false">MAX(MAX(BV116:CC116),-MIN(BV116:CC116))</f>
        <v>1</v>
      </c>
      <c r="CE116" s="31" t="n">
        <f aca="false">IF(CI116="","",SUMIFS($CF$7:$CF$696,$A$7:$A$696,CI116,$B$7:$B$696,B116))</f>
        <v>70420</v>
      </c>
      <c r="CF116" s="31" t="n">
        <f aca="false">SUM(AU116:BE116)</f>
        <v>70420</v>
      </c>
      <c r="CG116" s="33" t="str">
        <f aca="false">A116&amp;"|"&amp;B116</f>
        <v>2026-06 月例|ひろしま産業振興</v>
      </c>
      <c r="CH116" s="34" t="str">
        <f aca="false">IFERROR(INDEX(設定!$D$61:$D$106,MATCH(B116,設定!$B$61:$B$106,0)),"Y")</f>
        <v>Y</v>
      </c>
      <c r="CI116" s="34" t="str">
        <f aca="false">IFERROR(INDEX(設定!$D$20:$D$34,MATCH(A116,設定!$A$20:$A$34,0))&amp;"","")</f>
        <v>2026-05 月例</v>
      </c>
    </row>
    <row r="117" customFormat="false" ht="15" hidden="true" customHeight="false" outlineLevel="0" collapsed="false">
      <c r="A117" s="22" t="s">
        <v>209</v>
      </c>
      <c r="B117" s="23" t="s">
        <v>179</v>
      </c>
      <c r="C117" s="10" t="str">
        <f aca="false">IF(G117="","未受領",IF(G117="なし","報告なし",IF(AH117="○","起票済",IF(OR(AG117="○",F117="一致",F117="入金不要"),"入金確認済","受領済"))))</f>
        <v>入金確認済</v>
      </c>
      <c r="D117" s="10" t="str">
        <f aca="false">IF(OR(G117="",G117="なし"),"―",IF(CH117="N","対象外",IF(AND(I117="",J117="",K117=""),"標報未入力",IF(CD117&gt;=設定!$B$4,"要確認","問題なし"))))</f>
        <v>標報未入力</v>
      </c>
      <c r="E117" s="24" t="str">
        <f aca="false">IF(OR(G117="",G117="なし",CE117="",CF117=0),"―",IF(CF117=CE117,"前月同額",IF(CE117=0,"―",IF(ABS(CF117/CE117-1)&gt;=設定!$B$5,"変動大 "&amp;TEXT(CF117/CE117-1,"+0%;-0%"),"〇"))))</f>
        <v>―</v>
      </c>
      <c r="F117" s="10" t="str">
        <f aca="false">IF(OR(G117="",G117="なし"),"―",IF(CF117=0,"入金不要",IF(COUNT(Z117,AB117,AD117,AF117)=0,IF(AG117="○","手動確認","未入金"),IF(AND(N(Z117)=Y117,IF(AA117="",TRUE(),N(AB117)=AA117),IF(AC117="",TRUE(),N(AD117)=AC117),IF(AE117="",TRUE(),N(AF117)=AE117)),"一致","不一致"))))</f>
        <v>入金不要</v>
      </c>
      <c r="G117" s="25" t="s">
        <v>159</v>
      </c>
      <c r="H117" s="26"/>
      <c r="I117" s="27"/>
      <c r="J117" s="27"/>
      <c r="K117" s="27"/>
      <c r="L117" s="27"/>
      <c r="M117" s="27"/>
      <c r="N117" s="27" t="n">
        <v>0</v>
      </c>
      <c r="O117" s="27" t="n">
        <v>0</v>
      </c>
      <c r="P117" s="27" t="n">
        <v>0</v>
      </c>
      <c r="Q117" s="27"/>
      <c r="R117" s="27" t="n">
        <v>0</v>
      </c>
      <c r="S117" s="27"/>
      <c r="T117" s="27" t="n">
        <v>0</v>
      </c>
      <c r="U117" s="27"/>
      <c r="V117" s="27" t="n">
        <v>0</v>
      </c>
      <c r="W117" s="10" t="str">
        <f aca="false">IFERROR(INDEX(設定!$E$61:$E$106,MATCH(B117,設定!$B$61:$B$106,0)),"合算")</f>
        <v>合算</v>
      </c>
      <c r="X117" s="28"/>
      <c r="Y117" s="29" t="n">
        <f aca="false">IF(OR(G117="",G117="なし"),"",IF(W117="合算",CF117,IF(W117="掛金・負担金別",(AU117+AV117+AZ117+BB117+BD117),SUM(AU117:AY117))))</f>
        <v>0</v>
      </c>
      <c r="Z117" s="27"/>
      <c r="AA117" s="29" t="str">
        <f aca="false">IF(OR(G117="",G117="なし"),"",IF(W117="掛金・負担金別",(AW117+AX117+AY117+BA117+BC117+BE117),IF(W117="経理区分別",AZ117+BA117,"")))</f>
        <v/>
      </c>
      <c r="AB117" s="27"/>
      <c r="AC117" s="29" t="str">
        <f aca="false">IF(OR(G117="",G117="なし"),"",IF(W117="経理区分別",BB117+BC117,""))</f>
        <v/>
      </c>
      <c r="AD117" s="27"/>
      <c r="AE117" s="29" t="str">
        <f aca="false">IF(OR(G117="",G117="なし"),"",IF(W117="経理区分別",BD117+BE117,""))</f>
        <v/>
      </c>
      <c r="AF117" s="27"/>
      <c r="AG117" s="26" t="s">
        <v>160</v>
      </c>
      <c r="AH117" s="26"/>
      <c r="AI117" s="30"/>
      <c r="AJ117" s="31"/>
      <c r="AK117" s="31"/>
      <c r="AL117" s="31"/>
      <c r="AM117" s="31"/>
      <c r="AN117" s="31"/>
      <c r="AO117" s="31"/>
      <c r="AP117" s="31"/>
      <c r="AQ117" s="31"/>
      <c r="AR117" s="31"/>
      <c r="AS117" s="31"/>
      <c r="AT117" s="31"/>
      <c r="AU117" s="31" t="n">
        <f aca="false">IF($G117="",AJ117,L117)</f>
        <v>0</v>
      </c>
      <c r="AV117" s="31" t="n">
        <f aca="false">IF($G117="",AK117,M117)</f>
        <v>0</v>
      </c>
      <c r="AW117" s="31" t="n">
        <f aca="false">IF($G117="",AL117,N117)</f>
        <v>0</v>
      </c>
      <c r="AX117" s="31" t="n">
        <f aca="false">IF($G117="",AM117,O117)</f>
        <v>0</v>
      </c>
      <c r="AY117" s="31" t="n">
        <f aca="false">IF($G117="",AN117,P117)</f>
        <v>0</v>
      </c>
      <c r="AZ117" s="31" t="n">
        <f aca="false">IF($G117="",AO117,Q117)</f>
        <v>0</v>
      </c>
      <c r="BA117" s="31" t="n">
        <f aca="false">IF($G117="",AP117,R117)</f>
        <v>0</v>
      </c>
      <c r="BB117" s="31" t="n">
        <f aca="false">IF($G117="",AQ117,S117)</f>
        <v>0</v>
      </c>
      <c r="BC117" s="31" t="n">
        <f aca="false">IF($G117="",AR117,T117)</f>
        <v>0</v>
      </c>
      <c r="BD117" s="31" t="n">
        <f aca="false">IF($G117="",AS117,U117)</f>
        <v>0</v>
      </c>
      <c r="BE117" s="31" t="n">
        <f aca="false">IF($G117="",AT117,V117)</f>
        <v>0</v>
      </c>
      <c r="BF117" s="31" t="n">
        <f aca="false">ROUNDDOWN(I117*設定!$B$10/1000,0)+ROUNDDOWN(I117*設定!$B$11/1000,0)</f>
        <v>0</v>
      </c>
      <c r="BG117" s="31" t="n">
        <f aca="false">ROUNDDOWN(I117*設定!$C$10/1000,0)+ROUNDDOWN(I117*設定!$C$11/1000,0)+ROUNDDOWN(I117*設定!$C$12/1000,0)</f>
        <v>0</v>
      </c>
      <c r="BH117" s="31" t="n">
        <f aca="false">ROUNDDOWN(J117*設定!$B$13/1000,0)</f>
        <v>0</v>
      </c>
      <c r="BI117" s="31" t="n">
        <f aca="false">ROUNDDOWN(J117*設定!$C$13/1000,0)</f>
        <v>0</v>
      </c>
      <c r="BJ117" s="31" t="n">
        <f aca="false">ROUNDDOWN(K117*設定!$B$14/1000,0)</f>
        <v>0</v>
      </c>
      <c r="BK117" s="31" t="n">
        <f aca="false">ROUNDDOWN(K117*設定!$C$14/1000,0)</f>
        <v>0</v>
      </c>
      <c r="BL117" s="31" t="n">
        <f aca="false">ROUNDDOWN(J117*設定!$B$15/1000,0)</f>
        <v>0</v>
      </c>
      <c r="BM117" s="31" t="n">
        <f aca="false">ROUNDDOWN(J117*設定!$C$15/1000,0)</f>
        <v>0</v>
      </c>
      <c r="BN117" s="31" t="n">
        <f aca="false">L117+M117</f>
        <v>0</v>
      </c>
      <c r="BO117" s="31" t="n">
        <f aca="false">N117+O117+P117</f>
        <v>0</v>
      </c>
      <c r="BP117" s="31" t="n">
        <f aca="false">Q117</f>
        <v>0</v>
      </c>
      <c r="BQ117" s="31" t="n">
        <f aca="false">R117</f>
        <v>0</v>
      </c>
      <c r="BR117" s="31" t="n">
        <f aca="false">S117</f>
        <v>0</v>
      </c>
      <c r="BS117" s="31" t="n">
        <f aca="false">T117</f>
        <v>0</v>
      </c>
      <c r="BT117" s="31" t="n">
        <f aca="false">U117</f>
        <v>0</v>
      </c>
      <c r="BU117" s="31" t="n">
        <f aca="false">V117</f>
        <v>0</v>
      </c>
      <c r="BV117" s="32" t="n">
        <f aca="false">IF(BF117=0,IF(BN117=0,0,1),(BN117-BF117)/BF117)</f>
        <v>0</v>
      </c>
      <c r="BW117" s="32" t="n">
        <f aca="false">IF(BG117=0,IF(BO117=0,0,1),(BO117-BG117)/BG117)</f>
        <v>0</v>
      </c>
      <c r="BX117" s="32" t="n">
        <f aca="false">IF(BH117=0,IF(BP117=0,0,1),(BP117-BH117)/BH117)</f>
        <v>0</v>
      </c>
      <c r="BY117" s="32" t="n">
        <f aca="false">IF(BI117=0,IF(BQ117=0,0,1),(BQ117-BI117)/BI117)</f>
        <v>0</v>
      </c>
      <c r="BZ117" s="32" t="n">
        <f aca="false">IF(BJ117=0,IF(BR117=0,0,1),(BR117-BJ117)/BJ117)</f>
        <v>0</v>
      </c>
      <c r="CA117" s="32" t="n">
        <f aca="false">IF(BK117=0,IF(BS117=0,0,1),(BS117-BK117)/BK117)</f>
        <v>0</v>
      </c>
      <c r="CB117" s="32" t="n">
        <f aca="false">IF(BL117=0,IF(BT117=0,0,1),(BT117-BL117)/BL117)</f>
        <v>0</v>
      </c>
      <c r="CC117" s="32" t="n">
        <f aca="false">IF(BM117=0,IF(BU117=0,0,1),(BU117-BM117)/BM117)</f>
        <v>0</v>
      </c>
      <c r="CD117" s="32" t="n">
        <f aca="false">MAX(MAX(BV117:CC117),-MIN(BV117:CC117))</f>
        <v>-0</v>
      </c>
      <c r="CE117" s="31" t="n">
        <f aca="false">IF(CI117="","",SUMIFS($CF$7:$CF$696,$A$7:$A$696,CI117,$B$7:$B$696,B117))</f>
        <v>0</v>
      </c>
      <c r="CF117" s="31" t="n">
        <f aca="false">SUM(AU117:BE117)</f>
        <v>0</v>
      </c>
      <c r="CG117" s="33" t="str">
        <f aca="false">A117&amp;"|"&amp;B117</f>
        <v>2026-06 月例|都市整備公社　市</v>
      </c>
      <c r="CH117" s="34" t="str">
        <f aca="false">IFERROR(INDEX(設定!$D$61:$D$106,MATCH(B117,設定!$B$61:$B$106,0)),"Y")</f>
        <v>Y</v>
      </c>
      <c r="CI117" s="34" t="str">
        <f aca="false">IFERROR(INDEX(設定!$D$20:$D$34,MATCH(A117,設定!$A$20:$A$34,0))&amp;"","")</f>
        <v>2026-05 月例</v>
      </c>
    </row>
    <row r="118" customFormat="false" ht="15" hidden="true" customHeight="false" outlineLevel="0" collapsed="false">
      <c r="A118" s="22" t="s">
        <v>209</v>
      </c>
      <c r="B118" s="23" t="s">
        <v>180</v>
      </c>
      <c r="C118" s="10" t="str">
        <f aca="false">IF(G118="","未受領",IF(G118="なし","報告なし",IF(AH118="○","起票済",IF(OR(AG118="○",F118="一致",F118="入金不要"),"入金確認済","受領済"))))</f>
        <v>入金確認済</v>
      </c>
      <c r="D118" s="10" t="str">
        <f aca="false">IF(OR(G118="",G118="なし"),"―",IF(CH118="N","対象外",IF(AND(I118="",J118="",K118=""),"標報未入力",IF(CD118&gt;=設定!$B$4,"要確認","問題なし"))))</f>
        <v>標報未入力</v>
      </c>
      <c r="E118" s="24" t="str">
        <f aca="false">IF(OR(G118="",G118="なし",CE118="",CF118=0),"―",IF(CF118=CE118,"前月同額",IF(CE118=0,"―",IF(ABS(CF118/CE118-1)&gt;=設定!$B$5,"変動大 "&amp;TEXT(CF118/CE118-1,"+0%;-0%"),"〇"))))</f>
        <v>前月同額</v>
      </c>
      <c r="F118" s="10" t="str">
        <f aca="false">IF(OR(G118="",G118="なし"),"―",IF(CF118=0,"入金不要",IF(COUNT(Z118,AB118,AD118,AF118)=0,IF(AG118="○","手動確認","未入金"),IF(AND(N(Z118)=Y118,IF(AA118="",TRUE(),N(AB118)=AA118),IF(AC118="",TRUE(),N(AD118)=AC118),IF(AE118="",TRUE(),N(AF118)=AE118)),"一致","不一致"))))</f>
        <v>手動確認</v>
      </c>
      <c r="G118" s="25" t="s">
        <v>159</v>
      </c>
      <c r="H118" s="26"/>
      <c r="I118" s="27"/>
      <c r="J118" s="27"/>
      <c r="K118" s="27"/>
      <c r="L118" s="27"/>
      <c r="M118" s="27"/>
      <c r="N118" s="27" t="n">
        <v>193065</v>
      </c>
      <c r="O118" s="27" t="n">
        <v>15825</v>
      </c>
      <c r="P118" s="27" t="n">
        <v>183</v>
      </c>
      <c r="Q118" s="27"/>
      <c r="R118" s="27" t="n">
        <v>109530</v>
      </c>
      <c r="S118" s="27"/>
      <c r="T118" s="27" t="n">
        <v>12956</v>
      </c>
      <c r="U118" s="27"/>
      <c r="V118" s="27" t="n">
        <v>2426</v>
      </c>
      <c r="W118" s="10" t="str">
        <f aca="false">IFERROR(INDEX(設定!$E$61:$E$106,MATCH(B118,設定!$B$61:$B$106,0)),"合算")</f>
        <v>合算</v>
      </c>
      <c r="X118" s="28"/>
      <c r="Y118" s="29" t="n">
        <f aca="false">IF(OR(G118="",G118="なし"),"",IF(W118="合算",CF118,IF(W118="掛金・負担金別",(AU118+AV118+AZ118+BB118+BD118),SUM(AU118:AY118))))</f>
        <v>333985</v>
      </c>
      <c r="Z118" s="27"/>
      <c r="AA118" s="29" t="str">
        <f aca="false">IF(OR(G118="",G118="なし"),"",IF(W118="掛金・負担金別",(AW118+AX118+AY118+BA118+BC118+BE118),IF(W118="経理区分別",AZ118+BA118,"")))</f>
        <v/>
      </c>
      <c r="AB118" s="27"/>
      <c r="AC118" s="29" t="str">
        <f aca="false">IF(OR(G118="",G118="なし"),"",IF(W118="経理区分別",BB118+BC118,""))</f>
        <v/>
      </c>
      <c r="AD118" s="27"/>
      <c r="AE118" s="29" t="str">
        <f aca="false">IF(OR(G118="",G118="なし"),"",IF(W118="経理区分別",BD118+BE118,""))</f>
        <v/>
      </c>
      <c r="AF118" s="27"/>
      <c r="AG118" s="26" t="s">
        <v>160</v>
      </c>
      <c r="AH118" s="26"/>
      <c r="AI118" s="30"/>
      <c r="AJ118" s="31"/>
      <c r="AK118" s="31"/>
      <c r="AL118" s="31"/>
      <c r="AM118" s="31"/>
      <c r="AN118" s="31"/>
      <c r="AO118" s="31"/>
      <c r="AP118" s="31"/>
      <c r="AQ118" s="31"/>
      <c r="AR118" s="31"/>
      <c r="AS118" s="31"/>
      <c r="AT118" s="31"/>
      <c r="AU118" s="31" t="n">
        <f aca="false">IF($G118="",AJ118,L118)</f>
        <v>0</v>
      </c>
      <c r="AV118" s="31" t="n">
        <f aca="false">IF($G118="",AK118,M118)</f>
        <v>0</v>
      </c>
      <c r="AW118" s="31" t="n">
        <f aca="false">IF($G118="",AL118,N118)</f>
        <v>193065</v>
      </c>
      <c r="AX118" s="31" t="n">
        <f aca="false">IF($G118="",AM118,O118)</f>
        <v>15825</v>
      </c>
      <c r="AY118" s="31" t="n">
        <f aca="false">IF($G118="",AN118,P118)</f>
        <v>183</v>
      </c>
      <c r="AZ118" s="31" t="n">
        <f aca="false">IF($G118="",AO118,Q118)</f>
        <v>0</v>
      </c>
      <c r="BA118" s="31" t="n">
        <f aca="false">IF($G118="",AP118,R118)</f>
        <v>109530</v>
      </c>
      <c r="BB118" s="31" t="n">
        <f aca="false">IF($G118="",AQ118,S118)</f>
        <v>0</v>
      </c>
      <c r="BC118" s="31" t="n">
        <f aca="false">IF($G118="",AR118,T118)</f>
        <v>12956</v>
      </c>
      <c r="BD118" s="31" t="n">
        <f aca="false">IF($G118="",AS118,U118)</f>
        <v>0</v>
      </c>
      <c r="BE118" s="31" t="n">
        <f aca="false">IF($G118="",AT118,V118)</f>
        <v>2426</v>
      </c>
      <c r="BF118" s="31" t="n">
        <f aca="false">ROUNDDOWN(I118*設定!$B$10/1000,0)+ROUNDDOWN(I118*設定!$B$11/1000,0)</f>
        <v>0</v>
      </c>
      <c r="BG118" s="31" t="n">
        <f aca="false">ROUNDDOWN(I118*設定!$C$10/1000,0)+ROUNDDOWN(I118*設定!$C$11/1000,0)+ROUNDDOWN(I118*設定!$C$12/1000,0)</f>
        <v>0</v>
      </c>
      <c r="BH118" s="31" t="n">
        <f aca="false">ROUNDDOWN(J118*設定!$B$13/1000,0)</f>
        <v>0</v>
      </c>
      <c r="BI118" s="31" t="n">
        <f aca="false">ROUNDDOWN(J118*設定!$C$13/1000,0)</f>
        <v>0</v>
      </c>
      <c r="BJ118" s="31" t="n">
        <f aca="false">ROUNDDOWN(K118*設定!$B$14/1000,0)</f>
        <v>0</v>
      </c>
      <c r="BK118" s="31" t="n">
        <f aca="false">ROUNDDOWN(K118*設定!$C$14/1000,0)</f>
        <v>0</v>
      </c>
      <c r="BL118" s="31" t="n">
        <f aca="false">ROUNDDOWN(J118*設定!$B$15/1000,0)</f>
        <v>0</v>
      </c>
      <c r="BM118" s="31" t="n">
        <f aca="false">ROUNDDOWN(J118*設定!$C$15/1000,0)</f>
        <v>0</v>
      </c>
      <c r="BN118" s="31" t="n">
        <f aca="false">L118+M118</f>
        <v>0</v>
      </c>
      <c r="BO118" s="31" t="n">
        <f aca="false">N118+O118+P118</f>
        <v>209073</v>
      </c>
      <c r="BP118" s="31" t="n">
        <f aca="false">Q118</f>
        <v>0</v>
      </c>
      <c r="BQ118" s="31" t="n">
        <f aca="false">R118</f>
        <v>109530</v>
      </c>
      <c r="BR118" s="31" t="n">
        <f aca="false">S118</f>
        <v>0</v>
      </c>
      <c r="BS118" s="31" t="n">
        <f aca="false">T118</f>
        <v>12956</v>
      </c>
      <c r="BT118" s="31" t="n">
        <f aca="false">U118</f>
        <v>0</v>
      </c>
      <c r="BU118" s="31" t="n">
        <f aca="false">V118</f>
        <v>2426</v>
      </c>
      <c r="BV118" s="32" t="n">
        <f aca="false">IF(BF118=0,IF(BN118=0,0,1),(BN118-BF118)/BF118)</f>
        <v>0</v>
      </c>
      <c r="BW118" s="32" t="n">
        <f aca="false">IF(BG118=0,IF(BO118=0,0,1),(BO118-BG118)/BG118)</f>
        <v>1</v>
      </c>
      <c r="BX118" s="32" t="n">
        <f aca="false">IF(BH118=0,IF(BP118=0,0,1),(BP118-BH118)/BH118)</f>
        <v>0</v>
      </c>
      <c r="BY118" s="32" t="n">
        <f aca="false">IF(BI118=0,IF(BQ118=0,0,1),(BQ118-BI118)/BI118)</f>
        <v>1</v>
      </c>
      <c r="BZ118" s="32" t="n">
        <f aca="false">IF(BJ118=0,IF(BR118=0,0,1),(BR118-BJ118)/BJ118)</f>
        <v>0</v>
      </c>
      <c r="CA118" s="32" t="n">
        <f aca="false">IF(BK118=0,IF(BS118=0,0,1),(BS118-BK118)/BK118)</f>
        <v>1</v>
      </c>
      <c r="CB118" s="32" t="n">
        <f aca="false">IF(BL118=0,IF(BT118=0,0,1),(BT118-BL118)/BL118)</f>
        <v>0</v>
      </c>
      <c r="CC118" s="32" t="n">
        <f aca="false">IF(BM118=0,IF(BU118=0,0,1),(BU118-BM118)/BM118)</f>
        <v>1</v>
      </c>
      <c r="CD118" s="32" t="n">
        <f aca="false">MAX(MAX(BV118:CC118),-MIN(BV118:CC118))</f>
        <v>1</v>
      </c>
      <c r="CE118" s="31" t="n">
        <f aca="false">IF(CI118="","",SUMIFS($CF$7:$CF$696,$A$7:$A$696,CI118,$B$7:$B$696,B118))</f>
        <v>333985</v>
      </c>
      <c r="CF118" s="31" t="n">
        <f aca="false">SUM(AU118:BE118)</f>
        <v>333985</v>
      </c>
      <c r="CG118" s="33" t="str">
        <f aca="false">A118&amp;"|"&amp;B118</f>
        <v>2026-06 月例|都市整備公社　消防</v>
      </c>
      <c r="CH118" s="34" t="str">
        <f aca="false">IFERROR(INDEX(設定!$D$61:$D$106,MATCH(B118,設定!$B$61:$B$106,0)),"Y")</f>
        <v>Y</v>
      </c>
      <c r="CI118" s="34" t="str">
        <f aca="false">IFERROR(INDEX(設定!$D$20:$D$34,MATCH(A118,設定!$A$20:$A$34,0))&amp;"","")</f>
        <v>2026-05 月例</v>
      </c>
    </row>
    <row r="119" customFormat="false" ht="15" hidden="true" customHeight="false" outlineLevel="0" collapsed="false">
      <c r="A119" s="22" t="s">
        <v>209</v>
      </c>
      <c r="B119" s="23" t="s">
        <v>181</v>
      </c>
      <c r="C119" s="10" t="str">
        <f aca="false">IF(G119="","未受領",IF(G119="なし","報告なし",IF(AH119="○","起票済",IF(OR(AG119="○",F119="一致",F119="入金不要"),"入金確認済","受領済"))))</f>
        <v>入金確認済</v>
      </c>
      <c r="D119" s="10" t="str">
        <f aca="false">IF(OR(G119="",G119="なし"),"―",IF(CH119="N","対象外",IF(AND(I119="",J119="",K119=""),"標報未入力",IF(CD119&gt;=設定!$B$4,"要確認","問題なし"))))</f>
        <v>標報未入力</v>
      </c>
      <c r="E119" s="24" t="str">
        <f aca="false">IF(OR(G119="",G119="なし",CE119="",CF119=0),"―",IF(CF119=CE119,"前月同額",IF(CE119=0,"―",IF(ABS(CF119/CE119-1)&gt;=設定!$B$5,"変動大 "&amp;TEXT(CF119/CE119-1,"+0%;-0%"),"〇"))))</f>
        <v>前月同額</v>
      </c>
      <c r="F119" s="10" t="str">
        <f aca="false">IF(OR(G119="",G119="なし"),"―",IF(CF119=0,"入金不要",IF(COUNT(Z119,AB119,AD119,AF119)=0,IF(AG119="○","手動確認","未入金"),IF(AND(N(Z119)=Y119,IF(AA119="",TRUE(),N(AB119)=AA119),IF(AC119="",TRUE(),N(AD119)=AC119),IF(AE119="",TRUE(),N(AF119)=AE119)),"一致","不一致"))))</f>
        <v>手動確認</v>
      </c>
      <c r="G119" s="25" t="s">
        <v>159</v>
      </c>
      <c r="H119" s="26"/>
      <c r="I119" s="27"/>
      <c r="J119" s="27"/>
      <c r="K119" s="27"/>
      <c r="L119" s="27" t="n">
        <v>237900</v>
      </c>
      <c r="M119" s="27" t="n">
        <v>19500</v>
      </c>
      <c r="N119" s="27" t="n">
        <v>237900</v>
      </c>
      <c r="O119" s="27" t="n">
        <v>19500</v>
      </c>
      <c r="P119" s="27" t="n">
        <v>225</v>
      </c>
      <c r="Q119" s="27" t="n">
        <v>137945</v>
      </c>
      <c r="R119" s="27" t="n">
        <v>138080</v>
      </c>
      <c r="S119" s="27" t="n">
        <v>10744</v>
      </c>
      <c r="T119" s="27" t="n">
        <v>10744</v>
      </c>
      <c r="U119" s="27" t="n">
        <v>3058</v>
      </c>
      <c r="V119" s="27" t="n">
        <v>3059</v>
      </c>
      <c r="W119" s="10" t="str">
        <f aca="false">IFERROR(INDEX(設定!$E$61:$E$106,MATCH(B119,設定!$B$61:$B$106,0)),"合算")</f>
        <v>合算</v>
      </c>
      <c r="X119" s="28"/>
      <c r="Y119" s="29" t="n">
        <f aca="false">IF(OR(G119="",G119="なし"),"",IF(W119="合算",CF119,IF(W119="掛金・負担金別",(AU119+AV119+AZ119+BB119+BD119),SUM(AU119:AY119))))</f>
        <v>818655</v>
      </c>
      <c r="Z119" s="27"/>
      <c r="AA119" s="29" t="str">
        <f aca="false">IF(OR(G119="",G119="なし"),"",IF(W119="掛金・負担金別",(AW119+AX119+AY119+BA119+BC119+BE119),IF(W119="経理区分別",AZ119+BA119,"")))</f>
        <v/>
      </c>
      <c r="AB119" s="27"/>
      <c r="AC119" s="29" t="str">
        <f aca="false">IF(OR(G119="",G119="なし"),"",IF(W119="経理区分別",BB119+BC119,""))</f>
        <v/>
      </c>
      <c r="AD119" s="27"/>
      <c r="AE119" s="29" t="str">
        <f aca="false">IF(OR(G119="",G119="なし"),"",IF(W119="経理区分別",BD119+BE119,""))</f>
        <v/>
      </c>
      <c r="AF119" s="27"/>
      <c r="AG119" s="26" t="s">
        <v>160</v>
      </c>
      <c r="AH119" s="26"/>
      <c r="AI119" s="30"/>
      <c r="AJ119" s="31"/>
      <c r="AK119" s="31"/>
      <c r="AL119" s="31"/>
      <c r="AM119" s="31"/>
      <c r="AN119" s="31"/>
      <c r="AO119" s="31"/>
      <c r="AP119" s="31"/>
      <c r="AQ119" s="31"/>
      <c r="AR119" s="31"/>
      <c r="AS119" s="31"/>
      <c r="AT119" s="31"/>
      <c r="AU119" s="31" t="n">
        <f aca="false">IF($G119="",AJ119,L119)</f>
        <v>237900</v>
      </c>
      <c r="AV119" s="31" t="n">
        <f aca="false">IF($G119="",AK119,M119)</f>
        <v>19500</v>
      </c>
      <c r="AW119" s="31" t="n">
        <f aca="false">IF($G119="",AL119,N119)</f>
        <v>237900</v>
      </c>
      <c r="AX119" s="31" t="n">
        <f aca="false">IF($G119="",AM119,O119)</f>
        <v>19500</v>
      </c>
      <c r="AY119" s="31" t="n">
        <f aca="false">IF($G119="",AN119,P119)</f>
        <v>225</v>
      </c>
      <c r="AZ119" s="31" t="n">
        <f aca="false">IF($G119="",AO119,Q119)</f>
        <v>137945</v>
      </c>
      <c r="BA119" s="31" t="n">
        <f aca="false">IF($G119="",AP119,R119)</f>
        <v>138080</v>
      </c>
      <c r="BB119" s="31" t="n">
        <f aca="false">IF($G119="",AQ119,S119)</f>
        <v>10744</v>
      </c>
      <c r="BC119" s="31" t="n">
        <f aca="false">IF($G119="",AR119,T119)</f>
        <v>10744</v>
      </c>
      <c r="BD119" s="31" t="n">
        <f aca="false">IF($G119="",AS119,U119)</f>
        <v>3058</v>
      </c>
      <c r="BE119" s="31" t="n">
        <f aca="false">IF($G119="",AT119,V119)</f>
        <v>3059</v>
      </c>
      <c r="BF119" s="31" t="n">
        <f aca="false">ROUNDDOWN(I119*設定!$B$10/1000,0)+ROUNDDOWN(I119*設定!$B$11/1000,0)</f>
        <v>0</v>
      </c>
      <c r="BG119" s="31" t="n">
        <f aca="false">ROUNDDOWN(I119*設定!$C$10/1000,0)+ROUNDDOWN(I119*設定!$C$11/1000,0)+ROUNDDOWN(I119*設定!$C$12/1000,0)</f>
        <v>0</v>
      </c>
      <c r="BH119" s="31" t="n">
        <f aca="false">ROUNDDOWN(J119*設定!$B$13/1000,0)</f>
        <v>0</v>
      </c>
      <c r="BI119" s="31" t="n">
        <f aca="false">ROUNDDOWN(J119*設定!$C$13/1000,0)</f>
        <v>0</v>
      </c>
      <c r="BJ119" s="31" t="n">
        <f aca="false">ROUNDDOWN(K119*設定!$B$14/1000,0)</f>
        <v>0</v>
      </c>
      <c r="BK119" s="31" t="n">
        <f aca="false">ROUNDDOWN(K119*設定!$C$14/1000,0)</f>
        <v>0</v>
      </c>
      <c r="BL119" s="31" t="n">
        <f aca="false">ROUNDDOWN(J119*設定!$B$15/1000,0)</f>
        <v>0</v>
      </c>
      <c r="BM119" s="31" t="n">
        <f aca="false">ROUNDDOWN(J119*設定!$C$15/1000,0)</f>
        <v>0</v>
      </c>
      <c r="BN119" s="31" t="n">
        <f aca="false">L119+M119</f>
        <v>257400</v>
      </c>
      <c r="BO119" s="31" t="n">
        <f aca="false">N119+O119+P119</f>
        <v>257625</v>
      </c>
      <c r="BP119" s="31" t="n">
        <f aca="false">Q119</f>
        <v>137945</v>
      </c>
      <c r="BQ119" s="31" t="n">
        <f aca="false">R119</f>
        <v>138080</v>
      </c>
      <c r="BR119" s="31" t="n">
        <f aca="false">S119</f>
        <v>10744</v>
      </c>
      <c r="BS119" s="31" t="n">
        <f aca="false">T119</f>
        <v>10744</v>
      </c>
      <c r="BT119" s="31" t="n">
        <f aca="false">U119</f>
        <v>3058</v>
      </c>
      <c r="BU119" s="31" t="n">
        <f aca="false">V119</f>
        <v>3059</v>
      </c>
      <c r="BV119" s="32" t="n">
        <f aca="false">IF(BF119=0,IF(BN119=0,0,1),(BN119-BF119)/BF119)</f>
        <v>1</v>
      </c>
      <c r="BW119" s="32" t="n">
        <f aca="false">IF(BG119=0,IF(BO119=0,0,1),(BO119-BG119)/BG119)</f>
        <v>1</v>
      </c>
      <c r="BX119" s="32" t="n">
        <f aca="false">IF(BH119=0,IF(BP119=0,0,1),(BP119-BH119)/BH119)</f>
        <v>1</v>
      </c>
      <c r="BY119" s="32" t="n">
        <f aca="false">IF(BI119=0,IF(BQ119=0,0,1),(BQ119-BI119)/BI119)</f>
        <v>1</v>
      </c>
      <c r="BZ119" s="32" t="n">
        <f aca="false">IF(BJ119=0,IF(BR119=0,0,1),(BR119-BJ119)/BJ119)</f>
        <v>1</v>
      </c>
      <c r="CA119" s="32" t="n">
        <f aca="false">IF(BK119=0,IF(BS119=0,0,1),(BS119-BK119)/BK119)</f>
        <v>1</v>
      </c>
      <c r="CB119" s="32" t="n">
        <f aca="false">IF(BL119=0,IF(BT119=0,0,1),(BT119-BL119)/BL119)</f>
        <v>1</v>
      </c>
      <c r="CC119" s="32" t="n">
        <f aca="false">IF(BM119=0,IF(BU119=0,0,1),(BU119-BM119)/BM119)</f>
        <v>1</v>
      </c>
      <c r="CD119" s="32" t="n">
        <f aca="false">MAX(MAX(BV119:CC119),-MIN(BV119:CC119))</f>
        <v>1</v>
      </c>
      <c r="CE119" s="31" t="n">
        <f aca="false">IF(CI119="","",SUMIFS($CF$7:$CF$696,$A$7:$A$696,CI119,$B$7:$B$696,B119))</f>
        <v>818655</v>
      </c>
      <c r="CF119" s="31" t="n">
        <f aca="false">SUM(AU119:BE119)</f>
        <v>818655</v>
      </c>
      <c r="CG119" s="33" t="str">
        <f aca="false">A119&amp;"|"&amp;B119</f>
        <v>2026-06 月例|日本下水道事業団</v>
      </c>
      <c r="CH119" s="34" t="str">
        <f aca="false">IFERROR(INDEX(設定!$D$61:$D$106,MATCH(B119,設定!$B$61:$B$106,0)),"Y")</f>
        <v>Y</v>
      </c>
      <c r="CI119" s="34" t="str">
        <f aca="false">IFERROR(INDEX(設定!$D$20:$D$34,MATCH(A119,設定!$A$20:$A$34,0))&amp;"","")</f>
        <v>2026-05 月例</v>
      </c>
    </row>
    <row r="120" customFormat="false" ht="15" hidden="true" customHeight="false" outlineLevel="0" collapsed="false">
      <c r="A120" s="22" t="s">
        <v>209</v>
      </c>
      <c r="B120" s="23" t="s">
        <v>182</v>
      </c>
      <c r="C120" s="10" t="str">
        <f aca="false">IF(G120="","未受領",IF(G120="なし","報告なし",IF(AH120="○","起票済",IF(OR(AG120="○",F120="一致",F120="入金不要"),"入金確認済","受領済"))))</f>
        <v>入金確認済</v>
      </c>
      <c r="D120" s="10" t="str">
        <f aca="false">IF(OR(G120="",G120="なし"),"―",IF(CH120="N","対象外",IF(AND(I120="",J120="",K120=""),"標報未入力",IF(CD120&gt;=設定!$B$4,"要確認","問題なし"))))</f>
        <v>標報未入力</v>
      </c>
      <c r="E120" s="24" t="str">
        <f aca="false">IF(OR(G120="",G120="なし",CE120="",CF120=0),"―",IF(CF120=CE120,"前月同額",IF(CE120=0,"―",IF(ABS(CF120/CE120-1)&gt;=設定!$B$5,"変動大 "&amp;TEXT(CF120/CE120-1,"+0%;-0%"),"〇"))))</f>
        <v>前月同額</v>
      </c>
      <c r="F120" s="10" t="str">
        <f aca="false">IF(OR(G120="",G120="なし"),"―",IF(CF120=0,"入金不要",IF(COUNT(Z120,AB120,AD120,AF120)=0,IF(AG120="○","手動確認","未入金"),IF(AND(N(Z120)=Y120,IF(AA120="",TRUE(),N(AB120)=AA120),IF(AC120="",TRUE(),N(AD120)=AC120),IF(AE120="",TRUE(),N(AF120)=AE120)),"一致","不一致"))))</f>
        <v>手動確認</v>
      </c>
      <c r="G120" s="25" t="s">
        <v>159</v>
      </c>
      <c r="H120" s="26"/>
      <c r="I120" s="27"/>
      <c r="J120" s="27"/>
      <c r="K120" s="27"/>
      <c r="L120" s="27" t="n">
        <v>40260</v>
      </c>
      <c r="M120" s="27" t="n">
        <v>3300</v>
      </c>
      <c r="N120" s="27" t="n">
        <v>40260</v>
      </c>
      <c r="O120" s="27" t="n">
        <v>3300</v>
      </c>
      <c r="P120" s="27" t="n">
        <v>38</v>
      </c>
      <c r="Q120" s="27" t="n">
        <v>22818</v>
      </c>
      <c r="R120" s="27" t="n">
        <v>22840</v>
      </c>
      <c r="S120" s="27" t="n">
        <v>0</v>
      </c>
      <c r="T120" s="27" t="n">
        <v>0</v>
      </c>
      <c r="U120" s="27" t="n">
        <v>506</v>
      </c>
      <c r="V120" s="27" t="n">
        <v>506</v>
      </c>
      <c r="W120" s="10" t="str">
        <f aca="false">IFERROR(INDEX(設定!$E$61:$E$106,MATCH(B120,設定!$B$61:$B$106,0)),"合算")</f>
        <v>合算</v>
      </c>
      <c r="X120" s="28"/>
      <c r="Y120" s="29" t="n">
        <f aca="false">IF(OR(G120="",G120="なし"),"",IF(W120="合算",CF120,IF(W120="掛金・負担金別",(AU120+AV120+AZ120+BB120+BD120),SUM(AU120:AY120))))</f>
        <v>133828</v>
      </c>
      <c r="Z120" s="27"/>
      <c r="AA120" s="29" t="str">
        <f aca="false">IF(OR(G120="",G120="なし"),"",IF(W120="掛金・負担金別",(AW120+AX120+AY120+BA120+BC120+BE120),IF(W120="経理区分別",AZ120+BA120,"")))</f>
        <v/>
      </c>
      <c r="AB120" s="27"/>
      <c r="AC120" s="29" t="str">
        <f aca="false">IF(OR(G120="",G120="なし"),"",IF(W120="経理区分別",BB120+BC120,""))</f>
        <v/>
      </c>
      <c r="AD120" s="27"/>
      <c r="AE120" s="29" t="str">
        <f aca="false">IF(OR(G120="",G120="なし"),"",IF(W120="経理区分別",BD120+BE120,""))</f>
        <v/>
      </c>
      <c r="AF120" s="27"/>
      <c r="AG120" s="26" t="s">
        <v>160</v>
      </c>
      <c r="AH120" s="26"/>
      <c r="AI120" s="30"/>
      <c r="AJ120" s="31"/>
      <c r="AK120" s="31"/>
      <c r="AL120" s="31"/>
      <c r="AM120" s="31"/>
      <c r="AN120" s="31"/>
      <c r="AO120" s="31"/>
      <c r="AP120" s="31"/>
      <c r="AQ120" s="31"/>
      <c r="AR120" s="31"/>
      <c r="AS120" s="31"/>
      <c r="AT120" s="31"/>
      <c r="AU120" s="31" t="n">
        <f aca="false">IF($G120="",AJ120,L120)</f>
        <v>40260</v>
      </c>
      <c r="AV120" s="31" t="n">
        <f aca="false">IF($G120="",AK120,M120)</f>
        <v>3300</v>
      </c>
      <c r="AW120" s="31" t="n">
        <f aca="false">IF($G120="",AL120,N120)</f>
        <v>40260</v>
      </c>
      <c r="AX120" s="31" t="n">
        <f aca="false">IF($G120="",AM120,O120)</f>
        <v>3300</v>
      </c>
      <c r="AY120" s="31" t="n">
        <f aca="false">IF($G120="",AN120,P120)</f>
        <v>38</v>
      </c>
      <c r="AZ120" s="31" t="n">
        <f aca="false">IF($G120="",AO120,Q120)</f>
        <v>22818</v>
      </c>
      <c r="BA120" s="31" t="n">
        <f aca="false">IF($G120="",AP120,R120)</f>
        <v>22840</v>
      </c>
      <c r="BB120" s="31" t="n">
        <f aca="false">IF($G120="",AQ120,S120)</f>
        <v>0</v>
      </c>
      <c r="BC120" s="31" t="n">
        <f aca="false">IF($G120="",AR120,T120)</f>
        <v>0</v>
      </c>
      <c r="BD120" s="31" t="n">
        <f aca="false">IF($G120="",AS120,U120)</f>
        <v>506</v>
      </c>
      <c r="BE120" s="31" t="n">
        <f aca="false">IF($G120="",AT120,V120)</f>
        <v>506</v>
      </c>
      <c r="BF120" s="31" t="n">
        <f aca="false">ROUNDDOWN(I120*設定!$B$10/1000,0)+ROUNDDOWN(I120*設定!$B$11/1000,0)</f>
        <v>0</v>
      </c>
      <c r="BG120" s="31" t="n">
        <f aca="false">ROUNDDOWN(I120*設定!$C$10/1000,0)+ROUNDDOWN(I120*設定!$C$11/1000,0)+ROUNDDOWN(I120*設定!$C$12/1000,0)</f>
        <v>0</v>
      </c>
      <c r="BH120" s="31" t="n">
        <f aca="false">ROUNDDOWN(J120*設定!$B$13/1000,0)</f>
        <v>0</v>
      </c>
      <c r="BI120" s="31" t="n">
        <f aca="false">ROUNDDOWN(J120*設定!$C$13/1000,0)</f>
        <v>0</v>
      </c>
      <c r="BJ120" s="31" t="n">
        <f aca="false">ROUNDDOWN(K120*設定!$B$14/1000,0)</f>
        <v>0</v>
      </c>
      <c r="BK120" s="31" t="n">
        <f aca="false">ROUNDDOWN(K120*設定!$C$14/1000,0)</f>
        <v>0</v>
      </c>
      <c r="BL120" s="31" t="n">
        <f aca="false">ROUNDDOWN(J120*設定!$B$15/1000,0)</f>
        <v>0</v>
      </c>
      <c r="BM120" s="31" t="n">
        <f aca="false">ROUNDDOWN(J120*設定!$C$15/1000,0)</f>
        <v>0</v>
      </c>
      <c r="BN120" s="31" t="n">
        <f aca="false">L120+M120</f>
        <v>43560</v>
      </c>
      <c r="BO120" s="31" t="n">
        <f aca="false">N120+O120+P120</f>
        <v>43598</v>
      </c>
      <c r="BP120" s="31" t="n">
        <f aca="false">Q120</f>
        <v>22818</v>
      </c>
      <c r="BQ120" s="31" t="n">
        <f aca="false">R120</f>
        <v>22840</v>
      </c>
      <c r="BR120" s="31" t="n">
        <f aca="false">S120</f>
        <v>0</v>
      </c>
      <c r="BS120" s="31" t="n">
        <f aca="false">T120</f>
        <v>0</v>
      </c>
      <c r="BT120" s="31" t="n">
        <f aca="false">U120</f>
        <v>506</v>
      </c>
      <c r="BU120" s="31" t="n">
        <f aca="false">V120</f>
        <v>506</v>
      </c>
      <c r="BV120" s="32" t="n">
        <f aca="false">IF(BF120=0,IF(BN120=0,0,1),(BN120-BF120)/BF120)</f>
        <v>1</v>
      </c>
      <c r="BW120" s="32" t="n">
        <f aca="false">IF(BG120=0,IF(BO120=0,0,1),(BO120-BG120)/BG120)</f>
        <v>1</v>
      </c>
      <c r="BX120" s="32" t="n">
        <f aca="false">IF(BH120=0,IF(BP120=0,0,1),(BP120-BH120)/BH120)</f>
        <v>1</v>
      </c>
      <c r="BY120" s="32" t="n">
        <f aca="false">IF(BI120=0,IF(BQ120=0,0,1),(BQ120-BI120)/BI120)</f>
        <v>1</v>
      </c>
      <c r="BZ120" s="32" t="n">
        <f aca="false">IF(BJ120=0,IF(BR120=0,0,1),(BR120-BJ120)/BJ120)</f>
        <v>0</v>
      </c>
      <c r="CA120" s="32" t="n">
        <f aca="false">IF(BK120=0,IF(BS120=0,0,1),(BS120-BK120)/BK120)</f>
        <v>0</v>
      </c>
      <c r="CB120" s="32" t="n">
        <f aca="false">IF(BL120=0,IF(BT120=0,0,1),(BT120-BL120)/BL120)</f>
        <v>1</v>
      </c>
      <c r="CC120" s="32" t="n">
        <f aca="false">IF(BM120=0,IF(BU120=0,0,1),(BU120-BM120)/BM120)</f>
        <v>1</v>
      </c>
      <c r="CD120" s="32" t="n">
        <f aca="false">MAX(MAX(BV120:CC120),-MIN(BV120:CC120))</f>
        <v>1</v>
      </c>
      <c r="CE120" s="31" t="n">
        <f aca="false">IF(CI120="","",SUMIFS($CF$7:$CF$696,$A$7:$A$696,CI120,$B$7:$B$696,B120))</f>
        <v>133828</v>
      </c>
      <c r="CF120" s="31" t="n">
        <f aca="false">SUM(AU120:BE120)</f>
        <v>133828</v>
      </c>
      <c r="CG120" s="33" t="str">
        <f aca="false">A120&amp;"|"&amp;B120</f>
        <v>2026-06 月例|地方公務員災害補償基金本部</v>
      </c>
      <c r="CH120" s="34" t="str">
        <f aca="false">IFERROR(INDEX(設定!$D$61:$D$106,MATCH(B120,設定!$B$61:$B$106,0)),"Y")</f>
        <v>Y</v>
      </c>
      <c r="CI120" s="34" t="str">
        <f aca="false">IFERROR(INDEX(設定!$D$20:$D$34,MATCH(A120,設定!$A$20:$A$34,0))&amp;"","")</f>
        <v>2026-05 月例</v>
      </c>
    </row>
    <row r="121" customFormat="false" ht="15" hidden="true" customHeight="false" outlineLevel="0" collapsed="false">
      <c r="A121" s="22" t="s">
        <v>209</v>
      </c>
      <c r="B121" s="23" t="s">
        <v>183</v>
      </c>
      <c r="C121" s="10" t="str">
        <f aca="false">IF(G121="","未受領",IF(G121="なし","報告なし",IF(AH121="○","起票済",IF(OR(AG121="○",F121="一致",F121="入金不要"),"入金確認済","受領済"))))</f>
        <v>入金確認済</v>
      </c>
      <c r="D121" s="10" t="str">
        <f aca="false">IF(OR(G121="",G121="なし"),"―",IF(CH121="N","対象外",IF(AND(I121="",J121="",K121=""),"標報未入力",IF(CD121&gt;=設定!$B$4,"要確認","問題なし"))))</f>
        <v>標報未入力</v>
      </c>
      <c r="E121" s="24" t="str">
        <f aca="false">IF(OR(G121="",G121="なし",CE121="",CF121=0),"―",IF(CF121=CE121,"前月同額",IF(CE121=0,"―",IF(ABS(CF121/CE121-1)&gt;=設定!$B$5,"変動大 "&amp;TEXT(CF121/CE121-1,"+0%;-0%"),"〇"))))</f>
        <v>前月同額</v>
      </c>
      <c r="F121" s="10" t="str">
        <f aca="false">IF(OR(G121="",G121="なし"),"―",IF(CF121=0,"入金不要",IF(COUNT(Z121,AB121,AD121,AF121)=0,IF(AG121="○","手動確認","未入金"),IF(AND(N(Z121)=Y121,IF(AA121="",TRUE(),N(AB121)=AA121),IF(AC121="",TRUE(),N(AD121)=AC121),IF(AE121="",TRUE(),N(AF121)=AE121)),"一致","不一致"))))</f>
        <v>手動確認</v>
      </c>
      <c r="G121" s="25" t="s">
        <v>159</v>
      </c>
      <c r="H121" s="26"/>
      <c r="I121" s="27"/>
      <c r="J121" s="27"/>
      <c r="K121" s="27"/>
      <c r="L121" s="27" t="n">
        <v>107970</v>
      </c>
      <c r="M121" s="27" t="n">
        <v>8850</v>
      </c>
      <c r="N121" s="27" t="n">
        <v>107970</v>
      </c>
      <c r="O121" s="27" t="n">
        <v>8850</v>
      </c>
      <c r="P121" s="27" t="n">
        <v>102</v>
      </c>
      <c r="Q121" s="27" t="n">
        <v>61194</v>
      </c>
      <c r="R121" s="27" t="n">
        <v>61253</v>
      </c>
      <c r="S121" s="27" t="n">
        <v>9322</v>
      </c>
      <c r="T121" s="27" t="n">
        <v>9322</v>
      </c>
      <c r="U121" s="27" t="n">
        <v>1356</v>
      </c>
      <c r="V121" s="27" t="n">
        <v>1357</v>
      </c>
      <c r="W121" s="10" t="str">
        <f aca="false">IFERROR(INDEX(設定!$E$61:$E$106,MATCH(B121,設定!$B$61:$B$106,0)),"合算")</f>
        <v>合算</v>
      </c>
      <c r="X121" s="28"/>
      <c r="Y121" s="29" t="n">
        <f aca="false">IF(OR(G121="",G121="なし"),"",IF(W121="合算",CF121,IF(W121="掛金・負担金別",(AU121+AV121+AZ121+BB121+BD121),SUM(AU121:AY121))))</f>
        <v>377546</v>
      </c>
      <c r="Z121" s="27"/>
      <c r="AA121" s="29" t="str">
        <f aca="false">IF(OR(G121="",G121="なし"),"",IF(W121="掛金・負担金別",(AW121+AX121+AY121+BA121+BC121+BE121),IF(W121="経理区分別",AZ121+BA121,"")))</f>
        <v/>
      </c>
      <c r="AB121" s="27"/>
      <c r="AC121" s="29" t="str">
        <f aca="false">IF(OR(G121="",G121="なし"),"",IF(W121="経理区分別",BB121+BC121,""))</f>
        <v/>
      </c>
      <c r="AD121" s="27"/>
      <c r="AE121" s="29" t="str">
        <f aca="false">IF(OR(G121="",G121="なし"),"",IF(W121="経理区分別",BD121+BE121,""))</f>
        <v/>
      </c>
      <c r="AF121" s="27"/>
      <c r="AG121" s="26" t="s">
        <v>160</v>
      </c>
      <c r="AH121" s="26"/>
      <c r="AI121" s="30"/>
      <c r="AJ121" s="31"/>
      <c r="AK121" s="31"/>
      <c r="AL121" s="31"/>
      <c r="AM121" s="31"/>
      <c r="AN121" s="31"/>
      <c r="AO121" s="31"/>
      <c r="AP121" s="31"/>
      <c r="AQ121" s="31"/>
      <c r="AR121" s="31"/>
      <c r="AS121" s="31"/>
      <c r="AT121" s="31"/>
      <c r="AU121" s="31" t="n">
        <f aca="false">IF($G121="",AJ121,L121)</f>
        <v>107970</v>
      </c>
      <c r="AV121" s="31" t="n">
        <f aca="false">IF($G121="",AK121,M121)</f>
        <v>8850</v>
      </c>
      <c r="AW121" s="31" t="n">
        <f aca="false">IF($G121="",AL121,N121)</f>
        <v>107970</v>
      </c>
      <c r="AX121" s="31" t="n">
        <f aca="false">IF($G121="",AM121,O121)</f>
        <v>8850</v>
      </c>
      <c r="AY121" s="31" t="n">
        <f aca="false">IF($G121="",AN121,P121)</f>
        <v>102</v>
      </c>
      <c r="AZ121" s="31" t="n">
        <f aca="false">IF($G121="",AO121,Q121)</f>
        <v>61194</v>
      </c>
      <c r="BA121" s="31" t="n">
        <f aca="false">IF($G121="",AP121,R121)</f>
        <v>61253</v>
      </c>
      <c r="BB121" s="31" t="n">
        <f aca="false">IF($G121="",AQ121,S121)</f>
        <v>9322</v>
      </c>
      <c r="BC121" s="31" t="n">
        <f aca="false">IF($G121="",AR121,T121)</f>
        <v>9322</v>
      </c>
      <c r="BD121" s="31" t="n">
        <f aca="false">IF($G121="",AS121,U121)</f>
        <v>1356</v>
      </c>
      <c r="BE121" s="31" t="n">
        <f aca="false">IF($G121="",AT121,V121)</f>
        <v>1357</v>
      </c>
      <c r="BF121" s="31" t="n">
        <f aca="false">ROUNDDOWN(I121*設定!$B$10/1000,0)+ROUNDDOWN(I121*設定!$B$11/1000,0)</f>
        <v>0</v>
      </c>
      <c r="BG121" s="31" t="n">
        <f aca="false">ROUNDDOWN(I121*設定!$C$10/1000,0)+ROUNDDOWN(I121*設定!$C$11/1000,0)+ROUNDDOWN(I121*設定!$C$12/1000,0)</f>
        <v>0</v>
      </c>
      <c r="BH121" s="31" t="n">
        <f aca="false">ROUNDDOWN(J121*設定!$B$13/1000,0)</f>
        <v>0</v>
      </c>
      <c r="BI121" s="31" t="n">
        <f aca="false">ROUNDDOWN(J121*設定!$C$13/1000,0)</f>
        <v>0</v>
      </c>
      <c r="BJ121" s="31" t="n">
        <f aca="false">ROUNDDOWN(K121*設定!$B$14/1000,0)</f>
        <v>0</v>
      </c>
      <c r="BK121" s="31" t="n">
        <f aca="false">ROUNDDOWN(K121*設定!$C$14/1000,0)</f>
        <v>0</v>
      </c>
      <c r="BL121" s="31" t="n">
        <f aca="false">ROUNDDOWN(J121*設定!$B$15/1000,0)</f>
        <v>0</v>
      </c>
      <c r="BM121" s="31" t="n">
        <f aca="false">ROUNDDOWN(J121*設定!$C$15/1000,0)</f>
        <v>0</v>
      </c>
      <c r="BN121" s="31" t="n">
        <f aca="false">L121+M121</f>
        <v>116820</v>
      </c>
      <c r="BO121" s="31" t="n">
        <f aca="false">N121+O121+P121</f>
        <v>116922</v>
      </c>
      <c r="BP121" s="31" t="n">
        <f aca="false">Q121</f>
        <v>61194</v>
      </c>
      <c r="BQ121" s="31" t="n">
        <f aca="false">R121</f>
        <v>61253</v>
      </c>
      <c r="BR121" s="31" t="n">
        <f aca="false">S121</f>
        <v>9322</v>
      </c>
      <c r="BS121" s="31" t="n">
        <f aca="false">T121</f>
        <v>9322</v>
      </c>
      <c r="BT121" s="31" t="n">
        <f aca="false">U121</f>
        <v>1356</v>
      </c>
      <c r="BU121" s="31" t="n">
        <f aca="false">V121</f>
        <v>1357</v>
      </c>
      <c r="BV121" s="32" t="n">
        <f aca="false">IF(BF121=0,IF(BN121=0,0,1),(BN121-BF121)/BF121)</f>
        <v>1</v>
      </c>
      <c r="BW121" s="32" t="n">
        <f aca="false">IF(BG121=0,IF(BO121=0,0,1),(BO121-BG121)/BG121)</f>
        <v>1</v>
      </c>
      <c r="BX121" s="32" t="n">
        <f aca="false">IF(BH121=0,IF(BP121=0,0,1),(BP121-BH121)/BH121)</f>
        <v>1</v>
      </c>
      <c r="BY121" s="32" t="n">
        <f aca="false">IF(BI121=0,IF(BQ121=0,0,1),(BQ121-BI121)/BI121)</f>
        <v>1</v>
      </c>
      <c r="BZ121" s="32" t="n">
        <f aca="false">IF(BJ121=0,IF(BR121=0,0,1),(BR121-BJ121)/BJ121)</f>
        <v>1</v>
      </c>
      <c r="CA121" s="32" t="n">
        <f aca="false">IF(BK121=0,IF(BS121=0,0,1),(BS121-BK121)/BK121)</f>
        <v>1</v>
      </c>
      <c r="CB121" s="32" t="n">
        <f aca="false">IF(BL121=0,IF(BT121=0,0,1),(BT121-BL121)/BL121)</f>
        <v>1</v>
      </c>
      <c r="CC121" s="32" t="n">
        <f aca="false">IF(BM121=0,IF(BU121=0,0,1),(BU121-BM121)/BM121)</f>
        <v>1</v>
      </c>
      <c r="CD121" s="32" t="n">
        <f aca="false">MAX(MAX(BV121:CC121),-MIN(BV121:CC121))</f>
        <v>1</v>
      </c>
      <c r="CE121" s="31" t="n">
        <f aca="false">IF(CI121="","",SUMIFS($CF$7:$CF$696,$A$7:$A$696,CI121,$B$7:$B$696,B121))</f>
        <v>377546</v>
      </c>
      <c r="CF121" s="31" t="n">
        <f aca="false">SUM(AU121:BE121)</f>
        <v>377546</v>
      </c>
      <c r="CG121" s="33" t="str">
        <f aca="false">A121&amp;"|"&amp;B121</f>
        <v>2026-06 月例|救急振興財団</v>
      </c>
      <c r="CH121" s="34" t="str">
        <f aca="false">IFERROR(INDEX(設定!$D$61:$D$106,MATCH(B121,設定!$B$61:$B$106,0)),"Y")</f>
        <v>Y</v>
      </c>
      <c r="CI121" s="34" t="str">
        <f aca="false">IFERROR(INDEX(設定!$D$20:$D$34,MATCH(A121,設定!$A$20:$A$34,0))&amp;"","")</f>
        <v>2026-05 月例</v>
      </c>
    </row>
    <row r="122" customFormat="false" ht="15" hidden="true" customHeight="false" outlineLevel="0" collapsed="false">
      <c r="A122" s="22" t="s">
        <v>209</v>
      </c>
      <c r="B122" s="23" t="s">
        <v>184</v>
      </c>
      <c r="C122" s="10" t="str">
        <f aca="false">IF(G122="","未受領",IF(G122="なし","報告なし",IF(AH122="○","起票済",IF(OR(AG122="○",F122="一致",F122="入金不要"),"入金確認済","受領済"))))</f>
        <v>入金確認済</v>
      </c>
      <c r="D122" s="10" t="str">
        <f aca="false">IF(OR(G122="",G122="なし"),"―",IF(CH122="N","対象外",IF(AND(I122="",J122="",K122=""),"標報未入力",IF(CD122&gt;=設定!$B$4,"要確認","問題なし"))))</f>
        <v>標報未入力</v>
      </c>
      <c r="E122" s="24" t="str">
        <f aca="false">IF(OR(G122="",G122="なし",CE122="",CF122=0),"―",IF(CF122=CE122,"前月同額",IF(CE122=0,"―",IF(ABS(CF122/CE122-1)&gt;=設定!$B$5,"変動大 "&amp;TEXT(CF122/CE122-1,"+0%;-0%"),"〇"))))</f>
        <v>〇</v>
      </c>
      <c r="F122" s="10" t="str">
        <f aca="false">IF(OR(G122="",G122="なし"),"―",IF(CF122=0,"入金不要",IF(COUNT(Z122,AB122,AD122,AF122)=0,IF(AG122="○","手動確認","未入金"),IF(AND(N(Z122)=Y122,IF(AA122="",TRUE(),N(AB122)=AA122),IF(AC122="",TRUE(),N(AD122)=AC122),IF(AE122="",TRUE(),N(AF122)=AE122)),"一致","不一致"))))</f>
        <v>手動確認</v>
      </c>
      <c r="G122" s="25" t="s">
        <v>159</v>
      </c>
      <c r="H122" s="26"/>
      <c r="I122" s="27"/>
      <c r="J122" s="27"/>
      <c r="K122" s="27"/>
      <c r="L122" s="27" t="n">
        <v>746640</v>
      </c>
      <c r="M122" s="27" t="n">
        <v>61200</v>
      </c>
      <c r="N122" s="27" t="n">
        <v>718038</v>
      </c>
      <c r="O122" s="27" t="n">
        <v>58125</v>
      </c>
      <c r="P122" s="27" t="n">
        <v>684</v>
      </c>
      <c r="Q122" s="27" t="n">
        <v>423172</v>
      </c>
      <c r="R122" s="27" t="n">
        <v>393389</v>
      </c>
      <c r="S122" s="27" t="n">
        <v>39342</v>
      </c>
      <c r="T122" s="27" t="n">
        <v>39342</v>
      </c>
      <c r="U122" s="27" t="n">
        <v>9380</v>
      </c>
      <c r="V122" s="27" t="n">
        <v>8913</v>
      </c>
      <c r="W122" s="10" t="str">
        <f aca="false">IFERROR(INDEX(設定!$E$61:$E$106,MATCH(B122,設定!$B$61:$B$106,0)),"合算")</f>
        <v>合算</v>
      </c>
      <c r="X122" s="28"/>
      <c r="Y122" s="29" t="n">
        <f aca="false">IF(OR(G122="",G122="なし"),"",IF(W122="合算",CF122,IF(W122="掛金・負担金別",(AU122+AV122+AZ122+BB122+BD122),SUM(AU122:AY122))))</f>
        <v>2498225</v>
      </c>
      <c r="Z122" s="27"/>
      <c r="AA122" s="29" t="str">
        <f aca="false">IF(OR(G122="",G122="なし"),"",IF(W122="掛金・負担金別",(AW122+AX122+AY122+BA122+BC122+BE122),IF(W122="経理区分別",AZ122+BA122,"")))</f>
        <v/>
      </c>
      <c r="AB122" s="27"/>
      <c r="AC122" s="29" t="str">
        <f aca="false">IF(OR(G122="",G122="なし"),"",IF(W122="経理区分別",BB122+BC122,""))</f>
        <v/>
      </c>
      <c r="AD122" s="27"/>
      <c r="AE122" s="29" t="str">
        <f aca="false">IF(OR(G122="",G122="なし"),"",IF(W122="経理区分別",BD122+BE122,""))</f>
        <v/>
      </c>
      <c r="AF122" s="27"/>
      <c r="AG122" s="26" t="s">
        <v>160</v>
      </c>
      <c r="AH122" s="26"/>
      <c r="AI122" s="30"/>
      <c r="AJ122" s="31"/>
      <c r="AK122" s="31"/>
      <c r="AL122" s="31"/>
      <c r="AM122" s="31"/>
      <c r="AN122" s="31"/>
      <c r="AO122" s="31"/>
      <c r="AP122" s="31"/>
      <c r="AQ122" s="31"/>
      <c r="AR122" s="31"/>
      <c r="AS122" s="31"/>
      <c r="AT122" s="31"/>
      <c r="AU122" s="31" t="n">
        <f aca="false">IF($G122="",AJ122,L122)</f>
        <v>746640</v>
      </c>
      <c r="AV122" s="31" t="n">
        <f aca="false">IF($G122="",AK122,M122)</f>
        <v>61200</v>
      </c>
      <c r="AW122" s="31" t="n">
        <f aca="false">IF($G122="",AL122,N122)</f>
        <v>718038</v>
      </c>
      <c r="AX122" s="31" t="n">
        <f aca="false">IF($G122="",AM122,O122)</f>
        <v>58125</v>
      </c>
      <c r="AY122" s="31" t="n">
        <f aca="false">IF($G122="",AN122,P122)</f>
        <v>684</v>
      </c>
      <c r="AZ122" s="31" t="n">
        <f aca="false">IF($G122="",AO122,Q122)</f>
        <v>423172</v>
      </c>
      <c r="BA122" s="31" t="n">
        <f aca="false">IF($G122="",AP122,R122)</f>
        <v>393389</v>
      </c>
      <c r="BB122" s="31" t="n">
        <f aca="false">IF($G122="",AQ122,S122)</f>
        <v>39342</v>
      </c>
      <c r="BC122" s="31" t="n">
        <f aca="false">IF($G122="",AR122,T122)</f>
        <v>39342</v>
      </c>
      <c r="BD122" s="31" t="n">
        <f aca="false">IF($G122="",AS122,U122)</f>
        <v>9380</v>
      </c>
      <c r="BE122" s="31" t="n">
        <f aca="false">IF($G122="",AT122,V122)</f>
        <v>8913</v>
      </c>
      <c r="BF122" s="31" t="n">
        <f aca="false">ROUNDDOWN(I122*設定!$B$10/1000,0)+ROUNDDOWN(I122*設定!$B$11/1000,0)</f>
        <v>0</v>
      </c>
      <c r="BG122" s="31" t="n">
        <f aca="false">ROUNDDOWN(I122*設定!$C$10/1000,0)+ROUNDDOWN(I122*設定!$C$11/1000,0)+ROUNDDOWN(I122*設定!$C$12/1000,0)</f>
        <v>0</v>
      </c>
      <c r="BH122" s="31" t="n">
        <f aca="false">ROUNDDOWN(J122*設定!$B$13/1000,0)</f>
        <v>0</v>
      </c>
      <c r="BI122" s="31" t="n">
        <f aca="false">ROUNDDOWN(J122*設定!$C$13/1000,0)</f>
        <v>0</v>
      </c>
      <c r="BJ122" s="31" t="n">
        <f aca="false">ROUNDDOWN(K122*設定!$B$14/1000,0)</f>
        <v>0</v>
      </c>
      <c r="BK122" s="31" t="n">
        <f aca="false">ROUNDDOWN(K122*設定!$C$14/1000,0)</f>
        <v>0</v>
      </c>
      <c r="BL122" s="31" t="n">
        <f aca="false">ROUNDDOWN(J122*設定!$B$15/1000,0)</f>
        <v>0</v>
      </c>
      <c r="BM122" s="31" t="n">
        <f aca="false">ROUNDDOWN(J122*設定!$C$15/1000,0)</f>
        <v>0</v>
      </c>
      <c r="BN122" s="31" t="n">
        <f aca="false">L122+M122</f>
        <v>807840</v>
      </c>
      <c r="BO122" s="31" t="n">
        <f aca="false">N122+O122+P122</f>
        <v>776847</v>
      </c>
      <c r="BP122" s="31" t="n">
        <f aca="false">Q122</f>
        <v>423172</v>
      </c>
      <c r="BQ122" s="31" t="n">
        <f aca="false">R122</f>
        <v>393389</v>
      </c>
      <c r="BR122" s="31" t="n">
        <f aca="false">S122</f>
        <v>39342</v>
      </c>
      <c r="BS122" s="31" t="n">
        <f aca="false">T122</f>
        <v>39342</v>
      </c>
      <c r="BT122" s="31" t="n">
        <f aca="false">U122</f>
        <v>9380</v>
      </c>
      <c r="BU122" s="31" t="n">
        <f aca="false">V122</f>
        <v>8913</v>
      </c>
      <c r="BV122" s="32" t="n">
        <f aca="false">IF(BF122=0,IF(BN122=0,0,1),(BN122-BF122)/BF122)</f>
        <v>1</v>
      </c>
      <c r="BW122" s="32" t="n">
        <f aca="false">IF(BG122=0,IF(BO122=0,0,1),(BO122-BG122)/BG122)</f>
        <v>1</v>
      </c>
      <c r="BX122" s="32" t="n">
        <f aca="false">IF(BH122=0,IF(BP122=0,0,1),(BP122-BH122)/BH122)</f>
        <v>1</v>
      </c>
      <c r="BY122" s="32" t="n">
        <f aca="false">IF(BI122=0,IF(BQ122=0,0,1),(BQ122-BI122)/BI122)</f>
        <v>1</v>
      </c>
      <c r="BZ122" s="32" t="n">
        <f aca="false">IF(BJ122=0,IF(BR122=0,0,1),(BR122-BJ122)/BJ122)</f>
        <v>1</v>
      </c>
      <c r="CA122" s="32" t="n">
        <f aca="false">IF(BK122=0,IF(BS122=0,0,1),(BS122-BK122)/BK122)</f>
        <v>1</v>
      </c>
      <c r="CB122" s="32" t="n">
        <f aca="false">IF(BL122=0,IF(BT122=0,0,1),(BT122-BL122)/BL122)</f>
        <v>1</v>
      </c>
      <c r="CC122" s="32" t="n">
        <f aca="false">IF(BM122=0,IF(BU122=0,0,1),(BU122-BM122)/BM122)</f>
        <v>1</v>
      </c>
      <c r="CD122" s="32" t="n">
        <f aca="false">MAX(MAX(BV122:CC122),-MIN(BV122:CC122))</f>
        <v>1</v>
      </c>
      <c r="CE122" s="31" t="n">
        <f aca="false">IF(CI122="","",SUMIFS($CF$7:$CF$696,$A$7:$A$696,CI122,$B$7:$B$696,B122))</f>
        <v>2623033</v>
      </c>
      <c r="CF122" s="31" t="n">
        <f aca="false">SUM(AU122:BE122)</f>
        <v>2498225</v>
      </c>
      <c r="CG122" s="33" t="str">
        <f aca="false">A122&amp;"|"&amp;B122</f>
        <v>2026-06 月例|高速道路公社</v>
      </c>
      <c r="CH122" s="34" t="str">
        <f aca="false">IFERROR(INDEX(設定!$D$61:$D$106,MATCH(B122,設定!$B$61:$B$106,0)),"Y")</f>
        <v>Y</v>
      </c>
      <c r="CI122" s="34" t="str">
        <f aca="false">IFERROR(INDEX(設定!$D$20:$D$34,MATCH(A122,設定!$A$20:$A$34,0))&amp;"","")</f>
        <v>2026-05 月例</v>
      </c>
    </row>
    <row r="123" customFormat="false" ht="15" hidden="true" customHeight="false" outlineLevel="0" collapsed="false">
      <c r="A123" s="22" t="s">
        <v>209</v>
      </c>
      <c r="B123" s="23" t="s">
        <v>185</v>
      </c>
      <c r="C123" s="10" t="str">
        <f aca="false">IF(G123="","未受領",IF(G123="なし","報告なし",IF(AH123="○","起票済",IF(OR(AG123="○",F123="一致",F123="入金不要"),"入金確認済","受領済"))))</f>
        <v>入金確認済</v>
      </c>
      <c r="D123" s="10" t="str">
        <f aca="false">IF(OR(G123="",G123="なし"),"―",IF(CH123="N","対象外",IF(AND(I123="",J123="",K123=""),"標報未入力",IF(CD123&gt;=設定!$B$4,"要確認","問題なし"))))</f>
        <v>標報未入力</v>
      </c>
      <c r="E123" s="24" t="str">
        <f aca="false">IF(OR(G123="",G123="なし",CE123="",CF123=0),"―",IF(CF123=CE123,"前月同額",IF(CE123=0,"―",IF(ABS(CF123/CE123-1)&gt;=設定!$B$5,"変動大 "&amp;TEXT(CF123/CE123-1,"+0%;-0%"),"〇"))))</f>
        <v>前月同額</v>
      </c>
      <c r="F123" s="10" t="str">
        <f aca="false">IF(OR(G123="",G123="なし"),"―",IF(CF123=0,"入金不要",IF(COUNT(Z123,AB123,AD123,AF123)=0,IF(AG123="○","手動確認","未入金"),IF(AND(N(Z123)=Y123,IF(AA123="",TRUE(),N(AB123)=AA123),IF(AC123="",TRUE(),N(AD123)=AC123),IF(AE123="",TRUE(),N(AF123)=AE123)),"一致","不一致"))))</f>
        <v>手動確認</v>
      </c>
      <c r="G123" s="25" t="s">
        <v>159</v>
      </c>
      <c r="H123" s="26"/>
      <c r="I123" s="27"/>
      <c r="J123" s="27"/>
      <c r="K123" s="27"/>
      <c r="L123" s="27"/>
      <c r="M123" s="27"/>
      <c r="N123" s="27" t="n">
        <v>607560</v>
      </c>
      <c r="O123" s="27" t="n">
        <v>49800</v>
      </c>
      <c r="P123" s="27" t="n">
        <v>603</v>
      </c>
      <c r="Q123" s="27"/>
      <c r="R123" s="27" t="n">
        <v>344697</v>
      </c>
      <c r="S123" s="27"/>
      <c r="T123" s="27" t="n">
        <v>28203</v>
      </c>
      <c r="U123" s="27"/>
      <c r="V123" s="27" t="n">
        <v>7634</v>
      </c>
      <c r="W123" s="10" t="str">
        <f aca="false">IFERROR(INDEX(設定!$E$61:$E$106,MATCH(B123,設定!$B$61:$B$106,0)),"合算")</f>
        <v>合算</v>
      </c>
      <c r="X123" s="28"/>
      <c r="Y123" s="29" t="n">
        <f aca="false">IF(OR(G123="",G123="なし"),"",IF(W123="合算",CF123,IF(W123="掛金・負担金別",(AU123+AV123+AZ123+BB123+BD123),SUM(AU123:AY123))))</f>
        <v>1038497</v>
      </c>
      <c r="Z123" s="27"/>
      <c r="AA123" s="29" t="str">
        <f aca="false">IF(OR(G123="",G123="なし"),"",IF(W123="掛金・負担金別",(AW123+AX123+AY123+BA123+BC123+BE123),IF(W123="経理区分別",AZ123+BA123,"")))</f>
        <v/>
      </c>
      <c r="AB123" s="27"/>
      <c r="AC123" s="29" t="str">
        <f aca="false">IF(OR(G123="",G123="なし"),"",IF(W123="経理区分別",BB123+BC123,""))</f>
        <v/>
      </c>
      <c r="AD123" s="27"/>
      <c r="AE123" s="29" t="str">
        <f aca="false">IF(OR(G123="",G123="なし"),"",IF(W123="経理区分別",BD123+BE123,""))</f>
        <v/>
      </c>
      <c r="AF123" s="27"/>
      <c r="AG123" s="26" t="s">
        <v>160</v>
      </c>
      <c r="AH123" s="26"/>
      <c r="AI123" s="30"/>
      <c r="AJ123" s="31"/>
      <c r="AK123" s="31"/>
      <c r="AL123" s="31"/>
      <c r="AM123" s="31"/>
      <c r="AN123" s="31"/>
      <c r="AO123" s="31"/>
      <c r="AP123" s="31"/>
      <c r="AQ123" s="31"/>
      <c r="AR123" s="31"/>
      <c r="AS123" s="31"/>
      <c r="AT123" s="31"/>
      <c r="AU123" s="31" t="n">
        <f aca="false">IF($G123="",AJ123,L123)</f>
        <v>0</v>
      </c>
      <c r="AV123" s="31" t="n">
        <f aca="false">IF($G123="",AK123,M123)</f>
        <v>0</v>
      </c>
      <c r="AW123" s="31" t="n">
        <f aca="false">IF($G123="",AL123,N123)</f>
        <v>607560</v>
      </c>
      <c r="AX123" s="31" t="n">
        <f aca="false">IF($G123="",AM123,O123)</f>
        <v>49800</v>
      </c>
      <c r="AY123" s="31" t="n">
        <f aca="false">IF($G123="",AN123,P123)</f>
        <v>603</v>
      </c>
      <c r="AZ123" s="31" t="n">
        <f aca="false">IF($G123="",AO123,Q123)</f>
        <v>0</v>
      </c>
      <c r="BA123" s="31" t="n">
        <f aca="false">IF($G123="",AP123,R123)</f>
        <v>344697</v>
      </c>
      <c r="BB123" s="31" t="n">
        <f aca="false">IF($G123="",AQ123,S123)</f>
        <v>0</v>
      </c>
      <c r="BC123" s="31" t="n">
        <f aca="false">IF($G123="",AR123,T123)</f>
        <v>28203</v>
      </c>
      <c r="BD123" s="31" t="n">
        <f aca="false">IF($G123="",AS123,U123)</f>
        <v>0</v>
      </c>
      <c r="BE123" s="31" t="n">
        <f aca="false">IF($G123="",AT123,V123)</f>
        <v>7634</v>
      </c>
      <c r="BF123" s="31" t="n">
        <f aca="false">ROUNDDOWN(I123*設定!$B$10/1000,0)+ROUNDDOWN(I123*設定!$B$11/1000,0)</f>
        <v>0</v>
      </c>
      <c r="BG123" s="31" t="n">
        <f aca="false">ROUNDDOWN(I123*設定!$C$10/1000,0)+ROUNDDOWN(I123*設定!$C$11/1000,0)+ROUNDDOWN(I123*設定!$C$12/1000,0)</f>
        <v>0</v>
      </c>
      <c r="BH123" s="31" t="n">
        <f aca="false">ROUNDDOWN(J123*設定!$B$13/1000,0)</f>
        <v>0</v>
      </c>
      <c r="BI123" s="31" t="n">
        <f aca="false">ROUNDDOWN(J123*設定!$C$13/1000,0)</f>
        <v>0</v>
      </c>
      <c r="BJ123" s="31" t="n">
        <f aca="false">ROUNDDOWN(K123*設定!$B$14/1000,0)</f>
        <v>0</v>
      </c>
      <c r="BK123" s="31" t="n">
        <f aca="false">ROUNDDOWN(K123*設定!$C$14/1000,0)</f>
        <v>0</v>
      </c>
      <c r="BL123" s="31" t="n">
        <f aca="false">ROUNDDOWN(J123*設定!$B$15/1000,0)</f>
        <v>0</v>
      </c>
      <c r="BM123" s="31" t="n">
        <f aca="false">ROUNDDOWN(J123*設定!$C$15/1000,0)</f>
        <v>0</v>
      </c>
      <c r="BN123" s="31" t="n">
        <f aca="false">L123+M123</f>
        <v>0</v>
      </c>
      <c r="BO123" s="31" t="n">
        <f aca="false">N123+O123+P123</f>
        <v>657963</v>
      </c>
      <c r="BP123" s="31" t="n">
        <f aca="false">Q123</f>
        <v>0</v>
      </c>
      <c r="BQ123" s="31" t="n">
        <f aca="false">R123</f>
        <v>344697</v>
      </c>
      <c r="BR123" s="31" t="n">
        <f aca="false">S123</f>
        <v>0</v>
      </c>
      <c r="BS123" s="31" t="n">
        <f aca="false">T123</f>
        <v>28203</v>
      </c>
      <c r="BT123" s="31" t="n">
        <f aca="false">U123</f>
        <v>0</v>
      </c>
      <c r="BU123" s="31" t="n">
        <f aca="false">V123</f>
        <v>7634</v>
      </c>
      <c r="BV123" s="32" t="n">
        <f aca="false">IF(BF123=0,IF(BN123=0,0,1),(BN123-BF123)/BF123)</f>
        <v>0</v>
      </c>
      <c r="BW123" s="32" t="n">
        <f aca="false">IF(BG123=0,IF(BO123=0,0,1),(BO123-BG123)/BG123)</f>
        <v>1</v>
      </c>
      <c r="BX123" s="32" t="n">
        <f aca="false">IF(BH123=0,IF(BP123=0,0,1),(BP123-BH123)/BH123)</f>
        <v>0</v>
      </c>
      <c r="BY123" s="32" t="n">
        <f aca="false">IF(BI123=0,IF(BQ123=0,0,1),(BQ123-BI123)/BI123)</f>
        <v>1</v>
      </c>
      <c r="BZ123" s="32" t="n">
        <f aca="false">IF(BJ123=0,IF(BR123=0,0,1),(BR123-BJ123)/BJ123)</f>
        <v>0</v>
      </c>
      <c r="CA123" s="32" t="n">
        <f aca="false">IF(BK123=0,IF(BS123=0,0,1),(BS123-BK123)/BK123)</f>
        <v>1</v>
      </c>
      <c r="CB123" s="32" t="n">
        <f aca="false">IF(BL123=0,IF(BT123=0,0,1),(BT123-BL123)/BL123)</f>
        <v>0</v>
      </c>
      <c r="CC123" s="32" t="n">
        <f aca="false">IF(BM123=0,IF(BU123=0,0,1),(BU123-BM123)/BM123)</f>
        <v>1</v>
      </c>
      <c r="CD123" s="32" t="n">
        <f aca="false">MAX(MAX(BV123:CC123),-MIN(BV123:CC123))</f>
        <v>1</v>
      </c>
      <c r="CE123" s="31" t="n">
        <f aca="false">IF(CI123="","",SUMIFS($CF$7:$CF$696,$A$7:$A$696,CI123,$B$7:$B$696,B123))</f>
        <v>1038497</v>
      </c>
      <c r="CF123" s="31" t="n">
        <f aca="false">SUM(AU123:BE123)</f>
        <v>1038497</v>
      </c>
      <c r="CG123" s="33" t="str">
        <f aca="false">A123&amp;"|"&amp;B123</f>
        <v>2026-06 月例|農林水産振興センタ</v>
      </c>
      <c r="CH123" s="34" t="str">
        <f aca="false">IFERROR(INDEX(設定!$D$61:$D$106,MATCH(B123,設定!$B$61:$B$106,0)),"Y")</f>
        <v>Y</v>
      </c>
      <c r="CI123" s="34" t="str">
        <f aca="false">IFERROR(INDEX(設定!$D$20:$D$34,MATCH(A123,設定!$A$20:$A$34,0))&amp;"","")</f>
        <v>2026-05 月例</v>
      </c>
    </row>
    <row r="124" customFormat="false" ht="15" hidden="true" customHeight="false" outlineLevel="0" collapsed="false">
      <c r="A124" s="22" t="s">
        <v>209</v>
      </c>
      <c r="B124" s="23" t="s">
        <v>186</v>
      </c>
      <c r="C124" s="10" t="str">
        <f aca="false">IF(G124="","未受領",IF(G124="なし","報告なし",IF(AH124="○","起票済",IF(OR(AG124="○",F124="一致",F124="入金不要"),"入金確認済","受領済"))))</f>
        <v>入金確認済</v>
      </c>
      <c r="D124" s="10" t="str">
        <f aca="false">IF(OR(G124="",G124="なし"),"―",IF(CH124="N","対象外",IF(AND(I124="",J124="",K124=""),"標報未入力",IF(CD124&gt;=設定!$B$4,"要確認","問題なし"))))</f>
        <v>標報未入力</v>
      </c>
      <c r="E124" s="24" t="str">
        <f aca="false">IF(OR(G124="",G124="なし",CE124="",CF124=0),"―",IF(CF124=CE124,"前月同額",IF(CE124=0,"―",IF(ABS(CF124/CE124-1)&gt;=設定!$B$5,"変動大 "&amp;TEXT(CF124/CE124-1,"+0%;-0%"),"〇"))))</f>
        <v>前月同額</v>
      </c>
      <c r="F124" s="10" t="str">
        <f aca="false">IF(OR(G124="",G124="なし"),"―",IF(CF124=0,"入金不要",IF(COUNT(Z124,AB124,AD124,AF124)=0,IF(AG124="○","手動確認","未入金"),IF(AND(N(Z124)=Y124,IF(AA124="",TRUE(),N(AB124)=AA124),IF(AC124="",TRUE(),N(AD124)=AC124),IF(AE124="",TRUE(),N(AF124)=AE124)),"一致","不一致"))))</f>
        <v>手動確認</v>
      </c>
      <c r="G124" s="25" t="s">
        <v>159</v>
      </c>
      <c r="H124" s="26"/>
      <c r="I124" s="27"/>
      <c r="J124" s="27"/>
      <c r="K124" s="27"/>
      <c r="L124" s="27"/>
      <c r="M124" s="27"/>
      <c r="N124" s="27" t="n">
        <v>1056825</v>
      </c>
      <c r="O124" s="27" t="n">
        <v>86625</v>
      </c>
      <c r="P124" s="27" t="n">
        <v>1000</v>
      </c>
      <c r="Q124" s="27"/>
      <c r="R124" s="27" t="n">
        <v>602672</v>
      </c>
      <c r="S124" s="27"/>
      <c r="T124" s="27" t="n">
        <v>86347</v>
      </c>
      <c r="U124" s="27"/>
      <c r="V124" s="27" t="n">
        <v>13350</v>
      </c>
      <c r="W124" s="10" t="str">
        <f aca="false">IFERROR(INDEX(設定!$E$61:$E$106,MATCH(B124,設定!$B$61:$B$106,0)),"合算")</f>
        <v>合算</v>
      </c>
      <c r="X124" s="28"/>
      <c r="Y124" s="29" t="n">
        <f aca="false">IF(OR(G124="",G124="なし"),"",IF(W124="合算",CF124,IF(W124="掛金・負担金別",(AU124+AV124+AZ124+BB124+BD124),SUM(AU124:AY124))))</f>
        <v>1846819</v>
      </c>
      <c r="Z124" s="27"/>
      <c r="AA124" s="29" t="str">
        <f aca="false">IF(OR(G124="",G124="なし"),"",IF(W124="掛金・負担金別",(AW124+AX124+AY124+BA124+BC124+BE124),IF(W124="経理区分別",AZ124+BA124,"")))</f>
        <v/>
      </c>
      <c r="AB124" s="27"/>
      <c r="AC124" s="29" t="str">
        <f aca="false">IF(OR(G124="",G124="なし"),"",IF(W124="経理区分別",BB124+BC124,""))</f>
        <v/>
      </c>
      <c r="AD124" s="27"/>
      <c r="AE124" s="29" t="str">
        <f aca="false">IF(OR(G124="",G124="なし"),"",IF(W124="経理区分別",BD124+BE124,""))</f>
        <v/>
      </c>
      <c r="AF124" s="27"/>
      <c r="AG124" s="26" t="s">
        <v>160</v>
      </c>
      <c r="AH124" s="26"/>
      <c r="AI124" s="30"/>
      <c r="AJ124" s="31"/>
      <c r="AK124" s="31"/>
      <c r="AL124" s="31"/>
      <c r="AM124" s="31"/>
      <c r="AN124" s="31"/>
      <c r="AO124" s="31"/>
      <c r="AP124" s="31"/>
      <c r="AQ124" s="31"/>
      <c r="AR124" s="31"/>
      <c r="AS124" s="31"/>
      <c r="AT124" s="31"/>
      <c r="AU124" s="31" t="n">
        <f aca="false">IF($G124="",AJ124,L124)</f>
        <v>0</v>
      </c>
      <c r="AV124" s="31" t="n">
        <f aca="false">IF($G124="",AK124,M124)</f>
        <v>0</v>
      </c>
      <c r="AW124" s="31" t="n">
        <f aca="false">IF($G124="",AL124,N124)</f>
        <v>1056825</v>
      </c>
      <c r="AX124" s="31" t="n">
        <f aca="false">IF($G124="",AM124,O124)</f>
        <v>86625</v>
      </c>
      <c r="AY124" s="31" t="n">
        <f aca="false">IF($G124="",AN124,P124)</f>
        <v>1000</v>
      </c>
      <c r="AZ124" s="31" t="n">
        <f aca="false">IF($G124="",AO124,Q124)</f>
        <v>0</v>
      </c>
      <c r="BA124" s="31" t="n">
        <f aca="false">IF($G124="",AP124,R124)</f>
        <v>602672</v>
      </c>
      <c r="BB124" s="31" t="n">
        <f aca="false">IF($G124="",AQ124,S124)</f>
        <v>0</v>
      </c>
      <c r="BC124" s="31" t="n">
        <f aca="false">IF($G124="",AR124,T124)</f>
        <v>86347</v>
      </c>
      <c r="BD124" s="31" t="n">
        <f aca="false">IF($G124="",AS124,U124)</f>
        <v>0</v>
      </c>
      <c r="BE124" s="31" t="n">
        <f aca="false">IF($G124="",AT124,V124)</f>
        <v>13350</v>
      </c>
      <c r="BF124" s="31" t="n">
        <f aca="false">ROUNDDOWN(I124*設定!$B$10/1000,0)+ROUNDDOWN(I124*設定!$B$11/1000,0)</f>
        <v>0</v>
      </c>
      <c r="BG124" s="31" t="n">
        <f aca="false">ROUNDDOWN(I124*設定!$C$10/1000,0)+ROUNDDOWN(I124*設定!$C$11/1000,0)+ROUNDDOWN(I124*設定!$C$12/1000,0)</f>
        <v>0</v>
      </c>
      <c r="BH124" s="31" t="n">
        <f aca="false">ROUNDDOWN(J124*設定!$B$13/1000,0)</f>
        <v>0</v>
      </c>
      <c r="BI124" s="31" t="n">
        <f aca="false">ROUNDDOWN(J124*設定!$C$13/1000,0)</f>
        <v>0</v>
      </c>
      <c r="BJ124" s="31" t="n">
        <f aca="false">ROUNDDOWN(K124*設定!$B$14/1000,0)</f>
        <v>0</v>
      </c>
      <c r="BK124" s="31" t="n">
        <f aca="false">ROUNDDOWN(K124*設定!$C$14/1000,0)</f>
        <v>0</v>
      </c>
      <c r="BL124" s="31" t="n">
        <f aca="false">ROUNDDOWN(J124*設定!$B$15/1000,0)</f>
        <v>0</v>
      </c>
      <c r="BM124" s="31" t="n">
        <f aca="false">ROUNDDOWN(J124*設定!$C$15/1000,0)</f>
        <v>0</v>
      </c>
      <c r="BN124" s="31" t="n">
        <f aca="false">L124+M124</f>
        <v>0</v>
      </c>
      <c r="BO124" s="31" t="n">
        <f aca="false">N124+O124+P124</f>
        <v>1144450</v>
      </c>
      <c r="BP124" s="31" t="n">
        <f aca="false">Q124</f>
        <v>0</v>
      </c>
      <c r="BQ124" s="31" t="n">
        <f aca="false">R124</f>
        <v>602672</v>
      </c>
      <c r="BR124" s="31" t="n">
        <f aca="false">S124</f>
        <v>0</v>
      </c>
      <c r="BS124" s="31" t="n">
        <f aca="false">T124</f>
        <v>86347</v>
      </c>
      <c r="BT124" s="31" t="n">
        <f aca="false">U124</f>
        <v>0</v>
      </c>
      <c r="BU124" s="31" t="n">
        <f aca="false">V124</f>
        <v>13350</v>
      </c>
      <c r="BV124" s="32" t="n">
        <f aca="false">IF(BF124=0,IF(BN124=0,0,1),(BN124-BF124)/BF124)</f>
        <v>0</v>
      </c>
      <c r="BW124" s="32" t="n">
        <f aca="false">IF(BG124=0,IF(BO124=0,0,1),(BO124-BG124)/BG124)</f>
        <v>1</v>
      </c>
      <c r="BX124" s="32" t="n">
        <f aca="false">IF(BH124=0,IF(BP124=0,0,1),(BP124-BH124)/BH124)</f>
        <v>0</v>
      </c>
      <c r="BY124" s="32" t="n">
        <f aca="false">IF(BI124=0,IF(BQ124=0,0,1),(BQ124-BI124)/BI124)</f>
        <v>1</v>
      </c>
      <c r="BZ124" s="32" t="n">
        <f aca="false">IF(BJ124=0,IF(BR124=0,0,1),(BR124-BJ124)/BJ124)</f>
        <v>0</v>
      </c>
      <c r="CA124" s="32" t="n">
        <f aca="false">IF(BK124=0,IF(BS124=0,0,1),(BS124-BK124)/BK124)</f>
        <v>1</v>
      </c>
      <c r="CB124" s="32" t="n">
        <f aca="false">IF(BL124=0,IF(BT124=0,0,1),(BT124-BL124)/BL124)</f>
        <v>0</v>
      </c>
      <c r="CC124" s="32" t="n">
        <f aca="false">IF(BM124=0,IF(BU124=0,0,1),(BU124-BM124)/BM124)</f>
        <v>1</v>
      </c>
      <c r="CD124" s="32" t="n">
        <f aca="false">MAX(MAX(BV124:CC124),-MIN(BV124:CC124))</f>
        <v>1</v>
      </c>
      <c r="CE124" s="31" t="n">
        <f aca="false">IF(CI124="","",SUMIFS($CF$7:$CF$696,$A$7:$A$696,CI124,$B$7:$B$696,B124))</f>
        <v>1846819</v>
      </c>
      <c r="CF124" s="31" t="n">
        <f aca="false">SUM(AU124:BE124)</f>
        <v>1846819</v>
      </c>
      <c r="CG124" s="33" t="str">
        <f aca="false">A124&amp;"|"&amp;B124</f>
        <v>2026-06 月例|文化財団　市長部局</v>
      </c>
      <c r="CH124" s="34" t="str">
        <f aca="false">IFERROR(INDEX(設定!$D$61:$D$106,MATCH(B124,設定!$B$61:$B$106,0)),"Y")</f>
        <v>Y</v>
      </c>
      <c r="CI124" s="34" t="str">
        <f aca="false">IFERROR(INDEX(設定!$D$20:$D$34,MATCH(A124,設定!$A$20:$A$34,0))&amp;"","")</f>
        <v>2026-05 月例</v>
      </c>
    </row>
    <row r="125" customFormat="false" ht="15" hidden="true" customHeight="false" outlineLevel="0" collapsed="false">
      <c r="A125" s="22" t="s">
        <v>209</v>
      </c>
      <c r="B125" s="23" t="s">
        <v>187</v>
      </c>
      <c r="C125" s="10" t="str">
        <f aca="false">IF(G125="","未受領",IF(G125="なし","報告なし",IF(AH125="○","起票済",IF(OR(AG125="○",F125="一致",F125="入金不要"),"入金確認済","受領済"))))</f>
        <v>入金確認済</v>
      </c>
      <c r="D125" s="10" t="str">
        <f aca="false">IF(OR(G125="",G125="なし"),"―",IF(CH125="N","対象外",IF(AND(I125="",J125="",K125=""),"標報未入力",IF(CD125&gt;=設定!$B$4,"要確認","問題なし"))))</f>
        <v>標報未入力</v>
      </c>
      <c r="E125" s="24" t="str">
        <f aca="false">IF(OR(G125="",G125="なし",CE125="",CF125=0),"―",IF(CF125=CE125,"前月同額",IF(CE125=0,"―",IF(ABS(CF125/CE125-1)&gt;=設定!$B$5,"変動大 "&amp;TEXT(CF125/CE125-1,"+0%;-0%"),"〇"))))</f>
        <v>―</v>
      </c>
      <c r="F125" s="10" t="str">
        <f aca="false">IF(OR(G125="",G125="なし"),"―",IF(CF125=0,"入金不要",IF(COUNT(Z125,AB125,AD125,AF125)=0,IF(AG125="○","手動確認","未入金"),IF(AND(N(Z125)=Y125,IF(AA125="",TRUE(),N(AB125)=AA125),IF(AC125="",TRUE(),N(AD125)=AC125),IF(AE125="",TRUE(),N(AF125)=AE125)),"一致","不一致"))))</f>
        <v>入金不要</v>
      </c>
      <c r="G125" s="25" t="s">
        <v>159</v>
      </c>
      <c r="H125" s="26"/>
      <c r="I125" s="27"/>
      <c r="J125" s="27"/>
      <c r="K125" s="27"/>
      <c r="L125" s="27"/>
      <c r="M125" s="27"/>
      <c r="N125" s="27" t="n">
        <v>0</v>
      </c>
      <c r="O125" s="27" t="n">
        <v>0</v>
      </c>
      <c r="P125" s="27" t="n">
        <v>0</v>
      </c>
      <c r="Q125" s="27"/>
      <c r="R125" s="27" t="n">
        <v>0</v>
      </c>
      <c r="S125" s="27"/>
      <c r="T125" s="27" t="n">
        <v>0</v>
      </c>
      <c r="U125" s="27"/>
      <c r="V125" s="27" t="n">
        <v>0</v>
      </c>
      <c r="W125" s="10" t="str">
        <f aca="false">IFERROR(INDEX(設定!$E$61:$E$106,MATCH(B125,設定!$B$61:$B$106,0)),"合算")</f>
        <v>合算</v>
      </c>
      <c r="X125" s="28"/>
      <c r="Y125" s="29" t="n">
        <f aca="false">IF(OR(G125="",G125="なし"),"",IF(W125="合算",CF125,IF(W125="掛金・負担金別",(AU125+AV125+AZ125+BB125+BD125),SUM(AU125:AY125))))</f>
        <v>0</v>
      </c>
      <c r="Z125" s="27"/>
      <c r="AA125" s="29" t="str">
        <f aca="false">IF(OR(G125="",G125="なし"),"",IF(W125="掛金・負担金別",(AW125+AX125+AY125+BA125+BC125+BE125),IF(W125="経理区分別",AZ125+BA125,"")))</f>
        <v/>
      </c>
      <c r="AB125" s="27"/>
      <c r="AC125" s="29" t="str">
        <f aca="false">IF(OR(G125="",G125="なし"),"",IF(W125="経理区分別",BB125+BC125,""))</f>
        <v/>
      </c>
      <c r="AD125" s="27"/>
      <c r="AE125" s="29" t="str">
        <f aca="false">IF(OR(G125="",G125="なし"),"",IF(W125="経理区分別",BD125+BE125,""))</f>
        <v/>
      </c>
      <c r="AF125" s="27"/>
      <c r="AG125" s="26" t="s">
        <v>160</v>
      </c>
      <c r="AH125" s="26"/>
      <c r="AI125" s="30"/>
      <c r="AJ125" s="31"/>
      <c r="AK125" s="31"/>
      <c r="AL125" s="31"/>
      <c r="AM125" s="31"/>
      <c r="AN125" s="31"/>
      <c r="AO125" s="31"/>
      <c r="AP125" s="31"/>
      <c r="AQ125" s="31"/>
      <c r="AR125" s="31"/>
      <c r="AS125" s="31"/>
      <c r="AT125" s="31"/>
      <c r="AU125" s="31" t="n">
        <f aca="false">IF($G125="",AJ125,L125)</f>
        <v>0</v>
      </c>
      <c r="AV125" s="31" t="n">
        <f aca="false">IF($G125="",AK125,M125)</f>
        <v>0</v>
      </c>
      <c r="AW125" s="31" t="n">
        <f aca="false">IF($G125="",AL125,N125)</f>
        <v>0</v>
      </c>
      <c r="AX125" s="31" t="n">
        <f aca="false">IF($G125="",AM125,O125)</f>
        <v>0</v>
      </c>
      <c r="AY125" s="31" t="n">
        <f aca="false">IF($G125="",AN125,P125)</f>
        <v>0</v>
      </c>
      <c r="AZ125" s="31" t="n">
        <f aca="false">IF($G125="",AO125,Q125)</f>
        <v>0</v>
      </c>
      <c r="BA125" s="31" t="n">
        <f aca="false">IF($G125="",AP125,R125)</f>
        <v>0</v>
      </c>
      <c r="BB125" s="31" t="n">
        <f aca="false">IF($G125="",AQ125,S125)</f>
        <v>0</v>
      </c>
      <c r="BC125" s="31" t="n">
        <f aca="false">IF($G125="",AR125,T125)</f>
        <v>0</v>
      </c>
      <c r="BD125" s="31" t="n">
        <f aca="false">IF($G125="",AS125,U125)</f>
        <v>0</v>
      </c>
      <c r="BE125" s="31" t="n">
        <f aca="false">IF($G125="",AT125,V125)</f>
        <v>0</v>
      </c>
      <c r="BF125" s="31" t="n">
        <f aca="false">ROUNDDOWN(I125*設定!$B$10/1000,0)+ROUNDDOWN(I125*設定!$B$11/1000,0)</f>
        <v>0</v>
      </c>
      <c r="BG125" s="31" t="n">
        <f aca="false">ROUNDDOWN(I125*設定!$C$10/1000,0)+ROUNDDOWN(I125*設定!$C$11/1000,0)+ROUNDDOWN(I125*設定!$C$12/1000,0)</f>
        <v>0</v>
      </c>
      <c r="BH125" s="31" t="n">
        <f aca="false">ROUNDDOWN(J125*設定!$B$13/1000,0)</f>
        <v>0</v>
      </c>
      <c r="BI125" s="31" t="n">
        <f aca="false">ROUNDDOWN(J125*設定!$C$13/1000,0)</f>
        <v>0</v>
      </c>
      <c r="BJ125" s="31" t="n">
        <f aca="false">ROUNDDOWN(K125*設定!$B$14/1000,0)</f>
        <v>0</v>
      </c>
      <c r="BK125" s="31" t="n">
        <f aca="false">ROUNDDOWN(K125*設定!$C$14/1000,0)</f>
        <v>0</v>
      </c>
      <c r="BL125" s="31" t="n">
        <f aca="false">ROUNDDOWN(J125*設定!$B$15/1000,0)</f>
        <v>0</v>
      </c>
      <c r="BM125" s="31" t="n">
        <f aca="false">ROUNDDOWN(J125*設定!$C$15/1000,0)</f>
        <v>0</v>
      </c>
      <c r="BN125" s="31" t="n">
        <f aca="false">L125+M125</f>
        <v>0</v>
      </c>
      <c r="BO125" s="31" t="n">
        <f aca="false">N125+O125+P125</f>
        <v>0</v>
      </c>
      <c r="BP125" s="31" t="n">
        <f aca="false">Q125</f>
        <v>0</v>
      </c>
      <c r="BQ125" s="31" t="n">
        <f aca="false">R125</f>
        <v>0</v>
      </c>
      <c r="BR125" s="31" t="n">
        <f aca="false">S125</f>
        <v>0</v>
      </c>
      <c r="BS125" s="31" t="n">
        <f aca="false">T125</f>
        <v>0</v>
      </c>
      <c r="BT125" s="31" t="n">
        <f aca="false">U125</f>
        <v>0</v>
      </c>
      <c r="BU125" s="31" t="n">
        <f aca="false">V125</f>
        <v>0</v>
      </c>
      <c r="BV125" s="32" t="n">
        <f aca="false">IF(BF125=0,IF(BN125=0,0,1),(BN125-BF125)/BF125)</f>
        <v>0</v>
      </c>
      <c r="BW125" s="32" t="n">
        <f aca="false">IF(BG125=0,IF(BO125=0,0,1),(BO125-BG125)/BG125)</f>
        <v>0</v>
      </c>
      <c r="BX125" s="32" t="n">
        <f aca="false">IF(BH125=0,IF(BP125=0,0,1),(BP125-BH125)/BH125)</f>
        <v>0</v>
      </c>
      <c r="BY125" s="32" t="n">
        <f aca="false">IF(BI125=0,IF(BQ125=0,0,1),(BQ125-BI125)/BI125)</f>
        <v>0</v>
      </c>
      <c r="BZ125" s="32" t="n">
        <f aca="false">IF(BJ125=0,IF(BR125=0,0,1),(BR125-BJ125)/BJ125)</f>
        <v>0</v>
      </c>
      <c r="CA125" s="32" t="n">
        <f aca="false">IF(BK125=0,IF(BS125=0,0,1),(BS125-BK125)/BK125)</f>
        <v>0</v>
      </c>
      <c r="CB125" s="32" t="n">
        <f aca="false">IF(BL125=0,IF(BT125=0,0,1),(BT125-BL125)/BL125)</f>
        <v>0</v>
      </c>
      <c r="CC125" s="32" t="n">
        <f aca="false">IF(BM125=0,IF(BU125=0,0,1),(BU125-BM125)/BM125)</f>
        <v>0</v>
      </c>
      <c r="CD125" s="32" t="n">
        <f aca="false">MAX(MAX(BV125:CC125),-MIN(BV125:CC125))</f>
        <v>-0</v>
      </c>
      <c r="CE125" s="31" t="n">
        <f aca="false">IF(CI125="","",SUMIFS($CF$7:$CF$696,$A$7:$A$696,CI125,$B$7:$B$696,B125))</f>
        <v>0</v>
      </c>
      <c r="CF125" s="31" t="n">
        <f aca="false">SUM(AU125:BE125)</f>
        <v>0</v>
      </c>
      <c r="CG125" s="33" t="str">
        <f aca="false">A125&amp;"|"&amp;B125</f>
        <v>2026-06 月例|文化財団　教育委員会</v>
      </c>
      <c r="CH125" s="34" t="str">
        <f aca="false">IFERROR(INDEX(設定!$D$61:$D$106,MATCH(B125,設定!$B$61:$B$106,0)),"Y")</f>
        <v>Y</v>
      </c>
      <c r="CI125" s="34" t="str">
        <f aca="false">IFERROR(INDEX(設定!$D$20:$D$34,MATCH(A125,設定!$A$20:$A$34,0))&amp;"","")</f>
        <v>2026-05 月例</v>
      </c>
    </row>
    <row r="126" customFormat="false" ht="15" hidden="true" customHeight="false" outlineLevel="0" collapsed="false">
      <c r="A126" s="22" t="s">
        <v>209</v>
      </c>
      <c r="B126" s="23" t="s">
        <v>188</v>
      </c>
      <c r="C126" s="10" t="str">
        <f aca="false">IF(G126="","未受領",IF(G126="なし","報告なし",IF(AH126="○","起票済",IF(OR(AG126="○",F126="一致",F126="入金不要"),"入金確認済","受領済"))))</f>
        <v>入金確認済</v>
      </c>
      <c r="D126" s="10" t="str">
        <f aca="false">IF(OR(G126="",G126="なし"),"―",IF(CH126="N","対象外",IF(AND(I126="",J126="",K126=""),"標報未入力",IF(CD126&gt;=設定!$B$4,"要確認","問題なし"))))</f>
        <v>標報未入力</v>
      </c>
      <c r="E126" s="24" t="str">
        <f aca="false">IF(OR(G126="",G126="なし",CE126="",CF126=0),"―",IF(CF126=CE126,"前月同額",IF(CE126=0,"―",IF(ABS(CF126/CE126-1)&gt;=設定!$B$5,"変動大 "&amp;TEXT(CF126/CE126-1,"+0%;-0%"),"〇"))))</f>
        <v>前月同額</v>
      </c>
      <c r="F126" s="10" t="str">
        <f aca="false">IF(OR(G126="",G126="なし"),"―",IF(CF126=0,"入金不要",IF(COUNT(Z126,AB126,AD126,AF126)=0,IF(AG126="○","手動確認","未入金"),IF(AND(N(Z126)=Y126,IF(AA126="",TRUE(),N(AB126)=AA126),IF(AC126="",TRUE(),N(AD126)=AC126),IF(AE126="",TRUE(),N(AF126)=AE126)),"一致","不一致"))))</f>
        <v>手動確認</v>
      </c>
      <c r="G126" s="25" t="s">
        <v>159</v>
      </c>
      <c r="H126" s="26"/>
      <c r="I126" s="27"/>
      <c r="J126" s="27"/>
      <c r="K126" s="27"/>
      <c r="L126" s="27"/>
      <c r="M126" s="27"/>
      <c r="N126" s="27" t="n">
        <v>405345</v>
      </c>
      <c r="O126" s="27" t="n">
        <v>33225</v>
      </c>
      <c r="P126" s="27" t="n">
        <v>383</v>
      </c>
      <c r="Q126" s="27"/>
      <c r="R126" s="27" t="n">
        <v>229959</v>
      </c>
      <c r="S126" s="27"/>
      <c r="T126" s="27" t="n">
        <v>34997</v>
      </c>
      <c r="U126" s="27"/>
      <c r="V126" s="27" t="n">
        <v>5093</v>
      </c>
      <c r="W126" s="10" t="str">
        <f aca="false">IFERROR(INDEX(設定!$E$61:$E$106,MATCH(B126,設定!$B$61:$B$106,0)),"合算")</f>
        <v>合算</v>
      </c>
      <c r="X126" s="28"/>
      <c r="Y126" s="29" t="n">
        <f aca="false">IF(OR(G126="",G126="なし"),"",IF(W126="合算",CF126,IF(W126="掛金・負担金別",(AU126+AV126+AZ126+BB126+BD126),SUM(AU126:AY126))))</f>
        <v>709002</v>
      </c>
      <c r="Z126" s="27"/>
      <c r="AA126" s="29" t="str">
        <f aca="false">IF(OR(G126="",G126="なし"),"",IF(W126="掛金・負担金別",(AW126+AX126+AY126+BA126+BC126+BE126),IF(W126="経理区分別",AZ126+BA126,"")))</f>
        <v/>
      </c>
      <c r="AB126" s="27"/>
      <c r="AC126" s="29" t="str">
        <f aca="false">IF(OR(G126="",G126="なし"),"",IF(W126="経理区分別",BB126+BC126,""))</f>
        <v/>
      </c>
      <c r="AD126" s="27"/>
      <c r="AE126" s="29" t="str">
        <f aca="false">IF(OR(G126="",G126="なし"),"",IF(W126="経理区分別",BD126+BE126,""))</f>
        <v/>
      </c>
      <c r="AF126" s="27"/>
      <c r="AG126" s="26" t="s">
        <v>160</v>
      </c>
      <c r="AH126" s="26"/>
      <c r="AI126" s="30"/>
      <c r="AJ126" s="31"/>
      <c r="AK126" s="31"/>
      <c r="AL126" s="31"/>
      <c r="AM126" s="31"/>
      <c r="AN126" s="31"/>
      <c r="AO126" s="31"/>
      <c r="AP126" s="31"/>
      <c r="AQ126" s="31"/>
      <c r="AR126" s="31"/>
      <c r="AS126" s="31"/>
      <c r="AT126" s="31"/>
      <c r="AU126" s="31" t="n">
        <f aca="false">IF($G126="",AJ126,L126)</f>
        <v>0</v>
      </c>
      <c r="AV126" s="31" t="n">
        <f aca="false">IF($G126="",AK126,M126)</f>
        <v>0</v>
      </c>
      <c r="AW126" s="31" t="n">
        <f aca="false">IF($G126="",AL126,N126)</f>
        <v>405345</v>
      </c>
      <c r="AX126" s="31" t="n">
        <f aca="false">IF($G126="",AM126,O126)</f>
        <v>33225</v>
      </c>
      <c r="AY126" s="31" t="n">
        <f aca="false">IF($G126="",AN126,P126)</f>
        <v>383</v>
      </c>
      <c r="AZ126" s="31" t="n">
        <f aca="false">IF($G126="",AO126,Q126)</f>
        <v>0</v>
      </c>
      <c r="BA126" s="31" t="n">
        <f aca="false">IF($G126="",AP126,R126)</f>
        <v>229959</v>
      </c>
      <c r="BB126" s="31" t="n">
        <f aca="false">IF($G126="",AQ126,S126)</f>
        <v>0</v>
      </c>
      <c r="BC126" s="31" t="n">
        <f aca="false">IF($G126="",AR126,T126)</f>
        <v>34997</v>
      </c>
      <c r="BD126" s="31" t="n">
        <f aca="false">IF($G126="",AS126,U126)</f>
        <v>0</v>
      </c>
      <c r="BE126" s="31" t="n">
        <f aca="false">IF($G126="",AT126,V126)</f>
        <v>5093</v>
      </c>
      <c r="BF126" s="31" t="n">
        <f aca="false">ROUNDDOWN(I126*設定!$B$10/1000,0)+ROUNDDOWN(I126*設定!$B$11/1000,0)</f>
        <v>0</v>
      </c>
      <c r="BG126" s="31" t="n">
        <f aca="false">ROUNDDOWN(I126*設定!$C$10/1000,0)+ROUNDDOWN(I126*設定!$C$11/1000,0)+ROUNDDOWN(I126*設定!$C$12/1000,0)</f>
        <v>0</v>
      </c>
      <c r="BH126" s="31" t="n">
        <f aca="false">ROUNDDOWN(J126*設定!$B$13/1000,0)</f>
        <v>0</v>
      </c>
      <c r="BI126" s="31" t="n">
        <f aca="false">ROUNDDOWN(J126*設定!$C$13/1000,0)</f>
        <v>0</v>
      </c>
      <c r="BJ126" s="31" t="n">
        <f aca="false">ROUNDDOWN(K126*設定!$B$14/1000,0)</f>
        <v>0</v>
      </c>
      <c r="BK126" s="31" t="n">
        <f aca="false">ROUNDDOWN(K126*設定!$C$14/1000,0)</f>
        <v>0</v>
      </c>
      <c r="BL126" s="31" t="n">
        <f aca="false">ROUNDDOWN(J126*設定!$B$15/1000,0)</f>
        <v>0</v>
      </c>
      <c r="BM126" s="31" t="n">
        <f aca="false">ROUNDDOWN(J126*設定!$C$15/1000,0)</f>
        <v>0</v>
      </c>
      <c r="BN126" s="31" t="n">
        <f aca="false">L126+M126</f>
        <v>0</v>
      </c>
      <c r="BO126" s="31" t="n">
        <f aca="false">N126+O126+P126</f>
        <v>438953</v>
      </c>
      <c r="BP126" s="31" t="n">
        <f aca="false">Q126</f>
        <v>0</v>
      </c>
      <c r="BQ126" s="31" t="n">
        <f aca="false">R126</f>
        <v>229959</v>
      </c>
      <c r="BR126" s="31" t="n">
        <f aca="false">S126</f>
        <v>0</v>
      </c>
      <c r="BS126" s="31" t="n">
        <f aca="false">T126</f>
        <v>34997</v>
      </c>
      <c r="BT126" s="31" t="n">
        <f aca="false">U126</f>
        <v>0</v>
      </c>
      <c r="BU126" s="31" t="n">
        <f aca="false">V126</f>
        <v>5093</v>
      </c>
      <c r="BV126" s="32" t="n">
        <f aca="false">IF(BF126=0,IF(BN126=0,0,1),(BN126-BF126)/BF126)</f>
        <v>0</v>
      </c>
      <c r="BW126" s="32" t="n">
        <f aca="false">IF(BG126=0,IF(BO126=0,0,1),(BO126-BG126)/BG126)</f>
        <v>1</v>
      </c>
      <c r="BX126" s="32" t="n">
        <f aca="false">IF(BH126=0,IF(BP126=0,0,1),(BP126-BH126)/BH126)</f>
        <v>0</v>
      </c>
      <c r="BY126" s="32" t="n">
        <f aca="false">IF(BI126=0,IF(BQ126=0,0,1),(BQ126-BI126)/BI126)</f>
        <v>1</v>
      </c>
      <c r="BZ126" s="32" t="n">
        <f aca="false">IF(BJ126=0,IF(BR126=0,0,1),(BR126-BJ126)/BJ126)</f>
        <v>0</v>
      </c>
      <c r="CA126" s="32" t="n">
        <f aca="false">IF(BK126=0,IF(BS126=0,0,1),(BS126-BK126)/BK126)</f>
        <v>1</v>
      </c>
      <c r="CB126" s="32" t="n">
        <f aca="false">IF(BL126=0,IF(BT126=0,0,1),(BT126-BL126)/BL126)</f>
        <v>0</v>
      </c>
      <c r="CC126" s="32" t="n">
        <f aca="false">IF(BM126=0,IF(BU126=0,0,1),(BU126-BM126)/BM126)</f>
        <v>1</v>
      </c>
      <c r="CD126" s="32" t="n">
        <f aca="false">MAX(MAX(BV126:CC126),-MIN(BV126:CC126))</f>
        <v>1</v>
      </c>
      <c r="CE126" s="31" t="n">
        <f aca="false">IF(CI126="","",SUMIFS($CF$7:$CF$696,$A$7:$A$696,CI126,$B$7:$B$696,B126))</f>
        <v>709002</v>
      </c>
      <c r="CF126" s="31" t="n">
        <f aca="false">SUM(AU126:BE126)</f>
        <v>709002</v>
      </c>
      <c r="CG126" s="33" t="str">
        <f aca="false">A126&amp;"|"&amp;B126</f>
        <v>2026-06 月例|みどり生きもの協会</v>
      </c>
      <c r="CH126" s="34" t="str">
        <f aca="false">IFERROR(INDEX(設定!$D$61:$D$106,MATCH(B126,設定!$B$61:$B$106,0)),"Y")</f>
        <v>Y</v>
      </c>
      <c r="CI126" s="34" t="str">
        <f aca="false">IFERROR(INDEX(設定!$D$20:$D$34,MATCH(A126,設定!$A$20:$A$34,0))&amp;"","")</f>
        <v>2026-05 月例</v>
      </c>
    </row>
    <row r="127" customFormat="false" ht="15" hidden="true" customHeight="false" outlineLevel="0" collapsed="false">
      <c r="A127" s="22" t="s">
        <v>209</v>
      </c>
      <c r="B127" s="23" t="s">
        <v>189</v>
      </c>
      <c r="C127" s="10" t="str">
        <f aca="false">IF(G127="","未受領",IF(G127="なし","報告なし",IF(AH127="○","起票済",IF(OR(AG127="○",F127="一致",F127="入金不要"),"入金確認済","受領済"))))</f>
        <v>入金確認済</v>
      </c>
      <c r="D127" s="10" t="str">
        <f aca="false">IF(OR(G127="",G127="なし"),"―",IF(CH127="N","対象外",IF(AND(I127="",J127="",K127=""),"標報未入力",IF(CD127&gt;=設定!$B$4,"要確認","問題なし"))))</f>
        <v>標報未入力</v>
      </c>
      <c r="E127" s="24" t="str">
        <f aca="false">IF(OR(G127="",G127="なし",CE127="",CF127=0),"―",IF(CF127=CE127,"前月同額",IF(CE127=0,"―",IF(ABS(CF127/CE127-1)&gt;=設定!$B$5,"変動大 "&amp;TEXT(CF127/CE127-1,"+0%;-0%"),"〇"))))</f>
        <v>前月同額</v>
      </c>
      <c r="F127" s="10" t="str">
        <f aca="false">IF(OR(G127="",G127="なし"),"―",IF(CF127=0,"入金不要",IF(COUNT(Z127,AB127,AD127,AF127)=0,IF(AG127="○","手動確認","未入金"),IF(AND(N(Z127)=Y127,IF(AA127="",TRUE(),N(AB127)=AA127),IF(AC127="",TRUE(),N(AD127)=AC127),IF(AE127="",TRUE(),N(AF127)=AE127)),"一致","不一致"))))</f>
        <v>手動確認</v>
      </c>
      <c r="G127" s="25" t="s">
        <v>159</v>
      </c>
      <c r="H127" s="26"/>
      <c r="I127" s="27"/>
      <c r="J127" s="27"/>
      <c r="K127" s="27"/>
      <c r="L127" s="27" t="n">
        <v>148230</v>
      </c>
      <c r="M127" s="27" t="n">
        <v>12150</v>
      </c>
      <c r="N127" s="27" t="n">
        <v>148230</v>
      </c>
      <c r="O127" s="27" t="n">
        <v>12150</v>
      </c>
      <c r="P127" s="27" t="n">
        <v>140</v>
      </c>
      <c r="Q127" s="27" t="n">
        <v>87123</v>
      </c>
      <c r="R127" s="27" t="n">
        <v>87208</v>
      </c>
      <c r="S127" s="27" t="n">
        <v>10033</v>
      </c>
      <c r="T127" s="27" t="n">
        <v>10033</v>
      </c>
      <c r="U127" s="27" t="n">
        <v>1931</v>
      </c>
      <c r="V127" s="27" t="n">
        <v>1932</v>
      </c>
      <c r="W127" s="10" t="str">
        <f aca="false">IFERROR(INDEX(設定!$E$61:$E$106,MATCH(B127,設定!$B$61:$B$106,0)),"合算")</f>
        <v>合算</v>
      </c>
      <c r="X127" s="28"/>
      <c r="Y127" s="29" t="n">
        <f aca="false">IF(OR(G127="",G127="なし"),"",IF(W127="合算",CF127,IF(W127="掛金・負担金別",(AU127+AV127+AZ127+BB127+BD127),SUM(AU127:AY127))))</f>
        <v>519160</v>
      </c>
      <c r="Z127" s="27"/>
      <c r="AA127" s="29" t="str">
        <f aca="false">IF(OR(G127="",G127="なし"),"",IF(W127="掛金・負担金別",(AW127+AX127+AY127+BA127+BC127+BE127),IF(W127="経理区分別",AZ127+BA127,"")))</f>
        <v/>
      </c>
      <c r="AB127" s="27"/>
      <c r="AC127" s="29" t="str">
        <f aca="false">IF(OR(G127="",G127="なし"),"",IF(W127="経理区分別",BB127+BC127,""))</f>
        <v/>
      </c>
      <c r="AD127" s="27"/>
      <c r="AE127" s="29" t="str">
        <f aca="false">IF(OR(G127="",G127="なし"),"",IF(W127="経理区分別",BD127+BE127,""))</f>
        <v/>
      </c>
      <c r="AF127" s="27"/>
      <c r="AG127" s="26" t="s">
        <v>160</v>
      </c>
      <c r="AH127" s="26"/>
      <c r="AI127" s="30"/>
      <c r="AJ127" s="31"/>
      <c r="AK127" s="31"/>
      <c r="AL127" s="31"/>
      <c r="AM127" s="31"/>
      <c r="AN127" s="31"/>
      <c r="AO127" s="31"/>
      <c r="AP127" s="31"/>
      <c r="AQ127" s="31"/>
      <c r="AR127" s="31"/>
      <c r="AS127" s="31"/>
      <c r="AT127" s="31"/>
      <c r="AU127" s="31" t="n">
        <f aca="false">IF($G127="",AJ127,L127)</f>
        <v>148230</v>
      </c>
      <c r="AV127" s="31" t="n">
        <f aca="false">IF($G127="",AK127,M127)</f>
        <v>12150</v>
      </c>
      <c r="AW127" s="31" t="n">
        <f aca="false">IF($G127="",AL127,N127)</f>
        <v>148230</v>
      </c>
      <c r="AX127" s="31" t="n">
        <f aca="false">IF($G127="",AM127,O127)</f>
        <v>12150</v>
      </c>
      <c r="AY127" s="31" t="n">
        <f aca="false">IF($G127="",AN127,P127)</f>
        <v>140</v>
      </c>
      <c r="AZ127" s="31" t="n">
        <f aca="false">IF($G127="",AO127,Q127)</f>
        <v>87123</v>
      </c>
      <c r="BA127" s="31" t="n">
        <f aca="false">IF($G127="",AP127,R127)</f>
        <v>87208</v>
      </c>
      <c r="BB127" s="31" t="n">
        <f aca="false">IF($G127="",AQ127,S127)</f>
        <v>10033</v>
      </c>
      <c r="BC127" s="31" t="n">
        <f aca="false">IF($G127="",AR127,T127)</f>
        <v>10033</v>
      </c>
      <c r="BD127" s="31" t="n">
        <f aca="false">IF($G127="",AS127,U127)</f>
        <v>1931</v>
      </c>
      <c r="BE127" s="31" t="n">
        <f aca="false">IF($G127="",AT127,V127)</f>
        <v>1932</v>
      </c>
      <c r="BF127" s="31" t="n">
        <f aca="false">ROUNDDOWN(I127*設定!$B$10/1000,0)+ROUNDDOWN(I127*設定!$B$11/1000,0)</f>
        <v>0</v>
      </c>
      <c r="BG127" s="31" t="n">
        <f aca="false">ROUNDDOWN(I127*設定!$C$10/1000,0)+ROUNDDOWN(I127*設定!$C$11/1000,0)+ROUNDDOWN(I127*設定!$C$12/1000,0)</f>
        <v>0</v>
      </c>
      <c r="BH127" s="31" t="n">
        <f aca="false">ROUNDDOWN(J127*設定!$B$13/1000,0)</f>
        <v>0</v>
      </c>
      <c r="BI127" s="31" t="n">
        <f aca="false">ROUNDDOWN(J127*設定!$C$13/1000,0)</f>
        <v>0</v>
      </c>
      <c r="BJ127" s="31" t="n">
        <f aca="false">ROUNDDOWN(K127*設定!$B$14/1000,0)</f>
        <v>0</v>
      </c>
      <c r="BK127" s="31" t="n">
        <f aca="false">ROUNDDOWN(K127*設定!$C$14/1000,0)</f>
        <v>0</v>
      </c>
      <c r="BL127" s="31" t="n">
        <f aca="false">ROUNDDOWN(J127*設定!$B$15/1000,0)</f>
        <v>0</v>
      </c>
      <c r="BM127" s="31" t="n">
        <f aca="false">ROUNDDOWN(J127*設定!$C$15/1000,0)</f>
        <v>0</v>
      </c>
      <c r="BN127" s="31" t="n">
        <f aca="false">L127+M127</f>
        <v>160380</v>
      </c>
      <c r="BO127" s="31" t="n">
        <f aca="false">N127+O127+P127</f>
        <v>160520</v>
      </c>
      <c r="BP127" s="31" t="n">
        <f aca="false">Q127</f>
        <v>87123</v>
      </c>
      <c r="BQ127" s="31" t="n">
        <f aca="false">R127</f>
        <v>87208</v>
      </c>
      <c r="BR127" s="31" t="n">
        <f aca="false">S127</f>
        <v>10033</v>
      </c>
      <c r="BS127" s="31" t="n">
        <f aca="false">T127</f>
        <v>10033</v>
      </c>
      <c r="BT127" s="31" t="n">
        <f aca="false">U127</f>
        <v>1931</v>
      </c>
      <c r="BU127" s="31" t="n">
        <f aca="false">V127</f>
        <v>1932</v>
      </c>
      <c r="BV127" s="32" t="n">
        <f aca="false">IF(BF127=0,IF(BN127=0,0,1),(BN127-BF127)/BF127)</f>
        <v>1</v>
      </c>
      <c r="BW127" s="32" t="n">
        <f aca="false">IF(BG127=0,IF(BO127=0,0,1),(BO127-BG127)/BG127)</f>
        <v>1</v>
      </c>
      <c r="BX127" s="32" t="n">
        <f aca="false">IF(BH127=0,IF(BP127=0,0,1),(BP127-BH127)/BH127)</f>
        <v>1</v>
      </c>
      <c r="BY127" s="32" t="n">
        <f aca="false">IF(BI127=0,IF(BQ127=0,0,1),(BQ127-BI127)/BI127)</f>
        <v>1</v>
      </c>
      <c r="BZ127" s="32" t="n">
        <f aca="false">IF(BJ127=0,IF(BR127=0,0,1),(BR127-BJ127)/BJ127)</f>
        <v>1</v>
      </c>
      <c r="CA127" s="32" t="n">
        <f aca="false">IF(BK127=0,IF(BS127=0,0,1),(BS127-BK127)/BK127)</f>
        <v>1</v>
      </c>
      <c r="CB127" s="32" t="n">
        <f aca="false">IF(BL127=0,IF(BT127=0,0,1),(BT127-BL127)/BL127)</f>
        <v>1</v>
      </c>
      <c r="CC127" s="32" t="n">
        <f aca="false">IF(BM127=0,IF(BU127=0,0,1),(BU127-BM127)/BM127)</f>
        <v>1</v>
      </c>
      <c r="CD127" s="32" t="n">
        <f aca="false">MAX(MAX(BV127:CC127),-MIN(BV127:CC127))</f>
        <v>1</v>
      </c>
      <c r="CE127" s="31" t="n">
        <f aca="false">IF(CI127="","",SUMIFS($CF$7:$CF$696,$A$7:$A$696,CI127,$B$7:$B$696,B127))</f>
        <v>519160</v>
      </c>
      <c r="CF127" s="31" t="n">
        <f aca="false">SUM(AU127:BE127)</f>
        <v>519160</v>
      </c>
      <c r="CG127" s="33" t="str">
        <f aca="false">A127&amp;"|"&amp;B127</f>
        <v>2026-06 月例|県下水道公社</v>
      </c>
      <c r="CH127" s="34" t="str">
        <f aca="false">IFERROR(INDEX(設定!$D$61:$D$106,MATCH(B127,設定!$B$61:$B$106,0)),"Y")</f>
        <v>Y</v>
      </c>
      <c r="CI127" s="34" t="str">
        <f aca="false">IFERROR(INDEX(設定!$D$20:$D$34,MATCH(A127,設定!$A$20:$A$34,0))&amp;"","")</f>
        <v>2026-05 月例</v>
      </c>
    </row>
    <row r="128" customFormat="false" ht="26.85" hidden="true" customHeight="false" outlineLevel="0" collapsed="false">
      <c r="A128" s="22" t="s">
        <v>209</v>
      </c>
      <c r="B128" s="35" t="s">
        <v>190</v>
      </c>
      <c r="C128" s="10" t="str">
        <f aca="false">IF(G128="","未受領",IF(G128="なし","報告なし",IF(AH128="○","起票済",IF(OR(AG128="○",F128="一致",F128="入金不要"),"入金確認済","受領済"))))</f>
        <v>入金確認済</v>
      </c>
      <c r="D128" s="10" t="str">
        <f aca="false">IF(OR(G128="",G128="なし"),"―",IF(CH128="N","対象外",IF(AND(I128="",J128="",K128=""),"標報未入力",IF(CD128&gt;=設定!$B$4,"要確認","問題なし"))))</f>
        <v>標報未入力</v>
      </c>
      <c r="E128" s="24" t="str">
        <f aca="false">IF(OR(G128="",G128="なし",CE128="",CF128=0),"―",IF(CF128=CE128,"前月同額",IF(CE128=0,"―",IF(ABS(CF128/CE128-1)&gt;=設定!$B$5,"変動大 "&amp;TEXT(CF128/CE128-1,"+0%;-0%"),"〇"))))</f>
        <v>前月同額</v>
      </c>
      <c r="F128" s="10" t="str">
        <f aca="false">IF(OR(G128="",G128="なし"),"―",IF(CF128=0,"入金不要",IF(COUNT(Z128,AB128,AD128,AF128)=0,IF(AG128="○","手動確認","未入金"),IF(AND(N(Z128)=Y128,IF(AA128="",TRUE(),N(AB128)=AA128),IF(AC128="",TRUE(),N(AD128)=AC128),IF(AE128="",TRUE(),N(AF128)=AE128)),"一致","不一致"))))</f>
        <v>手動確認</v>
      </c>
      <c r="G128" s="25" t="s">
        <v>159</v>
      </c>
      <c r="H128" s="26"/>
      <c r="I128" s="27"/>
      <c r="J128" s="27"/>
      <c r="K128" s="27"/>
      <c r="L128" s="27"/>
      <c r="M128" s="27"/>
      <c r="N128" s="27" t="n">
        <v>455670</v>
      </c>
      <c r="O128" s="27" t="n">
        <v>37350</v>
      </c>
      <c r="P128" s="27" t="n">
        <v>432</v>
      </c>
      <c r="Q128" s="27"/>
      <c r="R128" s="27" t="n">
        <v>263702</v>
      </c>
      <c r="S128" s="27"/>
      <c r="T128" s="27" t="n">
        <v>21093</v>
      </c>
      <c r="U128" s="27"/>
      <c r="V128" s="27" t="n">
        <v>5842</v>
      </c>
      <c r="W128" s="10" t="str">
        <f aca="false">IFERROR(INDEX(設定!$E$61:$E$106,MATCH(B128,設定!$B$61:$B$106,0)),"合算")</f>
        <v>合算</v>
      </c>
      <c r="X128" s="28"/>
      <c r="Y128" s="29" t="n">
        <f aca="false">IF(OR(G128="",G128="なし"),"",IF(W128="合算",CF128,IF(W128="掛金・負担金別",(AU128+AV128+AZ128+BB128+BD128),SUM(AU128:AY128))))</f>
        <v>784089</v>
      </c>
      <c r="Z128" s="27"/>
      <c r="AA128" s="29" t="str">
        <f aca="false">IF(OR(G128="",G128="なし"),"",IF(W128="掛金・負担金別",(AW128+AX128+AY128+BA128+BC128+BE128),IF(W128="経理区分別",AZ128+BA128,"")))</f>
        <v/>
      </c>
      <c r="AB128" s="27"/>
      <c r="AC128" s="29" t="str">
        <f aca="false">IF(OR(G128="",G128="なし"),"",IF(W128="経理区分別",BB128+BC128,""))</f>
        <v/>
      </c>
      <c r="AD128" s="27"/>
      <c r="AE128" s="29" t="str">
        <f aca="false">IF(OR(G128="",G128="なし"),"",IF(W128="経理区分別",BD128+BE128,""))</f>
        <v/>
      </c>
      <c r="AF128" s="27"/>
      <c r="AG128" s="26" t="s">
        <v>160</v>
      </c>
      <c r="AH128" s="26"/>
      <c r="AI128" s="30"/>
      <c r="AJ128" s="31"/>
      <c r="AK128" s="31"/>
      <c r="AL128" s="31"/>
      <c r="AM128" s="31"/>
      <c r="AN128" s="31"/>
      <c r="AO128" s="31"/>
      <c r="AP128" s="31"/>
      <c r="AQ128" s="31"/>
      <c r="AR128" s="31"/>
      <c r="AS128" s="31"/>
      <c r="AT128" s="31"/>
      <c r="AU128" s="31" t="n">
        <f aca="false">IF($G128="",AJ128,L128)</f>
        <v>0</v>
      </c>
      <c r="AV128" s="31" t="n">
        <f aca="false">IF($G128="",AK128,M128)</f>
        <v>0</v>
      </c>
      <c r="AW128" s="31" t="n">
        <f aca="false">IF($G128="",AL128,N128)</f>
        <v>455670</v>
      </c>
      <c r="AX128" s="31" t="n">
        <f aca="false">IF($G128="",AM128,O128)</f>
        <v>37350</v>
      </c>
      <c r="AY128" s="31" t="n">
        <f aca="false">IF($G128="",AN128,P128)</f>
        <v>432</v>
      </c>
      <c r="AZ128" s="31" t="n">
        <f aca="false">IF($G128="",AO128,Q128)</f>
        <v>0</v>
      </c>
      <c r="BA128" s="31" t="n">
        <f aca="false">IF($G128="",AP128,R128)</f>
        <v>263702</v>
      </c>
      <c r="BB128" s="31" t="n">
        <f aca="false">IF($G128="",AQ128,S128)</f>
        <v>0</v>
      </c>
      <c r="BC128" s="31" t="n">
        <f aca="false">IF($G128="",AR128,T128)</f>
        <v>21093</v>
      </c>
      <c r="BD128" s="31" t="n">
        <f aca="false">IF($G128="",AS128,U128)</f>
        <v>0</v>
      </c>
      <c r="BE128" s="31" t="n">
        <f aca="false">IF($G128="",AT128,V128)</f>
        <v>5842</v>
      </c>
      <c r="BF128" s="31" t="n">
        <f aca="false">ROUNDDOWN(I128*設定!$B$10/1000,0)+ROUNDDOWN(I128*設定!$B$11/1000,0)</f>
        <v>0</v>
      </c>
      <c r="BG128" s="31" t="n">
        <f aca="false">ROUNDDOWN(I128*設定!$C$10/1000,0)+ROUNDDOWN(I128*設定!$C$11/1000,0)+ROUNDDOWN(I128*設定!$C$12/1000,0)</f>
        <v>0</v>
      </c>
      <c r="BH128" s="31" t="n">
        <f aca="false">ROUNDDOWN(J128*設定!$B$13/1000,0)</f>
        <v>0</v>
      </c>
      <c r="BI128" s="31" t="n">
        <f aca="false">ROUNDDOWN(J128*設定!$C$13/1000,0)</f>
        <v>0</v>
      </c>
      <c r="BJ128" s="31" t="n">
        <f aca="false">ROUNDDOWN(K128*設定!$B$14/1000,0)</f>
        <v>0</v>
      </c>
      <c r="BK128" s="31" t="n">
        <f aca="false">ROUNDDOWN(K128*設定!$C$14/1000,0)</f>
        <v>0</v>
      </c>
      <c r="BL128" s="31" t="n">
        <f aca="false">ROUNDDOWN(J128*設定!$B$15/1000,0)</f>
        <v>0</v>
      </c>
      <c r="BM128" s="31" t="n">
        <f aca="false">ROUNDDOWN(J128*設定!$C$15/1000,0)</f>
        <v>0</v>
      </c>
      <c r="BN128" s="31" t="n">
        <f aca="false">L128+M128</f>
        <v>0</v>
      </c>
      <c r="BO128" s="31" t="n">
        <f aca="false">N128+O128+P128</f>
        <v>493452</v>
      </c>
      <c r="BP128" s="31" t="n">
        <f aca="false">Q128</f>
        <v>0</v>
      </c>
      <c r="BQ128" s="31" t="n">
        <f aca="false">R128</f>
        <v>263702</v>
      </c>
      <c r="BR128" s="31" t="n">
        <f aca="false">S128</f>
        <v>0</v>
      </c>
      <c r="BS128" s="31" t="n">
        <f aca="false">T128</f>
        <v>21093</v>
      </c>
      <c r="BT128" s="31" t="n">
        <f aca="false">U128</f>
        <v>0</v>
      </c>
      <c r="BU128" s="31" t="n">
        <f aca="false">V128</f>
        <v>5842</v>
      </c>
      <c r="BV128" s="32" t="n">
        <f aca="false">IF(BF128=0,IF(BN128=0,0,1),(BN128-BF128)/BF128)</f>
        <v>0</v>
      </c>
      <c r="BW128" s="32" t="n">
        <f aca="false">IF(BG128=0,IF(BO128=0,0,1),(BO128-BG128)/BG128)</f>
        <v>1</v>
      </c>
      <c r="BX128" s="32" t="n">
        <f aca="false">IF(BH128=0,IF(BP128=0,0,1),(BP128-BH128)/BH128)</f>
        <v>0</v>
      </c>
      <c r="BY128" s="32" t="n">
        <f aca="false">IF(BI128=0,IF(BQ128=0,0,1),(BQ128-BI128)/BI128)</f>
        <v>1</v>
      </c>
      <c r="BZ128" s="32" t="n">
        <f aca="false">IF(BJ128=0,IF(BR128=0,0,1),(BR128-BJ128)/BJ128)</f>
        <v>0</v>
      </c>
      <c r="CA128" s="32" t="n">
        <f aca="false">IF(BK128=0,IF(BS128=0,0,1),(BS128-BK128)/BK128)</f>
        <v>1</v>
      </c>
      <c r="CB128" s="32" t="n">
        <f aca="false">IF(BL128=0,IF(BT128=0,0,1),(BT128-BL128)/BL128)</f>
        <v>0</v>
      </c>
      <c r="CC128" s="32" t="n">
        <f aca="false">IF(BM128=0,IF(BU128=0,0,1),(BU128-BM128)/BM128)</f>
        <v>1</v>
      </c>
      <c r="CD128" s="32" t="n">
        <f aca="false">MAX(MAX(BV128:CC128),-MIN(BV128:CC128))</f>
        <v>1</v>
      </c>
      <c r="CE128" s="31" t="n">
        <f aca="false">IF(CI128="","",SUMIFS($CF$7:$CF$696,$A$7:$A$696,CI128,$B$7:$B$696,B128))</f>
        <v>784089</v>
      </c>
      <c r="CF128" s="31" t="n">
        <f aca="false">SUM(AU128:BE128)</f>
        <v>784089</v>
      </c>
      <c r="CG128" s="36" t="str">
        <f aca="false">A128&amp;"|"&amp;B128</f>
        <v>2026-06 月例|バス協調・共創
プラットフォーム</v>
      </c>
      <c r="CH128" s="34" t="str">
        <f aca="false">IFERROR(INDEX(設定!$D$61:$D$106,MATCH(B128,設定!$B$61:$B$106,0)),"Y")</f>
        <v>Y</v>
      </c>
      <c r="CI128" s="34" t="str">
        <f aca="false">IFERROR(INDEX(設定!$D$20:$D$34,MATCH(A128,設定!$A$20:$A$34,0))&amp;"","")</f>
        <v>2026-05 月例</v>
      </c>
    </row>
    <row r="129" customFormat="false" ht="15" hidden="true" customHeight="false" outlineLevel="0" collapsed="false">
      <c r="A129" s="22" t="s">
        <v>209</v>
      </c>
      <c r="B129" s="23" t="s">
        <v>191</v>
      </c>
      <c r="C129" s="10" t="str">
        <f aca="false">IF(G129="","未受領",IF(G129="なし","報告なし",IF(AH129="○","起票済",IF(OR(AG129="○",F129="一致",F129="入金不要"),"入金確認済","受領済"))))</f>
        <v>入金確認済</v>
      </c>
      <c r="D129" s="10" t="str">
        <f aca="false">IF(OR(G129="",G129="なし"),"―",IF(CH129="N","対象外",IF(AND(I129="",J129="",K129=""),"標報未入力",IF(CD129&gt;=設定!$B$4,"要確認","問題なし"))))</f>
        <v>標報未入力</v>
      </c>
      <c r="E129" s="24" t="str">
        <f aca="false">IF(OR(G129="",G129="なし",CE129="",CF129=0),"―",IF(CF129=CE129,"前月同額",IF(CE129=0,"―",IF(ABS(CF129/CE129-1)&gt;=設定!$B$5,"変動大 "&amp;TEXT(CF129/CE129-1,"+0%;-0%"),"〇"))))</f>
        <v>前月同額</v>
      </c>
      <c r="F129" s="10" t="str">
        <f aca="false">IF(OR(G129="",G129="なし"),"―",IF(CF129=0,"入金不要",IF(COUNT(Z129,AB129,AD129,AF129)=0,IF(AG129="○","手動確認","未入金"),IF(AND(N(Z129)=Y129,IF(AA129="",TRUE(),N(AB129)=AA129),IF(AC129="",TRUE(),N(AD129)=AC129),IF(AE129="",TRUE(),N(AF129)=AE129)),"一致","不一致"))))</f>
        <v>手動確認</v>
      </c>
      <c r="G129" s="25" t="s">
        <v>159</v>
      </c>
      <c r="H129" s="26"/>
      <c r="I129" s="27"/>
      <c r="J129" s="27"/>
      <c r="K129" s="27"/>
      <c r="L129" s="27" t="n">
        <v>56730</v>
      </c>
      <c r="M129" s="27" t="n">
        <v>4650</v>
      </c>
      <c r="N129" s="27" t="n">
        <v>56730</v>
      </c>
      <c r="O129" s="27" t="n">
        <v>4650</v>
      </c>
      <c r="P129" s="27" t="n">
        <v>53</v>
      </c>
      <c r="Q129" s="27" t="n">
        <v>32153</v>
      </c>
      <c r="R129" s="27" t="n">
        <v>32184</v>
      </c>
      <c r="S129" s="27" t="n">
        <v>4898</v>
      </c>
      <c r="T129" s="27" t="n">
        <v>4898</v>
      </c>
      <c r="U129" s="27" t="n">
        <v>713</v>
      </c>
      <c r="V129" s="27" t="n">
        <v>713</v>
      </c>
      <c r="W129" s="10" t="str">
        <f aca="false">IFERROR(INDEX(設定!$E$61:$E$106,MATCH(B129,設定!$B$61:$B$106,0)),"合算")</f>
        <v>合算</v>
      </c>
      <c r="X129" s="28"/>
      <c r="Y129" s="29" t="n">
        <f aca="false">IF(OR(G129="",G129="なし"),"",IF(W129="合算",CF129,IF(W129="掛金・負担金別",(AU129+AV129+AZ129+BB129+BD129),SUM(AU129:AY129))))</f>
        <v>198372</v>
      </c>
      <c r="Z129" s="27"/>
      <c r="AA129" s="29" t="str">
        <f aca="false">IF(OR(G129="",G129="なし"),"",IF(W129="掛金・負担金別",(AW129+AX129+AY129+BA129+BC129+BE129),IF(W129="経理区分別",AZ129+BA129,"")))</f>
        <v/>
      </c>
      <c r="AB129" s="27"/>
      <c r="AC129" s="29" t="str">
        <f aca="false">IF(OR(G129="",G129="なし"),"",IF(W129="経理区分別",BB129+BC129,""))</f>
        <v/>
      </c>
      <c r="AD129" s="27"/>
      <c r="AE129" s="29" t="str">
        <f aca="false">IF(OR(G129="",G129="なし"),"",IF(W129="経理区分別",BD129+BE129,""))</f>
        <v/>
      </c>
      <c r="AF129" s="27"/>
      <c r="AG129" s="26" t="s">
        <v>160</v>
      </c>
      <c r="AH129" s="26"/>
      <c r="AI129" s="30"/>
      <c r="AJ129" s="31"/>
      <c r="AK129" s="31"/>
      <c r="AL129" s="31"/>
      <c r="AM129" s="31"/>
      <c r="AN129" s="31"/>
      <c r="AO129" s="31"/>
      <c r="AP129" s="31"/>
      <c r="AQ129" s="31"/>
      <c r="AR129" s="31"/>
      <c r="AS129" s="31"/>
      <c r="AT129" s="31"/>
      <c r="AU129" s="31" t="n">
        <f aca="false">IF($G129="",AJ129,L129)</f>
        <v>56730</v>
      </c>
      <c r="AV129" s="31" t="n">
        <f aca="false">IF($G129="",AK129,M129)</f>
        <v>4650</v>
      </c>
      <c r="AW129" s="31" t="n">
        <f aca="false">IF($G129="",AL129,N129)</f>
        <v>56730</v>
      </c>
      <c r="AX129" s="31" t="n">
        <f aca="false">IF($G129="",AM129,O129)</f>
        <v>4650</v>
      </c>
      <c r="AY129" s="31" t="n">
        <f aca="false">IF($G129="",AN129,P129)</f>
        <v>53</v>
      </c>
      <c r="AZ129" s="31" t="n">
        <f aca="false">IF($G129="",AO129,Q129)</f>
        <v>32153</v>
      </c>
      <c r="BA129" s="31" t="n">
        <f aca="false">IF($G129="",AP129,R129)</f>
        <v>32184</v>
      </c>
      <c r="BB129" s="31" t="n">
        <f aca="false">IF($G129="",AQ129,S129)</f>
        <v>4898</v>
      </c>
      <c r="BC129" s="31" t="n">
        <f aca="false">IF($G129="",AR129,T129)</f>
        <v>4898</v>
      </c>
      <c r="BD129" s="31" t="n">
        <f aca="false">IF($G129="",AS129,U129)</f>
        <v>713</v>
      </c>
      <c r="BE129" s="31" t="n">
        <f aca="false">IF($G129="",AT129,V129)</f>
        <v>713</v>
      </c>
      <c r="BF129" s="31" t="n">
        <f aca="false">ROUNDDOWN(I129*設定!$B$10/1000,0)+ROUNDDOWN(I129*設定!$B$11/1000,0)</f>
        <v>0</v>
      </c>
      <c r="BG129" s="31" t="n">
        <f aca="false">ROUNDDOWN(I129*設定!$C$10/1000,0)+ROUNDDOWN(I129*設定!$C$11/1000,0)+ROUNDDOWN(I129*設定!$C$12/1000,0)</f>
        <v>0</v>
      </c>
      <c r="BH129" s="31" t="n">
        <f aca="false">ROUNDDOWN(J129*設定!$B$13/1000,0)</f>
        <v>0</v>
      </c>
      <c r="BI129" s="31" t="n">
        <f aca="false">ROUNDDOWN(J129*設定!$C$13/1000,0)</f>
        <v>0</v>
      </c>
      <c r="BJ129" s="31" t="n">
        <f aca="false">ROUNDDOWN(K129*設定!$B$14/1000,0)</f>
        <v>0</v>
      </c>
      <c r="BK129" s="31" t="n">
        <f aca="false">ROUNDDOWN(K129*設定!$C$14/1000,0)</f>
        <v>0</v>
      </c>
      <c r="BL129" s="31" t="n">
        <f aca="false">ROUNDDOWN(J129*設定!$B$15/1000,0)</f>
        <v>0</v>
      </c>
      <c r="BM129" s="31" t="n">
        <f aca="false">ROUNDDOWN(J129*設定!$C$15/1000,0)</f>
        <v>0</v>
      </c>
      <c r="BN129" s="31" t="n">
        <f aca="false">L129+M129</f>
        <v>61380</v>
      </c>
      <c r="BO129" s="31" t="n">
        <f aca="false">N129+O129+P129</f>
        <v>61433</v>
      </c>
      <c r="BP129" s="31" t="n">
        <f aca="false">Q129</f>
        <v>32153</v>
      </c>
      <c r="BQ129" s="31" t="n">
        <f aca="false">R129</f>
        <v>32184</v>
      </c>
      <c r="BR129" s="31" t="n">
        <f aca="false">S129</f>
        <v>4898</v>
      </c>
      <c r="BS129" s="31" t="n">
        <f aca="false">T129</f>
        <v>4898</v>
      </c>
      <c r="BT129" s="31" t="n">
        <f aca="false">U129</f>
        <v>713</v>
      </c>
      <c r="BU129" s="31" t="n">
        <f aca="false">V129</f>
        <v>713</v>
      </c>
      <c r="BV129" s="32" t="n">
        <f aca="false">IF(BF129=0,IF(BN129=0,0,1),(BN129-BF129)/BF129)</f>
        <v>1</v>
      </c>
      <c r="BW129" s="32" t="n">
        <f aca="false">IF(BG129=0,IF(BO129=0,0,1),(BO129-BG129)/BG129)</f>
        <v>1</v>
      </c>
      <c r="BX129" s="32" t="n">
        <f aca="false">IF(BH129=0,IF(BP129=0,0,1),(BP129-BH129)/BH129)</f>
        <v>1</v>
      </c>
      <c r="BY129" s="32" t="n">
        <f aca="false">IF(BI129=0,IF(BQ129=0,0,1),(BQ129-BI129)/BI129)</f>
        <v>1</v>
      </c>
      <c r="BZ129" s="32" t="n">
        <f aca="false">IF(BJ129=0,IF(BR129=0,0,1),(BR129-BJ129)/BJ129)</f>
        <v>1</v>
      </c>
      <c r="CA129" s="32" t="n">
        <f aca="false">IF(BK129=0,IF(BS129=0,0,1),(BS129-BK129)/BK129)</f>
        <v>1</v>
      </c>
      <c r="CB129" s="32" t="n">
        <f aca="false">IF(BL129=0,IF(BT129=0,0,1),(BT129-BL129)/BL129)</f>
        <v>1</v>
      </c>
      <c r="CC129" s="32" t="n">
        <f aca="false">IF(BM129=0,IF(BU129=0,0,1),(BU129-BM129)/BM129)</f>
        <v>1</v>
      </c>
      <c r="CD129" s="32" t="n">
        <f aca="false">MAX(MAX(BV129:CC129),-MIN(BV129:CC129))</f>
        <v>1</v>
      </c>
      <c r="CE129" s="31" t="n">
        <f aca="false">IF(CI129="","",SUMIFS($CF$7:$CF$696,$A$7:$A$696,CI129,$B$7:$B$696,B129))</f>
        <v>198372</v>
      </c>
      <c r="CF129" s="31" t="n">
        <f aca="false">SUM(AU129:BE129)</f>
        <v>198372</v>
      </c>
      <c r="CG129" s="33" t="str">
        <f aca="false">A129&amp;"|"&amp;B129</f>
        <v>2026-06 月例|広島県市長会</v>
      </c>
      <c r="CH129" s="34" t="str">
        <f aca="false">IFERROR(INDEX(設定!$D$61:$D$106,MATCH(B129,設定!$B$61:$B$106,0)),"Y")</f>
        <v>Y</v>
      </c>
      <c r="CI129" s="34" t="str">
        <f aca="false">IFERROR(INDEX(設定!$D$20:$D$34,MATCH(A129,設定!$A$20:$A$34,0))&amp;"","")</f>
        <v>2026-05 月例</v>
      </c>
    </row>
    <row r="130" customFormat="false" ht="15" hidden="true" customHeight="false" outlineLevel="0" collapsed="false">
      <c r="A130" s="22" t="s">
        <v>209</v>
      </c>
      <c r="B130" s="23" t="s">
        <v>192</v>
      </c>
      <c r="C130" s="10" t="str">
        <f aca="false">IF(G130="","未受領",IF(G130="なし","報告なし",IF(AH130="○","起票済",IF(OR(AG130="○",F130="一致",F130="入金不要"),"入金確認済","受領済"))))</f>
        <v>入金確認済</v>
      </c>
      <c r="D130" s="10" t="str">
        <f aca="false">IF(OR(G130="",G130="なし"),"―",IF(CH130="N","対象外",IF(AND(I130="",J130="",K130=""),"標報未入力",IF(CD130&gt;=設定!$B$4,"要確認","問題なし"))))</f>
        <v>標報未入力</v>
      </c>
      <c r="E130" s="24" t="str">
        <f aca="false">IF(OR(G130="",G130="なし",CE130="",CF130=0),"―",IF(CF130=CE130,"前月同額",IF(CE130=0,"―",IF(ABS(CF130/CE130-1)&gt;=設定!$B$5,"変動大 "&amp;TEXT(CF130/CE130-1,"+0%;-0%"),"〇"))))</f>
        <v>前月同額</v>
      </c>
      <c r="F130" s="10" t="str">
        <f aca="false">IF(OR(G130="",G130="なし"),"―",IF(CF130=0,"入金不要",IF(COUNT(Z130,AB130,AD130,AF130)=0,IF(AG130="○","手動確認","未入金"),IF(AND(N(Z130)=Y130,IF(AA130="",TRUE(),N(AB130)=AA130),IF(AC130="",TRUE(),N(AD130)=AC130),IF(AE130="",TRUE(),N(AF130)=AE130)),"一致","不一致"))))</f>
        <v>手動確認</v>
      </c>
      <c r="G130" s="25" t="s">
        <v>159</v>
      </c>
      <c r="H130" s="26"/>
      <c r="I130" s="27"/>
      <c r="J130" s="27"/>
      <c r="K130" s="27"/>
      <c r="L130" s="27" t="n">
        <v>59475</v>
      </c>
      <c r="M130" s="27" t="n">
        <v>4875</v>
      </c>
      <c r="N130" s="27" t="n">
        <v>59475</v>
      </c>
      <c r="O130" s="27" t="n">
        <v>4875</v>
      </c>
      <c r="P130" s="27" t="n">
        <v>56</v>
      </c>
      <c r="Q130" s="27" t="n">
        <v>38895</v>
      </c>
      <c r="R130" s="27" t="n">
        <v>38932</v>
      </c>
      <c r="S130" s="27" t="n">
        <v>5925</v>
      </c>
      <c r="T130" s="27" t="n">
        <v>5925</v>
      </c>
      <c r="U130" s="27" t="n">
        <v>862</v>
      </c>
      <c r="V130" s="27" t="n">
        <v>862</v>
      </c>
      <c r="W130" s="10" t="str">
        <f aca="false">IFERROR(INDEX(設定!$E$61:$E$106,MATCH(B130,設定!$B$61:$B$106,0)),"合算")</f>
        <v>合算</v>
      </c>
      <c r="X130" s="28"/>
      <c r="Y130" s="29" t="n">
        <f aca="false">IF(OR(G130="",G130="なし"),"",IF(W130="合算",CF130,IF(W130="掛金・負担金別",(AU130+AV130+AZ130+BB130+BD130),SUM(AU130:AY130))))</f>
        <v>220157</v>
      </c>
      <c r="Z130" s="27"/>
      <c r="AA130" s="29" t="str">
        <f aca="false">IF(OR(G130="",G130="なし"),"",IF(W130="掛金・負担金別",(AW130+AX130+AY130+BA130+BC130+BE130),IF(W130="経理区分別",AZ130+BA130,"")))</f>
        <v/>
      </c>
      <c r="AB130" s="27"/>
      <c r="AC130" s="29" t="str">
        <f aca="false">IF(OR(G130="",G130="なし"),"",IF(W130="経理区分別",BB130+BC130,""))</f>
        <v/>
      </c>
      <c r="AD130" s="27"/>
      <c r="AE130" s="29" t="str">
        <f aca="false">IF(OR(G130="",G130="なし"),"",IF(W130="経理区分別",BD130+BE130,""))</f>
        <v/>
      </c>
      <c r="AF130" s="27"/>
      <c r="AG130" s="26" t="s">
        <v>160</v>
      </c>
      <c r="AH130" s="26"/>
      <c r="AI130" s="30"/>
      <c r="AJ130" s="31"/>
      <c r="AK130" s="31"/>
      <c r="AL130" s="31"/>
      <c r="AM130" s="31"/>
      <c r="AN130" s="31"/>
      <c r="AO130" s="31"/>
      <c r="AP130" s="31"/>
      <c r="AQ130" s="31"/>
      <c r="AR130" s="31"/>
      <c r="AS130" s="31"/>
      <c r="AT130" s="31"/>
      <c r="AU130" s="31" t="n">
        <f aca="false">IF($G130="",AJ130,L130)</f>
        <v>59475</v>
      </c>
      <c r="AV130" s="31" t="n">
        <f aca="false">IF($G130="",AK130,M130)</f>
        <v>4875</v>
      </c>
      <c r="AW130" s="31" t="n">
        <f aca="false">IF($G130="",AL130,N130)</f>
        <v>59475</v>
      </c>
      <c r="AX130" s="31" t="n">
        <f aca="false">IF($G130="",AM130,O130)</f>
        <v>4875</v>
      </c>
      <c r="AY130" s="31" t="n">
        <f aca="false">IF($G130="",AN130,P130)</f>
        <v>56</v>
      </c>
      <c r="AZ130" s="31" t="n">
        <f aca="false">IF($G130="",AO130,Q130)</f>
        <v>38895</v>
      </c>
      <c r="BA130" s="31" t="n">
        <f aca="false">IF($G130="",AP130,R130)</f>
        <v>38932</v>
      </c>
      <c r="BB130" s="31" t="n">
        <f aca="false">IF($G130="",AQ130,S130)</f>
        <v>5925</v>
      </c>
      <c r="BC130" s="31" t="n">
        <f aca="false">IF($G130="",AR130,T130)</f>
        <v>5925</v>
      </c>
      <c r="BD130" s="31" t="n">
        <f aca="false">IF($G130="",AS130,U130)</f>
        <v>862</v>
      </c>
      <c r="BE130" s="31" t="n">
        <f aca="false">IF($G130="",AT130,V130)</f>
        <v>862</v>
      </c>
      <c r="BF130" s="31" t="n">
        <f aca="false">ROUNDDOWN(I130*設定!$B$10/1000,0)+ROUNDDOWN(I130*設定!$B$11/1000,0)</f>
        <v>0</v>
      </c>
      <c r="BG130" s="31" t="n">
        <f aca="false">ROUNDDOWN(I130*設定!$C$10/1000,0)+ROUNDDOWN(I130*設定!$C$11/1000,0)+ROUNDDOWN(I130*設定!$C$12/1000,0)</f>
        <v>0</v>
      </c>
      <c r="BH130" s="31" t="n">
        <f aca="false">ROUNDDOWN(J130*設定!$B$13/1000,0)</f>
        <v>0</v>
      </c>
      <c r="BI130" s="31" t="n">
        <f aca="false">ROUNDDOWN(J130*設定!$C$13/1000,0)</f>
        <v>0</v>
      </c>
      <c r="BJ130" s="31" t="n">
        <f aca="false">ROUNDDOWN(K130*設定!$B$14/1000,0)</f>
        <v>0</v>
      </c>
      <c r="BK130" s="31" t="n">
        <f aca="false">ROUNDDOWN(K130*設定!$C$14/1000,0)</f>
        <v>0</v>
      </c>
      <c r="BL130" s="31" t="n">
        <f aca="false">ROUNDDOWN(J130*設定!$B$15/1000,0)</f>
        <v>0</v>
      </c>
      <c r="BM130" s="31" t="n">
        <f aca="false">ROUNDDOWN(J130*設定!$C$15/1000,0)</f>
        <v>0</v>
      </c>
      <c r="BN130" s="31" t="n">
        <f aca="false">L130+M130</f>
        <v>64350</v>
      </c>
      <c r="BO130" s="31" t="n">
        <f aca="false">N130+O130+P130</f>
        <v>64406</v>
      </c>
      <c r="BP130" s="31" t="n">
        <f aca="false">Q130</f>
        <v>38895</v>
      </c>
      <c r="BQ130" s="31" t="n">
        <f aca="false">R130</f>
        <v>38932</v>
      </c>
      <c r="BR130" s="31" t="n">
        <f aca="false">S130</f>
        <v>5925</v>
      </c>
      <c r="BS130" s="31" t="n">
        <f aca="false">T130</f>
        <v>5925</v>
      </c>
      <c r="BT130" s="31" t="n">
        <f aca="false">U130</f>
        <v>862</v>
      </c>
      <c r="BU130" s="31" t="n">
        <f aca="false">V130</f>
        <v>862</v>
      </c>
      <c r="BV130" s="32" t="n">
        <f aca="false">IF(BF130=0,IF(BN130=0,0,1),(BN130-BF130)/BF130)</f>
        <v>1</v>
      </c>
      <c r="BW130" s="32" t="n">
        <f aca="false">IF(BG130=0,IF(BO130=0,0,1),(BO130-BG130)/BG130)</f>
        <v>1</v>
      </c>
      <c r="BX130" s="32" t="n">
        <f aca="false">IF(BH130=0,IF(BP130=0,0,1),(BP130-BH130)/BH130)</f>
        <v>1</v>
      </c>
      <c r="BY130" s="32" t="n">
        <f aca="false">IF(BI130=0,IF(BQ130=0,0,1),(BQ130-BI130)/BI130)</f>
        <v>1</v>
      </c>
      <c r="BZ130" s="32" t="n">
        <f aca="false">IF(BJ130=0,IF(BR130=0,0,1),(BR130-BJ130)/BJ130)</f>
        <v>1</v>
      </c>
      <c r="CA130" s="32" t="n">
        <f aca="false">IF(BK130=0,IF(BS130=0,0,1),(BS130-BK130)/BK130)</f>
        <v>1</v>
      </c>
      <c r="CB130" s="32" t="n">
        <f aca="false">IF(BL130=0,IF(BT130=0,0,1),(BT130-BL130)/BL130)</f>
        <v>1</v>
      </c>
      <c r="CC130" s="32" t="n">
        <f aca="false">IF(BM130=0,IF(BU130=0,0,1),(BU130-BM130)/BM130)</f>
        <v>1</v>
      </c>
      <c r="CD130" s="32" t="n">
        <f aca="false">MAX(MAX(BV130:CC130),-MIN(BV130:CC130))</f>
        <v>1</v>
      </c>
      <c r="CE130" s="31" t="n">
        <f aca="false">IF(CI130="","",SUMIFS($CF$7:$CF$696,$A$7:$A$696,CI130,$B$7:$B$696,B130))</f>
        <v>220157</v>
      </c>
      <c r="CF130" s="31" t="n">
        <f aca="false">SUM(AU130:BE130)</f>
        <v>220157</v>
      </c>
      <c r="CG130" s="33" t="str">
        <f aca="false">A130&amp;"|"&amp;B130</f>
        <v>2026-06 月例|全国市町村研修財団</v>
      </c>
      <c r="CH130" s="34" t="str">
        <f aca="false">IFERROR(INDEX(設定!$D$61:$D$106,MATCH(B130,設定!$B$61:$B$106,0)),"Y")</f>
        <v>Y</v>
      </c>
      <c r="CI130" s="34" t="str">
        <f aca="false">IFERROR(INDEX(設定!$D$20:$D$34,MATCH(A130,設定!$A$20:$A$34,0))&amp;"","")</f>
        <v>2026-05 月例</v>
      </c>
    </row>
    <row r="131" customFormat="false" ht="15" hidden="true" customHeight="false" outlineLevel="0" collapsed="false">
      <c r="A131" s="22" t="s">
        <v>209</v>
      </c>
      <c r="B131" s="23" t="s">
        <v>193</v>
      </c>
      <c r="C131" s="10" t="str">
        <f aca="false">IF(G131="","未受領",IF(G131="なし","報告なし",IF(AH131="○","起票済",IF(OR(AG131="○",F131="一致",F131="入金不要"),"入金確認済","受領済"))))</f>
        <v>入金確認済</v>
      </c>
      <c r="D131" s="10" t="str">
        <f aca="false">IF(OR(G131="",G131="なし"),"―",IF(CH131="N","対象外",IF(AND(I131="",J131="",K131=""),"標報未入力",IF(CD131&gt;=設定!$B$4,"要確認","問題なし"))))</f>
        <v>標報未入力</v>
      </c>
      <c r="E131" s="24" t="str">
        <f aca="false">IF(OR(G131="",G131="なし",CE131="",CF131=0),"―",IF(CF131=CE131,"前月同額",IF(CE131=0,"―",IF(ABS(CF131/CE131-1)&gt;=設定!$B$5,"変動大 "&amp;TEXT(CF131/CE131-1,"+0%;-0%"),"〇"))))</f>
        <v>前月同額</v>
      </c>
      <c r="F131" s="10" t="str">
        <f aca="false">IF(OR(G131="",G131="なし"),"―",IF(CF131=0,"入金不要",IF(COUNT(Z131,AB131,AD131,AF131)=0,IF(AG131="○","手動確認","未入金"),IF(AND(N(Z131)=Y131,IF(AA131="",TRUE(),N(AB131)=AA131),IF(AC131="",TRUE(),N(AD131)=AC131),IF(AE131="",TRUE(),N(AF131)=AE131)),"一致","不一致"))))</f>
        <v>手動確認</v>
      </c>
      <c r="G131" s="25" t="s">
        <v>159</v>
      </c>
      <c r="H131" s="26"/>
      <c r="I131" s="27"/>
      <c r="J131" s="27"/>
      <c r="K131" s="27"/>
      <c r="L131" s="27" t="n">
        <v>37515</v>
      </c>
      <c r="M131" s="27" t="n">
        <v>3075</v>
      </c>
      <c r="N131" s="27" t="n">
        <v>37515</v>
      </c>
      <c r="O131" s="27" t="n">
        <v>3075</v>
      </c>
      <c r="P131" s="27" t="n">
        <v>35</v>
      </c>
      <c r="Q131" s="27" t="n">
        <v>21262</v>
      </c>
      <c r="R131" s="27" t="n">
        <v>21283</v>
      </c>
      <c r="S131" s="27" t="n">
        <v>0</v>
      </c>
      <c r="T131" s="27" t="n">
        <v>0</v>
      </c>
      <c r="U131" s="27" t="n">
        <v>471</v>
      </c>
      <c r="V131" s="27" t="n">
        <v>471</v>
      </c>
      <c r="W131" s="10" t="str">
        <f aca="false">IFERROR(INDEX(設定!$E$61:$E$106,MATCH(B131,設定!$B$61:$B$106,0)),"合算")</f>
        <v>合算</v>
      </c>
      <c r="X131" s="28"/>
      <c r="Y131" s="29" t="n">
        <f aca="false">IF(OR(G131="",G131="なし"),"",IF(W131="合算",CF131,IF(W131="掛金・負担金別",(AU131+AV131+AZ131+BB131+BD131),SUM(AU131:AY131))))</f>
        <v>124702</v>
      </c>
      <c r="Z131" s="27"/>
      <c r="AA131" s="29" t="str">
        <f aca="false">IF(OR(G131="",G131="なし"),"",IF(W131="掛金・負担金別",(AW131+AX131+AY131+BA131+BC131+BE131),IF(W131="経理区分別",AZ131+BA131,"")))</f>
        <v/>
      </c>
      <c r="AB131" s="27"/>
      <c r="AC131" s="29" t="str">
        <f aca="false">IF(OR(G131="",G131="なし"),"",IF(W131="経理区分別",BB131+BC131,""))</f>
        <v/>
      </c>
      <c r="AD131" s="27"/>
      <c r="AE131" s="29" t="str">
        <f aca="false">IF(OR(G131="",G131="なし"),"",IF(W131="経理区分別",BD131+BE131,""))</f>
        <v/>
      </c>
      <c r="AF131" s="27"/>
      <c r="AG131" s="26" t="s">
        <v>160</v>
      </c>
      <c r="AH131" s="26"/>
      <c r="AI131" s="30"/>
      <c r="AJ131" s="31"/>
      <c r="AK131" s="31"/>
      <c r="AL131" s="31"/>
      <c r="AM131" s="31"/>
      <c r="AN131" s="31"/>
      <c r="AO131" s="31"/>
      <c r="AP131" s="31"/>
      <c r="AQ131" s="31"/>
      <c r="AR131" s="31"/>
      <c r="AS131" s="31"/>
      <c r="AT131" s="31"/>
      <c r="AU131" s="31" t="n">
        <f aca="false">IF($G131="",AJ131,L131)</f>
        <v>37515</v>
      </c>
      <c r="AV131" s="31" t="n">
        <f aca="false">IF($G131="",AK131,M131)</f>
        <v>3075</v>
      </c>
      <c r="AW131" s="31" t="n">
        <f aca="false">IF($G131="",AL131,N131)</f>
        <v>37515</v>
      </c>
      <c r="AX131" s="31" t="n">
        <f aca="false">IF($G131="",AM131,O131)</f>
        <v>3075</v>
      </c>
      <c r="AY131" s="31" t="n">
        <f aca="false">IF($G131="",AN131,P131)</f>
        <v>35</v>
      </c>
      <c r="AZ131" s="31" t="n">
        <f aca="false">IF($G131="",AO131,Q131)</f>
        <v>21262</v>
      </c>
      <c r="BA131" s="31" t="n">
        <f aca="false">IF($G131="",AP131,R131)</f>
        <v>21283</v>
      </c>
      <c r="BB131" s="31" t="n">
        <f aca="false">IF($G131="",AQ131,S131)</f>
        <v>0</v>
      </c>
      <c r="BC131" s="31" t="n">
        <f aca="false">IF($G131="",AR131,T131)</f>
        <v>0</v>
      </c>
      <c r="BD131" s="31" t="n">
        <f aca="false">IF($G131="",AS131,U131)</f>
        <v>471</v>
      </c>
      <c r="BE131" s="31" t="n">
        <f aca="false">IF($G131="",AT131,V131)</f>
        <v>471</v>
      </c>
      <c r="BF131" s="31" t="n">
        <f aca="false">ROUNDDOWN(I131*設定!$B$10/1000,0)+ROUNDDOWN(I131*設定!$B$11/1000,0)</f>
        <v>0</v>
      </c>
      <c r="BG131" s="31" t="n">
        <f aca="false">ROUNDDOWN(I131*設定!$C$10/1000,0)+ROUNDDOWN(I131*設定!$C$11/1000,0)+ROUNDDOWN(I131*設定!$C$12/1000,0)</f>
        <v>0</v>
      </c>
      <c r="BH131" s="31" t="n">
        <f aca="false">ROUNDDOWN(J131*設定!$B$13/1000,0)</f>
        <v>0</v>
      </c>
      <c r="BI131" s="31" t="n">
        <f aca="false">ROUNDDOWN(J131*設定!$C$13/1000,0)</f>
        <v>0</v>
      </c>
      <c r="BJ131" s="31" t="n">
        <f aca="false">ROUNDDOWN(K131*設定!$B$14/1000,0)</f>
        <v>0</v>
      </c>
      <c r="BK131" s="31" t="n">
        <f aca="false">ROUNDDOWN(K131*設定!$C$14/1000,0)</f>
        <v>0</v>
      </c>
      <c r="BL131" s="31" t="n">
        <f aca="false">ROUNDDOWN(J131*設定!$B$15/1000,0)</f>
        <v>0</v>
      </c>
      <c r="BM131" s="31" t="n">
        <f aca="false">ROUNDDOWN(J131*設定!$C$15/1000,0)</f>
        <v>0</v>
      </c>
      <c r="BN131" s="31" t="n">
        <f aca="false">L131+M131</f>
        <v>40590</v>
      </c>
      <c r="BO131" s="31" t="n">
        <f aca="false">N131+O131+P131</f>
        <v>40625</v>
      </c>
      <c r="BP131" s="31" t="n">
        <f aca="false">Q131</f>
        <v>21262</v>
      </c>
      <c r="BQ131" s="31" t="n">
        <f aca="false">R131</f>
        <v>21283</v>
      </c>
      <c r="BR131" s="31" t="n">
        <f aca="false">S131</f>
        <v>0</v>
      </c>
      <c r="BS131" s="31" t="n">
        <f aca="false">T131</f>
        <v>0</v>
      </c>
      <c r="BT131" s="31" t="n">
        <f aca="false">U131</f>
        <v>471</v>
      </c>
      <c r="BU131" s="31" t="n">
        <f aca="false">V131</f>
        <v>471</v>
      </c>
      <c r="BV131" s="32" t="n">
        <f aca="false">IF(BF131=0,IF(BN131=0,0,1),(BN131-BF131)/BF131)</f>
        <v>1</v>
      </c>
      <c r="BW131" s="32" t="n">
        <f aca="false">IF(BG131=0,IF(BO131=0,0,1),(BO131-BG131)/BG131)</f>
        <v>1</v>
      </c>
      <c r="BX131" s="32" t="n">
        <f aca="false">IF(BH131=0,IF(BP131=0,0,1),(BP131-BH131)/BH131)</f>
        <v>1</v>
      </c>
      <c r="BY131" s="32" t="n">
        <f aca="false">IF(BI131=0,IF(BQ131=0,0,1),(BQ131-BI131)/BI131)</f>
        <v>1</v>
      </c>
      <c r="BZ131" s="32" t="n">
        <f aca="false">IF(BJ131=0,IF(BR131=0,0,1),(BR131-BJ131)/BJ131)</f>
        <v>0</v>
      </c>
      <c r="CA131" s="32" t="n">
        <f aca="false">IF(BK131=0,IF(BS131=0,0,1),(BS131-BK131)/BK131)</f>
        <v>0</v>
      </c>
      <c r="CB131" s="32" t="n">
        <f aca="false">IF(BL131=0,IF(BT131=0,0,1),(BT131-BL131)/BL131)</f>
        <v>1</v>
      </c>
      <c r="CC131" s="32" t="n">
        <f aca="false">IF(BM131=0,IF(BU131=0,0,1),(BU131-BM131)/BM131)</f>
        <v>1</v>
      </c>
      <c r="CD131" s="32" t="n">
        <f aca="false">MAX(MAX(BV131:CC131),-MIN(BV131:CC131))</f>
        <v>1</v>
      </c>
      <c r="CE131" s="31" t="n">
        <f aca="false">IF(CI131="","",SUMIFS($CF$7:$CF$696,$A$7:$A$696,CI131,$B$7:$B$696,B131))</f>
        <v>124702</v>
      </c>
      <c r="CF131" s="31" t="n">
        <f aca="false">SUM(AU131:BE131)</f>
        <v>124702</v>
      </c>
      <c r="CG131" s="33" t="str">
        <f aca="false">A131&amp;"|"&amp;B131</f>
        <v>2026-06 月例|都市再生機構</v>
      </c>
      <c r="CH131" s="34" t="str">
        <f aca="false">IFERROR(INDEX(設定!$D$61:$D$106,MATCH(B131,設定!$B$61:$B$106,0)),"Y")</f>
        <v>Y</v>
      </c>
      <c r="CI131" s="34" t="str">
        <f aca="false">IFERROR(INDEX(設定!$D$20:$D$34,MATCH(A131,設定!$A$20:$A$34,0))&amp;"","")</f>
        <v>2026-05 月例</v>
      </c>
    </row>
    <row r="132" customFormat="false" ht="15" hidden="true" customHeight="false" outlineLevel="0" collapsed="false">
      <c r="A132" s="22" t="s">
        <v>209</v>
      </c>
      <c r="B132" s="23" t="s">
        <v>194</v>
      </c>
      <c r="C132" s="10" t="str">
        <f aca="false">IF(G132="","未受領",IF(G132="なし","報告なし",IF(AH132="○","起票済",IF(OR(AG132="○",F132="一致",F132="入金不要"),"入金確認済","受領済"))))</f>
        <v>入金確認済</v>
      </c>
      <c r="D132" s="10" t="str">
        <f aca="false">IF(OR(G132="",G132="なし"),"―",IF(CH132="N","対象外",IF(AND(I132="",J132="",K132=""),"標報未入力",IF(CD132&gt;=設定!$B$4,"要確認","問題なし"))))</f>
        <v>標報未入力</v>
      </c>
      <c r="E132" s="24" t="str">
        <f aca="false">IF(OR(G132="",G132="なし",CE132="",CF132=0),"―",IF(CF132=CE132,"前月同額",IF(CE132=0,"―",IF(ABS(CF132/CE132-1)&gt;=設定!$B$5,"変動大 "&amp;TEXT(CF132/CE132-1,"+0%;-0%"),"〇"))))</f>
        <v>前月同額</v>
      </c>
      <c r="F132" s="10" t="str">
        <f aca="false">IF(OR(G132="",G132="なし"),"―",IF(CF132=0,"入金不要",IF(COUNT(Z132,AB132,AD132,AF132)=0,IF(AG132="○","手動確認","未入金"),IF(AND(N(Z132)=Y132,IF(AA132="",TRUE(),N(AB132)=AA132),IF(AC132="",TRUE(),N(AD132)=AC132),IF(AE132="",TRUE(),N(AF132)=AE132)),"一致","不一致"))))</f>
        <v>手動確認</v>
      </c>
      <c r="G132" s="25" t="s">
        <v>159</v>
      </c>
      <c r="H132" s="26"/>
      <c r="I132" s="27"/>
      <c r="J132" s="27"/>
      <c r="K132" s="27"/>
      <c r="L132" s="27" t="n">
        <v>1201395</v>
      </c>
      <c r="M132" s="27" t="n">
        <v>98475</v>
      </c>
      <c r="N132" s="27" t="n">
        <v>1201395</v>
      </c>
      <c r="O132" s="27" t="n">
        <v>98475</v>
      </c>
      <c r="P132" s="27" t="n">
        <v>1208</v>
      </c>
      <c r="Q132" s="27" t="n">
        <v>690245</v>
      </c>
      <c r="R132" s="27" t="n">
        <v>690961</v>
      </c>
      <c r="S132" s="27" t="n">
        <v>79632</v>
      </c>
      <c r="T132" s="27" t="n">
        <v>79632</v>
      </c>
      <c r="U132" s="27" t="n">
        <v>15300</v>
      </c>
      <c r="V132" s="27" t="n">
        <v>15306</v>
      </c>
      <c r="W132" s="10" t="str">
        <f aca="false">IFERROR(INDEX(設定!$E$61:$E$106,MATCH(B132,設定!$B$61:$B$106,0)),"合算")</f>
        <v>合算</v>
      </c>
      <c r="X132" s="28"/>
      <c r="Y132" s="29" t="n">
        <f aca="false">IF(OR(G132="",G132="なし"),"",IF(W132="合算",CF132,IF(W132="掛金・負担金別",(AU132+AV132+AZ132+BB132+BD132),SUM(AU132:AY132))))</f>
        <v>4172024</v>
      </c>
      <c r="Z132" s="27"/>
      <c r="AA132" s="29" t="str">
        <f aca="false">IF(OR(G132="",G132="なし"),"",IF(W132="掛金・負担金別",(AW132+AX132+AY132+BA132+BC132+BE132),IF(W132="経理区分別",AZ132+BA132,"")))</f>
        <v/>
      </c>
      <c r="AB132" s="27"/>
      <c r="AC132" s="29" t="str">
        <f aca="false">IF(OR(G132="",G132="なし"),"",IF(W132="経理区分別",BB132+BC132,""))</f>
        <v/>
      </c>
      <c r="AD132" s="27"/>
      <c r="AE132" s="29" t="str">
        <f aca="false">IF(OR(G132="",G132="なし"),"",IF(W132="経理区分別",BD132+BE132,""))</f>
        <v/>
      </c>
      <c r="AF132" s="27"/>
      <c r="AG132" s="26" t="s">
        <v>160</v>
      </c>
      <c r="AH132" s="26"/>
      <c r="AI132" s="30"/>
      <c r="AJ132" s="31"/>
      <c r="AK132" s="31"/>
      <c r="AL132" s="31"/>
      <c r="AM132" s="31"/>
      <c r="AN132" s="31"/>
      <c r="AO132" s="31"/>
      <c r="AP132" s="31"/>
      <c r="AQ132" s="31"/>
      <c r="AR132" s="31"/>
      <c r="AS132" s="31"/>
      <c r="AT132" s="31"/>
      <c r="AU132" s="31" t="n">
        <f aca="false">IF($G132="",AJ132,L132)</f>
        <v>1201395</v>
      </c>
      <c r="AV132" s="31" t="n">
        <f aca="false">IF($G132="",AK132,M132)</f>
        <v>98475</v>
      </c>
      <c r="AW132" s="31" t="n">
        <f aca="false">IF($G132="",AL132,N132)</f>
        <v>1201395</v>
      </c>
      <c r="AX132" s="31" t="n">
        <f aca="false">IF($G132="",AM132,O132)</f>
        <v>98475</v>
      </c>
      <c r="AY132" s="31" t="n">
        <f aca="false">IF($G132="",AN132,P132)</f>
        <v>1208</v>
      </c>
      <c r="AZ132" s="31" t="n">
        <f aca="false">IF($G132="",AO132,Q132)</f>
        <v>690245</v>
      </c>
      <c r="BA132" s="31" t="n">
        <f aca="false">IF($G132="",AP132,R132)</f>
        <v>690961</v>
      </c>
      <c r="BB132" s="31" t="n">
        <f aca="false">IF($G132="",AQ132,S132)</f>
        <v>79632</v>
      </c>
      <c r="BC132" s="31" t="n">
        <f aca="false">IF($G132="",AR132,T132)</f>
        <v>79632</v>
      </c>
      <c r="BD132" s="31" t="n">
        <f aca="false">IF($G132="",AS132,U132)</f>
        <v>15300</v>
      </c>
      <c r="BE132" s="31" t="n">
        <f aca="false">IF($G132="",AT132,V132)</f>
        <v>15306</v>
      </c>
      <c r="BF132" s="31" t="n">
        <f aca="false">ROUNDDOWN(I132*設定!$B$10/1000,0)+ROUNDDOWN(I132*設定!$B$11/1000,0)</f>
        <v>0</v>
      </c>
      <c r="BG132" s="31" t="n">
        <f aca="false">ROUNDDOWN(I132*設定!$C$10/1000,0)+ROUNDDOWN(I132*設定!$C$11/1000,0)+ROUNDDOWN(I132*設定!$C$12/1000,0)</f>
        <v>0</v>
      </c>
      <c r="BH132" s="31" t="n">
        <f aca="false">ROUNDDOWN(J132*設定!$B$13/1000,0)</f>
        <v>0</v>
      </c>
      <c r="BI132" s="31" t="n">
        <f aca="false">ROUNDDOWN(J132*設定!$C$13/1000,0)</f>
        <v>0</v>
      </c>
      <c r="BJ132" s="31" t="n">
        <f aca="false">ROUNDDOWN(K132*設定!$B$14/1000,0)</f>
        <v>0</v>
      </c>
      <c r="BK132" s="31" t="n">
        <f aca="false">ROUNDDOWN(K132*設定!$C$14/1000,0)</f>
        <v>0</v>
      </c>
      <c r="BL132" s="31" t="n">
        <f aca="false">ROUNDDOWN(J132*設定!$B$15/1000,0)</f>
        <v>0</v>
      </c>
      <c r="BM132" s="31" t="n">
        <f aca="false">ROUNDDOWN(J132*設定!$C$15/1000,0)</f>
        <v>0</v>
      </c>
      <c r="BN132" s="31" t="n">
        <f aca="false">L132+M132</f>
        <v>1299870</v>
      </c>
      <c r="BO132" s="31" t="n">
        <f aca="false">N132+O132+P132</f>
        <v>1301078</v>
      </c>
      <c r="BP132" s="31" t="n">
        <f aca="false">Q132</f>
        <v>690245</v>
      </c>
      <c r="BQ132" s="31" t="n">
        <f aca="false">R132</f>
        <v>690961</v>
      </c>
      <c r="BR132" s="31" t="n">
        <f aca="false">S132</f>
        <v>79632</v>
      </c>
      <c r="BS132" s="31" t="n">
        <f aca="false">T132</f>
        <v>79632</v>
      </c>
      <c r="BT132" s="31" t="n">
        <f aca="false">U132</f>
        <v>15300</v>
      </c>
      <c r="BU132" s="31" t="n">
        <f aca="false">V132</f>
        <v>15306</v>
      </c>
      <c r="BV132" s="32" t="n">
        <f aca="false">IF(BF132=0,IF(BN132=0,0,1),(BN132-BF132)/BF132)</f>
        <v>1</v>
      </c>
      <c r="BW132" s="32" t="n">
        <f aca="false">IF(BG132=0,IF(BO132=0,0,1),(BO132-BG132)/BG132)</f>
        <v>1</v>
      </c>
      <c r="BX132" s="32" t="n">
        <f aca="false">IF(BH132=0,IF(BP132=0,0,1),(BP132-BH132)/BH132)</f>
        <v>1</v>
      </c>
      <c r="BY132" s="32" t="n">
        <f aca="false">IF(BI132=0,IF(BQ132=0,0,1),(BQ132-BI132)/BI132)</f>
        <v>1</v>
      </c>
      <c r="BZ132" s="32" t="n">
        <f aca="false">IF(BJ132=0,IF(BR132=0,0,1),(BR132-BJ132)/BJ132)</f>
        <v>1</v>
      </c>
      <c r="CA132" s="32" t="n">
        <f aca="false">IF(BK132=0,IF(BS132=0,0,1),(BS132-BK132)/BK132)</f>
        <v>1</v>
      </c>
      <c r="CB132" s="32" t="n">
        <f aca="false">IF(BL132=0,IF(BT132=0,0,1),(BT132-BL132)/BL132)</f>
        <v>1</v>
      </c>
      <c r="CC132" s="32" t="n">
        <f aca="false">IF(BM132=0,IF(BU132=0,0,1),(BU132-BM132)/BM132)</f>
        <v>1</v>
      </c>
      <c r="CD132" s="32" t="n">
        <f aca="false">MAX(MAX(BV132:CC132),-MIN(BV132:CC132))</f>
        <v>1</v>
      </c>
      <c r="CE132" s="31" t="n">
        <f aca="false">IF(CI132="","",SUMIFS($CF$7:$CF$696,$A$7:$A$696,CI132,$B$7:$B$696,B132))</f>
        <v>4172024</v>
      </c>
      <c r="CF132" s="31" t="n">
        <f aca="false">SUM(AU132:BE132)</f>
        <v>4172024</v>
      </c>
      <c r="CG132" s="33" t="str">
        <f aca="false">A132&amp;"|"&amp;B132</f>
        <v>2026-06 月例|広島市立大学</v>
      </c>
      <c r="CH132" s="34" t="str">
        <f aca="false">IFERROR(INDEX(設定!$D$61:$D$106,MATCH(B132,設定!$B$61:$B$106,0)),"Y")</f>
        <v>Y</v>
      </c>
      <c r="CI132" s="34" t="str">
        <f aca="false">IFERROR(INDEX(設定!$D$20:$D$34,MATCH(A132,設定!$A$20:$A$34,0))&amp;"","")</f>
        <v>2026-05 月例</v>
      </c>
    </row>
    <row r="133" customFormat="false" ht="15" hidden="true" customHeight="false" outlineLevel="0" collapsed="false">
      <c r="A133" s="22" t="s">
        <v>209</v>
      </c>
      <c r="B133" s="23" t="s">
        <v>195</v>
      </c>
      <c r="C133" s="10" t="str">
        <f aca="false">IF(G133="","未受領",IF(G133="なし","報告なし",IF(AH133="○","起票済",IF(OR(AG133="○",F133="一致",F133="入金不要"),"入金確認済","受領済"))))</f>
        <v>入金確認済</v>
      </c>
      <c r="D133" s="10" t="str">
        <f aca="false">IF(OR(G133="",G133="なし"),"―",IF(CH133="N","対象外",IF(AND(I133="",J133="",K133=""),"標報未入力",IF(CD133&gt;=設定!$B$4,"要確認","問題なし"))))</f>
        <v>標報未入力</v>
      </c>
      <c r="E133" s="24" t="str">
        <f aca="false">IF(OR(G133="",G133="なし",CE133="",CF133=0),"―",IF(CF133=CE133,"前月同額",IF(CE133=0,"―",IF(ABS(CF133/CE133-1)&gt;=設定!$B$5,"変動大 "&amp;TEXT(CF133/CE133-1,"+0%;-0%"),"〇"))))</f>
        <v>前月同額</v>
      </c>
      <c r="F133" s="10" t="str">
        <f aca="false">IF(OR(G133="",G133="なし"),"―",IF(CF133=0,"入金不要",IF(COUNT(Z133,AB133,AD133,AF133)=0,IF(AG133="○","手動確認","未入金"),IF(AND(N(Z133)=Y133,IF(AA133="",TRUE(),N(AB133)=AA133),IF(AC133="",TRUE(),N(AD133)=AC133),IF(AE133="",TRUE(),N(AF133)=AE133)),"一致","不一致"))))</f>
        <v>手動確認</v>
      </c>
      <c r="G133" s="25" t="s">
        <v>159</v>
      </c>
      <c r="H133" s="26"/>
      <c r="I133" s="27"/>
      <c r="J133" s="27"/>
      <c r="K133" s="27"/>
      <c r="L133" s="27"/>
      <c r="M133" s="27"/>
      <c r="N133" s="27" t="n">
        <v>242475</v>
      </c>
      <c r="O133" s="27" t="n">
        <v>19875</v>
      </c>
      <c r="P133" s="27" t="n">
        <v>230</v>
      </c>
      <c r="Q133" s="27"/>
      <c r="R133" s="27" t="n">
        <v>140676</v>
      </c>
      <c r="S133" s="27"/>
      <c r="T133" s="27" t="n">
        <v>10507</v>
      </c>
      <c r="U133" s="27"/>
      <c r="V133" s="27" t="n">
        <v>3116</v>
      </c>
      <c r="W133" s="10" t="str">
        <f aca="false">IFERROR(INDEX(設定!$E$61:$E$106,MATCH(B133,設定!$B$61:$B$106,0)),"合算")</f>
        <v>合算</v>
      </c>
      <c r="X133" s="28"/>
      <c r="Y133" s="29" t="n">
        <f aca="false">IF(OR(G133="",G133="なし"),"",IF(W133="合算",CF133,IF(W133="掛金・負担金別",(AU133+AV133+AZ133+BB133+BD133),SUM(AU133:AY133))))</f>
        <v>416879</v>
      </c>
      <c r="Z133" s="27"/>
      <c r="AA133" s="29" t="str">
        <f aca="false">IF(OR(G133="",G133="なし"),"",IF(W133="掛金・負担金別",(AW133+AX133+AY133+BA133+BC133+BE133),IF(W133="経理区分別",AZ133+BA133,"")))</f>
        <v/>
      </c>
      <c r="AB133" s="27"/>
      <c r="AC133" s="29" t="str">
        <f aca="false">IF(OR(G133="",G133="なし"),"",IF(W133="経理区分別",BB133+BC133,""))</f>
        <v/>
      </c>
      <c r="AD133" s="27"/>
      <c r="AE133" s="29" t="str">
        <f aca="false">IF(OR(G133="",G133="なし"),"",IF(W133="経理区分別",BD133+BE133,""))</f>
        <v/>
      </c>
      <c r="AF133" s="27"/>
      <c r="AG133" s="26" t="s">
        <v>160</v>
      </c>
      <c r="AH133" s="26"/>
      <c r="AI133" s="30"/>
      <c r="AJ133" s="31"/>
      <c r="AK133" s="31"/>
      <c r="AL133" s="31"/>
      <c r="AM133" s="31"/>
      <c r="AN133" s="31"/>
      <c r="AO133" s="31"/>
      <c r="AP133" s="31"/>
      <c r="AQ133" s="31"/>
      <c r="AR133" s="31"/>
      <c r="AS133" s="31"/>
      <c r="AT133" s="31"/>
      <c r="AU133" s="31" t="n">
        <f aca="false">IF($G133="",AJ133,L133)</f>
        <v>0</v>
      </c>
      <c r="AV133" s="31" t="n">
        <f aca="false">IF($G133="",AK133,M133)</f>
        <v>0</v>
      </c>
      <c r="AW133" s="31" t="n">
        <f aca="false">IF($G133="",AL133,N133)</f>
        <v>242475</v>
      </c>
      <c r="AX133" s="31" t="n">
        <f aca="false">IF($G133="",AM133,O133)</f>
        <v>19875</v>
      </c>
      <c r="AY133" s="31" t="n">
        <f aca="false">IF($G133="",AN133,P133)</f>
        <v>230</v>
      </c>
      <c r="AZ133" s="31" t="n">
        <f aca="false">IF($G133="",AO133,Q133)</f>
        <v>0</v>
      </c>
      <c r="BA133" s="31" t="n">
        <f aca="false">IF($G133="",AP133,R133)</f>
        <v>140676</v>
      </c>
      <c r="BB133" s="31" t="n">
        <f aca="false">IF($G133="",AQ133,S133)</f>
        <v>0</v>
      </c>
      <c r="BC133" s="31" t="n">
        <f aca="false">IF($G133="",AR133,T133)</f>
        <v>10507</v>
      </c>
      <c r="BD133" s="31" t="n">
        <f aca="false">IF($G133="",AS133,U133)</f>
        <v>0</v>
      </c>
      <c r="BE133" s="31" t="n">
        <f aca="false">IF($G133="",AT133,V133)</f>
        <v>3116</v>
      </c>
      <c r="BF133" s="31" t="n">
        <f aca="false">ROUNDDOWN(I133*設定!$B$10/1000,0)+ROUNDDOWN(I133*設定!$B$11/1000,0)</f>
        <v>0</v>
      </c>
      <c r="BG133" s="31" t="n">
        <f aca="false">ROUNDDOWN(I133*設定!$C$10/1000,0)+ROUNDDOWN(I133*設定!$C$11/1000,0)+ROUNDDOWN(I133*設定!$C$12/1000,0)</f>
        <v>0</v>
      </c>
      <c r="BH133" s="31" t="n">
        <f aca="false">ROUNDDOWN(J133*設定!$B$13/1000,0)</f>
        <v>0</v>
      </c>
      <c r="BI133" s="31" t="n">
        <f aca="false">ROUNDDOWN(J133*設定!$C$13/1000,0)</f>
        <v>0</v>
      </c>
      <c r="BJ133" s="31" t="n">
        <f aca="false">ROUNDDOWN(K133*設定!$B$14/1000,0)</f>
        <v>0</v>
      </c>
      <c r="BK133" s="31" t="n">
        <f aca="false">ROUNDDOWN(K133*設定!$C$14/1000,0)</f>
        <v>0</v>
      </c>
      <c r="BL133" s="31" t="n">
        <f aca="false">ROUNDDOWN(J133*設定!$B$15/1000,0)</f>
        <v>0</v>
      </c>
      <c r="BM133" s="31" t="n">
        <f aca="false">ROUNDDOWN(J133*設定!$C$15/1000,0)</f>
        <v>0</v>
      </c>
      <c r="BN133" s="31" t="n">
        <f aca="false">L133+M133</f>
        <v>0</v>
      </c>
      <c r="BO133" s="31" t="n">
        <f aca="false">N133+O133+P133</f>
        <v>262580</v>
      </c>
      <c r="BP133" s="31" t="n">
        <f aca="false">Q133</f>
        <v>0</v>
      </c>
      <c r="BQ133" s="31" t="n">
        <f aca="false">R133</f>
        <v>140676</v>
      </c>
      <c r="BR133" s="31" t="n">
        <f aca="false">S133</f>
        <v>0</v>
      </c>
      <c r="BS133" s="31" t="n">
        <f aca="false">T133</f>
        <v>10507</v>
      </c>
      <c r="BT133" s="31" t="n">
        <f aca="false">U133</f>
        <v>0</v>
      </c>
      <c r="BU133" s="31" t="n">
        <f aca="false">V133</f>
        <v>3116</v>
      </c>
      <c r="BV133" s="32" t="n">
        <f aca="false">IF(BF133=0,IF(BN133=0,0,1),(BN133-BF133)/BF133)</f>
        <v>0</v>
      </c>
      <c r="BW133" s="32" t="n">
        <f aca="false">IF(BG133=0,IF(BO133=0,0,1),(BO133-BG133)/BG133)</f>
        <v>1</v>
      </c>
      <c r="BX133" s="32" t="n">
        <f aca="false">IF(BH133=0,IF(BP133=0,0,1),(BP133-BH133)/BH133)</f>
        <v>0</v>
      </c>
      <c r="BY133" s="32" t="n">
        <f aca="false">IF(BI133=0,IF(BQ133=0,0,1),(BQ133-BI133)/BI133)</f>
        <v>1</v>
      </c>
      <c r="BZ133" s="32" t="n">
        <f aca="false">IF(BJ133=0,IF(BR133=0,0,1),(BR133-BJ133)/BJ133)</f>
        <v>0</v>
      </c>
      <c r="CA133" s="32" t="n">
        <f aca="false">IF(BK133=0,IF(BS133=0,0,1),(BS133-BK133)/BK133)</f>
        <v>1</v>
      </c>
      <c r="CB133" s="32" t="n">
        <f aca="false">IF(BL133=0,IF(BT133=0,0,1),(BT133-BL133)/BL133)</f>
        <v>0</v>
      </c>
      <c r="CC133" s="32" t="n">
        <f aca="false">IF(BM133=0,IF(BU133=0,0,1),(BU133-BM133)/BM133)</f>
        <v>1</v>
      </c>
      <c r="CD133" s="32" t="n">
        <f aca="false">MAX(MAX(BV133:CC133),-MIN(BV133:CC133))</f>
        <v>1</v>
      </c>
      <c r="CE133" s="31" t="n">
        <f aca="false">IF(CI133="","",SUMIFS($CF$7:$CF$696,$A$7:$A$696,CI133,$B$7:$B$696,B133))</f>
        <v>416879</v>
      </c>
      <c r="CF133" s="31" t="n">
        <f aca="false">SUM(AU133:BE133)</f>
        <v>416879</v>
      </c>
      <c r="CG133" s="33" t="str">
        <f aca="false">A133&amp;"|"&amp;B133</f>
        <v>2026-06 月例|社会福祉協議会</v>
      </c>
      <c r="CH133" s="34" t="str">
        <f aca="false">IFERROR(INDEX(設定!$D$61:$D$106,MATCH(B133,設定!$B$61:$B$106,0)),"Y")</f>
        <v>Y</v>
      </c>
      <c r="CI133" s="34" t="str">
        <f aca="false">IFERROR(INDEX(設定!$D$20:$D$34,MATCH(A133,設定!$A$20:$A$34,0))&amp;"","")</f>
        <v>2026-05 月例</v>
      </c>
    </row>
    <row r="134" customFormat="false" ht="15" hidden="true" customHeight="false" outlineLevel="0" collapsed="false">
      <c r="A134" s="22" t="s">
        <v>209</v>
      </c>
      <c r="B134" s="23" t="s">
        <v>196</v>
      </c>
      <c r="C134" s="10" t="str">
        <f aca="false">IF(G134="","未受領",IF(G134="なし","報告なし",IF(AH134="○","起票済",IF(OR(AG134="○",F134="一致",F134="入金不要"),"入金確認済","受領済"))))</f>
        <v>入金確認済</v>
      </c>
      <c r="D134" s="10" t="str">
        <f aca="false">IF(OR(G134="",G134="なし"),"―",IF(CH134="N","対象外",IF(AND(I134="",J134="",K134=""),"標報未入力",IF(CD134&gt;=設定!$B$4,"要確認","問題なし"))))</f>
        <v>対象外</v>
      </c>
      <c r="E134" s="24" t="str">
        <f aca="false">IF(OR(G134="",G134="なし",CE134="",CF134=0),"―",IF(CF134=CE134,"前月同額",IF(CE134=0,"―",IF(ABS(CF134/CE134-1)&gt;=設定!$B$5,"変動大 "&amp;TEXT(CF134/CE134-1,"+0%;-0%"),"〇"))))</f>
        <v>〇</v>
      </c>
      <c r="F134" s="10" t="str">
        <f aca="false">IF(OR(G134="",G134="なし"),"―",IF(CF134=0,"入金不要",IF(COUNT(Z134,AB134,AD134,AF134)=0,IF(AG134="○","手動確認","未入金"),IF(AND(N(Z134)=Y134,IF(AA134="",TRUE(),N(AB134)=AA134),IF(AC134="",TRUE(),N(AD134)=AC134),IF(AE134="",TRUE(),N(AF134)=AE134)),"一致","不一致"))))</f>
        <v>手動確認</v>
      </c>
      <c r="G134" s="25" t="s">
        <v>159</v>
      </c>
      <c r="H134" s="26"/>
      <c r="I134" s="27"/>
      <c r="J134" s="27"/>
      <c r="K134" s="27"/>
      <c r="L134" s="27" t="n">
        <v>127369830</v>
      </c>
      <c r="M134" s="27" t="n">
        <v>10437000</v>
      </c>
      <c r="N134" s="27" t="n">
        <v>185771486</v>
      </c>
      <c r="O134" s="27" t="n">
        <v>10437000</v>
      </c>
      <c r="P134" s="27" t="n">
        <v>126968</v>
      </c>
      <c r="Q134" s="27" t="n">
        <v>94159487</v>
      </c>
      <c r="R134" s="27" t="n">
        <v>94264854</v>
      </c>
      <c r="S134" s="27" t="n">
        <v>7969836</v>
      </c>
      <c r="T134" s="27" t="n">
        <v>7975700</v>
      </c>
      <c r="U134" s="27" t="n">
        <v>2086588</v>
      </c>
      <c r="V134" s="27" t="n">
        <v>2086587</v>
      </c>
      <c r="W134" s="10" t="str">
        <f aca="false">IFERROR(INDEX(設定!$E$61:$E$106,MATCH(B134,設定!$B$61:$B$106,0)),"合算")</f>
        <v>合算</v>
      </c>
      <c r="X134" s="28"/>
      <c r="Y134" s="29" t="n">
        <f aca="false">IF(OR(G134="",G134="なし"),"",IF(W134="合算",CF134,IF(W134="掛金・負担金別",(AU134+AV134+AZ134+BB134+BD134),SUM(AU134:AY134))))</f>
        <v>542685336</v>
      </c>
      <c r="Z134" s="27"/>
      <c r="AA134" s="29" t="str">
        <f aca="false">IF(OR(G134="",G134="なし"),"",IF(W134="掛金・負担金別",(AW134+AX134+AY134+BA134+BC134+BE134),IF(W134="経理区分別",AZ134+BA134,"")))</f>
        <v/>
      </c>
      <c r="AB134" s="27"/>
      <c r="AC134" s="29" t="str">
        <f aca="false">IF(OR(G134="",G134="なし"),"",IF(W134="経理区分別",BB134+BC134,""))</f>
        <v/>
      </c>
      <c r="AD134" s="27"/>
      <c r="AE134" s="29" t="str">
        <f aca="false">IF(OR(G134="",G134="なし"),"",IF(W134="経理区分別",BD134+BE134,""))</f>
        <v/>
      </c>
      <c r="AF134" s="27"/>
      <c r="AG134" s="26" t="s">
        <v>160</v>
      </c>
      <c r="AH134" s="26"/>
      <c r="AI134" s="30"/>
      <c r="AJ134" s="31"/>
      <c r="AK134" s="31"/>
      <c r="AL134" s="31"/>
      <c r="AM134" s="31"/>
      <c r="AN134" s="31"/>
      <c r="AO134" s="31"/>
      <c r="AP134" s="31"/>
      <c r="AQ134" s="31"/>
      <c r="AR134" s="31"/>
      <c r="AS134" s="31"/>
      <c r="AT134" s="31"/>
      <c r="AU134" s="31" t="n">
        <f aca="false">IF($G134="",AJ134,L134)</f>
        <v>127369830</v>
      </c>
      <c r="AV134" s="31" t="n">
        <f aca="false">IF($G134="",AK134,M134)</f>
        <v>10437000</v>
      </c>
      <c r="AW134" s="31" t="n">
        <f aca="false">IF($G134="",AL134,N134)</f>
        <v>185771486</v>
      </c>
      <c r="AX134" s="31" t="n">
        <f aca="false">IF($G134="",AM134,O134)</f>
        <v>10437000</v>
      </c>
      <c r="AY134" s="31" t="n">
        <f aca="false">IF($G134="",AN134,P134)</f>
        <v>126968</v>
      </c>
      <c r="AZ134" s="31" t="n">
        <f aca="false">IF($G134="",AO134,Q134)</f>
        <v>94159487</v>
      </c>
      <c r="BA134" s="31" t="n">
        <f aca="false">IF($G134="",AP134,R134)</f>
        <v>94264854</v>
      </c>
      <c r="BB134" s="31" t="n">
        <f aca="false">IF($G134="",AQ134,S134)</f>
        <v>7969836</v>
      </c>
      <c r="BC134" s="31" t="n">
        <f aca="false">IF($G134="",AR134,T134)</f>
        <v>7975700</v>
      </c>
      <c r="BD134" s="31" t="n">
        <f aca="false">IF($G134="",AS134,U134)</f>
        <v>2086588</v>
      </c>
      <c r="BE134" s="31" t="n">
        <f aca="false">IF($G134="",AT134,V134)</f>
        <v>2086587</v>
      </c>
      <c r="BF134" s="31" t="n">
        <f aca="false">ROUNDDOWN(I134*設定!$B$10/1000,0)+ROUNDDOWN(I134*設定!$B$11/1000,0)</f>
        <v>0</v>
      </c>
      <c r="BG134" s="31" t="n">
        <f aca="false">ROUNDDOWN(I134*設定!$C$10/1000,0)+ROUNDDOWN(I134*設定!$C$11/1000,0)+ROUNDDOWN(I134*設定!$C$12/1000,0)</f>
        <v>0</v>
      </c>
      <c r="BH134" s="31" t="n">
        <f aca="false">ROUNDDOWN(J134*設定!$B$13/1000,0)</f>
        <v>0</v>
      </c>
      <c r="BI134" s="31" t="n">
        <f aca="false">ROUNDDOWN(J134*設定!$C$13/1000,0)</f>
        <v>0</v>
      </c>
      <c r="BJ134" s="31" t="n">
        <f aca="false">ROUNDDOWN(K134*設定!$B$14/1000,0)</f>
        <v>0</v>
      </c>
      <c r="BK134" s="31" t="n">
        <f aca="false">ROUNDDOWN(K134*設定!$C$14/1000,0)</f>
        <v>0</v>
      </c>
      <c r="BL134" s="31" t="n">
        <f aca="false">ROUNDDOWN(J134*設定!$B$15/1000,0)</f>
        <v>0</v>
      </c>
      <c r="BM134" s="31" t="n">
        <f aca="false">ROUNDDOWN(J134*設定!$C$15/1000,0)</f>
        <v>0</v>
      </c>
      <c r="BN134" s="31" t="n">
        <f aca="false">L134+M134</f>
        <v>137806830</v>
      </c>
      <c r="BO134" s="31" t="n">
        <f aca="false">N134+O134+P134</f>
        <v>196335454</v>
      </c>
      <c r="BP134" s="31" t="n">
        <f aca="false">Q134</f>
        <v>94159487</v>
      </c>
      <c r="BQ134" s="31" t="n">
        <f aca="false">R134</f>
        <v>94264854</v>
      </c>
      <c r="BR134" s="31" t="n">
        <f aca="false">S134</f>
        <v>7969836</v>
      </c>
      <c r="BS134" s="31" t="n">
        <f aca="false">T134</f>
        <v>7975700</v>
      </c>
      <c r="BT134" s="31" t="n">
        <f aca="false">U134</f>
        <v>2086588</v>
      </c>
      <c r="BU134" s="31" t="n">
        <f aca="false">V134</f>
        <v>2086587</v>
      </c>
      <c r="BV134" s="32" t="n">
        <f aca="false">IF(BF134=0,IF(BN134=0,0,1),(BN134-BF134)/BF134)</f>
        <v>1</v>
      </c>
      <c r="BW134" s="32" t="n">
        <f aca="false">IF(BG134=0,IF(BO134=0,0,1),(BO134-BG134)/BG134)</f>
        <v>1</v>
      </c>
      <c r="BX134" s="32" t="n">
        <f aca="false">IF(BH134=0,IF(BP134=0,0,1),(BP134-BH134)/BH134)</f>
        <v>1</v>
      </c>
      <c r="BY134" s="32" t="n">
        <f aca="false">IF(BI134=0,IF(BQ134=0,0,1),(BQ134-BI134)/BI134)</f>
        <v>1</v>
      </c>
      <c r="BZ134" s="32" t="n">
        <f aca="false">IF(BJ134=0,IF(BR134=0,0,1),(BR134-BJ134)/BJ134)</f>
        <v>1</v>
      </c>
      <c r="CA134" s="32" t="n">
        <f aca="false">IF(BK134=0,IF(BS134=0,0,1),(BS134-BK134)/BK134)</f>
        <v>1</v>
      </c>
      <c r="CB134" s="32" t="n">
        <f aca="false">IF(BL134=0,IF(BT134=0,0,1),(BT134-BL134)/BL134)</f>
        <v>1</v>
      </c>
      <c r="CC134" s="32" t="n">
        <f aca="false">IF(BM134=0,IF(BU134=0,0,1),(BU134-BM134)/BM134)</f>
        <v>1</v>
      </c>
      <c r="CD134" s="32" t="n">
        <f aca="false">MAX(MAX(BV134:CC134),-MIN(BV134:CC134))</f>
        <v>1</v>
      </c>
      <c r="CE134" s="31" t="n">
        <f aca="false">IF(CI134="","",SUMIFS($CF$7:$CF$696,$A$7:$A$696,CI134,$B$7:$B$696,B134))</f>
        <v>543313426</v>
      </c>
      <c r="CF134" s="31" t="n">
        <f aca="false">SUM(AU134:BE134)</f>
        <v>542685336</v>
      </c>
      <c r="CG134" s="33" t="str">
        <f aca="false">A134&amp;"|"&amp;B134</f>
        <v>2026-06 月例|市立病院機構</v>
      </c>
      <c r="CH134" s="34" t="str">
        <f aca="false">IFERROR(INDEX(設定!$D$61:$D$106,MATCH(B134,設定!$B$61:$B$106,0)),"Y")</f>
        <v>N</v>
      </c>
      <c r="CI134" s="34" t="str">
        <f aca="false">IFERROR(INDEX(設定!$D$20:$D$34,MATCH(A134,設定!$A$20:$A$34,0))&amp;"","")</f>
        <v>2026-05 月例</v>
      </c>
    </row>
    <row r="135" customFormat="false" ht="15" hidden="true" customHeight="false" outlineLevel="0" collapsed="false">
      <c r="A135" s="22" t="s">
        <v>209</v>
      </c>
      <c r="B135" s="23" t="s">
        <v>197</v>
      </c>
      <c r="C135" s="10" t="str">
        <f aca="false">IF(G135="","未受領",IF(G135="なし","報告なし",IF(AH135="○","起票済",IF(OR(AG135="○",F135="一致",F135="入金不要"),"入金確認済","受領済"))))</f>
        <v>入金確認済</v>
      </c>
      <c r="D135" s="10" t="str">
        <f aca="false">IF(OR(G135="",G135="なし"),"―",IF(CH135="N","対象外",IF(AND(I135="",J135="",K135=""),"標報未入力",IF(CD135&gt;=設定!$B$4,"要確認","問題なし"))))</f>
        <v>標報未入力</v>
      </c>
      <c r="E135" s="24" t="str">
        <f aca="false">IF(OR(G135="",G135="なし",CE135="",CF135=0),"―",IF(CF135=CE135,"前月同額",IF(CE135=0,"―",IF(ABS(CF135/CE135-1)&gt;=設定!$B$5,"変動大 "&amp;TEXT(CF135/CE135-1,"+0%;-0%"),"〇"))))</f>
        <v>〇</v>
      </c>
      <c r="F135" s="10" t="str">
        <f aca="false">IF(OR(G135="",G135="なし"),"―",IF(CF135=0,"入金不要",IF(COUNT(Z135,AB135,AD135,AF135)=0,IF(AG135="○","手動確認","未入金"),IF(AND(N(Z135)=Y135,IF(AA135="",TRUE(),N(AB135)=AA135),IF(AC135="",TRUE(),N(AD135)=AC135),IF(AE135="",TRUE(),N(AF135)=AE135)),"一致","不一致"))))</f>
        <v>手動確認</v>
      </c>
      <c r="G135" s="25" t="s">
        <v>159</v>
      </c>
      <c r="H135" s="26"/>
      <c r="I135" s="27"/>
      <c r="J135" s="27"/>
      <c r="K135" s="27"/>
      <c r="L135" s="27"/>
      <c r="M135" s="27"/>
      <c r="N135" s="27" t="n">
        <v>0</v>
      </c>
      <c r="O135" s="27" t="n">
        <v>0</v>
      </c>
      <c r="P135" s="27" t="n">
        <v>0</v>
      </c>
      <c r="Q135" s="27" t="n">
        <v>104755</v>
      </c>
      <c r="R135" s="27" t="n">
        <v>104857</v>
      </c>
      <c r="S135" s="27" t="n">
        <v>11060</v>
      </c>
      <c r="T135" s="27" t="n">
        <v>11060</v>
      </c>
      <c r="U135" s="27" t="n">
        <v>2321</v>
      </c>
      <c r="V135" s="27" t="n">
        <v>2322</v>
      </c>
      <c r="W135" s="10" t="str">
        <f aca="false">IFERROR(INDEX(設定!$E$61:$E$106,MATCH(B135,設定!$B$61:$B$106,0)),"合算")</f>
        <v>合算</v>
      </c>
      <c r="X135" s="28"/>
      <c r="Y135" s="29" t="n">
        <f aca="false">IF(OR(G135="",G135="なし"),"",IF(W135="合算",CF135,IF(W135="掛金・負担金別",(AU135+AV135+AZ135+BB135+BD135),SUM(AU135:AY135))))</f>
        <v>236375</v>
      </c>
      <c r="Z135" s="27"/>
      <c r="AA135" s="29" t="str">
        <f aca="false">IF(OR(G135="",G135="なし"),"",IF(W135="掛金・負担金別",(AW135+AX135+AY135+BA135+BC135+BE135),IF(W135="経理区分別",AZ135+BA135,"")))</f>
        <v/>
      </c>
      <c r="AB135" s="27"/>
      <c r="AC135" s="29" t="str">
        <f aca="false">IF(OR(G135="",G135="なし"),"",IF(W135="経理区分別",BB135+BC135,""))</f>
        <v/>
      </c>
      <c r="AD135" s="27"/>
      <c r="AE135" s="29" t="str">
        <f aca="false">IF(OR(G135="",G135="なし"),"",IF(W135="経理区分別",BD135+BE135,""))</f>
        <v/>
      </c>
      <c r="AF135" s="27"/>
      <c r="AG135" s="26" t="s">
        <v>160</v>
      </c>
      <c r="AH135" s="26"/>
      <c r="AI135" s="30"/>
      <c r="AJ135" s="31"/>
      <c r="AK135" s="31"/>
      <c r="AL135" s="31"/>
      <c r="AM135" s="31"/>
      <c r="AN135" s="31"/>
      <c r="AO135" s="31"/>
      <c r="AP135" s="31"/>
      <c r="AQ135" s="31"/>
      <c r="AR135" s="31"/>
      <c r="AS135" s="31"/>
      <c r="AT135" s="31"/>
      <c r="AU135" s="31" t="n">
        <f aca="false">IF($G135="",AJ135,L135)</f>
        <v>0</v>
      </c>
      <c r="AV135" s="31" t="n">
        <f aca="false">IF($G135="",AK135,M135)</f>
        <v>0</v>
      </c>
      <c r="AW135" s="31" t="n">
        <f aca="false">IF($G135="",AL135,N135)</f>
        <v>0</v>
      </c>
      <c r="AX135" s="31" t="n">
        <f aca="false">IF($G135="",AM135,O135)</f>
        <v>0</v>
      </c>
      <c r="AY135" s="31" t="n">
        <f aca="false">IF($G135="",AN135,P135)</f>
        <v>0</v>
      </c>
      <c r="AZ135" s="31" t="n">
        <f aca="false">IF($G135="",AO135,Q135)</f>
        <v>104755</v>
      </c>
      <c r="BA135" s="31" t="n">
        <f aca="false">IF($G135="",AP135,R135)</f>
        <v>104857</v>
      </c>
      <c r="BB135" s="31" t="n">
        <f aca="false">IF($G135="",AQ135,S135)</f>
        <v>11060</v>
      </c>
      <c r="BC135" s="31" t="n">
        <f aca="false">IF($G135="",AR135,T135)</f>
        <v>11060</v>
      </c>
      <c r="BD135" s="31" t="n">
        <f aca="false">IF($G135="",AS135,U135)</f>
        <v>2321</v>
      </c>
      <c r="BE135" s="31" t="n">
        <f aca="false">IF($G135="",AT135,V135)</f>
        <v>2322</v>
      </c>
      <c r="BF135" s="31" t="n">
        <f aca="false">ROUNDDOWN(I135*設定!$B$10/1000,0)+ROUNDDOWN(I135*設定!$B$11/1000,0)</f>
        <v>0</v>
      </c>
      <c r="BG135" s="31" t="n">
        <f aca="false">ROUNDDOWN(I135*設定!$C$10/1000,0)+ROUNDDOWN(I135*設定!$C$11/1000,0)+ROUNDDOWN(I135*設定!$C$12/1000,0)</f>
        <v>0</v>
      </c>
      <c r="BH135" s="31" t="n">
        <f aca="false">ROUNDDOWN(J135*設定!$B$13/1000,0)</f>
        <v>0</v>
      </c>
      <c r="BI135" s="31" t="n">
        <f aca="false">ROUNDDOWN(J135*設定!$C$13/1000,0)</f>
        <v>0</v>
      </c>
      <c r="BJ135" s="31" t="n">
        <f aca="false">ROUNDDOWN(K135*設定!$B$14/1000,0)</f>
        <v>0</v>
      </c>
      <c r="BK135" s="31" t="n">
        <f aca="false">ROUNDDOWN(K135*設定!$C$14/1000,0)</f>
        <v>0</v>
      </c>
      <c r="BL135" s="31" t="n">
        <f aca="false">ROUNDDOWN(J135*設定!$B$15/1000,0)</f>
        <v>0</v>
      </c>
      <c r="BM135" s="31" t="n">
        <f aca="false">ROUNDDOWN(J135*設定!$C$15/1000,0)</f>
        <v>0</v>
      </c>
      <c r="BN135" s="31" t="n">
        <f aca="false">L135+M135</f>
        <v>0</v>
      </c>
      <c r="BO135" s="31" t="n">
        <f aca="false">N135+O135+P135</f>
        <v>0</v>
      </c>
      <c r="BP135" s="31" t="n">
        <f aca="false">Q135</f>
        <v>104755</v>
      </c>
      <c r="BQ135" s="31" t="n">
        <f aca="false">R135</f>
        <v>104857</v>
      </c>
      <c r="BR135" s="31" t="n">
        <f aca="false">S135</f>
        <v>11060</v>
      </c>
      <c r="BS135" s="31" t="n">
        <f aca="false">T135</f>
        <v>11060</v>
      </c>
      <c r="BT135" s="31" t="n">
        <f aca="false">U135</f>
        <v>2321</v>
      </c>
      <c r="BU135" s="31" t="n">
        <f aca="false">V135</f>
        <v>2322</v>
      </c>
      <c r="BV135" s="32" t="n">
        <f aca="false">IF(BF135=0,IF(BN135=0,0,1),(BN135-BF135)/BF135)</f>
        <v>0</v>
      </c>
      <c r="BW135" s="32" t="n">
        <f aca="false">IF(BG135=0,IF(BO135=0,0,1),(BO135-BG135)/BG135)</f>
        <v>0</v>
      </c>
      <c r="BX135" s="32" t="n">
        <f aca="false">IF(BH135=0,IF(BP135=0,0,1),(BP135-BH135)/BH135)</f>
        <v>1</v>
      </c>
      <c r="BY135" s="32" t="n">
        <f aca="false">IF(BI135=0,IF(BQ135=0,0,1),(BQ135-BI135)/BI135)</f>
        <v>1</v>
      </c>
      <c r="BZ135" s="32" t="n">
        <f aca="false">IF(BJ135=0,IF(BR135=0,0,1),(BR135-BJ135)/BJ135)</f>
        <v>1</v>
      </c>
      <c r="CA135" s="32" t="n">
        <f aca="false">IF(BK135=0,IF(BS135=0,0,1),(BS135-BK135)/BK135)</f>
        <v>1</v>
      </c>
      <c r="CB135" s="32" t="n">
        <f aca="false">IF(BL135=0,IF(BT135=0,0,1),(BT135-BL135)/BL135)</f>
        <v>1</v>
      </c>
      <c r="CC135" s="32" t="n">
        <f aca="false">IF(BM135=0,IF(BU135=0,0,1),(BU135-BM135)/BM135)</f>
        <v>1</v>
      </c>
      <c r="CD135" s="32" t="n">
        <f aca="false">MAX(MAX(BV135:CC135),-MIN(BV135:CC135))</f>
        <v>1</v>
      </c>
      <c r="CE135" s="31" t="n">
        <f aca="false">IF(CI135="","",SUMIFS($CF$7:$CF$696,$A$7:$A$696,CI135,$B$7:$B$696,B135))</f>
        <v>257579</v>
      </c>
      <c r="CF135" s="31" t="n">
        <f aca="false">SUM(AU135:BE135)</f>
        <v>236375</v>
      </c>
      <c r="CG135" s="33" t="str">
        <f aca="false">A135&amp;"|"&amp;B135</f>
        <v>2026-06 月例|職員共済組合</v>
      </c>
      <c r="CH135" s="34" t="str">
        <f aca="false">IFERROR(INDEX(設定!$D$61:$D$106,MATCH(B135,設定!$B$61:$B$106,0)),"Y")</f>
        <v>Y</v>
      </c>
      <c r="CI135" s="34" t="str">
        <f aca="false">IFERROR(INDEX(設定!$D$20:$D$34,MATCH(A135,設定!$A$20:$A$34,0))&amp;"","")</f>
        <v>2026-05 月例</v>
      </c>
    </row>
    <row r="136" customFormat="false" ht="26.85" hidden="true" customHeight="false" outlineLevel="0" collapsed="false">
      <c r="A136" s="22" t="s">
        <v>209</v>
      </c>
      <c r="B136" s="35" t="s">
        <v>198</v>
      </c>
      <c r="C136" s="10" t="str">
        <f aca="false">IF(G136="","未受領",IF(G136="なし","報告なし",IF(AH136="○","起票済",IF(OR(AG136="○",F136="一致",F136="入金不要"),"入金確認済","受領済"))))</f>
        <v>報告なし</v>
      </c>
      <c r="D136" s="10" t="str">
        <f aca="false">IF(OR(G136="",G136="なし"),"―",IF(CH136="N","対象外",IF(AND(I136="",J136="",K136=""),"標報未入力",IF(CD136&gt;=設定!$B$4,"要確認","問題なし"))))</f>
        <v>―</v>
      </c>
      <c r="E136" s="24" t="str">
        <f aca="false">IF(OR(G136="",G136="なし",CE136="",CF136=0),"―",IF(CF136=CE136,"前月同額",IF(CE136=0,"―",IF(ABS(CF136/CE136-1)&gt;=設定!$B$5,"変動大 "&amp;TEXT(CF136/CE136-1,"+0%;-0%"),"〇"))))</f>
        <v>―</v>
      </c>
      <c r="F136" s="10" t="str">
        <f aca="false">IF(OR(G136="",G136="なし"),"―",IF(CF136=0,"入金不要",IF(COUNT(Z136,AB136,AD136,AF136)=0,IF(AG136="○","手動確認","未入金"),IF(AND(N(Z136)=Y136,IF(AA136="",TRUE(),N(AB136)=AA136),IF(AC136="",TRUE(),N(AD136)=AC136),IF(AE136="",TRUE(),N(AF136)=AE136)),"一致","不一致"))))</f>
        <v>―</v>
      </c>
      <c r="G136" s="25" t="s">
        <v>173</v>
      </c>
      <c r="H136" s="26"/>
      <c r="I136" s="27"/>
      <c r="J136" s="27"/>
      <c r="K136" s="27"/>
      <c r="L136" s="27"/>
      <c r="M136" s="27"/>
      <c r="N136" s="27"/>
      <c r="O136" s="27"/>
      <c r="P136" s="27"/>
      <c r="Q136" s="27"/>
      <c r="R136" s="27"/>
      <c r="S136" s="27"/>
      <c r="T136" s="27"/>
      <c r="U136" s="27"/>
      <c r="V136" s="27"/>
      <c r="W136" s="10" t="str">
        <f aca="false">IFERROR(INDEX(設定!$E$61:$E$106,MATCH(B136,設定!$B$61:$B$106,0)),"合算")</f>
        <v>合算</v>
      </c>
      <c r="X136" s="28"/>
      <c r="Y136" s="29" t="str">
        <f aca="false">IF(OR(G136="",G136="なし"),"",IF(W136="合算",CF136,IF(W136="掛金・負担金別",(AU136+AV136+AZ136+BB136+BD136),SUM(AU136:AY136))))</f>
        <v/>
      </c>
      <c r="Z136" s="27"/>
      <c r="AA136" s="29" t="str">
        <f aca="false">IF(OR(G136="",G136="なし"),"",IF(W136="掛金・負担金別",(AW136+AX136+AY136+BA136+BC136+BE136),IF(W136="経理区分別",AZ136+BA136,"")))</f>
        <v/>
      </c>
      <c r="AB136" s="27"/>
      <c r="AC136" s="29" t="str">
        <f aca="false">IF(OR(G136="",G136="なし"),"",IF(W136="経理区分別",BB136+BC136,""))</f>
        <v/>
      </c>
      <c r="AD136" s="27"/>
      <c r="AE136" s="29" t="str">
        <f aca="false">IF(OR(G136="",G136="なし"),"",IF(W136="経理区分別",BD136+BE136,""))</f>
        <v/>
      </c>
      <c r="AF136" s="27"/>
      <c r="AG136" s="26"/>
      <c r="AH136" s="26"/>
      <c r="AI136" s="30"/>
      <c r="AJ136" s="31"/>
      <c r="AK136" s="31"/>
      <c r="AL136" s="31"/>
      <c r="AM136" s="31"/>
      <c r="AN136" s="31"/>
      <c r="AO136" s="31"/>
      <c r="AP136" s="31"/>
      <c r="AQ136" s="31"/>
      <c r="AR136" s="31"/>
      <c r="AS136" s="31"/>
      <c r="AT136" s="31"/>
      <c r="AU136" s="31" t="n">
        <f aca="false">IF($G136="",AJ136,L136)</f>
        <v>0</v>
      </c>
      <c r="AV136" s="31" t="n">
        <f aca="false">IF($G136="",AK136,M136)</f>
        <v>0</v>
      </c>
      <c r="AW136" s="31" t="n">
        <f aca="false">IF($G136="",AL136,N136)</f>
        <v>0</v>
      </c>
      <c r="AX136" s="31" t="n">
        <f aca="false">IF($G136="",AM136,O136)</f>
        <v>0</v>
      </c>
      <c r="AY136" s="31" t="n">
        <f aca="false">IF($G136="",AN136,P136)</f>
        <v>0</v>
      </c>
      <c r="AZ136" s="31" t="n">
        <f aca="false">IF($G136="",AO136,Q136)</f>
        <v>0</v>
      </c>
      <c r="BA136" s="31" t="n">
        <f aca="false">IF($G136="",AP136,R136)</f>
        <v>0</v>
      </c>
      <c r="BB136" s="31" t="n">
        <f aca="false">IF($G136="",AQ136,S136)</f>
        <v>0</v>
      </c>
      <c r="BC136" s="31" t="n">
        <f aca="false">IF($G136="",AR136,T136)</f>
        <v>0</v>
      </c>
      <c r="BD136" s="31" t="n">
        <f aca="false">IF($G136="",AS136,U136)</f>
        <v>0</v>
      </c>
      <c r="BE136" s="31" t="n">
        <f aca="false">IF($G136="",AT136,V136)</f>
        <v>0</v>
      </c>
      <c r="BF136" s="31" t="n">
        <f aca="false">ROUNDDOWN(I136*設定!$B$10/1000,0)+ROUNDDOWN(I136*設定!$B$11/1000,0)</f>
        <v>0</v>
      </c>
      <c r="BG136" s="31" t="n">
        <f aca="false">ROUNDDOWN(I136*設定!$C$10/1000,0)+ROUNDDOWN(I136*設定!$C$11/1000,0)+ROUNDDOWN(I136*設定!$C$12/1000,0)</f>
        <v>0</v>
      </c>
      <c r="BH136" s="31" t="n">
        <f aca="false">ROUNDDOWN(J136*設定!$B$13/1000,0)</f>
        <v>0</v>
      </c>
      <c r="BI136" s="31" t="n">
        <f aca="false">ROUNDDOWN(J136*設定!$C$13/1000,0)</f>
        <v>0</v>
      </c>
      <c r="BJ136" s="31" t="n">
        <f aca="false">ROUNDDOWN(K136*設定!$B$14/1000,0)</f>
        <v>0</v>
      </c>
      <c r="BK136" s="31" t="n">
        <f aca="false">ROUNDDOWN(K136*設定!$C$14/1000,0)</f>
        <v>0</v>
      </c>
      <c r="BL136" s="31" t="n">
        <f aca="false">ROUNDDOWN(J136*設定!$B$15/1000,0)</f>
        <v>0</v>
      </c>
      <c r="BM136" s="31" t="n">
        <f aca="false">ROUNDDOWN(J136*設定!$C$15/1000,0)</f>
        <v>0</v>
      </c>
      <c r="BN136" s="31" t="n">
        <f aca="false">L136+M136</f>
        <v>0</v>
      </c>
      <c r="BO136" s="31" t="n">
        <f aca="false">N136+O136+P136</f>
        <v>0</v>
      </c>
      <c r="BP136" s="31" t="n">
        <f aca="false">Q136</f>
        <v>0</v>
      </c>
      <c r="BQ136" s="31" t="n">
        <f aca="false">R136</f>
        <v>0</v>
      </c>
      <c r="BR136" s="31" t="n">
        <f aca="false">S136</f>
        <v>0</v>
      </c>
      <c r="BS136" s="31" t="n">
        <f aca="false">T136</f>
        <v>0</v>
      </c>
      <c r="BT136" s="31" t="n">
        <f aca="false">U136</f>
        <v>0</v>
      </c>
      <c r="BU136" s="31" t="n">
        <f aca="false">V136</f>
        <v>0</v>
      </c>
      <c r="BV136" s="32" t="n">
        <f aca="false">IF(BF136=0,IF(BN136=0,0,1),(BN136-BF136)/BF136)</f>
        <v>0</v>
      </c>
      <c r="BW136" s="32" t="n">
        <f aca="false">IF(BG136=0,IF(BO136=0,0,1),(BO136-BG136)/BG136)</f>
        <v>0</v>
      </c>
      <c r="BX136" s="32" t="n">
        <f aca="false">IF(BH136=0,IF(BP136=0,0,1),(BP136-BH136)/BH136)</f>
        <v>0</v>
      </c>
      <c r="BY136" s="32" t="n">
        <f aca="false">IF(BI136=0,IF(BQ136=0,0,1),(BQ136-BI136)/BI136)</f>
        <v>0</v>
      </c>
      <c r="BZ136" s="32" t="n">
        <f aca="false">IF(BJ136=0,IF(BR136=0,0,1),(BR136-BJ136)/BJ136)</f>
        <v>0</v>
      </c>
      <c r="CA136" s="32" t="n">
        <f aca="false">IF(BK136=0,IF(BS136=0,0,1),(BS136-BK136)/BK136)</f>
        <v>0</v>
      </c>
      <c r="CB136" s="32" t="n">
        <f aca="false">IF(BL136=0,IF(BT136=0,0,1),(BT136-BL136)/BL136)</f>
        <v>0</v>
      </c>
      <c r="CC136" s="32" t="n">
        <f aca="false">IF(BM136=0,IF(BU136=0,0,1),(BU136-BM136)/BM136)</f>
        <v>0</v>
      </c>
      <c r="CD136" s="32" t="n">
        <f aca="false">MAX(MAX(BV136:CC136),-MIN(BV136:CC136))</f>
        <v>-0</v>
      </c>
      <c r="CE136" s="31" t="n">
        <f aca="false">IF(CI136="","",SUMIFS($CF$7:$CF$696,$A$7:$A$696,CI136,$B$7:$B$696,B136))</f>
        <v>0</v>
      </c>
      <c r="CF136" s="31" t="n">
        <f aca="false">SUM(AU136:BE136)</f>
        <v>0</v>
      </c>
      <c r="CG136" s="36" t="str">
        <f aca="false">A136&amp;"|"&amp;B136</f>
        <v>2026-06 月例|地方公共団体
情報システム機構</v>
      </c>
      <c r="CH136" s="34" t="str">
        <f aca="false">IFERROR(INDEX(設定!$D$61:$D$106,MATCH(B136,設定!$B$61:$B$106,0)),"Y")</f>
        <v>Y</v>
      </c>
      <c r="CI136" s="34" t="str">
        <f aca="false">IFERROR(INDEX(設定!$D$20:$D$34,MATCH(A136,設定!$A$20:$A$34,0))&amp;"","")</f>
        <v>2026-05 月例</v>
      </c>
    </row>
    <row r="137" customFormat="false" ht="15" hidden="true" customHeight="false" outlineLevel="0" collapsed="false">
      <c r="A137" s="22" t="s">
        <v>209</v>
      </c>
      <c r="B137" s="23" t="s">
        <v>199</v>
      </c>
      <c r="C137" s="10" t="str">
        <f aca="false">IF(G137="","未受領",IF(G137="なし","報告なし",IF(AH137="○","起票済",IF(OR(AG137="○",F137="一致",F137="入金不要"),"入金確認済","受領済"))))</f>
        <v>入金確認済</v>
      </c>
      <c r="D137" s="10" t="str">
        <f aca="false">IF(OR(G137="",G137="なし"),"―",IF(CH137="N","対象外",IF(AND(I137="",J137="",K137=""),"標報未入力",IF(CD137&gt;=設定!$B$4,"要確認","問題なし"))))</f>
        <v>標報未入力</v>
      </c>
      <c r="E137" s="24" t="str">
        <f aca="false">IF(OR(G137="",G137="なし",CE137="",CF137=0),"―",IF(CF137=CE137,"前月同額",IF(CE137=0,"―",IF(ABS(CF137/CE137-1)&gt;=設定!$B$5,"変動大 "&amp;TEXT(CF137/CE137-1,"+0%;-0%"),"〇"))))</f>
        <v>〇</v>
      </c>
      <c r="F137" s="10" t="str">
        <f aca="false">IF(OR(G137="",G137="なし"),"―",IF(CF137=0,"入金不要",IF(COUNT(Z137,AB137,AD137,AF137)=0,IF(AG137="○","手動確認","未入金"),IF(AND(N(Z137)=Y137,IF(AA137="",TRUE(),N(AB137)=AA137),IF(AC137="",TRUE(),N(AD137)=AC137),IF(AE137="",TRUE(),N(AF137)=AE137)),"一致","不一致"))))</f>
        <v>手動確認</v>
      </c>
      <c r="G137" s="25" t="s">
        <v>159</v>
      </c>
      <c r="H137" s="26"/>
      <c r="I137" s="27"/>
      <c r="J137" s="27"/>
      <c r="K137" s="27"/>
      <c r="L137" s="27" t="n">
        <v>118950</v>
      </c>
      <c r="M137" s="27" t="n">
        <v>9750</v>
      </c>
      <c r="N137" s="27" t="n">
        <v>118950</v>
      </c>
      <c r="O137" s="27" t="n">
        <v>9750</v>
      </c>
      <c r="P137" s="27" t="n">
        <v>112</v>
      </c>
      <c r="Q137" s="27" t="n">
        <v>84531</v>
      </c>
      <c r="R137" s="27" t="n">
        <v>84613</v>
      </c>
      <c r="S137" s="27" t="n">
        <v>12877</v>
      </c>
      <c r="T137" s="27" t="n">
        <v>12877</v>
      </c>
      <c r="U137" s="27" t="n">
        <v>1874</v>
      </c>
      <c r="V137" s="27" t="n">
        <v>1874</v>
      </c>
      <c r="W137" s="10" t="str">
        <f aca="false">IFERROR(INDEX(設定!$E$61:$E$106,MATCH(B137,設定!$B$61:$B$106,0)),"合算")</f>
        <v>合算</v>
      </c>
      <c r="X137" s="28"/>
      <c r="Y137" s="29" t="n">
        <f aca="false">IF(OR(G137="",G137="なし"),"",IF(W137="合算",CF137,IF(W137="掛金・負担金別",(AU137+AV137+AZ137+BB137+BD137),SUM(AU137:AY137))))</f>
        <v>456158</v>
      </c>
      <c r="Z137" s="27"/>
      <c r="AA137" s="29" t="str">
        <f aca="false">IF(OR(G137="",G137="なし"),"",IF(W137="掛金・負担金別",(AW137+AX137+AY137+BA137+BC137+BE137),IF(W137="経理区分別",AZ137+BA137,"")))</f>
        <v/>
      </c>
      <c r="AB137" s="27"/>
      <c r="AC137" s="29" t="str">
        <f aca="false">IF(OR(G137="",G137="なし"),"",IF(W137="経理区分別",BB137+BC137,""))</f>
        <v/>
      </c>
      <c r="AD137" s="27"/>
      <c r="AE137" s="29" t="str">
        <f aca="false">IF(OR(G137="",G137="なし"),"",IF(W137="経理区分別",BD137+BE137,""))</f>
        <v/>
      </c>
      <c r="AF137" s="27"/>
      <c r="AG137" s="26" t="s">
        <v>160</v>
      </c>
      <c r="AH137" s="26"/>
      <c r="AI137" s="30"/>
      <c r="AJ137" s="31"/>
      <c r="AK137" s="31"/>
      <c r="AL137" s="31"/>
      <c r="AM137" s="31"/>
      <c r="AN137" s="31"/>
      <c r="AO137" s="31"/>
      <c r="AP137" s="31"/>
      <c r="AQ137" s="31"/>
      <c r="AR137" s="31"/>
      <c r="AS137" s="31"/>
      <c r="AT137" s="31"/>
      <c r="AU137" s="31" t="n">
        <f aca="false">IF($G137="",AJ137,L137)</f>
        <v>118950</v>
      </c>
      <c r="AV137" s="31" t="n">
        <f aca="false">IF($G137="",AK137,M137)</f>
        <v>9750</v>
      </c>
      <c r="AW137" s="31" t="n">
        <f aca="false">IF($G137="",AL137,N137)</f>
        <v>118950</v>
      </c>
      <c r="AX137" s="31" t="n">
        <f aca="false">IF($G137="",AM137,O137)</f>
        <v>9750</v>
      </c>
      <c r="AY137" s="31" t="n">
        <f aca="false">IF($G137="",AN137,P137)</f>
        <v>112</v>
      </c>
      <c r="AZ137" s="31" t="n">
        <f aca="false">IF($G137="",AO137,Q137)</f>
        <v>84531</v>
      </c>
      <c r="BA137" s="31" t="n">
        <f aca="false">IF($G137="",AP137,R137)</f>
        <v>84613</v>
      </c>
      <c r="BB137" s="31" t="n">
        <f aca="false">IF($G137="",AQ137,S137)</f>
        <v>12877</v>
      </c>
      <c r="BC137" s="31" t="n">
        <f aca="false">IF($G137="",AR137,T137)</f>
        <v>12877</v>
      </c>
      <c r="BD137" s="31" t="n">
        <f aca="false">IF($G137="",AS137,U137)</f>
        <v>1874</v>
      </c>
      <c r="BE137" s="31" t="n">
        <f aca="false">IF($G137="",AT137,V137)</f>
        <v>1874</v>
      </c>
      <c r="BF137" s="31" t="n">
        <f aca="false">ROUNDDOWN(I137*設定!$B$10/1000,0)+ROUNDDOWN(I137*設定!$B$11/1000,0)</f>
        <v>0</v>
      </c>
      <c r="BG137" s="31" t="n">
        <f aca="false">ROUNDDOWN(I137*設定!$C$10/1000,0)+ROUNDDOWN(I137*設定!$C$11/1000,0)+ROUNDDOWN(I137*設定!$C$12/1000,0)</f>
        <v>0</v>
      </c>
      <c r="BH137" s="31" t="n">
        <f aca="false">ROUNDDOWN(J137*設定!$B$13/1000,0)</f>
        <v>0</v>
      </c>
      <c r="BI137" s="31" t="n">
        <f aca="false">ROUNDDOWN(J137*設定!$C$13/1000,0)</f>
        <v>0</v>
      </c>
      <c r="BJ137" s="31" t="n">
        <f aca="false">ROUNDDOWN(K137*設定!$B$14/1000,0)</f>
        <v>0</v>
      </c>
      <c r="BK137" s="31" t="n">
        <f aca="false">ROUNDDOWN(K137*設定!$C$14/1000,0)</f>
        <v>0</v>
      </c>
      <c r="BL137" s="31" t="n">
        <f aca="false">ROUNDDOWN(J137*設定!$B$15/1000,0)</f>
        <v>0</v>
      </c>
      <c r="BM137" s="31" t="n">
        <f aca="false">ROUNDDOWN(J137*設定!$C$15/1000,0)</f>
        <v>0</v>
      </c>
      <c r="BN137" s="31" t="n">
        <f aca="false">L137+M137</f>
        <v>128700</v>
      </c>
      <c r="BO137" s="31" t="n">
        <f aca="false">N137+O137+P137</f>
        <v>128812</v>
      </c>
      <c r="BP137" s="31" t="n">
        <f aca="false">Q137</f>
        <v>84531</v>
      </c>
      <c r="BQ137" s="31" t="n">
        <f aca="false">R137</f>
        <v>84613</v>
      </c>
      <c r="BR137" s="31" t="n">
        <f aca="false">S137</f>
        <v>12877</v>
      </c>
      <c r="BS137" s="31" t="n">
        <f aca="false">T137</f>
        <v>12877</v>
      </c>
      <c r="BT137" s="31" t="n">
        <f aca="false">U137</f>
        <v>1874</v>
      </c>
      <c r="BU137" s="31" t="n">
        <f aca="false">V137</f>
        <v>1874</v>
      </c>
      <c r="BV137" s="32" t="n">
        <f aca="false">IF(BF137=0,IF(BN137=0,0,1),(BN137-BF137)/BF137)</f>
        <v>1</v>
      </c>
      <c r="BW137" s="32" t="n">
        <f aca="false">IF(BG137=0,IF(BO137=0,0,1),(BO137-BG137)/BG137)</f>
        <v>1</v>
      </c>
      <c r="BX137" s="32" t="n">
        <f aca="false">IF(BH137=0,IF(BP137=0,0,1),(BP137-BH137)/BH137)</f>
        <v>1</v>
      </c>
      <c r="BY137" s="32" t="n">
        <f aca="false">IF(BI137=0,IF(BQ137=0,0,1),(BQ137-BI137)/BI137)</f>
        <v>1</v>
      </c>
      <c r="BZ137" s="32" t="n">
        <f aca="false">IF(BJ137=0,IF(BR137=0,0,1),(BR137-BJ137)/BJ137)</f>
        <v>1</v>
      </c>
      <c r="CA137" s="32" t="n">
        <f aca="false">IF(BK137=0,IF(BS137=0,0,1),(BS137-BK137)/BK137)</f>
        <v>1</v>
      </c>
      <c r="CB137" s="32" t="n">
        <f aca="false">IF(BL137=0,IF(BT137=0,0,1),(BT137-BL137)/BL137)</f>
        <v>1</v>
      </c>
      <c r="CC137" s="32" t="n">
        <f aca="false">IF(BM137=0,IF(BU137=0,0,1),(BU137-BM137)/BM137)</f>
        <v>1</v>
      </c>
      <c r="CD137" s="32" t="n">
        <f aca="false">MAX(MAX(BV137:CC137),-MIN(BV137:CC137))</f>
        <v>1</v>
      </c>
      <c r="CE137" s="31" t="n">
        <f aca="false">IF(CI137="","",SUMIFS($CF$7:$CF$696,$A$7:$A$696,CI137,$B$7:$B$696,B137))</f>
        <v>462252</v>
      </c>
      <c r="CF137" s="31" t="n">
        <f aca="false">SUM(AU137:BE137)</f>
        <v>456158</v>
      </c>
      <c r="CG137" s="33" t="str">
        <f aca="false">A137&amp;"|"&amp;B137</f>
        <v>2026-06 月例|全国市長会</v>
      </c>
      <c r="CH137" s="34" t="str">
        <f aca="false">IFERROR(INDEX(設定!$D$61:$D$106,MATCH(B137,設定!$B$61:$B$106,0)),"Y")</f>
        <v>Y</v>
      </c>
      <c r="CI137" s="34" t="str">
        <f aca="false">IFERROR(INDEX(設定!$D$20:$D$34,MATCH(A137,設定!$A$20:$A$34,0))&amp;"","")</f>
        <v>2026-05 月例</v>
      </c>
    </row>
    <row r="138" customFormat="false" ht="15" hidden="true" customHeight="false" outlineLevel="0" collapsed="false">
      <c r="A138" s="22" t="s">
        <v>209</v>
      </c>
      <c r="B138" s="23" t="s">
        <v>200</v>
      </c>
      <c r="C138" s="10" t="str">
        <f aca="false">IF(G138="","未受領",IF(G138="なし","報告なし",IF(AH138="○","起票済",IF(OR(AG138="○",F138="一致",F138="入金不要"),"入金確認済","受領済"))))</f>
        <v>入金確認済</v>
      </c>
      <c r="D138" s="10" t="str">
        <f aca="false">IF(OR(G138="",G138="なし"),"―",IF(CH138="N","対象外",IF(AND(I138="",J138="",K138=""),"標報未入力",IF(CD138&gt;=設定!$B$4,"要確認","問題なし"))))</f>
        <v>標報未入力</v>
      </c>
      <c r="E138" s="24" t="str">
        <f aca="false">IF(OR(G138="",G138="なし",CE138="",CF138=0),"―",IF(CF138=CE138,"前月同額",IF(CE138=0,"―",IF(ABS(CF138/CE138-1)&gt;=設定!$B$5,"変動大 "&amp;TEXT(CF138/CE138-1,"+0%;-0%"),"〇"))))</f>
        <v>前月同額</v>
      </c>
      <c r="F138" s="10" t="str">
        <f aca="false">IF(OR(G138="",G138="なし"),"―",IF(CF138=0,"入金不要",IF(COUNT(Z138,AB138,AD138,AF138)=0,IF(AG138="○","手動確認","未入金"),IF(AND(N(Z138)=Y138,IF(AA138="",TRUE(),N(AB138)=AA138),IF(AC138="",TRUE(),N(AD138)=AC138),IF(AE138="",TRUE(),N(AF138)=AE138)),"一致","不一致"))))</f>
        <v>手動確認</v>
      </c>
      <c r="G138" s="25" t="s">
        <v>159</v>
      </c>
      <c r="H138" s="26"/>
      <c r="I138" s="27"/>
      <c r="J138" s="27"/>
      <c r="K138" s="27"/>
      <c r="L138" s="27" t="n">
        <v>145485</v>
      </c>
      <c r="M138" s="27" t="n">
        <v>11925</v>
      </c>
      <c r="N138" s="27" t="n">
        <v>145485</v>
      </c>
      <c r="O138" s="27" t="n">
        <v>11925</v>
      </c>
      <c r="P138" s="27" t="n">
        <v>138</v>
      </c>
      <c r="Q138" s="27"/>
      <c r="R138" s="27"/>
      <c r="S138" s="27"/>
      <c r="T138" s="27"/>
      <c r="U138" s="27"/>
      <c r="V138" s="27"/>
      <c r="W138" s="10" t="str">
        <f aca="false">IFERROR(INDEX(設定!$E$61:$E$106,MATCH(B138,設定!$B$61:$B$106,0)),"合算")</f>
        <v>合算</v>
      </c>
      <c r="X138" s="28"/>
      <c r="Y138" s="29" t="n">
        <f aca="false">IF(OR(G138="",G138="なし"),"",IF(W138="合算",CF138,IF(W138="掛金・負担金別",(AU138+AV138+AZ138+BB138+BD138),SUM(AU138:AY138))))</f>
        <v>314958</v>
      </c>
      <c r="Z138" s="27"/>
      <c r="AA138" s="29" t="str">
        <f aca="false">IF(OR(G138="",G138="なし"),"",IF(W138="掛金・負担金別",(AW138+AX138+AY138+BA138+BC138+BE138),IF(W138="経理区分別",AZ138+BA138,"")))</f>
        <v/>
      </c>
      <c r="AB138" s="27"/>
      <c r="AC138" s="29" t="str">
        <f aca="false">IF(OR(G138="",G138="なし"),"",IF(W138="経理区分別",BB138+BC138,""))</f>
        <v/>
      </c>
      <c r="AD138" s="27"/>
      <c r="AE138" s="29" t="str">
        <f aca="false">IF(OR(G138="",G138="なし"),"",IF(W138="経理区分別",BD138+BE138,""))</f>
        <v/>
      </c>
      <c r="AF138" s="27"/>
      <c r="AG138" s="26" t="s">
        <v>160</v>
      </c>
      <c r="AH138" s="26"/>
      <c r="AI138" s="30"/>
      <c r="AJ138" s="31"/>
      <c r="AK138" s="31"/>
      <c r="AL138" s="31"/>
      <c r="AM138" s="31"/>
      <c r="AN138" s="31"/>
      <c r="AO138" s="31"/>
      <c r="AP138" s="31"/>
      <c r="AQ138" s="31"/>
      <c r="AR138" s="31"/>
      <c r="AS138" s="31"/>
      <c r="AT138" s="31"/>
      <c r="AU138" s="31" t="n">
        <f aca="false">IF($G138="",AJ138,L138)</f>
        <v>145485</v>
      </c>
      <c r="AV138" s="31" t="n">
        <f aca="false">IF($G138="",AK138,M138)</f>
        <v>11925</v>
      </c>
      <c r="AW138" s="31" t="n">
        <f aca="false">IF($G138="",AL138,N138)</f>
        <v>145485</v>
      </c>
      <c r="AX138" s="31" t="n">
        <f aca="false">IF($G138="",AM138,O138)</f>
        <v>11925</v>
      </c>
      <c r="AY138" s="31" t="n">
        <f aca="false">IF($G138="",AN138,P138)</f>
        <v>138</v>
      </c>
      <c r="AZ138" s="31" t="n">
        <f aca="false">IF($G138="",AO138,Q138)</f>
        <v>0</v>
      </c>
      <c r="BA138" s="31" t="n">
        <f aca="false">IF($G138="",AP138,R138)</f>
        <v>0</v>
      </c>
      <c r="BB138" s="31" t="n">
        <f aca="false">IF($G138="",AQ138,S138)</f>
        <v>0</v>
      </c>
      <c r="BC138" s="31" t="n">
        <f aca="false">IF($G138="",AR138,T138)</f>
        <v>0</v>
      </c>
      <c r="BD138" s="31" t="n">
        <f aca="false">IF($G138="",AS138,U138)</f>
        <v>0</v>
      </c>
      <c r="BE138" s="31" t="n">
        <f aca="false">IF($G138="",AT138,V138)</f>
        <v>0</v>
      </c>
      <c r="BF138" s="31" t="n">
        <f aca="false">ROUNDDOWN(I138*設定!$B$10/1000,0)+ROUNDDOWN(I138*設定!$B$11/1000,0)</f>
        <v>0</v>
      </c>
      <c r="BG138" s="31" t="n">
        <f aca="false">ROUNDDOWN(I138*設定!$C$10/1000,0)+ROUNDDOWN(I138*設定!$C$11/1000,0)+ROUNDDOWN(I138*設定!$C$12/1000,0)</f>
        <v>0</v>
      </c>
      <c r="BH138" s="31" t="n">
        <f aca="false">ROUNDDOWN(J138*設定!$B$13/1000,0)</f>
        <v>0</v>
      </c>
      <c r="BI138" s="31" t="n">
        <f aca="false">ROUNDDOWN(J138*設定!$C$13/1000,0)</f>
        <v>0</v>
      </c>
      <c r="BJ138" s="31" t="n">
        <f aca="false">ROUNDDOWN(K138*設定!$B$14/1000,0)</f>
        <v>0</v>
      </c>
      <c r="BK138" s="31" t="n">
        <f aca="false">ROUNDDOWN(K138*設定!$C$14/1000,0)</f>
        <v>0</v>
      </c>
      <c r="BL138" s="31" t="n">
        <f aca="false">ROUNDDOWN(J138*設定!$B$15/1000,0)</f>
        <v>0</v>
      </c>
      <c r="BM138" s="31" t="n">
        <f aca="false">ROUNDDOWN(J138*設定!$C$15/1000,0)</f>
        <v>0</v>
      </c>
      <c r="BN138" s="31" t="n">
        <f aca="false">L138+M138</f>
        <v>157410</v>
      </c>
      <c r="BO138" s="31" t="n">
        <f aca="false">N138+O138+P138</f>
        <v>157548</v>
      </c>
      <c r="BP138" s="31" t="n">
        <f aca="false">Q138</f>
        <v>0</v>
      </c>
      <c r="BQ138" s="31" t="n">
        <f aca="false">R138</f>
        <v>0</v>
      </c>
      <c r="BR138" s="31" t="n">
        <f aca="false">S138</f>
        <v>0</v>
      </c>
      <c r="BS138" s="31" t="n">
        <f aca="false">T138</f>
        <v>0</v>
      </c>
      <c r="BT138" s="31" t="n">
        <f aca="false">U138</f>
        <v>0</v>
      </c>
      <c r="BU138" s="31" t="n">
        <f aca="false">V138</f>
        <v>0</v>
      </c>
      <c r="BV138" s="32" t="n">
        <f aca="false">IF(BF138=0,IF(BN138=0,0,1),(BN138-BF138)/BF138)</f>
        <v>1</v>
      </c>
      <c r="BW138" s="32" t="n">
        <f aca="false">IF(BG138=0,IF(BO138=0,0,1),(BO138-BG138)/BG138)</f>
        <v>1</v>
      </c>
      <c r="BX138" s="32" t="n">
        <f aca="false">IF(BH138=0,IF(BP138=0,0,1),(BP138-BH138)/BH138)</f>
        <v>0</v>
      </c>
      <c r="BY138" s="32" t="n">
        <f aca="false">IF(BI138=0,IF(BQ138=0,0,1),(BQ138-BI138)/BI138)</f>
        <v>0</v>
      </c>
      <c r="BZ138" s="32" t="n">
        <f aca="false">IF(BJ138=0,IF(BR138=0,0,1),(BR138-BJ138)/BJ138)</f>
        <v>0</v>
      </c>
      <c r="CA138" s="32" t="n">
        <f aca="false">IF(BK138=0,IF(BS138=0,0,1),(BS138-BK138)/BK138)</f>
        <v>0</v>
      </c>
      <c r="CB138" s="32" t="n">
        <f aca="false">IF(BL138=0,IF(BT138=0,0,1),(BT138-BL138)/BL138)</f>
        <v>0</v>
      </c>
      <c r="CC138" s="32" t="n">
        <f aca="false">IF(BM138=0,IF(BU138=0,0,1),(BU138-BM138)/BM138)</f>
        <v>0</v>
      </c>
      <c r="CD138" s="32" t="n">
        <f aca="false">MAX(MAX(BV138:CC138),-MIN(BV138:CC138))</f>
        <v>1</v>
      </c>
      <c r="CE138" s="31" t="n">
        <f aca="false">IF(CI138="","",SUMIFS($CF$7:$CF$696,$A$7:$A$696,CI138,$B$7:$B$696,B138))</f>
        <v>314958</v>
      </c>
      <c r="CF138" s="31" t="n">
        <f aca="false">SUM(AU138:BE138)</f>
        <v>314958</v>
      </c>
      <c r="CG138" s="33" t="str">
        <f aca="false">A138&amp;"|"&amp;B138</f>
        <v>2026-06 月例|高速交通（株）</v>
      </c>
      <c r="CH138" s="34" t="str">
        <f aca="false">IFERROR(INDEX(設定!$D$61:$D$106,MATCH(B138,設定!$B$61:$B$106,0)),"Y")</f>
        <v>Y</v>
      </c>
      <c r="CI138" s="34" t="str">
        <f aca="false">IFERROR(INDEX(設定!$D$20:$D$34,MATCH(A138,設定!$A$20:$A$34,0))&amp;"","")</f>
        <v>2026-05 月例</v>
      </c>
    </row>
    <row r="139" customFormat="false" ht="15" hidden="true" customHeight="false" outlineLevel="0" collapsed="false">
      <c r="A139" s="22" t="s">
        <v>209</v>
      </c>
      <c r="B139" s="23" t="s">
        <v>201</v>
      </c>
      <c r="C139" s="10" t="str">
        <f aca="false">IF(G139="","未受領",IF(G139="なし","報告なし",IF(AH139="○","起票済",IF(OR(AG139="○",F139="一致",F139="入金不要"),"入金確認済","受領済"))))</f>
        <v>入金確認済</v>
      </c>
      <c r="D139" s="10" t="str">
        <f aca="false">IF(OR(G139="",G139="なし"),"―",IF(CH139="N","対象外",IF(AND(I139="",J139="",K139=""),"標報未入力",IF(CD139&gt;=設定!$B$4,"要確認","問題なし"))))</f>
        <v>標報未入力</v>
      </c>
      <c r="E139" s="24" t="str">
        <f aca="false">IF(OR(G139="",G139="なし",CE139="",CF139=0),"―",IF(CF139=CE139,"前月同額",IF(CE139=0,"―",IF(ABS(CF139/CE139-1)&gt;=設定!$B$5,"変動大 "&amp;TEXT(CF139/CE139-1,"+0%;-0%"),"〇"))))</f>
        <v>前月同額</v>
      </c>
      <c r="F139" s="10" t="str">
        <f aca="false">IF(OR(G139="",G139="なし"),"―",IF(CF139=0,"入金不要",IF(COUNT(Z139,AB139,AD139,AF139)=0,IF(AG139="○","手動確認","未入金"),IF(AND(N(Z139)=Y139,IF(AA139="",TRUE(),N(AB139)=AA139),IF(AC139="",TRUE(),N(AD139)=AC139),IF(AE139="",TRUE(),N(AF139)=AE139)),"一致","不一致"))))</f>
        <v>手動確認</v>
      </c>
      <c r="G139" s="25" t="s">
        <v>159</v>
      </c>
      <c r="H139" s="26"/>
      <c r="I139" s="27"/>
      <c r="J139" s="27"/>
      <c r="K139" s="27"/>
      <c r="L139" s="27" t="n">
        <v>45750</v>
      </c>
      <c r="M139" s="27" t="n">
        <v>3750</v>
      </c>
      <c r="N139" s="27" t="n">
        <v>45750</v>
      </c>
      <c r="O139" s="27" t="n">
        <v>3750</v>
      </c>
      <c r="P139" s="27" t="n">
        <v>43</v>
      </c>
      <c r="Q139" s="27"/>
      <c r="R139" s="27"/>
      <c r="S139" s="27"/>
      <c r="T139" s="27"/>
      <c r="U139" s="27"/>
      <c r="V139" s="27"/>
      <c r="W139" s="10" t="str">
        <f aca="false">IFERROR(INDEX(設定!$E$61:$E$106,MATCH(B139,設定!$B$61:$B$106,0)),"合算")</f>
        <v>合算</v>
      </c>
      <c r="X139" s="28"/>
      <c r="Y139" s="29" t="n">
        <f aca="false">IF(OR(G139="",G139="なし"),"",IF(W139="合算",CF139,IF(W139="掛金・負担金別",(AU139+AV139+AZ139+BB139+BD139),SUM(AU139:AY139))))</f>
        <v>99043</v>
      </c>
      <c r="Z139" s="27"/>
      <c r="AA139" s="29" t="str">
        <f aca="false">IF(OR(G139="",G139="なし"),"",IF(W139="掛金・負担金別",(AW139+AX139+AY139+BA139+BC139+BE139),IF(W139="経理区分別",AZ139+BA139,"")))</f>
        <v/>
      </c>
      <c r="AB139" s="27"/>
      <c r="AC139" s="29" t="str">
        <f aca="false">IF(OR(G139="",G139="なし"),"",IF(W139="経理区分別",BB139+BC139,""))</f>
        <v/>
      </c>
      <c r="AD139" s="27"/>
      <c r="AE139" s="29" t="str">
        <f aca="false">IF(OR(G139="",G139="なし"),"",IF(W139="経理区分別",BD139+BE139,""))</f>
        <v/>
      </c>
      <c r="AF139" s="27"/>
      <c r="AG139" s="26" t="s">
        <v>160</v>
      </c>
      <c r="AH139" s="26"/>
      <c r="AI139" s="30"/>
      <c r="AJ139" s="31"/>
      <c r="AK139" s="31"/>
      <c r="AL139" s="31"/>
      <c r="AM139" s="31"/>
      <c r="AN139" s="31"/>
      <c r="AO139" s="31"/>
      <c r="AP139" s="31"/>
      <c r="AQ139" s="31"/>
      <c r="AR139" s="31"/>
      <c r="AS139" s="31"/>
      <c r="AT139" s="31"/>
      <c r="AU139" s="31" t="n">
        <f aca="false">IF($G139="",AJ139,L139)</f>
        <v>45750</v>
      </c>
      <c r="AV139" s="31" t="n">
        <f aca="false">IF($G139="",AK139,M139)</f>
        <v>3750</v>
      </c>
      <c r="AW139" s="31" t="n">
        <f aca="false">IF($G139="",AL139,N139)</f>
        <v>45750</v>
      </c>
      <c r="AX139" s="31" t="n">
        <f aca="false">IF($G139="",AM139,O139)</f>
        <v>3750</v>
      </c>
      <c r="AY139" s="31" t="n">
        <f aca="false">IF($G139="",AN139,P139)</f>
        <v>43</v>
      </c>
      <c r="AZ139" s="31" t="n">
        <f aca="false">IF($G139="",AO139,Q139)</f>
        <v>0</v>
      </c>
      <c r="BA139" s="31" t="n">
        <f aca="false">IF($G139="",AP139,R139)</f>
        <v>0</v>
      </c>
      <c r="BB139" s="31" t="n">
        <f aca="false">IF($G139="",AQ139,S139)</f>
        <v>0</v>
      </c>
      <c r="BC139" s="31" t="n">
        <f aca="false">IF($G139="",AR139,T139)</f>
        <v>0</v>
      </c>
      <c r="BD139" s="31" t="n">
        <f aca="false">IF($G139="",AS139,U139)</f>
        <v>0</v>
      </c>
      <c r="BE139" s="31" t="n">
        <f aca="false">IF($G139="",AT139,V139)</f>
        <v>0</v>
      </c>
      <c r="BF139" s="31" t="n">
        <f aca="false">ROUNDDOWN(I139*設定!$B$10/1000,0)+ROUNDDOWN(I139*設定!$B$11/1000,0)</f>
        <v>0</v>
      </c>
      <c r="BG139" s="31" t="n">
        <f aca="false">ROUNDDOWN(I139*設定!$C$10/1000,0)+ROUNDDOWN(I139*設定!$C$11/1000,0)+ROUNDDOWN(I139*設定!$C$12/1000,0)</f>
        <v>0</v>
      </c>
      <c r="BH139" s="31" t="n">
        <f aca="false">ROUNDDOWN(J139*設定!$B$13/1000,0)</f>
        <v>0</v>
      </c>
      <c r="BI139" s="31" t="n">
        <f aca="false">ROUNDDOWN(J139*設定!$C$13/1000,0)</f>
        <v>0</v>
      </c>
      <c r="BJ139" s="31" t="n">
        <f aca="false">ROUNDDOWN(K139*設定!$B$14/1000,0)</f>
        <v>0</v>
      </c>
      <c r="BK139" s="31" t="n">
        <f aca="false">ROUNDDOWN(K139*設定!$C$14/1000,0)</f>
        <v>0</v>
      </c>
      <c r="BL139" s="31" t="n">
        <f aca="false">ROUNDDOWN(J139*設定!$B$15/1000,0)</f>
        <v>0</v>
      </c>
      <c r="BM139" s="31" t="n">
        <f aca="false">ROUNDDOWN(J139*設定!$C$15/1000,0)</f>
        <v>0</v>
      </c>
      <c r="BN139" s="31" t="n">
        <f aca="false">L139+M139</f>
        <v>49500</v>
      </c>
      <c r="BO139" s="31" t="n">
        <f aca="false">N139+O139+P139</f>
        <v>49543</v>
      </c>
      <c r="BP139" s="31" t="n">
        <f aca="false">Q139</f>
        <v>0</v>
      </c>
      <c r="BQ139" s="31" t="n">
        <f aca="false">R139</f>
        <v>0</v>
      </c>
      <c r="BR139" s="31" t="n">
        <f aca="false">S139</f>
        <v>0</v>
      </c>
      <c r="BS139" s="31" t="n">
        <f aca="false">T139</f>
        <v>0</v>
      </c>
      <c r="BT139" s="31" t="n">
        <f aca="false">U139</f>
        <v>0</v>
      </c>
      <c r="BU139" s="31" t="n">
        <f aca="false">V139</f>
        <v>0</v>
      </c>
      <c r="BV139" s="32" t="n">
        <f aca="false">IF(BF139=0,IF(BN139=0,0,1),(BN139-BF139)/BF139)</f>
        <v>1</v>
      </c>
      <c r="BW139" s="32" t="n">
        <f aca="false">IF(BG139=0,IF(BO139=0,0,1),(BO139-BG139)/BG139)</f>
        <v>1</v>
      </c>
      <c r="BX139" s="32" t="n">
        <f aca="false">IF(BH139=0,IF(BP139=0,0,1),(BP139-BH139)/BH139)</f>
        <v>0</v>
      </c>
      <c r="BY139" s="32" t="n">
        <f aca="false">IF(BI139=0,IF(BQ139=0,0,1),(BQ139-BI139)/BI139)</f>
        <v>0</v>
      </c>
      <c r="BZ139" s="32" t="n">
        <f aca="false">IF(BJ139=0,IF(BR139=0,0,1),(BR139-BJ139)/BJ139)</f>
        <v>0</v>
      </c>
      <c r="CA139" s="32" t="n">
        <f aca="false">IF(BK139=0,IF(BS139=0,0,1),(BS139-BK139)/BK139)</f>
        <v>0</v>
      </c>
      <c r="CB139" s="32" t="n">
        <f aca="false">IF(BL139=0,IF(BT139=0,0,1),(BT139-BL139)/BL139)</f>
        <v>0</v>
      </c>
      <c r="CC139" s="32" t="n">
        <f aca="false">IF(BM139=0,IF(BU139=0,0,1),(BU139-BM139)/BM139)</f>
        <v>0</v>
      </c>
      <c r="CD139" s="32" t="n">
        <f aca="false">MAX(MAX(BV139:CC139),-MIN(BV139:CC139))</f>
        <v>1</v>
      </c>
      <c r="CE139" s="31" t="n">
        <f aca="false">IF(CI139="","",SUMIFS($CF$7:$CF$696,$A$7:$A$696,CI139,$B$7:$B$696,B139))</f>
        <v>99043</v>
      </c>
      <c r="CF139" s="31" t="n">
        <f aca="false">SUM(AU139:BE139)</f>
        <v>99043</v>
      </c>
      <c r="CG139" s="33" t="str">
        <f aca="false">A139&amp;"|"&amp;B139</f>
        <v>2026-06 月例|広島駅南口開発（株）</v>
      </c>
      <c r="CH139" s="34" t="str">
        <f aca="false">IFERROR(INDEX(設定!$D$61:$D$106,MATCH(B139,設定!$B$61:$B$106,0)),"Y")</f>
        <v>Y</v>
      </c>
      <c r="CI139" s="34" t="str">
        <f aca="false">IFERROR(INDEX(設定!$D$20:$D$34,MATCH(A139,設定!$A$20:$A$34,0))&amp;"","")</f>
        <v>2026-05 月例</v>
      </c>
    </row>
    <row r="140" customFormat="false" ht="15" hidden="true" customHeight="false" outlineLevel="0" collapsed="false">
      <c r="A140" s="22" t="s">
        <v>209</v>
      </c>
      <c r="B140" s="23" t="s">
        <v>202</v>
      </c>
      <c r="C140" s="10" t="str">
        <f aca="false">IF(G140="","未受領",IF(G140="なし","報告なし",IF(AH140="○","起票済",IF(OR(AG140="○",F140="一致",F140="入金不要"),"入金確認済","受領済"))))</f>
        <v>入金確認済</v>
      </c>
      <c r="D140" s="10" t="str">
        <f aca="false">IF(OR(G140="",G140="なし"),"―",IF(CH140="N","対象外",IF(AND(I140="",J140="",K140=""),"標報未入力",IF(CD140&gt;=設定!$B$4,"要確認","問題なし"))))</f>
        <v>標報未入力</v>
      </c>
      <c r="E140" s="24" t="str">
        <f aca="false">IF(OR(G140="",G140="なし",CE140="",CF140=0),"―",IF(CF140=CE140,"前月同額",IF(CE140=0,"―",IF(ABS(CF140/CE140-1)&gt;=設定!$B$5,"変動大 "&amp;TEXT(CF140/CE140-1,"+0%;-0%"),"〇"))))</f>
        <v>〇</v>
      </c>
      <c r="F140" s="10" t="str">
        <f aca="false">IF(OR(G140="",G140="なし"),"―",IF(CF140=0,"入金不要",IF(COUNT(Z140,AB140,AD140,AF140)=0,IF(AG140="○","手動確認","未入金"),IF(AND(N(Z140)=Y140,IF(AA140="",TRUE(),N(AB140)=AA140),IF(AC140="",TRUE(),N(AD140)=AC140),IF(AE140="",TRUE(),N(AF140)=AE140)),"一致","不一致"))))</f>
        <v>手動確認</v>
      </c>
      <c r="G140" s="25" t="s">
        <v>159</v>
      </c>
      <c r="H140" s="26"/>
      <c r="I140" s="27"/>
      <c r="J140" s="27"/>
      <c r="K140" s="27"/>
      <c r="L140" s="27" t="n">
        <v>29280</v>
      </c>
      <c r="M140" s="27" t="n">
        <v>2400</v>
      </c>
      <c r="N140" s="27" t="n">
        <v>29280</v>
      </c>
      <c r="O140" s="27" t="n">
        <v>2400</v>
      </c>
      <c r="P140" s="27"/>
      <c r="Q140" s="27" t="n">
        <v>16595</v>
      </c>
      <c r="R140" s="27" t="n">
        <v>17907</v>
      </c>
      <c r="S140" s="27" t="n">
        <v>2528</v>
      </c>
      <c r="T140" s="27" t="n">
        <v>2528</v>
      </c>
      <c r="U140" s="27" t="n">
        <v>368</v>
      </c>
      <c r="V140" s="27" t="n">
        <v>368</v>
      </c>
      <c r="W140" s="10" t="str">
        <f aca="false">IFERROR(INDEX(設定!$E$61:$E$106,MATCH(B140,設定!$B$61:$B$106,0)),"合算")</f>
        <v>合算</v>
      </c>
      <c r="X140" s="28"/>
      <c r="Y140" s="29" t="n">
        <f aca="false">IF(OR(G140="",G140="なし"),"",IF(W140="合算",CF140,IF(W140="掛金・負担金別",(AU140+AV140+AZ140+BB140+BD140),SUM(AU140:AY140))))</f>
        <v>103654</v>
      </c>
      <c r="Z140" s="27"/>
      <c r="AA140" s="29" t="str">
        <f aca="false">IF(OR(G140="",G140="なし"),"",IF(W140="掛金・負担金別",(AW140+AX140+AY140+BA140+BC140+BE140),IF(W140="経理区分別",AZ140+BA140,"")))</f>
        <v/>
      </c>
      <c r="AB140" s="27"/>
      <c r="AC140" s="29" t="str">
        <f aca="false">IF(OR(G140="",G140="なし"),"",IF(W140="経理区分別",BB140+BC140,""))</f>
        <v/>
      </c>
      <c r="AD140" s="27"/>
      <c r="AE140" s="29" t="str">
        <f aca="false">IF(OR(G140="",G140="なし"),"",IF(W140="経理区分別",BD140+BE140,""))</f>
        <v/>
      </c>
      <c r="AF140" s="27"/>
      <c r="AG140" s="26" t="s">
        <v>160</v>
      </c>
      <c r="AH140" s="26"/>
      <c r="AI140" s="30"/>
      <c r="AJ140" s="31"/>
      <c r="AK140" s="31"/>
      <c r="AL140" s="31"/>
      <c r="AM140" s="31"/>
      <c r="AN140" s="31"/>
      <c r="AO140" s="31"/>
      <c r="AP140" s="31"/>
      <c r="AQ140" s="31"/>
      <c r="AR140" s="31"/>
      <c r="AS140" s="31"/>
      <c r="AT140" s="31"/>
      <c r="AU140" s="31" t="n">
        <f aca="false">IF($G140="",AJ140,L140)</f>
        <v>29280</v>
      </c>
      <c r="AV140" s="31" t="n">
        <f aca="false">IF($G140="",AK140,M140)</f>
        <v>2400</v>
      </c>
      <c r="AW140" s="31" t="n">
        <f aca="false">IF($G140="",AL140,N140)</f>
        <v>29280</v>
      </c>
      <c r="AX140" s="31" t="n">
        <f aca="false">IF($G140="",AM140,O140)</f>
        <v>2400</v>
      </c>
      <c r="AY140" s="31" t="n">
        <f aca="false">IF($G140="",AN140,P140)</f>
        <v>0</v>
      </c>
      <c r="AZ140" s="31" t="n">
        <f aca="false">IF($G140="",AO140,Q140)</f>
        <v>16595</v>
      </c>
      <c r="BA140" s="31" t="n">
        <f aca="false">IF($G140="",AP140,R140)</f>
        <v>17907</v>
      </c>
      <c r="BB140" s="31" t="n">
        <f aca="false">IF($G140="",AQ140,S140)</f>
        <v>2528</v>
      </c>
      <c r="BC140" s="31" t="n">
        <f aca="false">IF($G140="",AR140,T140)</f>
        <v>2528</v>
      </c>
      <c r="BD140" s="31" t="n">
        <f aca="false">IF($G140="",AS140,U140)</f>
        <v>368</v>
      </c>
      <c r="BE140" s="31" t="n">
        <f aca="false">IF($G140="",AT140,V140)</f>
        <v>368</v>
      </c>
      <c r="BF140" s="31" t="n">
        <f aca="false">ROUNDDOWN(I140*設定!$B$10/1000,0)+ROUNDDOWN(I140*設定!$B$11/1000,0)</f>
        <v>0</v>
      </c>
      <c r="BG140" s="31" t="n">
        <f aca="false">ROUNDDOWN(I140*設定!$C$10/1000,0)+ROUNDDOWN(I140*設定!$C$11/1000,0)+ROUNDDOWN(I140*設定!$C$12/1000,0)</f>
        <v>0</v>
      </c>
      <c r="BH140" s="31" t="n">
        <f aca="false">ROUNDDOWN(J140*設定!$B$13/1000,0)</f>
        <v>0</v>
      </c>
      <c r="BI140" s="31" t="n">
        <f aca="false">ROUNDDOWN(J140*設定!$C$13/1000,0)</f>
        <v>0</v>
      </c>
      <c r="BJ140" s="31" t="n">
        <f aca="false">ROUNDDOWN(K140*設定!$B$14/1000,0)</f>
        <v>0</v>
      </c>
      <c r="BK140" s="31" t="n">
        <f aca="false">ROUNDDOWN(K140*設定!$C$14/1000,0)</f>
        <v>0</v>
      </c>
      <c r="BL140" s="31" t="n">
        <f aca="false">ROUNDDOWN(J140*設定!$B$15/1000,0)</f>
        <v>0</v>
      </c>
      <c r="BM140" s="31" t="n">
        <f aca="false">ROUNDDOWN(J140*設定!$C$15/1000,0)</f>
        <v>0</v>
      </c>
      <c r="BN140" s="31" t="n">
        <f aca="false">L140+M140</f>
        <v>31680</v>
      </c>
      <c r="BO140" s="31" t="n">
        <f aca="false">N140+O140+P140</f>
        <v>31680</v>
      </c>
      <c r="BP140" s="31" t="n">
        <f aca="false">Q140</f>
        <v>16595</v>
      </c>
      <c r="BQ140" s="31" t="n">
        <f aca="false">R140</f>
        <v>17907</v>
      </c>
      <c r="BR140" s="31" t="n">
        <f aca="false">S140</f>
        <v>2528</v>
      </c>
      <c r="BS140" s="31" t="n">
        <f aca="false">T140</f>
        <v>2528</v>
      </c>
      <c r="BT140" s="31" t="n">
        <f aca="false">U140</f>
        <v>368</v>
      </c>
      <c r="BU140" s="31" t="n">
        <f aca="false">V140</f>
        <v>368</v>
      </c>
      <c r="BV140" s="32" t="n">
        <f aca="false">IF(BF140=0,IF(BN140=0,0,1),(BN140-BF140)/BF140)</f>
        <v>1</v>
      </c>
      <c r="BW140" s="32" t="n">
        <f aca="false">IF(BG140=0,IF(BO140=0,0,1),(BO140-BG140)/BG140)</f>
        <v>1</v>
      </c>
      <c r="BX140" s="32" t="n">
        <f aca="false">IF(BH140=0,IF(BP140=0,0,1),(BP140-BH140)/BH140)</f>
        <v>1</v>
      </c>
      <c r="BY140" s="32" t="n">
        <f aca="false">IF(BI140=0,IF(BQ140=0,0,1),(BQ140-BI140)/BI140)</f>
        <v>1</v>
      </c>
      <c r="BZ140" s="32" t="n">
        <f aca="false">IF(BJ140=0,IF(BR140=0,0,1),(BR140-BJ140)/BJ140)</f>
        <v>1</v>
      </c>
      <c r="CA140" s="32" t="n">
        <f aca="false">IF(BK140=0,IF(BS140=0,0,1),(BS140-BK140)/BK140)</f>
        <v>1</v>
      </c>
      <c r="CB140" s="32" t="n">
        <f aca="false">IF(BL140=0,IF(BT140=0,0,1),(BT140-BL140)/BL140)</f>
        <v>1</v>
      </c>
      <c r="CC140" s="32" t="n">
        <f aca="false">IF(BM140=0,IF(BU140=0,0,1),(BU140-BM140)/BM140)</f>
        <v>1</v>
      </c>
      <c r="CD140" s="32" t="n">
        <f aca="false">MAX(MAX(BV140:CC140),-MIN(BV140:CC140))</f>
        <v>1</v>
      </c>
      <c r="CE140" s="31" t="n">
        <f aca="false">IF(CI140="","",SUMIFS($CF$7:$CF$696,$A$7:$A$696,CI140,$B$7:$B$696,B140))</f>
        <v>102358</v>
      </c>
      <c r="CF140" s="31" t="n">
        <f aca="false">SUM(AU140:BE140)</f>
        <v>103654</v>
      </c>
      <c r="CG140" s="33" t="str">
        <f aca="false">A140&amp;"|"&amp;B140</f>
        <v>2026-06 月例|市職員労働組合</v>
      </c>
      <c r="CH140" s="34" t="str">
        <f aca="false">IFERROR(INDEX(設定!$D$61:$D$106,MATCH(B140,設定!$B$61:$B$106,0)),"Y")</f>
        <v>Y</v>
      </c>
      <c r="CI140" s="34" t="str">
        <f aca="false">IFERROR(INDEX(設定!$D$20:$D$34,MATCH(A140,設定!$A$20:$A$34,0))&amp;"","")</f>
        <v>2026-05 月例</v>
      </c>
    </row>
    <row r="141" customFormat="false" ht="15" hidden="true" customHeight="false" outlineLevel="0" collapsed="false">
      <c r="A141" s="22" t="s">
        <v>209</v>
      </c>
      <c r="B141" s="23" t="s">
        <v>203</v>
      </c>
      <c r="C141" s="10" t="str">
        <f aca="false">IF(G141="","未受領",IF(G141="なし","報告なし",IF(AH141="○","起票済",IF(OR(AG141="○",F141="一致",F141="入金不要"),"入金確認済","受領済"))))</f>
        <v>未受領</v>
      </c>
      <c r="D141" s="10" t="str">
        <f aca="false">IF(OR(G141="",G141="なし"),"―",IF(CH141="N","対象外",IF(AND(I141="",J141="",K141=""),"標報未入力",IF(CD141&gt;=設定!$B$4,"要確認","問題なし"))))</f>
        <v>―</v>
      </c>
      <c r="E141" s="24" t="str">
        <f aca="false">IF(OR(G141="",G141="なし",CE141="",CF141=0),"―",IF(CF141=CE141,"前月同額",IF(CE141=0,"―",IF(ABS(CF141/CE141-1)&gt;=設定!$B$5,"変動大 "&amp;TEXT(CF141/CE141-1,"+0%;-0%"),"〇"))))</f>
        <v>―</v>
      </c>
      <c r="F141" s="10" t="str">
        <f aca="false">IF(OR(G141="",G141="なし"),"―",IF(CF141=0,"入金不要",IF(COUNT(Z141,AB141,AD141,AF141)=0,IF(AG141="○","手動確認","未入金"),IF(AND(N(Z141)=Y141,IF(AA141="",TRUE(),N(AB141)=AA141),IF(AC141="",TRUE(),N(AD141)=AC141),IF(AE141="",TRUE(),N(AF141)=AE141)),"一致","不一致"))))</f>
        <v>―</v>
      </c>
      <c r="G141" s="25"/>
      <c r="H141" s="26"/>
      <c r="I141" s="27"/>
      <c r="J141" s="27"/>
      <c r="K141" s="27"/>
      <c r="L141" s="27"/>
      <c r="M141" s="27"/>
      <c r="N141" s="27"/>
      <c r="O141" s="27"/>
      <c r="P141" s="27"/>
      <c r="Q141" s="27"/>
      <c r="R141" s="27"/>
      <c r="S141" s="27"/>
      <c r="T141" s="27"/>
      <c r="U141" s="27"/>
      <c r="V141" s="27"/>
      <c r="W141" s="10" t="str">
        <f aca="false">IFERROR(INDEX(設定!$E$61:$E$106,MATCH(B141,設定!$B$61:$B$106,0)),"合算")</f>
        <v>合算</v>
      </c>
      <c r="X141" s="28"/>
      <c r="Y141" s="29" t="str">
        <f aca="false">IF(OR(G141="",G141="なし"),"",IF(W141="合算",CF141,IF(W141="掛金・負担金別",(AU141+AV141+AZ141+BB141+BD141),SUM(AU141:AY141))))</f>
        <v/>
      </c>
      <c r="Z141" s="27"/>
      <c r="AA141" s="29" t="str">
        <f aca="false">IF(OR(G141="",G141="なし"),"",IF(W141="掛金・負担金別",(AW141+AX141+AY141+BA141+BC141+BE141),IF(W141="経理区分別",AZ141+BA141,"")))</f>
        <v/>
      </c>
      <c r="AB141" s="27"/>
      <c r="AC141" s="29" t="str">
        <f aca="false">IF(OR(G141="",G141="なし"),"",IF(W141="経理区分別",BB141+BC141,""))</f>
        <v/>
      </c>
      <c r="AD141" s="27"/>
      <c r="AE141" s="29" t="str">
        <f aca="false">IF(OR(G141="",G141="なし"),"",IF(W141="経理区分別",BD141+BE141,""))</f>
        <v/>
      </c>
      <c r="AF141" s="27"/>
      <c r="AG141" s="26"/>
      <c r="AH141" s="26"/>
      <c r="AI141" s="30"/>
      <c r="AJ141" s="31" t="n">
        <v>0</v>
      </c>
      <c r="AK141" s="31" t="n">
        <v>0</v>
      </c>
      <c r="AL141" s="31" t="n">
        <v>0</v>
      </c>
      <c r="AM141" s="31" t="n">
        <v>0</v>
      </c>
      <c r="AN141" s="31"/>
      <c r="AO141" s="31" t="n">
        <v>0</v>
      </c>
      <c r="AP141" s="31" t="n">
        <v>0</v>
      </c>
      <c r="AQ141" s="31" t="n">
        <v>0</v>
      </c>
      <c r="AR141" s="31" t="n">
        <v>0</v>
      </c>
      <c r="AS141" s="31" t="n">
        <v>0</v>
      </c>
      <c r="AT141" s="31" t="n">
        <v>0</v>
      </c>
      <c r="AU141" s="31" t="n">
        <f aca="false">IF($G141="",AJ141,L141)</f>
        <v>0</v>
      </c>
      <c r="AV141" s="31" t="n">
        <f aca="false">IF($G141="",AK141,M141)</f>
        <v>0</v>
      </c>
      <c r="AW141" s="31" t="n">
        <f aca="false">IF($G141="",AL141,N141)</f>
        <v>0</v>
      </c>
      <c r="AX141" s="31" t="n">
        <f aca="false">IF($G141="",AM141,O141)</f>
        <v>0</v>
      </c>
      <c r="AY141" s="31" t="n">
        <f aca="false">IF($G141="",AN141,P141)</f>
        <v>0</v>
      </c>
      <c r="AZ141" s="31" t="n">
        <f aca="false">IF($G141="",AO141,Q141)</f>
        <v>0</v>
      </c>
      <c r="BA141" s="31" t="n">
        <f aca="false">IF($G141="",AP141,R141)</f>
        <v>0</v>
      </c>
      <c r="BB141" s="31" t="n">
        <f aca="false">IF($G141="",AQ141,S141)</f>
        <v>0</v>
      </c>
      <c r="BC141" s="31" t="n">
        <f aca="false">IF($G141="",AR141,T141)</f>
        <v>0</v>
      </c>
      <c r="BD141" s="31" t="n">
        <f aca="false">IF($G141="",AS141,U141)</f>
        <v>0</v>
      </c>
      <c r="BE141" s="31" t="n">
        <f aca="false">IF($G141="",AT141,V141)</f>
        <v>0</v>
      </c>
      <c r="BF141" s="31" t="n">
        <f aca="false">ROUNDDOWN(I141*設定!$B$10/1000,0)+ROUNDDOWN(I141*設定!$B$11/1000,0)</f>
        <v>0</v>
      </c>
      <c r="BG141" s="31" t="n">
        <f aca="false">ROUNDDOWN(I141*設定!$C$10/1000,0)+ROUNDDOWN(I141*設定!$C$11/1000,0)+ROUNDDOWN(I141*設定!$C$12/1000,0)</f>
        <v>0</v>
      </c>
      <c r="BH141" s="31" t="n">
        <f aca="false">ROUNDDOWN(J141*設定!$B$13/1000,0)</f>
        <v>0</v>
      </c>
      <c r="BI141" s="31" t="n">
        <f aca="false">ROUNDDOWN(J141*設定!$C$13/1000,0)</f>
        <v>0</v>
      </c>
      <c r="BJ141" s="31" t="n">
        <f aca="false">ROUNDDOWN(K141*設定!$B$14/1000,0)</f>
        <v>0</v>
      </c>
      <c r="BK141" s="31" t="n">
        <f aca="false">ROUNDDOWN(K141*設定!$C$14/1000,0)</f>
        <v>0</v>
      </c>
      <c r="BL141" s="31" t="n">
        <f aca="false">ROUNDDOWN(J141*設定!$B$15/1000,0)</f>
        <v>0</v>
      </c>
      <c r="BM141" s="31" t="n">
        <f aca="false">ROUNDDOWN(J141*設定!$C$15/1000,0)</f>
        <v>0</v>
      </c>
      <c r="BN141" s="31" t="n">
        <f aca="false">L141+M141</f>
        <v>0</v>
      </c>
      <c r="BO141" s="31" t="n">
        <f aca="false">N141+O141+P141</f>
        <v>0</v>
      </c>
      <c r="BP141" s="31" t="n">
        <f aca="false">Q141</f>
        <v>0</v>
      </c>
      <c r="BQ141" s="31" t="n">
        <f aca="false">R141</f>
        <v>0</v>
      </c>
      <c r="BR141" s="31" t="n">
        <f aca="false">S141</f>
        <v>0</v>
      </c>
      <c r="BS141" s="31" t="n">
        <f aca="false">T141</f>
        <v>0</v>
      </c>
      <c r="BT141" s="31" t="n">
        <f aca="false">U141</f>
        <v>0</v>
      </c>
      <c r="BU141" s="31" t="n">
        <f aca="false">V141</f>
        <v>0</v>
      </c>
      <c r="BV141" s="32" t="n">
        <f aca="false">IF(BF141=0,IF(BN141=0,0,1),(BN141-BF141)/BF141)</f>
        <v>0</v>
      </c>
      <c r="BW141" s="32" t="n">
        <f aca="false">IF(BG141=0,IF(BO141=0,0,1),(BO141-BG141)/BG141)</f>
        <v>0</v>
      </c>
      <c r="BX141" s="32" t="n">
        <f aca="false">IF(BH141=0,IF(BP141=0,0,1),(BP141-BH141)/BH141)</f>
        <v>0</v>
      </c>
      <c r="BY141" s="32" t="n">
        <f aca="false">IF(BI141=0,IF(BQ141=0,0,1),(BQ141-BI141)/BI141)</f>
        <v>0</v>
      </c>
      <c r="BZ141" s="32" t="n">
        <f aca="false">IF(BJ141=0,IF(BR141=0,0,1),(BR141-BJ141)/BJ141)</f>
        <v>0</v>
      </c>
      <c r="CA141" s="32" t="n">
        <f aca="false">IF(BK141=0,IF(BS141=0,0,1),(BS141-BK141)/BK141)</f>
        <v>0</v>
      </c>
      <c r="CB141" s="32" t="n">
        <f aca="false">IF(BL141=0,IF(BT141=0,0,1),(BT141-BL141)/BL141)</f>
        <v>0</v>
      </c>
      <c r="CC141" s="32" t="n">
        <f aca="false">IF(BM141=0,IF(BU141=0,0,1),(BU141-BM141)/BM141)</f>
        <v>0</v>
      </c>
      <c r="CD141" s="32" t="n">
        <f aca="false">MAX(MAX(BV141:CC141),-MIN(BV141:CC141))</f>
        <v>-0</v>
      </c>
      <c r="CE141" s="31" t="n">
        <f aca="false">IF(CI141="","",SUMIFS($CF$7:$CF$696,$A$7:$A$696,CI141,$B$7:$B$696,B141))</f>
        <v>0</v>
      </c>
      <c r="CF141" s="31" t="n">
        <f aca="false">SUM(AU141:BE141)</f>
        <v>0</v>
      </c>
      <c r="CG141" s="33" t="str">
        <f aca="false">A141&amp;"|"&amp;B141</f>
        <v>2026-06 月例|自治労労働組合</v>
      </c>
      <c r="CH141" s="34" t="str">
        <f aca="false">IFERROR(INDEX(設定!$D$61:$D$106,MATCH(B141,設定!$B$61:$B$106,0)),"Y")</f>
        <v>Y</v>
      </c>
      <c r="CI141" s="34" t="str">
        <f aca="false">IFERROR(INDEX(設定!$D$20:$D$34,MATCH(A141,設定!$A$20:$A$34,0))&amp;"","")</f>
        <v>2026-05 月例</v>
      </c>
    </row>
    <row r="142" customFormat="false" ht="15" hidden="true" customHeight="false" outlineLevel="0" collapsed="false">
      <c r="A142" s="22" t="s">
        <v>209</v>
      </c>
      <c r="B142" s="23" t="s">
        <v>204</v>
      </c>
      <c r="C142" s="10" t="str">
        <f aca="false">IF(G142="","未受領",IF(G142="なし","報告なし",IF(AH142="○","起票済",IF(OR(AG142="○",F142="一致",F142="入金不要"),"入金確認済","受領済"))))</f>
        <v>入金確認済</v>
      </c>
      <c r="D142" s="10" t="str">
        <f aca="false">IF(OR(G142="",G142="なし"),"―",IF(CH142="N","対象外",IF(AND(I142="",J142="",K142=""),"標報未入力",IF(CD142&gt;=設定!$B$4,"要確認","問題なし"))))</f>
        <v>標報未入力</v>
      </c>
      <c r="E142" s="24" t="str">
        <f aca="false">IF(OR(G142="",G142="なし",CE142="",CF142=0),"―",IF(CF142=CE142,"前月同額",IF(CE142=0,"―",IF(ABS(CF142/CE142-1)&gt;=設定!$B$5,"変動大 "&amp;TEXT(CF142/CE142-1,"+0%;-0%"),"〇"))))</f>
        <v>前月同額</v>
      </c>
      <c r="F142" s="10" t="str">
        <f aca="false">IF(OR(G142="",G142="なし"),"―",IF(CF142=0,"入金不要",IF(COUNT(Z142,AB142,AD142,AF142)=0,IF(AG142="○","手動確認","未入金"),IF(AND(N(Z142)=Y142,IF(AA142="",TRUE(),N(AB142)=AA142),IF(AC142="",TRUE(),N(AD142)=AC142),IF(AE142="",TRUE(),N(AF142)=AE142)),"一致","不一致"))))</f>
        <v>手動確認</v>
      </c>
      <c r="G142" s="25" t="s">
        <v>159</v>
      </c>
      <c r="H142" s="26"/>
      <c r="I142" s="27"/>
      <c r="J142" s="27"/>
      <c r="K142" s="27"/>
      <c r="L142" s="27" t="n">
        <v>27450</v>
      </c>
      <c r="M142" s="27" t="n">
        <v>2250</v>
      </c>
      <c r="N142" s="27" t="n">
        <v>27450</v>
      </c>
      <c r="O142" s="27" t="n">
        <v>2250</v>
      </c>
      <c r="P142" s="27"/>
      <c r="Q142" s="27" t="n">
        <v>31116</v>
      </c>
      <c r="R142" s="27" t="n">
        <v>31146</v>
      </c>
      <c r="S142" s="27" t="n">
        <v>2370</v>
      </c>
      <c r="T142" s="27" t="n">
        <v>2370</v>
      </c>
      <c r="U142" s="27" t="n">
        <v>690</v>
      </c>
      <c r="V142" s="27" t="n">
        <v>690</v>
      </c>
      <c r="W142" s="10" t="str">
        <f aca="false">IFERROR(INDEX(設定!$E$61:$E$106,MATCH(B142,設定!$B$61:$B$106,0)),"合算")</f>
        <v>合算</v>
      </c>
      <c r="X142" s="28"/>
      <c r="Y142" s="29" t="n">
        <f aca="false">IF(OR(G142="",G142="なし"),"",IF(W142="合算",CF142,IF(W142="掛金・負担金別",(AU142+AV142+AZ142+BB142+BD142),SUM(AU142:AY142))))</f>
        <v>127782</v>
      </c>
      <c r="Z142" s="27"/>
      <c r="AA142" s="29" t="str">
        <f aca="false">IF(OR(G142="",G142="なし"),"",IF(W142="掛金・負担金別",(AW142+AX142+AY142+BA142+BC142+BE142),IF(W142="経理区分別",AZ142+BA142,"")))</f>
        <v/>
      </c>
      <c r="AB142" s="27"/>
      <c r="AC142" s="29" t="str">
        <f aca="false">IF(OR(G142="",G142="なし"),"",IF(W142="経理区分別",BB142+BC142,""))</f>
        <v/>
      </c>
      <c r="AD142" s="27"/>
      <c r="AE142" s="29" t="str">
        <f aca="false">IF(OR(G142="",G142="なし"),"",IF(W142="経理区分別",BD142+BE142,""))</f>
        <v/>
      </c>
      <c r="AF142" s="27"/>
      <c r="AG142" s="26" t="s">
        <v>160</v>
      </c>
      <c r="AH142" s="26"/>
      <c r="AI142" s="30"/>
      <c r="AJ142" s="31"/>
      <c r="AK142" s="31"/>
      <c r="AL142" s="31"/>
      <c r="AM142" s="31"/>
      <c r="AN142" s="31"/>
      <c r="AO142" s="31"/>
      <c r="AP142" s="31"/>
      <c r="AQ142" s="31"/>
      <c r="AR142" s="31"/>
      <c r="AS142" s="31"/>
      <c r="AT142" s="31"/>
      <c r="AU142" s="31" t="n">
        <f aca="false">IF($G142="",AJ142,L142)</f>
        <v>27450</v>
      </c>
      <c r="AV142" s="31" t="n">
        <f aca="false">IF($G142="",AK142,M142)</f>
        <v>2250</v>
      </c>
      <c r="AW142" s="31" t="n">
        <f aca="false">IF($G142="",AL142,N142)</f>
        <v>27450</v>
      </c>
      <c r="AX142" s="31" t="n">
        <f aca="false">IF($G142="",AM142,O142)</f>
        <v>2250</v>
      </c>
      <c r="AY142" s="31" t="n">
        <f aca="false">IF($G142="",AN142,P142)</f>
        <v>0</v>
      </c>
      <c r="AZ142" s="31" t="n">
        <f aca="false">IF($G142="",AO142,Q142)</f>
        <v>31116</v>
      </c>
      <c r="BA142" s="31" t="n">
        <f aca="false">IF($G142="",AP142,R142)</f>
        <v>31146</v>
      </c>
      <c r="BB142" s="31" t="n">
        <f aca="false">IF($G142="",AQ142,S142)</f>
        <v>2370</v>
      </c>
      <c r="BC142" s="31" t="n">
        <f aca="false">IF($G142="",AR142,T142)</f>
        <v>2370</v>
      </c>
      <c r="BD142" s="31" t="n">
        <f aca="false">IF($G142="",AS142,U142)</f>
        <v>690</v>
      </c>
      <c r="BE142" s="31" t="n">
        <f aca="false">IF($G142="",AT142,V142)</f>
        <v>690</v>
      </c>
      <c r="BF142" s="31" t="n">
        <f aca="false">ROUNDDOWN(I142*設定!$B$10/1000,0)+ROUNDDOWN(I142*設定!$B$11/1000,0)</f>
        <v>0</v>
      </c>
      <c r="BG142" s="31" t="n">
        <f aca="false">ROUNDDOWN(I142*設定!$C$10/1000,0)+ROUNDDOWN(I142*設定!$C$11/1000,0)+ROUNDDOWN(I142*設定!$C$12/1000,0)</f>
        <v>0</v>
      </c>
      <c r="BH142" s="31" t="n">
        <f aca="false">ROUNDDOWN(J142*設定!$B$13/1000,0)</f>
        <v>0</v>
      </c>
      <c r="BI142" s="31" t="n">
        <f aca="false">ROUNDDOWN(J142*設定!$C$13/1000,0)</f>
        <v>0</v>
      </c>
      <c r="BJ142" s="31" t="n">
        <f aca="false">ROUNDDOWN(K142*設定!$B$14/1000,0)</f>
        <v>0</v>
      </c>
      <c r="BK142" s="31" t="n">
        <f aca="false">ROUNDDOWN(K142*設定!$C$14/1000,0)</f>
        <v>0</v>
      </c>
      <c r="BL142" s="31" t="n">
        <f aca="false">ROUNDDOWN(J142*設定!$B$15/1000,0)</f>
        <v>0</v>
      </c>
      <c r="BM142" s="31" t="n">
        <f aca="false">ROUNDDOWN(J142*設定!$C$15/1000,0)</f>
        <v>0</v>
      </c>
      <c r="BN142" s="31" t="n">
        <f aca="false">L142+M142</f>
        <v>29700</v>
      </c>
      <c r="BO142" s="31" t="n">
        <f aca="false">N142+O142+P142</f>
        <v>29700</v>
      </c>
      <c r="BP142" s="31" t="n">
        <f aca="false">Q142</f>
        <v>31116</v>
      </c>
      <c r="BQ142" s="31" t="n">
        <f aca="false">R142</f>
        <v>31146</v>
      </c>
      <c r="BR142" s="31" t="n">
        <f aca="false">S142</f>
        <v>2370</v>
      </c>
      <c r="BS142" s="31" t="n">
        <f aca="false">T142</f>
        <v>2370</v>
      </c>
      <c r="BT142" s="31" t="n">
        <f aca="false">U142</f>
        <v>690</v>
      </c>
      <c r="BU142" s="31" t="n">
        <f aca="false">V142</f>
        <v>690</v>
      </c>
      <c r="BV142" s="32" t="n">
        <f aca="false">IF(BF142=0,IF(BN142=0,0,1),(BN142-BF142)/BF142)</f>
        <v>1</v>
      </c>
      <c r="BW142" s="32" t="n">
        <f aca="false">IF(BG142=0,IF(BO142=0,0,1),(BO142-BG142)/BG142)</f>
        <v>1</v>
      </c>
      <c r="BX142" s="32" t="n">
        <f aca="false">IF(BH142=0,IF(BP142=0,0,1),(BP142-BH142)/BH142)</f>
        <v>1</v>
      </c>
      <c r="BY142" s="32" t="n">
        <f aca="false">IF(BI142=0,IF(BQ142=0,0,1),(BQ142-BI142)/BI142)</f>
        <v>1</v>
      </c>
      <c r="BZ142" s="32" t="n">
        <f aca="false">IF(BJ142=0,IF(BR142=0,0,1),(BR142-BJ142)/BJ142)</f>
        <v>1</v>
      </c>
      <c r="CA142" s="32" t="n">
        <f aca="false">IF(BK142=0,IF(BS142=0,0,1),(BS142-BK142)/BK142)</f>
        <v>1</v>
      </c>
      <c r="CB142" s="32" t="n">
        <f aca="false">IF(BL142=0,IF(BT142=0,0,1),(BT142-BL142)/BL142)</f>
        <v>1</v>
      </c>
      <c r="CC142" s="32" t="n">
        <f aca="false">IF(BM142=0,IF(BU142=0,0,1),(BU142-BM142)/BM142)</f>
        <v>1</v>
      </c>
      <c r="CD142" s="32" t="n">
        <f aca="false">MAX(MAX(BV142:CC142),-MIN(BV142:CC142))</f>
        <v>1</v>
      </c>
      <c r="CE142" s="31" t="n">
        <f aca="false">IF(CI142="","",SUMIFS($CF$7:$CF$696,$A$7:$A$696,CI142,$B$7:$B$696,B142))</f>
        <v>127782</v>
      </c>
      <c r="CF142" s="31" t="n">
        <f aca="false">SUM(AU142:BE142)</f>
        <v>127782</v>
      </c>
      <c r="CG142" s="33" t="str">
        <f aca="false">A142&amp;"|"&amp;B142</f>
        <v>2026-06 月例|病院労働組合</v>
      </c>
      <c r="CH142" s="34" t="str">
        <f aca="false">IFERROR(INDEX(設定!$D$61:$D$106,MATCH(B142,設定!$B$61:$B$106,0)),"Y")</f>
        <v>Y</v>
      </c>
      <c r="CI142" s="34" t="str">
        <f aca="false">IFERROR(INDEX(設定!$D$20:$D$34,MATCH(A142,設定!$A$20:$A$34,0))&amp;"","")</f>
        <v>2026-05 月例</v>
      </c>
    </row>
    <row r="143" customFormat="false" ht="15" hidden="true" customHeight="false" outlineLevel="0" collapsed="false">
      <c r="A143" s="22" t="s">
        <v>209</v>
      </c>
      <c r="B143" s="23" t="s">
        <v>205</v>
      </c>
      <c r="C143" s="10" t="str">
        <f aca="false">IF(G143="","未受領",IF(G143="なし","報告なし",IF(AH143="○","起票済",IF(OR(AG143="○",F143="一致",F143="入金不要"),"入金確認済","受領済"))))</f>
        <v>報告なし</v>
      </c>
      <c r="D143" s="10" t="str">
        <f aca="false">IF(OR(G143="",G143="なし"),"―",IF(CH143="N","対象外",IF(AND(I143="",J143="",K143=""),"標報未入力",IF(CD143&gt;=設定!$B$4,"要確認","問題なし"))))</f>
        <v>―</v>
      </c>
      <c r="E143" s="24" t="str">
        <f aca="false">IF(OR(G143="",G143="なし",CE143="",CF143=0),"―",IF(CF143=CE143,"前月同額",IF(CE143=0,"―",IF(ABS(CF143/CE143-1)&gt;=設定!$B$5,"変動大 "&amp;TEXT(CF143/CE143-1,"+0%;-0%"),"〇"))))</f>
        <v>―</v>
      </c>
      <c r="F143" s="10" t="str">
        <f aca="false">IF(OR(G143="",G143="なし"),"―",IF(CF143=0,"入金不要",IF(COUNT(Z143,AB143,AD143,AF143)=0,IF(AG143="○","手動確認","未入金"),IF(AND(N(Z143)=Y143,IF(AA143="",TRUE(),N(AB143)=AA143),IF(AC143="",TRUE(),N(AD143)=AC143),IF(AE143="",TRUE(),N(AF143)=AE143)),"一致","不一致"))))</f>
        <v>―</v>
      </c>
      <c r="G143" s="25" t="s">
        <v>173</v>
      </c>
      <c r="H143" s="26"/>
      <c r="I143" s="27"/>
      <c r="J143" s="27"/>
      <c r="K143" s="27"/>
      <c r="L143" s="27"/>
      <c r="M143" s="27"/>
      <c r="N143" s="27"/>
      <c r="O143" s="27"/>
      <c r="P143" s="27"/>
      <c r="Q143" s="27"/>
      <c r="R143" s="27"/>
      <c r="S143" s="27"/>
      <c r="T143" s="27"/>
      <c r="U143" s="27"/>
      <c r="V143" s="27"/>
      <c r="W143" s="10" t="str">
        <f aca="false">IFERROR(INDEX(設定!$E$61:$E$106,MATCH(B143,設定!$B$61:$B$106,0)),"合算")</f>
        <v>合算</v>
      </c>
      <c r="X143" s="28"/>
      <c r="Y143" s="29" t="str">
        <f aca="false">IF(OR(G143="",G143="なし"),"",IF(W143="合算",CF143,IF(W143="掛金・負担金別",(AU143+AV143+AZ143+BB143+BD143),SUM(AU143:AY143))))</f>
        <v/>
      </c>
      <c r="Z143" s="27"/>
      <c r="AA143" s="29" t="str">
        <f aca="false">IF(OR(G143="",G143="なし"),"",IF(W143="掛金・負担金別",(AW143+AX143+AY143+BA143+BC143+BE143),IF(W143="経理区分別",AZ143+BA143,"")))</f>
        <v/>
      </c>
      <c r="AB143" s="27"/>
      <c r="AC143" s="29" t="str">
        <f aca="false">IF(OR(G143="",G143="なし"),"",IF(W143="経理区分別",BB143+BC143,""))</f>
        <v/>
      </c>
      <c r="AD143" s="27"/>
      <c r="AE143" s="29" t="str">
        <f aca="false">IF(OR(G143="",G143="なし"),"",IF(W143="経理区分別",BD143+BE143,""))</f>
        <v/>
      </c>
      <c r="AF143" s="27"/>
      <c r="AG143" s="26"/>
      <c r="AH143" s="26"/>
      <c r="AI143" s="30"/>
      <c r="AJ143" s="31"/>
      <c r="AK143" s="31"/>
      <c r="AL143" s="31"/>
      <c r="AM143" s="31"/>
      <c r="AN143" s="31"/>
      <c r="AO143" s="31"/>
      <c r="AP143" s="31"/>
      <c r="AQ143" s="31"/>
      <c r="AR143" s="31"/>
      <c r="AS143" s="31"/>
      <c r="AT143" s="31"/>
      <c r="AU143" s="31" t="n">
        <f aca="false">IF($G143="",AJ143,L143)</f>
        <v>0</v>
      </c>
      <c r="AV143" s="31" t="n">
        <f aca="false">IF($G143="",AK143,M143)</f>
        <v>0</v>
      </c>
      <c r="AW143" s="31" t="n">
        <f aca="false">IF($G143="",AL143,N143)</f>
        <v>0</v>
      </c>
      <c r="AX143" s="31" t="n">
        <f aca="false">IF($G143="",AM143,O143)</f>
        <v>0</v>
      </c>
      <c r="AY143" s="31" t="n">
        <f aca="false">IF($G143="",AN143,P143)</f>
        <v>0</v>
      </c>
      <c r="AZ143" s="31" t="n">
        <f aca="false">IF($G143="",AO143,Q143)</f>
        <v>0</v>
      </c>
      <c r="BA143" s="31" t="n">
        <f aca="false">IF($G143="",AP143,R143)</f>
        <v>0</v>
      </c>
      <c r="BB143" s="31" t="n">
        <f aca="false">IF($G143="",AQ143,S143)</f>
        <v>0</v>
      </c>
      <c r="BC143" s="31" t="n">
        <f aca="false">IF($G143="",AR143,T143)</f>
        <v>0</v>
      </c>
      <c r="BD143" s="31" t="n">
        <f aca="false">IF($G143="",AS143,U143)</f>
        <v>0</v>
      </c>
      <c r="BE143" s="31" t="n">
        <f aca="false">IF($G143="",AT143,V143)</f>
        <v>0</v>
      </c>
      <c r="BF143" s="31" t="n">
        <f aca="false">ROUNDDOWN(I143*設定!$B$10/1000,0)+ROUNDDOWN(I143*設定!$B$11/1000,0)</f>
        <v>0</v>
      </c>
      <c r="BG143" s="31" t="n">
        <f aca="false">ROUNDDOWN(I143*設定!$C$10/1000,0)+ROUNDDOWN(I143*設定!$C$11/1000,0)+ROUNDDOWN(I143*設定!$C$12/1000,0)</f>
        <v>0</v>
      </c>
      <c r="BH143" s="31" t="n">
        <f aca="false">ROUNDDOWN(J143*設定!$B$13/1000,0)</f>
        <v>0</v>
      </c>
      <c r="BI143" s="31" t="n">
        <f aca="false">ROUNDDOWN(J143*設定!$C$13/1000,0)</f>
        <v>0</v>
      </c>
      <c r="BJ143" s="31" t="n">
        <f aca="false">ROUNDDOWN(K143*設定!$B$14/1000,0)</f>
        <v>0</v>
      </c>
      <c r="BK143" s="31" t="n">
        <f aca="false">ROUNDDOWN(K143*設定!$C$14/1000,0)</f>
        <v>0</v>
      </c>
      <c r="BL143" s="31" t="n">
        <f aca="false">ROUNDDOWN(J143*設定!$B$15/1000,0)</f>
        <v>0</v>
      </c>
      <c r="BM143" s="31" t="n">
        <f aca="false">ROUNDDOWN(J143*設定!$C$15/1000,0)</f>
        <v>0</v>
      </c>
      <c r="BN143" s="31" t="n">
        <f aca="false">L143+M143</f>
        <v>0</v>
      </c>
      <c r="BO143" s="31" t="n">
        <f aca="false">N143+O143+P143</f>
        <v>0</v>
      </c>
      <c r="BP143" s="31" t="n">
        <f aca="false">Q143</f>
        <v>0</v>
      </c>
      <c r="BQ143" s="31" t="n">
        <f aca="false">R143</f>
        <v>0</v>
      </c>
      <c r="BR143" s="31" t="n">
        <f aca="false">S143</f>
        <v>0</v>
      </c>
      <c r="BS143" s="31" t="n">
        <f aca="false">T143</f>
        <v>0</v>
      </c>
      <c r="BT143" s="31" t="n">
        <f aca="false">U143</f>
        <v>0</v>
      </c>
      <c r="BU143" s="31" t="n">
        <f aca="false">V143</f>
        <v>0</v>
      </c>
      <c r="BV143" s="32" t="n">
        <f aca="false">IF(BF143=0,IF(BN143=0,0,1),(BN143-BF143)/BF143)</f>
        <v>0</v>
      </c>
      <c r="BW143" s="32" t="n">
        <f aca="false">IF(BG143=0,IF(BO143=0,0,1),(BO143-BG143)/BG143)</f>
        <v>0</v>
      </c>
      <c r="BX143" s="32" t="n">
        <f aca="false">IF(BH143=0,IF(BP143=0,0,1),(BP143-BH143)/BH143)</f>
        <v>0</v>
      </c>
      <c r="BY143" s="32" t="n">
        <f aca="false">IF(BI143=0,IF(BQ143=0,0,1),(BQ143-BI143)/BI143)</f>
        <v>0</v>
      </c>
      <c r="BZ143" s="32" t="n">
        <f aca="false">IF(BJ143=0,IF(BR143=0,0,1),(BR143-BJ143)/BJ143)</f>
        <v>0</v>
      </c>
      <c r="CA143" s="32" t="n">
        <f aca="false">IF(BK143=0,IF(BS143=0,0,1),(BS143-BK143)/BK143)</f>
        <v>0</v>
      </c>
      <c r="CB143" s="32" t="n">
        <f aca="false">IF(BL143=0,IF(BT143=0,0,1),(BT143-BL143)/BL143)</f>
        <v>0</v>
      </c>
      <c r="CC143" s="32" t="n">
        <f aca="false">IF(BM143=0,IF(BU143=0,0,1),(BU143-BM143)/BM143)</f>
        <v>0</v>
      </c>
      <c r="CD143" s="32" t="n">
        <f aca="false">MAX(MAX(BV143:CC143),-MIN(BV143:CC143))</f>
        <v>-0</v>
      </c>
      <c r="CE143" s="31" t="n">
        <f aca="false">IF(CI143="","",SUMIFS($CF$7:$CF$696,$A$7:$A$696,CI143,$B$7:$B$696,B143))</f>
        <v>0</v>
      </c>
      <c r="CF143" s="31" t="n">
        <f aca="false">SUM(AU143:BE143)</f>
        <v>0</v>
      </c>
      <c r="CG143" s="33" t="str">
        <f aca="false">A143&amp;"|"&amp;B143</f>
        <v>2026-06 月例|水道労働組合</v>
      </c>
      <c r="CH143" s="34" t="str">
        <f aca="false">IFERROR(INDEX(設定!$D$61:$D$106,MATCH(B143,設定!$B$61:$B$106,0)),"Y")</f>
        <v>Y</v>
      </c>
      <c r="CI143" s="34" t="str">
        <f aca="false">IFERROR(INDEX(設定!$D$20:$D$34,MATCH(A143,設定!$A$20:$A$34,0))&amp;"","")</f>
        <v>2026-05 月例</v>
      </c>
    </row>
    <row r="144" customFormat="false" ht="15" hidden="true" customHeight="false" outlineLevel="0" collapsed="false">
      <c r="A144" s="22" t="s">
        <v>209</v>
      </c>
      <c r="B144" s="23" t="s">
        <v>206</v>
      </c>
      <c r="C144" s="10" t="str">
        <f aca="false">IF(G144="","未受領",IF(G144="なし","報告なし",IF(AH144="○","起票済",IF(OR(AG144="○",F144="一致",F144="入金不要"),"入金確認済","受領済"))))</f>
        <v>受領済</v>
      </c>
      <c r="D144" s="10" t="str">
        <f aca="false">IF(OR(G144="",G144="なし"),"―",IF(CH144="N","対象外",IF(AND(I144="",J144="",K144=""),"標報未入力",IF(CD144&gt;=設定!$B$4,"要確認","問題なし"))))</f>
        <v>対象外</v>
      </c>
      <c r="E144" s="24" t="str">
        <f aca="false">IF(OR(G144="",G144="なし",CE144="",CF144=0),"―",IF(CF144=CE144,"前月同額",IF(CE144=0,"―",IF(ABS(CF144/CE144-1)&gt;=設定!$B$5,"変動大 "&amp;TEXT(CF144/CE144-1,"+0%;-0%"),"〇"))))</f>
        <v>〇</v>
      </c>
      <c r="F144" s="10" t="str">
        <f aca="false">IF(OR(G144="",G144="なし"),"―",IF(CF144=0,"入金不要",IF(COUNT(Z144,AB144,AD144,AF144)=0,IF(AG144="○","手動確認","未入金"),IF(AND(N(Z144)=Y144,IF(AA144="",TRUE(),N(AB144)=AA144),IF(AC144="",TRUE(),N(AD144)=AC144),IF(AE144="",TRUE(),N(AF144)=AE144)),"一致","不一致"))))</f>
        <v>未入金</v>
      </c>
      <c r="G144" s="25" t="s">
        <v>159</v>
      </c>
      <c r="H144" s="26"/>
      <c r="I144" s="27"/>
      <c r="J144" s="27"/>
      <c r="K144" s="27"/>
      <c r="L144" s="27"/>
      <c r="M144" s="27"/>
      <c r="N144" s="27"/>
      <c r="O144" s="27"/>
      <c r="P144" s="27"/>
      <c r="Q144" s="27" t="n">
        <v>2880046</v>
      </c>
      <c r="R144" s="27"/>
      <c r="S144" s="27" t="n">
        <v>227024</v>
      </c>
      <c r="T144" s="27"/>
      <c r="U144" s="27" t="n">
        <v>63859</v>
      </c>
      <c r="V144" s="27"/>
      <c r="W144" s="10" t="str">
        <f aca="false">IFERROR(INDEX(設定!$E$61:$E$106,MATCH(B144,設定!$B$61:$B$106,0)),"合算")</f>
        <v>合算</v>
      </c>
      <c r="X144" s="28"/>
      <c r="Y144" s="29" t="n">
        <f aca="false">IF(OR(G144="",G144="なし"),"",IF(W144="合算",CF144,IF(W144="掛金・負担金別",(AU144+AV144+AZ144+BB144+BD144),SUM(AU144:AY144))))</f>
        <v>3170929</v>
      </c>
      <c r="Z144" s="27"/>
      <c r="AA144" s="29" t="str">
        <f aca="false">IF(OR(G144="",G144="なし"),"",IF(W144="掛金・負担金別",(AW144+AX144+AY144+BA144+BC144+BE144),IF(W144="経理区分別",AZ144+BA144,"")))</f>
        <v/>
      </c>
      <c r="AB144" s="27"/>
      <c r="AC144" s="29" t="str">
        <f aca="false">IF(OR(G144="",G144="なし"),"",IF(W144="経理区分別",BB144+BC144,""))</f>
        <v/>
      </c>
      <c r="AD144" s="27"/>
      <c r="AE144" s="29" t="str">
        <f aca="false">IF(OR(G144="",G144="なし"),"",IF(W144="経理区分別",BD144+BE144,""))</f>
        <v/>
      </c>
      <c r="AF144" s="27"/>
      <c r="AG144" s="26"/>
      <c r="AH144" s="26"/>
      <c r="AI144" s="30"/>
      <c r="AJ144" s="31"/>
      <c r="AK144" s="31"/>
      <c r="AL144" s="31"/>
      <c r="AM144" s="31"/>
      <c r="AN144" s="31"/>
      <c r="AO144" s="31"/>
      <c r="AP144" s="31"/>
      <c r="AQ144" s="31"/>
      <c r="AR144" s="31"/>
      <c r="AS144" s="31"/>
      <c r="AT144" s="31"/>
      <c r="AU144" s="31" t="n">
        <f aca="false">IF($G144="",AJ144,L144)</f>
        <v>0</v>
      </c>
      <c r="AV144" s="31" t="n">
        <f aca="false">IF($G144="",AK144,M144)</f>
        <v>0</v>
      </c>
      <c r="AW144" s="31" t="n">
        <f aca="false">IF($G144="",AL144,N144)</f>
        <v>0</v>
      </c>
      <c r="AX144" s="31" t="n">
        <f aca="false">IF($G144="",AM144,O144)</f>
        <v>0</v>
      </c>
      <c r="AY144" s="31" t="n">
        <f aca="false">IF($G144="",AN144,P144)</f>
        <v>0</v>
      </c>
      <c r="AZ144" s="31" t="n">
        <f aca="false">IF($G144="",AO144,Q144)</f>
        <v>2880046</v>
      </c>
      <c r="BA144" s="31" t="n">
        <f aca="false">IF($G144="",AP144,R144)</f>
        <v>0</v>
      </c>
      <c r="BB144" s="31" t="n">
        <f aca="false">IF($G144="",AQ144,S144)</f>
        <v>227024</v>
      </c>
      <c r="BC144" s="31" t="n">
        <f aca="false">IF($G144="",AR144,T144)</f>
        <v>0</v>
      </c>
      <c r="BD144" s="31" t="n">
        <f aca="false">IF($G144="",AS144,U144)</f>
        <v>63859</v>
      </c>
      <c r="BE144" s="31" t="n">
        <f aca="false">IF($G144="",AT144,V144)</f>
        <v>0</v>
      </c>
      <c r="BF144" s="31" t="n">
        <f aca="false">ROUNDDOWN(I144*設定!$B$10/1000,0)+ROUNDDOWN(I144*設定!$B$11/1000,0)</f>
        <v>0</v>
      </c>
      <c r="BG144" s="31" t="n">
        <f aca="false">ROUNDDOWN(I144*設定!$C$10/1000,0)+ROUNDDOWN(I144*設定!$C$11/1000,0)+ROUNDDOWN(I144*設定!$C$12/1000,0)</f>
        <v>0</v>
      </c>
      <c r="BH144" s="31" t="n">
        <f aca="false">ROUNDDOWN(J144*設定!$B$13/1000,0)</f>
        <v>0</v>
      </c>
      <c r="BI144" s="31" t="n">
        <f aca="false">ROUNDDOWN(J144*設定!$C$13/1000,0)</f>
        <v>0</v>
      </c>
      <c r="BJ144" s="31" t="n">
        <f aca="false">ROUNDDOWN(K144*設定!$B$14/1000,0)</f>
        <v>0</v>
      </c>
      <c r="BK144" s="31" t="n">
        <f aca="false">ROUNDDOWN(K144*設定!$C$14/1000,0)</f>
        <v>0</v>
      </c>
      <c r="BL144" s="31" t="n">
        <f aca="false">ROUNDDOWN(J144*設定!$B$15/1000,0)</f>
        <v>0</v>
      </c>
      <c r="BM144" s="31" t="n">
        <f aca="false">ROUNDDOWN(J144*設定!$C$15/1000,0)</f>
        <v>0</v>
      </c>
      <c r="BN144" s="31" t="n">
        <f aca="false">L144+M144</f>
        <v>0</v>
      </c>
      <c r="BO144" s="31" t="n">
        <f aca="false">N144+O144+P144</f>
        <v>0</v>
      </c>
      <c r="BP144" s="31" t="n">
        <f aca="false">Q144</f>
        <v>2880046</v>
      </c>
      <c r="BQ144" s="31" t="n">
        <f aca="false">R144</f>
        <v>0</v>
      </c>
      <c r="BR144" s="31" t="n">
        <f aca="false">S144</f>
        <v>227024</v>
      </c>
      <c r="BS144" s="31" t="n">
        <f aca="false">T144</f>
        <v>0</v>
      </c>
      <c r="BT144" s="31" t="n">
        <f aca="false">U144</f>
        <v>63859</v>
      </c>
      <c r="BU144" s="31" t="n">
        <f aca="false">V144</f>
        <v>0</v>
      </c>
      <c r="BV144" s="32" t="n">
        <f aca="false">IF(BF144=0,IF(BN144=0,0,1),(BN144-BF144)/BF144)</f>
        <v>0</v>
      </c>
      <c r="BW144" s="32" t="n">
        <f aca="false">IF(BG144=0,IF(BO144=0,0,1),(BO144-BG144)/BG144)</f>
        <v>0</v>
      </c>
      <c r="BX144" s="32" t="n">
        <f aca="false">IF(BH144=0,IF(BP144=0,0,1),(BP144-BH144)/BH144)</f>
        <v>1</v>
      </c>
      <c r="BY144" s="32" t="n">
        <f aca="false">IF(BI144=0,IF(BQ144=0,0,1),(BQ144-BI144)/BI144)</f>
        <v>0</v>
      </c>
      <c r="BZ144" s="32" t="n">
        <f aca="false">IF(BJ144=0,IF(BR144=0,0,1),(BR144-BJ144)/BJ144)</f>
        <v>1</v>
      </c>
      <c r="CA144" s="32" t="n">
        <f aca="false">IF(BK144=0,IF(BS144=0,0,1),(BS144-BK144)/BK144)</f>
        <v>0</v>
      </c>
      <c r="CB144" s="32" t="n">
        <f aca="false">IF(BL144=0,IF(BT144=0,0,1),(BT144-BL144)/BL144)</f>
        <v>1</v>
      </c>
      <c r="CC144" s="32" t="n">
        <f aca="false">IF(BM144=0,IF(BU144=0,0,1),(BU144-BM144)/BM144)</f>
        <v>0</v>
      </c>
      <c r="CD144" s="32" t="n">
        <f aca="false">MAX(MAX(BV144:CC144),-MIN(BV144:CC144))</f>
        <v>1</v>
      </c>
      <c r="CE144" s="31" t="n">
        <f aca="false">IF(CI144="","",SUMIFS($CF$7:$CF$696,$A$7:$A$696,CI144,$B$7:$B$696,B144))</f>
        <v>3130689</v>
      </c>
      <c r="CF144" s="31" t="n">
        <f aca="false">SUM(AU144:BE144)</f>
        <v>3170929</v>
      </c>
      <c r="CG144" s="33" t="str">
        <f aca="false">A144&amp;"|"&amp;B144</f>
        <v>2026-06 月例|任意継続組合員</v>
      </c>
      <c r="CH144" s="34" t="str">
        <f aca="false">IFERROR(INDEX(設定!$D$61:$D$106,MATCH(B144,設定!$B$61:$B$106,0)),"Y")</f>
        <v>N</v>
      </c>
      <c r="CI144" s="34" t="str">
        <f aca="false">IFERROR(INDEX(設定!$D$20:$D$34,MATCH(A144,設定!$A$20:$A$34,0))&amp;"","")</f>
        <v>2026-05 月例</v>
      </c>
    </row>
    <row r="145" customFormat="false" ht="15" hidden="true" customHeight="false" outlineLevel="0" collapsed="false">
      <c r="A145" s="22" t="s">
        <v>210</v>
      </c>
      <c r="B145" s="23" t="s">
        <v>158</v>
      </c>
      <c r="C145" s="10" t="str">
        <f aca="false">IF(G145="","未受領",IF(G145="なし","報告なし",IF(AH145="○","起票済",IF(OR(AG145="○",F145="一致",F145="入金不要"),"入金確認済","受領済"))))</f>
        <v>入金確認済</v>
      </c>
      <c r="D145" s="10" t="str">
        <f aca="false">IF(OR(G145="",G145="なし"),"―",IF(CH145="N","対象外",IF(AND(I145="",J145="",K145=""),"標報未入力",IF(CD145&gt;=設定!$B$4,"要確認","問題なし"))))</f>
        <v>対象外</v>
      </c>
      <c r="E145" s="24" t="str">
        <f aca="false">IF(OR(G145="",G145="なし",CE145="",CF145=0),"―",IF(CF145=CE145,"前月同額",IF(CE145=0,"―",IF(ABS(CF145/CE145-1)&gt;=設定!$B$5,"変動大 "&amp;TEXT(CF145/CE145-1,"+0%;-0%"),"〇"))))</f>
        <v>―</v>
      </c>
      <c r="F145" s="10" t="str">
        <f aca="false">IF(OR(G145="",G145="なし"),"―",IF(CF145=0,"入金不要",IF(COUNT(Z145,AB145,AD145,AF145)=0,IF(AG145="○","手動確認","未入金"),IF(AND(N(Z145)=Y145,IF(AA145="",TRUE(),N(AB145)=AA145),IF(AC145="",TRUE(),N(AD145)=AC145),IF(AE145="",TRUE(),N(AF145)=AE145)),"一致","不一致"))))</f>
        <v>手動確認</v>
      </c>
      <c r="G145" s="25" t="s">
        <v>159</v>
      </c>
      <c r="H145" s="26"/>
      <c r="I145" s="27"/>
      <c r="J145" s="27"/>
      <c r="K145" s="27"/>
      <c r="L145" s="27" t="n">
        <v>455608135</v>
      </c>
      <c r="M145" s="27" t="n">
        <v>37354825</v>
      </c>
      <c r="N145" s="27" t="n">
        <v>647860052</v>
      </c>
      <c r="O145" s="27" t="n">
        <v>36359511</v>
      </c>
      <c r="P145" s="27" t="n">
        <v>428110</v>
      </c>
      <c r="Q145" s="27" t="n">
        <v>329922975</v>
      </c>
      <c r="R145" s="27" t="n">
        <v>328612946</v>
      </c>
      <c r="S145" s="27" t="n">
        <v>31461358</v>
      </c>
      <c r="T145" s="27" t="n">
        <v>30627469</v>
      </c>
      <c r="U145" s="27" t="n">
        <v>7311253</v>
      </c>
      <c r="V145" s="27" t="n">
        <v>7161439</v>
      </c>
      <c r="W145" s="10" t="str">
        <f aca="false">IFERROR(INDEX(設定!$E$61:$E$106,MATCH(B145,設定!$B$61:$B$106,0)),"合算")</f>
        <v>合算</v>
      </c>
      <c r="X145" s="28"/>
      <c r="Y145" s="29" t="n">
        <f aca="false">IF(OR(G145="",G145="なし"),"",IF(W145="合算",CF145,IF(W145="掛金・負担金別",(AU145+AV145+AZ145+BB145+BD145),SUM(AU145:AY145))))</f>
        <v>1912708073</v>
      </c>
      <c r="Z145" s="27"/>
      <c r="AA145" s="29" t="str">
        <f aca="false">IF(OR(G145="",G145="なし"),"",IF(W145="掛金・負担金別",(AW145+AX145+AY145+BA145+BC145+BE145),IF(W145="経理区分別",AZ145+BA145,"")))</f>
        <v/>
      </c>
      <c r="AB145" s="27"/>
      <c r="AC145" s="29" t="str">
        <f aca="false">IF(OR(G145="",G145="なし"),"",IF(W145="経理区分別",BB145+BC145,""))</f>
        <v/>
      </c>
      <c r="AD145" s="27"/>
      <c r="AE145" s="29" t="str">
        <f aca="false">IF(OR(G145="",G145="なし"),"",IF(W145="経理区分別",BD145+BE145,""))</f>
        <v/>
      </c>
      <c r="AF145" s="27"/>
      <c r="AG145" s="26" t="s">
        <v>160</v>
      </c>
      <c r="AH145" s="26"/>
      <c r="AI145" s="30"/>
      <c r="AJ145" s="31"/>
      <c r="AK145" s="31"/>
      <c r="AL145" s="31"/>
      <c r="AM145" s="31"/>
      <c r="AN145" s="31"/>
      <c r="AO145" s="31"/>
      <c r="AP145" s="31"/>
      <c r="AQ145" s="31"/>
      <c r="AR145" s="31"/>
      <c r="AS145" s="31"/>
      <c r="AT145" s="31"/>
      <c r="AU145" s="31" t="n">
        <f aca="false">IF($G145="",AJ145,L145)</f>
        <v>455608135</v>
      </c>
      <c r="AV145" s="31" t="n">
        <f aca="false">IF($G145="",AK145,M145)</f>
        <v>37354825</v>
      </c>
      <c r="AW145" s="31" t="n">
        <f aca="false">IF($G145="",AL145,N145)</f>
        <v>647860052</v>
      </c>
      <c r="AX145" s="31" t="n">
        <f aca="false">IF($G145="",AM145,O145)</f>
        <v>36359511</v>
      </c>
      <c r="AY145" s="31" t="n">
        <f aca="false">IF($G145="",AN145,P145)</f>
        <v>428110</v>
      </c>
      <c r="AZ145" s="31" t="n">
        <f aca="false">IF($G145="",AO145,Q145)</f>
        <v>329922975</v>
      </c>
      <c r="BA145" s="31" t="n">
        <f aca="false">IF($G145="",AP145,R145)</f>
        <v>328612946</v>
      </c>
      <c r="BB145" s="31" t="n">
        <f aca="false">IF($G145="",AQ145,S145)</f>
        <v>31461358</v>
      </c>
      <c r="BC145" s="31" t="n">
        <f aca="false">IF($G145="",AR145,T145)</f>
        <v>30627469</v>
      </c>
      <c r="BD145" s="31" t="n">
        <f aca="false">IF($G145="",AS145,U145)</f>
        <v>7311253</v>
      </c>
      <c r="BE145" s="31" t="n">
        <f aca="false">IF($G145="",AT145,V145)</f>
        <v>7161439</v>
      </c>
      <c r="BF145" s="31" t="n">
        <f aca="false">ROUNDDOWN(I145*設定!$B$10/1000,0)+ROUNDDOWN(I145*設定!$B$11/1000,0)</f>
        <v>0</v>
      </c>
      <c r="BG145" s="31" t="n">
        <f aca="false">ROUNDDOWN(I145*設定!$C$10/1000,0)+ROUNDDOWN(I145*設定!$C$11/1000,0)+ROUNDDOWN(I145*設定!$C$12/1000,0)</f>
        <v>0</v>
      </c>
      <c r="BH145" s="31" t="n">
        <f aca="false">ROUNDDOWN(J145*設定!$B$13/1000,0)</f>
        <v>0</v>
      </c>
      <c r="BI145" s="31" t="n">
        <f aca="false">ROUNDDOWN(J145*設定!$C$13/1000,0)</f>
        <v>0</v>
      </c>
      <c r="BJ145" s="31" t="n">
        <f aca="false">ROUNDDOWN(K145*設定!$B$14/1000,0)</f>
        <v>0</v>
      </c>
      <c r="BK145" s="31" t="n">
        <f aca="false">ROUNDDOWN(K145*設定!$C$14/1000,0)</f>
        <v>0</v>
      </c>
      <c r="BL145" s="31" t="n">
        <f aca="false">ROUNDDOWN(J145*設定!$B$15/1000,0)</f>
        <v>0</v>
      </c>
      <c r="BM145" s="31" t="n">
        <f aca="false">ROUNDDOWN(J145*設定!$C$15/1000,0)</f>
        <v>0</v>
      </c>
      <c r="BN145" s="31" t="n">
        <f aca="false">L145+M145</f>
        <v>492962960</v>
      </c>
      <c r="BO145" s="31" t="n">
        <f aca="false">N145+O145+P145</f>
        <v>684647673</v>
      </c>
      <c r="BP145" s="31" t="n">
        <f aca="false">Q145</f>
        <v>329922975</v>
      </c>
      <c r="BQ145" s="31" t="n">
        <f aca="false">R145</f>
        <v>328612946</v>
      </c>
      <c r="BR145" s="31" t="n">
        <f aca="false">S145</f>
        <v>31461358</v>
      </c>
      <c r="BS145" s="31" t="n">
        <f aca="false">T145</f>
        <v>30627469</v>
      </c>
      <c r="BT145" s="31" t="n">
        <f aca="false">U145</f>
        <v>7311253</v>
      </c>
      <c r="BU145" s="31" t="n">
        <f aca="false">V145</f>
        <v>7161439</v>
      </c>
      <c r="BV145" s="32" t="n">
        <f aca="false">IF(BF145=0,IF(BN145=0,0,1),(BN145-BF145)/BF145)</f>
        <v>1</v>
      </c>
      <c r="BW145" s="32" t="n">
        <f aca="false">IF(BG145=0,IF(BO145=0,0,1),(BO145-BG145)/BG145)</f>
        <v>1</v>
      </c>
      <c r="BX145" s="32" t="n">
        <f aca="false">IF(BH145=0,IF(BP145=0,0,1),(BP145-BH145)/BH145)</f>
        <v>1</v>
      </c>
      <c r="BY145" s="32" t="n">
        <f aca="false">IF(BI145=0,IF(BQ145=0,0,1),(BQ145-BI145)/BI145)</f>
        <v>1</v>
      </c>
      <c r="BZ145" s="32" t="n">
        <f aca="false">IF(BJ145=0,IF(BR145=0,0,1),(BR145-BJ145)/BJ145)</f>
        <v>1</v>
      </c>
      <c r="CA145" s="32" t="n">
        <f aca="false">IF(BK145=0,IF(BS145=0,0,1),(BS145-BK145)/BK145)</f>
        <v>1</v>
      </c>
      <c r="CB145" s="32" t="n">
        <f aca="false">IF(BL145=0,IF(BT145=0,0,1),(BT145-BL145)/BL145)</f>
        <v>1</v>
      </c>
      <c r="CC145" s="32" t="n">
        <f aca="false">IF(BM145=0,IF(BU145=0,0,1),(BU145-BM145)/BM145)</f>
        <v>1</v>
      </c>
      <c r="CD145" s="32" t="n">
        <f aca="false">MAX(MAX(BV145:CC145),-MIN(BV145:CC145))</f>
        <v>1</v>
      </c>
      <c r="CE145" s="31" t="str">
        <f aca="false">IF(CI145="","",SUMIFS($CF$7:$CF$696,$A$7:$A$696,CI145,$B$7:$B$696,B145))</f>
        <v/>
      </c>
      <c r="CF145" s="31" t="n">
        <f aca="false">SUM(AU145:BE145)</f>
        <v>1912708073</v>
      </c>
      <c r="CG145" s="33" t="str">
        <f aca="false">A145&amp;"|"&amp;B145</f>
        <v>2026-06 賞与|市長部局</v>
      </c>
      <c r="CH145" s="34" t="str">
        <f aca="false">IFERROR(INDEX(設定!$D$61:$D$106,MATCH(B145,設定!$B$61:$B$106,0)),"Y")</f>
        <v>N</v>
      </c>
      <c r="CI145" s="34" t="str">
        <f aca="false">IFERROR(INDEX(設定!$D$20:$D$34,MATCH(A145,設定!$A$20:$A$34,0))&amp;"","")</f>
        <v/>
      </c>
    </row>
    <row r="146" customFormat="false" ht="15" hidden="true" customHeight="false" outlineLevel="0" collapsed="false">
      <c r="A146" s="22" t="s">
        <v>210</v>
      </c>
      <c r="B146" s="23" t="s">
        <v>161</v>
      </c>
      <c r="C146" s="10" t="str">
        <f aca="false">IF(G146="","未受領",IF(G146="なし","報告なし",IF(AH146="○","起票済",IF(OR(AG146="○",F146="一致",F146="入金不要"),"入金確認済","受領済"))))</f>
        <v>入金確認済</v>
      </c>
      <c r="D146" s="10" t="str">
        <f aca="false">IF(OR(G146="",G146="なし"),"―",IF(CH146="N","対象外",IF(AND(I146="",J146="",K146=""),"標報未入力",IF(CD146&gt;=設定!$B$4,"要確認","問題なし"))))</f>
        <v>標報未入力</v>
      </c>
      <c r="E146" s="24" t="str">
        <f aca="false">IF(OR(G146="",G146="なし",CE146="",CF146=0),"―",IF(CF146=CE146,"前月同額",IF(CE146=0,"―",IF(ABS(CF146/CE146-1)&gt;=設定!$B$5,"変動大 "&amp;TEXT(CF146/CE146-1,"+0%;-0%"),"〇"))))</f>
        <v>―</v>
      </c>
      <c r="F146" s="10" t="str">
        <f aca="false">IF(OR(G146="",G146="なし"),"―",IF(CF146=0,"入金不要",IF(COUNT(Z146,AB146,AD146,AF146)=0,IF(AG146="○","手動確認","未入金"),IF(AND(N(Z146)=Y146,IF(AA146="",TRUE(),N(AB146)=AA146),IF(AC146="",TRUE(),N(AD146)=AC146),IF(AE146="",TRUE(),N(AF146)=AE146)),"一致","不一致"))))</f>
        <v>手動確認</v>
      </c>
      <c r="G146" s="25" t="s">
        <v>159</v>
      </c>
      <c r="H146" s="26"/>
      <c r="I146" s="27"/>
      <c r="J146" s="27"/>
      <c r="K146" s="27"/>
      <c r="L146" s="27" t="n">
        <v>30049885</v>
      </c>
      <c r="M146" s="27" t="n">
        <v>2463025</v>
      </c>
      <c r="N146" s="27" t="n">
        <v>43316678</v>
      </c>
      <c r="O146" s="27" t="n">
        <v>2463110</v>
      </c>
      <c r="P146" s="27" t="n">
        <v>28886</v>
      </c>
      <c r="Q146" s="27" t="n">
        <v>17587186</v>
      </c>
      <c r="R146" s="27" t="n">
        <v>17885974</v>
      </c>
      <c r="S146" s="27" t="n">
        <v>1915098</v>
      </c>
      <c r="T146" s="27" t="n">
        <v>1915206</v>
      </c>
      <c r="U146" s="27" t="n">
        <v>389813</v>
      </c>
      <c r="V146" s="27" t="n">
        <v>389997</v>
      </c>
      <c r="W146" s="10" t="str">
        <f aca="false">IFERROR(INDEX(設定!$E$61:$E$106,MATCH(B146,設定!$B$61:$B$106,0)),"合算")</f>
        <v>合算</v>
      </c>
      <c r="X146" s="28"/>
      <c r="Y146" s="29" t="n">
        <f aca="false">IF(OR(G146="",G146="なし"),"",IF(W146="合算",CF146,IF(W146="掛金・負担金別",(AU146+AV146+AZ146+BB146+BD146),SUM(AU146:AY146))))</f>
        <v>118404858</v>
      </c>
      <c r="Z146" s="27"/>
      <c r="AA146" s="29" t="str">
        <f aca="false">IF(OR(G146="",G146="なし"),"",IF(W146="掛金・負担金別",(AW146+AX146+AY146+BA146+BC146+BE146),IF(W146="経理区分別",AZ146+BA146,"")))</f>
        <v/>
      </c>
      <c r="AB146" s="27"/>
      <c r="AC146" s="29" t="str">
        <f aca="false">IF(OR(G146="",G146="なし"),"",IF(W146="経理区分別",BB146+BC146,""))</f>
        <v/>
      </c>
      <c r="AD146" s="27"/>
      <c r="AE146" s="29" t="str">
        <f aca="false">IF(OR(G146="",G146="なし"),"",IF(W146="経理区分別",BD146+BE146,""))</f>
        <v/>
      </c>
      <c r="AF146" s="27"/>
      <c r="AG146" s="26" t="s">
        <v>160</v>
      </c>
      <c r="AH146" s="26"/>
      <c r="AI146" s="30"/>
      <c r="AJ146" s="31"/>
      <c r="AK146" s="31"/>
      <c r="AL146" s="31"/>
      <c r="AM146" s="31"/>
      <c r="AN146" s="31"/>
      <c r="AO146" s="31"/>
      <c r="AP146" s="31"/>
      <c r="AQ146" s="31"/>
      <c r="AR146" s="31"/>
      <c r="AS146" s="31"/>
      <c r="AT146" s="31"/>
      <c r="AU146" s="31" t="n">
        <f aca="false">IF($G146="",AJ146,L146)</f>
        <v>30049885</v>
      </c>
      <c r="AV146" s="31" t="n">
        <f aca="false">IF($G146="",AK146,M146)</f>
        <v>2463025</v>
      </c>
      <c r="AW146" s="31" t="n">
        <f aca="false">IF($G146="",AL146,N146)</f>
        <v>43316678</v>
      </c>
      <c r="AX146" s="31" t="n">
        <f aca="false">IF($G146="",AM146,O146)</f>
        <v>2463110</v>
      </c>
      <c r="AY146" s="31" t="n">
        <f aca="false">IF($G146="",AN146,P146)</f>
        <v>28886</v>
      </c>
      <c r="AZ146" s="31" t="n">
        <f aca="false">IF($G146="",AO146,Q146)</f>
        <v>17587186</v>
      </c>
      <c r="BA146" s="31" t="n">
        <f aca="false">IF($G146="",AP146,R146)</f>
        <v>17885974</v>
      </c>
      <c r="BB146" s="31" t="n">
        <f aca="false">IF($G146="",AQ146,S146)</f>
        <v>1915098</v>
      </c>
      <c r="BC146" s="31" t="n">
        <f aca="false">IF($G146="",AR146,T146)</f>
        <v>1915206</v>
      </c>
      <c r="BD146" s="31" t="n">
        <f aca="false">IF($G146="",AS146,U146)</f>
        <v>389813</v>
      </c>
      <c r="BE146" s="31" t="n">
        <f aca="false">IF($G146="",AT146,V146)</f>
        <v>389997</v>
      </c>
      <c r="BF146" s="31" t="n">
        <f aca="false">ROUNDDOWN(I146*設定!$B$10/1000,0)+ROUNDDOWN(I146*設定!$B$11/1000,0)</f>
        <v>0</v>
      </c>
      <c r="BG146" s="31" t="n">
        <f aca="false">ROUNDDOWN(I146*設定!$C$10/1000,0)+ROUNDDOWN(I146*設定!$C$11/1000,0)+ROUNDDOWN(I146*設定!$C$12/1000,0)</f>
        <v>0</v>
      </c>
      <c r="BH146" s="31" t="n">
        <f aca="false">ROUNDDOWN(J146*設定!$B$13/1000,0)</f>
        <v>0</v>
      </c>
      <c r="BI146" s="31" t="n">
        <f aca="false">ROUNDDOWN(J146*設定!$C$13/1000,0)</f>
        <v>0</v>
      </c>
      <c r="BJ146" s="31" t="n">
        <f aca="false">ROUNDDOWN(K146*設定!$B$14/1000,0)</f>
        <v>0</v>
      </c>
      <c r="BK146" s="31" t="n">
        <f aca="false">ROUNDDOWN(K146*設定!$C$14/1000,0)</f>
        <v>0</v>
      </c>
      <c r="BL146" s="31" t="n">
        <f aca="false">ROUNDDOWN(J146*設定!$B$15/1000,0)</f>
        <v>0</v>
      </c>
      <c r="BM146" s="31" t="n">
        <f aca="false">ROUNDDOWN(J146*設定!$C$15/1000,0)</f>
        <v>0</v>
      </c>
      <c r="BN146" s="31" t="n">
        <f aca="false">L146+M146</f>
        <v>32512910</v>
      </c>
      <c r="BO146" s="31" t="n">
        <f aca="false">N146+O146+P146</f>
        <v>45808674</v>
      </c>
      <c r="BP146" s="31" t="n">
        <f aca="false">Q146</f>
        <v>17587186</v>
      </c>
      <c r="BQ146" s="31" t="n">
        <f aca="false">R146</f>
        <v>17885974</v>
      </c>
      <c r="BR146" s="31" t="n">
        <f aca="false">S146</f>
        <v>1915098</v>
      </c>
      <c r="BS146" s="31" t="n">
        <f aca="false">T146</f>
        <v>1915206</v>
      </c>
      <c r="BT146" s="31" t="n">
        <f aca="false">U146</f>
        <v>389813</v>
      </c>
      <c r="BU146" s="31" t="n">
        <f aca="false">V146</f>
        <v>389997</v>
      </c>
      <c r="BV146" s="32" t="n">
        <f aca="false">IF(BF146=0,IF(BN146=0,0,1),(BN146-BF146)/BF146)</f>
        <v>1</v>
      </c>
      <c r="BW146" s="32" t="n">
        <f aca="false">IF(BG146=0,IF(BO146=0,0,1),(BO146-BG146)/BG146)</f>
        <v>1</v>
      </c>
      <c r="BX146" s="32" t="n">
        <f aca="false">IF(BH146=0,IF(BP146=0,0,1),(BP146-BH146)/BH146)</f>
        <v>1</v>
      </c>
      <c r="BY146" s="32" t="n">
        <f aca="false">IF(BI146=0,IF(BQ146=0,0,1),(BQ146-BI146)/BI146)</f>
        <v>1</v>
      </c>
      <c r="BZ146" s="32" t="n">
        <f aca="false">IF(BJ146=0,IF(BR146=0,0,1),(BR146-BJ146)/BJ146)</f>
        <v>1</v>
      </c>
      <c r="CA146" s="32" t="n">
        <f aca="false">IF(BK146=0,IF(BS146=0,0,1),(BS146-BK146)/BK146)</f>
        <v>1</v>
      </c>
      <c r="CB146" s="32" t="n">
        <f aca="false">IF(BL146=0,IF(BT146=0,0,1),(BT146-BL146)/BL146)</f>
        <v>1</v>
      </c>
      <c r="CC146" s="32" t="n">
        <f aca="false">IF(BM146=0,IF(BU146=0,0,1),(BU146-BM146)/BM146)</f>
        <v>1</v>
      </c>
      <c r="CD146" s="32" t="n">
        <f aca="false">MAX(MAX(BV146:CC146),-MIN(BV146:CC146))</f>
        <v>1</v>
      </c>
      <c r="CE146" s="31" t="str">
        <f aca="false">IF(CI146="","",SUMIFS($CF$7:$CF$696,$A$7:$A$696,CI146,$B$7:$B$696,B146))</f>
        <v/>
      </c>
      <c r="CF146" s="31" t="n">
        <f aca="false">SUM(AU146:BE146)</f>
        <v>118404858</v>
      </c>
      <c r="CG146" s="33" t="str">
        <f aca="false">A146&amp;"|"&amp;B146</f>
        <v>2026-06 賞与|下水道局</v>
      </c>
      <c r="CH146" s="34" t="str">
        <f aca="false">IFERROR(INDEX(設定!$D$61:$D$106,MATCH(B146,設定!$B$61:$B$106,0)),"Y")</f>
        <v>Y</v>
      </c>
      <c r="CI146" s="34" t="str">
        <f aca="false">IFERROR(INDEX(設定!$D$20:$D$34,MATCH(A146,設定!$A$20:$A$34,0))&amp;"","")</f>
        <v/>
      </c>
    </row>
    <row r="147" customFormat="false" ht="15" hidden="true" customHeight="false" outlineLevel="0" collapsed="false">
      <c r="A147" s="22" t="s">
        <v>210</v>
      </c>
      <c r="B147" s="23" t="s">
        <v>162</v>
      </c>
      <c r="C147" s="10" t="str">
        <f aca="false">IF(G147="","未受領",IF(G147="なし","報告なし",IF(AH147="○","起票済",IF(OR(AG147="○",F147="一致",F147="入金不要"),"入金確認済","受領済"))))</f>
        <v>入金確認済</v>
      </c>
      <c r="D147" s="10" t="str">
        <f aca="false">IF(OR(G147="",G147="なし"),"―",IF(CH147="N","対象外",IF(AND(I147="",J147="",K147=""),"標報未入力",IF(CD147&gt;=設定!$B$4,"要確認","問題なし"))))</f>
        <v>対象外</v>
      </c>
      <c r="E147" s="24" t="str">
        <f aca="false">IF(OR(G147="",G147="なし",CE147="",CF147=0),"―",IF(CF147=CE147,"前月同額",IF(CE147=0,"―",IF(ABS(CF147/CE147-1)&gt;=設定!$B$5,"変動大 "&amp;TEXT(CF147/CE147-1,"+0%;-0%"),"〇"))))</f>
        <v>―</v>
      </c>
      <c r="F147" s="10" t="str">
        <f aca="false">IF(OR(G147="",G147="なし"),"―",IF(CF147=0,"入金不要",IF(COUNT(Z147,AB147,AD147,AF147)=0,IF(AG147="○","手動確認","未入金"),IF(AND(N(Z147)=Y147,IF(AA147="",TRUE(),N(AB147)=AA147),IF(AC147="",TRUE(),N(AD147)=AC147),IF(AE147="",TRUE(),N(AF147)=AE147)),"一致","不一致"))))</f>
        <v>手動確認</v>
      </c>
      <c r="G147" s="25" t="s">
        <v>159</v>
      </c>
      <c r="H147" s="26"/>
      <c r="I147" s="27"/>
      <c r="J147" s="27"/>
      <c r="K147" s="27"/>
      <c r="L147" s="27" t="n">
        <v>99026244</v>
      </c>
      <c r="M147" s="27" t="n">
        <v>8116572</v>
      </c>
      <c r="N147" s="27" t="n">
        <v>142153458</v>
      </c>
      <c r="O147" s="27" t="n">
        <v>8083623</v>
      </c>
      <c r="P147" s="27" t="n">
        <v>94244</v>
      </c>
      <c r="Q147" s="27" t="n">
        <v>57373599</v>
      </c>
      <c r="R147" s="27" t="n">
        <v>58113751</v>
      </c>
      <c r="S147" s="27" t="n">
        <v>3928389</v>
      </c>
      <c r="T147" s="27" t="n">
        <v>3900877</v>
      </c>
      <c r="U147" s="27" t="n">
        <v>1271613</v>
      </c>
      <c r="V147" s="27" t="n">
        <v>1267175</v>
      </c>
      <c r="W147" s="10" t="str">
        <f aca="false">IFERROR(INDEX(設定!$E$61:$E$106,MATCH(B147,設定!$B$61:$B$106,0)),"合算")</f>
        <v>合算</v>
      </c>
      <c r="X147" s="28"/>
      <c r="Y147" s="29" t="n">
        <f aca="false">IF(OR(G147="",G147="なし"),"",IF(W147="合算",CF147,IF(W147="掛金・負担金別",(AU147+AV147+AZ147+BB147+BD147),SUM(AU147:AY147))))</f>
        <v>383329545</v>
      </c>
      <c r="Z147" s="27"/>
      <c r="AA147" s="29" t="str">
        <f aca="false">IF(OR(G147="",G147="なし"),"",IF(W147="掛金・負担金別",(AW147+AX147+AY147+BA147+BC147+BE147),IF(W147="経理区分別",AZ147+BA147,"")))</f>
        <v/>
      </c>
      <c r="AB147" s="27"/>
      <c r="AC147" s="29" t="str">
        <f aca="false">IF(OR(G147="",G147="なし"),"",IF(W147="経理区分別",BB147+BC147,""))</f>
        <v/>
      </c>
      <c r="AD147" s="27"/>
      <c r="AE147" s="29" t="str">
        <f aca="false">IF(OR(G147="",G147="なし"),"",IF(W147="経理区分別",BD147+BE147,""))</f>
        <v/>
      </c>
      <c r="AF147" s="27"/>
      <c r="AG147" s="26" t="s">
        <v>160</v>
      </c>
      <c r="AH147" s="26"/>
      <c r="AI147" s="30"/>
      <c r="AJ147" s="31"/>
      <c r="AK147" s="31"/>
      <c r="AL147" s="31"/>
      <c r="AM147" s="31"/>
      <c r="AN147" s="31"/>
      <c r="AO147" s="31"/>
      <c r="AP147" s="31"/>
      <c r="AQ147" s="31"/>
      <c r="AR147" s="31"/>
      <c r="AS147" s="31"/>
      <c r="AT147" s="31"/>
      <c r="AU147" s="31" t="n">
        <f aca="false">IF($G147="",AJ147,L147)</f>
        <v>99026244</v>
      </c>
      <c r="AV147" s="31" t="n">
        <f aca="false">IF($G147="",AK147,M147)</f>
        <v>8116572</v>
      </c>
      <c r="AW147" s="31" t="n">
        <f aca="false">IF($G147="",AL147,N147)</f>
        <v>142153458</v>
      </c>
      <c r="AX147" s="31" t="n">
        <f aca="false">IF($G147="",AM147,O147)</f>
        <v>8083623</v>
      </c>
      <c r="AY147" s="31" t="n">
        <f aca="false">IF($G147="",AN147,P147)</f>
        <v>94244</v>
      </c>
      <c r="AZ147" s="31" t="n">
        <f aca="false">IF($G147="",AO147,Q147)</f>
        <v>57373599</v>
      </c>
      <c r="BA147" s="31" t="n">
        <f aca="false">IF($G147="",AP147,R147)</f>
        <v>58113751</v>
      </c>
      <c r="BB147" s="31" t="n">
        <f aca="false">IF($G147="",AQ147,S147)</f>
        <v>3928389</v>
      </c>
      <c r="BC147" s="31" t="n">
        <f aca="false">IF($G147="",AR147,T147)</f>
        <v>3900877</v>
      </c>
      <c r="BD147" s="31" t="n">
        <f aca="false">IF($G147="",AS147,U147)</f>
        <v>1271613</v>
      </c>
      <c r="BE147" s="31" t="n">
        <f aca="false">IF($G147="",AT147,V147)</f>
        <v>1267175</v>
      </c>
      <c r="BF147" s="31" t="n">
        <f aca="false">ROUNDDOWN(I147*設定!$B$10/1000,0)+ROUNDDOWN(I147*設定!$B$11/1000,0)</f>
        <v>0</v>
      </c>
      <c r="BG147" s="31" t="n">
        <f aca="false">ROUNDDOWN(I147*設定!$C$10/1000,0)+ROUNDDOWN(I147*設定!$C$11/1000,0)+ROUNDDOWN(I147*設定!$C$12/1000,0)</f>
        <v>0</v>
      </c>
      <c r="BH147" s="31" t="n">
        <f aca="false">ROUNDDOWN(J147*設定!$B$13/1000,0)</f>
        <v>0</v>
      </c>
      <c r="BI147" s="31" t="n">
        <f aca="false">ROUNDDOWN(J147*設定!$C$13/1000,0)</f>
        <v>0</v>
      </c>
      <c r="BJ147" s="31" t="n">
        <f aca="false">ROUNDDOWN(K147*設定!$B$14/1000,0)</f>
        <v>0</v>
      </c>
      <c r="BK147" s="31" t="n">
        <f aca="false">ROUNDDOWN(K147*設定!$C$14/1000,0)</f>
        <v>0</v>
      </c>
      <c r="BL147" s="31" t="n">
        <f aca="false">ROUNDDOWN(J147*設定!$B$15/1000,0)</f>
        <v>0</v>
      </c>
      <c r="BM147" s="31" t="n">
        <f aca="false">ROUNDDOWN(J147*設定!$C$15/1000,0)</f>
        <v>0</v>
      </c>
      <c r="BN147" s="31" t="n">
        <f aca="false">L147+M147</f>
        <v>107142816</v>
      </c>
      <c r="BO147" s="31" t="n">
        <f aca="false">N147+O147+P147</f>
        <v>150331325</v>
      </c>
      <c r="BP147" s="31" t="n">
        <f aca="false">Q147</f>
        <v>57373599</v>
      </c>
      <c r="BQ147" s="31" t="n">
        <f aca="false">R147</f>
        <v>58113751</v>
      </c>
      <c r="BR147" s="31" t="n">
        <f aca="false">S147</f>
        <v>3928389</v>
      </c>
      <c r="BS147" s="31" t="n">
        <f aca="false">T147</f>
        <v>3900877</v>
      </c>
      <c r="BT147" s="31" t="n">
        <f aca="false">U147</f>
        <v>1271613</v>
      </c>
      <c r="BU147" s="31" t="n">
        <f aca="false">V147</f>
        <v>1267175</v>
      </c>
      <c r="BV147" s="32" t="n">
        <f aca="false">IF(BF147=0,IF(BN147=0,0,1),(BN147-BF147)/BF147)</f>
        <v>1</v>
      </c>
      <c r="BW147" s="32" t="n">
        <f aca="false">IF(BG147=0,IF(BO147=0,0,1),(BO147-BG147)/BG147)</f>
        <v>1</v>
      </c>
      <c r="BX147" s="32" t="n">
        <f aca="false">IF(BH147=0,IF(BP147=0,0,1),(BP147-BH147)/BH147)</f>
        <v>1</v>
      </c>
      <c r="BY147" s="32" t="n">
        <f aca="false">IF(BI147=0,IF(BQ147=0,0,1),(BQ147-BI147)/BI147)</f>
        <v>1</v>
      </c>
      <c r="BZ147" s="32" t="n">
        <f aca="false">IF(BJ147=0,IF(BR147=0,0,1),(BR147-BJ147)/BJ147)</f>
        <v>1</v>
      </c>
      <c r="CA147" s="32" t="n">
        <f aca="false">IF(BK147=0,IF(BS147=0,0,1),(BS147-BK147)/BK147)</f>
        <v>1</v>
      </c>
      <c r="CB147" s="32" t="n">
        <f aca="false">IF(BL147=0,IF(BT147=0,0,1),(BT147-BL147)/BL147)</f>
        <v>1</v>
      </c>
      <c r="CC147" s="32" t="n">
        <f aca="false">IF(BM147=0,IF(BU147=0,0,1),(BU147-BM147)/BM147)</f>
        <v>1</v>
      </c>
      <c r="CD147" s="32" t="n">
        <f aca="false">MAX(MAX(BV147:CC147),-MIN(BV147:CC147))</f>
        <v>1</v>
      </c>
      <c r="CE147" s="31" t="str">
        <f aca="false">IF(CI147="","",SUMIFS($CF$7:$CF$696,$A$7:$A$696,CI147,$B$7:$B$696,B147))</f>
        <v/>
      </c>
      <c r="CF147" s="31" t="n">
        <f aca="false">SUM(AU147:BE147)</f>
        <v>383329545</v>
      </c>
      <c r="CG147" s="33" t="str">
        <f aca="false">A147&amp;"|"&amp;B147</f>
        <v>2026-06 賞与|消防局</v>
      </c>
      <c r="CH147" s="34" t="str">
        <f aca="false">IFERROR(INDEX(設定!$D$61:$D$106,MATCH(B147,設定!$B$61:$B$106,0)),"Y")</f>
        <v>N</v>
      </c>
      <c r="CI147" s="34" t="str">
        <f aca="false">IFERROR(INDEX(設定!$D$20:$D$34,MATCH(A147,設定!$A$20:$A$34,0))&amp;"","")</f>
        <v/>
      </c>
    </row>
    <row r="148" customFormat="false" ht="15" hidden="true" customHeight="false" outlineLevel="0" collapsed="false">
      <c r="A148" s="22" t="s">
        <v>210</v>
      </c>
      <c r="B148" s="23" t="s">
        <v>163</v>
      </c>
      <c r="C148" s="10" t="str">
        <f aca="false">IF(G148="","未受領",IF(G148="なし","報告なし",IF(AH148="○","起票済",IF(OR(AG148="○",F148="一致",F148="入金不要"),"入金確認済","受領済"))))</f>
        <v>入金確認済</v>
      </c>
      <c r="D148" s="10" t="str">
        <f aca="false">IF(OR(G148="",G148="なし"),"―",IF(CH148="N","対象外",IF(AND(I148="",J148="",K148=""),"標報未入力",IF(CD148&gt;=設定!$B$4,"要確認","問題なし"))))</f>
        <v>標報未入力</v>
      </c>
      <c r="E148" s="24" t="str">
        <f aca="false">IF(OR(G148="",G148="なし",CE148="",CF148=0),"―",IF(CF148=CE148,"前月同額",IF(CE148=0,"―",IF(ABS(CF148/CE148-1)&gt;=設定!$B$5,"変動大 "&amp;TEXT(CF148/CE148-1,"+0%;-0%"),"〇"))))</f>
        <v>―</v>
      </c>
      <c r="F148" s="10" t="str">
        <f aca="false">IF(OR(G148="",G148="なし"),"―",IF(CF148=0,"入金不要",IF(COUNT(Z148,AB148,AD148,AF148)=0,IF(AG148="○","手動確認","未入金"),IF(AND(N(Z148)=Y148,IF(AA148="",TRUE(),N(AB148)=AA148),IF(AC148="",TRUE(),N(AD148)=AC148),IF(AE148="",TRUE(),N(AF148)=AE148)),"一致","不一致"))))</f>
        <v>手動確認</v>
      </c>
      <c r="G148" s="25" t="s">
        <v>159</v>
      </c>
      <c r="H148" s="26"/>
      <c r="I148" s="27"/>
      <c r="J148" s="27"/>
      <c r="K148" s="27"/>
      <c r="L148" s="27" t="n">
        <v>3574348</v>
      </c>
      <c r="M148" s="27" t="n">
        <v>292972</v>
      </c>
      <c r="N148" s="27" t="n">
        <v>5142387</v>
      </c>
      <c r="O148" s="27" t="n">
        <v>292980</v>
      </c>
      <c r="P148" s="27" t="n">
        <v>3415</v>
      </c>
      <c r="Q148" s="27" t="n">
        <v>2038752</v>
      </c>
      <c r="R148" s="27" t="n">
        <v>2073179</v>
      </c>
      <c r="S148" s="27" t="n">
        <v>205225</v>
      </c>
      <c r="T148" s="27" t="n">
        <v>205234</v>
      </c>
      <c r="U148" s="27" t="n">
        <v>45191</v>
      </c>
      <c r="V148" s="27" t="n">
        <v>45210</v>
      </c>
      <c r="W148" s="10" t="str">
        <f aca="false">IFERROR(INDEX(設定!$E$61:$E$106,MATCH(B148,設定!$B$61:$B$106,0)),"合算")</f>
        <v>合算</v>
      </c>
      <c r="X148" s="28"/>
      <c r="Y148" s="29" t="n">
        <f aca="false">IF(OR(G148="",G148="なし"),"",IF(W148="合算",CF148,IF(W148="掛金・負担金別",(AU148+AV148+AZ148+BB148+BD148),SUM(AU148:AY148))))</f>
        <v>13918893</v>
      </c>
      <c r="Z148" s="27"/>
      <c r="AA148" s="29" t="str">
        <f aca="false">IF(OR(G148="",G148="なし"),"",IF(W148="掛金・負担金別",(AW148+AX148+AY148+BA148+BC148+BE148),IF(W148="経理区分別",AZ148+BA148,"")))</f>
        <v/>
      </c>
      <c r="AB148" s="27"/>
      <c r="AC148" s="29" t="str">
        <f aca="false">IF(OR(G148="",G148="なし"),"",IF(W148="経理区分別",BB148+BC148,""))</f>
        <v/>
      </c>
      <c r="AD148" s="27"/>
      <c r="AE148" s="29" t="str">
        <f aca="false">IF(OR(G148="",G148="なし"),"",IF(W148="経理区分別",BD148+BE148,""))</f>
        <v/>
      </c>
      <c r="AF148" s="27"/>
      <c r="AG148" s="26" t="s">
        <v>160</v>
      </c>
      <c r="AH148" s="26"/>
      <c r="AI148" s="30"/>
      <c r="AJ148" s="31"/>
      <c r="AK148" s="31"/>
      <c r="AL148" s="31"/>
      <c r="AM148" s="31"/>
      <c r="AN148" s="31"/>
      <c r="AO148" s="31"/>
      <c r="AP148" s="31"/>
      <c r="AQ148" s="31"/>
      <c r="AR148" s="31"/>
      <c r="AS148" s="31"/>
      <c r="AT148" s="31"/>
      <c r="AU148" s="31" t="n">
        <f aca="false">IF($G148="",AJ148,L148)</f>
        <v>3574348</v>
      </c>
      <c r="AV148" s="31" t="n">
        <f aca="false">IF($G148="",AK148,M148)</f>
        <v>292972</v>
      </c>
      <c r="AW148" s="31" t="n">
        <f aca="false">IF($G148="",AL148,N148)</f>
        <v>5142387</v>
      </c>
      <c r="AX148" s="31" t="n">
        <f aca="false">IF($G148="",AM148,O148)</f>
        <v>292980</v>
      </c>
      <c r="AY148" s="31" t="n">
        <f aca="false">IF($G148="",AN148,P148)</f>
        <v>3415</v>
      </c>
      <c r="AZ148" s="31" t="n">
        <f aca="false">IF($G148="",AO148,Q148)</f>
        <v>2038752</v>
      </c>
      <c r="BA148" s="31" t="n">
        <f aca="false">IF($G148="",AP148,R148)</f>
        <v>2073179</v>
      </c>
      <c r="BB148" s="31" t="n">
        <f aca="false">IF($G148="",AQ148,S148)</f>
        <v>205225</v>
      </c>
      <c r="BC148" s="31" t="n">
        <f aca="false">IF($G148="",AR148,T148)</f>
        <v>205234</v>
      </c>
      <c r="BD148" s="31" t="n">
        <f aca="false">IF($G148="",AS148,U148)</f>
        <v>45191</v>
      </c>
      <c r="BE148" s="31" t="n">
        <f aca="false">IF($G148="",AT148,V148)</f>
        <v>45210</v>
      </c>
      <c r="BF148" s="31" t="n">
        <f aca="false">ROUNDDOWN(I148*設定!$B$10/1000,0)+ROUNDDOWN(I148*設定!$B$11/1000,0)</f>
        <v>0</v>
      </c>
      <c r="BG148" s="31" t="n">
        <f aca="false">ROUNDDOWN(I148*設定!$C$10/1000,0)+ROUNDDOWN(I148*設定!$C$11/1000,0)+ROUNDDOWN(I148*設定!$C$12/1000,0)</f>
        <v>0</v>
      </c>
      <c r="BH148" s="31" t="n">
        <f aca="false">ROUNDDOWN(J148*設定!$B$13/1000,0)</f>
        <v>0</v>
      </c>
      <c r="BI148" s="31" t="n">
        <f aca="false">ROUNDDOWN(J148*設定!$C$13/1000,0)</f>
        <v>0</v>
      </c>
      <c r="BJ148" s="31" t="n">
        <f aca="false">ROUNDDOWN(K148*設定!$B$14/1000,0)</f>
        <v>0</v>
      </c>
      <c r="BK148" s="31" t="n">
        <f aca="false">ROUNDDOWN(K148*設定!$C$14/1000,0)</f>
        <v>0</v>
      </c>
      <c r="BL148" s="31" t="n">
        <f aca="false">ROUNDDOWN(J148*設定!$B$15/1000,0)</f>
        <v>0</v>
      </c>
      <c r="BM148" s="31" t="n">
        <f aca="false">ROUNDDOWN(J148*設定!$C$15/1000,0)</f>
        <v>0</v>
      </c>
      <c r="BN148" s="31" t="n">
        <f aca="false">L148+M148</f>
        <v>3867320</v>
      </c>
      <c r="BO148" s="31" t="n">
        <f aca="false">N148+O148+P148</f>
        <v>5438782</v>
      </c>
      <c r="BP148" s="31" t="n">
        <f aca="false">Q148</f>
        <v>2038752</v>
      </c>
      <c r="BQ148" s="31" t="n">
        <f aca="false">R148</f>
        <v>2073179</v>
      </c>
      <c r="BR148" s="31" t="n">
        <f aca="false">S148</f>
        <v>205225</v>
      </c>
      <c r="BS148" s="31" t="n">
        <f aca="false">T148</f>
        <v>205234</v>
      </c>
      <c r="BT148" s="31" t="n">
        <f aca="false">U148</f>
        <v>45191</v>
      </c>
      <c r="BU148" s="31" t="n">
        <f aca="false">V148</f>
        <v>45210</v>
      </c>
      <c r="BV148" s="32" t="n">
        <f aca="false">IF(BF148=0,IF(BN148=0,0,1),(BN148-BF148)/BF148)</f>
        <v>1</v>
      </c>
      <c r="BW148" s="32" t="n">
        <f aca="false">IF(BG148=0,IF(BO148=0,0,1),(BO148-BG148)/BG148)</f>
        <v>1</v>
      </c>
      <c r="BX148" s="32" t="n">
        <f aca="false">IF(BH148=0,IF(BP148=0,0,1),(BP148-BH148)/BH148)</f>
        <v>1</v>
      </c>
      <c r="BY148" s="32" t="n">
        <f aca="false">IF(BI148=0,IF(BQ148=0,0,1),(BQ148-BI148)/BI148)</f>
        <v>1</v>
      </c>
      <c r="BZ148" s="32" t="n">
        <f aca="false">IF(BJ148=0,IF(BR148=0,0,1),(BR148-BJ148)/BJ148)</f>
        <v>1</v>
      </c>
      <c r="CA148" s="32" t="n">
        <f aca="false">IF(BK148=0,IF(BS148=0,0,1),(BS148-BK148)/BK148)</f>
        <v>1</v>
      </c>
      <c r="CB148" s="32" t="n">
        <f aca="false">IF(BL148=0,IF(BT148=0,0,1),(BT148-BL148)/BL148)</f>
        <v>1</v>
      </c>
      <c r="CC148" s="32" t="n">
        <f aca="false">IF(BM148=0,IF(BU148=0,0,1),(BU148-BM148)/BM148)</f>
        <v>1</v>
      </c>
      <c r="CD148" s="32" t="n">
        <f aca="false">MAX(MAX(BV148:CC148),-MIN(BV148:CC148))</f>
        <v>1</v>
      </c>
      <c r="CE148" s="31" t="str">
        <f aca="false">IF(CI148="","",SUMIFS($CF$7:$CF$696,$A$7:$A$696,CI148,$B$7:$B$696,B148))</f>
        <v/>
      </c>
      <c r="CF148" s="31" t="n">
        <f aca="false">SUM(AU148:BE148)</f>
        <v>13918893</v>
      </c>
      <c r="CG148" s="33" t="str">
        <f aca="false">A148&amp;"|"&amp;B148</f>
        <v>2026-06 賞与|議会事務局</v>
      </c>
      <c r="CH148" s="34" t="str">
        <f aca="false">IFERROR(INDEX(設定!$D$61:$D$106,MATCH(B148,設定!$B$61:$B$106,0)),"Y")</f>
        <v>Y</v>
      </c>
      <c r="CI148" s="34" t="str">
        <f aca="false">IFERROR(INDEX(設定!$D$20:$D$34,MATCH(A148,設定!$A$20:$A$34,0))&amp;"","")</f>
        <v/>
      </c>
    </row>
    <row r="149" customFormat="false" ht="15" hidden="true" customHeight="false" outlineLevel="0" collapsed="false">
      <c r="A149" s="22" t="s">
        <v>210</v>
      </c>
      <c r="B149" s="23" t="s">
        <v>164</v>
      </c>
      <c r="C149" s="10" t="str">
        <f aca="false">IF(G149="","未受領",IF(G149="なし","報告なし",IF(AH149="○","起票済",IF(OR(AG149="○",F149="一致",F149="入金不要"),"入金確認済","受領済"))))</f>
        <v>入金確認済</v>
      </c>
      <c r="D149" s="10" t="str">
        <f aca="false">IF(OR(G149="",G149="なし"),"―",IF(CH149="N","対象外",IF(AND(I149="",J149="",K149=""),"標報未入力",IF(CD149&gt;=設定!$B$4,"要確認","問題なし"))))</f>
        <v>対象外</v>
      </c>
      <c r="E149" s="24" t="str">
        <f aca="false">IF(OR(G149="",G149="なし",CE149="",CF149=0),"―",IF(CF149=CE149,"前月同額",IF(CE149=0,"―",IF(ABS(CF149/CE149-1)&gt;=設定!$B$5,"変動大 "&amp;TEXT(CF149/CE149-1,"+0%;-0%"),"〇"))))</f>
        <v>―</v>
      </c>
      <c r="F149" s="10" t="str">
        <f aca="false">IF(OR(G149="",G149="なし"),"―",IF(CF149=0,"入金不要",IF(COUNT(Z149,AB149,AD149,AF149)=0,IF(AG149="○","手動確認","未入金"),IF(AND(N(Z149)=Y149,IF(AA149="",TRUE(),N(AB149)=AA149),IF(AC149="",TRUE(),N(AD149)=AC149),IF(AE149="",TRUE(),N(AF149)=AE149)),"一致","不一致"))))</f>
        <v>手動確認</v>
      </c>
      <c r="G149" s="25" t="s">
        <v>159</v>
      </c>
      <c r="H149" s="26"/>
      <c r="I149" s="27"/>
      <c r="J149" s="27"/>
      <c r="K149" s="27"/>
      <c r="L149" s="27" t="n">
        <v>48022328</v>
      </c>
      <c r="M149" s="27" t="n">
        <v>3936104</v>
      </c>
      <c r="N149" s="27" t="n">
        <v>69053418</v>
      </c>
      <c r="O149" s="27" t="n">
        <v>3936268</v>
      </c>
      <c r="P149" s="27" t="n">
        <v>45799</v>
      </c>
      <c r="Q149" s="27" t="n">
        <v>45278832</v>
      </c>
      <c r="R149" s="27" t="n">
        <v>46042286</v>
      </c>
      <c r="S149" s="27" t="n">
        <v>5364033</v>
      </c>
      <c r="T149" s="27" t="n">
        <v>5364524</v>
      </c>
      <c r="U149" s="27" t="n">
        <v>1003307</v>
      </c>
      <c r="V149" s="27" t="n">
        <v>1003988</v>
      </c>
      <c r="W149" s="10" t="str">
        <f aca="false">IFERROR(INDEX(設定!$E$61:$E$106,MATCH(B149,設定!$B$61:$B$106,0)),"合算")</f>
        <v>合算</v>
      </c>
      <c r="X149" s="28"/>
      <c r="Y149" s="29" t="n">
        <f aca="false">IF(OR(G149="",G149="なし"),"",IF(W149="合算",CF149,IF(W149="掛金・負担金別",(AU149+AV149+AZ149+BB149+BD149),SUM(AU149:AY149))))</f>
        <v>229050887</v>
      </c>
      <c r="Z149" s="27"/>
      <c r="AA149" s="29" t="str">
        <f aca="false">IF(OR(G149="",G149="なし"),"",IF(W149="掛金・負担金別",(AW149+AX149+AY149+BA149+BC149+BE149),IF(W149="経理区分別",AZ149+BA149,"")))</f>
        <v/>
      </c>
      <c r="AB149" s="27"/>
      <c r="AC149" s="29" t="str">
        <f aca="false">IF(OR(G149="",G149="なし"),"",IF(W149="経理区分別",BB149+BC149,""))</f>
        <v/>
      </c>
      <c r="AD149" s="27"/>
      <c r="AE149" s="29" t="str">
        <f aca="false">IF(OR(G149="",G149="なし"),"",IF(W149="経理区分別",BD149+BE149,""))</f>
        <v/>
      </c>
      <c r="AF149" s="27"/>
      <c r="AG149" s="26" t="s">
        <v>160</v>
      </c>
      <c r="AH149" s="26"/>
      <c r="AI149" s="30"/>
      <c r="AJ149" s="31"/>
      <c r="AK149" s="31"/>
      <c r="AL149" s="31"/>
      <c r="AM149" s="31"/>
      <c r="AN149" s="31"/>
      <c r="AO149" s="31"/>
      <c r="AP149" s="31"/>
      <c r="AQ149" s="31"/>
      <c r="AR149" s="31"/>
      <c r="AS149" s="31"/>
      <c r="AT149" s="31"/>
      <c r="AU149" s="31" t="n">
        <f aca="false">IF($G149="",AJ149,L149)</f>
        <v>48022328</v>
      </c>
      <c r="AV149" s="31" t="n">
        <f aca="false">IF($G149="",AK149,M149)</f>
        <v>3936104</v>
      </c>
      <c r="AW149" s="31" t="n">
        <f aca="false">IF($G149="",AL149,N149)</f>
        <v>69053418</v>
      </c>
      <c r="AX149" s="31" t="n">
        <f aca="false">IF($G149="",AM149,O149)</f>
        <v>3936268</v>
      </c>
      <c r="AY149" s="31" t="n">
        <f aca="false">IF($G149="",AN149,P149)</f>
        <v>45799</v>
      </c>
      <c r="AZ149" s="31" t="n">
        <f aca="false">IF($G149="",AO149,Q149)</f>
        <v>45278832</v>
      </c>
      <c r="BA149" s="31" t="n">
        <f aca="false">IF($G149="",AP149,R149)</f>
        <v>46042286</v>
      </c>
      <c r="BB149" s="31" t="n">
        <f aca="false">IF($G149="",AQ149,S149)</f>
        <v>5364033</v>
      </c>
      <c r="BC149" s="31" t="n">
        <f aca="false">IF($G149="",AR149,T149)</f>
        <v>5364524</v>
      </c>
      <c r="BD149" s="31" t="n">
        <f aca="false">IF($G149="",AS149,U149)</f>
        <v>1003307</v>
      </c>
      <c r="BE149" s="31" t="n">
        <f aca="false">IF($G149="",AT149,V149)</f>
        <v>1003988</v>
      </c>
      <c r="BF149" s="31" t="n">
        <f aca="false">ROUNDDOWN(I149*設定!$B$10/1000,0)+ROUNDDOWN(I149*設定!$B$11/1000,0)</f>
        <v>0</v>
      </c>
      <c r="BG149" s="31" t="n">
        <f aca="false">ROUNDDOWN(I149*設定!$C$10/1000,0)+ROUNDDOWN(I149*設定!$C$11/1000,0)+ROUNDDOWN(I149*設定!$C$12/1000,0)</f>
        <v>0</v>
      </c>
      <c r="BH149" s="31" t="n">
        <f aca="false">ROUNDDOWN(J149*設定!$B$13/1000,0)</f>
        <v>0</v>
      </c>
      <c r="BI149" s="31" t="n">
        <f aca="false">ROUNDDOWN(J149*設定!$C$13/1000,0)</f>
        <v>0</v>
      </c>
      <c r="BJ149" s="31" t="n">
        <f aca="false">ROUNDDOWN(K149*設定!$B$14/1000,0)</f>
        <v>0</v>
      </c>
      <c r="BK149" s="31" t="n">
        <f aca="false">ROUNDDOWN(K149*設定!$C$14/1000,0)</f>
        <v>0</v>
      </c>
      <c r="BL149" s="31" t="n">
        <f aca="false">ROUNDDOWN(J149*設定!$B$15/1000,0)</f>
        <v>0</v>
      </c>
      <c r="BM149" s="31" t="n">
        <f aca="false">ROUNDDOWN(J149*設定!$C$15/1000,0)</f>
        <v>0</v>
      </c>
      <c r="BN149" s="31" t="n">
        <f aca="false">L149+M149</f>
        <v>51958432</v>
      </c>
      <c r="BO149" s="31" t="n">
        <f aca="false">N149+O149+P149</f>
        <v>73035485</v>
      </c>
      <c r="BP149" s="31" t="n">
        <f aca="false">Q149</f>
        <v>45278832</v>
      </c>
      <c r="BQ149" s="31" t="n">
        <f aca="false">R149</f>
        <v>46042286</v>
      </c>
      <c r="BR149" s="31" t="n">
        <f aca="false">S149</f>
        <v>5364033</v>
      </c>
      <c r="BS149" s="31" t="n">
        <f aca="false">T149</f>
        <v>5364524</v>
      </c>
      <c r="BT149" s="31" t="n">
        <f aca="false">U149</f>
        <v>1003307</v>
      </c>
      <c r="BU149" s="31" t="n">
        <f aca="false">V149</f>
        <v>1003988</v>
      </c>
      <c r="BV149" s="32" t="n">
        <f aca="false">IF(BF149=0,IF(BN149=0,0,1),(BN149-BF149)/BF149)</f>
        <v>1</v>
      </c>
      <c r="BW149" s="32" t="n">
        <f aca="false">IF(BG149=0,IF(BO149=0,0,1),(BO149-BG149)/BG149)</f>
        <v>1</v>
      </c>
      <c r="BX149" s="32" t="n">
        <f aca="false">IF(BH149=0,IF(BP149=0,0,1),(BP149-BH149)/BH149)</f>
        <v>1</v>
      </c>
      <c r="BY149" s="32" t="n">
        <f aca="false">IF(BI149=0,IF(BQ149=0,0,1),(BQ149-BI149)/BI149)</f>
        <v>1</v>
      </c>
      <c r="BZ149" s="32" t="n">
        <f aca="false">IF(BJ149=0,IF(BR149=0,0,1),(BR149-BJ149)/BJ149)</f>
        <v>1</v>
      </c>
      <c r="CA149" s="32" t="n">
        <f aca="false">IF(BK149=0,IF(BS149=0,0,1),(BS149-BK149)/BK149)</f>
        <v>1</v>
      </c>
      <c r="CB149" s="32" t="n">
        <f aca="false">IF(BL149=0,IF(BT149=0,0,1),(BT149-BL149)/BL149)</f>
        <v>1</v>
      </c>
      <c r="CC149" s="32" t="n">
        <f aca="false">IF(BM149=0,IF(BU149=0,0,1),(BU149-BM149)/BM149)</f>
        <v>1</v>
      </c>
      <c r="CD149" s="32" t="n">
        <f aca="false">MAX(MAX(BV149:CC149),-MIN(BV149:CC149))</f>
        <v>1</v>
      </c>
      <c r="CE149" s="31" t="str">
        <f aca="false">IF(CI149="","",SUMIFS($CF$7:$CF$696,$A$7:$A$696,CI149,$B$7:$B$696,B149))</f>
        <v/>
      </c>
      <c r="CF149" s="31" t="n">
        <f aca="false">SUM(AU149:BE149)</f>
        <v>229050887</v>
      </c>
      <c r="CG149" s="33" t="str">
        <f aca="false">A149&amp;"|"&amp;B149</f>
        <v>2026-06 賞与|教育委員会（総務課）</v>
      </c>
      <c r="CH149" s="34" t="str">
        <f aca="false">IFERROR(INDEX(設定!$D$61:$D$106,MATCH(B149,設定!$B$61:$B$106,0)),"Y")</f>
        <v>N</v>
      </c>
      <c r="CI149" s="34" t="str">
        <f aca="false">IFERROR(INDEX(設定!$D$20:$D$34,MATCH(A149,設定!$A$20:$A$34,0))&amp;"","")</f>
        <v/>
      </c>
    </row>
    <row r="150" customFormat="false" ht="15" hidden="true" customHeight="false" outlineLevel="0" collapsed="false">
      <c r="A150" s="22" t="s">
        <v>210</v>
      </c>
      <c r="B150" s="23" t="s">
        <v>165</v>
      </c>
      <c r="C150" s="10" t="str">
        <f aca="false">IF(G150="","未受領",IF(G150="なし","報告なし",IF(AH150="○","起票済",IF(OR(AG150="○",F150="一致",F150="入金不要"),"入金確認済","受領済"))))</f>
        <v>入金確認済</v>
      </c>
      <c r="D150" s="10" t="str">
        <f aca="false">IF(OR(G150="",G150="なし"),"―",IF(CH150="N","対象外",IF(AND(I150="",J150="",K150=""),"標報未入力",IF(CD150&gt;=設定!$B$4,"要確認","問題なし"))))</f>
        <v>標報未入力</v>
      </c>
      <c r="E150" s="24" t="str">
        <f aca="false">IF(OR(G150="",G150="なし",CE150="",CF150=0),"―",IF(CF150=CE150,"前月同額",IF(CE150=0,"―",IF(ABS(CF150/CE150-1)&gt;=設定!$B$5,"変動大 "&amp;TEXT(CF150/CE150-1,"+0%;-0%"),"〇"))))</f>
        <v>―</v>
      </c>
      <c r="F150" s="10" t="str">
        <f aca="false">IF(OR(G150="",G150="なし"),"―",IF(CF150=0,"入金不要",IF(COUNT(Z150,AB150,AD150,AF150)=0,IF(AG150="○","手動確認","未入金"),IF(AND(N(Z150)=Y150,IF(AA150="",TRUE(),N(AB150)=AA150),IF(AC150="",TRUE(),N(AD150)=AC150),IF(AE150="",TRUE(),N(AF150)=AE150)),"一致","不一致"))))</f>
        <v>手動確認</v>
      </c>
      <c r="G150" s="25" t="s">
        <v>159</v>
      </c>
      <c r="H150" s="26"/>
      <c r="I150" s="27"/>
      <c r="J150" s="27"/>
      <c r="K150" s="27"/>
      <c r="L150" s="27" t="n">
        <v>578461</v>
      </c>
      <c r="M150" s="27" t="n">
        <v>47413</v>
      </c>
      <c r="N150" s="27" t="n">
        <v>830710</v>
      </c>
      <c r="O150" s="27" t="n">
        <v>47415</v>
      </c>
      <c r="P150" s="27" t="n">
        <v>549</v>
      </c>
      <c r="Q150" s="27" t="n">
        <v>366231</v>
      </c>
      <c r="R150" s="27" t="n">
        <v>372379</v>
      </c>
      <c r="S150" s="27" t="n">
        <v>33305</v>
      </c>
      <c r="T150" s="27" t="n">
        <v>33306</v>
      </c>
      <c r="U150" s="27" t="n">
        <v>8117</v>
      </c>
      <c r="V150" s="27" t="n">
        <v>8121</v>
      </c>
      <c r="W150" s="10" t="str">
        <f aca="false">IFERROR(INDEX(設定!$E$61:$E$106,MATCH(B150,設定!$B$61:$B$106,0)),"合算")</f>
        <v>合算</v>
      </c>
      <c r="X150" s="28"/>
      <c r="Y150" s="29" t="n">
        <f aca="false">IF(OR(G150="",G150="なし"),"",IF(W150="合算",CF150,IF(W150="掛金・負担金別",(AU150+AV150+AZ150+BB150+BD150),SUM(AU150:AY150))))</f>
        <v>2326007</v>
      </c>
      <c r="Z150" s="27"/>
      <c r="AA150" s="29" t="str">
        <f aca="false">IF(OR(G150="",G150="なし"),"",IF(W150="掛金・負担金別",(AW150+AX150+AY150+BA150+BC150+BE150),IF(W150="経理区分別",AZ150+BA150,"")))</f>
        <v/>
      </c>
      <c r="AB150" s="27"/>
      <c r="AC150" s="29" t="str">
        <f aca="false">IF(OR(G150="",G150="なし"),"",IF(W150="経理区分別",BB150+BC150,""))</f>
        <v/>
      </c>
      <c r="AD150" s="27"/>
      <c r="AE150" s="29" t="str">
        <f aca="false">IF(OR(G150="",G150="なし"),"",IF(W150="経理区分別",BD150+BE150,""))</f>
        <v/>
      </c>
      <c r="AF150" s="27"/>
      <c r="AG150" s="26" t="s">
        <v>160</v>
      </c>
      <c r="AH150" s="26"/>
      <c r="AI150" s="30"/>
      <c r="AJ150" s="31"/>
      <c r="AK150" s="31"/>
      <c r="AL150" s="31"/>
      <c r="AM150" s="31"/>
      <c r="AN150" s="31"/>
      <c r="AO150" s="31"/>
      <c r="AP150" s="31"/>
      <c r="AQ150" s="31"/>
      <c r="AR150" s="31"/>
      <c r="AS150" s="31"/>
      <c r="AT150" s="31"/>
      <c r="AU150" s="31" t="n">
        <f aca="false">IF($G150="",AJ150,L150)</f>
        <v>578461</v>
      </c>
      <c r="AV150" s="31" t="n">
        <f aca="false">IF($G150="",AK150,M150)</f>
        <v>47413</v>
      </c>
      <c r="AW150" s="31" t="n">
        <f aca="false">IF($G150="",AL150,N150)</f>
        <v>830710</v>
      </c>
      <c r="AX150" s="31" t="n">
        <f aca="false">IF($G150="",AM150,O150)</f>
        <v>47415</v>
      </c>
      <c r="AY150" s="31" t="n">
        <f aca="false">IF($G150="",AN150,P150)</f>
        <v>549</v>
      </c>
      <c r="AZ150" s="31" t="n">
        <f aca="false">IF($G150="",AO150,Q150)</f>
        <v>366231</v>
      </c>
      <c r="BA150" s="31" t="n">
        <f aca="false">IF($G150="",AP150,R150)</f>
        <v>372379</v>
      </c>
      <c r="BB150" s="31" t="n">
        <f aca="false">IF($G150="",AQ150,S150)</f>
        <v>33305</v>
      </c>
      <c r="BC150" s="31" t="n">
        <f aca="false">IF($G150="",AR150,T150)</f>
        <v>33306</v>
      </c>
      <c r="BD150" s="31" t="n">
        <f aca="false">IF($G150="",AS150,U150)</f>
        <v>8117</v>
      </c>
      <c r="BE150" s="31" t="n">
        <f aca="false">IF($G150="",AT150,V150)</f>
        <v>8121</v>
      </c>
      <c r="BF150" s="31" t="n">
        <f aca="false">ROUNDDOWN(I150*設定!$B$10/1000,0)+ROUNDDOWN(I150*設定!$B$11/1000,0)</f>
        <v>0</v>
      </c>
      <c r="BG150" s="31" t="n">
        <f aca="false">ROUNDDOWN(I150*設定!$C$10/1000,0)+ROUNDDOWN(I150*設定!$C$11/1000,0)+ROUNDDOWN(I150*設定!$C$12/1000,0)</f>
        <v>0</v>
      </c>
      <c r="BH150" s="31" t="n">
        <f aca="false">ROUNDDOWN(J150*設定!$B$13/1000,0)</f>
        <v>0</v>
      </c>
      <c r="BI150" s="31" t="n">
        <f aca="false">ROUNDDOWN(J150*設定!$C$13/1000,0)</f>
        <v>0</v>
      </c>
      <c r="BJ150" s="31" t="n">
        <f aca="false">ROUNDDOWN(K150*設定!$B$14/1000,0)</f>
        <v>0</v>
      </c>
      <c r="BK150" s="31" t="n">
        <f aca="false">ROUNDDOWN(K150*設定!$C$14/1000,0)</f>
        <v>0</v>
      </c>
      <c r="BL150" s="31" t="n">
        <f aca="false">ROUNDDOWN(J150*設定!$B$15/1000,0)</f>
        <v>0</v>
      </c>
      <c r="BM150" s="31" t="n">
        <f aca="false">ROUNDDOWN(J150*設定!$C$15/1000,0)</f>
        <v>0</v>
      </c>
      <c r="BN150" s="31" t="n">
        <f aca="false">L150+M150</f>
        <v>625874</v>
      </c>
      <c r="BO150" s="31" t="n">
        <f aca="false">N150+O150+P150</f>
        <v>878674</v>
      </c>
      <c r="BP150" s="31" t="n">
        <f aca="false">Q150</f>
        <v>366231</v>
      </c>
      <c r="BQ150" s="31" t="n">
        <f aca="false">R150</f>
        <v>372379</v>
      </c>
      <c r="BR150" s="31" t="n">
        <f aca="false">S150</f>
        <v>33305</v>
      </c>
      <c r="BS150" s="31" t="n">
        <f aca="false">T150</f>
        <v>33306</v>
      </c>
      <c r="BT150" s="31" t="n">
        <f aca="false">U150</f>
        <v>8117</v>
      </c>
      <c r="BU150" s="31" t="n">
        <f aca="false">V150</f>
        <v>8121</v>
      </c>
      <c r="BV150" s="32" t="n">
        <f aca="false">IF(BF150=0,IF(BN150=0,0,1),(BN150-BF150)/BF150)</f>
        <v>1</v>
      </c>
      <c r="BW150" s="32" t="n">
        <f aca="false">IF(BG150=0,IF(BO150=0,0,1),(BO150-BG150)/BG150)</f>
        <v>1</v>
      </c>
      <c r="BX150" s="32" t="n">
        <f aca="false">IF(BH150=0,IF(BP150=0,0,1),(BP150-BH150)/BH150)</f>
        <v>1</v>
      </c>
      <c r="BY150" s="32" t="n">
        <f aca="false">IF(BI150=0,IF(BQ150=0,0,1),(BQ150-BI150)/BI150)</f>
        <v>1</v>
      </c>
      <c r="BZ150" s="32" t="n">
        <f aca="false">IF(BJ150=0,IF(BR150=0,0,1),(BR150-BJ150)/BJ150)</f>
        <v>1</v>
      </c>
      <c r="CA150" s="32" t="n">
        <f aca="false">IF(BK150=0,IF(BS150=0,0,1),(BS150-BK150)/BK150)</f>
        <v>1</v>
      </c>
      <c r="CB150" s="32" t="n">
        <f aca="false">IF(BL150=0,IF(BT150=0,0,1),(BT150-BL150)/BL150)</f>
        <v>1</v>
      </c>
      <c r="CC150" s="32" t="n">
        <f aca="false">IF(BM150=0,IF(BU150=0,0,1),(BU150-BM150)/BM150)</f>
        <v>1</v>
      </c>
      <c r="CD150" s="32" t="n">
        <f aca="false">MAX(MAX(BV150:CC150),-MIN(BV150:CC150))</f>
        <v>1</v>
      </c>
      <c r="CE150" s="31" t="str">
        <f aca="false">IF(CI150="","",SUMIFS($CF$7:$CF$696,$A$7:$A$696,CI150,$B$7:$B$696,B150))</f>
        <v/>
      </c>
      <c r="CF150" s="31" t="n">
        <f aca="false">SUM(AU150:BE150)</f>
        <v>2326007</v>
      </c>
      <c r="CG150" s="33" t="str">
        <f aca="false">A150&amp;"|"&amp;B150</f>
        <v>2026-06 賞与|選挙管理委員会</v>
      </c>
      <c r="CH150" s="34" t="str">
        <f aca="false">IFERROR(INDEX(設定!$D$61:$D$106,MATCH(B150,設定!$B$61:$B$106,0)),"Y")</f>
        <v>Y</v>
      </c>
      <c r="CI150" s="34" t="str">
        <f aca="false">IFERROR(INDEX(設定!$D$20:$D$34,MATCH(A150,設定!$A$20:$A$34,0))&amp;"","")</f>
        <v/>
      </c>
    </row>
    <row r="151" customFormat="false" ht="15" hidden="true" customHeight="false" outlineLevel="0" collapsed="false">
      <c r="A151" s="22" t="s">
        <v>210</v>
      </c>
      <c r="B151" s="23" t="s">
        <v>166</v>
      </c>
      <c r="C151" s="10" t="str">
        <f aca="false">IF(G151="","未受領",IF(G151="なし","報告なし",IF(AH151="○","起票済",IF(OR(AG151="○",F151="一致",F151="入金不要"),"入金確認済","受領済"))))</f>
        <v>入金確認済</v>
      </c>
      <c r="D151" s="10" t="str">
        <f aca="false">IF(OR(G151="",G151="なし"),"―",IF(CH151="N","対象外",IF(AND(I151="",J151="",K151=""),"標報未入力",IF(CD151&gt;=設定!$B$4,"要確認","問題なし"))))</f>
        <v>標報未入力</v>
      </c>
      <c r="E151" s="24" t="str">
        <f aca="false">IF(OR(G151="",G151="なし",CE151="",CF151=0),"―",IF(CF151=CE151,"前月同額",IF(CE151=0,"―",IF(ABS(CF151/CE151-1)&gt;=設定!$B$5,"変動大 "&amp;TEXT(CF151/CE151-1,"+0%;-0%"),"〇"))))</f>
        <v>―</v>
      </c>
      <c r="F151" s="10" t="str">
        <f aca="false">IF(OR(G151="",G151="なし"),"―",IF(CF151=0,"入金不要",IF(COUNT(Z151,AB151,AD151,AF151)=0,IF(AG151="○","手動確認","未入金"),IF(AND(N(Z151)=Y151,IF(AA151="",TRUE(),N(AB151)=AA151),IF(AC151="",TRUE(),N(AD151)=AC151),IF(AE151="",TRUE(),N(AF151)=AE151)),"一致","不一致"))))</f>
        <v>手動確認</v>
      </c>
      <c r="G151" s="25" t="s">
        <v>159</v>
      </c>
      <c r="H151" s="26"/>
      <c r="I151" s="27"/>
      <c r="J151" s="27"/>
      <c r="K151" s="27"/>
      <c r="L151" s="27" t="n">
        <v>1213286</v>
      </c>
      <c r="M151" s="27" t="n">
        <v>99446</v>
      </c>
      <c r="N151" s="27" t="n">
        <v>1742364</v>
      </c>
      <c r="O151" s="27" t="n">
        <v>99450</v>
      </c>
      <c r="P151" s="27" t="n">
        <v>1152</v>
      </c>
      <c r="Q151" s="27" t="n">
        <v>704926</v>
      </c>
      <c r="R151" s="27" t="n">
        <v>716758</v>
      </c>
      <c r="S151" s="27" t="n">
        <v>62454</v>
      </c>
      <c r="T151" s="27" t="n">
        <v>62456</v>
      </c>
      <c r="U151" s="27" t="n">
        <v>15625</v>
      </c>
      <c r="V151" s="27" t="n">
        <v>15631</v>
      </c>
      <c r="W151" s="10" t="str">
        <f aca="false">IFERROR(INDEX(設定!$E$61:$E$106,MATCH(B151,設定!$B$61:$B$106,0)),"合算")</f>
        <v>合算</v>
      </c>
      <c r="X151" s="28"/>
      <c r="Y151" s="29" t="n">
        <f aca="false">IF(OR(G151="",G151="なし"),"",IF(W151="合算",CF151,IF(W151="掛金・負担金別",(AU151+AV151+AZ151+BB151+BD151),SUM(AU151:AY151))))</f>
        <v>4733548</v>
      </c>
      <c r="Z151" s="27"/>
      <c r="AA151" s="29" t="str">
        <f aca="false">IF(OR(G151="",G151="なし"),"",IF(W151="掛金・負担金別",(AW151+AX151+AY151+BA151+BC151+BE151),IF(W151="経理区分別",AZ151+BA151,"")))</f>
        <v/>
      </c>
      <c r="AB151" s="27"/>
      <c r="AC151" s="29" t="str">
        <f aca="false">IF(OR(G151="",G151="なし"),"",IF(W151="経理区分別",BB151+BC151,""))</f>
        <v/>
      </c>
      <c r="AD151" s="27"/>
      <c r="AE151" s="29" t="str">
        <f aca="false">IF(OR(G151="",G151="なし"),"",IF(W151="経理区分別",BD151+BE151,""))</f>
        <v/>
      </c>
      <c r="AF151" s="27"/>
      <c r="AG151" s="26" t="s">
        <v>160</v>
      </c>
      <c r="AH151" s="26"/>
      <c r="AI151" s="30"/>
      <c r="AJ151" s="31"/>
      <c r="AK151" s="31"/>
      <c r="AL151" s="31"/>
      <c r="AM151" s="31"/>
      <c r="AN151" s="31"/>
      <c r="AO151" s="31"/>
      <c r="AP151" s="31"/>
      <c r="AQ151" s="31"/>
      <c r="AR151" s="31"/>
      <c r="AS151" s="31"/>
      <c r="AT151" s="31"/>
      <c r="AU151" s="31" t="n">
        <f aca="false">IF($G151="",AJ151,L151)</f>
        <v>1213286</v>
      </c>
      <c r="AV151" s="31" t="n">
        <f aca="false">IF($G151="",AK151,M151)</f>
        <v>99446</v>
      </c>
      <c r="AW151" s="31" t="n">
        <f aca="false">IF($G151="",AL151,N151)</f>
        <v>1742364</v>
      </c>
      <c r="AX151" s="31" t="n">
        <f aca="false">IF($G151="",AM151,O151)</f>
        <v>99450</v>
      </c>
      <c r="AY151" s="31" t="n">
        <f aca="false">IF($G151="",AN151,P151)</f>
        <v>1152</v>
      </c>
      <c r="AZ151" s="31" t="n">
        <f aca="false">IF($G151="",AO151,Q151)</f>
        <v>704926</v>
      </c>
      <c r="BA151" s="31" t="n">
        <f aca="false">IF($G151="",AP151,R151)</f>
        <v>716758</v>
      </c>
      <c r="BB151" s="31" t="n">
        <f aca="false">IF($G151="",AQ151,S151)</f>
        <v>62454</v>
      </c>
      <c r="BC151" s="31" t="n">
        <f aca="false">IF($G151="",AR151,T151)</f>
        <v>62456</v>
      </c>
      <c r="BD151" s="31" t="n">
        <f aca="false">IF($G151="",AS151,U151)</f>
        <v>15625</v>
      </c>
      <c r="BE151" s="31" t="n">
        <f aca="false">IF($G151="",AT151,V151)</f>
        <v>15631</v>
      </c>
      <c r="BF151" s="31" t="n">
        <f aca="false">ROUNDDOWN(I151*設定!$B$10/1000,0)+ROUNDDOWN(I151*設定!$B$11/1000,0)</f>
        <v>0</v>
      </c>
      <c r="BG151" s="31" t="n">
        <f aca="false">ROUNDDOWN(I151*設定!$C$10/1000,0)+ROUNDDOWN(I151*設定!$C$11/1000,0)+ROUNDDOWN(I151*設定!$C$12/1000,0)</f>
        <v>0</v>
      </c>
      <c r="BH151" s="31" t="n">
        <f aca="false">ROUNDDOWN(J151*設定!$B$13/1000,0)</f>
        <v>0</v>
      </c>
      <c r="BI151" s="31" t="n">
        <f aca="false">ROUNDDOWN(J151*設定!$C$13/1000,0)</f>
        <v>0</v>
      </c>
      <c r="BJ151" s="31" t="n">
        <f aca="false">ROUNDDOWN(K151*設定!$B$14/1000,0)</f>
        <v>0</v>
      </c>
      <c r="BK151" s="31" t="n">
        <f aca="false">ROUNDDOWN(K151*設定!$C$14/1000,0)</f>
        <v>0</v>
      </c>
      <c r="BL151" s="31" t="n">
        <f aca="false">ROUNDDOWN(J151*設定!$B$15/1000,0)</f>
        <v>0</v>
      </c>
      <c r="BM151" s="31" t="n">
        <f aca="false">ROUNDDOWN(J151*設定!$C$15/1000,0)</f>
        <v>0</v>
      </c>
      <c r="BN151" s="31" t="n">
        <f aca="false">L151+M151</f>
        <v>1312732</v>
      </c>
      <c r="BO151" s="31" t="n">
        <f aca="false">N151+O151+P151</f>
        <v>1842966</v>
      </c>
      <c r="BP151" s="31" t="n">
        <f aca="false">Q151</f>
        <v>704926</v>
      </c>
      <c r="BQ151" s="31" t="n">
        <f aca="false">R151</f>
        <v>716758</v>
      </c>
      <c r="BR151" s="31" t="n">
        <f aca="false">S151</f>
        <v>62454</v>
      </c>
      <c r="BS151" s="31" t="n">
        <f aca="false">T151</f>
        <v>62456</v>
      </c>
      <c r="BT151" s="31" t="n">
        <f aca="false">U151</f>
        <v>15625</v>
      </c>
      <c r="BU151" s="31" t="n">
        <f aca="false">V151</f>
        <v>15631</v>
      </c>
      <c r="BV151" s="32" t="n">
        <f aca="false">IF(BF151=0,IF(BN151=0,0,1),(BN151-BF151)/BF151)</f>
        <v>1</v>
      </c>
      <c r="BW151" s="32" t="n">
        <f aca="false">IF(BG151=0,IF(BO151=0,0,1),(BO151-BG151)/BG151)</f>
        <v>1</v>
      </c>
      <c r="BX151" s="32" t="n">
        <f aca="false">IF(BH151=0,IF(BP151=0,0,1),(BP151-BH151)/BH151)</f>
        <v>1</v>
      </c>
      <c r="BY151" s="32" t="n">
        <f aca="false">IF(BI151=0,IF(BQ151=0,0,1),(BQ151-BI151)/BI151)</f>
        <v>1</v>
      </c>
      <c r="BZ151" s="32" t="n">
        <f aca="false">IF(BJ151=0,IF(BR151=0,0,1),(BR151-BJ151)/BJ151)</f>
        <v>1</v>
      </c>
      <c r="CA151" s="32" t="n">
        <f aca="false">IF(BK151=0,IF(BS151=0,0,1),(BS151-BK151)/BK151)</f>
        <v>1</v>
      </c>
      <c r="CB151" s="32" t="n">
        <f aca="false">IF(BL151=0,IF(BT151=0,0,1),(BT151-BL151)/BL151)</f>
        <v>1</v>
      </c>
      <c r="CC151" s="32" t="n">
        <f aca="false">IF(BM151=0,IF(BU151=0,0,1),(BU151-BM151)/BM151)</f>
        <v>1</v>
      </c>
      <c r="CD151" s="32" t="n">
        <f aca="false">MAX(MAX(BV151:CC151),-MIN(BV151:CC151))</f>
        <v>1</v>
      </c>
      <c r="CE151" s="31" t="str">
        <f aca="false">IF(CI151="","",SUMIFS($CF$7:$CF$696,$A$7:$A$696,CI151,$B$7:$B$696,B151))</f>
        <v/>
      </c>
      <c r="CF151" s="31" t="n">
        <f aca="false">SUM(AU151:BE151)</f>
        <v>4733548</v>
      </c>
      <c r="CG151" s="33" t="str">
        <f aca="false">A151&amp;"|"&amp;B151</f>
        <v>2026-06 賞与|人事委員会</v>
      </c>
      <c r="CH151" s="34" t="str">
        <f aca="false">IFERROR(INDEX(設定!$D$61:$D$106,MATCH(B151,設定!$B$61:$B$106,0)),"Y")</f>
        <v>Y</v>
      </c>
      <c r="CI151" s="34" t="str">
        <f aca="false">IFERROR(INDEX(設定!$D$20:$D$34,MATCH(A151,設定!$A$20:$A$34,0))&amp;"","")</f>
        <v/>
      </c>
    </row>
    <row r="152" customFormat="false" ht="15" hidden="true" customHeight="false" outlineLevel="0" collapsed="false">
      <c r="A152" s="22" t="s">
        <v>210</v>
      </c>
      <c r="B152" s="23" t="s">
        <v>167</v>
      </c>
      <c r="C152" s="10" t="str">
        <f aca="false">IF(G152="","未受領",IF(G152="なし","報告なし",IF(AH152="○","起票済",IF(OR(AG152="○",F152="一致",F152="入金不要"),"入金確認済","受領済"))))</f>
        <v>入金確認済</v>
      </c>
      <c r="D152" s="10" t="str">
        <f aca="false">IF(OR(G152="",G152="なし"),"―",IF(CH152="N","対象外",IF(AND(I152="",J152="",K152=""),"標報未入力",IF(CD152&gt;=設定!$B$4,"要確認","問題なし"))))</f>
        <v>標報未入力</v>
      </c>
      <c r="E152" s="24" t="str">
        <f aca="false">IF(OR(G152="",G152="なし",CE152="",CF152=0),"―",IF(CF152=CE152,"前月同額",IF(CE152=0,"―",IF(ABS(CF152/CE152-1)&gt;=設定!$B$5,"変動大 "&amp;TEXT(CF152/CE152-1,"+0%;-0%"),"〇"))))</f>
        <v>―</v>
      </c>
      <c r="F152" s="10" t="str">
        <f aca="false">IF(OR(G152="",G152="なし"),"―",IF(CF152=0,"入金不要",IF(COUNT(Z152,AB152,AD152,AF152)=0,IF(AG152="○","手動確認","未入金"),IF(AND(N(Z152)=Y152,IF(AA152="",TRUE(),N(AB152)=AA152),IF(AC152="",TRUE(),N(AD152)=AC152),IF(AE152="",TRUE(),N(AF152)=AE152)),"一致","不一致"))))</f>
        <v>手動確認</v>
      </c>
      <c r="G152" s="25" t="s">
        <v>159</v>
      </c>
      <c r="H152" s="26"/>
      <c r="I152" s="27"/>
      <c r="J152" s="27"/>
      <c r="K152" s="27"/>
      <c r="L152" s="27" t="n">
        <v>2716629</v>
      </c>
      <c r="M152" s="27" t="n">
        <v>222669</v>
      </c>
      <c r="N152" s="27" t="n">
        <v>3901266</v>
      </c>
      <c r="O152" s="27" t="n">
        <v>222675</v>
      </c>
      <c r="P152" s="27" t="n">
        <v>2579</v>
      </c>
      <c r="Q152" s="27" t="n">
        <v>1597685</v>
      </c>
      <c r="R152" s="27" t="n">
        <v>1624505</v>
      </c>
      <c r="S152" s="27" t="n">
        <v>221526</v>
      </c>
      <c r="T152" s="27" t="n">
        <v>221538</v>
      </c>
      <c r="U152" s="27" t="n">
        <v>35416</v>
      </c>
      <c r="V152" s="27" t="n">
        <v>35428</v>
      </c>
      <c r="W152" s="10" t="str">
        <f aca="false">IFERROR(INDEX(設定!$E$61:$E$106,MATCH(B152,設定!$B$61:$B$106,0)),"合算")</f>
        <v>合算</v>
      </c>
      <c r="X152" s="28"/>
      <c r="Y152" s="29" t="n">
        <f aca="false">IF(OR(G152="",G152="なし"),"",IF(W152="合算",CF152,IF(W152="掛金・負担金別",(AU152+AV152+AZ152+BB152+BD152),SUM(AU152:AY152))))</f>
        <v>10801916</v>
      </c>
      <c r="Z152" s="27"/>
      <c r="AA152" s="29" t="str">
        <f aca="false">IF(OR(G152="",G152="なし"),"",IF(W152="掛金・負担金別",(AW152+AX152+AY152+BA152+BC152+BE152),IF(W152="経理区分別",AZ152+BA152,"")))</f>
        <v/>
      </c>
      <c r="AB152" s="27"/>
      <c r="AC152" s="29" t="str">
        <f aca="false">IF(OR(G152="",G152="なし"),"",IF(W152="経理区分別",BB152+BC152,""))</f>
        <v/>
      </c>
      <c r="AD152" s="27"/>
      <c r="AE152" s="29" t="str">
        <f aca="false">IF(OR(G152="",G152="なし"),"",IF(W152="経理区分別",BD152+BE152,""))</f>
        <v/>
      </c>
      <c r="AF152" s="27"/>
      <c r="AG152" s="26" t="s">
        <v>160</v>
      </c>
      <c r="AH152" s="26"/>
      <c r="AI152" s="30"/>
      <c r="AJ152" s="31"/>
      <c r="AK152" s="31"/>
      <c r="AL152" s="31"/>
      <c r="AM152" s="31"/>
      <c r="AN152" s="31"/>
      <c r="AO152" s="31"/>
      <c r="AP152" s="31"/>
      <c r="AQ152" s="31"/>
      <c r="AR152" s="31"/>
      <c r="AS152" s="31"/>
      <c r="AT152" s="31"/>
      <c r="AU152" s="31" t="n">
        <f aca="false">IF($G152="",AJ152,L152)</f>
        <v>2716629</v>
      </c>
      <c r="AV152" s="31" t="n">
        <f aca="false">IF($G152="",AK152,M152)</f>
        <v>222669</v>
      </c>
      <c r="AW152" s="31" t="n">
        <f aca="false">IF($G152="",AL152,N152)</f>
        <v>3901266</v>
      </c>
      <c r="AX152" s="31" t="n">
        <f aca="false">IF($G152="",AM152,O152)</f>
        <v>222675</v>
      </c>
      <c r="AY152" s="31" t="n">
        <f aca="false">IF($G152="",AN152,P152)</f>
        <v>2579</v>
      </c>
      <c r="AZ152" s="31" t="n">
        <f aca="false">IF($G152="",AO152,Q152)</f>
        <v>1597685</v>
      </c>
      <c r="BA152" s="31" t="n">
        <f aca="false">IF($G152="",AP152,R152)</f>
        <v>1624505</v>
      </c>
      <c r="BB152" s="31" t="n">
        <f aca="false">IF($G152="",AQ152,S152)</f>
        <v>221526</v>
      </c>
      <c r="BC152" s="31" t="n">
        <f aca="false">IF($G152="",AR152,T152)</f>
        <v>221538</v>
      </c>
      <c r="BD152" s="31" t="n">
        <f aca="false">IF($G152="",AS152,U152)</f>
        <v>35416</v>
      </c>
      <c r="BE152" s="31" t="n">
        <f aca="false">IF($G152="",AT152,V152)</f>
        <v>35428</v>
      </c>
      <c r="BF152" s="31" t="n">
        <f aca="false">ROUNDDOWN(I152*設定!$B$10/1000,0)+ROUNDDOWN(I152*設定!$B$11/1000,0)</f>
        <v>0</v>
      </c>
      <c r="BG152" s="31" t="n">
        <f aca="false">ROUNDDOWN(I152*設定!$C$10/1000,0)+ROUNDDOWN(I152*設定!$C$11/1000,0)+ROUNDDOWN(I152*設定!$C$12/1000,0)</f>
        <v>0</v>
      </c>
      <c r="BH152" s="31" t="n">
        <f aca="false">ROUNDDOWN(J152*設定!$B$13/1000,0)</f>
        <v>0</v>
      </c>
      <c r="BI152" s="31" t="n">
        <f aca="false">ROUNDDOWN(J152*設定!$C$13/1000,0)</f>
        <v>0</v>
      </c>
      <c r="BJ152" s="31" t="n">
        <f aca="false">ROUNDDOWN(K152*設定!$B$14/1000,0)</f>
        <v>0</v>
      </c>
      <c r="BK152" s="31" t="n">
        <f aca="false">ROUNDDOWN(K152*設定!$C$14/1000,0)</f>
        <v>0</v>
      </c>
      <c r="BL152" s="31" t="n">
        <f aca="false">ROUNDDOWN(J152*設定!$B$15/1000,0)</f>
        <v>0</v>
      </c>
      <c r="BM152" s="31" t="n">
        <f aca="false">ROUNDDOWN(J152*設定!$C$15/1000,0)</f>
        <v>0</v>
      </c>
      <c r="BN152" s="31" t="n">
        <f aca="false">L152+M152</f>
        <v>2939298</v>
      </c>
      <c r="BO152" s="31" t="n">
        <f aca="false">N152+O152+P152</f>
        <v>4126520</v>
      </c>
      <c r="BP152" s="31" t="n">
        <f aca="false">Q152</f>
        <v>1597685</v>
      </c>
      <c r="BQ152" s="31" t="n">
        <f aca="false">R152</f>
        <v>1624505</v>
      </c>
      <c r="BR152" s="31" t="n">
        <f aca="false">S152</f>
        <v>221526</v>
      </c>
      <c r="BS152" s="31" t="n">
        <f aca="false">T152</f>
        <v>221538</v>
      </c>
      <c r="BT152" s="31" t="n">
        <f aca="false">U152</f>
        <v>35416</v>
      </c>
      <c r="BU152" s="31" t="n">
        <f aca="false">V152</f>
        <v>35428</v>
      </c>
      <c r="BV152" s="32" t="n">
        <f aca="false">IF(BF152=0,IF(BN152=0,0,1),(BN152-BF152)/BF152)</f>
        <v>1</v>
      </c>
      <c r="BW152" s="32" t="n">
        <f aca="false">IF(BG152=0,IF(BO152=0,0,1),(BO152-BG152)/BG152)</f>
        <v>1</v>
      </c>
      <c r="BX152" s="32" t="n">
        <f aca="false">IF(BH152=0,IF(BP152=0,0,1),(BP152-BH152)/BH152)</f>
        <v>1</v>
      </c>
      <c r="BY152" s="32" t="n">
        <f aca="false">IF(BI152=0,IF(BQ152=0,0,1),(BQ152-BI152)/BI152)</f>
        <v>1</v>
      </c>
      <c r="BZ152" s="32" t="n">
        <f aca="false">IF(BJ152=0,IF(BR152=0,0,1),(BR152-BJ152)/BJ152)</f>
        <v>1</v>
      </c>
      <c r="CA152" s="32" t="n">
        <f aca="false">IF(BK152=0,IF(BS152=0,0,1),(BS152-BK152)/BK152)</f>
        <v>1</v>
      </c>
      <c r="CB152" s="32" t="n">
        <f aca="false">IF(BL152=0,IF(BT152=0,0,1),(BT152-BL152)/BL152)</f>
        <v>1</v>
      </c>
      <c r="CC152" s="32" t="n">
        <f aca="false">IF(BM152=0,IF(BU152=0,0,1),(BU152-BM152)/BM152)</f>
        <v>1</v>
      </c>
      <c r="CD152" s="32" t="n">
        <f aca="false">MAX(MAX(BV152:CC152),-MIN(BV152:CC152))</f>
        <v>1</v>
      </c>
      <c r="CE152" s="31" t="str">
        <f aca="false">IF(CI152="","",SUMIFS($CF$7:$CF$696,$A$7:$A$696,CI152,$B$7:$B$696,B152))</f>
        <v/>
      </c>
      <c r="CF152" s="31" t="n">
        <f aca="false">SUM(AU152:BE152)</f>
        <v>10801916</v>
      </c>
      <c r="CG152" s="33" t="str">
        <f aca="false">A152&amp;"|"&amp;B152</f>
        <v>2026-06 賞与|監査事務局</v>
      </c>
      <c r="CH152" s="34" t="str">
        <f aca="false">IFERROR(INDEX(設定!$D$61:$D$106,MATCH(B152,設定!$B$61:$B$106,0)),"Y")</f>
        <v>Y</v>
      </c>
      <c r="CI152" s="34" t="str">
        <f aca="false">IFERROR(INDEX(設定!$D$20:$D$34,MATCH(A152,設定!$A$20:$A$34,0))&amp;"","")</f>
        <v/>
      </c>
    </row>
    <row r="153" customFormat="false" ht="15" hidden="true" customHeight="false" outlineLevel="0" collapsed="false">
      <c r="A153" s="22" t="s">
        <v>210</v>
      </c>
      <c r="B153" s="23" t="s">
        <v>168</v>
      </c>
      <c r="C153" s="10" t="str">
        <f aca="false">IF(G153="","未受領",IF(G153="なし","報告なし",IF(AH153="○","起票済",IF(OR(AG153="○",F153="一致",F153="入金不要"),"入金確認済","受領済"))))</f>
        <v>入金確認済</v>
      </c>
      <c r="D153" s="10" t="str">
        <f aca="false">IF(OR(G153="",G153="なし"),"―",IF(CH153="N","対象外",IF(AND(I153="",J153="",K153=""),"標報未入力",IF(CD153&gt;=設定!$B$4,"要確認","問題なし"))))</f>
        <v>標報未入力</v>
      </c>
      <c r="E153" s="24" t="str">
        <f aca="false">IF(OR(G153="",G153="なし",CE153="",CF153=0),"―",IF(CF153=CE153,"前月同額",IF(CE153=0,"―",IF(ABS(CF153/CE153-1)&gt;=設定!$B$5,"変動大 "&amp;TEXT(CF153/CE153-1,"+0%;-0%"),"〇"))))</f>
        <v>―</v>
      </c>
      <c r="F153" s="10" t="str">
        <f aca="false">IF(OR(G153="",G153="なし"),"―",IF(CF153=0,"入金不要",IF(COUNT(Z153,AB153,AD153,AF153)=0,IF(AG153="○","手動確認","未入金"),IF(AND(N(Z153)=Y153,IF(AA153="",TRUE(),N(AB153)=AA153),IF(AC153="",TRUE(),N(AD153)=AC153),IF(AE153="",TRUE(),N(AF153)=AE153)),"一致","不一致"))))</f>
        <v>手動確認</v>
      </c>
      <c r="G153" s="25" t="s">
        <v>159</v>
      </c>
      <c r="H153" s="26"/>
      <c r="I153" s="27"/>
      <c r="J153" s="27"/>
      <c r="K153" s="27"/>
      <c r="L153" s="27" t="n">
        <v>753501</v>
      </c>
      <c r="M153" s="27" t="n">
        <v>61761</v>
      </c>
      <c r="N153" s="27" t="n">
        <v>1082078</v>
      </c>
      <c r="O153" s="27" t="n">
        <v>61762</v>
      </c>
      <c r="P153" s="27" t="n">
        <v>715</v>
      </c>
      <c r="Q153" s="27" t="n">
        <v>587876</v>
      </c>
      <c r="R153" s="27" t="n">
        <v>597746</v>
      </c>
      <c r="S153" s="27" t="n">
        <v>66458</v>
      </c>
      <c r="T153" s="27" t="n">
        <v>66462</v>
      </c>
      <c r="U153" s="27" t="n">
        <v>13029</v>
      </c>
      <c r="V153" s="27" t="n">
        <v>13036</v>
      </c>
      <c r="W153" s="10" t="str">
        <f aca="false">IFERROR(INDEX(設定!$E$61:$E$106,MATCH(B153,設定!$B$61:$B$106,0)),"合算")</f>
        <v>合算</v>
      </c>
      <c r="X153" s="28"/>
      <c r="Y153" s="29" t="n">
        <f aca="false">IF(OR(G153="",G153="なし"),"",IF(W153="合算",CF153,IF(W153="掛金・負担金別",(AU153+AV153+AZ153+BB153+BD153),SUM(AU153:AY153))))</f>
        <v>3304424</v>
      </c>
      <c r="Z153" s="27"/>
      <c r="AA153" s="29" t="str">
        <f aca="false">IF(OR(G153="",G153="なし"),"",IF(W153="掛金・負担金別",(AW153+AX153+AY153+BA153+BC153+BE153),IF(W153="経理区分別",AZ153+BA153,"")))</f>
        <v/>
      </c>
      <c r="AB153" s="27"/>
      <c r="AC153" s="29" t="str">
        <f aca="false">IF(OR(G153="",G153="なし"),"",IF(W153="経理区分別",BB153+BC153,""))</f>
        <v/>
      </c>
      <c r="AD153" s="27"/>
      <c r="AE153" s="29" t="str">
        <f aca="false">IF(OR(G153="",G153="なし"),"",IF(W153="経理区分別",BD153+BE153,""))</f>
        <v/>
      </c>
      <c r="AF153" s="27"/>
      <c r="AG153" s="26" t="s">
        <v>160</v>
      </c>
      <c r="AH153" s="26"/>
      <c r="AI153" s="30"/>
      <c r="AJ153" s="31"/>
      <c r="AK153" s="31"/>
      <c r="AL153" s="31"/>
      <c r="AM153" s="31"/>
      <c r="AN153" s="31"/>
      <c r="AO153" s="31"/>
      <c r="AP153" s="31"/>
      <c r="AQ153" s="31"/>
      <c r="AR153" s="31"/>
      <c r="AS153" s="31"/>
      <c r="AT153" s="31"/>
      <c r="AU153" s="31" t="n">
        <f aca="false">IF($G153="",AJ153,L153)</f>
        <v>753501</v>
      </c>
      <c r="AV153" s="31" t="n">
        <f aca="false">IF($G153="",AK153,M153)</f>
        <v>61761</v>
      </c>
      <c r="AW153" s="31" t="n">
        <f aca="false">IF($G153="",AL153,N153)</f>
        <v>1082078</v>
      </c>
      <c r="AX153" s="31" t="n">
        <f aca="false">IF($G153="",AM153,O153)</f>
        <v>61762</v>
      </c>
      <c r="AY153" s="31" t="n">
        <f aca="false">IF($G153="",AN153,P153)</f>
        <v>715</v>
      </c>
      <c r="AZ153" s="31" t="n">
        <f aca="false">IF($G153="",AO153,Q153)</f>
        <v>587876</v>
      </c>
      <c r="BA153" s="31" t="n">
        <f aca="false">IF($G153="",AP153,R153)</f>
        <v>597746</v>
      </c>
      <c r="BB153" s="31" t="n">
        <f aca="false">IF($G153="",AQ153,S153)</f>
        <v>66458</v>
      </c>
      <c r="BC153" s="31" t="n">
        <f aca="false">IF($G153="",AR153,T153)</f>
        <v>66462</v>
      </c>
      <c r="BD153" s="31" t="n">
        <f aca="false">IF($G153="",AS153,U153)</f>
        <v>13029</v>
      </c>
      <c r="BE153" s="31" t="n">
        <f aca="false">IF($G153="",AT153,V153)</f>
        <v>13036</v>
      </c>
      <c r="BF153" s="31" t="n">
        <f aca="false">ROUNDDOWN(I153*設定!$B$10/1000,0)+ROUNDDOWN(I153*設定!$B$11/1000,0)</f>
        <v>0</v>
      </c>
      <c r="BG153" s="31" t="n">
        <f aca="false">ROUNDDOWN(I153*設定!$C$10/1000,0)+ROUNDDOWN(I153*設定!$C$11/1000,0)+ROUNDDOWN(I153*設定!$C$12/1000,0)</f>
        <v>0</v>
      </c>
      <c r="BH153" s="31" t="n">
        <f aca="false">ROUNDDOWN(J153*設定!$B$13/1000,0)</f>
        <v>0</v>
      </c>
      <c r="BI153" s="31" t="n">
        <f aca="false">ROUNDDOWN(J153*設定!$C$13/1000,0)</f>
        <v>0</v>
      </c>
      <c r="BJ153" s="31" t="n">
        <f aca="false">ROUNDDOWN(K153*設定!$B$14/1000,0)</f>
        <v>0</v>
      </c>
      <c r="BK153" s="31" t="n">
        <f aca="false">ROUNDDOWN(K153*設定!$C$14/1000,0)</f>
        <v>0</v>
      </c>
      <c r="BL153" s="31" t="n">
        <f aca="false">ROUNDDOWN(J153*設定!$B$15/1000,0)</f>
        <v>0</v>
      </c>
      <c r="BM153" s="31" t="n">
        <f aca="false">ROUNDDOWN(J153*設定!$C$15/1000,0)</f>
        <v>0</v>
      </c>
      <c r="BN153" s="31" t="n">
        <f aca="false">L153+M153</f>
        <v>815262</v>
      </c>
      <c r="BO153" s="31" t="n">
        <f aca="false">N153+O153+P153</f>
        <v>1144555</v>
      </c>
      <c r="BP153" s="31" t="n">
        <f aca="false">Q153</f>
        <v>587876</v>
      </c>
      <c r="BQ153" s="31" t="n">
        <f aca="false">R153</f>
        <v>597746</v>
      </c>
      <c r="BR153" s="31" t="n">
        <f aca="false">S153</f>
        <v>66458</v>
      </c>
      <c r="BS153" s="31" t="n">
        <f aca="false">T153</f>
        <v>66462</v>
      </c>
      <c r="BT153" s="31" t="n">
        <f aca="false">U153</f>
        <v>13029</v>
      </c>
      <c r="BU153" s="31" t="n">
        <f aca="false">V153</f>
        <v>13036</v>
      </c>
      <c r="BV153" s="32" t="n">
        <f aca="false">IF(BF153=0,IF(BN153=0,0,1),(BN153-BF153)/BF153)</f>
        <v>1</v>
      </c>
      <c r="BW153" s="32" t="n">
        <f aca="false">IF(BG153=0,IF(BO153=0,0,1),(BO153-BG153)/BG153)</f>
        <v>1</v>
      </c>
      <c r="BX153" s="32" t="n">
        <f aca="false">IF(BH153=0,IF(BP153=0,0,1),(BP153-BH153)/BH153)</f>
        <v>1</v>
      </c>
      <c r="BY153" s="32" t="n">
        <f aca="false">IF(BI153=0,IF(BQ153=0,0,1),(BQ153-BI153)/BI153)</f>
        <v>1</v>
      </c>
      <c r="BZ153" s="32" t="n">
        <f aca="false">IF(BJ153=0,IF(BR153=0,0,1),(BR153-BJ153)/BJ153)</f>
        <v>1</v>
      </c>
      <c r="CA153" s="32" t="n">
        <f aca="false">IF(BK153=0,IF(BS153=0,0,1),(BS153-BK153)/BK153)</f>
        <v>1</v>
      </c>
      <c r="CB153" s="32" t="n">
        <f aca="false">IF(BL153=0,IF(BT153=0,0,1),(BT153-BL153)/BL153)</f>
        <v>1</v>
      </c>
      <c r="CC153" s="32" t="n">
        <f aca="false">IF(BM153=0,IF(BU153=0,0,1),(BU153-BM153)/BM153)</f>
        <v>1</v>
      </c>
      <c r="CD153" s="32" t="n">
        <f aca="false">MAX(MAX(BV153:CC153),-MIN(BV153:CC153))</f>
        <v>1</v>
      </c>
      <c r="CE153" s="31" t="str">
        <f aca="false">IF(CI153="","",SUMIFS($CF$7:$CF$696,$A$7:$A$696,CI153,$B$7:$B$696,B153))</f>
        <v/>
      </c>
      <c r="CF153" s="31" t="n">
        <f aca="false">SUM(AU153:BE153)</f>
        <v>3304424</v>
      </c>
      <c r="CG153" s="33" t="str">
        <f aca="false">A153&amp;"|"&amp;B153</f>
        <v>2026-06 賞与|農業委員会</v>
      </c>
      <c r="CH153" s="34" t="str">
        <f aca="false">IFERROR(INDEX(設定!$D$61:$D$106,MATCH(B153,設定!$B$61:$B$106,0)),"Y")</f>
        <v>Y</v>
      </c>
      <c r="CI153" s="34" t="str">
        <f aca="false">IFERROR(INDEX(設定!$D$20:$D$34,MATCH(A153,設定!$A$20:$A$34,0))&amp;"","")</f>
        <v/>
      </c>
    </row>
    <row r="154" customFormat="false" ht="15" hidden="true" customHeight="false" outlineLevel="0" collapsed="false">
      <c r="A154" s="22" t="s">
        <v>210</v>
      </c>
      <c r="B154" s="23" t="s">
        <v>169</v>
      </c>
      <c r="C154" s="10" t="str">
        <f aca="false">IF(G154="","未受領",IF(G154="なし","報告なし",IF(AH154="○","起票済",IF(OR(AG154="○",F154="一致",F154="入金不要"),"入金確認済","受領済"))))</f>
        <v>入金確認済</v>
      </c>
      <c r="D154" s="10" t="str">
        <f aca="false">IF(OR(G154="",G154="なし"),"―",IF(CH154="N","対象外",IF(AND(I154="",J154="",K154=""),"標報未入力",IF(CD154&gt;=設定!$B$4,"要確認","問題なし"))))</f>
        <v>対象外</v>
      </c>
      <c r="E154" s="24" t="str">
        <f aca="false">IF(OR(G154="",G154="なし",CE154="",CF154=0),"―",IF(CF154=CE154,"前月同額",IF(CE154=0,"―",IF(ABS(CF154/CE154-1)&gt;=設定!$B$5,"変動大 "&amp;TEXT(CF154/CE154-1,"+0%;-0%"),"〇"))))</f>
        <v>―</v>
      </c>
      <c r="F154" s="10" t="str">
        <f aca="false">IF(OR(G154="",G154="なし"),"―",IF(CF154=0,"入金不要",IF(COUNT(Z154,AB154,AD154,AF154)=0,IF(AG154="○","手動確認","未入金"),IF(AND(N(Z154)=Y154,IF(AA154="",TRUE(),N(AB154)=AA154),IF(AC154="",TRUE(),N(AD154)=AC154),IF(AE154="",TRUE(),N(AF154)=AE154)),"一致","不一致"))))</f>
        <v>手動確認</v>
      </c>
      <c r="G154" s="25" t="s">
        <v>159</v>
      </c>
      <c r="H154" s="26"/>
      <c r="I154" s="27"/>
      <c r="J154" s="27"/>
      <c r="K154" s="27"/>
      <c r="L154" s="27" t="n">
        <v>46126839</v>
      </c>
      <c r="M154" s="27" t="n">
        <v>3780759</v>
      </c>
      <c r="N154" s="27" t="n">
        <v>66545746</v>
      </c>
      <c r="O154" s="27" t="n">
        <v>3780898</v>
      </c>
      <c r="P154" s="27" t="n">
        <v>44463</v>
      </c>
      <c r="Q154" s="27" t="n">
        <v>27231622</v>
      </c>
      <c r="R154" s="27" t="n">
        <v>27695421</v>
      </c>
      <c r="S154" s="27" t="n">
        <v>2844074</v>
      </c>
      <c r="T154" s="27" t="n">
        <v>2844233</v>
      </c>
      <c r="U154" s="27" t="n">
        <v>603556</v>
      </c>
      <c r="V154" s="27" t="n">
        <v>603873</v>
      </c>
      <c r="W154" s="10" t="str">
        <f aca="false">IFERROR(INDEX(設定!$E$61:$E$106,MATCH(B154,設定!$B$61:$B$106,0)),"合算")</f>
        <v>合算</v>
      </c>
      <c r="X154" s="28"/>
      <c r="Y154" s="29" t="n">
        <f aca="false">IF(OR(G154="",G154="なし"),"",IF(W154="合算",CF154,IF(W154="掛金・負担金別",(AU154+AV154+AZ154+BB154+BD154),SUM(AU154:AY154))))</f>
        <v>182101484</v>
      </c>
      <c r="Z154" s="27"/>
      <c r="AA154" s="29" t="str">
        <f aca="false">IF(OR(G154="",G154="なし"),"",IF(W154="掛金・負担金別",(AW154+AX154+AY154+BA154+BC154+BE154),IF(W154="経理区分別",AZ154+BA154,"")))</f>
        <v/>
      </c>
      <c r="AB154" s="27"/>
      <c r="AC154" s="29" t="str">
        <f aca="false">IF(OR(G154="",G154="なし"),"",IF(W154="経理区分別",BB154+BC154,""))</f>
        <v/>
      </c>
      <c r="AD154" s="27"/>
      <c r="AE154" s="29" t="str">
        <f aca="false">IF(OR(G154="",G154="なし"),"",IF(W154="経理区分別",BD154+BE154,""))</f>
        <v/>
      </c>
      <c r="AF154" s="27"/>
      <c r="AG154" s="26" t="s">
        <v>160</v>
      </c>
      <c r="AH154" s="26"/>
      <c r="AI154" s="30"/>
      <c r="AJ154" s="31"/>
      <c r="AK154" s="31"/>
      <c r="AL154" s="31"/>
      <c r="AM154" s="31"/>
      <c r="AN154" s="31"/>
      <c r="AO154" s="31"/>
      <c r="AP154" s="31"/>
      <c r="AQ154" s="31"/>
      <c r="AR154" s="31"/>
      <c r="AS154" s="31"/>
      <c r="AT154" s="31"/>
      <c r="AU154" s="31" t="n">
        <f aca="false">IF($G154="",AJ154,L154)</f>
        <v>46126839</v>
      </c>
      <c r="AV154" s="31" t="n">
        <f aca="false">IF($G154="",AK154,M154)</f>
        <v>3780759</v>
      </c>
      <c r="AW154" s="31" t="n">
        <f aca="false">IF($G154="",AL154,N154)</f>
        <v>66545746</v>
      </c>
      <c r="AX154" s="31" t="n">
        <f aca="false">IF($G154="",AM154,O154)</f>
        <v>3780898</v>
      </c>
      <c r="AY154" s="31" t="n">
        <f aca="false">IF($G154="",AN154,P154)</f>
        <v>44463</v>
      </c>
      <c r="AZ154" s="31" t="n">
        <f aca="false">IF($G154="",AO154,Q154)</f>
        <v>27231622</v>
      </c>
      <c r="BA154" s="31" t="n">
        <f aca="false">IF($G154="",AP154,R154)</f>
        <v>27695421</v>
      </c>
      <c r="BB154" s="31" t="n">
        <f aca="false">IF($G154="",AQ154,S154)</f>
        <v>2844074</v>
      </c>
      <c r="BC154" s="31" t="n">
        <f aca="false">IF($G154="",AR154,T154)</f>
        <v>2844233</v>
      </c>
      <c r="BD154" s="31" t="n">
        <f aca="false">IF($G154="",AS154,U154)</f>
        <v>603556</v>
      </c>
      <c r="BE154" s="31" t="n">
        <f aca="false">IF($G154="",AT154,V154)</f>
        <v>603873</v>
      </c>
      <c r="BF154" s="31" t="n">
        <f aca="false">ROUNDDOWN(I154*設定!$B$10/1000,0)+ROUNDDOWN(I154*設定!$B$11/1000,0)</f>
        <v>0</v>
      </c>
      <c r="BG154" s="31" t="n">
        <f aca="false">ROUNDDOWN(I154*設定!$C$10/1000,0)+ROUNDDOWN(I154*設定!$C$11/1000,0)+ROUNDDOWN(I154*設定!$C$12/1000,0)</f>
        <v>0</v>
      </c>
      <c r="BH154" s="31" t="n">
        <f aca="false">ROUNDDOWN(J154*設定!$B$13/1000,0)</f>
        <v>0</v>
      </c>
      <c r="BI154" s="31" t="n">
        <f aca="false">ROUNDDOWN(J154*設定!$C$13/1000,0)</f>
        <v>0</v>
      </c>
      <c r="BJ154" s="31" t="n">
        <f aca="false">ROUNDDOWN(K154*設定!$B$14/1000,0)</f>
        <v>0</v>
      </c>
      <c r="BK154" s="31" t="n">
        <f aca="false">ROUNDDOWN(K154*設定!$C$14/1000,0)</f>
        <v>0</v>
      </c>
      <c r="BL154" s="31" t="n">
        <f aca="false">ROUNDDOWN(J154*設定!$B$15/1000,0)</f>
        <v>0</v>
      </c>
      <c r="BM154" s="31" t="n">
        <f aca="false">ROUNDDOWN(J154*設定!$C$15/1000,0)</f>
        <v>0</v>
      </c>
      <c r="BN154" s="31" t="n">
        <f aca="false">L154+M154</f>
        <v>49907598</v>
      </c>
      <c r="BO154" s="31" t="n">
        <f aca="false">N154+O154+P154</f>
        <v>70371107</v>
      </c>
      <c r="BP154" s="31" t="n">
        <f aca="false">Q154</f>
        <v>27231622</v>
      </c>
      <c r="BQ154" s="31" t="n">
        <f aca="false">R154</f>
        <v>27695421</v>
      </c>
      <c r="BR154" s="31" t="n">
        <f aca="false">S154</f>
        <v>2844074</v>
      </c>
      <c r="BS154" s="31" t="n">
        <f aca="false">T154</f>
        <v>2844233</v>
      </c>
      <c r="BT154" s="31" t="n">
        <f aca="false">U154</f>
        <v>603556</v>
      </c>
      <c r="BU154" s="31" t="n">
        <f aca="false">V154</f>
        <v>603873</v>
      </c>
      <c r="BV154" s="32" t="n">
        <f aca="false">IF(BF154=0,IF(BN154=0,0,1),(BN154-BF154)/BF154)</f>
        <v>1</v>
      </c>
      <c r="BW154" s="32" t="n">
        <f aca="false">IF(BG154=0,IF(BO154=0,0,1),(BO154-BG154)/BG154)</f>
        <v>1</v>
      </c>
      <c r="BX154" s="32" t="n">
        <f aca="false">IF(BH154=0,IF(BP154=0,0,1),(BP154-BH154)/BH154)</f>
        <v>1</v>
      </c>
      <c r="BY154" s="32" t="n">
        <f aca="false">IF(BI154=0,IF(BQ154=0,0,1),(BQ154-BI154)/BI154)</f>
        <v>1</v>
      </c>
      <c r="BZ154" s="32" t="n">
        <f aca="false">IF(BJ154=0,IF(BR154=0,0,1),(BR154-BJ154)/BJ154)</f>
        <v>1</v>
      </c>
      <c r="CA154" s="32" t="n">
        <f aca="false">IF(BK154=0,IF(BS154=0,0,1),(BS154-BK154)/BK154)</f>
        <v>1</v>
      </c>
      <c r="CB154" s="32" t="n">
        <f aca="false">IF(BL154=0,IF(BT154=0,0,1),(BT154-BL154)/BL154)</f>
        <v>1</v>
      </c>
      <c r="CC154" s="32" t="n">
        <f aca="false">IF(BM154=0,IF(BU154=0,0,1),(BU154-BM154)/BM154)</f>
        <v>1</v>
      </c>
      <c r="CD154" s="32" t="n">
        <f aca="false">MAX(MAX(BV154:CC154),-MIN(BV154:CC154))</f>
        <v>1</v>
      </c>
      <c r="CE154" s="31" t="str">
        <f aca="false">IF(CI154="","",SUMIFS($CF$7:$CF$696,$A$7:$A$696,CI154,$B$7:$B$696,B154))</f>
        <v/>
      </c>
      <c r="CF154" s="31" t="n">
        <f aca="false">SUM(AU154:BE154)</f>
        <v>182101484</v>
      </c>
      <c r="CG154" s="33" t="str">
        <f aca="false">A154&amp;"|"&amp;B154</f>
        <v>2026-06 賞与|水道局</v>
      </c>
      <c r="CH154" s="34" t="str">
        <f aca="false">IFERROR(INDEX(設定!$D$61:$D$106,MATCH(B154,設定!$B$61:$B$106,0)),"Y")</f>
        <v>N</v>
      </c>
      <c r="CI154" s="34" t="str">
        <f aca="false">IFERROR(INDEX(設定!$D$20:$D$34,MATCH(A154,設定!$A$20:$A$34,0))&amp;"","")</f>
        <v/>
      </c>
    </row>
    <row r="155" customFormat="false" ht="15" hidden="true" customHeight="false" outlineLevel="0" collapsed="false">
      <c r="A155" s="22" t="s">
        <v>210</v>
      </c>
      <c r="B155" s="23" t="s">
        <v>170</v>
      </c>
      <c r="C155" s="10" t="str">
        <f aca="false">IF(G155="","未受領",IF(G155="なし","報告なし",IF(AH155="○","起票済",IF(OR(AG155="○",F155="一致",F155="入金不要"),"入金確認済","受領済"))))</f>
        <v>入金確認済</v>
      </c>
      <c r="D155" s="10" t="str">
        <f aca="false">IF(OR(G155="",G155="なし"),"―",IF(CH155="N","対象外",IF(AND(I155="",J155="",K155=""),"標報未入力",IF(CD155&gt;=設定!$B$4,"要確認","問題なし"))))</f>
        <v>標報未入力</v>
      </c>
      <c r="E155" s="24" t="str">
        <f aca="false">IF(OR(G155="",G155="なし",CE155="",CF155=0),"―",IF(CF155=CE155,"前月同額",IF(CE155=0,"―",IF(ABS(CF155/CE155-1)&gt;=設定!$B$5,"変動大 "&amp;TEXT(CF155/CE155-1,"+0%;-0%"),"〇"))))</f>
        <v>―</v>
      </c>
      <c r="F155" s="10" t="str">
        <f aca="false">IF(OR(G155="",G155="なし"),"―",IF(CF155=0,"入金不要",IF(COUNT(Z155,AB155,AD155,AF155)=0,IF(AG155="○","手動確認","未入金"),IF(AND(N(Z155)=Y155,IF(AA155="",TRUE(),N(AB155)=AA155),IF(AC155="",TRUE(),N(AD155)=AC155),IF(AE155="",TRUE(),N(AF155)=AE155)),"一致","不一致"))))</f>
        <v>手動確認</v>
      </c>
      <c r="G155" s="25" t="s">
        <v>159</v>
      </c>
      <c r="H155" s="26"/>
      <c r="I155" s="27"/>
      <c r="J155" s="27"/>
      <c r="K155" s="27"/>
      <c r="L155" s="27" t="n">
        <v>74115</v>
      </c>
      <c r="M155" s="27" t="n">
        <v>6075</v>
      </c>
      <c r="N155" s="27" t="n">
        <v>106434</v>
      </c>
      <c r="O155" s="27" t="n">
        <v>6075</v>
      </c>
      <c r="P155" s="27" t="n">
        <v>70</v>
      </c>
      <c r="Q155" s="27" t="n">
        <v>42006</v>
      </c>
      <c r="R155" s="27" t="n">
        <v>42711</v>
      </c>
      <c r="S155" s="27" t="n">
        <v>6399</v>
      </c>
      <c r="T155" s="27" t="n">
        <v>6399</v>
      </c>
      <c r="U155" s="27" t="n">
        <v>931</v>
      </c>
      <c r="V155" s="27" t="n">
        <v>931</v>
      </c>
      <c r="W155" s="10" t="str">
        <f aca="false">IFERROR(INDEX(設定!$E$61:$E$106,MATCH(B155,設定!$B$61:$B$106,0)),"合算")</f>
        <v>合算</v>
      </c>
      <c r="X155" s="28"/>
      <c r="Y155" s="29" t="n">
        <f aca="false">IF(OR(G155="",G155="なし"),"",IF(W155="合算",CF155,IF(W155="掛金・負担金別",(AU155+AV155+AZ155+BB155+BD155),SUM(AU155:AY155))))</f>
        <v>292146</v>
      </c>
      <c r="Z155" s="27"/>
      <c r="AA155" s="29" t="str">
        <f aca="false">IF(OR(G155="",G155="なし"),"",IF(W155="掛金・負担金別",(AW155+AX155+AY155+BA155+BC155+BE155),IF(W155="経理区分別",AZ155+BA155,"")))</f>
        <v/>
      </c>
      <c r="AB155" s="27"/>
      <c r="AC155" s="29" t="str">
        <f aca="false">IF(OR(G155="",G155="なし"),"",IF(W155="経理区分別",BB155+BC155,""))</f>
        <v/>
      </c>
      <c r="AD155" s="27"/>
      <c r="AE155" s="29" t="str">
        <f aca="false">IF(OR(G155="",G155="なし"),"",IF(W155="経理区分別",BD155+BE155,""))</f>
        <v/>
      </c>
      <c r="AF155" s="27"/>
      <c r="AG155" s="26" t="s">
        <v>160</v>
      </c>
      <c r="AH155" s="26"/>
      <c r="AI155" s="30"/>
      <c r="AJ155" s="31"/>
      <c r="AK155" s="31"/>
      <c r="AL155" s="31"/>
      <c r="AM155" s="31"/>
      <c r="AN155" s="31"/>
      <c r="AO155" s="31"/>
      <c r="AP155" s="31"/>
      <c r="AQ155" s="31"/>
      <c r="AR155" s="31"/>
      <c r="AS155" s="31"/>
      <c r="AT155" s="31"/>
      <c r="AU155" s="31" t="n">
        <f aca="false">IF($G155="",AJ155,L155)</f>
        <v>74115</v>
      </c>
      <c r="AV155" s="31" t="n">
        <f aca="false">IF($G155="",AK155,M155)</f>
        <v>6075</v>
      </c>
      <c r="AW155" s="31" t="n">
        <f aca="false">IF($G155="",AL155,N155)</f>
        <v>106434</v>
      </c>
      <c r="AX155" s="31" t="n">
        <f aca="false">IF($G155="",AM155,O155)</f>
        <v>6075</v>
      </c>
      <c r="AY155" s="31" t="n">
        <f aca="false">IF($G155="",AN155,P155)</f>
        <v>70</v>
      </c>
      <c r="AZ155" s="31" t="n">
        <f aca="false">IF($G155="",AO155,Q155)</f>
        <v>42006</v>
      </c>
      <c r="BA155" s="31" t="n">
        <f aca="false">IF($G155="",AP155,R155)</f>
        <v>42711</v>
      </c>
      <c r="BB155" s="31" t="n">
        <f aca="false">IF($G155="",AQ155,S155)</f>
        <v>6399</v>
      </c>
      <c r="BC155" s="31" t="n">
        <f aca="false">IF($G155="",AR155,T155)</f>
        <v>6399</v>
      </c>
      <c r="BD155" s="31" t="n">
        <f aca="false">IF($G155="",AS155,U155)</f>
        <v>931</v>
      </c>
      <c r="BE155" s="31" t="n">
        <f aca="false">IF($G155="",AT155,V155)</f>
        <v>931</v>
      </c>
      <c r="BF155" s="31" t="n">
        <f aca="false">ROUNDDOWN(I155*設定!$B$10/1000,0)+ROUNDDOWN(I155*設定!$B$11/1000,0)</f>
        <v>0</v>
      </c>
      <c r="BG155" s="31" t="n">
        <f aca="false">ROUNDDOWN(I155*設定!$C$10/1000,0)+ROUNDDOWN(I155*設定!$C$11/1000,0)+ROUNDDOWN(I155*設定!$C$12/1000,0)</f>
        <v>0</v>
      </c>
      <c r="BH155" s="31" t="n">
        <f aca="false">ROUNDDOWN(J155*設定!$B$13/1000,0)</f>
        <v>0</v>
      </c>
      <c r="BI155" s="31" t="n">
        <f aca="false">ROUNDDOWN(J155*設定!$C$13/1000,0)</f>
        <v>0</v>
      </c>
      <c r="BJ155" s="31" t="n">
        <f aca="false">ROUNDDOWN(K155*設定!$B$14/1000,0)</f>
        <v>0</v>
      </c>
      <c r="BK155" s="31" t="n">
        <f aca="false">ROUNDDOWN(K155*設定!$C$14/1000,0)</f>
        <v>0</v>
      </c>
      <c r="BL155" s="31" t="n">
        <f aca="false">ROUNDDOWN(J155*設定!$B$15/1000,0)</f>
        <v>0</v>
      </c>
      <c r="BM155" s="31" t="n">
        <f aca="false">ROUNDDOWN(J155*設定!$C$15/1000,0)</f>
        <v>0</v>
      </c>
      <c r="BN155" s="31" t="n">
        <f aca="false">L155+M155</f>
        <v>80190</v>
      </c>
      <c r="BO155" s="31" t="n">
        <f aca="false">N155+O155+P155</f>
        <v>112579</v>
      </c>
      <c r="BP155" s="31" t="n">
        <f aca="false">Q155</f>
        <v>42006</v>
      </c>
      <c r="BQ155" s="31" t="n">
        <f aca="false">R155</f>
        <v>42711</v>
      </c>
      <c r="BR155" s="31" t="n">
        <f aca="false">S155</f>
        <v>6399</v>
      </c>
      <c r="BS155" s="31" t="n">
        <f aca="false">T155</f>
        <v>6399</v>
      </c>
      <c r="BT155" s="31" t="n">
        <f aca="false">U155</f>
        <v>931</v>
      </c>
      <c r="BU155" s="31" t="n">
        <f aca="false">V155</f>
        <v>931</v>
      </c>
      <c r="BV155" s="32" t="n">
        <f aca="false">IF(BF155=0,IF(BN155=0,0,1),(BN155-BF155)/BF155)</f>
        <v>1</v>
      </c>
      <c r="BW155" s="32" t="n">
        <f aca="false">IF(BG155=0,IF(BO155=0,0,1),(BO155-BG155)/BG155)</f>
        <v>1</v>
      </c>
      <c r="BX155" s="32" t="n">
        <f aca="false">IF(BH155=0,IF(BP155=0,0,1),(BP155-BH155)/BH155)</f>
        <v>1</v>
      </c>
      <c r="BY155" s="32" t="n">
        <f aca="false">IF(BI155=0,IF(BQ155=0,0,1),(BQ155-BI155)/BI155)</f>
        <v>1</v>
      </c>
      <c r="BZ155" s="32" t="n">
        <f aca="false">IF(BJ155=0,IF(BR155=0,0,1),(BR155-BJ155)/BJ155)</f>
        <v>1</v>
      </c>
      <c r="CA155" s="32" t="n">
        <f aca="false">IF(BK155=0,IF(BS155=0,0,1),(BS155-BK155)/BK155)</f>
        <v>1</v>
      </c>
      <c r="CB155" s="32" t="n">
        <f aca="false">IF(BL155=0,IF(BT155=0,0,1),(BT155-BL155)/BL155)</f>
        <v>1</v>
      </c>
      <c r="CC155" s="32" t="n">
        <f aca="false">IF(BM155=0,IF(BU155=0,0,1),(BU155-BM155)/BM155)</f>
        <v>1</v>
      </c>
      <c r="CD155" s="32" t="n">
        <f aca="false">MAX(MAX(BV155:CC155),-MIN(BV155:CC155))</f>
        <v>1</v>
      </c>
      <c r="CE155" s="31" t="str">
        <f aca="false">IF(CI155="","",SUMIFS($CF$7:$CF$696,$A$7:$A$696,CI155,$B$7:$B$696,B155))</f>
        <v/>
      </c>
      <c r="CF155" s="31" t="n">
        <f aca="false">SUM(AU155:BE155)</f>
        <v>292146</v>
      </c>
      <c r="CG155" s="33" t="str">
        <f aca="false">A155&amp;"|"&amp;B155</f>
        <v>2026-06 賞与|医療政策課(安芸市民)</v>
      </c>
      <c r="CH155" s="34" t="str">
        <f aca="false">IFERROR(INDEX(設定!$D$61:$D$106,MATCH(B155,設定!$B$61:$B$106,0)),"Y")</f>
        <v>Y</v>
      </c>
      <c r="CI155" s="34" t="str">
        <f aca="false">IFERROR(INDEX(設定!$D$20:$D$34,MATCH(A155,設定!$A$20:$A$34,0))&amp;"","")</f>
        <v/>
      </c>
    </row>
    <row r="156" customFormat="false" ht="15" hidden="true" customHeight="false" outlineLevel="0" collapsed="false">
      <c r="A156" s="22" t="s">
        <v>210</v>
      </c>
      <c r="B156" s="23" t="s">
        <v>171</v>
      </c>
      <c r="C156" s="10" t="str">
        <f aca="false">IF(G156="","未受領",IF(G156="なし","報告なし",IF(AH156="○","起票済",IF(OR(AG156="○",F156="一致",F156="入金不要"),"入金確認済","受領済"))))</f>
        <v>入金確認済</v>
      </c>
      <c r="D156" s="10" t="str">
        <f aca="false">IF(OR(G156="",G156="なし"),"―",IF(CH156="N","対象外",IF(AND(I156="",J156="",K156=""),"標報未入力",IF(CD156&gt;=設定!$B$4,"要確認","問題なし"))))</f>
        <v>標報未入力</v>
      </c>
      <c r="E156" s="24" t="str">
        <f aca="false">IF(OR(G156="",G156="なし",CE156="",CF156=0),"―",IF(CF156=CE156,"前月同額",IF(CE156=0,"―",IF(ABS(CF156/CE156-1)&gt;=設定!$B$5,"変動大 "&amp;TEXT(CF156/CE156-1,"+0%;-0%"),"〇"))))</f>
        <v>―</v>
      </c>
      <c r="F156" s="10" t="str">
        <f aca="false">IF(OR(G156="",G156="なし"),"―",IF(CF156=0,"入金不要",IF(COUNT(Z156,AB156,AD156,AF156)=0,IF(AG156="○","手動確認","未入金"),IF(AND(N(Z156)=Y156,IF(AA156="",TRUE(),N(AB156)=AA156),IF(AC156="",TRUE(),N(AD156)=AC156),IF(AE156="",TRUE(),N(AF156)=AE156)),"一致","不一致"))))</f>
        <v>手動確認</v>
      </c>
      <c r="G156" s="25" t="s">
        <v>159</v>
      </c>
      <c r="H156" s="26"/>
      <c r="I156" s="27"/>
      <c r="J156" s="27"/>
      <c r="K156" s="27"/>
      <c r="L156" s="27" t="n">
        <v>0</v>
      </c>
      <c r="M156" s="27" t="n">
        <v>0</v>
      </c>
      <c r="N156" s="27"/>
      <c r="O156" s="27"/>
      <c r="P156" s="27" t="n">
        <v>0</v>
      </c>
      <c r="Q156" s="27" t="n">
        <v>352375</v>
      </c>
      <c r="R156" s="27" t="n">
        <v>358299</v>
      </c>
      <c r="S156" s="27" t="n">
        <v>12083</v>
      </c>
      <c r="T156" s="27" t="n">
        <v>12086</v>
      </c>
      <c r="U156" s="27" t="n">
        <v>7804</v>
      </c>
      <c r="V156" s="27" t="n">
        <v>7813</v>
      </c>
      <c r="W156" s="10" t="str">
        <f aca="false">IFERROR(INDEX(設定!$E$61:$E$106,MATCH(B156,設定!$B$61:$B$106,0)),"合算")</f>
        <v>合算</v>
      </c>
      <c r="X156" s="28"/>
      <c r="Y156" s="29" t="n">
        <f aca="false">IF(OR(G156="",G156="なし"),"",IF(W156="合算",CF156,IF(W156="掛金・負担金別",(AU156+AV156+AZ156+BB156+BD156),SUM(AU156:AY156))))</f>
        <v>750460</v>
      </c>
      <c r="Z156" s="27"/>
      <c r="AA156" s="29" t="str">
        <f aca="false">IF(OR(G156="",G156="なし"),"",IF(W156="掛金・負担金別",(AW156+AX156+AY156+BA156+BC156+BE156),IF(W156="経理区分別",AZ156+BA156,"")))</f>
        <v/>
      </c>
      <c r="AB156" s="27"/>
      <c r="AC156" s="29" t="str">
        <f aca="false">IF(OR(G156="",G156="なし"),"",IF(W156="経理区分別",BB156+BC156,""))</f>
        <v/>
      </c>
      <c r="AD156" s="27"/>
      <c r="AE156" s="29" t="str">
        <f aca="false">IF(OR(G156="",G156="なし"),"",IF(W156="経理区分別",BD156+BE156,""))</f>
        <v/>
      </c>
      <c r="AF156" s="27"/>
      <c r="AG156" s="26" t="s">
        <v>160</v>
      </c>
      <c r="AH156" s="26"/>
      <c r="AI156" s="30"/>
      <c r="AJ156" s="31"/>
      <c r="AK156" s="31"/>
      <c r="AL156" s="31"/>
      <c r="AM156" s="31"/>
      <c r="AN156" s="31"/>
      <c r="AO156" s="31"/>
      <c r="AP156" s="31"/>
      <c r="AQ156" s="31"/>
      <c r="AR156" s="31"/>
      <c r="AS156" s="31"/>
      <c r="AT156" s="31"/>
      <c r="AU156" s="31" t="n">
        <f aca="false">IF($G156="",AJ156,L156)</f>
        <v>0</v>
      </c>
      <c r="AV156" s="31" t="n">
        <f aca="false">IF($G156="",AK156,M156)</f>
        <v>0</v>
      </c>
      <c r="AW156" s="31" t="n">
        <f aca="false">IF($G156="",AL156,N156)</f>
        <v>0</v>
      </c>
      <c r="AX156" s="31" t="n">
        <f aca="false">IF($G156="",AM156,O156)</f>
        <v>0</v>
      </c>
      <c r="AY156" s="31" t="n">
        <f aca="false">IF($G156="",AN156,P156)</f>
        <v>0</v>
      </c>
      <c r="AZ156" s="31" t="n">
        <f aca="false">IF($G156="",AO156,Q156)</f>
        <v>352375</v>
      </c>
      <c r="BA156" s="31" t="n">
        <f aca="false">IF($G156="",AP156,R156)</f>
        <v>358299</v>
      </c>
      <c r="BB156" s="31" t="n">
        <f aca="false">IF($G156="",AQ156,S156)</f>
        <v>12083</v>
      </c>
      <c r="BC156" s="31" t="n">
        <f aca="false">IF($G156="",AR156,T156)</f>
        <v>12086</v>
      </c>
      <c r="BD156" s="31" t="n">
        <f aca="false">IF($G156="",AS156,U156)</f>
        <v>7804</v>
      </c>
      <c r="BE156" s="31" t="n">
        <f aca="false">IF($G156="",AT156,V156)</f>
        <v>7813</v>
      </c>
      <c r="BF156" s="31" t="n">
        <f aca="false">ROUNDDOWN(I156*設定!$B$10/1000,0)+ROUNDDOWN(I156*設定!$B$11/1000,0)</f>
        <v>0</v>
      </c>
      <c r="BG156" s="31" t="n">
        <f aca="false">ROUNDDOWN(I156*設定!$C$10/1000,0)+ROUNDDOWN(I156*設定!$C$11/1000,0)+ROUNDDOWN(I156*設定!$C$12/1000,0)</f>
        <v>0</v>
      </c>
      <c r="BH156" s="31" t="n">
        <f aca="false">ROUNDDOWN(J156*設定!$B$13/1000,0)</f>
        <v>0</v>
      </c>
      <c r="BI156" s="31" t="n">
        <f aca="false">ROUNDDOWN(J156*設定!$C$13/1000,0)</f>
        <v>0</v>
      </c>
      <c r="BJ156" s="31" t="n">
        <f aca="false">ROUNDDOWN(K156*設定!$B$14/1000,0)</f>
        <v>0</v>
      </c>
      <c r="BK156" s="31" t="n">
        <f aca="false">ROUNDDOWN(K156*設定!$C$14/1000,0)</f>
        <v>0</v>
      </c>
      <c r="BL156" s="31" t="n">
        <f aca="false">ROUNDDOWN(J156*設定!$B$15/1000,0)</f>
        <v>0</v>
      </c>
      <c r="BM156" s="31" t="n">
        <f aca="false">ROUNDDOWN(J156*設定!$C$15/1000,0)</f>
        <v>0</v>
      </c>
      <c r="BN156" s="31" t="n">
        <f aca="false">L156+M156</f>
        <v>0</v>
      </c>
      <c r="BO156" s="31" t="n">
        <f aca="false">N156+O156+P156</f>
        <v>0</v>
      </c>
      <c r="BP156" s="31" t="n">
        <f aca="false">Q156</f>
        <v>352375</v>
      </c>
      <c r="BQ156" s="31" t="n">
        <f aca="false">R156</f>
        <v>358299</v>
      </c>
      <c r="BR156" s="31" t="n">
        <f aca="false">S156</f>
        <v>12083</v>
      </c>
      <c r="BS156" s="31" t="n">
        <f aca="false">T156</f>
        <v>12086</v>
      </c>
      <c r="BT156" s="31" t="n">
        <f aca="false">U156</f>
        <v>7804</v>
      </c>
      <c r="BU156" s="31" t="n">
        <f aca="false">V156</f>
        <v>7813</v>
      </c>
      <c r="BV156" s="32" t="n">
        <f aca="false">IF(BF156=0,IF(BN156=0,0,1),(BN156-BF156)/BF156)</f>
        <v>0</v>
      </c>
      <c r="BW156" s="32" t="n">
        <f aca="false">IF(BG156=0,IF(BO156=0,0,1),(BO156-BG156)/BG156)</f>
        <v>0</v>
      </c>
      <c r="BX156" s="32" t="n">
        <f aca="false">IF(BH156=0,IF(BP156=0,0,1),(BP156-BH156)/BH156)</f>
        <v>1</v>
      </c>
      <c r="BY156" s="32" t="n">
        <f aca="false">IF(BI156=0,IF(BQ156=0,0,1),(BQ156-BI156)/BI156)</f>
        <v>1</v>
      </c>
      <c r="BZ156" s="32" t="n">
        <f aca="false">IF(BJ156=0,IF(BR156=0,0,1),(BR156-BJ156)/BJ156)</f>
        <v>1</v>
      </c>
      <c r="CA156" s="32" t="n">
        <f aca="false">IF(BK156=0,IF(BS156=0,0,1),(BS156-BK156)/BK156)</f>
        <v>1</v>
      </c>
      <c r="CB156" s="32" t="n">
        <f aca="false">IF(BL156=0,IF(BT156=0,0,1),(BT156-BL156)/BL156)</f>
        <v>1</v>
      </c>
      <c r="CC156" s="32" t="n">
        <f aca="false">IF(BM156=0,IF(BU156=0,0,1),(BU156-BM156)/BM156)</f>
        <v>1</v>
      </c>
      <c r="CD156" s="32" t="n">
        <f aca="false">MAX(MAX(BV156:CC156),-MIN(BV156:CC156))</f>
        <v>1</v>
      </c>
      <c r="CE156" s="31" t="str">
        <f aca="false">IF(CI156="","",SUMIFS($CF$7:$CF$696,$A$7:$A$696,CI156,$B$7:$B$696,B156))</f>
        <v/>
      </c>
      <c r="CF156" s="31" t="n">
        <f aca="false">SUM(AU156:BE156)</f>
        <v>750460</v>
      </c>
      <c r="CG156" s="33" t="str">
        <f aca="false">A156&amp;"|"&amp;B156</f>
        <v>2026-06 賞与|教育委員会（教育給与課）</v>
      </c>
      <c r="CH156" s="34" t="str">
        <f aca="false">IFERROR(INDEX(設定!$D$61:$D$106,MATCH(B156,設定!$B$61:$B$106,0)),"Y")</f>
        <v>Y</v>
      </c>
      <c r="CI156" s="34" t="str">
        <f aca="false">IFERROR(INDEX(設定!$D$20:$D$34,MATCH(A156,設定!$A$20:$A$34,0))&amp;"","")</f>
        <v/>
      </c>
    </row>
    <row r="157" customFormat="false" ht="15" hidden="true" customHeight="false" outlineLevel="0" collapsed="false">
      <c r="A157" s="22" t="s">
        <v>210</v>
      </c>
      <c r="B157" s="23" t="s">
        <v>172</v>
      </c>
      <c r="C157" s="10" t="str">
        <f aca="false">IF(G157="","未受領",IF(G157="なし","報告なし",IF(AH157="○","起票済",IF(OR(AG157="○",F157="一致",F157="入金不要"),"入金確認済","受領済"))))</f>
        <v>報告なし</v>
      </c>
      <c r="D157" s="10" t="str">
        <f aca="false">IF(OR(G157="",G157="なし"),"―",IF(CH157="N","対象外",IF(AND(I157="",J157="",K157=""),"標報未入力",IF(CD157&gt;=設定!$B$4,"要確認","問題なし"))))</f>
        <v>―</v>
      </c>
      <c r="E157" s="24" t="str">
        <f aca="false">IF(OR(G157="",G157="なし",CE157="",CF157=0),"―",IF(CF157=CE157,"前月同額",IF(CE157=0,"―",IF(ABS(CF157/CE157-1)&gt;=設定!$B$5,"変動大 "&amp;TEXT(CF157/CE157-1,"+0%;-0%"),"〇"))))</f>
        <v>―</v>
      </c>
      <c r="F157" s="10" t="str">
        <f aca="false">IF(OR(G157="",G157="なし"),"―",IF(CF157=0,"入金不要",IF(COUNT(Z157,AB157,AD157,AF157)=0,IF(AG157="○","手動確認","未入金"),IF(AND(N(Z157)=Y157,IF(AA157="",TRUE(),N(AB157)=AA157),IF(AC157="",TRUE(),N(AD157)=AC157),IF(AE157="",TRUE(),N(AF157)=AE157)),"一致","不一致"))))</f>
        <v>―</v>
      </c>
      <c r="G157" s="25" t="s">
        <v>173</v>
      </c>
      <c r="H157" s="26"/>
      <c r="I157" s="27"/>
      <c r="J157" s="27"/>
      <c r="K157" s="27"/>
      <c r="L157" s="27"/>
      <c r="M157" s="27"/>
      <c r="N157" s="27"/>
      <c r="O157" s="27"/>
      <c r="P157" s="27"/>
      <c r="Q157" s="27"/>
      <c r="R157" s="27"/>
      <c r="S157" s="27"/>
      <c r="T157" s="27"/>
      <c r="U157" s="27"/>
      <c r="V157" s="27"/>
      <c r="W157" s="10" t="str">
        <f aca="false">IFERROR(INDEX(設定!$E$61:$E$106,MATCH(B157,設定!$B$61:$B$106,0)),"合算")</f>
        <v>合算</v>
      </c>
      <c r="X157" s="28"/>
      <c r="Y157" s="29" t="str">
        <f aca="false">IF(OR(G157="",G157="なし"),"",IF(W157="合算",CF157,IF(W157="掛金・負担金別",(AU157+AV157+AZ157+BB157+BD157),SUM(AU157:AY157))))</f>
        <v/>
      </c>
      <c r="Z157" s="27"/>
      <c r="AA157" s="29" t="str">
        <f aca="false">IF(OR(G157="",G157="なし"),"",IF(W157="掛金・負担金別",(AW157+AX157+AY157+BA157+BC157+BE157),IF(W157="経理区分別",AZ157+BA157,"")))</f>
        <v/>
      </c>
      <c r="AB157" s="27"/>
      <c r="AC157" s="29" t="str">
        <f aca="false">IF(OR(G157="",G157="なし"),"",IF(W157="経理区分別",BB157+BC157,""))</f>
        <v/>
      </c>
      <c r="AD157" s="27"/>
      <c r="AE157" s="29" t="str">
        <f aca="false">IF(OR(G157="",G157="なし"),"",IF(W157="経理区分別",BD157+BE157,""))</f>
        <v/>
      </c>
      <c r="AF157" s="27"/>
      <c r="AG157" s="26"/>
      <c r="AH157" s="26"/>
      <c r="AI157" s="30"/>
      <c r="AJ157" s="31"/>
      <c r="AK157" s="31"/>
      <c r="AL157" s="31"/>
      <c r="AM157" s="31"/>
      <c r="AN157" s="31"/>
      <c r="AO157" s="31"/>
      <c r="AP157" s="31"/>
      <c r="AQ157" s="31"/>
      <c r="AR157" s="31"/>
      <c r="AS157" s="31"/>
      <c r="AT157" s="31"/>
      <c r="AU157" s="31" t="n">
        <f aca="false">IF($G157="",AJ157,L157)</f>
        <v>0</v>
      </c>
      <c r="AV157" s="31" t="n">
        <f aca="false">IF($G157="",AK157,M157)</f>
        <v>0</v>
      </c>
      <c r="AW157" s="31" t="n">
        <f aca="false">IF($G157="",AL157,N157)</f>
        <v>0</v>
      </c>
      <c r="AX157" s="31" t="n">
        <f aca="false">IF($G157="",AM157,O157)</f>
        <v>0</v>
      </c>
      <c r="AY157" s="31" t="n">
        <f aca="false">IF($G157="",AN157,P157)</f>
        <v>0</v>
      </c>
      <c r="AZ157" s="31" t="n">
        <f aca="false">IF($G157="",AO157,Q157)</f>
        <v>0</v>
      </c>
      <c r="BA157" s="31" t="n">
        <f aca="false">IF($G157="",AP157,R157)</f>
        <v>0</v>
      </c>
      <c r="BB157" s="31" t="n">
        <f aca="false">IF($G157="",AQ157,S157)</f>
        <v>0</v>
      </c>
      <c r="BC157" s="31" t="n">
        <f aca="false">IF($G157="",AR157,T157)</f>
        <v>0</v>
      </c>
      <c r="BD157" s="31" t="n">
        <f aca="false">IF($G157="",AS157,U157)</f>
        <v>0</v>
      </c>
      <c r="BE157" s="31" t="n">
        <f aca="false">IF($G157="",AT157,V157)</f>
        <v>0</v>
      </c>
      <c r="BF157" s="31" t="n">
        <f aca="false">ROUNDDOWN(I157*設定!$B$10/1000,0)+ROUNDDOWN(I157*設定!$B$11/1000,0)</f>
        <v>0</v>
      </c>
      <c r="BG157" s="31" t="n">
        <f aca="false">ROUNDDOWN(I157*設定!$C$10/1000,0)+ROUNDDOWN(I157*設定!$C$11/1000,0)+ROUNDDOWN(I157*設定!$C$12/1000,0)</f>
        <v>0</v>
      </c>
      <c r="BH157" s="31" t="n">
        <f aca="false">ROUNDDOWN(J157*設定!$B$13/1000,0)</f>
        <v>0</v>
      </c>
      <c r="BI157" s="31" t="n">
        <f aca="false">ROUNDDOWN(J157*設定!$C$13/1000,0)</f>
        <v>0</v>
      </c>
      <c r="BJ157" s="31" t="n">
        <f aca="false">ROUNDDOWN(K157*設定!$B$14/1000,0)</f>
        <v>0</v>
      </c>
      <c r="BK157" s="31" t="n">
        <f aca="false">ROUNDDOWN(K157*設定!$C$14/1000,0)</f>
        <v>0</v>
      </c>
      <c r="BL157" s="31" t="n">
        <f aca="false">ROUNDDOWN(J157*設定!$B$15/1000,0)</f>
        <v>0</v>
      </c>
      <c r="BM157" s="31" t="n">
        <f aca="false">ROUNDDOWN(J157*設定!$C$15/1000,0)</f>
        <v>0</v>
      </c>
      <c r="BN157" s="31" t="n">
        <f aca="false">L157+M157</f>
        <v>0</v>
      </c>
      <c r="BO157" s="31" t="n">
        <f aca="false">N157+O157+P157</f>
        <v>0</v>
      </c>
      <c r="BP157" s="31" t="n">
        <f aca="false">Q157</f>
        <v>0</v>
      </c>
      <c r="BQ157" s="31" t="n">
        <f aca="false">R157</f>
        <v>0</v>
      </c>
      <c r="BR157" s="31" t="n">
        <f aca="false">S157</f>
        <v>0</v>
      </c>
      <c r="BS157" s="31" t="n">
        <f aca="false">T157</f>
        <v>0</v>
      </c>
      <c r="BT157" s="31" t="n">
        <f aca="false">U157</f>
        <v>0</v>
      </c>
      <c r="BU157" s="31" t="n">
        <f aca="false">V157</f>
        <v>0</v>
      </c>
      <c r="BV157" s="32" t="n">
        <f aca="false">IF(BF157=0,IF(BN157=0,0,1),(BN157-BF157)/BF157)</f>
        <v>0</v>
      </c>
      <c r="BW157" s="32" t="n">
        <f aca="false">IF(BG157=0,IF(BO157=0,0,1),(BO157-BG157)/BG157)</f>
        <v>0</v>
      </c>
      <c r="BX157" s="32" t="n">
        <f aca="false">IF(BH157=0,IF(BP157=0,0,1),(BP157-BH157)/BH157)</f>
        <v>0</v>
      </c>
      <c r="BY157" s="32" t="n">
        <f aca="false">IF(BI157=0,IF(BQ157=0,0,1),(BQ157-BI157)/BI157)</f>
        <v>0</v>
      </c>
      <c r="BZ157" s="32" t="n">
        <f aca="false">IF(BJ157=0,IF(BR157=0,0,1),(BR157-BJ157)/BJ157)</f>
        <v>0</v>
      </c>
      <c r="CA157" s="32" t="n">
        <f aca="false">IF(BK157=0,IF(BS157=0,0,1),(BS157-BK157)/BK157)</f>
        <v>0</v>
      </c>
      <c r="CB157" s="32" t="n">
        <f aca="false">IF(BL157=0,IF(BT157=0,0,1),(BT157-BL157)/BL157)</f>
        <v>0</v>
      </c>
      <c r="CC157" s="32" t="n">
        <f aca="false">IF(BM157=0,IF(BU157=0,0,1),(BU157-BM157)/BM157)</f>
        <v>0</v>
      </c>
      <c r="CD157" s="32" t="n">
        <f aca="false">MAX(MAX(BV157:CC157),-MIN(BV157:CC157))</f>
        <v>-0</v>
      </c>
      <c r="CE157" s="31" t="str">
        <f aca="false">IF(CI157="","",SUMIFS($CF$7:$CF$696,$A$7:$A$696,CI157,$B$7:$B$696,B157))</f>
        <v/>
      </c>
      <c r="CF157" s="31" t="n">
        <f aca="false">SUM(AU157:BE157)</f>
        <v>0</v>
      </c>
      <c r="CG157" s="33" t="str">
        <f aca="false">A157&amp;"|"&amp;B157</f>
        <v>2026-06 賞与|地方税共同機構</v>
      </c>
      <c r="CH157" s="34" t="str">
        <f aca="false">IFERROR(INDEX(設定!$D$61:$D$106,MATCH(B157,設定!$B$61:$B$106,0)),"Y")</f>
        <v>Y</v>
      </c>
      <c r="CI157" s="34" t="str">
        <f aca="false">IFERROR(INDEX(設定!$D$20:$D$34,MATCH(A157,設定!$A$20:$A$34,0))&amp;"","")</f>
        <v/>
      </c>
    </row>
    <row r="158" customFormat="false" ht="15" hidden="true" customHeight="false" outlineLevel="0" collapsed="false">
      <c r="A158" s="22" t="s">
        <v>210</v>
      </c>
      <c r="B158" s="23" t="s">
        <v>174</v>
      </c>
      <c r="C158" s="10" t="str">
        <f aca="false">IF(G158="","未受領",IF(G158="なし","報告なし",IF(AH158="○","起票済",IF(OR(AG158="○",F158="一致",F158="入金不要"),"入金確認済","受領済"))))</f>
        <v>入金確認済</v>
      </c>
      <c r="D158" s="10" t="str">
        <f aca="false">IF(OR(G158="",G158="なし"),"―",IF(CH158="N","対象外",IF(AND(I158="",J158="",K158=""),"標報未入力",IF(CD158&gt;=設定!$B$4,"要確認","問題なし"))))</f>
        <v>標報未入力</v>
      </c>
      <c r="E158" s="24" t="str">
        <f aca="false">IF(OR(G158="",G158="なし",CE158="",CF158=0),"―",IF(CF158=CE158,"前月同額",IF(CE158=0,"―",IF(ABS(CF158/CE158-1)&gt;=設定!$B$5,"変動大 "&amp;TEXT(CF158/CE158-1,"+0%;-0%"),"〇"))))</f>
        <v>―</v>
      </c>
      <c r="F158" s="10" t="str">
        <f aca="false">IF(OR(G158="",G158="なし"),"―",IF(CF158=0,"入金不要",IF(COUNT(Z158,AB158,AD158,AF158)=0,IF(AG158="○","手動確認","未入金"),IF(AND(N(Z158)=Y158,IF(AA158="",TRUE(),N(AB158)=AA158),IF(AC158="",TRUE(),N(AD158)=AC158),IF(AE158="",TRUE(),N(AF158)=AE158)),"一致","不一致"))))</f>
        <v>手動確認</v>
      </c>
      <c r="G158" s="25" t="s">
        <v>159</v>
      </c>
      <c r="H158" s="26"/>
      <c r="I158" s="27"/>
      <c r="J158" s="27"/>
      <c r="K158" s="27"/>
      <c r="L158" s="27" t="n">
        <v>0</v>
      </c>
      <c r="M158" s="27" t="n">
        <v>0</v>
      </c>
      <c r="N158" s="27" t="n">
        <v>1500878</v>
      </c>
      <c r="O158" s="27" t="n">
        <v>123022</v>
      </c>
      <c r="P158" s="27" t="n">
        <v>1425</v>
      </c>
      <c r="Q158" s="27" t="n">
        <v>0</v>
      </c>
      <c r="R158" s="27" t="n">
        <v>851479</v>
      </c>
      <c r="S158" s="27" t="n">
        <v>0</v>
      </c>
      <c r="T158" s="27" t="n">
        <v>108719</v>
      </c>
      <c r="U158" s="27" t="n">
        <v>0</v>
      </c>
      <c r="V158" s="27" t="n">
        <v>18863</v>
      </c>
      <c r="W158" s="10" t="str">
        <f aca="false">IFERROR(INDEX(設定!$E$61:$E$106,MATCH(B158,設定!$B$61:$B$106,0)),"合算")</f>
        <v>合算</v>
      </c>
      <c r="X158" s="28"/>
      <c r="Y158" s="29" t="n">
        <f aca="false">IF(OR(G158="",G158="なし"),"",IF(W158="合算",CF158,IF(W158="掛金・負担金別",(AU158+AV158+AZ158+BB158+BD158),SUM(AU158:AY158))))</f>
        <v>2604386</v>
      </c>
      <c r="Z158" s="27"/>
      <c r="AA158" s="29" t="str">
        <f aca="false">IF(OR(G158="",G158="なし"),"",IF(W158="掛金・負担金別",(AW158+AX158+AY158+BA158+BC158+BE158),IF(W158="経理区分別",AZ158+BA158,"")))</f>
        <v/>
      </c>
      <c r="AB158" s="27"/>
      <c r="AC158" s="29" t="str">
        <f aca="false">IF(OR(G158="",G158="なし"),"",IF(W158="経理区分別",BB158+BC158,""))</f>
        <v/>
      </c>
      <c r="AD158" s="27"/>
      <c r="AE158" s="29" t="str">
        <f aca="false">IF(OR(G158="",G158="なし"),"",IF(W158="経理区分別",BD158+BE158,""))</f>
        <v/>
      </c>
      <c r="AF158" s="27"/>
      <c r="AG158" s="26" t="s">
        <v>160</v>
      </c>
      <c r="AH158" s="26"/>
      <c r="AI158" s="30"/>
      <c r="AJ158" s="31"/>
      <c r="AK158" s="31"/>
      <c r="AL158" s="31"/>
      <c r="AM158" s="31"/>
      <c r="AN158" s="31"/>
      <c r="AO158" s="31"/>
      <c r="AP158" s="31"/>
      <c r="AQ158" s="31"/>
      <c r="AR158" s="31"/>
      <c r="AS158" s="31"/>
      <c r="AT158" s="31"/>
      <c r="AU158" s="31" t="n">
        <f aca="false">IF($G158="",AJ158,L158)</f>
        <v>0</v>
      </c>
      <c r="AV158" s="31" t="n">
        <f aca="false">IF($G158="",AK158,M158)</f>
        <v>0</v>
      </c>
      <c r="AW158" s="31" t="n">
        <f aca="false">IF($G158="",AL158,N158)</f>
        <v>1500878</v>
      </c>
      <c r="AX158" s="31" t="n">
        <f aca="false">IF($G158="",AM158,O158)</f>
        <v>123022</v>
      </c>
      <c r="AY158" s="31" t="n">
        <f aca="false">IF($G158="",AN158,P158)</f>
        <v>1425</v>
      </c>
      <c r="AZ158" s="31" t="n">
        <f aca="false">IF($G158="",AO158,Q158)</f>
        <v>0</v>
      </c>
      <c r="BA158" s="31" t="n">
        <f aca="false">IF($G158="",AP158,R158)</f>
        <v>851479</v>
      </c>
      <c r="BB158" s="31" t="n">
        <f aca="false">IF($G158="",AQ158,S158)</f>
        <v>0</v>
      </c>
      <c r="BC158" s="31" t="n">
        <f aca="false">IF($G158="",AR158,T158)</f>
        <v>108719</v>
      </c>
      <c r="BD158" s="31" t="n">
        <f aca="false">IF($G158="",AS158,U158)</f>
        <v>0</v>
      </c>
      <c r="BE158" s="31" t="n">
        <f aca="false">IF($G158="",AT158,V158)</f>
        <v>18863</v>
      </c>
      <c r="BF158" s="31" t="n">
        <f aca="false">ROUNDDOWN(I158*設定!$B$10/1000,0)+ROUNDDOWN(I158*設定!$B$11/1000,0)</f>
        <v>0</v>
      </c>
      <c r="BG158" s="31" t="n">
        <f aca="false">ROUNDDOWN(I158*設定!$C$10/1000,0)+ROUNDDOWN(I158*設定!$C$11/1000,0)+ROUNDDOWN(I158*設定!$C$12/1000,0)</f>
        <v>0</v>
      </c>
      <c r="BH158" s="31" t="n">
        <f aca="false">ROUNDDOWN(J158*設定!$B$13/1000,0)</f>
        <v>0</v>
      </c>
      <c r="BI158" s="31" t="n">
        <f aca="false">ROUNDDOWN(J158*設定!$C$13/1000,0)</f>
        <v>0</v>
      </c>
      <c r="BJ158" s="31" t="n">
        <f aca="false">ROUNDDOWN(K158*設定!$B$14/1000,0)</f>
        <v>0</v>
      </c>
      <c r="BK158" s="31" t="n">
        <f aca="false">ROUNDDOWN(K158*設定!$C$14/1000,0)</f>
        <v>0</v>
      </c>
      <c r="BL158" s="31" t="n">
        <f aca="false">ROUNDDOWN(J158*設定!$B$15/1000,0)</f>
        <v>0</v>
      </c>
      <c r="BM158" s="31" t="n">
        <f aca="false">ROUNDDOWN(J158*設定!$C$15/1000,0)</f>
        <v>0</v>
      </c>
      <c r="BN158" s="31" t="n">
        <f aca="false">L158+M158</f>
        <v>0</v>
      </c>
      <c r="BO158" s="31" t="n">
        <f aca="false">N158+O158+P158</f>
        <v>1625325</v>
      </c>
      <c r="BP158" s="31" t="n">
        <f aca="false">Q158</f>
        <v>0</v>
      </c>
      <c r="BQ158" s="31" t="n">
        <f aca="false">R158</f>
        <v>851479</v>
      </c>
      <c r="BR158" s="31" t="n">
        <f aca="false">S158</f>
        <v>0</v>
      </c>
      <c r="BS158" s="31" t="n">
        <f aca="false">T158</f>
        <v>108719</v>
      </c>
      <c r="BT158" s="31" t="n">
        <f aca="false">U158</f>
        <v>0</v>
      </c>
      <c r="BU158" s="31" t="n">
        <f aca="false">V158</f>
        <v>18863</v>
      </c>
      <c r="BV158" s="32" t="n">
        <f aca="false">IF(BF158=0,IF(BN158=0,0,1),(BN158-BF158)/BF158)</f>
        <v>0</v>
      </c>
      <c r="BW158" s="32" t="n">
        <f aca="false">IF(BG158=0,IF(BO158=0,0,1),(BO158-BG158)/BG158)</f>
        <v>1</v>
      </c>
      <c r="BX158" s="32" t="n">
        <f aca="false">IF(BH158=0,IF(BP158=0,0,1),(BP158-BH158)/BH158)</f>
        <v>0</v>
      </c>
      <c r="BY158" s="32" t="n">
        <f aca="false">IF(BI158=0,IF(BQ158=0,0,1),(BQ158-BI158)/BI158)</f>
        <v>1</v>
      </c>
      <c r="BZ158" s="32" t="n">
        <f aca="false">IF(BJ158=0,IF(BR158=0,0,1),(BR158-BJ158)/BJ158)</f>
        <v>0</v>
      </c>
      <c r="CA158" s="32" t="n">
        <f aca="false">IF(BK158=0,IF(BS158=0,0,1),(BS158-BK158)/BK158)</f>
        <v>1</v>
      </c>
      <c r="CB158" s="32" t="n">
        <f aca="false">IF(BL158=0,IF(BT158=0,0,1),(BT158-BL158)/BL158)</f>
        <v>0</v>
      </c>
      <c r="CC158" s="32" t="n">
        <f aca="false">IF(BM158=0,IF(BU158=0,0,1),(BU158-BM158)/BM158)</f>
        <v>1</v>
      </c>
      <c r="CD158" s="32" t="n">
        <f aca="false">MAX(MAX(BV158:CC158),-MIN(BV158:CC158))</f>
        <v>1</v>
      </c>
      <c r="CE158" s="31" t="str">
        <f aca="false">IF(CI158="","",SUMIFS($CF$7:$CF$696,$A$7:$A$696,CI158,$B$7:$B$696,B158))</f>
        <v/>
      </c>
      <c r="CF158" s="31" t="n">
        <f aca="false">SUM(AU158:BE158)</f>
        <v>2604386</v>
      </c>
      <c r="CG158" s="33" t="str">
        <f aca="false">A158&amp;"|"&amp;B158</f>
        <v>2026-06 賞与|平和文化センター</v>
      </c>
      <c r="CH158" s="34" t="str">
        <f aca="false">IFERROR(INDEX(設定!$D$61:$D$106,MATCH(B158,設定!$B$61:$B$106,0)),"Y")</f>
        <v>Y</v>
      </c>
      <c r="CI158" s="34" t="str">
        <f aca="false">IFERROR(INDEX(設定!$D$20:$D$34,MATCH(A158,設定!$A$20:$A$34,0))&amp;"","")</f>
        <v/>
      </c>
    </row>
    <row r="159" customFormat="false" ht="15" hidden="true" customHeight="false" outlineLevel="0" collapsed="false">
      <c r="A159" s="22" t="s">
        <v>210</v>
      </c>
      <c r="B159" s="23" t="s">
        <v>175</v>
      </c>
      <c r="C159" s="10" t="str">
        <f aca="false">IF(G159="","未受領",IF(G159="なし","報告なし",IF(AH159="○","起票済",IF(OR(AG159="○",F159="一致",F159="入金不要"),"入金確認済","受領済"))))</f>
        <v>入金確認済</v>
      </c>
      <c r="D159" s="10" t="str">
        <f aca="false">IF(OR(G159="",G159="なし"),"―",IF(CH159="N","対象外",IF(AND(I159="",J159="",K159=""),"標報未入力",IF(CD159&gt;=設定!$B$4,"要確認","問題なし"))))</f>
        <v>標報未入力</v>
      </c>
      <c r="E159" s="24" t="str">
        <f aca="false">IF(OR(G159="",G159="なし",CE159="",CF159=0),"―",IF(CF159=CE159,"前月同額",IF(CE159=0,"―",IF(ABS(CF159/CE159-1)&gt;=設定!$B$5,"変動大 "&amp;TEXT(CF159/CE159-1,"+0%;-0%"),"〇"))))</f>
        <v>―</v>
      </c>
      <c r="F159" s="10" t="str">
        <f aca="false">IF(OR(G159="",G159="なし"),"―",IF(CF159=0,"入金不要",IF(COUNT(Z159,AB159,AD159,AF159)=0,IF(AG159="○","手動確認","未入金"),IF(AND(N(Z159)=Y159,IF(AA159="",TRUE(),N(AB159)=AA159),IF(AC159="",TRUE(),N(AD159)=AC159),IF(AE159="",TRUE(),N(AF159)=AE159)),"一致","不一致"))))</f>
        <v>手動確認</v>
      </c>
      <c r="G159" s="25" t="s">
        <v>159</v>
      </c>
      <c r="H159" s="26"/>
      <c r="I159" s="27"/>
      <c r="J159" s="27"/>
      <c r="K159" s="27"/>
      <c r="L159" s="27"/>
      <c r="M159" s="27"/>
      <c r="N159" s="27" t="n">
        <v>4100217</v>
      </c>
      <c r="O159" s="27" t="n">
        <v>336079</v>
      </c>
      <c r="P159" s="27" t="n">
        <v>4035</v>
      </c>
      <c r="Q159" s="27"/>
      <c r="R159" s="27" t="n">
        <v>2386276</v>
      </c>
      <c r="S159" s="27"/>
      <c r="T159" s="27" t="n">
        <v>271657</v>
      </c>
      <c r="U159" s="27"/>
      <c r="V159" s="27" t="n">
        <v>52855</v>
      </c>
      <c r="W159" s="10" t="str">
        <f aca="false">IFERROR(INDEX(設定!$E$61:$E$106,MATCH(B159,設定!$B$61:$B$106,0)),"合算")</f>
        <v>合算</v>
      </c>
      <c r="X159" s="28"/>
      <c r="Y159" s="29" t="n">
        <f aca="false">IF(OR(G159="",G159="なし"),"",IF(W159="合算",CF159,IF(W159="掛金・負担金別",(AU159+AV159+AZ159+BB159+BD159),SUM(AU159:AY159))))</f>
        <v>7151119</v>
      </c>
      <c r="Z159" s="27"/>
      <c r="AA159" s="29" t="str">
        <f aca="false">IF(OR(G159="",G159="なし"),"",IF(W159="掛金・負担金別",(AW159+AX159+AY159+BA159+BC159+BE159),IF(W159="経理区分別",AZ159+BA159,"")))</f>
        <v/>
      </c>
      <c r="AB159" s="27"/>
      <c r="AC159" s="29" t="str">
        <f aca="false">IF(OR(G159="",G159="なし"),"",IF(W159="経理区分別",BB159+BC159,""))</f>
        <v/>
      </c>
      <c r="AD159" s="27"/>
      <c r="AE159" s="29" t="str">
        <f aca="false">IF(OR(G159="",G159="なし"),"",IF(W159="経理区分別",BD159+BE159,""))</f>
        <v/>
      </c>
      <c r="AF159" s="27"/>
      <c r="AG159" s="26" t="s">
        <v>160</v>
      </c>
      <c r="AH159" s="26"/>
      <c r="AI159" s="30"/>
      <c r="AJ159" s="31"/>
      <c r="AK159" s="31"/>
      <c r="AL159" s="31"/>
      <c r="AM159" s="31"/>
      <c r="AN159" s="31"/>
      <c r="AO159" s="31"/>
      <c r="AP159" s="31"/>
      <c r="AQ159" s="31"/>
      <c r="AR159" s="31"/>
      <c r="AS159" s="31"/>
      <c r="AT159" s="31"/>
      <c r="AU159" s="31" t="n">
        <f aca="false">IF($G159="",AJ159,L159)</f>
        <v>0</v>
      </c>
      <c r="AV159" s="31" t="n">
        <f aca="false">IF($G159="",AK159,M159)</f>
        <v>0</v>
      </c>
      <c r="AW159" s="31" t="n">
        <f aca="false">IF($G159="",AL159,N159)</f>
        <v>4100217</v>
      </c>
      <c r="AX159" s="31" t="n">
        <f aca="false">IF($G159="",AM159,O159)</f>
        <v>336079</v>
      </c>
      <c r="AY159" s="31" t="n">
        <f aca="false">IF($G159="",AN159,P159)</f>
        <v>4035</v>
      </c>
      <c r="AZ159" s="31" t="n">
        <f aca="false">IF($G159="",AO159,Q159)</f>
        <v>0</v>
      </c>
      <c r="BA159" s="31" t="n">
        <f aca="false">IF($G159="",AP159,R159)</f>
        <v>2386276</v>
      </c>
      <c r="BB159" s="31" t="n">
        <f aca="false">IF($G159="",AQ159,S159)</f>
        <v>0</v>
      </c>
      <c r="BC159" s="31" t="n">
        <f aca="false">IF($G159="",AR159,T159)</f>
        <v>271657</v>
      </c>
      <c r="BD159" s="31" t="n">
        <f aca="false">IF($G159="",AS159,U159)</f>
        <v>0</v>
      </c>
      <c r="BE159" s="31" t="n">
        <f aca="false">IF($G159="",AT159,V159)</f>
        <v>52855</v>
      </c>
      <c r="BF159" s="31" t="n">
        <f aca="false">ROUNDDOWN(I159*設定!$B$10/1000,0)+ROUNDDOWN(I159*設定!$B$11/1000,0)</f>
        <v>0</v>
      </c>
      <c r="BG159" s="31" t="n">
        <f aca="false">ROUNDDOWN(I159*設定!$C$10/1000,0)+ROUNDDOWN(I159*設定!$C$11/1000,0)+ROUNDDOWN(I159*設定!$C$12/1000,0)</f>
        <v>0</v>
      </c>
      <c r="BH159" s="31" t="n">
        <f aca="false">ROUNDDOWN(J159*設定!$B$13/1000,0)</f>
        <v>0</v>
      </c>
      <c r="BI159" s="31" t="n">
        <f aca="false">ROUNDDOWN(J159*設定!$C$13/1000,0)</f>
        <v>0</v>
      </c>
      <c r="BJ159" s="31" t="n">
        <f aca="false">ROUNDDOWN(K159*設定!$B$14/1000,0)</f>
        <v>0</v>
      </c>
      <c r="BK159" s="31" t="n">
        <f aca="false">ROUNDDOWN(K159*設定!$C$14/1000,0)</f>
        <v>0</v>
      </c>
      <c r="BL159" s="31" t="n">
        <f aca="false">ROUNDDOWN(J159*設定!$B$15/1000,0)</f>
        <v>0</v>
      </c>
      <c r="BM159" s="31" t="n">
        <f aca="false">ROUNDDOWN(J159*設定!$C$15/1000,0)</f>
        <v>0</v>
      </c>
      <c r="BN159" s="31" t="n">
        <f aca="false">L159+M159</f>
        <v>0</v>
      </c>
      <c r="BO159" s="31" t="n">
        <f aca="false">N159+O159+P159</f>
        <v>4440331</v>
      </c>
      <c r="BP159" s="31" t="n">
        <f aca="false">Q159</f>
        <v>0</v>
      </c>
      <c r="BQ159" s="31" t="n">
        <f aca="false">R159</f>
        <v>2386276</v>
      </c>
      <c r="BR159" s="31" t="n">
        <f aca="false">S159</f>
        <v>0</v>
      </c>
      <c r="BS159" s="31" t="n">
        <f aca="false">T159</f>
        <v>271657</v>
      </c>
      <c r="BT159" s="31" t="n">
        <f aca="false">U159</f>
        <v>0</v>
      </c>
      <c r="BU159" s="31" t="n">
        <f aca="false">V159</f>
        <v>52855</v>
      </c>
      <c r="BV159" s="32" t="n">
        <f aca="false">IF(BF159=0,IF(BN159=0,0,1),(BN159-BF159)/BF159)</f>
        <v>0</v>
      </c>
      <c r="BW159" s="32" t="n">
        <f aca="false">IF(BG159=0,IF(BO159=0,0,1),(BO159-BG159)/BG159)</f>
        <v>1</v>
      </c>
      <c r="BX159" s="32" t="n">
        <f aca="false">IF(BH159=0,IF(BP159=0,0,1),(BP159-BH159)/BH159)</f>
        <v>0</v>
      </c>
      <c r="BY159" s="32" t="n">
        <f aca="false">IF(BI159=0,IF(BQ159=0,0,1),(BQ159-BI159)/BI159)</f>
        <v>1</v>
      </c>
      <c r="BZ159" s="32" t="n">
        <f aca="false">IF(BJ159=0,IF(BR159=0,0,1),(BR159-BJ159)/BJ159)</f>
        <v>0</v>
      </c>
      <c r="CA159" s="32" t="n">
        <f aca="false">IF(BK159=0,IF(BS159=0,0,1),(BS159-BK159)/BK159)</f>
        <v>1</v>
      </c>
      <c r="CB159" s="32" t="n">
        <f aca="false">IF(BL159=0,IF(BT159=0,0,1),(BT159-BL159)/BL159)</f>
        <v>0</v>
      </c>
      <c r="CC159" s="32" t="n">
        <f aca="false">IF(BM159=0,IF(BU159=0,0,1),(BU159-BM159)/BM159)</f>
        <v>1</v>
      </c>
      <c r="CD159" s="32" t="n">
        <f aca="false">MAX(MAX(BV159:CC159),-MIN(BV159:CC159))</f>
        <v>1</v>
      </c>
      <c r="CE159" s="31" t="str">
        <f aca="false">IF(CI159="","",SUMIFS($CF$7:$CF$696,$A$7:$A$696,CI159,$B$7:$B$696,B159))</f>
        <v/>
      </c>
      <c r="CF159" s="31" t="n">
        <f aca="false">SUM(AU159:BE159)</f>
        <v>7151119</v>
      </c>
      <c r="CG159" s="33" t="str">
        <f aca="false">A159&amp;"|"&amp;B159</f>
        <v>2026-06 賞与|社会福祉事業団</v>
      </c>
      <c r="CH159" s="34" t="str">
        <f aca="false">IFERROR(INDEX(設定!$D$61:$D$106,MATCH(B159,設定!$B$61:$B$106,0)),"Y")</f>
        <v>Y</v>
      </c>
      <c r="CI159" s="34" t="str">
        <f aca="false">IFERROR(INDEX(設定!$D$20:$D$34,MATCH(A159,設定!$A$20:$A$34,0))&amp;"","")</f>
        <v/>
      </c>
    </row>
    <row r="160" customFormat="false" ht="15" hidden="true" customHeight="false" outlineLevel="0" collapsed="false">
      <c r="A160" s="22" t="s">
        <v>210</v>
      </c>
      <c r="B160" s="23" t="s">
        <v>176</v>
      </c>
      <c r="C160" s="10" t="str">
        <f aca="false">IF(G160="","未受領",IF(G160="なし","報告なし",IF(AH160="○","起票済",IF(OR(AG160="○",F160="一致",F160="入金不要"),"入金確認済","受領済"))))</f>
        <v>入金確認済</v>
      </c>
      <c r="D160" s="10" t="str">
        <f aca="false">IF(OR(G160="",G160="なし"),"―",IF(CH160="N","対象外",IF(AND(I160="",J160="",K160=""),"標報未入力",IF(CD160&gt;=設定!$B$4,"要確認","問題なし"))))</f>
        <v>標報未入力</v>
      </c>
      <c r="E160" s="24" t="str">
        <f aca="false">IF(OR(G160="",G160="なし",CE160="",CF160=0),"―",IF(CF160=CE160,"前月同額",IF(CE160=0,"―",IF(ABS(CF160/CE160-1)&gt;=設定!$B$5,"変動大 "&amp;TEXT(CF160/CE160-1,"+0%;-0%"),"〇"))))</f>
        <v>―</v>
      </c>
      <c r="F160" s="10" t="str">
        <f aca="false">IF(OR(G160="",G160="なし"),"―",IF(CF160=0,"入金不要",IF(COUNT(Z160,AB160,AD160,AF160)=0,IF(AG160="○","手動確認","未入金"),IF(AND(N(Z160)=Y160,IF(AA160="",TRUE(),N(AB160)=AA160),IF(AC160="",TRUE(),N(AD160)=AC160),IF(AE160="",TRUE(),N(AF160)=AE160)),"一致","不一致"))))</f>
        <v>手動確認</v>
      </c>
      <c r="G160" s="25" t="s">
        <v>159</v>
      </c>
      <c r="H160" s="26"/>
      <c r="I160" s="27"/>
      <c r="J160" s="27"/>
      <c r="K160" s="27"/>
      <c r="L160" s="27"/>
      <c r="M160" s="27"/>
      <c r="N160" s="27" t="n">
        <v>100467</v>
      </c>
      <c r="O160" s="27" t="n">
        <v>8235</v>
      </c>
      <c r="P160" s="27" t="n">
        <v>95</v>
      </c>
      <c r="Q160" s="27"/>
      <c r="R160" s="27" t="n">
        <v>56997</v>
      </c>
      <c r="S160" s="27"/>
      <c r="T160" s="27" t="n">
        <v>8674</v>
      </c>
      <c r="U160" s="27"/>
      <c r="V160" s="27" t="n">
        <v>1262</v>
      </c>
      <c r="W160" s="10" t="str">
        <f aca="false">IFERROR(INDEX(設定!$E$61:$E$106,MATCH(B160,設定!$B$61:$B$106,0)),"合算")</f>
        <v>合算</v>
      </c>
      <c r="X160" s="28"/>
      <c r="Y160" s="29" t="n">
        <f aca="false">IF(OR(G160="",G160="なし"),"",IF(W160="合算",CF160,IF(W160="掛金・負担金別",(AU160+AV160+AZ160+BB160+BD160),SUM(AU160:AY160))))</f>
        <v>175730</v>
      </c>
      <c r="Z160" s="27"/>
      <c r="AA160" s="29" t="str">
        <f aca="false">IF(OR(G160="",G160="なし"),"",IF(W160="掛金・負担金別",(AW160+AX160+AY160+BA160+BC160+BE160),IF(W160="経理区分別",AZ160+BA160,"")))</f>
        <v/>
      </c>
      <c r="AB160" s="27"/>
      <c r="AC160" s="29" t="str">
        <f aca="false">IF(OR(G160="",G160="なし"),"",IF(W160="経理区分別",BB160+BC160,""))</f>
        <v/>
      </c>
      <c r="AD160" s="27"/>
      <c r="AE160" s="29" t="str">
        <f aca="false">IF(OR(G160="",G160="なし"),"",IF(W160="経理区分別",BD160+BE160,""))</f>
        <v/>
      </c>
      <c r="AF160" s="27"/>
      <c r="AG160" s="26" t="s">
        <v>160</v>
      </c>
      <c r="AH160" s="26"/>
      <c r="AI160" s="30"/>
      <c r="AJ160" s="31"/>
      <c r="AK160" s="31"/>
      <c r="AL160" s="31"/>
      <c r="AM160" s="31"/>
      <c r="AN160" s="31"/>
      <c r="AO160" s="31"/>
      <c r="AP160" s="31"/>
      <c r="AQ160" s="31"/>
      <c r="AR160" s="31"/>
      <c r="AS160" s="31"/>
      <c r="AT160" s="31"/>
      <c r="AU160" s="31" t="n">
        <f aca="false">IF($G160="",AJ160,L160)</f>
        <v>0</v>
      </c>
      <c r="AV160" s="31" t="n">
        <f aca="false">IF($G160="",AK160,M160)</f>
        <v>0</v>
      </c>
      <c r="AW160" s="31" t="n">
        <f aca="false">IF($G160="",AL160,N160)</f>
        <v>100467</v>
      </c>
      <c r="AX160" s="31" t="n">
        <f aca="false">IF($G160="",AM160,O160)</f>
        <v>8235</v>
      </c>
      <c r="AY160" s="31" t="n">
        <f aca="false">IF($G160="",AN160,P160)</f>
        <v>95</v>
      </c>
      <c r="AZ160" s="31" t="n">
        <f aca="false">IF($G160="",AO160,Q160)</f>
        <v>0</v>
      </c>
      <c r="BA160" s="31" t="n">
        <f aca="false">IF($G160="",AP160,R160)</f>
        <v>56997</v>
      </c>
      <c r="BB160" s="31" t="n">
        <f aca="false">IF($G160="",AQ160,S160)</f>
        <v>0</v>
      </c>
      <c r="BC160" s="31" t="n">
        <f aca="false">IF($G160="",AR160,T160)</f>
        <v>8674</v>
      </c>
      <c r="BD160" s="31" t="n">
        <f aca="false">IF($G160="",AS160,U160)</f>
        <v>0</v>
      </c>
      <c r="BE160" s="31" t="n">
        <f aca="false">IF($G160="",AT160,V160)</f>
        <v>1262</v>
      </c>
      <c r="BF160" s="31" t="n">
        <f aca="false">ROUNDDOWN(I160*設定!$B$10/1000,0)+ROUNDDOWN(I160*設定!$B$11/1000,0)</f>
        <v>0</v>
      </c>
      <c r="BG160" s="31" t="n">
        <f aca="false">ROUNDDOWN(I160*設定!$C$10/1000,0)+ROUNDDOWN(I160*設定!$C$11/1000,0)+ROUNDDOWN(I160*設定!$C$12/1000,0)</f>
        <v>0</v>
      </c>
      <c r="BH160" s="31" t="n">
        <f aca="false">ROUNDDOWN(J160*設定!$B$13/1000,0)</f>
        <v>0</v>
      </c>
      <c r="BI160" s="31" t="n">
        <f aca="false">ROUNDDOWN(J160*設定!$C$13/1000,0)</f>
        <v>0</v>
      </c>
      <c r="BJ160" s="31" t="n">
        <f aca="false">ROUNDDOWN(K160*設定!$B$14/1000,0)</f>
        <v>0</v>
      </c>
      <c r="BK160" s="31" t="n">
        <f aca="false">ROUNDDOWN(K160*設定!$C$14/1000,0)</f>
        <v>0</v>
      </c>
      <c r="BL160" s="31" t="n">
        <f aca="false">ROUNDDOWN(J160*設定!$B$15/1000,0)</f>
        <v>0</v>
      </c>
      <c r="BM160" s="31" t="n">
        <f aca="false">ROUNDDOWN(J160*設定!$C$15/1000,0)</f>
        <v>0</v>
      </c>
      <c r="BN160" s="31" t="n">
        <f aca="false">L160+M160</f>
        <v>0</v>
      </c>
      <c r="BO160" s="31" t="n">
        <f aca="false">N160+O160+P160</f>
        <v>108797</v>
      </c>
      <c r="BP160" s="31" t="n">
        <f aca="false">Q160</f>
        <v>0</v>
      </c>
      <c r="BQ160" s="31" t="n">
        <f aca="false">R160</f>
        <v>56997</v>
      </c>
      <c r="BR160" s="31" t="n">
        <f aca="false">S160</f>
        <v>0</v>
      </c>
      <c r="BS160" s="31" t="n">
        <f aca="false">T160</f>
        <v>8674</v>
      </c>
      <c r="BT160" s="31" t="n">
        <f aca="false">U160</f>
        <v>0</v>
      </c>
      <c r="BU160" s="31" t="n">
        <f aca="false">V160</f>
        <v>1262</v>
      </c>
      <c r="BV160" s="32" t="n">
        <f aca="false">IF(BF160=0,IF(BN160=0,0,1),(BN160-BF160)/BF160)</f>
        <v>0</v>
      </c>
      <c r="BW160" s="32" t="n">
        <f aca="false">IF(BG160=0,IF(BO160=0,0,1),(BO160-BG160)/BG160)</f>
        <v>1</v>
      </c>
      <c r="BX160" s="32" t="n">
        <f aca="false">IF(BH160=0,IF(BP160=0,0,1),(BP160-BH160)/BH160)</f>
        <v>0</v>
      </c>
      <c r="BY160" s="32" t="n">
        <f aca="false">IF(BI160=0,IF(BQ160=0,0,1),(BQ160-BI160)/BI160)</f>
        <v>1</v>
      </c>
      <c r="BZ160" s="32" t="n">
        <f aca="false">IF(BJ160=0,IF(BR160=0,0,1),(BR160-BJ160)/BJ160)</f>
        <v>0</v>
      </c>
      <c r="CA160" s="32" t="n">
        <f aca="false">IF(BK160=0,IF(BS160=0,0,1),(BS160-BK160)/BK160)</f>
        <v>1</v>
      </c>
      <c r="CB160" s="32" t="n">
        <f aca="false">IF(BL160=0,IF(BT160=0,0,1),(BT160-BL160)/BL160)</f>
        <v>0</v>
      </c>
      <c r="CC160" s="32" t="n">
        <f aca="false">IF(BM160=0,IF(BU160=0,0,1),(BU160-BM160)/BM160)</f>
        <v>1</v>
      </c>
      <c r="CD160" s="32" t="n">
        <f aca="false">MAX(MAX(BV160:CC160),-MIN(BV160:CC160))</f>
        <v>1</v>
      </c>
      <c r="CE160" s="31" t="str">
        <f aca="false">IF(CI160="","",SUMIFS($CF$7:$CF$696,$A$7:$A$696,CI160,$B$7:$B$696,B160))</f>
        <v/>
      </c>
      <c r="CF160" s="31" t="n">
        <f aca="false">SUM(AU160:BE160)</f>
        <v>175730</v>
      </c>
      <c r="CG160" s="33" t="str">
        <f aca="false">A160&amp;"|"&amp;B160</f>
        <v>2026-06 賞与|原爆障害対策協議会</v>
      </c>
      <c r="CH160" s="34" t="str">
        <f aca="false">IFERROR(INDEX(設定!$D$61:$D$106,MATCH(B160,設定!$B$61:$B$106,0)),"Y")</f>
        <v>Y</v>
      </c>
      <c r="CI160" s="34" t="str">
        <f aca="false">IFERROR(INDEX(設定!$D$20:$D$34,MATCH(A160,設定!$A$20:$A$34,0))&amp;"","")</f>
        <v/>
      </c>
    </row>
    <row r="161" customFormat="false" ht="15" hidden="true" customHeight="false" outlineLevel="0" collapsed="false">
      <c r="A161" s="22" t="s">
        <v>210</v>
      </c>
      <c r="B161" s="23" t="s">
        <v>177</v>
      </c>
      <c r="C161" s="10" t="str">
        <f aca="false">IF(G161="","未受領",IF(G161="なし","報告なし",IF(AH161="○","起票済",IF(OR(AG161="○",F161="一致",F161="入金不要"),"入金確認済","受領済"))))</f>
        <v>入金確認済</v>
      </c>
      <c r="D161" s="10" t="str">
        <f aca="false">IF(OR(G161="",G161="なし"),"―",IF(CH161="N","対象外",IF(AND(I161="",J161="",K161=""),"標報未入力",IF(CD161&gt;=設定!$B$4,"要確認","問題なし"))))</f>
        <v>標報未入力</v>
      </c>
      <c r="E161" s="24" t="str">
        <f aca="false">IF(OR(G161="",G161="なし",CE161="",CF161=0),"―",IF(CF161=CE161,"前月同額",IF(CE161=0,"―",IF(ABS(CF161/CE161-1)&gt;=設定!$B$5,"変動大 "&amp;TEXT(CF161/CE161-1,"+0%;-0%"),"〇"))))</f>
        <v>―</v>
      </c>
      <c r="F161" s="10" t="str">
        <f aca="false">IF(OR(G161="",G161="なし"),"―",IF(CF161=0,"入金不要",IF(COUNT(Z161,AB161,AD161,AF161)=0,IF(AG161="○","手動確認","未入金"),IF(AND(N(Z161)=Y161,IF(AA161="",TRUE(),N(AB161)=AA161),IF(AC161="",TRUE(),N(AD161)=AC161),IF(AE161="",TRUE(),N(AF161)=AE161)),"一致","不一致"))))</f>
        <v>手動確認</v>
      </c>
      <c r="G161" s="25" t="s">
        <v>159</v>
      </c>
      <c r="H161" s="26"/>
      <c r="I161" s="27"/>
      <c r="J161" s="27"/>
      <c r="K161" s="27"/>
      <c r="L161" s="27"/>
      <c r="M161" s="27"/>
      <c r="N161" s="27" t="n">
        <v>761008</v>
      </c>
      <c r="O161" s="27" t="n">
        <v>62378</v>
      </c>
      <c r="P161" s="27" t="n">
        <v>817</v>
      </c>
      <c r="Q161" s="27"/>
      <c r="R161" s="27" t="n">
        <v>431790</v>
      </c>
      <c r="S161" s="27"/>
      <c r="T161" s="27" t="n">
        <v>55725</v>
      </c>
      <c r="U161" s="27"/>
      <c r="V161" s="27" t="n">
        <v>9563</v>
      </c>
      <c r="W161" s="10" t="str">
        <f aca="false">IFERROR(INDEX(設定!$E$61:$E$106,MATCH(B161,設定!$B$61:$B$106,0)),"合算")</f>
        <v>合算</v>
      </c>
      <c r="X161" s="28"/>
      <c r="Y161" s="29" t="n">
        <f aca="false">IF(OR(G161="",G161="なし"),"",IF(W161="合算",CF161,IF(W161="掛金・負担金別",(AU161+AV161+AZ161+BB161+BD161),SUM(AU161:AY161))))</f>
        <v>1321281</v>
      </c>
      <c r="Z161" s="27"/>
      <c r="AA161" s="29" t="str">
        <f aca="false">IF(OR(G161="",G161="なし"),"",IF(W161="掛金・負担金別",(AW161+AX161+AY161+BA161+BC161+BE161),IF(W161="経理区分別",AZ161+BA161,"")))</f>
        <v/>
      </c>
      <c r="AB161" s="27"/>
      <c r="AC161" s="29" t="str">
        <f aca="false">IF(OR(G161="",G161="なし"),"",IF(W161="経理区分別",BB161+BC161,""))</f>
        <v/>
      </c>
      <c r="AD161" s="27"/>
      <c r="AE161" s="29" t="str">
        <f aca="false">IF(OR(G161="",G161="なし"),"",IF(W161="経理区分別",BD161+BE161,""))</f>
        <v/>
      </c>
      <c r="AF161" s="27"/>
      <c r="AG161" s="26" t="s">
        <v>160</v>
      </c>
      <c r="AH161" s="26"/>
      <c r="AI161" s="30"/>
      <c r="AJ161" s="31"/>
      <c r="AK161" s="31"/>
      <c r="AL161" s="31"/>
      <c r="AM161" s="31"/>
      <c r="AN161" s="31"/>
      <c r="AO161" s="31"/>
      <c r="AP161" s="31"/>
      <c r="AQ161" s="31"/>
      <c r="AR161" s="31"/>
      <c r="AS161" s="31"/>
      <c r="AT161" s="31"/>
      <c r="AU161" s="31" t="n">
        <f aca="false">IF($G161="",AJ161,L161)</f>
        <v>0</v>
      </c>
      <c r="AV161" s="31" t="n">
        <f aca="false">IF($G161="",AK161,M161)</f>
        <v>0</v>
      </c>
      <c r="AW161" s="31" t="n">
        <f aca="false">IF($G161="",AL161,N161)</f>
        <v>761008</v>
      </c>
      <c r="AX161" s="31" t="n">
        <f aca="false">IF($G161="",AM161,O161)</f>
        <v>62378</v>
      </c>
      <c r="AY161" s="31" t="n">
        <f aca="false">IF($G161="",AN161,P161)</f>
        <v>817</v>
      </c>
      <c r="AZ161" s="31" t="n">
        <f aca="false">IF($G161="",AO161,Q161)</f>
        <v>0</v>
      </c>
      <c r="BA161" s="31" t="n">
        <f aca="false">IF($G161="",AP161,R161)</f>
        <v>431790</v>
      </c>
      <c r="BB161" s="31" t="n">
        <f aca="false">IF($G161="",AQ161,S161)</f>
        <v>0</v>
      </c>
      <c r="BC161" s="31" t="n">
        <f aca="false">IF($G161="",AR161,T161)</f>
        <v>55725</v>
      </c>
      <c r="BD161" s="31" t="n">
        <f aca="false">IF($G161="",AS161,U161)</f>
        <v>0</v>
      </c>
      <c r="BE161" s="31" t="n">
        <f aca="false">IF($G161="",AT161,V161)</f>
        <v>9563</v>
      </c>
      <c r="BF161" s="31" t="n">
        <f aca="false">ROUNDDOWN(I161*設定!$B$10/1000,0)+ROUNDDOWN(I161*設定!$B$11/1000,0)</f>
        <v>0</v>
      </c>
      <c r="BG161" s="31" t="n">
        <f aca="false">ROUNDDOWN(I161*設定!$C$10/1000,0)+ROUNDDOWN(I161*設定!$C$11/1000,0)+ROUNDDOWN(I161*設定!$C$12/1000,0)</f>
        <v>0</v>
      </c>
      <c r="BH161" s="31" t="n">
        <f aca="false">ROUNDDOWN(J161*設定!$B$13/1000,0)</f>
        <v>0</v>
      </c>
      <c r="BI161" s="31" t="n">
        <f aca="false">ROUNDDOWN(J161*設定!$C$13/1000,0)</f>
        <v>0</v>
      </c>
      <c r="BJ161" s="31" t="n">
        <f aca="false">ROUNDDOWN(K161*設定!$B$14/1000,0)</f>
        <v>0</v>
      </c>
      <c r="BK161" s="31" t="n">
        <f aca="false">ROUNDDOWN(K161*設定!$C$14/1000,0)</f>
        <v>0</v>
      </c>
      <c r="BL161" s="31" t="n">
        <f aca="false">ROUNDDOWN(J161*設定!$B$15/1000,0)</f>
        <v>0</v>
      </c>
      <c r="BM161" s="31" t="n">
        <f aca="false">ROUNDDOWN(J161*設定!$C$15/1000,0)</f>
        <v>0</v>
      </c>
      <c r="BN161" s="31" t="n">
        <f aca="false">L161+M161</f>
        <v>0</v>
      </c>
      <c r="BO161" s="31" t="n">
        <f aca="false">N161+O161+P161</f>
        <v>824203</v>
      </c>
      <c r="BP161" s="31" t="n">
        <f aca="false">Q161</f>
        <v>0</v>
      </c>
      <c r="BQ161" s="31" t="n">
        <f aca="false">R161</f>
        <v>431790</v>
      </c>
      <c r="BR161" s="31" t="n">
        <f aca="false">S161</f>
        <v>0</v>
      </c>
      <c r="BS161" s="31" t="n">
        <f aca="false">T161</f>
        <v>55725</v>
      </c>
      <c r="BT161" s="31" t="n">
        <f aca="false">U161</f>
        <v>0</v>
      </c>
      <c r="BU161" s="31" t="n">
        <f aca="false">V161</f>
        <v>9563</v>
      </c>
      <c r="BV161" s="32" t="n">
        <f aca="false">IF(BF161=0,IF(BN161=0,0,1),(BN161-BF161)/BF161)</f>
        <v>0</v>
      </c>
      <c r="BW161" s="32" t="n">
        <f aca="false">IF(BG161=0,IF(BO161=0,0,1),(BO161-BG161)/BG161)</f>
        <v>1</v>
      </c>
      <c r="BX161" s="32" t="n">
        <f aca="false">IF(BH161=0,IF(BP161=0,0,1),(BP161-BH161)/BH161)</f>
        <v>0</v>
      </c>
      <c r="BY161" s="32" t="n">
        <f aca="false">IF(BI161=0,IF(BQ161=0,0,1),(BQ161-BI161)/BI161)</f>
        <v>1</v>
      </c>
      <c r="BZ161" s="32" t="n">
        <f aca="false">IF(BJ161=0,IF(BR161=0,0,1),(BR161-BJ161)/BJ161)</f>
        <v>0</v>
      </c>
      <c r="CA161" s="32" t="n">
        <f aca="false">IF(BK161=0,IF(BS161=0,0,1),(BS161-BK161)/BK161)</f>
        <v>1</v>
      </c>
      <c r="CB161" s="32" t="n">
        <f aca="false">IF(BL161=0,IF(BT161=0,0,1),(BT161-BL161)/BL161)</f>
        <v>0</v>
      </c>
      <c r="CC161" s="32" t="n">
        <f aca="false">IF(BM161=0,IF(BU161=0,0,1),(BU161-BM161)/BM161)</f>
        <v>1</v>
      </c>
      <c r="CD161" s="32" t="n">
        <f aca="false">MAX(MAX(BV161:CC161),-MIN(BV161:CC161))</f>
        <v>1</v>
      </c>
      <c r="CE161" s="31" t="str">
        <f aca="false">IF(CI161="","",SUMIFS($CF$7:$CF$696,$A$7:$A$696,CI161,$B$7:$B$696,B161))</f>
        <v/>
      </c>
      <c r="CF161" s="31" t="n">
        <f aca="false">SUM(AU161:BE161)</f>
        <v>1321281</v>
      </c>
      <c r="CG161" s="33" t="str">
        <f aca="false">A161&amp;"|"&amp;B161</f>
        <v>2026-06 賞与|産業振興センター</v>
      </c>
      <c r="CH161" s="34" t="str">
        <f aca="false">IFERROR(INDEX(設定!$D$61:$D$106,MATCH(B161,設定!$B$61:$B$106,0)),"Y")</f>
        <v>Y</v>
      </c>
      <c r="CI161" s="34" t="str">
        <f aca="false">IFERROR(INDEX(設定!$D$20:$D$34,MATCH(A161,設定!$A$20:$A$34,0))&amp;"","")</f>
        <v/>
      </c>
    </row>
    <row r="162" customFormat="false" ht="15" hidden="true" customHeight="false" outlineLevel="0" collapsed="false">
      <c r="A162" s="22" t="s">
        <v>210</v>
      </c>
      <c r="B162" s="23" t="s">
        <v>178</v>
      </c>
      <c r="C162" s="10" t="str">
        <f aca="false">IF(G162="","未受領",IF(G162="なし","報告なし",IF(AH162="○","起票済",IF(OR(AG162="○",F162="一致",F162="入金不要"),"入金確認済","受領済"))))</f>
        <v>入金確認済</v>
      </c>
      <c r="D162" s="10" t="str">
        <f aca="false">IF(OR(G162="",G162="なし"),"―",IF(CH162="N","対象外",IF(AND(I162="",J162="",K162=""),"標報未入力",IF(CD162&gt;=設定!$B$4,"要確認","問題なし"))))</f>
        <v>標報未入力</v>
      </c>
      <c r="E162" s="24" t="str">
        <f aca="false">IF(OR(G162="",G162="なし",CE162="",CF162=0),"―",IF(CF162=CE162,"前月同額",IF(CE162=0,"―",IF(ABS(CF162/CE162-1)&gt;=設定!$B$5,"変動大 "&amp;TEXT(CF162/CE162-1,"+0%;-0%"),"〇"))))</f>
        <v>―</v>
      </c>
      <c r="F162" s="10" t="str">
        <f aca="false">IF(OR(G162="",G162="なし"),"―",IF(CF162=0,"入金不要",IF(COUNT(Z162,AB162,AD162,AF162)=0,IF(AG162="○","手動確認","未入金"),IF(AND(N(Z162)=Y162,IF(AA162="",TRUE(),N(AB162)=AA162),IF(AC162="",TRUE(),N(AD162)=AC162),IF(AE162="",TRUE(),N(AF162)=AE162)),"一致","不一致"))))</f>
        <v>手動確認</v>
      </c>
      <c r="G162" s="25" t="s">
        <v>159</v>
      </c>
      <c r="H162" s="26"/>
      <c r="I162" s="27"/>
      <c r="J162" s="27"/>
      <c r="K162" s="27"/>
      <c r="L162" s="27"/>
      <c r="M162" s="27"/>
      <c r="N162" s="27" t="n">
        <v>97264</v>
      </c>
      <c r="O162" s="27" t="n">
        <v>7972</v>
      </c>
      <c r="P162" s="27" t="n">
        <v>92</v>
      </c>
      <c r="Q162" s="27"/>
      <c r="R162" s="27" t="n">
        <v>55180</v>
      </c>
      <c r="S162" s="27"/>
      <c r="T162" s="27" t="n">
        <v>8397</v>
      </c>
      <c r="U162" s="27"/>
      <c r="V162" s="27" t="n">
        <v>1222</v>
      </c>
      <c r="W162" s="10" t="str">
        <f aca="false">IFERROR(INDEX(設定!$E$61:$E$106,MATCH(B162,設定!$B$61:$B$106,0)),"合算")</f>
        <v>合算</v>
      </c>
      <c r="X162" s="28"/>
      <c r="Y162" s="29" t="n">
        <f aca="false">IF(OR(G162="",G162="なし"),"",IF(W162="合算",CF162,IF(W162="掛金・負担金別",(AU162+AV162+AZ162+BB162+BD162),SUM(AU162:AY162))))</f>
        <v>170127</v>
      </c>
      <c r="Z162" s="27"/>
      <c r="AA162" s="29" t="str">
        <f aca="false">IF(OR(G162="",G162="なし"),"",IF(W162="掛金・負担金別",(AW162+AX162+AY162+BA162+BC162+BE162),IF(W162="経理区分別",AZ162+BA162,"")))</f>
        <v/>
      </c>
      <c r="AB162" s="27"/>
      <c r="AC162" s="29" t="str">
        <f aca="false">IF(OR(G162="",G162="なし"),"",IF(W162="経理区分別",BB162+BC162,""))</f>
        <v/>
      </c>
      <c r="AD162" s="27"/>
      <c r="AE162" s="29" t="str">
        <f aca="false">IF(OR(G162="",G162="なし"),"",IF(W162="経理区分別",BD162+BE162,""))</f>
        <v/>
      </c>
      <c r="AF162" s="27"/>
      <c r="AG162" s="26" t="s">
        <v>160</v>
      </c>
      <c r="AH162" s="26"/>
      <c r="AI162" s="30"/>
      <c r="AJ162" s="31"/>
      <c r="AK162" s="31"/>
      <c r="AL162" s="31"/>
      <c r="AM162" s="31"/>
      <c r="AN162" s="31"/>
      <c r="AO162" s="31"/>
      <c r="AP162" s="31"/>
      <c r="AQ162" s="31"/>
      <c r="AR162" s="31"/>
      <c r="AS162" s="31"/>
      <c r="AT162" s="31"/>
      <c r="AU162" s="31" t="n">
        <f aca="false">IF($G162="",AJ162,L162)</f>
        <v>0</v>
      </c>
      <c r="AV162" s="31" t="n">
        <f aca="false">IF($G162="",AK162,M162)</f>
        <v>0</v>
      </c>
      <c r="AW162" s="31" t="n">
        <f aca="false">IF($G162="",AL162,N162)</f>
        <v>97264</v>
      </c>
      <c r="AX162" s="31" t="n">
        <f aca="false">IF($G162="",AM162,O162)</f>
        <v>7972</v>
      </c>
      <c r="AY162" s="31" t="n">
        <f aca="false">IF($G162="",AN162,P162)</f>
        <v>92</v>
      </c>
      <c r="AZ162" s="31" t="n">
        <f aca="false">IF($G162="",AO162,Q162)</f>
        <v>0</v>
      </c>
      <c r="BA162" s="31" t="n">
        <f aca="false">IF($G162="",AP162,R162)</f>
        <v>55180</v>
      </c>
      <c r="BB162" s="31" t="n">
        <f aca="false">IF($G162="",AQ162,S162)</f>
        <v>0</v>
      </c>
      <c r="BC162" s="31" t="n">
        <f aca="false">IF($G162="",AR162,T162)</f>
        <v>8397</v>
      </c>
      <c r="BD162" s="31" t="n">
        <f aca="false">IF($G162="",AS162,U162)</f>
        <v>0</v>
      </c>
      <c r="BE162" s="31" t="n">
        <f aca="false">IF($G162="",AT162,V162)</f>
        <v>1222</v>
      </c>
      <c r="BF162" s="31" t="n">
        <f aca="false">ROUNDDOWN(I162*設定!$B$10/1000,0)+ROUNDDOWN(I162*設定!$B$11/1000,0)</f>
        <v>0</v>
      </c>
      <c r="BG162" s="31" t="n">
        <f aca="false">ROUNDDOWN(I162*設定!$C$10/1000,0)+ROUNDDOWN(I162*設定!$C$11/1000,0)+ROUNDDOWN(I162*設定!$C$12/1000,0)</f>
        <v>0</v>
      </c>
      <c r="BH162" s="31" t="n">
        <f aca="false">ROUNDDOWN(J162*設定!$B$13/1000,0)</f>
        <v>0</v>
      </c>
      <c r="BI162" s="31" t="n">
        <f aca="false">ROUNDDOWN(J162*設定!$C$13/1000,0)</f>
        <v>0</v>
      </c>
      <c r="BJ162" s="31" t="n">
        <f aca="false">ROUNDDOWN(K162*設定!$B$14/1000,0)</f>
        <v>0</v>
      </c>
      <c r="BK162" s="31" t="n">
        <f aca="false">ROUNDDOWN(K162*設定!$C$14/1000,0)</f>
        <v>0</v>
      </c>
      <c r="BL162" s="31" t="n">
        <f aca="false">ROUNDDOWN(J162*設定!$B$15/1000,0)</f>
        <v>0</v>
      </c>
      <c r="BM162" s="31" t="n">
        <f aca="false">ROUNDDOWN(J162*設定!$C$15/1000,0)</f>
        <v>0</v>
      </c>
      <c r="BN162" s="31" t="n">
        <f aca="false">L162+M162</f>
        <v>0</v>
      </c>
      <c r="BO162" s="31" t="n">
        <f aca="false">N162+O162+P162</f>
        <v>105328</v>
      </c>
      <c r="BP162" s="31" t="n">
        <f aca="false">Q162</f>
        <v>0</v>
      </c>
      <c r="BQ162" s="31" t="n">
        <f aca="false">R162</f>
        <v>55180</v>
      </c>
      <c r="BR162" s="31" t="n">
        <f aca="false">S162</f>
        <v>0</v>
      </c>
      <c r="BS162" s="31" t="n">
        <f aca="false">T162</f>
        <v>8397</v>
      </c>
      <c r="BT162" s="31" t="n">
        <f aca="false">U162</f>
        <v>0</v>
      </c>
      <c r="BU162" s="31" t="n">
        <f aca="false">V162</f>
        <v>1222</v>
      </c>
      <c r="BV162" s="32" t="n">
        <f aca="false">IF(BF162=0,IF(BN162=0,0,1),(BN162-BF162)/BF162)</f>
        <v>0</v>
      </c>
      <c r="BW162" s="32" t="n">
        <f aca="false">IF(BG162=0,IF(BO162=0,0,1),(BO162-BG162)/BG162)</f>
        <v>1</v>
      </c>
      <c r="BX162" s="32" t="n">
        <f aca="false">IF(BH162=0,IF(BP162=0,0,1),(BP162-BH162)/BH162)</f>
        <v>0</v>
      </c>
      <c r="BY162" s="32" t="n">
        <f aca="false">IF(BI162=0,IF(BQ162=0,0,1),(BQ162-BI162)/BI162)</f>
        <v>1</v>
      </c>
      <c r="BZ162" s="32" t="n">
        <f aca="false">IF(BJ162=0,IF(BR162=0,0,1),(BR162-BJ162)/BJ162)</f>
        <v>0</v>
      </c>
      <c r="CA162" s="32" t="n">
        <f aca="false">IF(BK162=0,IF(BS162=0,0,1),(BS162-BK162)/BK162)</f>
        <v>1</v>
      </c>
      <c r="CB162" s="32" t="n">
        <f aca="false">IF(BL162=0,IF(BT162=0,0,1),(BT162-BL162)/BL162)</f>
        <v>0</v>
      </c>
      <c r="CC162" s="32" t="n">
        <f aca="false">IF(BM162=0,IF(BU162=0,0,1),(BU162-BM162)/BM162)</f>
        <v>1</v>
      </c>
      <c r="CD162" s="32" t="n">
        <f aca="false">MAX(MAX(BV162:CC162),-MIN(BV162:CC162))</f>
        <v>1</v>
      </c>
      <c r="CE162" s="31" t="str">
        <f aca="false">IF(CI162="","",SUMIFS($CF$7:$CF$696,$A$7:$A$696,CI162,$B$7:$B$696,B162))</f>
        <v/>
      </c>
      <c r="CF162" s="31" t="n">
        <f aca="false">SUM(AU162:BE162)</f>
        <v>170127</v>
      </c>
      <c r="CG162" s="33" t="str">
        <f aca="false">A162&amp;"|"&amp;B162</f>
        <v>2026-06 賞与|ひろしま産業振興</v>
      </c>
      <c r="CH162" s="34" t="str">
        <f aca="false">IFERROR(INDEX(設定!$D$61:$D$106,MATCH(B162,設定!$B$61:$B$106,0)),"Y")</f>
        <v>Y</v>
      </c>
      <c r="CI162" s="34" t="str">
        <f aca="false">IFERROR(INDEX(設定!$D$20:$D$34,MATCH(A162,設定!$A$20:$A$34,0))&amp;"","")</f>
        <v/>
      </c>
    </row>
    <row r="163" customFormat="false" ht="15" hidden="true" customHeight="false" outlineLevel="0" collapsed="false">
      <c r="A163" s="22" t="s">
        <v>210</v>
      </c>
      <c r="B163" s="23" t="s">
        <v>179</v>
      </c>
      <c r="C163" s="10" t="str">
        <f aca="false">IF(G163="","未受領",IF(G163="なし","報告なし",IF(AH163="○","起票済",IF(OR(AG163="○",F163="一致",F163="入金不要"),"入金確認済","受領済"))))</f>
        <v>入金確認済</v>
      </c>
      <c r="D163" s="10" t="str">
        <f aca="false">IF(OR(G163="",G163="なし"),"―",IF(CH163="N","対象外",IF(AND(I163="",J163="",K163=""),"標報未入力",IF(CD163&gt;=設定!$B$4,"要確認","問題なし"))))</f>
        <v>標報未入力</v>
      </c>
      <c r="E163" s="24" t="str">
        <f aca="false">IF(OR(G163="",G163="なし",CE163="",CF163=0),"―",IF(CF163=CE163,"前月同額",IF(CE163=0,"―",IF(ABS(CF163/CE163-1)&gt;=設定!$B$5,"変動大 "&amp;TEXT(CF163/CE163-1,"+0%;-0%"),"〇"))))</f>
        <v>―</v>
      </c>
      <c r="F163" s="10" t="str">
        <f aca="false">IF(OR(G163="",G163="なし"),"―",IF(CF163=0,"入金不要",IF(COUNT(Z163,AB163,AD163,AF163)=0,IF(AG163="○","手動確認","未入金"),IF(AND(N(Z163)=Y163,IF(AA163="",TRUE(),N(AB163)=AA163),IF(AC163="",TRUE(),N(AD163)=AC163),IF(AE163="",TRUE(),N(AF163)=AE163)),"一致","不一致"))))</f>
        <v>入金不要</v>
      </c>
      <c r="G163" s="25" t="s">
        <v>159</v>
      </c>
      <c r="H163" s="26"/>
      <c r="I163" s="27"/>
      <c r="J163" s="27"/>
      <c r="K163" s="27"/>
      <c r="L163" s="27"/>
      <c r="M163" s="27"/>
      <c r="N163" s="27" t="n">
        <v>0</v>
      </c>
      <c r="O163" s="27" t="n">
        <v>0</v>
      </c>
      <c r="P163" s="27" t="n">
        <v>0</v>
      </c>
      <c r="Q163" s="27"/>
      <c r="R163" s="27" t="n">
        <v>0</v>
      </c>
      <c r="S163" s="27"/>
      <c r="T163" s="27" t="n">
        <v>0</v>
      </c>
      <c r="U163" s="27"/>
      <c r="V163" s="27" t="n">
        <v>0</v>
      </c>
      <c r="W163" s="10" t="str">
        <f aca="false">IFERROR(INDEX(設定!$E$61:$E$106,MATCH(B163,設定!$B$61:$B$106,0)),"合算")</f>
        <v>合算</v>
      </c>
      <c r="X163" s="28"/>
      <c r="Y163" s="29" t="n">
        <f aca="false">IF(OR(G163="",G163="なし"),"",IF(W163="合算",CF163,IF(W163="掛金・負担金別",(AU163+AV163+AZ163+BB163+BD163),SUM(AU163:AY163))))</f>
        <v>0</v>
      </c>
      <c r="Z163" s="27"/>
      <c r="AA163" s="29" t="str">
        <f aca="false">IF(OR(G163="",G163="なし"),"",IF(W163="掛金・負担金別",(AW163+AX163+AY163+BA163+BC163+BE163),IF(W163="経理区分別",AZ163+BA163,"")))</f>
        <v/>
      </c>
      <c r="AB163" s="27"/>
      <c r="AC163" s="29" t="str">
        <f aca="false">IF(OR(G163="",G163="なし"),"",IF(W163="経理区分別",BB163+BC163,""))</f>
        <v/>
      </c>
      <c r="AD163" s="27"/>
      <c r="AE163" s="29" t="str">
        <f aca="false">IF(OR(G163="",G163="なし"),"",IF(W163="経理区分別",BD163+BE163,""))</f>
        <v/>
      </c>
      <c r="AF163" s="27"/>
      <c r="AG163" s="26" t="s">
        <v>160</v>
      </c>
      <c r="AH163" s="26"/>
      <c r="AI163" s="30"/>
      <c r="AJ163" s="31"/>
      <c r="AK163" s="31"/>
      <c r="AL163" s="31"/>
      <c r="AM163" s="31"/>
      <c r="AN163" s="31"/>
      <c r="AO163" s="31"/>
      <c r="AP163" s="31"/>
      <c r="AQ163" s="31"/>
      <c r="AR163" s="31"/>
      <c r="AS163" s="31"/>
      <c r="AT163" s="31"/>
      <c r="AU163" s="31" t="n">
        <f aca="false">IF($G163="",AJ163,L163)</f>
        <v>0</v>
      </c>
      <c r="AV163" s="31" t="n">
        <f aca="false">IF($G163="",AK163,M163)</f>
        <v>0</v>
      </c>
      <c r="AW163" s="31" t="n">
        <f aca="false">IF($G163="",AL163,N163)</f>
        <v>0</v>
      </c>
      <c r="AX163" s="31" t="n">
        <f aca="false">IF($G163="",AM163,O163)</f>
        <v>0</v>
      </c>
      <c r="AY163" s="31" t="n">
        <f aca="false">IF($G163="",AN163,P163)</f>
        <v>0</v>
      </c>
      <c r="AZ163" s="31" t="n">
        <f aca="false">IF($G163="",AO163,Q163)</f>
        <v>0</v>
      </c>
      <c r="BA163" s="31" t="n">
        <f aca="false">IF($G163="",AP163,R163)</f>
        <v>0</v>
      </c>
      <c r="BB163" s="31" t="n">
        <f aca="false">IF($G163="",AQ163,S163)</f>
        <v>0</v>
      </c>
      <c r="BC163" s="31" t="n">
        <f aca="false">IF($G163="",AR163,T163)</f>
        <v>0</v>
      </c>
      <c r="BD163" s="31" t="n">
        <f aca="false">IF($G163="",AS163,U163)</f>
        <v>0</v>
      </c>
      <c r="BE163" s="31" t="n">
        <f aca="false">IF($G163="",AT163,V163)</f>
        <v>0</v>
      </c>
      <c r="BF163" s="31" t="n">
        <f aca="false">ROUNDDOWN(I163*設定!$B$10/1000,0)+ROUNDDOWN(I163*設定!$B$11/1000,0)</f>
        <v>0</v>
      </c>
      <c r="BG163" s="31" t="n">
        <f aca="false">ROUNDDOWN(I163*設定!$C$10/1000,0)+ROUNDDOWN(I163*設定!$C$11/1000,0)+ROUNDDOWN(I163*設定!$C$12/1000,0)</f>
        <v>0</v>
      </c>
      <c r="BH163" s="31" t="n">
        <f aca="false">ROUNDDOWN(J163*設定!$B$13/1000,0)</f>
        <v>0</v>
      </c>
      <c r="BI163" s="31" t="n">
        <f aca="false">ROUNDDOWN(J163*設定!$C$13/1000,0)</f>
        <v>0</v>
      </c>
      <c r="BJ163" s="31" t="n">
        <f aca="false">ROUNDDOWN(K163*設定!$B$14/1000,0)</f>
        <v>0</v>
      </c>
      <c r="BK163" s="31" t="n">
        <f aca="false">ROUNDDOWN(K163*設定!$C$14/1000,0)</f>
        <v>0</v>
      </c>
      <c r="BL163" s="31" t="n">
        <f aca="false">ROUNDDOWN(J163*設定!$B$15/1000,0)</f>
        <v>0</v>
      </c>
      <c r="BM163" s="31" t="n">
        <f aca="false">ROUNDDOWN(J163*設定!$C$15/1000,0)</f>
        <v>0</v>
      </c>
      <c r="BN163" s="31" t="n">
        <f aca="false">L163+M163</f>
        <v>0</v>
      </c>
      <c r="BO163" s="31" t="n">
        <f aca="false">N163+O163+P163</f>
        <v>0</v>
      </c>
      <c r="BP163" s="31" t="n">
        <f aca="false">Q163</f>
        <v>0</v>
      </c>
      <c r="BQ163" s="31" t="n">
        <f aca="false">R163</f>
        <v>0</v>
      </c>
      <c r="BR163" s="31" t="n">
        <f aca="false">S163</f>
        <v>0</v>
      </c>
      <c r="BS163" s="31" t="n">
        <f aca="false">T163</f>
        <v>0</v>
      </c>
      <c r="BT163" s="31" t="n">
        <f aca="false">U163</f>
        <v>0</v>
      </c>
      <c r="BU163" s="31" t="n">
        <f aca="false">V163</f>
        <v>0</v>
      </c>
      <c r="BV163" s="32" t="n">
        <f aca="false">IF(BF163=0,IF(BN163=0,0,1),(BN163-BF163)/BF163)</f>
        <v>0</v>
      </c>
      <c r="BW163" s="32" t="n">
        <f aca="false">IF(BG163=0,IF(BO163=0,0,1),(BO163-BG163)/BG163)</f>
        <v>0</v>
      </c>
      <c r="BX163" s="32" t="n">
        <f aca="false">IF(BH163=0,IF(BP163=0,0,1),(BP163-BH163)/BH163)</f>
        <v>0</v>
      </c>
      <c r="BY163" s="32" t="n">
        <f aca="false">IF(BI163=0,IF(BQ163=0,0,1),(BQ163-BI163)/BI163)</f>
        <v>0</v>
      </c>
      <c r="BZ163" s="32" t="n">
        <f aca="false">IF(BJ163=0,IF(BR163=0,0,1),(BR163-BJ163)/BJ163)</f>
        <v>0</v>
      </c>
      <c r="CA163" s="32" t="n">
        <f aca="false">IF(BK163=0,IF(BS163=0,0,1),(BS163-BK163)/BK163)</f>
        <v>0</v>
      </c>
      <c r="CB163" s="32" t="n">
        <f aca="false">IF(BL163=0,IF(BT163=0,0,1),(BT163-BL163)/BL163)</f>
        <v>0</v>
      </c>
      <c r="CC163" s="32" t="n">
        <f aca="false">IF(BM163=0,IF(BU163=0,0,1),(BU163-BM163)/BM163)</f>
        <v>0</v>
      </c>
      <c r="CD163" s="32" t="n">
        <f aca="false">MAX(MAX(BV163:CC163),-MIN(BV163:CC163))</f>
        <v>-0</v>
      </c>
      <c r="CE163" s="31" t="str">
        <f aca="false">IF(CI163="","",SUMIFS($CF$7:$CF$696,$A$7:$A$696,CI163,$B$7:$B$696,B163))</f>
        <v/>
      </c>
      <c r="CF163" s="31" t="n">
        <f aca="false">SUM(AU163:BE163)</f>
        <v>0</v>
      </c>
      <c r="CG163" s="33" t="str">
        <f aca="false">A163&amp;"|"&amp;B163</f>
        <v>2026-06 賞与|都市整備公社　市</v>
      </c>
      <c r="CH163" s="34" t="str">
        <f aca="false">IFERROR(INDEX(設定!$D$61:$D$106,MATCH(B163,設定!$B$61:$B$106,0)),"Y")</f>
        <v>Y</v>
      </c>
      <c r="CI163" s="34" t="str">
        <f aca="false">IFERROR(INDEX(設定!$D$20:$D$34,MATCH(A163,設定!$A$20:$A$34,0))&amp;"","")</f>
        <v/>
      </c>
    </row>
    <row r="164" customFormat="false" ht="15" hidden="true" customHeight="false" outlineLevel="0" collapsed="false">
      <c r="A164" s="22" t="s">
        <v>210</v>
      </c>
      <c r="B164" s="23" t="s">
        <v>180</v>
      </c>
      <c r="C164" s="10" t="str">
        <f aca="false">IF(G164="","未受領",IF(G164="なし","報告なし",IF(AH164="○","起票済",IF(OR(AG164="○",F164="一致",F164="入金不要"),"入金確認済","受領済"))))</f>
        <v>入金確認済</v>
      </c>
      <c r="D164" s="10" t="str">
        <f aca="false">IF(OR(G164="",G164="なし"),"―",IF(CH164="N","対象外",IF(AND(I164="",J164="",K164=""),"標報未入力",IF(CD164&gt;=設定!$B$4,"要確認","問題なし"))))</f>
        <v>標報未入力</v>
      </c>
      <c r="E164" s="24" t="str">
        <f aca="false">IF(OR(G164="",G164="なし",CE164="",CF164=0),"―",IF(CF164=CE164,"前月同額",IF(CE164=0,"―",IF(ABS(CF164/CE164-1)&gt;=設定!$B$5,"変動大 "&amp;TEXT(CF164/CE164-1,"+0%;-0%"),"〇"))))</f>
        <v>―</v>
      </c>
      <c r="F164" s="10" t="str">
        <f aca="false">IF(OR(G164="",G164="なし"),"―",IF(CF164=0,"入金不要",IF(COUNT(Z164,AB164,AD164,AF164)=0,IF(AG164="○","手動確認","未入金"),IF(AND(N(Z164)=Y164,IF(AA164="",TRUE(),N(AB164)=AA164),IF(AC164="",TRUE(),N(AD164)=AC164),IF(AE164="",TRUE(),N(AF164)=AE164)),"一致","不一致"))))</f>
        <v>手動確認</v>
      </c>
      <c r="G164" s="25" t="s">
        <v>159</v>
      </c>
      <c r="H164" s="26"/>
      <c r="I164" s="27"/>
      <c r="J164" s="27"/>
      <c r="K164" s="27"/>
      <c r="L164" s="27"/>
      <c r="M164" s="27"/>
      <c r="N164" s="27" t="n">
        <v>406444</v>
      </c>
      <c r="O164" s="27" t="n">
        <v>33315</v>
      </c>
      <c r="P164" s="27" t="n">
        <v>386</v>
      </c>
      <c r="Q164" s="27"/>
      <c r="R164" s="27" t="n">
        <v>230584</v>
      </c>
      <c r="S164" s="27"/>
      <c r="T164" s="27" t="n">
        <v>27744</v>
      </c>
      <c r="U164" s="27"/>
      <c r="V164" s="27" t="n">
        <v>5108</v>
      </c>
      <c r="W164" s="10" t="str">
        <f aca="false">IFERROR(INDEX(設定!$E$61:$E$106,MATCH(B164,設定!$B$61:$B$106,0)),"合算")</f>
        <v>合算</v>
      </c>
      <c r="X164" s="28"/>
      <c r="Y164" s="29" t="n">
        <f aca="false">IF(OR(G164="",G164="なし"),"",IF(W164="合算",CF164,IF(W164="掛金・負担金別",(AU164+AV164+AZ164+BB164+BD164),SUM(AU164:AY164))))</f>
        <v>703581</v>
      </c>
      <c r="Z164" s="27"/>
      <c r="AA164" s="29" t="str">
        <f aca="false">IF(OR(G164="",G164="なし"),"",IF(W164="掛金・負担金別",(AW164+AX164+AY164+BA164+BC164+BE164),IF(W164="経理区分別",AZ164+BA164,"")))</f>
        <v/>
      </c>
      <c r="AB164" s="27"/>
      <c r="AC164" s="29" t="str">
        <f aca="false">IF(OR(G164="",G164="なし"),"",IF(W164="経理区分別",BB164+BC164,""))</f>
        <v/>
      </c>
      <c r="AD164" s="27"/>
      <c r="AE164" s="29" t="str">
        <f aca="false">IF(OR(G164="",G164="なし"),"",IF(W164="経理区分別",BD164+BE164,""))</f>
        <v/>
      </c>
      <c r="AF164" s="27"/>
      <c r="AG164" s="26" t="s">
        <v>160</v>
      </c>
      <c r="AH164" s="26"/>
      <c r="AI164" s="30"/>
      <c r="AJ164" s="31"/>
      <c r="AK164" s="31"/>
      <c r="AL164" s="31"/>
      <c r="AM164" s="31"/>
      <c r="AN164" s="31"/>
      <c r="AO164" s="31"/>
      <c r="AP164" s="31"/>
      <c r="AQ164" s="31"/>
      <c r="AR164" s="31"/>
      <c r="AS164" s="31"/>
      <c r="AT164" s="31"/>
      <c r="AU164" s="31" t="n">
        <f aca="false">IF($G164="",AJ164,L164)</f>
        <v>0</v>
      </c>
      <c r="AV164" s="31" t="n">
        <f aca="false">IF($G164="",AK164,M164)</f>
        <v>0</v>
      </c>
      <c r="AW164" s="31" t="n">
        <f aca="false">IF($G164="",AL164,N164)</f>
        <v>406444</v>
      </c>
      <c r="AX164" s="31" t="n">
        <f aca="false">IF($G164="",AM164,O164)</f>
        <v>33315</v>
      </c>
      <c r="AY164" s="31" t="n">
        <f aca="false">IF($G164="",AN164,P164)</f>
        <v>386</v>
      </c>
      <c r="AZ164" s="31" t="n">
        <f aca="false">IF($G164="",AO164,Q164)</f>
        <v>0</v>
      </c>
      <c r="BA164" s="31" t="n">
        <f aca="false">IF($G164="",AP164,R164)</f>
        <v>230584</v>
      </c>
      <c r="BB164" s="31" t="n">
        <f aca="false">IF($G164="",AQ164,S164)</f>
        <v>0</v>
      </c>
      <c r="BC164" s="31" t="n">
        <f aca="false">IF($G164="",AR164,T164)</f>
        <v>27744</v>
      </c>
      <c r="BD164" s="31" t="n">
        <f aca="false">IF($G164="",AS164,U164)</f>
        <v>0</v>
      </c>
      <c r="BE164" s="31" t="n">
        <f aca="false">IF($G164="",AT164,V164)</f>
        <v>5108</v>
      </c>
      <c r="BF164" s="31" t="n">
        <f aca="false">ROUNDDOWN(I164*設定!$B$10/1000,0)+ROUNDDOWN(I164*設定!$B$11/1000,0)</f>
        <v>0</v>
      </c>
      <c r="BG164" s="31" t="n">
        <f aca="false">ROUNDDOWN(I164*設定!$C$10/1000,0)+ROUNDDOWN(I164*設定!$C$11/1000,0)+ROUNDDOWN(I164*設定!$C$12/1000,0)</f>
        <v>0</v>
      </c>
      <c r="BH164" s="31" t="n">
        <f aca="false">ROUNDDOWN(J164*設定!$B$13/1000,0)</f>
        <v>0</v>
      </c>
      <c r="BI164" s="31" t="n">
        <f aca="false">ROUNDDOWN(J164*設定!$C$13/1000,0)</f>
        <v>0</v>
      </c>
      <c r="BJ164" s="31" t="n">
        <f aca="false">ROUNDDOWN(K164*設定!$B$14/1000,0)</f>
        <v>0</v>
      </c>
      <c r="BK164" s="31" t="n">
        <f aca="false">ROUNDDOWN(K164*設定!$C$14/1000,0)</f>
        <v>0</v>
      </c>
      <c r="BL164" s="31" t="n">
        <f aca="false">ROUNDDOWN(J164*設定!$B$15/1000,0)</f>
        <v>0</v>
      </c>
      <c r="BM164" s="31" t="n">
        <f aca="false">ROUNDDOWN(J164*設定!$C$15/1000,0)</f>
        <v>0</v>
      </c>
      <c r="BN164" s="31" t="n">
        <f aca="false">L164+M164</f>
        <v>0</v>
      </c>
      <c r="BO164" s="31" t="n">
        <f aca="false">N164+O164+P164</f>
        <v>440145</v>
      </c>
      <c r="BP164" s="31" t="n">
        <f aca="false">Q164</f>
        <v>0</v>
      </c>
      <c r="BQ164" s="31" t="n">
        <f aca="false">R164</f>
        <v>230584</v>
      </c>
      <c r="BR164" s="31" t="n">
        <f aca="false">S164</f>
        <v>0</v>
      </c>
      <c r="BS164" s="31" t="n">
        <f aca="false">T164</f>
        <v>27744</v>
      </c>
      <c r="BT164" s="31" t="n">
        <f aca="false">U164</f>
        <v>0</v>
      </c>
      <c r="BU164" s="31" t="n">
        <f aca="false">V164</f>
        <v>5108</v>
      </c>
      <c r="BV164" s="32" t="n">
        <f aca="false">IF(BF164=0,IF(BN164=0,0,1),(BN164-BF164)/BF164)</f>
        <v>0</v>
      </c>
      <c r="BW164" s="32" t="n">
        <f aca="false">IF(BG164=0,IF(BO164=0,0,1),(BO164-BG164)/BG164)</f>
        <v>1</v>
      </c>
      <c r="BX164" s="32" t="n">
        <f aca="false">IF(BH164=0,IF(BP164=0,0,1),(BP164-BH164)/BH164)</f>
        <v>0</v>
      </c>
      <c r="BY164" s="32" t="n">
        <f aca="false">IF(BI164=0,IF(BQ164=0,0,1),(BQ164-BI164)/BI164)</f>
        <v>1</v>
      </c>
      <c r="BZ164" s="32" t="n">
        <f aca="false">IF(BJ164=0,IF(BR164=0,0,1),(BR164-BJ164)/BJ164)</f>
        <v>0</v>
      </c>
      <c r="CA164" s="32" t="n">
        <f aca="false">IF(BK164=0,IF(BS164=0,0,1),(BS164-BK164)/BK164)</f>
        <v>1</v>
      </c>
      <c r="CB164" s="32" t="n">
        <f aca="false">IF(BL164=0,IF(BT164=0,0,1),(BT164-BL164)/BL164)</f>
        <v>0</v>
      </c>
      <c r="CC164" s="32" t="n">
        <f aca="false">IF(BM164=0,IF(BU164=0,0,1),(BU164-BM164)/BM164)</f>
        <v>1</v>
      </c>
      <c r="CD164" s="32" t="n">
        <f aca="false">MAX(MAX(BV164:CC164),-MIN(BV164:CC164))</f>
        <v>1</v>
      </c>
      <c r="CE164" s="31" t="str">
        <f aca="false">IF(CI164="","",SUMIFS($CF$7:$CF$696,$A$7:$A$696,CI164,$B$7:$B$696,B164))</f>
        <v/>
      </c>
      <c r="CF164" s="31" t="n">
        <f aca="false">SUM(AU164:BE164)</f>
        <v>703581</v>
      </c>
      <c r="CG164" s="33" t="str">
        <f aca="false">A164&amp;"|"&amp;B164</f>
        <v>2026-06 賞与|都市整備公社　消防</v>
      </c>
      <c r="CH164" s="34" t="str">
        <f aca="false">IFERROR(INDEX(設定!$D$61:$D$106,MATCH(B164,設定!$B$61:$B$106,0)),"Y")</f>
        <v>Y</v>
      </c>
      <c r="CI164" s="34" t="str">
        <f aca="false">IFERROR(INDEX(設定!$D$20:$D$34,MATCH(A164,設定!$A$20:$A$34,0))&amp;"","")</f>
        <v/>
      </c>
    </row>
    <row r="165" customFormat="false" ht="15" hidden="true" customHeight="false" outlineLevel="0" collapsed="false">
      <c r="A165" s="22" t="s">
        <v>210</v>
      </c>
      <c r="B165" s="23" t="s">
        <v>181</v>
      </c>
      <c r="C165" s="10" t="str">
        <f aca="false">IF(G165="","未受領",IF(G165="なし","報告なし",IF(AH165="○","起票済",IF(OR(AG165="○",F165="一致",F165="入金不要"),"入金確認済","受領済"))))</f>
        <v>入金確認済</v>
      </c>
      <c r="D165" s="10" t="str">
        <f aca="false">IF(OR(G165="",G165="なし"),"―",IF(CH165="N","対象外",IF(AND(I165="",J165="",K165=""),"標報未入力",IF(CD165&gt;=設定!$B$4,"要確認","問題なし"))))</f>
        <v>標報未入力</v>
      </c>
      <c r="E165" s="24" t="str">
        <f aca="false">IF(OR(G165="",G165="なし",CE165="",CF165=0),"―",IF(CF165=CE165,"前月同額",IF(CE165=0,"―",IF(ABS(CF165/CE165-1)&gt;=設定!$B$5,"変動大 "&amp;TEXT(CF165/CE165-1,"+0%;-0%"),"〇"))))</f>
        <v>―</v>
      </c>
      <c r="F165" s="10" t="str">
        <f aca="false">IF(OR(G165="",G165="なし"),"―",IF(CF165=0,"入金不要",IF(COUNT(Z165,AB165,AD165,AF165)=0,IF(AG165="○","手動確認","未入金"),IF(AND(N(Z165)=Y165,IF(AA165="",TRUE(),N(AB165)=AA165),IF(AC165="",TRUE(),N(AD165)=AC165),IF(AE165="",TRUE(),N(AF165)=AE165)),"一致","不一致"))))</f>
        <v>手動確認</v>
      </c>
      <c r="G165" s="25" t="s">
        <v>159</v>
      </c>
      <c r="H165" s="26"/>
      <c r="I165" s="27"/>
      <c r="J165" s="27"/>
      <c r="K165" s="27"/>
      <c r="L165" s="27" t="n">
        <v>472780</v>
      </c>
      <c r="M165" s="27" t="n">
        <v>38752</v>
      </c>
      <c r="N165" s="27" t="n">
        <v>472781</v>
      </c>
      <c r="O165" s="27" t="n">
        <v>38752</v>
      </c>
      <c r="P165" s="27" t="n">
        <v>449</v>
      </c>
      <c r="Q165" s="27" t="n">
        <v>267959</v>
      </c>
      <c r="R165" s="27" t="n">
        <v>268218</v>
      </c>
      <c r="S165" s="27" t="n">
        <v>19702</v>
      </c>
      <c r="T165" s="27" t="n">
        <v>19702</v>
      </c>
      <c r="U165" s="27" t="n">
        <v>5940</v>
      </c>
      <c r="V165" s="27" t="n">
        <v>5942</v>
      </c>
      <c r="W165" s="10" t="str">
        <f aca="false">IFERROR(INDEX(設定!$E$61:$E$106,MATCH(B165,設定!$B$61:$B$106,0)),"合算")</f>
        <v>合算</v>
      </c>
      <c r="X165" s="28"/>
      <c r="Y165" s="29" t="n">
        <f aca="false">IF(OR(G165="",G165="なし"),"",IF(W165="合算",CF165,IF(W165="掛金・負担金別",(AU165+AV165+AZ165+BB165+BD165),SUM(AU165:AY165))))</f>
        <v>1610977</v>
      </c>
      <c r="Z165" s="27"/>
      <c r="AA165" s="29" t="str">
        <f aca="false">IF(OR(G165="",G165="なし"),"",IF(W165="掛金・負担金別",(AW165+AX165+AY165+BA165+BC165+BE165),IF(W165="経理区分別",AZ165+BA165,"")))</f>
        <v/>
      </c>
      <c r="AB165" s="27"/>
      <c r="AC165" s="29" t="str">
        <f aca="false">IF(OR(G165="",G165="なし"),"",IF(W165="経理区分別",BB165+BC165,""))</f>
        <v/>
      </c>
      <c r="AD165" s="27"/>
      <c r="AE165" s="29" t="str">
        <f aca="false">IF(OR(G165="",G165="なし"),"",IF(W165="経理区分別",BD165+BE165,""))</f>
        <v/>
      </c>
      <c r="AF165" s="27"/>
      <c r="AG165" s="26" t="s">
        <v>160</v>
      </c>
      <c r="AH165" s="26"/>
      <c r="AI165" s="30"/>
      <c r="AJ165" s="31"/>
      <c r="AK165" s="31"/>
      <c r="AL165" s="31"/>
      <c r="AM165" s="31"/>
      <c r="AN165" s="31"/>
      <c r="AO165" s="31"/>
      <c r="AP165" s="31"/>
      <c r="AQ165" s="31"/>
      <c r="AR165" s="31"/>
      <c r="AS165" s="31"/>
      <c r="AT165" s="31"/>
      <c r="AU165" s="31" t="n">
        <f aca="false">IF($G165="",AJ165,L165)</f>
        <v>472780</v>
      </c>
      <c r="AV165" s="31" t="n">
        <f aca="false">IF($G165="",AK165,M165)</f>
        <v>38752</v>
      </c>
      <c r="AW165" s="31" t="n">
        <f aca="false">IF($G165="",AL165,N165)</f>
        <v>472781</v>
      </c>
      <c r="AX165" s="31" t="n">
        <f aca="false">IF($G165="",AM165,O165)</f>
        <v>38752</v>
      </c>
      <c r="AY165" s="31" t="n">
        <f aca="false">IF($G165="",AN165,P165)</f>
        <v>449</v>
      </c>
      <c r="AZ165" s="31" t="n">
        <f aca="false">IF($G165="",AO165,Q165)</f>
        <v>267959</v>
      </c>
      <c r="BA165" s="31" t="n">
        <f aca="false">IF($G165="",AP165,R165)</f>
        <v>268218</v>
      </c>
      <c r="BB165" s="31" t="n">
        <f aca="false">IF($G165="",AQ165,S165)</f>
        <v>19702</v>
      </c>
      <c r="BC165" s="31" t="n">
        <f aca="false">IF($G165="",AR165,T165)</f>
        <v>19702</v>
      </c>
      <c r="BD165" s="31" t="n">
        <f aca="false">IF($G165="",AS165,U165)</f>
        <v>5940</v>
      </c>
      <c r="BE165" s="31" t="n">
        <f aca="false">IF($G165="",AT165,V165)</f>
        <v>5942</v>
      </c>
      <c r="BF165" s="31" t="n">
        <f aca="false">ROUNDDOWN(I165*設定!$B$10/1000,0)+ROUNDDOWN(I165*設定!$B$11/1000,0)</f>
        <v>0</v>
      </c>
      <c r="BG165" s="31" t="n">
        <f aca="false">ROUNDDOWN(I165*設定!$C$10/1000,0)+ROUNDDOWN(I165*設定!$C$11/1000,0)+ROUNDDOWN(I165*設定!$C$12/1000,0)</f>
        <v>0</v>
      </c>
      <c r="BH165" s="31" t="n">
        <f aca="false">ROUNDDOWN(J165*設定!$B$13/1000,0)</f>
        <v>0</v>
      </c>
      <c r="BI165" s="31" t="n">
        <f aca="false">ROUNDDOWN(J165*設定!$C$13/1000,0)</f>
        <v>0</v>
      </c>
      <c r="BJ165" s="31" t="n">
        <f aca="false">ROUNDDOWN(K165*設定!$B$14/1000,0)</f>
        <v>0</v>
      </c>
      <c r="BK165" s="31" t="n">
        <f aca="false">ROUNDDOWN(K165*設定!$C$14/1000,0)</f>
        <v>0</v>
      </c>
      <c r="BL165" s="31" t="n">
        <f aca="false">ROUNDDOWN(J165*設定!$B$15/1000,0)</f>
        <v>0</v>
      </c>
      <c r="BM165" s="31" t="n">
        <f aca="false">ROUNDDOWN(J165*設定!$C$15/1000,0)</f>
        <v>0</v>
      </c>
      <c r="BN165" s="31" t="n">
        <f aca="false">L165+M165</f>
        <v>511532</v>
      </c>
      <c r="BO165" s="31" t="n">
        <f aca="false">N165+O165+P165</f>
        <v>511982</v>
      </c>
      <c r="BP165" s="31" t="n">
        <f aca="false">Q165</f>
        <v>267959</v>
      </c>
      <c r="BQ165" s="31" t="n">
        <f aca="false">R165</f>
        <v>268218</v>
      </c>
      <c r="BR165" s="31" t="n">
        <f aca="false">S165</f>
        <v>19702</v>
      </c>
      <c r="BS165" s="31" t="n">
        <f aca="false">T165</f>
        <v>19702</v>
      </c>
      <c r="BT165" s="31" t="n">
        <f aca="false">U165</f>
        <v>5940</v>
      </c>
      <c r="BU165" s="31" t="n">
        <f aca="false">V165</f>
        <v>5942</v>
      </c>
      <c r="BV165" s="32" t="n">
        <f aca="false">IF(BF165=0,IF(BN165=0,0,1),(BN165-BF165)/BF165)</f>
        <v>1</v>
      </c>
      <c r="BW165" s="32" t="n">
        <f aca="false">IF(BG165=0,IF(BO165=0,0,1),(BO165-BG165)/BG165)</f>
        <v>1</v>
      </c>
      <c r="BX165" s="32" t="n">
        <f aca="false">IF(BH165=0,IF(BP165=0,0,1),(BP165-BH165)/BH165)</f>
        <v>1</v>
      </c>
      <c r="BY165" s="32" t="n">
        <f aca="false">IF(BI165=0,IF(BQ165=0,0,1),(BQ165-BI165)/BI165)</f>
        <v>1</v>
      </c>
      <c r="BZ165" s="32" t="n">
        <f aca="false">IF(BJ165=0,IF(BR165=0,0,1),(BR165-BJ165)/BJ165)</f>
        <v>1</v>
      </c>
      <c r="CA165" s="32" t="n">
        <f aca="false">IF(BK165=0,IF(BS165=0,0,1),(BS165-BK165)/BK165)</f>
        <v>1</v>
      </c>
      <c r="CB165" s="32" t="n">
        <f aca="false">IF(BL165=0,IF(BT165=0,0,1),(BT165-BL165)/BL165)</f>
        <v>1</v>
      </c>
      <c r="CC165" s="32" t="n">
        <f aca="false">IF(BM165=0,IF(BU165=0,0,1),(BU165-BM165)/BM165)</f>
        <v>1</v>
      </c>
      <c r="CD165" s="32" t="n">
        <f aca="false">MAX(MAX(BV165:CC165),-MIN(BV165:CC165))</f>
        <v>1</v>
      </c>
      <c r="CE165" s="31" t="str">
        <f aca="false">IF(CI165="","",SUMIFS($CF$7:$CF$696,$A$7:$A$696,CI165,$B$7:$B$696,B165))</f>
        <v/>
      </c>
      <c r="CF165" s="31" t="n">
        <f aca="false">SUM(AU165:BE165)</f>
        <v>1610977</v>
      </c>
      <c r="CG165" s="33" t="str">
        <f aca="false">A165&amp;"|"&amp;B165</f>
        <v>2026-06 賞与|日本下水道事業団</v>
      </c>
      <c r="CH165" s="34" t="str">
        <f aca="false">IFERROR(INDEX(設定!$D$61:$D$106,MATCH(B165,設定!$B$61:$B$106,0)),"Y")</f>
        <v>Y</v>
      </c>
      <c r="CI165" s="34" t="str">
        <f aca="false">IFERROR(INDEX(設定!$D$20:$D$34,MATCH(A165,設定!$A$20:$A$34,0))&amp;"","")</f>
        <v/>
      </c>
    </row>
    <row r="166" customFormat="false" ht="15" hidden="true" customHeight="false" outlineLevel="0" collapsed="false">
      <c r="A166" s="22" t="s">
        <v>210</v>
      </c>
      <c r="B166" s="23" t="s">
        <v>182</v>
      </c>
      <c r="C166" s="10" t="str">
        <f aca="false">IF(G166="","未受領",IF(G166="なし","報告なし",IF(AH166="○","起票済",IF(OR(AG166="○",F166="一致",F166="入金不要"),"入金確認済","受領済"))))</f>
        <v>入金確認済</v>
      </c>
      <c r="D166" s="10" t="str">
        <f aca="false">IF(OR(G166="",G166="なし"),"―",IF(CH166="N","対象外",IF(AND(I166="",J166="",K166=""),"標報未入力",IF(CD166&gt;=設定!$B$4,"要確認","問題なし"))))</f>
        <v>標報未入力</v>
      </c>
      <c r="E166" s="24" t="str">
        <f aca="false">IF(OR(G166="",G166="なし",CE166="",CF166=0),"―",IF(CF166=CE166,"前月同額",IF(CE166=0,"―",IF(ABS(CF166/CE166-1)&gt;=設定!$B$5,"変動大 "&amp;TEXT(CF166/CE166-1,"+0%;-0%"),"〇"))))</f>
        <v>―</v>
      </c>
      <c r="F166" s="10" t="str">
        <f aca="false">IF(OR(G166="",G166="なし"),"―",IF(CF166=0,"入金不要",IF(COUNT(Z166,AB166,AD166,AF166)=0,IF(AG166="○","手動確認","未入金"),IF(AND(N(Z166)=Y166,IF(AA166="",TRUE(),N(AB166)=AA166),IF(AC166="",TRUE(),N(AD166)=AC166),IF(AE166="",TRUE(),N(AF166)=AE166)),"一致","不一致"))))</f>
        <v>手動確認</v>
      </c>
      <c r="G166" s="25" t="s">
        <v>159</v>
      </c>
      <c r="H166" s="26"/>
      <c r="I166" s="27"/>
      <c r="J166" s="27"/>
      <c r="K166" s="27"/>
      <c r="L166" s="27" t="n">
        <v>73474</v>
      </c>
      <c r="M166" s="27" t="n">
        <v>6022</v>
      </c>
      <c r="N166" s="27" t="n">
        <v>73475</v>
      </c>
      <c r="O166" s="27" t="n">
        <v>6022</v>
      </c>
      <c r="P166" s="27" t="n">
        <v>69</v>
      </c>
      <c r="Q166" s="27" t="n">
        <v>41643</v>
      </c>
      <c r="R166" s="27" t="n">
        <v>41683</v>
      </c>
      <c r="S166" s="27" t="n">
        <v>0</v>
      </c>
      <c r="T166" s="27" t="n">
        <v>0</v>
      </c>
      <c r="U166" s="27" t="n">
        <v>923</v>
      </c>
      <c r="V166" s="27" t="n">
        <v>923</v>
      </c>
      <c r="W166" s="10" t="str">
        <f aca="false">IFERROR(INDEX(設定!$E$61:$E$106,MATCH(B166,設定!$B$61:$B$106,0)),"合算")</f>
        <v>合算</v>
      </c>
      <c r="X166" s="28"/>
      <c r="Y166" s="29" t="n">
        <f aca="false">IF(OR(G166="",G166="なし"),"",IF(W166="合算",CF166,IF(W166="掛金・負担金別",(AU166+AV166+AZ166+BB166+BD166),SUM(AU166:AY166))))</f>
        <v>244234</v>
      </c>
      <c r="Z166" s="27"/>
      <c r="AA166" s="29" t="str">
        <f aca="false">IF(OR(G166="",G166="なし"),"",IF(W166="掛金・負担金別",(AW166+AX166+AY166+BA166+BC166+BE166),IF(W166="経理区分別",AZ166+BA166,"")))</f>
        <v/>
      </c>
      <c r="AB166" s="27"/>
      <c r="AC166" s="29" t="str">
        <f aca="false">IF(OR(G166="",G166="なし"),"",IF(W166="経理区分別",BB166+BC166,""))</f>
        <v/>
      </c>
      <c r="AD166" s="27"/>
      <c r="AE166" s="29" t="str">
        <f aca="false">IF(OR(G166="",G166="なし"),"",IF(W166="経理区分別",BD166+BE166,""))</f>
        <v/>
      </c>
      <c r="AF166" s="27"/>
      <c r="AG166" s="26" t="s">
        <v>160</v>
      </c>
      <c r="AH166" s="26"/>
      <c r="AI166" s="30"/>
      <c r="AJ166" s="31"/>
      <c r="AK166" s="31"/>
      <c r="AL166" s="31"/>
      <c r="AM166" s="31"/>
      <c r="AN166" s="31"/>
      <c r="AO166" s="31"/>
      <c r="AP166" s="31"/>
      <c r="AQ166" s="31"/>
      <c r="AR166" s="31"/>
      <c r="AS166" s="31"/>
      <c r="AT166" s="31"/>
      <c r="AU166" s="31" t="n">
        <f aca="false">IF($G166="",AJ166,L166)</f>
        <v>73474</v>
      </c>
      <c r="AV166" s="31" t="n">
        <f aca="false">IF($G166="",AK166,M166)</f>
        <v>6022</v>
      </c>
      <c r="AW166" s="31" t="n">
        <f aca="false">IF($G166="",AL166,N166)</f>
        <v>73475</v>
      </c>
      <c r="AX166" s="31" t="n">
        <f aca="false">IF($G166="",AM166,O166)</f>
        <v>6022</v>
      </c>
      <c r="AY166" s="31" t="n">
        <f aca="false">IF($G166="",AN166,P166)</f>
        <v>69</v>
      </c>
      <c r="AZ166" s="31" t="n">
        <f aca="false">IF($G166="",AO166,Q166)</f>
        <v>41643</v>
      </c>
      <c r="BA166" s="31" t="n">
        <f aca="false">IF($G166="",AP166,R166)</f>
        <v>41683</v>
      </c>
      <c r="BB166" s="31" t="n">
        <f aca="false">IF($G166="",AQ166,S166)</f>
        <v>0</v>
      </c>
      <c r="BC166" s="31" t="n">
        <f aca="false">IF($G166="",AR166,T166)</f>
        <v>0</v>
      </c>
      <c r="BD166" s="31" t="n">
        <f aca="false">IF($G166="",AS166,U166)</f>
        <v>923</v>
      </c>
      <c r="BE166" s="31" t="n">
        <f aca="false">IF($G166="",AT166,V166)</f>
        <v>923</v>
      </c>
      <c r="BF166" s="31" t="n">
        <f aca="false">ROUNDDOWN(I166*設定!$B$10/1000,0)+ROUNDDOWN(I166*設定!$B$11/1000,0)</f>
        <v>0</v>
      </c>
      <c r="BG166" s="31" t="n">
        <f aca="false">ROUNDDOWN(I166*設定!$C$10/1000,0)+ROUNDDOWN(I166*設定!$C$11/1000,0)+ROUNDDOWN(I166*設定!$C$12/1000,0)</f>
        <v>0</v>
      </c>
      <c r="BH166" s="31" t="n">
        <f aca="false">ROUNDDOWN(J166*設定!$B$13/1000,0)</f>
        <v>0</v>
      </c>
      <c r="BI166" s="31" t="n">
        <f aca="false">ROUNDDOWN(J166*設定!$C$13/1000,0)</f>
        <v>0</v>
      </c>
      <c r="BJ166" s="31" t="n">
        <f aca="false">ROUNDDOWN(K166*設定!$B$14/1000,0)</f>
        <v>0</v>
      </c>
      <c r="BK166" s="31" t="n">
        <f aca="false">ROUNDDOWN(K166*設定!$C$14/1000,0)</f>
        <v>0</v>
      </c>
      <c r="BL166" s="31" t="n">
        <f aca="false">ROUNDDOWN(J166*設定!$B$15/1000,0)</f>
        <v>0</v>
      </c>
      <c r="BM166" s="31" t="n">
        <f aca="false">ROUNDDOWN(J166*設定!$C$15/1000,0)</f>
        <v>0</v>
      </c>
      <c r="BN166" s="31" t="n">
        <f aca="false">L166+M166</f>
        <v>79496</v>
      </c>
      <c r="BO166" s="31" t="n">
        <f aca="false">N166+O166+P166</f>
        <v>79566</v>
      </c>
      <c r="BP166" s="31" t="n">
        <f aca="false">Q166</f>
        <v>41643</v>
      </c>
      <c r="BQ166" s="31" t="n">
        <f aca="false">R166</f>
        <v>41683</v>
      </c>
      <c r="BR166" s="31" t="n">
        <f aca="false">S166</f>
        <v>0</v>
      </c>
      <c r="BS166" s="31" t="n">
        <f aca="false">T166</f>
        <v>0</v>
      </c>
      <c r="BT166" s="31" t="n">
        <f aca="false">U166</f>
        <v>923</v>
      </c>
      <c r="BU166" s="31" t="n">
        <f aca="false">V166</f>
        <v>923</v>
      </c>
      <c r="BV166" s="32" t="n">
        <f aca="false">IF(BF166=0,IF(BN166=0,0,1),(BN166-BF166)/BF166)</f>
        <v>1</v>
      </c>
      <c r="BW166" s="32" t="n">
        <f aca="false">IF(BG166=0,IF(BO166=0,0,1),(BO166-BG166)/BG166)</f>
        <v>1</v>
      </c>
      <c r="BX166" s="32" t="n">
        <f aca="false">IF(BH166=0,IF(BP166=0,0,1),(BP166-BH166)/BH166)</f>
        <v>1</v>
      </c>
      <c r="BY166" s="32" t="n">
        <f aca="false">IF(BI166=0,IF(BQ166=0,0,1),(BQ166-BI166)/BI166)</f>
        <v>1</v>
      </c>
      <c r="BZ166" s="32" t="n">
        <f aca="false">IF(BJ166=0,IF(BR166=0,0,1),(BR166-BJ166)/BJ166)</f>
        <v>0</v>
      </c>
      <c r="CA166" s="32" t="n">
        <f aca="false">IF(BK166=0,IF(BS166=0,0,1),(BS166-BK166)/BK166)</f>
        <v>0</v>
      </c>
      <c r="CB166" s="32" t="n">
        <f aca="false">IF(BL166=0,IF(BT166=0,0,1),(BT166-BL166)/BL166)</f>
        <v>1</v>
      </c>
      <c r="CC166" s="32" t="n">
        <f aca="false">IF(BM166=0,IF(BU166=0,0,1),(BU166-BM166)/BM166)</f>
        <v>1</v>
      </c>
      <c r="CD166" s="32" t="n">
        <f aca="false">MAX(MAX(BV166:CC166),-MIN(BV166:CC166))</f>
        <v>1</v>
      </c>
      <c r="CE166" s="31" t="str">
        <f aca="false">IF(CI166="","",SUMIFS($CF$7:$CF$696,$A$7:$A$696,CI166,$B$7:$B$696,B166))</f>
        <v/>
      </c>
      <c r="CF166" s="31" t="n">
        <f aca="false">SUM(AU166:BE166)</f>
        <v>244234</v>
      </c>
      <c r="CG166" s="33" t="str">
        <f aca="false">A166&amp;"|"&amp;B166</f>
        <v>2026-06 賞与|地方公務員災害補償基金本部</v>
      </c>
      <c r="CH166" s="34" t="str">
        <f aca="false">IFERROR(INDEX(設定!$D$61:$D$106,MATCH(B166,設定!$B$61:$B$106,0)),"Y")</f>
        <v>Y</v>
      </c>
      <c r="CI166" s="34" t="str">
        <f aca="false">IFERROR(INDEX(設定!$D$20:$D$34,MATCH(A166,設定!$A$20:$A$34,0))&amp;"","")</f>
        <v/>
      </c>
    </row>
    <row r="167" customFormat="false" ht="15" hidden="true" customHeight="false" outlineLevel="0" collapsed="false">
      <c r="A167" s="22" t="s">
        <v>210</v>
      </c>
      <c r="B167" s="23" t="s">
        <v>183</v>
      </c>
      <c r="C167" s="10" t="str">
        <f aca="false">IF(G167="","未受領",IF(G167="なし","報告なし",IF(AH167="○","起票済",IF(OR(AG167="○",F167="一致",F167="入金不要"),"入金確認済","受領済"))))</f>
        <v>入金確認済</v>
      </c>
      <c r="D167" s="10" t="str">
        <f aca="false">IF(OR(G167="",G167="なし"),"―",IF(CH167="N","対象外",IF(AND(I167="",J167="",K167=""),"標報未入力",IF(CD167&gt;=設定!$B$4,"要確認","問題なし"))))</f>
        <v>標報未入力</v>
      </c>
      <c r="E167" s="24" t="str">
        <f aca="false">IF(OR(G167="",G167="なし",CE167="",CF167=0),"―",IF(CF167=CE167,"前月同額",IF(CE167=0,"―",IF(ABS(CF167/CE167-1)&gt;=設定!$B$5,"変動大 "&amp;TEXT(CF167/CE167-1,"+0%;-0%"),"〇"))))</f>
        <v>―</v>
      </c>
      <c r="F167" s="10" t="str">
        <f aca="false">IF(OR(G167="",G167="なし"),"―",IF(CF167=0,"入金不要",IF(COUNT(Z167,AB167,AD167,AF167)=0,IF(AG167="○","手動確認","未入金"),IF(AND(N(Z167)=Y167,IF(AA167="",TRUE(),N(AB167)=AA167),IF(AC167="",TRUE(),N(AD167)=AC167),IF(AE167="",TRUE(),N(AF167)=AE167)),"一致","不一致"))))</f>
        <v>手動確認</v>
      </c>
      <c r="G167" s="25" t="s">
        <v>159</v>
      </c>
      <c r="H167" s="26"/>
      <c r="I167" s="27"/>
      <c r="J167" s="27"/>
      <c r="K167" s="27"/>
      <c r="L167" s="27" t="n">
        <v>191783</v>
      </c>
      <c r="M167" s="27" t="n">
        <v>15719</v>
      </c>
      <c r="N167" s="27" t="n">
        <v>191785</v>
      </c>
      <c r="O167" s="27" t="n">
        <v>15720</v>
      </c>
      <c r="P167" s="27" t="n">
        <v>182</v>
      </c>
      <c r="Q167" s="27" t="n">
        <v>108698</v>
      </c>
      <c r="R167" s="27" t="n">
        <v>108803</v>
      </c>
      <c r="S167" s="27" t="n">
        <v>16558</v>
      </c>
      <c r="T167" s="27" t="n">
        <v>16558</v>
      </c>
      <c r="U167" s="27" t="n">
        <v>2410</v>
      </c>
      <c r="V167" s="27" t="n">
        <v>2410</v>
      </c>
      <c r="W167" s="10" t="str">
        <f aca="false">IFERROR(INDEX(設定!$E$61:$E$106,MATCH(B167,設定!$B$61:$B$106,0)),"合算")</f>
        <v>合算</v>
      </c>
      <c r="X167" s="28"/>
      <c r="Y167" s="29" t="n">
        <f aca="false">IF(OR(G167="",G167="なし"),"",IF(W167="合算",CF167,IF(W167="掛金・負担金別",(AU167+AV167+AZ167+BB167+BD167),SUM(AU167:AY167))))</f>
        <v>670626</v>
      </c>
      <c r="Z167" s="27"/>
      <c r="AA167" s="29" t="str">
        <f aca="false">IF(OR(G167="",G167="なし"),"",IF(W167="掛金・負担金別",(AW167+AX167+AY167+BA167+BC167+BE167),IF(W167="経理区分別",AZ167+BA167,"")))</f>
        <v/>
      </c>
      <c r="AB167" s="27"/>
      <c r="AC167" s="29" t="str">
        <f aca="false">IF(OR(G167="",G167="なし"),"",IF(W167="経理区分別",BB167+BC167,""))</f>
        <v/>
      </c>
      <c r="AD167" s="27"/>
      <c r="AE167" s="29" t="str">
        <f aca="false">IF(OR(G167="",G167="なし"),"",IF(W167="経理区分別",BD167+BE167,""))</f>
        <v/>
      </c>
      <c r="AF167" s="27"/>
      <c r="AG167" s="26" t="s">
        <v>160</v>
      </c>
      <c r="AH167" s="26"/>
      <c r="AI167" s="30"/>
      <c r="AJ167" s="31"/>
      <c r="AK167" s="31"/>
      <c r="AL167" s="31"/>
      <c r="AM167" s="31"/>
      <c r="AN167" s="31"/>
      <c r="AO167" s="31"/>
      <c r="AP167" s="31"/>
      <c r="AQ167" s="31"/>
      <c r="AR167" s="31"/>
      <c r="AS167" s="31"/>
      <c r="AT167" s="31"/>
      <c r="AU167" s="31" t="n">
        <f aca="false">IF($G167="",AJ167,L167)</f>
        <v>191783</v>
      </c>
      <c r="AV167" s="31" t="n">
        <f aca="false">IF($G167="",AK167,M167)</f>
        <v>15719</v>
      </c>
      <c r="AW167" s="31" t="n">
        <f aca="false">IF($G167="",AL167,N167)</f>
        <v>191785</v>
      </c>
      <c r="AX167" s="31" t="n">
        <f aca="false">IF($G167="",AM167,O167)</f>
        <v>15720</v>
      </c>
      <c r="AY167" s="31" t="n">
        <f aca="false">IF($G167="",AN167,P167)</f>
        <v>182</v>
      </c>
      <c r="AZ167" s="31" t="n">
        <f aca="false">IF($G167="",AO167,Q167)</f>
        <v>108698</v>
      </c>
      <c r="BA167" s="31" t="n">
        <f aca="false">IF($G167="",AP167,R167)</f>
        <v>108803</v>
      </c>
      <c r="BB167" s="31" t="n">
        <f aca="false">IF($G167="",AQ167,S167)</f>
        <v>16558</v>
      </c>
      <c r="BC167" s="31" t="n">
        <f aca="false">IF($G167="",AR167,T167)</f>
        <v>16558</v>
      </c>
      <c r="BD167" s="31" t="n">
        <f aca="false">IF($G167="",AS167,U167)</f>
        <v>2410</v>
      </c>
      <c r="BE167" s="31" t="n">
        <f aca="false">IF($G167="",AT167,V167)</f>
        <v>2410</v>
      </c>
      <c r="BF167" s="31" t="n">
        <f aca="false">ROUNDDOWN(I167*設定!$B$10/1000,0)+ROUNDDOWN(I167*設定!$B$11/1000,0)</f>
        <v>0</v>
      </c>
      <c r="BG167" s="31" t="n">
        <f aca="false">ROUNDDOWN(I167*設定!$C$10/1000,0)+ROUNDDOWN(I167*設定!$C$11/1000,0)+ROUNDDOWN(I167*設定!$C$12/1000,0)</f>
        <v>0</v>
      </c>
      <c r="BH167" s="31" t="n">
        <f aca="false">ROUNDDOWN(J167*設定!$B$13/1000,0)</f>
        <v>0</v>
      </c>
      <c r="BI167" s="31" t="n">
        <f aca="false">ROUNDDOWN(J167*設定!$C$13/1000,0)</f>
        <v>0</v>
      </c>
      <c r="BJ167" s="31" t="n">
        <f aca="false">ROUNDDOWN(K167*設定!$B$14/1000,0)</f>
        <v>0</v>
      </c>
      <c r="BK167" s="31" t="n">
        <f aca="false">ROUNDDOWN(K167*設定!$C$14/1000,0)</f>
        <v>0</v>
      </c>
      <c r="BL167" s="31" t="n">
        <f aca="false">ROUNDDOWN(J167*設定!$B$15/1000,0)</f>
        <v>0</v>
      </c>
      <c r="BM167" s="31" t="n">
        <f aca="false">ROUNDDOWN(J167*設定!$C$15/1000,0)</f>
        <v>0</v>
      </c>
      <c r="BN167" s="31" t="n">
        <f aca="false">L167+M167</f>
        <v>207502</v>
      </c>
      <c r="BO167" s="31" t="n">
        <f aca="false">N167+O167+P167</f>
        <v>207687</v>
      </c>
      <c r="BP167" s="31" t="n">
        <f aca="false">Q167</f>
        <v>108698</v>
      </c>
      <c r="BQ167" s="31" t="n">
        <f aca="false">R167</f>
        <v>108803</v>
      </c>
      <c r="BR167" s="31" t="n">
        <f aca="false">S167</f>
        <v>16558</v>
      </c>
      <c r="BS167" s="31" t="n">
        <f aca="false">T167</f>
        <v>16558</v>
      </c>
      <c r="BT167" s="31" t="n">
        <f aca="false">U167</f>
        <v>2410</v>
      </c>
      <c r="BU167" s="31" t="n">
        <f aca="false">V167</f>
        <v>2410</v>
      </c>
      <c r="BV167" s="32" t="n">
        <f aca="false">IF(BF167=0,IF(BN167=0,0,1),(BN167-BF167)/BF167)</f>
        <v>1</v>
      </c>
      <c r="BW167" s="32" t="n">
        <f aca="false">IF(BG167=0,IF(BO167=0,0,1),(BO167-BG167)/BG167)</f>
        <v>1</v>
      </c>
      <c r="BX167" s="32" t="n">
        <f aca="false">IF(BH167=0,IF(BP167=0,0,1),(BP167-BH167)/BH167)</f>
        <v>1</v>
      </c>
      <c r="BY167" s="32" t="n">
        <f aca="false">IF(BI167=0,IF(BQ167=0,0,1),(BQ167-BI167)/BI167)</f>
        <v>1</v>
      </c>
      <c r="BZ167" s="32" t="n">
        <f aca="false">IF(BJ167=0,IF(BR167=0,0,1),(BR167-BJ167)/BJ167)</f>
        <v>1</v>
      </c>
      <c r="CA167" s="32" t="n">
        <f aca="false">IF(BK167=0,IF(BS167=0,0,1),(BS167-BK167)/BK167)</f>
        <v>1</v>
      </c>
      <c r="CB167" s="32" t="n">
        <f aca="false">IF(BL167=0,IF(BT167=0,0,1),(BT167-BL167)/BL167)</f>
        <v>1</v>
      </c>
      <c r="CC167" s="32" t="n">
        <f aca="false">IF(BM167=0,IF(BU167=0,0,1),(BU167-BM167)/BM167)</f>
        <v>1</v>
      </c>
      <c r="CD167" s="32" t="n">
        <f aca="false">MAX(MAX(BV167:CC167),-MIN(BV167:CC167))</f>
        <v>1</v>
      </c>
      <c r="CE167" s="31" t="str">
        <f aca="false">IF(CI167="","",SUMIFS($CF$7:$CF$696,$A$7:$A$696,CI167,$B$7:$B$696,B167))</f>
        <v/>
      </c>
      <c r="CF167" s="31" t="n">
        <f aca="false">SUM(AU167:BE167)</f>
        <v>670626</v>
      </c>
      <c r="CG167" s="33" t="str">
        <f aca="false">A167&amp;"|"&amp;B167</f>
        <v>2026-06 賞与|救急振興財団</v>
      </c>
      <c r="CH167" s="34" t="str">
        <f aca="false">IFERROR(INDEX(設定!$D$61:$D$106,MATCH(B167,設定!$B$61:$B$106,0)),"Y")</f>
        <v>Y</v>
      </c>
      <c r="CI167" s="34" t="str">
        <f aca="false">IFERROR(INDEX(設定!$D$20:$D$34,MATCH(A167,設定!$A$20:$A$34,0))&amp;"","")</f>
        <v/>
      </c>
    </row>
    <row r="168" customFormat="false" ht="15" hidden="true" customHeight="false" outlineLevel="0" collapsed="false">
      <c r="A168" s="22" t="s">
        <v>210</v>
      </c>
      <c r="B168" s="23" t="s">
        <v>184</v>
      </c>
      <c r="C168" s="10" t="str">
        <f aca="false">IF(G168="","未受領",IF(G168="なし","報告なし",IF(AH168="○","起票済",IF(OR(AG168="○",F168="一致",F168="入金不要"),"入金確認済","受領済"))))</f>
        <v>入金確認済</v>
      </c>
      <c r="D168" s="10" t="str">
        <f aca="false">IF(OR(G168="",G168="なし"),"―",IF(CH168="N","対象外",IF(AND(I168="",J168="",K168=""),"標報未入力",IF(CD168&gt;=設定!$B$4,"要確認","問題なし"))))</f>
        <v>標報未入力</v>
      </c>
      <c r="E168" s="24" t="str">
        <f aca="false">IF(OR(G168="",G168="なし",CE168="",CF168=0),"―",IF(CF168=CE168,"前月同額",IF(CE168=0,"―",IF(ABS(CF168/CE168-1)&gt;=設定!$B$5,"変動大 "&amp;TEXT(CF168/CE168-1,"+0%;-0%"),"〇"))))</f>
        <v>―</v>
      </c>
      <c r="F168" s="10" t="str">
        <f aca="false">IF(OR(G168="",G168="なし"),"―",IF(CF168=0,"入金不要",IF(COUNT(Z168,AB168,AD168,AF168)=0,IF(AG168="○","手動確認","未入金"),IF(AND(N(Z168)=Y168,IF(AA168="",TRUE(),N(AB168)=AA168),IF(AC168="",TRUE(),N(AD168)=AC168),IF(AE168="",TRUE(),N(AF168)=AE168)),"一致","不一致"))))</f>
        <v>手動確認</v>
      </c>
      <c r="G168" s="25" t="s">
        <v>159</v>
      </c>
      <c r="H168" s="26"/>
      <c r="I168" s="27"/>
      <c r="J168" s="27"/>
      <c r="K168" s="27"/>
      <c r="L168" s="27" t="n">
        <v>1493001</v>
      </c>
      <c r="M168" s="27" t="n">
        <v>122373</v>
      </c>
      <c r="N168" s="27" t="n">
        <v>1493006</v>
      </c>
      <c r="O168" s="27" t="n">
        <v>122378</v>
      </c>
      <c r="P168" s="27" t="n">
        <v>1474</v>
      </c>
      <c r="Q168" s="27" t="n">
        <v>846191</v>
      </c>
      <c r="R168" s="27" t="n">
        <v>847048</v>
      </c>
      <c r="S168" s="27" t="n">
        <v>85096</v>
      </c>
      <c r="T168" s="27" t="n">
        <v>85098</v>
      </c>
      <c r="U168" s="27" t="n">
        <v>18756</v>
      </c>
      <c r="V168" s="27" t="n">
        <v>18765</v>
      </c>
      <c r="W168" s="10" t="str">
        <f aca="false">IFERROR(INDEX(設定!$E$61:$E$106,MATCH(B168,設定!$B$61:$B$106,0)),"合算")</f>
        <v>合算</v>
      </c>
      <c r="X168" s="28"/>
      <c r="Y168" s="29" t="n">
        <f aca="false">IF(OR(G168="",G168="なし"),"",IF(W168="合算",CF168,IF(W168="掛金・負担金別",(AU168+AV168+AZ168+BB168+BD168),SUM(AU168:AY168))))</f>
        <v>5133186</v>
      </c>
      <c r="Z168" s="27"/>
      <c r="AA168" s="29" t="str">
        <f aca="false">IF(OR(G168="",G168="なし"),"",IF(W168="掛金・負担金別",(AW168+AX168+AY168+BA168+BC168+BE168),IF(W168="経理区分別",AZ168+BA168,"")))</f>
        <v/>
      </c>
      <c r="AB168" s="27"/>
      <c r="AC168" s="29" t="str">
        <f aca="false">IF(OR(G168="",G168="なし"),"",IF(W168="経理区分別",BB168+BC168,""))</f>
        <v/>
      </c>
      <c r="AD168" s="27"/>
      <c r="AE168" s="29" t="str">
        <f aca="false">IF(OR(G168="",G168="なし"),"",IF(W168="経理区分別",BD168+BE168,""))</f>
        <v/>
      </c>
      <c r="AF168" s="27"/>
      <c r="AG168" s="26" t="s">
        <v>160</v>
      </c>
      <c r="AH168" s="26"/>
      <c r="AI168" s="30"/>
      <c r="AJ168" s="31"/>
      <c r="AK168" s="31"/>
      <c r="AL168" s="31"/>
      <c r="AM168" s="31"/>
      <c r="AN168" s="31"/>
      <c r="AO168" s="31"/>
      <c r="AP168" s="31"/>
      <c r="AQ168" s="31"/>
      <c r="AR168" s="31"/>
      <c r="AS168" s="31"/>
      <c r="AT168" s="31"/>
      <c r="AU168" s="31" t="n">
        <f aca="false">IF($G168="",AJ168,L168)</f>
        <v>1493001</v>
      </c>
      <c r="AV168" s="31" t="n">
        <f aca="false">IF($G168="",AK168,M168)</f>
        <v>122373</v>
      </c>
      <c r="AW168" s="31" t="n">
        <f aca="false">IF($G168="",AL168,N168)</f>
        <v>1493006</v>
      </c>
      <c r="AX168" s="31" t="n">
        <f aca="false">IF($G168="",AM168,O168)</f>
        <v>122378</v>
      </c>
      <c r="AY168" s="31" t="n">
        <f aca="false">IF($G168="",AN168,P168)</f>
        <v>1474</v>
      </c>
      <c r="AZ168" s="31" t="n">
        <f aca="false">IF($G168="",AO168,Q168)</f>
        <v>846191</v>
      </c>
      <c r="BA168" s="31" t="n">
        <f aca="false">IF($G168="",AP168,R168)</f>
        <v>847048</v>
      </c>
      <c r="BB168" s="31" t="n">
        <f aca="false">IF($G168="",AQ168,S168)</f>
        <v>85096</v>
      </c>
      <c r="BC168" s="31" t="n">
        <f aca="false">IF($G168="",AR168,T168)</f>
        <v>85098</v>
      </c>
      <c r="BD168" s="31" t="n">
        <f aca="false">IF($G168="",AS168,U168)</f>
        <v>18756</v>
      </c>
      <c r="BE168" s="31" t="n">
        <f aca="false">IF($G168="",AT168,V168)</f>
        <v>18765</v>
      </c>
      <c r="BF168" s="31" t="n">
        <f aca="false">ROUNDDOWN(I168*設定!$B$10/1000,0)+ROUNDDOWN(I168*設定!$B$11/1000,0)</f>
        <v>0</v>
      </c>
      <c r="BG168" s="31" t="n">
        <f aca="false">ROUNDDOWN(I168*設定!$C$10/1000,0)+ROUNDDOWN(I168*設定!$C$11/1000,0)+ROUNDDOWN(I168*設定!$C$12/1000,0)</f>
        <v>0</v>
      </c>
      <c r="BH168" s="31" t="n">
        <f aca="false">ROUNDDOWN(J168*設定!$B$13/1000,0)</f>
        <v>0</v>
      </c>
      <c r="BI168" s="31" t="n">
        <f aca="false">ROUNDDOWN(J168*設定!$C$13/1000,0)</f>
        <v>0</v>
      </c>
      <c r="BJ168" s="31" t="n">
        <f aca="false">ROUNDDOWN(K168*設定!$B$14/1000,0)</f>
        <v>0</v>
      </c>
      <c r="BK168" s="31" t="n">
        <f aca="false">ROUNDDOWN(K168*設定!$C$14/1000,0)</f>
        <v>0</v>
      </c>
      <c r="BL168" s="31" t="n">
        <f aca="false">ROUNDDOWN(J168*設定!$B$15/1000,0)</f>
        <v>0</v>
      </c>
      <c r="BM168" s="31" t="n">
        <f aca="false">ROUNDDOWN(J168*設定!$C$15/1000,0)</f>
        <v>0</v>
      </c>
      <c r="BN168" s="31" t="n">
        <f aca="false">L168+M168</f>
        <v>1615374</v>
      </c>
      <c r="BO168" s="31" t="n">
        <f aca="false">N168+O168+P168</f>
        <v>1616858</v>
      </c>
      <c r="BP168" s="31" t="n">
        <f aca="false">Q168</f>
        <v>846191</v>
      </c>
      <c r="BQ168" s="31" t="n">
        <f aca="false">R168</f>
        <v>847048</v>
      </c>
      <c r="BR168" s="31" t="n">
        <f aca="false">S168</f>
        <v>85096</v>
      </c>
      <c r="BS168" s="31" t="n">
        <f aca="false">T168</f>
        <v>85098</v>
      </c>
      <c r="BT168" s="31" t="n">
        <f aca="false">U168</f>
        <v>18756</v>
      </c>
      <c r="BU168" s="31" t="n">
        <f aca="false">V168</f>
        <v>18765</v>
      </c>
      <c r="BV168" s="32" t="n">
        <f aca="false">IF(BF168=0,IF(BN168=0,0,1),(BN168-BF168)/BF168)</f>
        <v>1</v>
      </c>
      <c r="BW168" s="32" t="n">
        <f aca="false">IF(BG168=0,IF(BO168=0,0,1),(BO168-BG168)/BG168)</f>
        <v>1</v>
      </c>
      <c r="BX168" s="32" t="n">
        <f aca="false">IF(BH168=0,IF(BP168=0,0,1),(BP168-BH168)/BH168)</f>
        <v>1</v>
      </c>
      <c r="BY168" s="32" t="n">
        <f aca="false">IF(BI168=0,IF(BQ168=0,0,1),(BQ168-BI168)/BI168)</f>
        <v>1</v>
      </c>
      <c r="BZ168" s="32" t="n">
        <f aca="false">IF(BJ168=0,IF(BR168=0,0,1),(BR168-BJ168)/BJ168)</f>
        <v>1</v>
      </c>
      <c r="CA168" s="32" t="n">
        <f aca="false">IF(BK168=0,IF(BS168=0,0,1),(BS168-BK168)/BK168)</f>
        <v>1</v>
      </c>
      <c r="CB168" s="32" t="n">
        <f aca="false">IF(BL168=0,IF(BT168=0,0,1),(BT168-BL168)/BL168)</f>
        <v>1</v>
      </c>
      <c r="CC168" s="32" t="n">
        <f aca="false">IF(BM168=0,IF(BU168=0,0,1),(BU168-BM168)/BM168)</f>
        <v>1</v>
      </c>
      <c r="CD168" s="32" t="n">
        <f aca="false">MAX(MAX(BV168:CC168),-MIN(BV168:CC168))</f>
        <v>1</v>
      </c>
      <c r="CE168" s="31" t="str">
        <f aca="false">IF(CI168="","",SUMIFS($CF$7:$CF$696,$A$7:$A$696,CI168,$B$7:$B$696,B168))</f>
        <v/>
      </c>
      <c r="CF168" s="31" t="n">
        <f aca="false">SUM(AU168:BE168)</f>
        <v>5133186</v>
      </c>
      <c r="CG168" s="33" t="str">
        <f aca="false">A168&amp;"|"&amp;B168</f>
        <v>2026-06 賞与|高速道路公社</v>
      </c>
      <c r="CH168" s="34" t="str">
        <f aca="false">IFERROR(INDEX(設定!$D$61:$D$106,MATCH(B168,設定!$B$61:$B$106,0)),"Y")</f>
        <v>Y</v>
      </c>
      <c r="CI168" s="34" t="str">
        <f aca="false">IFERROR(INDEX(設定!$D$20:$D$34,MATCH(A168,設定!$A$20:$A$34,0))&amp;"","")</f>
        <v/>
      </c>
    </row>
    <row r="169" customFormat="false" ht="15" hidden="true" customHeight="false" outlineLevel="0" collapsed="false">
      <c r="A169" s="22" t="s">
        <v>210</v>
      </c>
      <c r="B169" s="23" t="s">
        <v>185</v>
      </c>
      <c r="C169" s="10" t="str">
        <f aca="false">IF(G169="","未受領",IF(G169="なし","報告なし",IF(AH169="○","起票済",IF(OR(AG169="○",F169="一致",F169="入金不要"),"入金確認済","受領済"))))</f>
        <v>入金確認済</v>
      </c>
      <c r="D169" s="10" t="str">
        <f aca="false">IF(OR(G169="",G169="なし"),"―",IF(CH169="N","対象外",IF(AND(I169="",J169="",K169=""),"標報未入力",IF(CD169&gt;=設定!$B$4,"要確認","問題なし"))))</f>
        <v>標報未入力</v>
      </c>
      <c r="E169" s="24" t="str">
        <f aca="false">IF(OR(G169="",G169="なし",CE169="",CF169=0),"―",IF(CF169=CE169,"前月同額",IF(CE169=0,"―",IF(ABS(CF169/CE169-1)&gt;=設定!$B$5,"変動大 "&amp;TEXT(CF169/CE169-1,"+0%;-0%"),"〇"))))</f>
        <v>―</v>
      </c>
      <c r="F169" s="10" t="str">
        <f aca="false">IF(OR(G169="",G169="なし"),"―",IF(CF169=0,"入金不要",IF(COUNT(Z169,AB169,AD169,AF169)=0,IF(AG169="○","手動確認","未入金"),IF(AND(N(Z169)=Y169,IF(AA169="",TRUE(),N(AB169)=AA169),IF(AC169="",TRUE(),N(AD169)=AC169),IF(AE169="",TRUE(),N(AF169)=AE169)),"一致","不一致"))))</f>
        <v>手動確認</v>
      </c>
      <c r="G169" s="25" t="s">
        <v>159</v>
      </c>
      <c r="H169" s="26"/>
      <c r="I169" s="27"/>
      <c r="J169" s="27"/>
      <c r="K169" s="27"/>
      <c r="L169" s="27"/>
      <c r="M169" s="27"/>
      <c r="N169" s="27" t="n">
        <v>1167447</v>
      </c>
      <c r="O169" s="27" t="n">
        <v>95691</v>
      </c>
      <c r="P169" s="27" t="n">
        <v>1105</v>
      </c>
      <c r="Q169" s="27"/>
      <c r="R169" s="27" t="n">
        <v>662316</v>
      </c>
      <c r="S169" s="27"/>
      <c r="T169" s="27" t="n">
        <v>56658</v>
      </c>
      <c r="U169" s="27"/>
      <c r="V169" s="27" t="n">
        <v>14669</v>
      </c>
      <c r="W169" s="10" t="str">
        <f aca="false">IFERROR(INDEX(設定!$E$61:$E$106,MATCH(B169,設定!$B$61:$B$106,0)),"合算")</f>
        <v>合算</v>
      </c>
      <c r="X169" s="28"/>
      <c r="Y169" s="29" t="n">
        <f aca="false">IF(OR(G169="",G169="なし"),"",IF(W169="合算",CF169,IF(W169="掛金・負担金別",(AU169+AV169+AZ169+BB169+BD169),SUM(AU169:AY169))))</f>
        <v>1997886</v>
      </c>
      <c r="Z169" s="27"/>
      <c r="AA169" s="29" t="str">
        <f aca="false">IF(OR(G169="",G169="なし"),"",IF(W169="掛金・負担金別",(AW169+AX169+AY169+BA169+BC169+BE169),IF(W169="経理区分別",AZ169+BA169,"")))</f>
        <v/>
      </c>
      <c r="AB169" s="27"/>
      <c r="AC169" s="29" t="str">
        <f aca="false">IF(OR(G169="",G169="なし"),"",IF(W169="経理区分別",BB169+BC169,""))</f>
        <v/>
      </c>
      <c r="AD169" s="27"/>
      <c r="AE169" s="29" t="str">
        <f aca="false">IF(OR(G169="",G169="なし"),"",IF(W169="経理区分別",BD169+BE169,""))</f>
        <v/>
      </c>
      <c r="AF169" s="27"/>
      <c r="AG169" s="26" t="s">
        <v>160</v>
      </c>
      <c r="AH169" s="26"/>
      <c r="AI169" s="30"/>
      <c r="AJ169" s="31"/>
      <c r="AK169" s="31"/>
      <c r="AL169" s="31"/>
      <c r="AM169" s="31"/>
      <c r="AN169" s="31"/>
      <c r="AO169" s="31"/>
      <c r="AP169" s="31"/>
      <c r="AQ169" s="31"/>
      <c r="AR169" s="31"/>
      <c r="AS169" s="31"/>
      <c r="AT169" s="31"/>
      <c r="AU169" s="31" t="n">
        <f aca="false">IF($G169="",AJ169,L169)</f>
        <v>0</v>
      </c>
      <c r="AV169" s="31" t="n">
        <f aca="false">IF($G169="",AK169,M169)</f>
        <v>0</v>
      </c>
      <c r="AW169" s="31" t="n">
        <f aca="false">IF($G169="",AL169,N169)</f>
        <v>1167447</v>
      </c>
      <c r="AX169" s="31" t="n">
        <f aca="false">IF($G169="",AM169,O169)</f>
        <v>95691</v>
      </c>
      <c r="AY169" s="31" t="n">
        <f aca="false">IF($G169="",AN169,P169)</f>
        <v>1105</v>
      </c>
      <c r="AZ169" s="31" t="n">
        <f aca="false">IF($G169="",AO169,Q169)</f>
        <v>0</v>
      </c>
      <c r="BA169" s="31" t="n">
        <f aca="false">IF($G169="",AP169,R169)</f>
        <v>662316</v>
      </c>
      <c r="BB169" s="31" t="n">
        <f aca="false">IF($G169="",AQ169,S169)</f>
        <v>0</v>
      </c>
      <c r="BC169" s="31" t="n">
        <f aca="false">IF($G169="",AR169,T169)</f>
        <v>56658</v>
      </c>
      <c r="BD169" s="31" t="n">
        <f aca="false">IF($G169="",AS169,U169)</f>
        <v>0</v>
      </c>
      <c r="BE169" s="31" t="n">
        <f aca="false">IF($G169="",AT169,V169)</f>
        <v>14669</v>
      </c>
      <c r="BF169" s="31" t="n">
        <f aca="false">ROUNDDOWN(I169*設定!$B$10/1000,0)+ROUNDDOWN(I169*設定!$B$11/1000,0)</f>
        <v>0</v>
      </c>
      <c r="BG169" s="31" t="n">
        <f aca="false">ROUNDDOWN(I169*設定!$C$10/1000,0)+ROUNDDOWN(I169*設定!$C$11/1000,0)+ROUNDDOWN(I169*設定!$C$12/1000,0)</f>
        <v>0</v>
      </c>
      <c r="BH169" s="31" t="n">
        <f aca="false">ROUNDDOWN(J169*設定!$B$13/1000,0)</f>
        <v>0</v>
      </c>
      <c r="BI169" s="31" t="n">
        <f aca="false">ROUNDDOWN(J169*設定!$C$13/1000,0)</f>
        <v>0</v>
      </c>
      <c r="BJ169" s="31" t="n">
        <f aca="false">ROUNDDOWN(K169*設定!$B$14/1000,0)</f>
        <v>0</v>
      </c>
      <c r="BK169" s="31" t="n">
        <f aca="false">ROUNDDOWN(K169*設定!$C$14/1000,0)</f>
        <v>0</v>
      </c>
      <c r="BL169" s="31" t="n">
        <f aca="false">ROUNDDOWN(J169*設定!$B$15/1000,0)</f>
        <v>0</v>
      </c>
      <c r="BM169" s="31" t="n">
        <f aca="false">ROUNDDOWN(J169*設定!$C$15/1000,0)</f>
        <v>0</v>
      </c>
      <c r="BN169" s="31" t="n">
        <f aca="false">L169+M169</f>
        <v>0</v>
      </c>
      <c r="BO169" s="31" t="n">
        <f aca="false">N169+O169+P169</f>
        <v>1264243</v>
      </c>
      <c r="BP169" s="31" t="n">
        <f aca="false">Q169</f>
        <v>0</v>
      </c>
      <c r="BQ169" s="31" t="n">
        <f aca="false">R169</f>
        <v>662316</v>
      </c>
      <c r="BR169" s="31" t="n">
        <f aca="false">S169</f>
        <v>0</v>
      </c>
      <c r="BS169" s="31" t="n">
        <f aca="false">T169</f>
        <v>56658</v>
      </c>
      <c r="BT169" s="31" t="n">
        <f aca="false">U169</f>
        <v>0</v>
      </c>
      <c r="BU169" s="31" t="n">
        <f aca="false">V169</f>
        <v>14669</v>
      </c>
      <c r="BV169" s="32" t="n">
        <f aca="false">IF(BF169=0,IF(BN169=0,0,1),(BN169-BF169)/BF169)</f>
        <v>0</v>
      </c>
      <c r="BW169" s="32" t="n">
        <f aca="false">IF(BG169=0,IF(BO169=0,0,1),(BO169-BG169)/BG169)</f>
        <v>1</v>
      </c>
      <c r="BX169" s="32" t="n">
        <f aca="false">IF(BH169=0,IF(BP169=0,0,1),(BP169-BH169)/BH169)</f>
        <v>0</v>
      </c>
      <c r="BY169" s="32" t="n">
        <f aca="false">IF(BI169=0,IF(BQ169=0,0,1),(BQ169-BI169)/BI169)</f>
        <v>1</v>
      </c>
      <c r="BZ169" s="32" t="n">
        <f aca="false">IF(BJ169=0,IF(BR169=0,0,1),(BR169-BJ169)/BJ169)</f>
        <v>0</v>
      </c>
      <c r="CA169" s="32" t="n">
        <f aca="false">IF(BK169=0,IF(BS169=0,0,1),(BS169-BK169)/BK169)</f>
        <v>1</v>
      </c>
      <c r="CB169" s="32" t="n">
        <f aca="false">IF(BL169=0,IF(BT169=0,0,1),(BT169-BL169)/BL169)</f>
        <v>0</v>
      </c>
      <c r="CC169" s="32" t="n">
        <f aca="false">IF(BM169=0,IF(BU169=0,0,1),(BU169-BM169)/BM169)</f>
        <v>1</v>
      </c>
      <c r="CD169" s="32" t="n">
        <f aca="false">MAX(MAX(BV169:CC169),-MIN(BV169:CC169))</f>
        <v>1</v>
      </c>
      <c r="CE169" s="31" t="str">
        <f aca="false">IF(CI169="","",SUMIFS($CF$7:$CF$696,$A$7:$A$696,CI169,$B$7:$B$696,B169))</f>
        <v/>
      </c>
      <c r="CF169" s="31" t="n">
        <f aca="false">SUM(AU169:BE169)</f>
        <v>1997886</v>
      </c>
      <c r="CG169" s="33" t="str">
        <f aca="false">A169&amp;"|"&amp;B169</f>
        <v>2026-06 賞与|農林水産振興センタ</v>
      </c>
      <c r="CH169" s="34" t="str">
        <f aca="false">IFERROR(INDEX(設定!$D$61:$D$106,MATCH(B169,設定!$B$61:$B$106,0)),"Y")</f>
        <v>Y</v>
      </c>
      <c r="CI169" s="34" t="str">
        <f aca="false">IFERROR(INDEX(設定!$D$20:$D$34,MATCH(A169,設定!$A$20:$A$34,0))&amp;"","")</f>
        <v/>
      </c>
    </row>
    <row r="170" customFormat="false" ht="15" hidden="true" customHeight="false" outlineLevel="0" collapsed="false">
      <c r="A170" s="22" t="s">
        <v>210</v>
      </c>
      <c r="B170" s="23" t="s">
        <v>186</v>
      </c>
      <c r="C170" s="10" t="str">
        <f aca="false">IF(G170="","未受領",IF(G170="なし","報告なし",IF(AH170="○","起票済",IF(OR(AG170="○",F170="一致",F170="入金不要"),"入金確認済","受領済"))))</f>
        <v>入金確認済</v>
      </c>
      <c r="D170" s="10" t="str">
        <f aca="false">IF(OR(G170="",G170="なし"),"―",IF(CH170="N","対象外",IF(AND(I170="",J170="",K170=""),"標報未入力",IF(CD170&gt;=設定!$B$4,"要確認","問題なし"))))</f>
        <v>標報未入力</v>
      </c>
      <c r="E170" s="24" t="str">
        <f aca="false">IF(OR(G170="",G170="なし",CE170="",CF170=0),"―",IF(CF170=CE170,"前月同額",IF(CE170=0,"―",IF(ABS(CF170/CE170-1)&gt;=設定!$B$5,"変動大 "&amp;TEXT(CF170/CE170-1,"+0%;-0%"),"〇"))))</f>
        <v>―</v>
      </c>
      <c r="F170" s="10" t="str">
        <f aca="false">IF(OR(G170="",G170="なし"),"―",IF(CF170=0,"入金不要",IF(COUNT(Z170,AB170,AD170,AF170)=0,IF(AG170="○","手動確認","未入金"),IF(AND(N(Z170)=Y170,IF(AA170="",TRUE(),N(AB170)=AA170),IF(AC170="",TRUE(),N(AD170)=AC170),IF(AE170="",TRUE(),N(AF170)=AE170)),"一致","不一致"))))</f>
        <v>手動確認</v>
      </c>
      <c r="G170" s="25" t="s">
        <v>159</v>
      </c>
      <c r="H170" s="26"/>
      <c r="I170" s="27"/>
      <c r="J170" s="27"/>
      <c r="K170" s="27"/>
      <c r="L170" s="27"/>
      <c r="M170" s="27"/>
      <c r="N170" s="27" t="n">
        <v>2185941</v>
      </c>
      <c r="O170" s="27" t="n">
        <v>179172</v>
      </c>
      <c r="P170" s="27" t="n">
        <v>2073</v>
      </c>
      <c r="Q170" s="27"/>
      <c r="R170" s="27" t="n">
        <v>1240127</v>
      </c>
      <c r="S170" s="27"/>
      <c r="T170" s="27" t="n">
        <v>181974</v>
      </c>
      <c r="U170" s="27"/>
      <c r="V170" s="27" t="n">
        <v>27471</v>
      </c>
      <c r="W170" s="10" t="str">
        <f aca="false">IFERROR(INDEX(設定!$E$61:$E$106,MATCH(B170,設定!$B$61:$B$106,0)),"合算")</f>
        <v>合算</v>
      </c>
      <c r="X170" s="28"/>
      <c r="Y170" s="29" t="n">
        <f aca="false">IF(OR(G170="",G170="なし"),"",IF(W170="合算",CF170,IF(W170="掛金・負担金別",(AU170+AV170+AZ170+BB170+BD170),SUM(AU170:AY170))))</f>
        <v>3816758</v>
      </c>
      <c r="Z170" s="27"/>
      <c r="AA170" s="29" t="str">
        <f aca="false">IF(OR(G170="",G170="なし"),"",IF(W170="掛金・負担金別",(AW170+AX170+AY170+BA170+BC170+BE170),IF(W170="経理区分別",AZ170+BA170,"")))</f>
        <v/>
      </c>
      <c r="AB170" s="27"/>
      <c r="AC170" s="29" t="str">
        <f aca="false">IF(OR(G170="",G170="なし"),"",IF(W170="経理区分別",BB170+BC170,""))</f>
        <v/>
      </c>
      <c r="AD170" s="27"/>
      <c r="AE170" s="29" t="str">
        <f aca="false">IF(OR(G170="",G170="なし"),"",IF(W170="経理区分別",BD170+BE170,""))</f>
        <v/>
      </c>
      <c r="AF170" s="27"/>
      <c r="AG170" s="26" t="s">
        <v>160</v>
      </c>
      <c r="AH170" s="26"/>
      <c r="AI170" s="30"/>
      <c r="AJ170" s="31"/>
      <c r="AK170" s="31"/>
      <c r="AL170" s="31"/>
      <c r="AM170" s="31"/>
      <c r="AN170" s="31"/>
      <c r="AO170" s="31"/>
      <c r="AP170" s="31"/>
      <c r="AQ170" s="31"/>
      <c r="AR170" s="31"/>
      <c r="AS170" s="31"/>
      <c r="AT170" s="31"/>
      <c r="AU170" s="31" t="n">
        <f aca="false">IF($G170="",AJ170,L170)</f>
        <v>0</v>
      </c>
      <c r="AV170" s="31" t="n">
        <f aca="false">IF($G170="",AK170,M170)</f>
        <v>0</v>
      </c>
      <c r="AW170" s="31" t="n">
        <f aca="false">IF($G170="",AL170,N170)</f>
        <v>2185941</v>
      </c>
      <c r="AX170" s="31" t="n">
        <f aca="false">IF($G170="",AM170,O170)</f>
        <v>179172</v>
      </c>
      <c r="AY170" s="31" t="n">
        <f aca="false">IF($G170="",AN170,P170)</f>
        <v>2073</v>
      </c>
      <c r="AZ170" s="31" t="n">
        <f aca="false">IF($G170="",AO170,Q170)</f>
        <v>0</v>
      </c>
      <c r="BA170" s="31" t="n">
        <f aca="false">IF($G170="",AP170,R170)</f>
        <v>1240127</v>
      </c>
      <c r="BB170" s="31" t="n">
        <f aca="false">IF($G170="",AQ170,S170)</f>
        <v>0</v>
      </c>
      <c r="BC170" s="31" t="n">
        <f aca="false">IF($G170="",AR170,T170)</f>
        <v>181974</v>
      </c>
      <c r="BD170" s="31" t="n">
        <f aca="false">IF($G170="",AS170,U170)</f>
        <v>0</v>
      </c>
      <c r="BE170" s="31" t="n">
        <f aca="false">IF($G170="",AT170,V170)</f>
        <v>27471</v>
      </c>
      <c r="BF170" s="31" t="n">
        <f aca="false">ROUNDDOWN(I170*設定!$B$10/1000,0)+ROUNDDOWN(I170*設定!$B$11/1000,0)</f>
        <v>0</v>
      </c>
      <c r="BG170" s="31" t="n">
        <f aca="false">ROUNDDOWN(I170*設定!$C$10/1000,0)+ROUNDDOWN(I170*設定!$C$11/1000,0)+ROUNDDOWN(I170*設定!$C$12/1000,0)</f>
        <v>0</v>
      </c>
      <c r="BH170" s="31" t="n">
        <f aca="false">ROUNDDOWN(J170*設定!$B$13/1000,0)</f>
        <v>0</v>
      </c>
      <c r="BI170" s="31" t="n">
        <f aca="false">ROUNDDOWN(J170*設定!$C$13/1000,0)</f>
        <v>0</v>
      </c>
      <c r="BJ170" s="31" t="n">
        <f aca="false">ROUNDDOWN(K170*設定!$B$14/1000,0)</f>
        <v>0</v>
      </c>
      <c r="BK170" s="31" t="n">
        <f aca="false">ROUNDDOWN(K170*設定!$C$14/1000,0)</f>
        <v>0</v>
      </c>
      <c r="BL170" s="31" t="n">
        <f aca="false">ROUNDDOWN(J170*設定!$B$15/1000,0)</f>
        <v>0</v>
      </c>
      <c r="BM170" s="31" t="n">
        <f aca="false">ROUNDDOWN(J170*設定!$C$15/1000,0)</f>
        <v>0</v>
      </c>
      <c r="BN170" s="31" t="n">
        <f aca="false">L170+M170</f>
        <v>0</v>
      </c>
      <c r="BO170" s="31" t="n">
        <f aca="false">N170+O170+P170</f>
        <v>2367186</v>
      </c>
      <c r="BP170" s="31" t="n">
        <f aca="false">Q170</f>
        <v>0</v>
      </c>
      <c r="BQ170" s="31" t="n">
        <f aca="false">R170</f>
        <v>1240127</v>
      </c>
      <c r="BR170" s="31" t="n">
        <f aca="false">S170</f>
        <v>0</v>
      </c>
      <c r="BS170" s="31" t="n">
        <f aca="false">T170</f>
        <v>181974</v>
      </c>
      <c r="BT170" s="31" t="n">
        <f aca="false">U170</f>
        <v>0</v>
      </c>
      <c r="BU170" s="31" t="n">
        <f aca="false">V170</f>
        <v>27471</v>
      </c>
      <c r="BV170" s="32" t="n">
        <f aca="false">IF(BF170=0,IF(BN170=0,0,1),(BN170-BF170)/BF170)</f>
        <v>0</v>
      </c>
      <c r="BW170" s="32" t="n">
        <f aca="false">IF(BG170=0,IF(BO170=0,0,1),(BO170-BG170)/BG170)</f>
        <v>1</v>
      </c>
      <c r="BX170" s="32" t="n">
        <f aca="false">IF(BH170=0,IF(BP170=0,0,1),(BP170-BH170)/BH170)</f>
        <v>0</v>
      </c>
      <c r="BY170" s="32" t="n">
        <f aca="false">IF(BI170=0,IF(BQ170=0,0,1),(BQ170-BI170)/BI170)</f>
        <v>1</v>
      </c>
      <c r="BZ170" s="32" t="n">
        <f aca="false">IF(BJ170=0,IF(BR170=0,0,1),(BR170-BJ170)/BJ170)</f>
        <v>0</v>
      </c>
      <c r="CA170" s="32" t="n">
        <f aca="false">IF(BK170=0,IF(BS170=0,0,1),(BS170-BK170)/BK170)</f>
        <v>1</v>
      </c>
      <c r="CB170" s="32" t="n">
        <f aca="false">IF(BL170=0,IF(BT170=0,0,1),(BT170-BL170)/BL170)</f>
        <v>0</v>
      </c>
      <c r="CC170" s="32" t="n">
        <f aca="false">IF(BM170=0,IF(BU170=0,0,1),(BU170-BM170)/BM170)</f>
        <v>1</v>
      </c>
      <c r="CD170" s="32" t="n">
        <f aca="false">MAX(MAX(BV170:CC170),-MIN(BV170:CC170))</f>
        <v>1</v>
      </c>
      <c r="CE170" s="31" t="str">
        <f aca="false">IF(CI170="","",SUMIFS($CF$7:$CF$696,$A$7:$A$696,CI170,$B$7:$B$696,B170))</f>
        <v/>
      </c>
      <c r="CF170" s="31" t="n">
        <f aca="false">SUM(AU170:BE170)</f>
        <v>3816758</v>
      </c>
      <c r="CG170" s="33" t="str">
        <f aca="false">A170&amp;"|"&amp;B170</f>
        <v>2026-06 賞与|文化財団　市長部局</v>
      </c>
      <c r="CH170" s="34" t="str">
        <f aca="false">IFERROR(INDEX(設定!$D$61:$D$106,MATCH(B170,設定!$B$61:$B$106,0)),"Y")</f>
        <v>Y</v>
      </c>
      <c r="CI170" s="34" t="str">
        <f aca="false">IFERROR(INDEX(設定!$D$20:$D$34,MATCH(A170,設定!$A$20:$A$34,0))&amp;"","")</f>
        <v/>
      </c>
    </row>
    <row r="171" customFormat="false" ht="15" hidden="true" customHeight="false" outlineLevel="0" collapsed="false">
      <c r="A171" s="22" t="s">
        <v>210</v>
      </c>
      <c r="B171" s="23" t="s">
        <v>187</v>
      </c>
      <c r="C171" s="10" t="str">
        <f aca="false">IF(G171="","未受領",IF(G171="なし","報告なし",IF(AH171="○","起票済",IF(OR(AG171="○",F171="一致",F171="入金不要"),"入金確認済","受領済"))))</f>
        <v>入金確認済</v>
      </c>
      <c r="D171" s="10" t="str">
        <f aca="false">IF(OR(G171="",G171="なし"),"―",IF(CH171="N","対象外",IF(AND(I171="",J171="",K171=""),"標報未入力",IF(CD171&gt;=設定!$B$4,"要確認","問題なし"))))</f>
        <v>標報未入力</v>
      </c>
      <c r="E171" s="24" t="str">
        <f aca="false">IF(OR(G171="",G171="なし",CE171="",CF171=0),"―",IF(CF171=CE171,"前月同額",IF(CE171=0,"―",IF(ABS(CF171/CE171-1)&gt;=設定!$B$5,"変動大 "&amp;TEXT(CF171/CE171-1,"+0%;-0%"),"〇"))))</f>
        <v>―</v>
      </c>
      <c r="F171" s="10" t="str">
        <f aca="false">IF(OR(G171="",G171="なし"),"―",IF(CF171=0,"入金不要",IF(COUNT(Z171,AB171,AD171,AF171)=0,IF(AG171="○","手動確認","未入金"),IF(AND(N(Z171)=Y171,IF(AA171="",TRUE(),N(AB171)=AA171),IF(AC171="",TRUE(),N(AD171)=AC171),IF(AE171="",TRUE(),N(AF171)=AE171)),"一致","不一致"))))</f>
        <v>入金不要</v>
      </c>
      <c r="G171" s="25" t="s">
        <v>159</v>
      </c>
      <c r="H171" s="26"/>
      <c r="I171" s="27"/>
      <c r="J171" s="27"/>
      <c r="K171" s="27"/>
      <c r="L171" s="27"/>
      <c r="M171" s="27"/>
      <c r="N171" s="27" t="n">
        <v>0</v>
      </c>
      <c r="O171" s="27" t="n">
        <v>0</v>
      </c>
      <c r="P171" s="27" t="n">
        <v>0</v>
      </c>
      <c r="Q171" s="27"/>
      <c r="R171" s="27" t="n">
        <v>0</v>
      </c>
      <c r="S171" s="27"/>
      <c r="T171" s="27" t="n">
        <v>0</v>
      </c>
      <c r="U171" s="27"/>
      <c r="V171" s="27" t="n">
        <v>0</v>
      </c>
      <c r="W171" s="10" t="str">
        <f aca="false">IFERROR(INDEX(設定!$E$61:$E$106,MATCH(B171,設定!$B$61:$B$106,0)),"合算")</f>
        <v>合算</v>
      </c>
      <c r="X171" s="28"/>
      <c r="Y171" s="29" t="n">
        <f aca="false">IF(OR(G171="",G171="なし"),"",IF(W171="合算",CF171,IF(W171="掛金・負担金別",(AU171+AV171+AZ171+BB171+BD171),SUM(AU171:AY171))))</f>
        <v>0</v>
      </c>
      <c r="Z171" s="27"/>
      <c r="AA171" s="29" t="str">
        <f aca="false">IF(OR(G171="",G171="なし"),"",IF(W171="掛金・負担金別",(AW171+AX171+AY171+BA171+BC171+BE171),IF(W171="経理区分別",AZ171+BA171,"")))</f>
        <v/>
      </c>
      <c r="AB171" s="27"/>
      <c r="AC171" s="29" t="str">
        <f aca="false">IF(OR(G171="",G171="なし"),"",IF(W171="経理区分別",BB171+BC171,""))</f>
        <v/>
      </c>
      <c r="AD171" s="27"/>
      <c r="AE171" s="29" t="str">
        <f aca="false">IF(OR(G171="",G171="なし"),"",IF(W171="経理区分別",BD171+BE171,""))</f>
        <v/>
      </c>
      <c r="AF171" s="27"/>
      <c r="AG171" s="26" t="s">
        <v>160</v>
      </c>
      <c r="AH171" s="26"/>
      <c r="AI171" s="30"/>
      <c r="AJ171" s="31"/>
      <c r="AK171" s="31"/>
      <c r="AL171" s="31"/>
      <c r="AM171" s="31"/>
      <c r="AN171" s="31"/>
      <c r="AO171" s="31"/>
      <c r="AP171" s="31"/>
      <c r="AQ171" s="31"/>
      <c r="AR171" s="31"/>
      <c r="AS171" s="31"/>
      <c r="AT171" s="31"/>
      <c r="AU171" s="31" t="n">
        <f aca="false">IF($G171="",AJ171,L171)</f>
        <v>0</v>
      </c>
      <c r="AV171" s="31" t="n">
        <f aca="false">IF($G171="",AK171,M171)</f>
        <v>0</v>
      </c>
      <c r="AW171" s="31" t="n">
        <f aca="false">IF($G171="",AL171,N171)</f>
        <v>0</v>
      </c>
      <c r="AX171" s="31" t="n">
        <f aca="false">IF($G171="",AM171,O171)</f>
        <v>0</v>
      </c>
      <c r="AY171" s="31" t="n">
        <f aca="false">IF($G171="",AN171,P171)</f>
        <v>0</v>
      </c>
      <c r="AZ171" s="31" t="n">
        <f aca="false">IF($G171="",AO171,Q171)</f>
        <v>0</v>
      </c>
      <c r="BA171" s="31" t="n">
        <f aca="false">IF($G171="",AP171,R171)</f>
        <v>0</v>
      </c>
      <c r="BB171" s="31" t="n">
        <f aca="false">IF($G171="",AQ171,S171)</f>
        <v>0</v>
      </c>
      <c r="BC171" s="31" t="n">
        <f aca="false">IF($G171="",AR171,T171)</f>
        <v>0</v>
      </c>
      <c r="BD171" s="31" t="n">
        <f aca="false">IF($G171="",AS171,U171)</f>
        <v>0</v>
      </c>
      <c r="BE171" s="31" t="n">
        <f aca="false">IF($G171="",AT171,V171)</f>
        <v>0</v>
      </c>
      <c r="BF171" s="31" t="n">
        <f aca="false">ROUNDDOWN(I171*設定!$B$10/1000,0)+ROUNDDOWN(I171*設定!$B$11/1000,0)</f>
        <v>0</v>
      </c>
      <c r="BG171" s="31" t="n">
        <f aca="false">ROUNDDOWN(I171*設定!$C$10/1000,0)+ROUNDDOWN(I171*設定!$C$11/1000,0)+ROUNDDOWN(I171*設定!$C$12/1000,0)</f>
        <v>0</v>
      </c>
      <c r="BH171" s="31" t="n">
        <f aca="false">ROUNDDOWN(J171*設定!$B$13/1000,0)</f>
        <v>0</v>
      </c>
      <c r="BI171" s="31" t="n">
        <f aca="false">ROUNDDOWN(J171*設定!$C$13/1000,0)</f>
        <v>0</v>
      </c>
      <c r="BJ171" s="31" t="n">
        <f aca="false">ROUNDDOWN(K171*設定!$B$14/1000,0)</f>
        <v>0</v>
      </c>
      <c r="BK171" s="31" t="n">
        <f aca="false">ROUNDDOWN(K171*設定!$C$14/1000,0)</f>
        <v>0</v>
      </c>
      <c r="BL171" s="31" t="n">
        <f aca="false">ROUNDDOWN(J171*設定!$B$15/1000,0)</f>
        <v>0</v>
      </c>
      <c r="BM171" s="31" t="n">
        <f aca="false">ROUNDDOWN(J171*設定!$C$15/1000,0)</f>
        <v>0</v>
      </c>
      <c r="BN171" s="31" t="n">
        <f aca="false">L171+M171</f>
        <v>0</v>
      </c>
      <c r="BO171" s="31" t="n">
        <f aca="false">N171+O171+P171</f>
        <v>0</v>
      </c>
      <c r="BP171" s="31" t="n">
        <f aca="false">Q171</f>
        <v>0</v>
      </c>
      <c r="BQ171" s="31" t="n">
        <f aca="false">R171</f>
        <v>0</v>
      </c>
      <c r="BR171" s="31" t="n">
        <f aca="false">S171</f>
        <v>0</v>
      </c>
      <c r="BS171" s="31" t="n">
        <f aca="false">T171</f>
        <v>0</v>
      </c>
      <c r="BT171" s="31" t="n">
        <f aca="false">U171</f>
        <v>0</v>
      </c>
      <c r="BU171" s="31" t="n">
        <f aca="false">V171</f>
        <v>0</v>
      </c>
      <c r="BV171" s="32" t="n">
        <f aca="false">IF(BF171=0,IF(BN171=0,0,1),(BN171-BF171)/BF171)</f>
        <v>0</v>
      </c>
      <c r="BW171" s="32" t="n">
        <f aca="false">IF(BG171=0,IF(BO171=0,0,1),(BO171-BG171)/BG171)</f>
        <v>0</v>
      </c>
      <c r="BX171" s="32" t="n">
        <f aca="false">IF(BH171=0,IF(BP171=0,0,1),(BP171-BH171)/BH171)</f>
        <v>0</v>
      </c>
      <c r="BY171" s="32" t="n">
        <f aca="false">IF(BI171=0,IF(BQ171=0,0,1),(BQ171-BI171)/BI171)</f>
        <v>0</v>
      </c>
      <c r="BZ171" s="32" t="n">
        <f aca="false">IF(BJ171=0,IF(BR171=0,0,1),(BR171-BJ171)/BJ171)</f>
        <v>0</v>
      </c>
      <c r="CA171" s="32" t="n">
        <f aca="false">IF(BK171=0,IF(BS171=0,0,1),(BS171-BK171)/BK171)</f>
        <v>0</v>
      </c>
      <c r="CB171" s="32" t="n">
        <f aca="false">IF(BL171=0,IF(BT171=0,0,1),(BT171-BL171)/BL171)</f>
        <v>0</v>
      </c>
      <c r="CC171" s="32" t="n">
        <f aca="false">IF(BM171=0,IF(BU171=0,0,1),(BU171-BM171)/BM171)</f>
        <v>0</v>
      </c>
      <c r="CD171" s="32" t="n">
        <f aca="false">MAX(MAX(BV171:CC171),-MIN(BV171:CC171))</f>
        <v>-0</v>
      </c>
      <c r="CE171" s="31" t="str">
        <f aca="false">IF(CI171="","",SUMIFS($CF$7:$CF$696,$A$7:$A$696,CI171,$B$7:$B$696,B171))</f>
        <v/>
      </c>
      <c r="CF171" s="31" t="n">
        <f aca="false">SUM(AU171:BE171)</f>
        <v>0</v>
      </c>
      <c r="CG171" s="33" t="str">
        <f aca="false">A171&amp;"|"&amp;B171</f>
        <v>2026-06 賞与|文化財団　教育委員会</v>
      </c>
      <c r="CH171" s="34" t="str">
        <f aca="false">IFERROR(INDEX(設定!$D$61:$D$106,MATCH(B171,設定!$B$61:$B$106,0)),"Y")</f>
        <v>Y</v>
      </c>
      <c r="CI171" s="34" t="str">
        <f aca="false">IFERROR(INDEX(設定!$D$20:$D$34,MATCH(A171,設定!$A$20:$A$34,0))&amp;"","")</f>
        <v/>
      </c>
    </row>
    <row r="172" customFormat="false" ht="15" hidden="true" customHeight="false" outlineLevel="0" collapsed="false">
      <c r="A172" s="22" t="s">
        <v>210</v>
      </c>
      <c r="B172" s="23" t="s">
        <v>188</v>
      </c>
      <c r="C172" s="10" t="str">
        <f aca="false">IF(G172="","未受領",IF(G172="なし","報告なし",IF(AH172="○","起票済",IF(OR(AG172="○",F172="一致",F172="入金不要"),"入金確認済","受領済"))))</f>
        <v>入金確認済</v>
      </c>
      <c r="D172" s="10" t="str">
        <f aca="false">IF(OR(G172="",G172="なし"),"―",IF(CH172="N","対象外",IF(AND(I172="",J172="",K172=""),"標報未入力",IF(CD172&gt;=設定!$B$4,"要確認","問題なし"))))</f>
        <v>標報未入力</v>
      </c>
      <c r="E172" s="24" t="str">
        <f aca="false">IF(OR(G172="",G172="なし",CE172="",CF172=0),"―",IF(CF172=CE172,"前月同額",IF(CE172=0,"―",IF(ABS(CF172/CE172-1)&gt;=設定!$B$5,"変動大 "&amp;TEXT(CF172/CE172-1,"+0%;-0%"),"〇"))))</f>
        <v>―</v>
      </c>
      <c r="F172" s="10" t="str">
        <f aca="false">IF(OR(G172="",G172="なし"),"―",IF(CF172=0,"入金不要",IF(COUNT(Z172,AB172,AD172,AF172)=0,IF(AG172="○","手動確認","未入金"),IF(AND(N(Z172)=Y172,IF(AA172="",TRUE(),N(AB172)=AA172),IF(AC172="",TRUE(),N(AD172)=AC172),IF(AE172="",TRUE(),N(AF172)=AE172)),"一致","不一致"))))</f>
        <v>手動確認</v>
      </c>
      <c r="G172" s="25" t="s">
        <v>159</v>
      </c>
      <c r="H172" s="26"/>
      <c r="I172" s="27"/>
      <c r="J172" s="27"/>
      <c r="K172" s="27"/>
      <c r="L172" s="27"/>
      <c r="M172" s="27"/>
      <c r="N172" s="27" t="n">
        <v>917199</v>
      </c>
      <c r="O172" s="27" t="n">
        <v>75179</v>
      </c>
      <c r="P172" s="27" t="n">
        <v>869</v>
      </c>
      <c r="Q172" s="27"/>
      <c r="R172" s="27" t="n">
        <v>520344</v>
      </c>
      <c r="S172" s="27"/>
      <c r="T172" s="27" t="n">
        <v>79187</v>
      </c>
      <c r="U172" s="27"/>
      <c r="V172" s="27" t="n">
        <v>11526</v>
      </c>
      <c r="W172" s="10" t="str">
        <f aca="false">IFERROR(INDEX(設定!$E$61:$E$106,MATCH(B172,設定!$B$61:$B$106,0)),"合算")</f>
        <v>合算</v>
      </c>
      <c r="X172" s="28"/>
      <c r="Y172" s="29" t="n">
        <f aca="false">IF(OR(G172="",G172="なし"),"",IF(W172="合算",CF172,IF(W172="掛金・負担金別",(AU172+AV172+AZ172+BB172+BD172),SUM(AU172:AY172))))</f>
        <v>1604304</v>
      </c>
      <c r="Z172" s="27"/>
      <c r="AA172" s="29" t="str">
        <f aca="false">IF(OR(G172="",G172="なし"),"",IF(W172="掛金・負担金別",(AW172+AX172+AY172+BA172+BC172+BE172),IF(W172="経理区分別",AZ172+BA172,"")))</f>
        <v/>
      </c>
      <c r="AB172" s="27"/>
      <c r="AC172" s="29" t="str">
        <f aca="false">IF(OR(G172="",G172="なし"),"",IF(W172="経理区分別",BB172+BC172,""))</f>
        <v/>
      </c>
      <c r="AD172" s="27"/>
      <c r="AE172" s="29" t="str">
        <f aca="false">IF(OR(G172="",G172="なし"),"",IF(W172="経理区分別",BD172+BE172,""))</f>
        <v/>
      </c>
      <c r="AF172" s="27"/>
      <c r="AG172" s="26" t="s">
        <v>160</v>
      </c>
      <c r="AH172" s="26"/>
      <c r="AI172" s="30"/>
      <c r="AJ172" s="31"/>
      <c r="AK172" s="31"/>
      <c r="AL172" s="31"/>
      <c r="AM172" s="31"/>
      <c r="AN172" s="31"/>
      <c r="AO172" s="31"/>
      <c r="AP172" s="31"/>
      <c r="AQ172" s="31"/>
      <c r="AR172" s="31"/>
      <c r="AS172" s="31"/>
      <c r="AT172" s="31"/>
      <c r="AU172" s="31" t="n">
        <f aca="false">IF($G172="",AJ172,L172)</f>
        <v>0</v>
      </c>
      <c r="AV172" s="31" t="n">
        <f aca="false">IF($G172="",AK172,M172)</f>
        <v>0</v>
      </c>
      <c r="AW172" s="31" t="n">
        <f aca="false">IF($G172="",AL172,N172)</f>
        <v>917199</v>
      </c>
      <c r="AX172" s="31" t="n">
        <f aca="false">IF($G172="",AM172,O172)</f>
        <v>75179</v>
      </c>
      <c r="AY172" s="31" t="n">
        <f aca="false">IF($G172="",AN172,P172)</f>
        <v>869</v>
      </c>
      <c r="AZ172" s="31" t="n">
        <f aca="false">IF($G172="",AO172,Q172)</f>
        <v>0</v>
      </c>
      <c r="BA172" s="31" t="n">
        <f aca="false">IF($G172="",AP172,R172)</f>
        <v>520344</v>
      </c>
      <c r="BB172" s="31" t="n">
        <f aca="false">IF($G172="",AQ172,S172)</f>
        <v>0</v>
      </c>
      <c r="BC172" s="31" t="n">
        <f aca="false">IF($G172="",AR172,T172)</f>
        <v>79187</v>
      </c>
      <c r="BD172" s="31" t="n">
        <f aca="false">IF($G172="",AS172,U172)</f>
        <v>0</v>
      </c>
      <c r="BE172" s="31" t="n">
        <f aca="false">IF($G172="",AT172,V172)</f>
        <v>11526</v>
      </c>
      <c r="BF172" s="31" t="n">
        <f aca="false">ROUNDDOWN(I172*設定!$B$10/1000,0)+ROUNDDOWN(I172*設定!$B$11/1000,0)</f>
        <v>0</v>
      </c>
      <c r="BG172" s="31" t="n">
        <f aca="false">ROUNDDOWN(I172*設定!$C$10/1000,0)+ROUNDDOWN(I172*設定!$C$11/1000,0)+ROUNDDOWN(I172*設定!$C$12/1000,0)</f>
        <v>0</v>
      </c>
      <c r="BH172" s="31" t="n">
        <f aca="false">ROUNDDOWN(J172*設定!$B$13/1000,0)</f>
        <v>0</v>
      </c>
      <c r="BI172" s="31" t="n">
        <f aca="false">ROUNDDOWN(J172*設定!$C$13/1000,0)</f>
        <v>0</v>
      </c>
      <c r="BJ172" s="31" t="n">
        <f aca="false">ROUNDDOWN(K172*設定!$B$14/1000,0)</f>
        <v>0</v>
      </c>
      <c r="BK172" s="31" t="n">
        <f aca="false">ROUNDDOWN(K172*設定!$C$14/1000,0)</f>
        <v>0</v>
      </c>
      <c r="BL172" s="31" t="n">
        <f aca="false">ROUNDDOWN(J172*設定!$B$15/1000,0)</f>
        <v>0</v>
      </c>
      <c r="BM172" s="31" t="n">
        <f aca="false">ROUNDDOWN(J172*設定!$C$15/1000,0)</f>
        <v>0</v>
      </c>
      <c r="BN172" s="31" t="n">
        <f aca="false">L172+M172</f>
        <v>0</v>
      </c>
      <c r="BO172" s="31" t="n">
        <f aca="false">N172+O172+P172</f>
        <v>993247</v>
      </c>
      <c r="BP172" s="31" t="n">
        <f aca="false">Q172</f>
        <v>0</v>
      </c>
      <c r="BQ172" s="31" t="n">
        <f aca="false">R172</f>
        <v>520344</v>
      </c>
      <c r="BR172" s="31" t="n">
        <f aca="false">S172</f>
        <v>0</v>
      </c>
      <c r="BS172" s="31" t="n">
        <f aca="false">T172</f>
        <v>79187</v>
      </c>
      <c r="BT172" s="31" t="n">
        <f aca="false">U172</f>
        <v>0</v>
      </c>
      <c r="BU172" s="31" t="n">
        <f aca="false">V172</f>
        <v>11526</v>
      </c>
      <c r="BV172" s="32" t="n">
        <f aca="false">IF(BF172=0,IF(BN172=0,0,1),(BN172-BF172)/BF172)</f>
        <v>0</v>
      </c>
      <c r="BW172" s="32" t="n">
        <f aca="false">IF(BG172=0,IF(BO172=0,0,1),(BO172-BG172)/BG172)</f>
        <v>1</v>
      </c>
      <c r="BX172" s="32" t="n">
        <f aca="false">IF(BH172=0,IF(BP172=0,0,1),(BP172-BH172)/BH172)</f>
        <v>0</v>
      </c>
      <c r="BY172" s="32" t="n">
        <f aca="false">IF(BI172=0,IF(BQ172=0,0,1),(BQ172-BI172)/BI172)</f>
        <v>1</v>
      </c>
      <c r="BZ172" s="32" t="n">
        <f aca="false">IF(BJ172=0,IF(BR172=0,0,1),(BR172-BJ172)/BJ172)</f>
        <v>0</v>
      </c>
      <c r="CA172" s="32" t="n">
        <f aca="false">IF(BK172=0,IF(BS172=0,0,1),(BS172-BK172)/BK172)</f>
        <v>1</v>
      </c>
      <c r="CB172" s="32" t="n">
        <f aca="false">IF(BL172=0,IF(BT172=0,0,1),(BT172-BL172)/BL172)</f>
        <v>0</v>
      </c>
      <c r="CC172" s="32" t="n">
        <f aca="false">IF(BM172=0,IF(BU172=0,0,1),(BU172-BM172)/BM172)</f>
        <v>1</v>
      </c>
      <c r="CD172" s="32" t="n">
        <f aca="false">MAX(MAX(BV172:CC172),-MIN(BV172:CC172))</f>
        <v>1</v>
      </c>
      <c r="CE172" s="31" t="str">
        <f aca="false">IF(CI172="","",SUMIFS($CF$7:$CF$696,$A$7:$A$696,CI172,$B$7:$B$696,B172))</f>
        <v/>
      </c>
      <c r="CF172" s="31" t="n">
        <f aca="false">SUM(AU172:BE172)</f>
        <v>1604304</v>
      </c>
      <c r="CG172" s="33" t="str">
        <f aca="false">A172&amp;"|"&amp;B172</f>
        <v>2026-06 賞与|みどり生きもの協会</v>
      </c>
      <c r="CH172" s="34" t="str">
        <f aca="false">IFERROR(INDEX(設定!$D$61:$D$106,MATCH(B172,設定!$B$61:$B$106,0)),"Y")</f>
        <v>Y</v>
      </c>
      <c r="CI172" s="34" t="str">
        <f aca="false">IFERROR(INDEX(設定!$D$20:$D$34,MATCH(A172,設定!$A$20:$A$34,0))&amp;"","")</f>
        <v/>
      </c>
    </row>
    <row r="173" customFormat="false" ht="15" hidden="true" customHeight="false" outlineLevel="0" collapsed="false">
      <c r="A173" s="22" t="s">
        <v>210</v>
      </c>
      <c r="B173" s="23" t="s">
        <v>189</v>
      </c>
      <c r="C173" s="10" t="str">
        <f aca="false">IF(G173="","未受領",IF(G173="なし","報告なし",IF(AH173="○","起票済",IF(OR(AG173="○",F173="一致",F173="入金不要"),"入金確認済","受領済"))))</f>
        <v>入金確認済</v>
      </c>
      <c r="D173" s="10" t="str">
        <f aca="false">IF(OR(G173="",G173="なし"),"―",IF(CH173="N","対象外",IF(AND(I173="",J173="",K173=""),"標報未入力",IF(CD173&gt;=設定!$B$4,"要確認","問題なし"))))</f>
        <v>標報未入力</v>
      </c>
      <c r="E173" s="24" t="str">
        <f aca="false">IF(OR(G173="",G173="なし",CE173="",CF173=0),"―",IF(CF173=CE173,"前月同額",IF(CE173=0,"―",IF(ABS(CF173/CE173-1)&gt;=設定!$B$5,"変動大 "&amp;TEXT(CF173/CE173-1,"+0%;-0%"),"〇"))))</f>
        <v>―</v>
      </c>
      <c r="F173" s="10" t="str">
        <f aca="false">IF(OR(G173="",G173="なし"),"―",IF(CF173=0,"入金不要",IF(COUNT(Z173,AB173,AD173,AF173)=0,IF(AG173="○","手動確認","未入金"),IF(AND(N(Z173)=Y173,IF(AA173="",TRUE(),N(AB173)=AA173),IF(AC173="",TRUE(),N(AD173)=AC173),IF(AE173="",TRUE(),N(AF173)=AE173)),"一致","不一致"))))</f>
        <v>手動確認</v>
      </c>
      <c r="G173" s="25" t="s">
        <v>159</v>
      </c>
      <c r="H173" s="26"/>
      <c r="I173" s="27"/>
      <c r="J173" s="27"/>
      <c r="K173" s="27"/>
      <c r="L173" s="27" t="n">
        <v>295178</v>
      </c>
      <c r="M173" s="27" t="n">
        <v>24194</v>
      </c>
      <c r="N173" s="27" t="n">
        <v>295180</v>
      </c>
      <c r="O173" s="27" t="n">
        <v>24195</v>
      </c>
      <c r="P173" s="27" t="n">
        <v>280</v>
      </c>
      <c r="Q173" s="27" t="n">
        <v>167299</v>
      </c>
      <c r="R173" s="27" t="n">
        <v>167461</v>
      </c>
      <c r="S173" s="27" t="n">
        <v>18983</v>
      </c>
      <c r="T173" s="27" t="n">
        <v>18983</v>
      </c>
      <c r="U173" s="27" t="n">
        <v>3709</v>
      </c>
      <c r="V173" s="27" t="n">
        <v>3709</v>
      </c>
      <c r="W173" s="10" t="str">
        <f aca="false">IFERROR(INDEX(設定!$E$61:$E$106,MATCH(B173,設定!$B$61:$B$106,0)),"合算")</f>
        <v>合算</v>
      </c>
      <c r="X173" s="28"/>
      <c r="Y173" s="29" t="n">
        <f aca="false">IF(OR(G173="",G173="なし"),"",IF(W173="合算",CF173,IF(W173="掛金・負担金別",(AU173+AV173+AZ173+BB173+BD173),SUM(AU173:AY173))))</f>
        <v>1019171</v>
      </c>
      <c r="Z173" s="27"/>
      <c r="AA173" s="29" t="str">
        <f aca="false">IF(OR(G173="",G173="なし"),"",IF(W173="掛金・負担金別",(AW173+AX173+AY173+BA173+BC173+BE173),IF(W173="経理区分別",AZ173+BA173,"")))</f>
        <v/>
      </c>
      <c r="AB173" s="27"/>
      <c r="AC173" s="29" t="str">
        <f aca="false">IF(OR(G173="",G173="なし"),"",IF(W173="経理区分別",BB173+BC173,""))</f>
        <v/>
      </c>
      <c r="AD173" s="27"/>
      <c r="AE173" s="29" t="str">
        <f aca="false">IF(OR(G173="",G173="なし"),"",IF(W173="経理区分別",BD173+BE173,""))</f>
        <v/>
      </c>
      <c r="AF173" s="27"/>
      <c r="AG173" s="26" t="s">
        <v>160</v>
      </c>
      <c r="AH173" s="26"/>
      <c r="AI173" s="30"/>
      <c r="AJ173" s="31"/>
      <c r="AK173" s="31"/>
      <c r="AL173" s="31"/>
      <c r="AM173" s="31"/>
      <c r="AN173" s="31"/>
      <c r="AO173" s="31"/>
      <c r="AP173" s="31"/>
      <c r="AQ173" s="31"/>
      <c r="AR173" s="31"/>
      <c r="AS173" s="31"/>
      <c r="AT173" s="31"/>
      <c r="AU173" s="31" t="n">
        <f aca="false">IF($G173="",AJ173,L173)</f>
        <v>295178</v>
      </c>
      <c r="AV173" s="31" t="n">
        <f aca="false">IF($G173="",AK173,M173)</f>
        <v>24194</v>
      </c>
      <c r="AW173" s="31" t="n">
        <f aca="false">IF($G173="",AL173,N173)</f>
        <v>295180</v>
      </c>
      <c r="AX173" s="31" t="n">
        <f aca="false">IF($G173="",AM173,O173)</f>
        <v>24195</v>
      </c>
      <c r="AY173" s="31" t="n">
        <f aca="false">IF($G173="",AN173,P173)</f>
        <v>280</v>
      </c>
      <c r="AZ173" s="31" t="n">
        <f aca="false">IF($G173="",AO173,Q173)</f>
        <v>167299</v>
      </c>
      <c r="BA173" s="31" t="n">
        <f aca="false">IF($G173="",AP173,R173)</f>
        <v>167461</v>
      </c>
      <c r="BB173" s="31" t="n">
        <f aca="false">IF($G173="",AQ173,S173)</f>
        <v>18983</v>
      </c>
      <c r="BC173" s="31" t="n">
        <f aca="false">IF($G173="",AR173,T173)</f>
        <v>18983</v>
      </c>
      <c r="BD173" s="31" t="n">
        <f aca="false">IF($G173="",AS173,U173)</f>
        <v>3709</v>
      </c>
      <c r="BE173" s="31" t="n">
        <f aca="false">IF($G173="",AT173,V173)</f>
        <v>3709</v>
      </c>
      <c r="BF173" s="31" t="n">
        <f aca="false">ROUNDDOWN(I173*設定!$B$10/1000,0)+ROUNDDOWN(I173*設定!$B$11/1000,0)</f>
        <v>0</v>
      </c>
      <c r="BG173" s="31" t="n">
        <f aca="false">ROUNDDOWN(I173*設定!$C$10/1000,0)+ROUNDDOWN(I173*設定!$C$11/1000,0)+ROUNDDOWN(I173*設定!$C$12/1000,0)</f>
        <v>0</v>
      </c>
      <c r="BH173" s="31" t="n">
        <f aca="false">ROUNDDOWN(J173*設定!$B$13/1000,0)</f>
        <v>0</v>
      </c>
      <c r="BI173" s="31" t="n">
        <f aca="false">ROUNDDOWN(J173*設定!$C$13/1000,0)</f>
        <v>0</v>
      </c>
      <c r="BJ173" s="31" t="n">
        <f aca="false">ROUNDDOWN(K173*設定!$B$14/1000,0)</f>
        <v>0</v>
      </c>
      <c r="BK173" s="31" t="n">
        <f aca="false">ROUNDDOWN(K173*設定!$C$14/1000,0)</f>
        <v>0</v>
      </c>
      <c r="BL173" s="31" t="n">
        <f aca="false">ROUNDDOWN(J173*設定!$B$15/1000,0)</f>
        <v>0</v>
      </c>
      <c r="BM173" s="31" t="n">
        <f aca="false">ROUNDDOWN(J173*設定!$C$15/1000,0)</f>
        <v>0</v>
      </c>
      <c r="BN173" s="31" t="n">
        <f aca="false">L173+M173</f>
        <v>319372</v>
      </c>
      <c r="BO173" s="31" t="n">
        <f aca="false">N173+O173+P173</f>
        <v>319655</v>
      </c>
      <c r="BP173" s="31" t="n">
        <f aca="false">Q173</f>
        <v>167299</v>
      </c>
      <c r="BQ173" s="31" t="n">
        <f aca="false">R173</f>
        <v>167461</v>
      </c>
      <c r="BR173" s="31" t="n">
        <f aca="false">S173</f>
        <v>18983</v>
      </c>
      <c r="BS173" s="31" t="n">
        <f aca="false">T173</f>
        <v>18983</v>
      </c>
      <c r="BT173" s="31" t="n">
        <f aca="false">U173</f>
        <v>3709</v>
      </c>
      <c r="BU173" s="31" t="n">
        <f aca="false">V173</f>
        <v>3709</v>
      </c>
      <c r="BV173" s="32" t="n">
        <f aca="false">IF(BF173=0,IF(BN173=0,0,1),(BN173-BF173)/BF173)</f>
        <v>1</v>
      </c>
      <c r="BW173" s="32" t="n">
        <f aca="false">IF(BG173=0,IF(BO173=0,0,1),(BO173-BG173)/BG173)</f>
        <v>1</v>
      </c>
      <c r="BX173" s="32" t="n">
        <f aca="false">IF(BH173=0,IF(BP173=0,0,1),(BP173-BH173)/BH173)</f>
        <v>1</v>
      </c>
      <c r="BY173" s="32" t="n">
        <f aca="false">IF(BI173=0,IF(BQ173=0,0,1),(BQ173-BI173)/BI173)</f>
        <v>1</v>
      </c>
      <c r="BZ173" s="32" t="n">
        <f aca="false">IF(BJ173=0,IF(BR173=0,0,1),(BR173-BJ173)/BJ173)</f>
        <v>1</v>
      </c>
      <c r="CA173" s="32" t="n">
        <f aca="false">IF(BK173=0,IF(BS173=0,0,1),(BS173-BK173)/BK173)</f>
        <v>1</v>
      </c>
      <c r="CB173" s="32" t="n">
        <f aca="false">IF(BL173=0,IF(BT173=0,0,1),(BT173-BL173)/BL173)</f>
        <v>1</v>
      </c>
      <c r="CC173" s="32" t="n">
        <f aca="false">IF(BM173=0,IF(BU173=0,0,1),(BU173-BM173)/BM173)</f>
        <v>1</v>
      </c>
      <c r="CD173" s="32" t="n">
        <f aca="false">MAX(MAX(BV173:CC173),-MIN(BV173:CC173))</f>
        <v>1</v>
      </c>
      <c r="CE173" s="31" t="str">
        <f aca="false">IF(CI173="","",SUMIFS($CF$7:$CF$696,$A$7:$A$696,CI173,$B$7:$B$696,B173))</f>
        <v/>
      </c>
      <c r="CF173" s="31" t="n">
        <f aca="false">SUM(AU173:BE173)</f>
        <v>1019171</v>
      </c>
      <c r="CG173" s="33" t="str">
        <f aca="false">A173&amp;"|"&amp;B173</f>
        <v>2026-06 賞与|県下水道公社</v>
      </c>
      <c r="CH173" s="34" t="str">
        <f aca="false">IFERROR(INDEX(設定!$D$61:$D$106,MATCH(B173,設定!$B$61:$B$106,0)),"Y")</f>
        <v>Y</v>
      </c>
      <c r="CI173" s="34" t="str">
        <f aca="false">IFERROR(INDEX(設定!$D$20:$D$34,MATCH(A173,設定!$A$20:$A$34,0))&amp;"","")</f>
        <v/>
      </c>
    </row>
    <row r="174" customFormat="false" ht="26.85" hidden="true" customHeight="false" outlineLevel="0" collapsed="false">
      <c r="A174" s="22" t="s">
        <v>210</v>
      </c>
      <c r="B174" s="35" t="s">
        <v>208</v>
      </c>
      <c r="C174" s="10" t="str">
        <f aca="false">IF(G174="","未受領",IF(G174="なし","報告なし",IF(AH174="○","起票済",IF(OR(AG174="○",F174="一致",F174="入金不要"),"入金確認済","受領済"))))</f>
        <v>入金確認済</v>
      </c>
      <c r="D174" s="10" t="str">
        <f aca="false">IF(OR(G174="",G174="なし"),"―",IF(CH174="N","対象外",IF(AND(I174="",J174="",K174=""),"標報未入力",IF(CD174&gt;=設定!$B$4,"要確認","問題なし"))))</f>
        <v>標報未入力</v>
      </c>
      <c r="E174" s="24" t="str">
        <f aca="false">IF(OR(G174="",G174="なし",CE174="",CF174=0),"―",IF(CF174=CE174,"前月同額",IF(CE174=0,"―",IF(ABS(CF174/CE174-1)&gt;=設定!$B$5,"変動大 "&amp;TEXT(CF174/CE174-1,"+0%;-0%"),"〇"))))</f>
        <v>―</v>
      </c>
      <c r="F174" s="10" t="str">
        <f aca="false">IF(OR(G174="",G174="なし"),"―",IF(CF174=0,"入金不要",IF(COUNT(Z174,AB174,AD174,AF174)=0,IF(AG174="○","手動確認","未入金"),IF(AND(N(Z174)=Y174,IF(AA174="",TRUE(),N(AB174)=AA174),IF(AC174="",TRUE(),N(AD174)=AC174),IF(AE174="",TRUE(),N(AF174)=AE174)),"一致","不一致"))))</f>
        <v>手動確認</v>
      </c>
      <c r="G174" s="25" t="s">
        <v>159</v>
      </c>
      <c r="H174" s="26"/>
      <c r="I174" s="27"/>
      <c r="J174" s="27"/>
      <c r="K174" s="27"/>
      <c r="L174" s="27"/>
      <c r="M174" s="27"/>
      <c r="N174" s="27" t="n">
        <v>866873</v>
      </c>
      <c r="O174" s="27" t="n">
        <v>71055</v>
      </c>
      <c r="P174" s="27" t="n">
        <v>823</v>
      </c>
      <c r="Q174" s="27"/>
      <c r="R174" s="27" t="n">
        <v>491795</v>
      </c>
      <c r="S174" s="27"/>
      <c r="T174" s="27" t="n">
        <v>42612</v>
      </c>
      <c r="U174" s="27"/>
      <c r="V174" s="27" t="n">
        <v>10895</v>
      </c>
      <c r="W174" s="10" t="str">
        <f aca="false">IFERROR(INDEX(設定!$E$61:$E$106,MATCH(B174,設定!$B$61:$B$106,0)),"合算")</f>
        <v>合算</v>
      </c>
      <c r="X174" s="28"/>
      <c r="Y174" s="29" t="n">
        <f aca="false">IF(OR(G174="",G174="なし"),"",IF(W174="合算",CF174,IF(W174="掛金・負担金別",(AU174+AV174+AZ174+BB174+BD174),SUM(AU174:AY174))))</f>
        <v>1484053</v>
      </c>
      <c r="Z174" s="27"/>
      <c r="AA174" s="29" t="str">
        <f aca="false">IF(OR(G174="",G174="なし"),"",IF(W174="掛金・負担金別",(AW174+AX174+AY174+BA174+BC174+BE174),IF(W174="経理区分別",AZ174+BA174,"")))</f>
        <v/>
      </c>
      <c r="AB174" s="27"/>
      <c r="AC174" s="29" t="str">
        <f aca="false">IF(OR(G174="",G174="なし"),"",IF(W174="経理区分別",BB174+BC174,""))</f>
        <v/>
      </c>
      <c r="AD174" s="27"/>
      <c r="AE174" s="29" t="str">
        <f aca="false">IF(OR(G174="",G174="なし"),"",IF(W174="経理区分別",BD174+BE174,""))</f>
        <v/>
      </c>
      <c r="AF174" s="27"/>
      <c r="AG174" s="26" t="s">
        <v>160</v>
      </c>
      <c r="AH174" s="26"/>
      <c r="AI174" s="30"/>
      <c r="AJ174" s="31"/>
      <c r="AK174" s="31"/>
      <c r="AL174" s="31"/>
      <c r="AM174" s="31"/>
      <c r="AN174" s="31"/>
      <c r="AO174" s="31"/>
      <c r="AP174" s="31"/>
      <c r="AQ174" s="31"/>
      <c r="AR174" s="31"/>
      <c r="AS174" s="31"/>
      <c r="AT174" s="31"/>
      <c r="AU174" s="31" t="n">
        <f aca="false">IF($G174="",AJ174,L174)</f>
        <v>0</v>
      </c>
      <c r="AV174" s="31" t="n">
        <f aca="false">IF($G174="",AK174,M174)</f>
        <v>0</v>
      </c>
      <c r="AW174" s="31" t="n">
        <f aca="false">IF($G174="",AL174,N174)</f>
        <v>866873</v>
      </c>
      <c r="AX174" s="31" t="n">
        <f aca="false">IF($G174="",AM174,O174)</f>
        <v>71055</v>
      </c>
      <c r="AY174" s="31" t="n">
        <f aca="false">IF($G174="",AN174,P174)</f>
        <v>823</v>
      </c>
      <c r="AZ174" s="31" t="n">
        <f aca="false">IF($G174="",AO174,Q174)</f>
        <v>0</v>
      </c>
      <c r="BA174" s="31" t="n">
        <f aca="false">IF($G174="",AP174,R174)</f>
        <v>491795</v>
      </c>
      <c r="BB174" s="31" t="n">
        <f aca="false">IF($G174="",AQ174,S174)</f>
        <v>0</v>
      </c>
      <c r="BC174" s="31" t="n">
        <f aca="false">IF($G174="",AR174,T174)</f>
        <v>42612</v>
      </c>
      <c r="BD174" s="31" t="n">
        <f aca="false">IF($G174="",AS174,U174)</f>
        <v>0</v>
      </c>
      <c r="BE174" s="31" t="n">
        <f aca="false">IF($G174="",AT174,V174)</f>
        <v>10895</v>
      </c>
      <c r="BF174" s="31" t="n">
        <f aca="false">ROUNDDOWN(I174*設定!$B$10/1000,0)+ROUNDDOWN(I174*設定!$B$11/1000,0)</f>
        <v>0</v>
      </c>
      <c r="BG174" s="31" t="n">
        <f aca="false">ROUNDDOWN(I174*設定!$C$10/1000,0)+ROUNDDOWN(I174*設定!$C$11/1000,0)+ROUNDDOWN(I174*設定!$C$12/1000,0)</f>
        <v>0</v>
      </c>
      <c r="BH174" s="31" t="n">
        <f aca="false">ROUNDDOWN(J174*設定!$B$13/1000,0)</f>
        <v>0</v>
      </c>
      <c r="BI174" s="31" t="n">
        <f aca="false">ROUNDDOWN(J174*設定!$C$13/1000,0)</f>
        <v>0</v>
      </c>
      <c r="BJ174" s="31" t="n">
        <f aca="false">ROUNDDOWN(K174*設定!$B$14/1000,0)</f>
        <v>0</v>
      </c>
      <c r="BK174" s="31" t="n">
        <f aca="false">ROUNDDOWN(K174*設定!$C$14/1000,0)</f>
        <v>0</v>
      </c>
      <c r="BL174" s="31" t="n">
        <f aca="false">ROUNDDOWN(J174*設定!$B$15/1000,0)</f>
        <v>0</v>
      </c>
      <c r="BM174" s="31" t="n">
        <f aca="false">ROUNDDOWN(J174*設定!$C$15/1000,0)</f>
        <v>0</v>
      </c>
      <c r="BN174" s="31" t="n">
        <f aca="false">L174+M174</f>
        <v>0</v>
      </c>
      <c r="BO174" s="31" t="n">
        <f aca="false">N174+O174+P174</f>
        <v>938751</v>
      </c>
      <c r="BP174" s="31" t="n">
        <f aca="false">Q174</f>
        <v>0</v>
      </c>
      <c r="BQ174" s="31" t="n">
        <f aca="false">R174</f>
        <v>491795</v>
      </c>
      <c r="BR174" s="31" t="n">
        <f aca="false">S174</f>
        <v>0</v>
      </c>
      <c r="BS174" s="31" t="n">
        <f aca="false">T174</f>
        <v>42612</v>
      </c>
      <c r="BT174" s="31" t="n">
        <f aca="false">U174</f>
        <v>0</v>
      </c>
      <c r="BU174" s="31" t="n">
        <f aca="false">V174</f>
        <v>10895</v>
      </c>
      <c r="BV174" s="32" t="n">
        <f aca="false">IF(BF174=0,IF(BN174=0,0,1),(BN174-BF174)/BF174)</f>
        <v>0</v>
      </c>
      <c r="BW174" s="32" t="n">
        <f aca="false">IF(BG174=0,IF(BO174=0,0,1),(BO174-BG174)/BG174)</f>
        <v>1</v>
      </c>
      <c r="BX174" s="32" t="n">
        <f aca="false">IF(BH174=0,IF(BP174=0,0,1),(BP174-BH174)/BH174)</f>
        <v>0</v>
      </c>
      <c r="BY174" s="32" t="n">
        <f aca="false">IF(BI174=0,IF(BQ174=0,0,1),(BQ174-BI174)/BI174)</f>
        <v>1</v>
      </c>
      <c r="BZ174" s="32" t="n">
        <f aca="false">IF(BJ174=0,IF(BR174=0,0,1),(BR174-BJ174)/BJ174)</f>
        <v>0</v>
      </c>
      <c r="CA174" s="32" t="n">
        <f aca="false">IF(BK174=0,IF(BS174=0,0,1),(BS174-BK174)/BK174)</f>
        <v>1</v>
      </c>
      <c r="CB174" s="32" t="n">
        <f aca="false">IF(BL174=0,IF(BT174=0,0,1),(BT174-BL174)/BL174)</f>
        <v>0</v>
      </c>
      <c r="CC174" s="32" t="n">
        <f aca="false">IF(BM174=0,IF(BU174=0,0,1),(BU174-BM174)/BM174)</f>
        <v>1</v>
      </c>
      <c r="CD174" s="32" t="n">
        <f aca="false">MAX(MAX(BV174:CC174),-MIN(BV174:CC174))</f>
        <v>1</v>
      </c>
      <c r="CE174" s="31" t="str">
        <f aca="false">IF(CI174="","",SUMIFS($CF$7:$CF$696,$A$7:$A$696,CI174,$B$7:$B$696,B174))</f>
        <v/>
      </c>
      <c r="CF174" s="31" t="n">
        <f aca="false">SUM(AU174:BE174)</f>
        <v>1484053</v>
      </c>
      <c r="CG174" s="36" t="str">
        <f aca="false">A174&amp;"|"&amp;B174</f>
        <v>2026-06 賞与|バス協調・共創
プラットフォーム</v>
      </c>
      <c r="CH174" s="34" t="str">
        <f aca="false">IFERROR(INDEX(設定!$D$61:$D$106,MATCH(B174,設定!$B$61:$B$106,0)),"Y")</f>
        <v>Y</v>
      </c>
      <c r="CI174" s="34" t="str">
        <f aca="false">IFERROR(INDEX(設定!$D$20:$D$34,MATCH(A174,設定!$A$20:$A$34,0))&amp;"","")</f>
        <v/>
      </c>
    </row>
    <row r="175" customFormat="false" ht="15" hidden="true" customHeight="false" outlineLevel="0" collapsed="false">
      <c r="A175" s="22" t="s">
        <v>210</v>
      </c>
      <c r="B175" s="23" t="s">
        <v>191</v>
      </c>
      <c r="C175" s="10" t="str">
        <f aca="false">IF(G175="","未受領",IF(G175="なし","報告なし",IF(AH175="○","起票済",IF(OR(AG175="○",F175="一致",F175="入金不要"),"入金確認済","受領済"))))</f>
        <v>入金確認済</v>
      </c>
      <c r="D175" s="10" t="str">
        <f aca="false">IF(OR(G175="",G175="なし"),"―",IF(CH175="N","対象外",IF(AND(I175="",J175="",K175=""),"標報未入力",IF(CD175&gt;=設定!$B$4,"要確認","問題なし"))))</f>
        <v>標報未入力</v>
      </c>
      <c r="E175" s="24" t="str">
        <f aca="false">IF(OR(G175="",G175="なし",CE175="",CF175=0),"―",IF(CF175=CE175,"前月同額",IF(CE175=0,"―",IF(ABS(CF175/CE175-1)&gt;=設定!$B$5,"変動大 "&amp;TEXT(CF175/CE175-1,"+0%;-0%"),"〇"))))</f>
        <v>―</v>
      </c>
      <c r="F175" s="10" t="str">
        <f aca="false">IF(OR(G175="",G175="なし"),"―",IF(CF175=0,"入金不要",IF(COUNT(Z175,AB175,AD175,AF175)=0,IF(AG175="○","手動確認","未入金"),IF(AND(N(Z175)=Y175,IF(AA175="",TRUE(),N(AB175)=AA175),IF(AC175="",TRUE(),N(AD175)=AC175),IF(AE175="",TRUE(),N(AF175)=AE175)),"一致","不一致"))))</f>
        <v>手動確認</v>
      </c>
      <c r="G175" s="25" t="s">
        <v>159</v>
      </c>
      <c r="H175" s="26"/>
      <c r="I175" s="27"/>
      <c r="J175" s="27"/>
      <c r="K175" s="27"/>
      <c r="L175" s="27" t="n">
        <v>118309</v>
      </c>
      <c r="M175" s="27" t="n">
        <v>9697</v>
      </c>
      <c r="N175" s="27" t="n">
        <v>118310</v>
      </c>
      <c r="O175" s="27" t="n">
        <v>9697</v>
      </c>
      <c r="P175" s="27" t="n">
        <v>112</v>
      </c>
      <c r="Q175" s="27" t="n">
        <v>67054</v>
      </c>
      <c r="R175" s="27" t="n">
        <v>67119</v>
      </c>
      <c r="S175" s="27" t="n">
        <v>10214</v>
      </c>
      <c r="T175" s="27" t="n">
        <v>10214</v>
      </c>
      <c r="U175" s="27" t="n">
        <v>1486</v>
      </c>
      <c r="V175" s="27" t="n">
        <v>1486</v>
      </c>
      <c r="W175" s="10" t="str">
        <f aca="false">IFERROR(INDEX(設定!$E$61:$E$106,MATCH(B175,設定!$B$61:$B$106,0)),"合算")</f>
        <v>合算</v>
      </c>
      <c r="X175" s="28"/>
      <c r="Y175" s="29" t="n">
        <f aca="false">IF(OR(G175="",G175="なし"),"",IF(W175="合算",CF175,IF(W175="掛金・負担金別",(AU175+AV175+AZ175+BB175+BD175),SUM(AU175:AY175))))</f>
        <v>413698</v>
      </c>
      <c r="Z175" s="27"/>
      <c r="AA175" s="29" t="str">
        <f aca="false">IF(OR(G175="",G175="なし"),"",IF(W175="掛金・負担金別",(AW175+AX175+AY175+BA175+BC175+BE175),IF(W175="経理区分別",AZ175+BA175,"")))</f>
        <v/>
      </c>
      <c r="AB175" s="27"/>
      <c r="AC175" s="29" t="str">
        <f aca="false">IF(OR(G175="",G175="なし"),"",IF(W175="経理区分別",BB175+BC175,""))</f>
        <v/>
      </c>
      <c r="AD175" s="27"/>
      <c r="AE175" s="29" t="str">
        <f aca="false">IF(OR(G175="",G175="なし"),"",IF(W175="経理区分別",BD175+BE175,""))</f>
        <v/>
      </c>
      <c r="AF175" s="27"/>
      <c r="AG175" s="26" t="s">
        <v>160</v>
      </c>
      <c r="AH175" s="26"/>
      <c r="AI175" s="30"/>
      <c r="AJ175" s="31"/>
      <c r="AK175" s="31"/>
      <c r="AL175" s="31"/>
      <c r="AM175" s="31"/>
      <c r="AN175" s="31"/>
      <c r="AO175" s="31"/>
      <c r="AP175" s="31"/>
      <c r="AQ175" s="31"/>
      <c r="AR175" s="31"/>
      <c r="AS175" s="31"/>
      <c r="AT175" s="31"/>
      <c r="AU175" s="31" t="n">
        <f aca="false">IF($G175="",AJ175,L175)</f>
        <v>118309</v>
      </c>
      <c r="AV175" s="31" t="n">
        <f aca="false">IF($G175="",AK175,M175)</f>
        <v>9697</v>
      </c>
      <c r="AW175" s="31" t="n">
        <f aca="false">IF($G175="",AL175,N175)</f>
        <v>118310</v>
      </c>
      <c r="AX175" s="31" t="n">
        <f aca="false">IF($G175="",AM175,O175)</f>
        <v>9697</v>
      </c>
      <c r="AY175" s="31" t="n">
        <f aca="false">IF($G175="",AN175,P175)</f>
        <v>112</v>
      </c>
      <c r="AZ175" s="31" t="n">
        <f aca="false">IF($G175="",AO175,Q175)</f>
        <v>67054</v>
      </c>
      <c r="BA175" s="31" t="n">
        <f aca="false">IF($G175="",AP175,R175)</f>
        <v>67119</v>
      </c>
      <c r="BB175" s="31" t="n">
        <f aca="false">IF($G175="",AQ175,S175)</f>
        <v>10214</v>
      </c>
      <c r="BC175" s="31" t="n">
        <f aca="false">IF($G175="",AR175,T175)</f>
        <v>10214</v>
      </c>
      <c r="BD175" s="31" t="n">
        <f aca="false">IF($G175="",AS175,U175)</f>
        <v>1486</v>
      </c>
      <c r="BE175" s="31" t="n">
        <f aca="false">IF($G175="",AT175,V175)</f>
        <v>1486</v>
      </c>
      <c r="BF175" s="31" t="n">
        <f aca="false">ROUNDDOWN(I175*設定!$B$10/1000,0)+ROUNDDOWN(I175*設定!$B$11/1000,0)</f>
        <v>0</v>
      </c>
      <c r="BG175" s="31" t="n">
        <f aca="false">ROUNDDOWN(I175*設定!$C$10/1000,0)+ROUNDDOWN(I175*設定!$C$11/1000,0)+ROUNDDOWN(I175*設定!$C$12/1000,0)</f>
        <v>0</v>
      </c>
      <c r="BH175" s="31" t="n">
        <f aca="false">ROUNDDOWN(J175*設定!$B$13/1000,0)</f>
        <v>0</v>
      </c>
      <c r="BI175" s="31" t="n">
        <f aca="false">ROUNDDOWN(J175*設定!$C$13/1000,0)</f>
        <v>0</v>
      </c>
      <c r="BJ175" s="31" t="n">
        <f aca="false">ROUNDDOWN(K175*設定!$B$14/1000,0)</f>
        <v>0</v>
      </c>
      <c r="BK175" s="31" t="n">
        <f aca="false">ROUNDDOWN(K175*設定!$C$14/1000,0)</f>
        <v>0</v>
      </c>
      <c r="BL175" s="31" t="n">
        <f aca="false">ROUNDDOWN(J175*設定!$B$15/1000,0)</f>
        <v>0</v>
      </c>
      <c r="BM175" s="31" t="n">
        <f aca="false">ROUNDDOWN(J175*設定!$C$15/1000,0)</f>
        <v>0</v>
      </c>
      <c r="BN175" s="31" t="n">
        <f aca="false">L175+M175</f>
        <v>128006</v>
      </c>
      <c r="BO175" s="31" t="n">
        <f aca="false">N175+O175+P175</f>
        <v>128119</v>
      </c>
      <c r="BP175" s="31" t="n">
        <f aca="false">Q175</f>
        <v>67054</v>
      </c>
      <c r="BQ175" s="31" t="n">
        <f aca="false">R175</f>
        <v>67119</v>
      </c>
      <c r="BR175" s="31" t="n">
        <f aca="false">S175</f>
        <v>10214</v>
      </c>
      <c r="BS175" s="31" t="n">
        <f aca="false">T175</f>
        <v>10214</v>
      </c>
      <c r="BT175" s="31" t="n">
        <f aca="false">U175</f>
        <v>1486</v>
      </c>
      <c r="BU175" s="31" t="n">
        <f aca="false">V175</f>
        <v>1486</v>
      </c>
      <c r="BV175" s="32" t="n">
        <f aca="false">IF(BF175=0,IF(BN175=0,0,1),(BN175-BF175)/BF175)</f>
        <v>1</v>
      </c>
      <c r="BW175" s="32" t="n">
        <f aca="false">IF(BG175=0,IF(BO175=0,0,1),(BO175-BG175)/BG175)</f>
        <v>1</v>
      </c>
      <c r="BX175" s="32" t="n">
        <f aca="false">IF(BH175=0,IF(BP175=0,0,1),(BP175-BH175)/BH175)</f>
        <v>1</v>
      </c>
      <c r="BY175" s="32" t="n">
        <f aca="false">IF(BI175=0,IF(BQ175=0,0,1),(BQ175-BI175)/BI175)</f>
        <v>1</v>
      </c>
      <c r="BZ175" s="32" t="n">
        <f aca="false">IF(BJ175=0,IF(BR175=0,0,1),(BR175-BJ175)/BJ175)</f>
        <v>1</v>
      </c>
      <c r="CA175" s="32" t="n">
        <f aca="false">IF(BK175=0,IF(BS175=0,0,1),(BS175-BK175)/BK175)</f>
        <v>1</v>
      </c>
      <c r="CB175" s="32" t="n">
        <f aca="false">IF(BL175=0,IF(BT175=0,0,1),(BT175-BL175)/BL175)</f>
        <v>1</v>
      </c>
      <c r="CC175" s="32" t="n">
        <f aca="false">IF(BM175=0,IF(BU175=0,0,1),(BU175-BM175)/BM175)</f>
        <v>1</v>
      </c>
      <c r="CD175" s="32" t="n">
        <f aca="false">MAX(MAX(BV175:CC175),-MIN(BV175:CC175))</f>
        <v>1</v>
      </c>
      <c r="CE175" s="31" t="str">
        <f aca="false">IF(CI175="","",SUMIFS($CF$7:$CF$696,$A$7:$A$696,CI175,$B$7:$B$696,B175))</f>
        <v/>
      </c>
      <c r="CF175" s="31" t="n">
        <f aca="false">SUM(AU175:BE175)</f>
        <v>413698</v>
      </c>
      <c r="CG175" s="33" t="str">
        <f aca="false">A175&amp;"|"&amp;B175</f>
        <v>2026-06 賞与|広島県市長会</v>
      </c>
      <c r="CH175" s="34" t="str">
        <f aca="false">IFERROR(INDEX(設定!$D$61:$D$106,MATCH(B175,設定!$B$61:$B$106,0)),"Y")</f>
        <v>Y</v>
      </c>
      <c r="CI175" s="34" t="str">
        <f aca="false">IFERROR(INDEX(設定!$D$20:$D$34,MATCH(A175,設定!$A$20:$A$34,0))&amp;"","")</f>
        <v/>
      </c>
    </row>
    <row r="176" customFormat="false" ht="15" hidden="true" customHeight="false" outlineLevel="0" collapsed="false">
      <c r="A176" s="22" t="s">
        <v>210</v>
      </c>
      <c r="B176" s="23" t="s">
        <v>192</v>
      </c>
      <c r="C176" s="10" t="str">
        <f aca="false">IF(G176="","未受領",IF(G176="なし","報告なし",IF(AH176="○","起票済",IF(OR(AG176="○",F176="一致",F176="入金不要"),"入金確認済","受領済"))))</f>
        <v>入金確認済</v>
      </c>
      <c r="D176" s="10" t="str">
        <f aca="false">IF(OR(G176="",G176="なし"),"―",IF(CH176="N","対象外",IF(AND(I176="",J176="",K176=""),"標報未入力",IF(CD176&gt;=設定!$B$4,"要確認","問題なし"))))</f>
        <v>標報未入力</v>
      </c>
      <c r="E176" s="24" t="str">
        <f aca="false">IF(OR(G176="",G176="なし",CE176="",CF176=0),"―",IF(CF176=CE176,"前月同額",IF(CE176=0,"―",IF(ABS(CF176/CE176-1)&gt;=設定!$B$5,"変動大 "&amp;TEXT(CF176/CE176-1,"+0%;-0%"),"〇"))))</f>
        <v>―</v>
      </c>
      <c r="F176" s="10" t="str">
        <f aca="false">IF(OR(G176="",G176="なし"),"―",IF(CF176=0,"入金不要",IF(COUNT(Z176,AB176,AD176,AF176)=0,IF(AG176="○","手動確認","未入金"),IF(AND(N(Z176)=Y176,IF(AA176="",TRUE(),N(AB176)=AA176),IF(AC176="",TRUE(),N(AD176)=AC176),IF(AE176="",TRUE(),N(AF176)=AE176)),"一致","不一致"))))</f>
        <v>手動確認</v>
      </c>
      <c r="G176" s="25" t="s">
        <v>159</v>
      </c>
      <c r="H176" s="26"/>
      <c r="I176" s="27"/>
      <c r="J176" s="27"/>
      <c r="K176" s="27"/>
      <c r="L176" s="27" t="n">
        <v>137250</v>
      </c>
      <c r="M176" s="27" t="n">
        <v>11250</v>
      </c>
      <c r="N176" s="27" t="n">
        <v>137250</v>
      </c>
      <c r="O176" s="27" t="n">
        <v>11250</v>
      </c>
      <c r="P176" s="27" t="n">
        <v>130</v>
      </c>
      <c r="Q176" s="27" t="n">
        <v>82872</v>
      </c>
      <c r="R176" s="27" t="n">
        <v>82952</v>
      </c>
      <c r="S176" s="27" t="n">
        <v>12624</v>
      </c>
      <c r="T176" s="27" t="n">
        <v>12624</v>
      </c>
      <c r="U176" s="27" t="n">
        <v>1837</v>
      </c>
      <c r="V176" s="27" t="n">
        <v>1837</v>
      </c>
      <c r="W176" s="10" t="str">
        <f aca="false">IFERROR(INDEX(設定!$E$61:$E$106,MATCH(B176,設定!$B$61:$B$106,0)),"合算")</f>
        <v>合算</v>
      </c>
      <c r="X176" s="28"/>
      <c r="Y176" s="29" t="n">
        <f aca="false">IF(OR(G176="",G176="なし"),"",IF(W176="合算",CF176,IF(W176="掛金・負担金別",(AU176+AV176+AZ176+BB176+BD176),SUM(AU176:AY176))))</f>
        <v>491876</v>
      </c>
      <c r="Z176" s="27"/>
      <c r="AA176" s="29" t="str">
        <f aca="false">IF(OR(G176="",G176="なし"),"",IF(W176="掛金・負担金別",(AW176+AX176+AY176+BA176+BC176+BE176),IF(W176="経理区分別",AZ176+BA176,"")))</f>
        <v/>
      </c>
      <c r="AB176" s="27"/>
      <c r="AC176" s="29" t="str">
        <f aca="false">IF(OR(G176="",G176="なし"),"",IF(W176="経理区分別",BB176+BC176,""))</f>
        <v/>
      </c>
      <c r="AD176" s="27"/>
      <c r="AE176" s="29" t="str">
        <f aca="false">IF(OR(G176="",G176="なし"),"",IF(W176="経理区分別",BD176+BE176,""))</f>
        <v/>
      </c>
      <c r="AF176" s="27"/>
      <c r="AG176" s="26" t="s">
        <v>160</v>
      </c>
      <c r="AH176" s="26"/>
      <c r="AI176" s="30"/>
      <c r="AJ176" s="31"/>
      <c r="AK176" s="31"/>
      <c r="AL176" s="31"/>
      <c r="AM176" s="31"/>
      <c r="AN176" s="31"/>
      <c r="AO176" s="31"/>
      <c r="AP176" s="31"/>
      <c r="AQ176" s="31"/>
      <c r="AR176" s="31"/>
      <c r="AS176" s="31"/>
      <c r="AT176" s="31"/>
      <c r="AU176" s="31" t="n">
        <f aca="false">IF($G176="",AJ176,L176)</f>
        <v>137250</v>
      </c>
      <c r="AV176" s="31" t="n">
        <f aca="false">IF($G176="",AK176,M176)</f>
        <v>11250</v>
      </c>
      <c r="AW176" s="31" t="n">
        <f aca="false">IF($G176="",AL176,N176)</f>
        <v>137250</v>
      </c>
      <c r="AX176" s="31" t="n">
        <f aca="false">IF($G176="",AM176,O176)</f>
        <v>11250</v>
      </c>
      <c r="AY176" s="31" t="n">
        <f aca="false">IF($G176="",AN176,P176)</f>
        <v>130</v>
      </c>
      <c r="AZ176" s="31" t="n">
        <f aca="false">IF($G176="",AO176,Q176)</f>
        <v>82872</v>
      </c>
      <c r="BA176" s="31" t="n">
        <f aca="false">IF($G176="",AP176,R176)</f>
        <v>82952</v>
      </c>
      <c r="BB176" s="31" t="n">
        <f aca="false">IF($G176="",AQ176,S176)</f>
        <v>12624</v>
      </c>
      <c r="BC176" s="31" t="n">
        <f aca="false">IF($G176="",AR176,T176)</f>
        <v>12624</v>
      </c>
      <c r="BD176" s="31" t="n">
        <f aca="false">IF($G176="",AS176,U176)</f>
        <v>1837</v>
      </c>
      <c r="BE176" s="31" t="n">
        <f aca="false">IF($G176="",AT176,V176)</f>
        <v>1837</v>
      </c>
      <c r="BF176" s="31" t="n">
        <f aca="false">ROUNDDOWN(I176*設定!$B$10/1000,0)+ROUNDDOWN(I176*設定!$B$11/1000,0)</f>
        <v>0</v>
      </c>
      <c r="BG176" s="31" t="n">
        <f aca="false">ROUNDDOWN(I176*設定!$C$10/1000,0)+ROUNDDOWN(I176*設定!$C$11/1000,0)+ROUNDDOWN(I176*設定!$C$12/1000,0)</f>
        <v>0</v>
      </c>
      <c r="BH176" s="31" t="n">
        <f aca="false">ROUNDDOWN(J176*設定!$B$13/1000,0)</f>
        <v>0</v>
      </c>
      <c r="BI176" s="31" t="n">
        <f aca="false">ROUNDDOWN(J176*設定!$C$13/1000,0)</f>
        <v>0</v>
      </c>
      <c r="BJ176" s="31" t="n">
        <f aca="false">ROUNDDOWN(K176*設定!$B$14/1000,0)</f>
        <v>0</v>
      </c>
      <c r="BK176" s="31" t="n">
        <f aca="false">ROUNDDOWN(K176*設定!$C$14/1000,0)</f>
        <v>0</v>
      </c>
      <c r="BL176" s="31" t="n">
        <f aca="false">ROUNDDOWN(J176*設定!$B$15/1000,0)</f>
        <v>0</v>
      </c>
      <c r="BM176" s="31" t="n">
        <f aca="false">ROUNDDOWN(J176*設定!$C$15/1000,0)</f>
        <v>0</v>
      </c>
      <c r="BN176" s="31" t="n">
        <f aca="false">L176+M176</f>
        <v>148500</v>
      </c>
      <c r="BO176" s="31" t="n">
        <f aca="false">N176+O176+P176</f>
        <v>148630</v>
      </c>
      <c r="BP176" s="31" t="n">
        <f aca="false">Q176</f>
        <v>82872</v>
      </c>
      <c r="BQ176" s="31" t="n">
        <f aca="false">R176</f>
        <v>82952</v>
      </c>
      <c r="BR176" s="31" t="n">
        <f aca="false">S176</f>
        <v>12624</v>
      </c>
      <c r="BS176" s="31" t="n">
        <f aca="false">T176</f>
        <v>12624</v>
      </c>
      <c r="BT176" s="31" t="n">
        <f aca="false">U176</f>
        <v>1837</v>
      </c>
      <c r="BU176" s="31" t="n">
        <f aca="false">V176</f>
        <v>1837</v>
      </c>
      <c r="BV176" s="32" t="n">
        <f aca="false">IF(BF176=0,IF(BN176=0,0,1),(BN176-BF176)/BF176)</f>
        <v>1</v>
      </c>
      <c r="BW176" s="32" t="n">
        <f aca="false">IF(BG176=0,IF(BO176=0,0,1),(BO176-BG176)/BG176)</f>
        <v>1</v>
      </c>
      <c r="BX176" s="32" t="n">
        <f aca="false">IF(BH176=0,IF(BP176=0,0,1),(BP176-BH176)/BH176)</f>
        <v>1</v>
      </c>
      <c r="BY176" s="32" t="n">
        <f aca="false">IF(BI176=0,IF(BQ176=0,0,1),(BQ176-BI176)/BI176)</f>
        <v>1</v>
      </c>
      <c r="BZ176" s="32" t="n">
        <f aca="false">IF(BJ176=0,IF(BR176=0,0,1),(BR176-BJ176)/BJ176)</f>
        <v>1</v>
      </c>
      <c r="CA176" s="32" t="n">
        <f aca="false">IF(BK176=0,IF(BS176=0,0,1),(BS176-BK176)/BK176)</f>
        <v>1</v>
      </c>
      <c r="CB176" s="32" t="n">
        <f aca="false">IF(BL176=0,IF(BT176=0,0,1),(BT176-BL176)/BL176)</f>
        <v>1</v>
      </c>
      <c r="CC176" s="32" t="n">
        <f aca="false">IF(BM176=0,IF(BU176=0,0,1),(BU176-BM176)/BM176)</f>
        <v>1</v>
      </c>
      <c r="CD176" s="32" t="n">
        <f aca="false">MAX(MAX(BV176:CC176),-MIN(BV176:CC176))</f>
        <v>1</v>
      </c>
      <c r="CE176" s="31" t="str">
        <f aca="false">IF(CI176="","",SUMIFS($CF$7:$CF$696,$A$7:$A$696,CI176,$B$7:$B$696,B176))</f>
        <v/>
      </c>
      <c r="CF176" s="31" t="n">
        <f aca="false">SUM(AU176:BE176)</f>
        <v>491876</v>
      </c>
      <c r="CG176" s="33" t="str">
        <f aca="false">A176&amp;"|"&amp;B176</f>
        <v>2026-06 賞与|全国市町村研修財団</v>
      </c>
      <c r="CH176" s="34" t="str">
        <f aca="false">IFERROR(INDEX(設定!$D$61:$D$106,MATCH(B176,設定!$B$61:$B$106,0)),"Y")</f>
        <v>Y</v>
      </c>
      <c r="CI176" s="34" t="str">
        <f aca="false">IFERROR(INDEX(設定!$D$20:$D$34,MATCH(A176,設定!$A$20:$A$34,0))&amp;"","")</f>
        <v/>
      </c>
    </row>
    <row r="177" customFormat="false" ht="15" hidden="true" customHeight="false" outlineLevel="0" collapsed="false">
      <c r="A177" s="22" t="s">
        <v>210</v>
      </c>
      <c r="B177" s="23" t="s">
        <v>193</v>
      </c>
      <c r="C177" s="10" t="str">
        <f aca="false">IF(G177="","未受領",IF(G177="なし","報告なし",IF(AH177="○","起票済",IF(OR(AG177="○",F177="一致",F177="入金不要"),"入金確認済","受領済"))))</f>
        <v>入金確認済</v>
      </c>
      <c r="D177" s="10" t="str">
        <f aca="false">IF(OR(G177="",G177="なし"),"―",IF(CH177="N","対象外",IF(AND(I177="",J177="",K177=""),"標報未入力",IF(CD177&gt;=設定!$B$4,"要確認","問題なし"))))</f>
        <v>標報未入力</v>
      </c>
      <c r="E177" s="24" t="str">
        <f aca="false">IF(OR(G177="",G177="なし",CE177="",CF177=0),"―",IF(CF177=CE177,"前月同額",IF(CE177=0,"―",IF(ABS(CF177/CE177-1)&gt;=設定!$B$5,"変動大 "&amp;TEXT(CF177/CE177-1,"+0%;-0%"),"〇"))))</f>
        <v>―</v>
      </c>
      <c r="F177" s="10" t="str">
        <f aca="false">IF(OR(G177="",G177="なし"),"―",IF(CF177=0,"入金不要",IF(COUNT(Z177,AB177,AD177,AF177)=0,IF(AG177="○","手動確認","未入金"),IF(AND(N(Z177)=Y177,IF(AA177="",TRUE(),N(AB177)=AA177),IF(AC177="",TRUE(),N(AD177)=AC177),IF(AE177="",TRUE(),N(AF177)=AE177)),"一致","不一致"))))</f>
        <v>手動確認</v>
      </c>
      <c r="G177" s="25" t="s">
        <v>159</v>
      </c>
      <c r="H177" s="26"/>
      <c r="I177" s="27"/>
      <c r="J177" s="27"/>
      <c r="K177" s="27"/>
      <c r="L177" s="27" t="n">
        <v>97264</v>
      </c>
      <c r="M177" s="27" t="n">
        <v>7972</v>
      </c>
      <c r="N177" s="27" t="n">
        <v>97265</v>
      </c>
      <c r="O177" s="27" t="n">
        <v>7972</v>
      </c>
      <c r="P177" s="27" t="n">
        <v>92</v>
      </c>
      <c r="Q177" s="27" t="n">
        <v>55127</v>
      </c>
      <c r="R177" s="27" t="n">
        <v>55180</v>
      </c>
      <c r="S177" s="27" t="n">
        <v>0</v>
      </c>
      <c r="T177" s="27" t="n">
        <v>0</v>
      </c>
      <c r="U177" s="27" t="n">
        <v>1222</v>
      </c>
      <c r="V177" s="27" t="n">
        <v>1222</v>
      </c>
      <c r="W177" s="10" t="str">
        <f aca="false">IFERROR(INDEX(設定!$E$61:$E$106,MATCH(B177,設定!$B$61:$B$106,0)),"合算")</f>
        <v>合算</v>
      </c>
      <c r="X177" s="28"/>
      <c r="Y177" s="29" t="n">
        <f aca="false">IF(OR(G177="",G177="なし"),"",IF(W177="合算",CF177,IF(W177="掛金・負担金別",(AU177+AV177+AZ177+BB177+BD177),SUM(AU177:AY177))))</f>
        <v>323316</v>
      </c>
      <c r="Z177" s="27"/>
      <c r="AA177" s="29" t="str">
        <f aca="false">IF(OR(G177="",G177="なし"),"",IF(W177="掛金・負担金別",(AW177+AX177+AY177+BA177+BC177+BE177),IF(W177="経理区分別",AZ177+BA177,"")))</f>
        <v/>
      </c>
      <c r="AB177" s="27"/>
      <c r="AC177" s="29" t="str">
        <f aca="false">IF(OR(G177="",G177="なし"),"",IF(W177="経理区分別",BB177+BC177,""))</f>
        <v/>
      </c>
      <c r="AD177" s="27"/>
      <c r="AE177" s="29" t="str">
        <f aca="false">IF(OR(G177="",G177="なし"),"",IF(W177="経理区分別",BD177+BE177,""))</f>
        <v/>
      </c>
      <c r="AF177" s="27"/>
      <c r="AG177" s="26" t="s">
        <v>160</v>
      </c>
      <c r="AH177" s="26"/>
      <c r="AI177" s="30"/>
      <c r="AJ177" s="31"/>
      <c r="AK177" s="31"/>
      <c r="AL177" s="31"/>
      <c r="AM177" s="31"/>
      <c r="AN177" s="31"/>
      <c r="AO177" s="31"/>
      <c r="AP177" s="31"/>
      <c r="AQ177" s="31"/>
      <c r="AR177" s="31"/>
      <c r="AS177" s="31"/>
      <c r="AT177" s="31"/>
      <c r="AU177" s="31" t="n">
        <f aca="false">IF($G177="",AJ177,L177)</f>
        <v>97264</v>
      </c>
      <c r="AV177" s="31" t="n">
        <f aca="false">IF($G177="",AK177,M177)</f>
        <v>7972</v>
      </c>
      <c r="AW177" s="31" t="n">
        <f aca="false">IF($G177="",AL177,N177)</f>
        <v>97265</v>
      </c>
      <c r="AX177" s="31" t="n">
        <f aca="false">IF($G177="",AM177,O177)</f>
        <v>7972</v>
      </c>
      <c r="AY177" s="31" t="n">
        <f aca="false">IF($G177="",AN177,P177)</f>
        <v>92</v>
      </c>
      <c r="AZ177" s="31" t="n">
        <f aca="false">IF($G177="",AO177,Q177)</f>
        <v>55127</v>
      </c>
      <c r="BA177" s="31" t="n">
        <f aca="false">IF($G177="",AP177,R177)</f>
        <v>55180</v>
      </c>
      <c r="BB177" s="31" t="n">
        <f aca="false">IF($G177="",AQ177,S177)</f>
        <v>0</v>
      </c>
      <c r="BC177" s="31" t="n">
        <f aca="false">IF($G177="",AR177,T177)</f>
        <v>0</v>
      </c>
      <c r="BD177" s="31" t="n">
        <f aca="false">IF($G177="",AS177,U177)</f>
        <v>1222</v>
      </c>
      <c r="BE177" s="31" t="n">
        <f aca="false">IF($G177="",AT177,V177)</f>
        <v>1222</v>
      </c>
      <c r="BF177" s="31" t="n">
        <f aca="false">ROUNDDOWN(I177*設定!$B$10/1000,0)+ROUNDDOWN(I177*設定!$B$11/1000,0)</f>
        <v>0</v>
      </c>
      <c r="BG177" s="31" t="n">
        <f aca="false">ROUNDDOWN(I177*設定!$C$10/1000,0)+ROUNDDOWN(I177*設定!$C$11/1000,0)+ROUNDDOWN(I177*設定!$C$12/1000,0)</f>
        <v>0</v>
      </c>
      <c r="BH177" s="31" t="n">
        <f aca="false">ROUNDDOWN(J177*設定!$B$13/1000,0)</f>
        <v>0</v>
      </c>
      <c r="BI177" s="31" t="n">
        <f aca="false">ROUNDDOWN(J177*設定!$C$13/1000,0)</f>
        <v>0</v>
      </c>
      <c r="BJ177" s="31" t="n">
        <f aca="false">ROUNDDOWN(K177*設定!$B$14/1000,0)</f>
        <v>0</v>
      </c>
      <c r="BK177" s="31" t="n">
        <f aca="false">ROUNDDOWN(K177*設定!$C$14/1000,0)</f>
        <v>0</v>
      </c>
      <c r="BL177" s="31" t="n">
        <f aca="false">ROUNDDOWN(J177*設定!$B$15/1000,0)</f>
        <v>0</v>
      </c>
      <c r="BM177" s="31" t="n">
        <f aca="false">ROUNDDOWN(J177*設定!$C$15/1000,0)</f>
        <v>0</v>
      </c>
      <c r="BN177" s="31" t="n">
        <f aca="false">L177+M177</f>
        <v>105236</v>
      </c>
      <c r="BO177" s="31" t="n">
        <f aca="false">N177+O177+P177</f>
        <v>105329</v>
      </c>
      <c r="BP177" s="31" t="n">
        <f aca="false">Q177</f>
        <v>55127</v>
      </c>
      <c r="BQ177" s="31" t="n">
        <f aca="false">R177</f>
        <v>55180</v>
      </c>
      <c r="BR177" s="31" t="n">
        <f aca="false">S177</f>
        <v>0</v>
      </c>
      <c r="BS177" s="31" t="n">
        <f aca="false">T177</f>
        <v>0</v>
      </c>
      <c r="BT177" s="31" t="n">
        <f aca="false">U177</f>
        <v>1222</v>
      </c>
      <c r="BU177" s="31" t="n">
        <f aca="false">V177</f>
        <v>1222</v>
      </c>
      <c r="BV177" s="32" t="n">
        <f aca="false">IF(BF177=0,IF(BN177=0,0,1),(BN177-BF177)/BF177)</f>
        <v>1</v>
      </c>
      <c r="BW177" s="32" t="n">
        <f aca="false">IF(BG177=0,IF(BO177=0,0,1),(BO177-BG177)/BG177)</f>
        <v>1</v>
      </c>
      <c r="BX177" s="32" t="n">
        <f aca="false">IF(BH177=0,IF(BP177=0,0,1),(BP177-BH177)/BH177)</f>
        <v>1</v>
      </c>
      <c r="BY177" s="32" t="n">
        <f aca="false">IF(BI177=0,IF(BQ177=0,0,1),(BQ177-BI177)/BI177)</f>
        <v>1</v>
      </c>
      <c r="BZ177" s="32" t="n">
        <f aca="false">IF(BJ177=0,IF(BR177=0,0,1),(BR177-BJ177)/BJ177)</f>
        <v>0</v>
      </c>
      <c r="CA177" s="32" t="n">
        <f aca="false">IF(BK177=0,IF(BS177=0,0,1),(BS177-BK177)/BK177)</f>
        <v>0</v>
      </c>
      <c r="CB177" s="32" t="n">
        <f aca="false">IF(BL177=0,IF(BT177=0,0,1),(BT177-BL177)/BL177)</f>
        <v>1</v>
      </c>
      <c r="CC177" s="32" t="n">
        <f aca="false">IF(BM177=0,IF(BU177=0,0,1),(BU177-BM177)/BM177)</f>
        <v>1</v>
      </c>
      <c r="CD177" s="32" t="n">
        <f aca="false">MAX(MAX(BV177:CC177),-MIN(BV177:CC177))</f>
        <v>1</v>
      </c>
      <c r="CE177" s="31" t="str">
        <f aca="false">IF(CI177="","",SUMIFS($CF$7:$CF$696,$A$7:$A$696,CI177,$B$7:$B$696,B177))</f>
        <v/>
      </c>
      <c r="CF177" s="31" t="n">
        <f aca="false">SUM(AU177:BE177)</f>
        <v>323316</v>
      </c>
      <c r="CG177" s="33" t="str">
        <f aca="false">A177&amp;"|"&amp;B177</f>
        <v>2026-06 賞与|都市再生機構</v>
      </c>
      <c r="CH177" s="34" t="str">
        <f aca="false">IFERROR(INDEX(設定!$D$61:$D$106,MATCH(B177,設定!$B$61:$B$106,0)),"Y")</f>
        <v>Y</v>
      </c>
      <c r="CI177" s="34" t="str">
        <f aca="false">IFERROR(INDEX(設定!$D$20:$D$34,MATCH(A177,設定!$A$20:$A$34,0))&amp;"","")</f>
        <v/>
      </c>
    </row>
    <row r="178" customFormat="false" ht="15" hidden="true" customHeight="false" outlineLevel="0" collapsed="false">
      <c r="A178" s="22" t="s">
        <v>210</v>
      </c>
      <c r="B178" s="23" t="s">
        <v>194</v>
      </c>
      <c r="C178" s="10" t="str">
        <f aca="false">IF(G178="","未受領",IF(G178="なし","報告なし",IF(AH178="○","起票済",IF(OR(AG178="○",F178="一致",F178="入金不要"),"入金確認済","受領済"))))</f>
        <v>入金確認済</v>
      </c>
      <c r="D178" s="10" t="str">
        <f aca="false">IF(OR(G178="",G178="なし"),"―",IF(CH178="N","対象外",IF(AND(I178="",J178="",K178=""),"標報未入力",IF(CD178&gt;=設定!$B$4,"要確認","問題なし"))))</f>
        <v>標報未入力</v>
      </c>
      <c r="E178" s="24" t="str">
        <f aca="false">IF(OR(G178="",G178="なし",CE178="",CF178=0),"―",IF(CF178=CE178,"前月同額",IF(CE178=0,"―",IF(ABS(CF178/CE178-1)&gt;=設定!$B$5,"変動大 "&amp;TEXT(CF178/CE178-1,"+0%;-0%"),"〇"))))</f>
        <v>―</v>
      </c>
      <c r="F178" s="10" t="str">
        <f aca="false">IF(OR(G178="",G178="なし"),"―",IF(CF178=0,"入金不要",IF(COUNT(Z178,AB178,AD178,AF178)=0,IF(AG178="○","手動確認","未入金"),IF(AND(N(Z178)=Y178,IF(AA178="",TRUE(),N(AB178)=AA178),IF(AC178="",TRUE(),N(AD178)=AC178),IF(AE178="",TRUE(),N(AF178)=AE178)),"一致","不一致"))))</f>
        <v>手動確認</v>
      </c>
      <c r="G178" s="25" t="s">
        <v>159</v>
      </c>
      <c r="H178" s="26"/>
      <c r="I178" s="27"/>
      <c r="J178" s="27"/>
      <c r="K178" s="27"/>
      <c r="L178" s="27" t="n">
        <v>2344680</v>
      </c>
      <c r="M178" s="27" t="n">
        <v>192180</v>
      </c>
      <c r="N178" s="27" t="n">
        <v>2352564</v>
      </c>
      <c r="O178" s="27" t="n">
        <v>192510</v>
      </c>
      <c r="P178" s="27" t="n">
        <v>2230</v>
      </c>
      <c r="Q178" s="27" t="n">
        <v>1331127</v>
      </c>
      <c r="R178" s="27" t="n">
        <v>1332425</v>
      </c>
      <c r="S178" s="27" t="n">
        <v>158559</v>
      </c>
      <c r="T178" s="27" t="n">
        <v>158568</v>
      </c>
      <c r="U178" s="27" t="n">
        <v>29507</v>
      </c>
      <c r="V178" s="27" t="n">
        <v>29518</v>
      </c>
      <c r="W178" s="10" t="str">
        <f aca="false">IFERROR(INDEX(設定!$E$61:$E$106,MATCH(B178,設定!$B$61:$B$106,0)),"合算")</f>
        <v>合算</v>
      </c>
      <c r="X178" s="28"/>
      <c r="Y178" s="29" t="n">
        <f aca="false">IF(OR(G178="",G178="なし"),"",IF(W178="合算",CF178,IF(W178="掛金・負担金別",(AU178+AV178+AZ178+BB178+BD178),SUM(AU178:AY178))))</f>
        <v>8123868</v>
      </c>
      <c r="Z178" s="27"/>
      <c r="AA178" s="29" t="str">
        <f aca="false">IF(OR(G178="",G178="なし"),"",IF(W178="掛金・負担金別",(AW178+AX178+AY178+BA178+BC178+BE178),IF(W178="経理区分別",AZ178+BA178,"")))</f>
        <v/>
      </c>
      <c r="AB178" s="27"/>
      <c r="AC178" s="29" t="str">
        <f aca="false">IF(OR(G178="",G178="なし"),"",IF(W178="経理区分別",BB178+BC178,""))</f>
        <v/>
      </c>
      <c r="AD178" s="27"/>
      <c r="AE178" s="29" t="str">
        <f aca="false">IF(OR(G178="",G178="なし"),"",IF(W178="経理区分別",BD178+BE178,""))</f>
        <v/>
      </c>
      <c r="AF178" s="27"/>
      <c r="AG178" s="26" t="s">
        <v>160</v>
      </c>
      <c r="AH178" s="26"/>
      <c r="AI178" s="30"/>
      <c r="AJ178" s="31"/>
      <c r="AK178" s="31"/>
      <c r="AL178" s="31"/>
      <c r="AM178" s="31"/>
      <c r="AN178" s="31"/>
      <c r="AO178" s="31"/>
      <c r="AP178" s="31"/>
      <c r="AQ178" s="31"/>
      <c r="AR178" s="31"/>
      <c r="AS178" s="31"/>
      <c r="AT178" s="31"/>
      <c r="AU178" s="31" t="n">
        <f aca="false">IF($G178="",AJ178,L178)</f>
        <v>2344680</v>
      </c>
      <c r="AV178" s="31" t="n">
        <f aca="false">IF($G178="",AK178,M178)</f>
        <v>192180</v>
      </c>
      <c r="AW178" s="31" t="n">
        <f aca="false">IF($G178="",AL178,N178)</f>
        <v>2352564</v>
      </c>
      <c r="AX178" s="31" t="n">
        <f aca="false">IF($G178="",AM178,O178)</f>
        <v>192510</v>
      </c>
      <c r="AY178" s="31" t="n">
        <f aca="false">IF($G178="",AN178,P178)</f>
        <v>2230</v>
      </c>
      <c r="AZ178" s="31" t="n">
        <f aca="false">IF($G178="",AO178,Q178)</f>
        <v>1331127</v>
      </c>
      <c r="BA178" s="31" t="n">
        <f aca="false">IF($G178="",AP178,R178)</f>
        <v>1332425</v>
      </c>
      <c r="BB178" s="31" t="n">
        <f aca="false">IF($G178="",AQ178,S178)</f>
        <v>158559</v>
      </c>
      <c r="BC178" s="31" t="n">
        <f aca="false">IF($G178="",AR178,T178)</f>
        <v>158568</v>
      </c>
      <c r="BD178" s="31" t="n">
        <f aca="false">IF($G178="",AS178,U178)</f>
        <v>29507</v>
      </c>
      <c r="BE178" s="31" t="n">
        <f aca="false">IF($G178="",AT178,V178)</f>
        <v>29518</v>
      </c>
      <c r="BF178" s="31" t="n">
        <f aca="false">ROUNDDOWN(I178*設定!$B$10/1000,0)+ROUNDDOWN(I178*設定!$B$11/1000,0)</f>
        <v>0</v>
      </c>
      <c r="BG178" s="31" t="n">
        <f aca="false">ROUNDDOWN(I178*設定!$C$10/1000,0)+ROUNDDOWN(I178*設定!$C$11/1000,0)+ROUNDDOWN(I178*設定!$C$12/1000,0)</f>
        <v>0</v>
      </c>
      <c r="BH178" s="31" t="n">
        <f aca="false">ROUNDDOWN(J178*設定!$B$13/1000,0)</f>
        <v>0</v>
      </c>
      <c r="BI178" s="31" t="n">
        <f aca="false">ROUNDDOWN(J178*設定!$C$13/1000,0)</f>
        <v>0</v>
      </c>
      <c r="BJ178" s="31" t="n">
        <f aca="false">ROUNDDOWN(K178*設定!$B$14/1000,0)</f>
        <v>0</v>
      </c>
      <c r="BK178" s="31" t="n">
        <f aca="false">ROUNDDOWN(K178*設定!$C$14/1000,0)</f>
        <v>0</v>
      </c>
      <c r="BL178" s="31" t="n">
        <f aca="false">ROUNDDOWN(J178*設定!$B$15/1000,0)</f>
        <v>0</v>
      </c>
      <c r="BM178" s="31" t="n">
        <f aca="false">ROUNDDOWN(J178*設定!$C$15/1000,0)</f>
        <v>0</v>
      </c>
      <c r="BN178" s="31" t="n">
        <f aca="false">L178+M178</f>
        <v>2536860</v>
      </c>
      <c r="BO178" s="31" t="n">
        <f aca="false">N178+O178+P178</f>
        <v>2547304</v>
      </c>
      <c r="BP178" s="31" t="n">
        <f aca="false">Q178</f>
        <v>1331127</v>
      </c>
      <c r="BQ178" s="31" t="n">
        <f aca="false">R178</f>
        <v>1332425</v>
      </c>
      <c r="BR178" s="31" t="n">
        <f aca="false">S178</f>
        <v>158559</v>
      </c>
      <c r="BS178" s="31" t="n">
        <f aca="false">T178</f>
        <v>158568</v>
      </c>
      <c r="BT178" s="31" t="n">
        <f aca="false">U178</f>
        <v>29507</v>
      </c>
      <c r="BU178" s="31" t="n">
        <f aca="false">V178</f>
        <v>29518</v>
      </c>
      <c r="BV178" s="32" t="n">
        <f aca="false">IF(BF178=0,IF(BN178=0,0,1),(BN178-BF178)/BF178)</f>
        <v>1</v>
      </c>
      <c r="BW178" s="32" t="n">
        <f aca="false">IF(BG178=0,IF(BO178=0,0,1),(BO178-BG178)/BG178)</f>
        <v>1</v>
      </c>
      <c r="BX178" s="32" t="n">
        <f aca="false">IF(BH178=0,IF(BP178=0,0,1),(BP178-BH178)/BH178)</f>
        <v>1</v>
      </c>
      <c r="BY178" s="32" t="n">
        <f aca="false">IF(BI178=0,IF(BQ178=0,0,1),(BQ178-BI178)/BI178)</f>
        <v>1</v>
      </c>
      <c r="BZ178" s="32" t="n">
        <f aca="false">IF(BJ178=0,IF(BR178=0,0,1),(BR178-BJ178)/BJ178)</f>
        <v>1</v>
      </c>
      <c r="CA178" s="32" t="n">
        <f aca="false">IF(BK178=0,IF(BS178=0,0,1),(BS178-BK178)/BK178)</f>
        <v>1</v>
      </c>
      <c r="CB178" s="32" t="n">
        <f aca="false">IF(BL178=0,IF(BT178=0,0,1),(BT178-BL178)/BL178)</f>
        <v>1</v>
      </c>
      <c r="CC178" s="32" t="n">
        <f aca="false">IF(BM178=0,IF(BU178=0,0,1),(BU178-BM178)/BM178)</f>
        <v>1</v>
      </c>
      <c r="CD178" s="32" t="n">
        <f aca="false">MAX(MAX(BV178:CC178),-MIN(BV178:CC178))</f>
        <v>1</v>
      </c>
      <c r="CE178" s="31" t="str">
        <f aca="false">IF(CI178="","",SUMIFS($CF$7:$CF$696,$A$7:$A$696,CI178,$B$7:$B$696,B178))</f>
        <v/>
      </c>
      <c r="CF178" s="31" t="n">
        <f aca="false">SUM(AU178:BE178)</f>
        <v>8123868</v>
      </c>
      <c r="CG178" s="33" t="str">
        <f aca="false">A178&amp;"|"&amp;B178</f>
        <v>2026-06 賞与|広島市立大学</v>
      </c>
      <c r="CH178" s="34" t="str">
        <f aca="false">IFERROR(INDEX(設定!$D$61:$D$106,MATCH(B178,設定!$B$61:$B$106,0)),"Y")</f>
        <v>Y</v>
      </c>
      <c r="CI178" s="34" t="str">
        <f aca="false">IFERROR(INDEX(設定!$D$20:$D$34,MATCH(A178,設定!$A$20:$A$34,0))&amp;"","")</f>
        <v/>
      </c>
    </row>
    <row r="179" customFormat="false" ht="15" hidden="true" customHeight="false" outlineLevel="0" collapsed="false">
      <c r="A179" s="22" t="s">
        <v>210</v>
      </c>
      <c r="B179" s="23" t="s">
        <v>195</v>
      </c>
      <c r="C179" s="10" t="str">
        <f aca="false">IF(G179="","未受領",IF(G179="なし","報告なし",IF(AH179="○","起票済",IF(OR(AG179="○",F179="一致",F179="入金不要"),"入金確認済","受領済"))))</f>
        <v>入金確認済</v>
      </c>
      <c r="D179" s="10" t="str">
        <f aca="false">IF(OR(G179="",G179="なし"),"―",IF(CH179="N","対象外",IF(AND(I179="",J179="",K179=""),"標報未入力",IF(CD179&gt;=設定!$B$4,"要確認","問題なし"))))</f>
        <v>標報未入力</v>
      </c>
      <c r="E179" s="24" t="str">
        <f aca="false">IF(OR(G179="",G179="なし",CE179="",CF179=0),"―",IF(CF179=CE179,"前月同額",IF(CE179=0,"―",IF(ABS(CF179/CE179-1)&gt;=設定!$B$5,"変動大 "&amp;TEXT(CF179/CE179-1,"+0%;-0%"),"〇"))))</f>
        <v>―</v>
      </c>
      <c r="F179" s="10" t="str">
        <f aca="false">IF(OR(G179="",G179="なし"),"―",IF(CF179=0,"入金不要",IF(COUNT(Z179,AB179,AD179,AF179)=0,IF(AG179="○","手動確認","未入金"),IF(AND(N(Z179)=Y179,IF(AA179="",TRUE(),N(AB179)=AA179),IF(AC179="",TRUE(),N(AD179)=AC179),IF(AE179="",TRUE(),N(AF179)=AE179)),"一致","不一致"))))</f>
        <v>手動確認</v>
      </c>
      <c r="G179" s="25" t="s">
        <v>159</v>
      </c>
      <c r="H179" s="26"/>
      <c r="I179" s="27"/>
      <c r="J179" s="27"/>
      <c r="K179" s="27"/>
      <c r="L179" s="27"/>
      <c r="M179" s="27"/>
      <c r="N179" s="27" t="n">
        <v>463724</v>
      </c>
      <c r="O179" s="27" t="n">
        <v>38010</v>
      </c>
      <c r="P179" s="27" t="n">
        <v>440</v>
      </c>
      <c r="Q179" s="27"/>
      <c r="R179" s="27" t="n">
        <v>277095</v>
      </c>
      <c r="S179" s="27"/>
      <c r="T179" s="27" t="n">
        <v>22649</v>
      </c>
      <c r="U179" s="27"/>
      <c r="V179" s="27" t="n">
        <v>6138</v>
      </c>
      <c r="W179" s="10" t="str">
        <f aca="false">IFERROR(INDEX(設定!$E$61:$E$106,MATCH(B179,設定!$B$61:$B$106,0)),"合算")</f>
        <v>合算</v>
      </c>
      <c r="X179" s="28"/>
      <c r="Y179" s="29" t="n">
        <f aca="false">IF(OR(G179="",G179="なし"),"",IF(W179="合算",CF179,IF(W179="掛金・負担金別",(AU179+AV179+AZ179+BB179+BD179),SUM(AU179:AY179))))</f>
        <v>808056</v>
      </c>
      <c r="Z179" s="27"/>
      <c r="AA179" s="29" t="str">
        <f aca="false">IF(OR(G179="",G179="なし"),"",IF(W179="掛金・負担金別",(AW179+AX179+AY179+BA179+BC179+BE179),IF(W179="経理区分別",AZ179+BA179,"")))</f>
        <v/>
      </c>
      <c r="AB179" s="27"/>
      <c r="AC179" s="29" t="str">
        <f aca="false">IF(OR(G179="",G179="なし"),"",IF(W179="経理区分別",BB179+BC179,""))</f>
        <v/>
      </c>
      <c r="AD179" s="27"/>
      <c r="AE179" s="29" t="str">
        <f aca="false">IF(OR(G179="",G179="なし"),"",IF(W179="経理区分別",BD179+BE179,""))</f>
        <v/>
      </c>
      <c r="AF179" s="27"/>
      <c r="AG179" s="26" t="s">
        <v>160</v>
      </c>
      <c r="AH179" s="26"/>
      <c r="AI179" s="30"/>
      <c r="AJ179" s="31"/>
      <c r="AK179" s="31"/>
      <c r="AL179" s="31"/>
      <c r="AM179" s="31"/>
      <c r="AN179" s="31"/>
      <c r="AO179" s="31"/>
      <c r="AP179" s="31"/>
      <c r="AQ179" s="31"/>
      <c r="AR179" s="31"/>
      <c r="AS179" s="31"/>
      <c r="AT179" s="31"/>
      <c r="AU179" s="31" t="n">
        <f aca="false">IF($G179="",AJ179,L179)</f>
        <v>0</v>
      </c>
      <c r="AV179" s="31" t="n">
        <f aca="false">IF($G179="",AK179,M179)</f>
        <v>0</v>
      </c>
      <c r="AW179" s="31" t="n">
        <f aca="false">IF($G179="",AL179,N179)</f>
        <v>463724</v>
      </c>
      <c r="AX179" s="31" t="n">
        <f aca="false">IF($G179="",AM179,O179)</f>
        <v>38010</v>
      </c>
      <c r="AY179" s="31" t="n">
        <f aca="false">IF($G179="",AN179,P179)</f>
        <v>440</v>
      </c>
      <c r="AZ179" s="31" t="n">
        <f aca="false">IF($G179="",AO179,Q179)</f>
        <v>0</v>
      </c>
      <c r="BA179" s="31" t="n">
        <f aca="false">IF($G179="",AP179,R179)</f>
        <v>277095</v>
      </c>
      <c r="BB179" s="31" t="n">
        <f aca="false">IF($G179="",AQ179,S179)</f>
        <v>0</v>
      </c>
      <c r="BC179" s="31" t="n">
        <f aca="false">IF($G179="",AR179,T179)</f>
        <v>22649</v>
      </c>
      <c r="BD179" s="31" t="n">
        <f aca="false">IF($G179="",AS179,U179)</f>
        <v>0</v>
      </c>
      <c r="BE179" s="31" t="n">
        <f aca="false">IF($G179="",AT179,V179)</f>
        <v>6138</v>
      </c>
      <c r="BF179" s="31" t="n">
        <f aca="false">ROUNDDOWN(I179*設定!$B$10/1000,0)+ROUNDDOWN(I179*設定!$B$11/1000,0)</f>
        <v>0</v>
      </c>
      <c r="BG179" s="31" t="n">
        <f aca="false">ROUNDDOWN(I179*設定!$C$10/1000,0)+ROUNDDOWN(I179*設定!$C$11/1000,0)+ROUNDDOWN(I179*設定!$C$12/1000,0)</f>
        <v>0</v>
      </c>
      <c r="BH179" s="31" t="n">
        <f aca="false">ROUNDDOWN(J179*設定!$B$13/1000,0)</f>
        <v>0</v>
      </c>
      <c r="BI179" s="31" t="n">
        <f aca="false">ROUNDDOWN(J179*設定!$C$13/1000,0)</f>
        <v>0</v>
      </c>
      <c r="BJ179" s="31" t="n">
        <f aca="false">ROUNDDOWN(K179*設定!$B$14/1000,0)</f>
        <v>0</v>
      </c>
      <c r="BK179" s="31" t="n">
        <f aca="false">ROUNDDOWN(K179*設定!$C$14/1000,0)</f>
        <v>0</v>
      </c>
      <c r="BL179" s="31" t="n">
        <f aca="false">ROUNDDOWN(J179*設定!$B$15/1000,0)</f>
        <v>0</v>
      </c>
      <c r="BM179" s="31" t="n">
        <f aca="false">ROUNDDOWN(J179*設定!$C$15/1000,0)</f>
        <v>0</v>
      </c>
      <c r="BN179" s="31" t="n">
        <f aca="false">L179+M179</f>
        <v>0</v>
      </c>
      <c r="BO179" s="31" t="n">
        <f aca="false">N179+O179+P179</f>
        <v>502174</v>
      </c>
      <c r="BP179" s="31" t="n">
        <f aca="false">Q179</f>
        <v>0</v>
      </c>
      <c r="BQ179" s="31" t="n">
        <f aca="false">R179</f>
        <v>277095</v>
      </c>
      <c r="BR179" s="31" t="n">
        <f aca="false">S179</f>
        <v>0</v>
      </c>
      <c r="BS179" s="31" t="n">
        <f aca="false">T179</f>
        <v>22649</v>
      </c>
      <c r="BT179" s="31" t="n">
        <f aca="false">U179</f>
        <v>0</v>
      </c>
      <c r="BU179" s="31" t="n">
        <f aca="false">V179</f>
        <v>6138</v>
      </c>
      <c r="BV179" s="32" t="n">
        <f aca="false">IF(BF179=0,IF(BN179=0,0,1),(BN179-BF179)/BF179)</f>
        <v>0</v>
      </c>
      <c r="BW179" s="32" t="n">
        <f aca="false">IF(BG179=0,IF(BO179=0,0,1),(BO179-BG179)/BG179)</f>
        <v>1</v>
      </c>
      <c r="BX179" s="32" t="n">
        <f aca="false">IF(BH179=0,IF(BP179=0,0,1),(BP179-BH179)/BH179)</f>
        <v>0</v>
      </c>
      <c r="BY179" s="32" t="n">
        <f aca="false">IF(BI179=0,IF(BQ179=0,0,1),(BQ179-BI179)/BI179)</f>
        <v>1</v>
      </c>
      <c r="BZ179" s="32" t="n">
        <f aca="false">IF(BJ179=0,IF(BR179=0,0,1),(BR179-BJ179)/BJ179)</f>
        <v>0</v>
      </c>
      <c r="CA179" s="32" t="n">
        <f aca="false">IF(BK179=0,IF(BS179=0,0,1),(BS179-BK179)/BK179)</f>
        <v>1</v>
      </c>
      <c r="CB179" s="32" t="n">
        <f aca="false">IF(BL179=0,IF(BT179=0,0,1),(BT179-BL179)/BL179)</f>
        <v>0</v>
      </c>
      <c r="CC179" s="32" t="n">
        <f aca="false">IF(BM179=0,IF(BU179=0,0,1),(BU179-BM179)/BM179)</f>
        <v>1</v>
      </c>
      <c r="CD179" s="32" t="n">
        <f aca="false">MAX(MAX(BV179:CC179),-MIN(BV179:CC179))</f>
        <v>1</v>
      </c>
      <c r="CE179" s="31" t="str">
        <f aca="false">IF(CI179="","",SUMIFS($CF$7:$CF$696,$A$7:$A$696,CI179,$B$7:$B$696,B179))</f>
        <v/>
      </c>
      <c r="CF179" s="31" t="n">
        <f aca="false">SUM(AU179:BE179)</f>
        <v>808056</v>
      </c>
      <c r="CG179" s="33" t="str">
        <f aca="false">A179&amp;"|"&amp;B179</f>
        <v>2026-06 賞与|社会福祉協議会</v>
      </c>
      <c r="CH179" s="34" t="str">
        <f aca="false">IFERROR(INDEX(設定!$D$61:$D$106,MATCH(B179,設定!$B$61:$B$106,0)),"Y")</f>
        <v>Y</v>
      </c>
      <c r="CI179" s="34" t="str">
        <f aca="false">IFERROR(INDEX(設定!$D$20:$D$34,MATCH(A179,設定!$A$20:$A$34,0))&amp;"","")</f>
        <v/>
      </c>
    </row>
    <row r="180" customFormat="false" ht="15" hidden="true" customHeight="false" outlineLevel="0" collapsed="false">
      <c r="A180" s="22" t="s">
        <v>210</v>
      </c>
      <c r="B180" s="23" t="s">
        <v>196</v>
      </c>
      <c r="C180" s="10" t="str">
        <f aca="false">IF(G180="","未受領",IF(G180="なし","報告なし",IF(AH180="○","起票済",IF(OR(AG180="○",F180="一致",F180="入金不要"),"入金確認済","受領済"))))</f>
        <v>入金確認済</v>
      </c>
      <c r="D180" s="10" t="str">
        <f aca="false">IF(OR(G180="",G180="なし"),"―",IF(CH180="N","対象外",IF(AND(I180="",J180="",K180=""),"標報未入力",IF(CD180&gt;=設定!$B$4,"要確認","問題なし"))))</f>
        <v>対象外</v>
      </c>
      <c r="E180" s="24" t="str">
        <f aca="false">IF(OR(G180="",G180="なし",CE180="",CF180=0),"―",IF(CF180=CE180,"前月同額",IF(CE180=0,"―",IF(ABS(CF180/CE180-1)&gt;=設定!$B$5,"変動大 "&amp;TEXT(CF180/CE180-1,"+0%;-0%"),"〇"))))</f>
        <v>―</v>
      </c>
      <c r="F180" s="10" t="str">
        <f aca="false">IF(OR(G180="",G180="なし"),"―",IF(CF180=0,"入金不要",IF(COUNT(Z180,AB180,AD180,AF180)=0,IF(AG180="○","手動確認","未入金"),IF(AND(N(Z180)=Y180,IF(AA180="",TRUE(),N(AB180)=AA180),IF(AC180="",TRUE(),N(AD180)=AC180),IF(AE180="",TRUE(),N(AF180)=AE180)),"一致","不一致"))))</f>
        <v>手動確認</v>
      </c>
      <c r="G180" s="25" t="s">
        <v>159</v>
      </c>
      <c r="H180" s="26"/>
      <c r="I180" s="27"/>
      <c r="J180" s="27"/>
      <c r="K180" s="27"/>
      <c r="L180" s="27" t="n">
        <v>213467757</v>
      </c>
      <c r="M180" s="27" t="n">
        <v>17496681</v>
      </c>
      <c r="N180" s="27" t="n">
        <v>308184891</v>
      </c>
      <c r="O180" s="27" t="n">
        <v>17496681</v>
      </c>
      <c r="P180" s="27" t="n">
        <v>206290</v>
      </c>
      <c r="Q180" s="27" t="n">
        <v>128088779</v>
      </c>
      <c r="R180" s="27" t="n">
        <v>128231932</v>
      </c>
      <c r="S180" s="27" t="n">
        <v>11861523</v>
      </c>
      <c r="T180" s="27" t="n">
        <v>11861523</v>
      </c>
      <c r="U180" s="27" t="n">
        <v>2838695</v>
      </c>
      <c r="V180" s="27" t="n">
        <v>2838695</v>
      </c>
      <c r="W180" s="10" t="str">
        <f aca="false">IFERROR(INDEX(設定!$E$61:$E$106,MATCH(B180,設定!$B$61:$B$106,0)),"合算")</f>
        <v>合算</v>
      </c>
      <c r="X180" s="28"/>
      <c r="Y180" s="29" t="n">
        <f aca="false">IF(OR(G180="",G180="なし"),"",IF(W180="合算",CF180,IF(W180="掛金・負担金別",(AU180+AV180+AZ180+BB180+BD180),SUM(AU180:AY180))))</f>
        <v>842573447</v>
      </c>
      <c r="Z180" s="27"/>
      <c r="AA180" s="29" t="str">
        <f aca="false">IF(OR(G180="",G180="なし"),"",IF(W180="掛金・負担金別",(AW180+AX180+AY180+BA180+BC180+BE180),IF(W180="経理区分別",AZ180+BA180,"")))</f>
        <v/>
      </c>
      <c r="AB180" s="27"/>
      <c r="AC180" s="29" t="str">
        <f aca="false">IF(OR(G180="",G180="なし"),"",IF(W180="経理区分別",BB180+BC180,""))</f>
        <v/>
      </c>
      <c r="AD180" s="27"/>
      <c r="AE180" s="29" t="str">
        <f aca="false">IF(OR(G180="",G180="なし"),"",IF(W180="経理区分別",BD180+BE180,""))</f>
        <v/>
      </c>
      <c r="AF180" s="27"/>
      <c r="AG180" s="26" t="s">
        <v>160</v>
      </c>
      <c r="AH180" s="26"/>
      <c r="AI180" s="30"/>
      <c r="AJ180" s="31"/>
      <c r="AK180" s="31"/>
      <c r="AL180" s="31"/>
      <c r="AM180" s="31"/>
      <c r="AN180" s="31"/>
      <c r="AO180" s="31"/>
      <c r="AP180" s="31"/>
      <c r="AQ180" s="31"/>
      <c r="AR180" s="31"/>
      <c r="AS180" s="31"/>
      <c r="AT180" s="31"/>
      <c r="AU180" s="31" t="n">
        <f aca="false">IF($G180="",AJ180,L180)</f>
        <v>213467757</v>
      </c>
      <c r="AV180" s="31" t="n">
        <f aca="false">IF($G180="",AK180,M180)</f>
        <v>17496681</v>
      </c>
      <c r="AW180" s="31" t="n">
        <f aca="false">IF($G180="",AL180,N180)</f>
        <v>308184891</v>
      </c>
      <c r="AX180" s="31" t="n">
        <f aca="false">IF($G180="",AM180,O180)</f>
        <v>17496681</v>
      </c>
      <c r="AY180" s="31" t="n">
        <f aca="false">IF($G180="",AN180,P180)</f>
        <v>206290</v>
      </c>
      <c r="AZ180" s="31" t="n">
        <f aca="false">IF($G180="",AO180,Q180)</f>
        <v>128088779</v>
      </c>
      <c r="BA180" s="31" t="n">
        <f aca="false">IF($G180="",AP180,R180)</f>
        <v>128231932</v>
      </c>
      <c r="BB180" s="31" t="n">
        <f aca="false">IF($G180="",AQ180,S180)</f>
        <v>11861523</v>
      </c>
      <c r="BC180" s="31" t="n">
        <f aca="false">IF($G180="",AR180,T180)</f>
        <v>11861523</v>
      </c>
      <c r="BD180" s="31" t="n">
        <f aca="false">IF($G180="",AS180,U180)</f>
        <v>2838695</v>
      </c>
      <c r="BE180" s="31" t="n">
        <f aca="false">IF($G180="",AT180,V180)</f>
        <v>2838695</v>
      </c>
      <c r="BF180" s="31" t="n">
        <f aca="false">ROUNDDOWN(I180*設定!$B$10/1000,0)+ROUNDDOWN(I180*設定!$B$11/1000,0)</f>
        <v>0</v>
      </c>
      <c r="BG180" s="31" t="n">
        <f aca="false">ROUNDDOWN(I180*設定!$C$10/1000,0)+ROUNDDOWN(I180*設定!$C$11/1000,0)+ROUNDDOWN(I180*設定!$C$12/1000,0)</f>
        <v>0</v>
      </c>
      <c r="BH180" s="31" t="n">
        <f aca="false">ROUNDDOWN(J180*設定!$B$13/1000,0)</f>
        <v>0</v>
      </c>
      <c r="BI180" s="31" t="n">
        <f aca="false">ROUNDDOWN(J180*設定!$C$13/1000,0)</f>
        <v>0</v>
      </c>
      <c r="BJ180" s="31" t="n">
        <f aca="false">ROUNDDOWN(K180*設定!$B$14/1000,0)</f>
        <v>0</v>
      </c>
      <c r="BK180" s="31" t="n">
        <f aca="false">ROUNDDOWN(K180*設定!$C$14/1000,0)</f>
        <v>0</v>
      </c>
      <c r="BL180" s="31" t="n">
        <f aca="false">ROUNDDOWN(J180*設定!$B$15/1000,0)</f>
        <v>0</v>
      </c>
      <c r="BM180" s="31" t="n">
        <f aca="false">ROUNDDOWN(J180*設定!$C$15/1000,0)</f>
        <v>0</v>
      </c>
      <c r="BN180" s="31" t="n">
        <f aca="false">L180+M180</f>
        <v>230964438</v>
      </c>
      <c r="BO180" s="31" t="n">
        <f aca="false">N180+O180+P180</f>
        <v>325887862</v>
      </c>
      <c r="BP180" s="31" t="n">
        <f aca="false">Q180</f>
        <v>128088779</v>
      </c>
      <c r="BQ180" s="31" t="n">
        <f aca="false">R180</f>
        <v>128231932</v>
      </c>
      <c r="BR180" s="31" t="n">
        <f aca="false">S180</f>
        <v>11861523</v>
      </c>
      <c r="BS180" s="31" t="n">
        <f aca="false">T180</f>
        <v>11861523</v>
      </c>
      <c r="BT180" s="31" t="n">
        <f aca="false">U180</f>
        <v>2838695</v>
      </c>
      <c r="BU180" s="31" t="n">
        <f aca="false">V180</f>
        <v>2838695</v>
      </c>
      <c r="BV180" s="32" t="n">
        <f aca="false">IF(BF180=0,IF(BN180=0,0,1),(BN180-BF180)/BF180)</f>
        <v>1</v>
      </c>
      <c r="BW180" s="32" t="n">
        <f aca="false">IF(BG180=0,IF(BO180=0,0,1),(BO180-BG180)/BG180)</f>
        <v>1</v>
      </c>
      <c r="BX180" s="32" t="n">
        <f aca="false">IF(BH180=0,IF(BP180=0,0,1),(BP180-BH180)/BH180)</f>
        <v>1</v>
      </c>
      <c r="BY180" s="32" t="n">
        <f aca="false">IF(BI180=0,IF(BQ180=0,0,1),(BQ180-BI180)/BI180)</f>
        <v>1</v>
      </c>
      <c r="BZ180" s="32" t="n">
        <f aca="false">IF(BJ180=0,IF(BR180=0,0,1),(BR180-BJ180)/BJ180)</f>
        <v>1</v>
      </c>
      <c r="CA180" s="32" t="n">
        <f aca="false">IF(BK180=0,IF(BS180=0,0,1),(BS180-BK180)/BK180)</f>
        <v>1</v>
      </c>
      <c r="CB180" s="32" t="n">
        <f aca="false">IF(BL180=0,IF(BT180=0,0,1),(BT180-BL180)/BL180)</f>
        <v>1</v>
      </c>
      <c r="CC180" s="32" t="n">
        <f aca="false">IF(BM180=0,IF(BU180=0,0,1),(BU180-BM180)/BM180)</f>
        <v>1</v>
      </c>
      <c r="CD180" s="32" t="n">
        <f aca="false">MAX(MAX(BV180:CC180),-MIN(BV180:CC180))</f>
        <v>1</v>
      </c>
      <c r="CE180" s="31" t="str">
        <f aca="false">IF(CI180="","",SUMIFS($CF$7:$CF$696,$A$7:$A$696,CI180,$B$7:$B$696,B180))</f>
        <v/>
      </c>
      <c r="CF180" s="31" t="n">
        <f aca="false">SUM(AU180:BE180)</f>
        <v>842573447</v>
      </c>
      <c r="CG180" s="33" t="str">
        <f aca="false">A180&amp;"|"&amp;B180</f>
        <v>2026-06 賞与|市立病院機構</v>
      </c>
      <c r="CH180" s="34" t="str">
        <f aca="false">IFERROR(INDEX(設定!$D$61:$D$106,MATCH(B180,設定!$B$61:$B$106,0)),"Y")</f>
        <v>N</v>
      </c>
      <c r="CI180" s="34" t="str">
        <f aca="false">IFERROR(INDEX(設定!$D$20:$D$34,MATCH(A180,設定!$A$20:$A$34,0))&amp;"","")</f>
        <v/>
      </c>
    </row>
    <row r="181" customFormat="false" ht="15" hidden="true" customHeight="false" outlineLevel="0" collapsed="false">
      <c r="A181" s="22" t="s">
        <v>210</v>
      </c>
      <c r="B181" s="23" t="s">
        <v>197</v>
      </c>
      <c r="C181" s="10" t="str">
        <f aca="false">IF(G181="","未受領",IF(G181="なし","報告なし",IF(AH181="○","起票済",IF(OR(AG181="○",F181="一致",F181="入金不要"),"入金確認済","受領済"))))</f>
        <v>入金確認済</v>
      </c>
      <c r="D181" s="10" t="str">
        <f aca="false">IF(OR(G181="",G181="なし"),"―",IF(CH181="N","対象外",IF(AND(I181="",J181="",K181=""),"標報未入力",IF(CD181&gt;=設定!$B$4,"要確認","問題なし"))))</f>
        <v>標報未入力</v>
      </c>
      <c r="E181" s="24" t="str">
        <f aca="false">IF(OR(G181="",G181="なし",CE181="",CF181=0),"―",IF(CF181=CE181,"前月同額",IF(CE181=0,"―",IF(ABS(CF181/CE181-1)&gt;=設定!$B$5,"変動大 "&amp;TEXT(CF181/CE181-1,"+0%;-0%"),"〇"))))</f>
        <v>―</v>
      </c>
      <c r="F181" s="10" t="str">
        <f aca="false">IF(OR(G181="",G181="なし"),"―",IF(CF181=0,"入金不要",IF(COUNT(Z181,AB181,AD181,AF181)=0,IF(AG181="○","手動確認","未入金"),IF(AND(N(Z181)=Y181,IF(AA181="",TRUE(),N(AB181)=AA181),IF(AC181="",TRUE(),N(AD181)=AC181),IF(AE181="",TRUE(),N(AF181)=AE181)),"一致","不一致"))))</f>
        <v>手動確認</v>
      </c>
      <c r="G181" s="25" t="s">
        <v>159</v>
      </c>
      <c r="H181" s="26"/>
      <c r="I181" s="27"/>
      <c r="J181" s="27"/>
      <c r="K181" s="27"/>
      <c r="L181" s="27"/>
      <c r="M181" s="27"/>
      <c r="N181" s="27"/>
      <c r="O181" s="27"/>
      <c r="P181" s="27"/>
      <c r="Q181" s="27" t="n">
        <v>121298</v>
      </c>
      <c r="R181" s="27" t="n">
        <v>121416</v>
      </c>
      <c r="S181" s="27" t="n">
        <v>14756</v>
      </c>
      <c r="T181" s="27" t="n">
        <v>14756</v>
      </c>
      <c r="U181" s="27" t="n">
        <v>2687</v>
      </c>
      <c r="V181" s="27" t="n">
        <v>2688</v>
      </c>
      <c r="W181" s="10" t="str">
        <f aca="false">IFERROR(INDEX(設定!$E$61:$E$106,MATCH(B181,設定!$B$61:$B$106,0)),"合算")</f>
        <v>合算</v>
      </c>
      <c r="X181" s="28"/>
      <c r="Y181" s="29" t="n">
        <f aca="false">IF(OR(G181="",G181="なし"),"",IF(W181="合算",CF181,IF(W181="掛金・負担金別",(AU181+AV181+AZ181+BB181+BD181),SUM(AU181:AY181))))</f>
        <v>277601</v>
      </c>
      <c r="Z181" s="27"/>
      <c r="AA181" s="29" t="str">
        <f aca="false">IF(OR(G181="",G181="なし"),"",IF(W181="掛金・負担金別",(AW181+AX181+AY181+BA181+BC181+BE181),IF(W181="経理区分別",AZ181+BA181,"")))</f>
        <v/>
      </c>
      <c r="AB181" s="27"/>
      <c r="AC181" s="29" t="str">
        <f aca="false">IF(OR(G181="",G181="なし"),"",IF(W181="経理区分別",BB181+BC181,""))</f>
        <v/>
      </c>
      <c r="AD181" s="27"/>
      <c r="AE181" s="29" t="str">
        <f aca="false">IF(OR(G181="",G181="なし"),"",IF(W181="経理区分別",BD181+BE181,""))</f>
        <v/>
      </c>
      <c r="AF181" s="27"/>
      <c r="AG181" s="26" t="s">
        <v>160</v>
      </c>
      <c r="AH181" s="26"/>
      <c r="AI181" s="30"/>
      <c r="AJ181" s="31"/>
      <c r="AK181" s="31"/>
      <c r="AL181" s="31"/>
      <c r="AM181" s="31"/>
      <c r="AN181" s="31"/>
      <c r="AO181" s="31"/>
      <c r="AP181" s="31"/>
      <c r="AQ181" s="31"/>
      <c r="AR181" s="31"/>
      <c r="AS181" s="31"/>
      <c r="AT181" s="31"/>
      <c r="AU181" s="31" t="n">
        <f aca="false">IF($G181="",AJ181,L181)</f>
        <v>0</v>
      </c>
      <c r="AV181" s="31" t="n">
        <f aca="false">IF($G181="",AK181,M181)</f>
        <v>0</v>
      </c>
      <c r="AW181" s="31" t="n">
        <f aca="false">IF($G181="",AL181,N181)</f>
        <v>0</v>
      </c>
      <c r="AX181" s="31" t="n">
        <f aca="false">IF($G181="",AM181,O181)</f>
        <v>0</v>
      </c>
      <c r="AY181" s="31" t="n">
        <f aca="false">IF($G181="",AN181,P181)</f>
        <v>0</v>
      </c>
      <c r="AZ181" s="31" t="n">
        <f aca="false">IF($G181="",AO181,Q181)</f>
        <v>121298</v>
      </c>
      <c r="BA181" s="31" t="n">
        <f aca="false">IF($G181="",AP181,R181)</f>
        <v>121416</v>
      </c>
      <c r="BB181" s="31" t="n">
        <f aca="false">IF($G181="",AQ181,S181)</f>
        <v>14756</v>
      </c>
      <c r="BC181" s="31" t="n">
        <f aca="false">IF($G181="",AR181,T181)</f>
        <v>14756</v>
      </c>
      <c r="BD181" s="31" t="n">
        <f aca="false">IF($G181="",AS181,U181)</f>
        <v>2687</v>
      </c>
      <c r="BE181" s="31" t="n">
        <f aca="false">IF($G181="",AT181,V181)</f>
        <v>2688</v>
      </c>
      <c r="BF181" s="31" t="n">
        <f aca="false">ROUNDDOWN(I181*設定!$B$10/1000,0)+ROUNDDOWN(I181*設定!$B$11/1000,0)</f>
        <v>0</v>
      </c>
      <c r="BG181" s="31" t="n">
        <f aca="false">ROUNDDOWN(I181*設定!$C$10/1000,0)+ROUNDDOWN(I181*設定!$C$11/1000,0)+ROUNDDOWN(I181*設定!$C$12/1000,0)</f>
        <v>0</v>
      </c>
      <c r="BH181" s="31" t="n">
        <f aca="false">ROUNDDOWN(J181*設定!$B$13/1000,0)</f>
        <v>0</v>
      </c>
      <c r="BI181" s="31" t="n">
        <f aca="false">ROUNDDOWN(J181*設定!$C$13/1000,0)</f>
        <v>0</v>
      </c>
      <c r="BJ181" s="31" t="n">
        <f aca="false">ROUNDDOWN(K181*設定!$B$14/1000,0)</f>
        <v>0</v>
      </c>
      <c r="BK181" s="31" t="n">
        <f aca="false">ROUNDDOWN(K181*設定!$C$14/1000,0)</f>
        <v>0</v>
      </c>
      <c r="BL181" s="31" t="n">
        <f aca="false">ROUNDDOWN(J181*設定!$B$15/1000,0)</f>
        <v>0</v>
      </c>
      <c r="BM181" s="31" t="n">
        <f aca="false">ROUNDDOWN(J181*設定!$C$15/1000,0)</f>
        <v>0</v>
      </c>
      <c r="BN181" s="31" t="n">
        <f aca="false">L181+M181</f>
        <v>0</v>
      </c>
      <c r="BO181" s="31" t="n">
        <f aca="false">N181+O181+P181</f>
        <v>0</v>
      </c>
      <c r="BP181" s="31" t="n">
        <f aca="false">Q181</f>
        <v>121298</v>
      </c>
      <c r="BQ181" s="31" t="n">
        <f aca="false">R181</f>
        <v>121416</v>
      </c>
      <c r="BR181" s="31" t="n">
        <f aca="false">S181</f>
        <v>14756</v>
      </c>
      <c r="BS181" s="31" t="n">
        <f aca="false">T181</f>
        <v>14756</v>
      </c>
      <c r="BT181" s="31" t="n">
        <f aca="false">U181</f>
        <v>2687</v>
      </c>
      <c r="BU181" s="31" t="n">
        <f aca="false">V181</f>
        <v>2688</v>
      </c>
      <c r="BV181" s="32" t="n">
        <f aca="false">IF(BF181=0,IF(BN181=0,0,1),(BN181-BF181)/BF181)</f>
        <v>0</v>
      </c>
      <c r="BW181" s="32" t="n">
        <f aca="false">IF(BG181=0,IF(BO181=0,0,1),(BO181-BG181)/BG181)</f>
        <v>0</v>
      </c>
      <c r="BX181" s="32" t="n">
        <f aca="false">IF(BH181=0,IF(BP181=0,0,1),(BP181-BH181)/BH181)</f>
        <v>1</v>
      </c>
      <c r="BY181" s="32" t="n">
        <f aca="false">IF(BI181=0,IF(BQ181=0,0,1),(BQ181-BI181)/BI181)</f>
        <v>1</v>
      </c>
      <c r="BZ181" s="32" t="n">
        <f aca="false">IF(BJ181=0,IF(BR181=0,0,1),(BR181-BJ181)/BJ181)</f>
        <v>1</v>
      </c>
      <c r="CA181" s="32" t="n">
        <f aca="false">IF(BK181=0,IF(BS181=0,0,1),(BS181-BK181)/BK181)</f>
        <v>1</v>
      </c>
      <c r="CB181" s="32" t="n">
        <f aca="false">IF(BL181=0,IF(BT181=0,0,1),(BT181-BL181)/BL181)</f>
        <v>1</v>
      </c>
      <c r="CC181" s="32" t="n">
        <f aca="false">IF(BM181=0,IF(BU181=0,0,1),(BU181-BM181)/BM181)</f>
        <v>1</v>
      </c>
      <c r="CD181" s="32" t="n">
        <f aca="false">MAX(MAX(BV181:CC181),-MIN(BV181:CC181))</f>
        <v>1</v>
      </c>
      <c r="CE181" s="31" t="str">
        <f aca="false">IF(CI181="","",SUMIFS($CF$7:$CF$696,$A$7:$A$696,CI181,$B$7:$B$696,B181))</f>
        <v/>
      </c>
      <c r="CF181" s="31" t="n">
        <f aca="false">SUM(AU181:BE181)</f>
        <v>277601</v>
      </c>
      <c r="CG181" s="33" t="str">
        <f aca="false">A181&amp;"|"&amp;B181</f>
        <v>2026-06 賞与|職員共済組合</v>
      </c>
      <c r="CH181" s="34" t="str">
        <f aca="false">IFERROR(INDEX(設定!$D$61:$D$106,MATCH(B181,設定!$B$61:$B$106,0)),"Y")</f>
        <v>Y</v>
      </c>
      <c r="CI181" s="34" t="str">
        <f aca="false">IFERROR(INDEX(設定!$D$20:$D$34,MATCH(A181,設定!$A$20:$A$34,0))&amp;"","")</f>
        <v/>
      </c>
    </row>
    <row r="182" customFormat="false" ht="26.85" hidden="true" customHeight="false" outlineLevel="0" collapsed="false">
      <c r="A182" s="22" t="s">
        <v>210</v>
      </c>
      <c r="B182" s="35" t="s">
        <v>198</v>
      </c>
      <c r="C182" s="10" t="str">
        <f aca="false">IF(G182="","未受領",IF(G182="なし","報告なし",IF(AH182="○","起票済",IF(OR(AG182="○",F182="一致",F182="入金不要"),"入金確認済","受領済"))))</f>
        <v>報告なし</v>
      </c>
      <c r="D182" s="10" t="str">
        <f aca="false">IF(OR(G182="",G182="なし"),"―",IF(CH182="N","対象外",IF(AND(I182="",J182="",K182=""),"標報未入力",IF(CD182&gt;=設定!$B$4,"要確認","問題なし"))))</f>
        <v>―</v>
      </c>
      <c r="E182" s="24" t="str">
        <f aca="false">IF(OR(G182="",G182="なし",CE182="",CF182=0),"―",IF(CF182=CE182,"前月同額",IF(CE182=0,"―",IF(ABS(CF182/CE182-1)&gt;=設定!$B$5,"変動大 "&amp;TEXT(CF182/CE182-1,"+0%;-0%"),"〇"))))</f>
        <v>―</v>
      </c>
      <c r="F182" s="10" t="str">
        <f aca="false">IF(OR(G182="",G182="なし"),"―",IF(CF182=0,"入金不要",IF(COUNT(Z182,AB182,AD182,AF182)=0,IF(AG182="○","手動確認","未入金"),IF(AND(N(Z182)=Y182,IF(AA182="",TRUE(),N(AB182)=AA182),IF(AC182="",TRUE(),N(AD182)=AC182),IF(AE182="",TRUE(),N(AF182)=AE182)),"一致","不一致"))))</f>
        <v>―</v>
      </c>
      <c r="G182" s="25" t="s">
        <v>173</v>
      </c>
      <c r="H182" s="26"/>
      <c r="I182" s="27"/>
      <c r="J182" s="27"/>
      <c r="K182" s="27"/>
      <c r="L182" s="27"/>
      <c r="M182" s="27"/>
      <c r="N182" s="27"/>
      <c r="O182" s="27"/>
      <c r="P182" s="27"/>
      <c r="Q182" s="27"/>
      <c r="R182" s="27"/>
      <c r="S182" s="27"/>
      <c r="T182" s="27"/>
      <c r="U182" s="27"/>
      <c r="V182" s="27"/>
      <c r="W182" s="10" t="str">
        <f aca="false">IFERROR(INDEX(設定!$E$61:$E$106,MATCH(B182,設定!$B$61:$B$106,0)),"合算")</f>
        <v>合算</v>
      </c>
      <c r="X182" s="28"/>
      <c r="Y182" s="29" t="str">
        <f aca="false">IF(OR(G182="",G182="なし"),"",IF(W182="合算",CF182,IF(W182="掛金・負担金別",(AU182+AV182+AZ182+BB182+BD182),SUM(AU182:AY182))))</f>
        <v/>
      </c>
      <c r="Z182" s="27"/>
      <c r="AA182" s="29" t="str">
        <f aca="false">IF(OR(G182="",G182="なし"),"",IF(W182="掛金・負担金別",(AW182+AX182+AY182+BA182+BC182+BE182),IF(W182="経理区分別",AZ182+BA182,"")))</f>
        <v/>
      </c>
      <c r="AB182" s="27"/>
      <c r="AC182" s="29" t="str">
        <f aca="false">IF(OR(G182="",G182="なし"),"",IF(W182="経理区分別",BB182+BC182,""))</f>
        <v/>
      </c>
      <c r="AD182" s="27"/>
      <c r="AE182" s="29" t="str">
        <f aca="false">IF(OR(G182="",G182="なし"),"",IF(W182="経理区分別",BD182+BE182,""))</f>
        <v/>
      </c>
      <c r="AF182" s="27"/>
      <c r="AG182" s="26"/>
      <c r="AH182" s="26"/>
      <c r="AI182" s="30"/>
      <c r="AJ182" s="31"/>
      <c r="AK182" s="31"/>
      <c r="AL182" s="31"/>
      <c r="AM182" s="31"/>
      <c r="AN182" s="31"/>
      <c r="AO182" s="31"/>
      <c r="AP182" s="31"/>
      <c r="AQ182" s="31"/>
      <c r="AR182" s="31"/>
      <c r="AS182" s="31"/>
      <c r="AT182" s="31"/>
      <c r="AU182" s="31" t="n">
        <f aca="false">IF($G182="",AJ182,L182)</f>
        <v>0</v>
      </c>
      <c r="AV182" s="31" t="n">
        <f aca="false">IF($G182="",AK182,M182)</f>
        <v>0</v>
      </c>
      <c r="AW182" s="31" t="n">
        <f aca="false">IF($G182="",AL182,N182)</f>
        <v>0</v>
      </c>
      <c r="AX182" s="31" t="n">
        <f aca="false">IF($G182="",AM182,O182)</f>
        <v>0</v>
      </c>
      <c r="AY182" s="31" t="n">
        <f aca="false">IF($G182="",AN182,P182)</f>
        <v>0</v>
      </c>
      <c r="AZ182" s="31" t="n">
        <f aca="false">IF($G182="",AO182,Q182)</f>
        <v>0</v>
      </c>
      <c r="BA182" s="31" t="n">
        <f aca="false">IF($G182="",AP182,R182)</f>
        <v>0</v>
      </c>
      <c r="BB182" s="31" t="n">
        <f aca="false">IF($G182="",AQ182,S182)</f>
        <v>0</v>
      </c>
      <c r="BC182" s="31" t="n">
        <f aca="false">IF($G182="",AR182,T182)</f>
        <v>0</v>
      </c>
      <c r="BD182" s="31" t="n">
        <f aca="false">IF($G182="",AS182,U182)</f>
        <v>0</v>
      </c>
      <c r="BE182" s="31" t="n">
        <f aca="false">IF($G182="",AT182,V182)</f>
        <v>0</v>
      </c>
      <c r="BF182" s="31" t="n">
        <f aca="false">ROUNDDOWN(I182*設定!$B$10/1000,0)+ROUNDDOWN(I182*設定!$B$11/1000,0)</f>
        <v>0</v>
      </c>
      <c r="BG182" s="31" t="n">
        <f aca="false">ROUNDDOWN(I182*設定!$C$10/1000,0)+ROUNDDOWN(I182*設定!$C$11/1000,0)+ROUNDDOWN(I182*設定!$C$12/1000,0)</f>
        <v>0</v>
      </c>
      <c r="BH182" s="31" t="n">
        <f aca="false">ROUNDDOWN(J182*設定!$B$13/1000,0)</f>
        <v>0</v>
      </c>
      <c r="BI182" s="31" t="n">
        <f aca="false">ROUNDDOWN(J182*設定!$C$13/1000,0)</f>
        <v>0</v>
      </c>
      <c r="BJ182" s="31" t="n">
        <f aca="false">ROUNDDOWN(K182*設定!$B$14/1000,0)</f>
        <v>0</v>
      </c>
      <c r="BK182" s="31" t="n">
        <f aca="false">ROUNDDOWN(K182*設定!$C$14/1000,0)</f>
        <v>0</v>
      </c>
      <c r="BL182" s="31" t="n">
        <f aca="false">ROUNDDOWN(J182*設定!$B$15/1000,0)</f>
        <v>0</v>
      </c>
      <c r="BM182" s="31" t="n">
        <f aca="false">ROUNDDOWN(J182*設定!$C$15/1000,0)</f>
        <v>0</v>
      </c>
      <c r="BN182" s="31" t="n">
        <f aca="false">L182+M182</f>
        <v>0</v>
      </c>
      <c r="BO182" s="31" t="n">
        <f aca="false">N182+O182+P182</f>
        <v>0</v>
      </c>
      <c r="BP182" s="31" t="n">
        <f aca="false">Q182</f>
        <v>0</v>
      </c>
      <c r="BQ182" s="31" t="n">
        <f aca="false">R182</f>
        <v>0</v>
      </c>
      <c r="BR182" s="31" t="n">
        <f aca="false">S182</f>
        <v>0</v>
      </c>
      <c r="BS182" s="31" t="n">
        <f aca="false">T182</f>
        <v>0</v>
      </c>
      <c r="BT182" s="31" t="n">
        <f aca="false">U182</f>
        <v>0</v>
      </c>
      <c r="BU182" s="31" t="n">
        <f aca="false">V182</f>
        <v>0</v>
      </c>
      <c r="BV182" s="32" t="n">
        <f aca="false">IF(BF182=0,IF(BN182=0,0,1),(BN182-BF182)/BF182)</f>
        <v>0</v>
      </c>
      <c r="BW182" s="32" t="n">
        <f aca="false">IF(BG182=0,IF(BO182=0,0,1),(BO182-BG182)/BG182)</f>
        <v>0</v>
      </c>
      <c r="BX182" s="32" t="n">
        <f aca="false">IF(BH182=0,IF(BP182=0,0,1),(BP182-BH182)/BH182)</f>
        <v>0</v>
      </c>
      <c r="BY182" s="32" t="n">
        <f aca="false">IF(BI182=0,IF(BQ182=0,0,1),(BQ182-BI182)/BI182)</f>
        <v>0</v>
      </c>
      <c r="BZ182" s="32" t="n">
        <f aca="false">IF(BJ182=0,IF(BR182=0,0,1),(BR182-BJ182)/BJ182)</f>
        <v>0</v>
      </c>
      <c r="CA182" s="32" t="n">
        <f aca="false">IF(BK182=0,IF(BS182=0,0,1),(BS182-BK182)/BK182)</f>
        <v>0</v>
      </c>
      <c r="CB182" s="32" t="n">
        <f aca="false">IF(BL182=0,IF(BT182=0,0,1),(BT182-BL182)/BL182)</f>
        <v>0</v>
      </c>
      <c r="CC182" s="32" t="n">
        <f aca="false">IF(BM182=0,IF(BU182=0,0,1),(BU182-BM182)/BM182)</f>
        <v>0</v>
      </c>
      <c r="CD182" s="32" t="n">
        <f aca="false">MAX(MAX(BV182:CC182),-MIN(BV182:CC182))</f>
        <v>-0</v>
      </c>
      <c r="CE182" s="31" t="str">
        <f aca="false">IF(CI182="","",SUMIFS($CF$7:$CF$696,$A$7:$A$696,CI182,$B$7:$B$696,B182))</f>
        <v/>
      </c>
      <c r="CF182" s="31" t="n">
        <f aca="false">SUM(AU182:BE182)</f>
        <v>0</v>
      </c>
      <c r="CG182" s="36" t="str">
        <f aca="false">A182&amp;"|"&amp;B182</f>
        <v>2026-06 賞与|地方公共団体
情報システム機構</v>
      </c>
      <c r="CH182" s="34" t="str">
        <f aca="false">IFERROR(INDEX(設定!$D$61:$D$106,MATCH(B182,設定!$B$61:$B$106,0)),"Y")</f>
        <v>Y</v>
      </c>
      <c r="CI182" s="34" t="str">
        <f aca="false">IFERROR(INDEX(設定!$D$20:$D$34,MATCH(A182,設定!$A$20:$A$34,0))&amp;"","")</f>
        <v/>
      </c>
    </row>
    <row r="183" customFormat="false" ht="15" hidden="true" customHeight="false" outlineLevel="0" collapsed="false">
      <c r="A183" s="22" t="s">
        <v>210</v>
      </c>
      <c r="B183" s="23" t="s">
        <v>199</v>
      </c>
      <c r="C183" s="10" t="str">
        <f aca="false">IF(G183="","未受領",IF(G183="なし","報告なし",IF(AH183="○","起票済",IF(OR(AG183="○",F183="一致",F183="入金不要"),"入金確認済","受領済"))))</f>
        <v>入金確認済</v>
      </c>
      <c r="D183" s="10" t="str">
        <f aca="false">IF(OR(G183="",G183="なし"),"―",IF(CH183="N","対象外",IF(AND(I183="",J183="",K183=""),"標報未入力",IF(CD183&gt;=設定!$B$4,"要確認","問題なし"))))</f>
        <v>標報未入力</v>
      </c>
      <c r="E183" s="24" t="str">
        <f aca="false">IF(OR(G183="",G183="なし",CE183="",CF183=0),"―",IF(CF183=CE183,"前月同額",IF(CE183=0,"―",IF(ABS(CF183/CE183-1)&gt;=設定!$B$5,"変動大 "&amp;TEXT(CF183/CE183-1,"+0%;-0%"),"〇"))))</f>
        <v>―</v>
      </c>
      <c r="F183" s="10" t="str">
        <f aca="false">IF(OR(G183="",G183="なし"),"―",IF(CF183=0,"入金不要",IF(COUNT(Z183,AB183,AD183,AF183)=0,IF(AG183="○","手動確認","未入金"),IF(AND(N(Z183)=Y183,IF(AA183="",TRUE(),N(AB183)=AA183),IF(AC183="",TRUE(),N(AD183)=AC183),IF(AE183="",TRUE(),N(AF183)=AE183)),"一致","不一致"))))</f>
        <v>手動確認</v>
      </c>
      <c r="G183" s="25" t="s">
        <v>159</v>
      </c>
      <c r="H183" s="26"/>
      <c r="I183" s="27"/>
      <c r="J183" s="27"/>
      <c r="K183" s="27"/>
      <c r="L183" s="27" t="n">
        <v>274500</v>
      </c>
      <c r="M183" s="27" t="n">
        <v>22500</v>
      </c>
      <c r="N183" s="27" t="n">
        <v>274500</v>
      </c>
      <c r="O183" s="27" t="n">
        <v>22500</v>
      </c>
      <c r="P183" s="27" t="n">
        <v>260</v>
      </c>
      <c r="Q183" s="27" t="n">
        <v>207958</v>
      </c>
      <c r="R183" s="27" t="n">
        <v>208159</v>
      </c>
      <c r="S183" s="27" t="n">
        <v>31678</v>
      </c>
      <c r="T183" s="27" t="n">
        <v>31679</v>
      </c>
      <c r="U183" s="27" t="n">
        <v>4610</v>
      </c>
      <c r="V183" s="27" t="n">
        <v>4611</v>
      </c>
      <c r="W183" s="10" t="str">
        <f aca="false">IFERROR(INDEX(設定!$E$61:$E$106,MATCH(B183,設定!$B$61:$B$106,0)),"合算")</f>
        <v>合算</v>
      </c>
      <c r="X183" s="28"/>
      <c r="Y183" s="29" t="n">
        <f aca="false">IF(OR(G183="",G183="なし"),"",IF(W183="合算",CF183,IF(W183="掛金・負担金別",(AU183+AV183+AZ183+BB183+BD183),SUM(AU183:AY183))))</f>
        <v>1082955</v>
      </c>
      <c r="Z183" s="27"/>
      <c r="AA183" s="29" t="str">
        <f aca="false">IF(OR(G183="",G183="なし"),"",IF(W183="掛金・負担金別",(AW183+AX183+AY183+BA183+BC183+BE183),IF(W183="経理区分別",AZ183+BA183,"")))</f>
        <v/>
      </c>
      <c r="AB183" s="27"/>
      <c r="AC183" s="29" t="str">
        <f aca="false">IF(OR(G183="",G183="なし"),"",IF(W183="経理区分別",BB183+BC183,""))</f>
        <v/>
      </c>
      <c r="AD183" s="27"/>
      <c r="AE183" s="29" t="str">
        <f aca="false">IF(OR(G183="",G183="なし"),"",IF(W183="経理区分別",BD183+BE183,""))</f>
        <v/>
      </c>
      <c r="AF183" s="27"/>
      <c r="AG183" s="26" t="s">
        <v>160</v>
      </c>
      <c r="AH183" s="26"/>
      <c r="AI183" s="30"/>
      <c r="AJ183" s="31"/>
      <c r="AK183" s="31"/>
      <c r="AL183" s="31"/>
      <c r="AM183" s="31"/>
      <c r="AN183" s="31"/>
      <c r="AO183" s="31"/>
      <c r="AP183" s="31"/>
      <c r="AQ183" s="31"/>
      <c r="AR183" s="31"/>
      <c r="AS183" s="31"/>
      <c r="AT183" s="31"/>
      <c r="AU183" s="31" t="n">
        <f aca="false">IF($G183="",AJ183,L183)</f>
        <v>274500</v>
      </c>
      <c r="AV183" s="31" t="n">
        <f aca="false">IF($G183="",AK183,M183)</f>
        <v>22500</v>
      </c>
      <c r="AW183" s="31" t="n">
        <f aca="false">IF($G183="",AL183,N183)</f>
        <v>274500</v>
      </c>
      <c r="AX183" s="31" t="n">
        <f aca="false">IF($G183="",AM183,O183)</f>
        <v>22500</v>
      </c>
      <c r="AY183" s="31" t="n">
        <f aca="false">IF($G183="",AN183,P183)</f>
        <v>260</v>
      </c>
      <c r="AZ183" s="31" t="n">
        <f aca="false">IF($G183="",AO183,Q183)</f>
        <v>207958</v>
      </c>
      <c r="BA183" s="31" t="n">
        <f aca="false">IF($G183="",AP183,R183)</f>
        <v>208159</v>
      </c>
      <c r="BB183" s="31" t="n">
        <f aca="false">IF($G183="",AQ183,S183)</f>
        <v>31678</v>
      </c>
      <c r="BC183" s="31" t="n">
        <f aca="false">IF($G183="",AR183,T183)</f>
        <v>31679</v>
      </c>
      <c r="BD183" s="31" t="n">
        <f aca="false">IF($G183="",AS183,U183)</f>
        <v>4610</v>
      </c>
      <c r="BE183" s="31" t="n">
        <f aca="false">IF($G183="",AT183,V183)</f>
        <v>4611</v>
      </c>
      <c r="BF183" s="31" t="n">
        <f aca="false">ROUNDDOWN(I183*設定!$B$10/1000,0)+ROUNDDOWN(I183*設定!$B$11/1000,0)</f>
        <v>0</v>
      </c>
      <c r="BG183" s="31" t="n">
        <f aca="false">ROUNDDOWN(I183*設定!$C$10/1000,0)+ROUNDDOWN(I183*設定!$C$11/1000,0)+ROUNDDOWN(I183*設定!$C$12/1000,0)</f>
        <v>0</v>
      </c>
      <c r="BH183" s="31" t="n">
        <f aca="false">ROUNDDOWN(J183*設定!$B$13/1000,0)</f>
        <v>0</v>
      </c>
      <c r="BI183" s="31" t="n">
        <f aca="false">ROUNDDOWN(J183*設定!$C$13/1000,0)</f>
        <v>0</v>
      </c>
      <c r="BJ183" s="31" t="n">
        <f aca="false">ROUNDDOWN(K183*設定!$B$14/1000,0)</f>
        <v>0</v>
      </c>
      <c r="BK183" s="31" t="n">
        <f aca="false">ROUNDDOWN(K183*設定!$C$14/1000,0)</f>
        <v>0</v>
      </c>
      <c r="BL183" s="31" t="n">
        <f aca="false">ROUNDDOWN(J183*設定!$B$15/1000,0)</f>
        <v>0</v>
      </c>
      <c r="BM183" s="31" t="n">
        <f aca="false">ROUNDDOWN(J183*設定!$C$15/1000,0)</f>
        <v>0</v>
      </c>
      <c r="BN183" s="31" t="n">
        <f aca="false">L183+M183</f>
        <v>297000</v>
      </c>
      <c r="BO183" s="31" t="n">
        <f aca="false">N183+O183+P183</f>
        <v>297260</v>
      </c>
      <c r="BP183" s="31" t="n">
        <f aca="false">Q183</f>
        <v>207958</v>
      </c>
      <c r="BQ183" s="31" t="n">
        <f aca="false">R183</f>
        <v>208159</v>
      </c>
      <c r="BR183" s="31" t="n">
        <f aca="false">S183</f>
        <v>31678</v>
      </c>
      <c r="BS183" s="31" t="n">
        <f aca="false">T183</f>
        <v>31679</v>
      </c>
      <c r="BT183" s="31" t="n">
        <f aca="false">U183</f>
        <v>4610</v>
      </c>
      <c r="BU183" s="31" t="n">
        <f aca="false">V183</f>
        <v>4611</v>
      </c>
      <c r="BV183" s="32" t="n">
        <f aca="false">IF(BF183=0,IF(BN183=0,0,1),(BN183-BF183)/BF183)</f>
        <v>1</v>
      </c>
      <c r="BW183" s="32" t="n">
        <f aca="false">IF(BG183=0,IF(BO183=0,0,1),(BO183-BG183)/BG183)</f>
        <v>1</v>
      </c>
      <c r="BX183" s="32" t="n">
        <f aca="false">IF(BH183=0,IF(BP183=0,0,1),(BP183-BH183)/BH183)</f>
        <v>1</v>
      </c>
      <c r="BY183" s="32" t="n">
        <f aca="false">IF(BI183=0,IF(BQ183=0,0,1),(BQ183-BI183)/BI183)</f>
        <v>1</v>
      </c>
      <c r="BZ183" s="32" t="n">
        <f aca="false">IF(BJ183=0,IF(BR183=0,0,1),(BR183-BJ183)/BJ183)</f>
        <v>1</v>
      </c>
      <c r="CA183" s="32" t="n">
        <f aca="false">IF(BK183=0,IF(BS183=0,0,1),(BS183-BK183)/BK183)</f>
        <v>1</v>
      </c>
      <c r="CB183" s="32" t="n">
        <f aca="false">IF(BL183=0,IF(BT183=0,0,1),(BT183-BL183)/BL183)</f>
        <v>1</v>
      </c>
      <c r="CC183" s="32" t="n">
        <f aca="false">IF(BM183=0,IF(BU183=0,0,1),(BU183-BM183)/BM183)</f>
        <v>1</v>
      </c>
      <c r="CD183" s="32" t="n">
        <f aca="false">MAX(MAX(BV183:CC183),-MIN(BV183:CC183))</f>
        <v>1</v>
      </c>
      <c r="CE183" s="31" t="str">
        <f aca="false">IF(CI183="","",SUMIFS($CF$7:$CF$696,$A$7:$A$696,CI183,$B$7:$B$696,B183))</f>
        <v/>
      </c>
      <c r="CF183" s="31" t="n">
        <f aca="false">SUM(AU183:BE183)</f>
        <v>1082955</v>
      </c>
      <c r="CG183" s="33" t="str">
        <f aca="false">A183&amp;"|"&amp;B183</f>
        <v>2026-06 賞与|全国市長会</v>
      </c>
      <c r="CH183" s="34" t="str">
        <f aca="false">IFERROR(INDEX(設定!$D$61:$D$106,MATCH(B183,設定!$B$61:$B$106,0)),"Y")</f>
        <v>Y</v>
      </c>
      <c r="CI183" s="34" t="str">
        <f aca="false">IFERROR(INDEX(設定!$D$20:$D$34,MATCH(A183,設定!$A$20:$A$34,0))&amp;"","")</f>
        <v/>
      </c>
    </row>
    <row r="184" customFormat="false" ht="15" hidden="true" customHeight="false" outlineLevel="0" collapsed="false">
      <c r="A184" s="22" t="s">
        <v>210</v>
      </c>
      <c r="B184" s="23" t="s">
        <v>200</v>
      </c>
      <c r="C184" s="10" t="str">
        <f aca="false">IF(G184="","未受領",IF(G184="なし","報告なし",IF(AH184="○","起票済",IF(OR(AG184="○",F184="一致",F184="入金不要"),"入金確認済","受領済"))))</f>
        <v>入金確認済</v>
      </c>
      <c r="D184" s="10" t="str">
        <f aca="false">IF(OR(G184="",G184="なし"),"―",IF(CH184="N","対象外",IF(AND(I184="",J184="",K184=""),"標報未入力",IF(CD184&gt;=設定!$B$4,"要確認","問題なし"))))</f>
        <v>標報未入力</v>
      </c>
      <c r="E184" s="24" t="str">
        <f aca="false">IF(OR(G184="",G184="なし",CE184="",CF184=0),"―",IF(CF184=CE184,"前月同額",IF(CE184=0,"―",IF(ABS(CF184/CE184-1)&gt;=設定!$B$5,"変動大 "&amp;TEXT(CF184/CE184-1,"+0%;-0%"),"〇"))))</f>
        <v>―</v>
      </c>
      <c r="F184" s="10" t="str">
        <f aca="false">IF(OR(G184="",G184="なし"),"―",IF(CF184=0,"入金不要",IF(COUNT(Z184,AB184,AD184,AF184)=0,IF(AG184="○","手動確認","未入金"),IF(AND(N(Z184)=Y184,IF(AA184="",TRUE(),N(AB184)=AA184),IF(AC184="",TRUE(),N(AD184)=AC184),IF(AE184="",TRUE(),N(AF184)=AE184)),"一致","不一致"))))</f>
        <v>手動確認</v>
      </c>
      <c r="G184" s="25" t="s">
        <v>159</v>
      </c>
      <c r="H184" s="26"/>
      <c r="I184" s="27"/>
      <c r="J184" s="27"/>
      <c r="K184" s="27"/>
      <c r="L184" s="27" t="n">
        <v>305244</v>
      </c>
      <c r="M184" s="27" t="n">
        <v>25020</v>
      </c>
      <c r="N184" s="27" t="n">
        <v>305244</v>
      </c>
      <c r="O184" s="27" t="n">
        <v>25020</v>
      </c>
      <c r="P184" s="27" t="n">
        <v>289</v>
      </c>
      <c r="Q184" s="27"/>
      <c r="R184" s="27"/>
      <c r="S184" s="27"/>
      <c r="T184" s="27"/>
      <c r="U184" s="27"/>
      <c r="V184" s="27"/>
      <c r="W184" s="10" t="str">
        <f aca="false">IFERROR(INDEX(設定!$E$61:$E$106,MATCH(B184,設定!$B$61:$B$106,0)),"合算")</f>
        <v>合算</v>
      </c>
      <c r="X184" s="28"/>
      <c r="Y184" s="29" t="n">
        <f aca="false">IF(OR(G184="",G184="なし"),"",IF(W184="合算",CF184,IF(W184="掛金・負担金別",(AU184+AV184+AZ184+BB184+BD184),SUM(AU184:AY184))))</f>
        <v>660817</v>
      </c>
      <c r="Z184" s="27"/>
      <c r="AA184" s="29" t="str">
        <f aca="false">IF(OR(G184="",G184="なし"),"",IF(W184="掛金・負担金別",(AW184+AX184+AY184+BA184+BC184+BE184),IF(W184="経理区分別",AZ184+BA184,"")))</f>
        <v/>
      </c>
      <c r="AB184" s="27"/>
      <c r="AC184" s="29" t="str">
        <f aca="false">IF(OR(G184="",G184="なし"),"",IF(W184="経理区分別",BB184+BC184,""))</f>
        <v/>
      </c>
      <c r="AD184" s="27"/>
      <c r="AE184" s="29" t="str">
        <f aca="false">IF(OR(G184="",G184="なし"),"",IF(W184="経理区分別",BD184+BE184,""))</f>
        <v/>
      </c>
      <c r="AF184" s="27"/>
      <c r="AG184" s="26" t="s">
        <v>160</v>
      </c>
      <c r="AH184" s="26"/>
      <c r="AI184" s="30"/>
      <c r="AJ184" s="31"/>
      <c r="AK184" s="31"/>
      <c r="AL184" s="31"/>
      <c r="AM184" s="31"/>
      <c r="AN184" s="31"/>
      <c r="AO184" s="31"/>
      <c r="AP184" s="31"/>
      <c r="AQ184" s="31"/>
      <c r="AR184" s="31"/>
      <c r="AS184" s="31"/>
      <c r="AT184" s="31"/>
      <c r="AU184" s="31" t="n">
        <f aca="false">IF($G184="",AJ184,L184)</f>
        <v>305244</v>
      </c>
      <c r="AV184" s="31" t="n">
        <f aca="false">IF($G184="",AK184,M184)</f>
        <v>25020</v>
      </c>
      <c r="AW184" s="31" t="n">
        <f aca="false">IF($G184="",AL184,N184)</f>
        <v>305244</v>
      </c>
      <c r="AX184" s="31" t="n">
        <f aca="false">IF($G184="",AM184,O184)</f>
        <v>25020</v>
      </c>
      <c r="AY184" s="31" t="n">
        <f aca="false">IF($G184="",AN184,P184)</f>
        <v>289</v>
      </c>
      <c r="AZ184" s="31" t="n">
        <f aca="false">IF($G184="",AO184,Q184)</f>
        <v>0</v>
      </c>
      <c r="BA184" s="31" t="n">
        <f aca="false">IF($G184="",AP184,R184)</f>
        <v>0</v>
      </c>
      <c r="BB184" s="31" t="n">
        <f aca="false">IF($G184="",AQ184,S184)</f>
        <v>0</v>
      </c>
      <c r="BC184" s="31" t="n">
        <f aca="false">IF($G184="",AR184,T184)</f>
        <v>0</v>
      </c>
      <c r="BD184" s="31" t="n">
        <f aca="false">IF($G184="",AS184,U184)</f>
        <v>0</v>
      </c>
      <c r="BE184" s="31" t="n">
        <f aca="false">IF($G184="",AT184,V184)</f>
        <v>0</v>
      </c>
      <c r="BF184" s="31" t="n">
        <f aca="false">ROUNDDOWN(I184*設定!$B$10/1000,0)+ROUNDDOWN(I184*設定!$B$11/1000,0)</f>
        <v>0</v>
      </c>
      <c r="BG184" s="31" t="n">
        <f aca="false">ROUNDDOWN(I184*設定!$C$10/1000,0)+ROUNDDOWN(I184*設定!$C$11/1000,0)+ROUNDDOWN(I184*設定!$C$12/1000,0)</f>
        <v>0</v>
      </c>
      <c r="BH184" s="31" t="n">
        <f aca="false">ROUNDDOWN(J184*設定!$B$13/1000,0)</f>
        <v>0</v>
      </c>
      <c r="BI184" s="31" t="n">
        <f aca="false">ROUNDDOWN(J184*設定!$C$13/1000,0)</f>
        <v>0</v>
      </c>
      <c r="BJ184" s="31" t="n">
        <f aca="false">ROUNDDOWN(K184*設定!$B$14/1000,0)</f>
        <v>0</v>
      </c>
      <c r="BK184" s="31" t="n">
        <f aca="false">ROUNDDOWN(K184*設定!$C$14/1000,0)</f>
        <v>0</v>
      </c>
      <c r="BL184" s="31" t="n">
        <f aca="false">ROUNDDOWN(J184*設定!$B$15/1000,0)</f>
        <v>0</v>
      </c>
      <c r="BM184" s="31" t="n">
        <f aca="false">ROUNDDOWN(J184*設定!$C$15/1000,0)</f>
        <v>0</v>
      </c>
      <c r="BN184" s="31" t="n">
        <f aca="false">L184+M184</f>
        <v>330264</v>
      </c>
      <c r="BO184" s="31" t="n">
        <f aca="false">N184+O184+P184</f>
        <v>330553</v>
      </c>
      <c r="BP184" s="31" t="n">
        <f aca="false">Q184</f>
        <v>0</v>
      </c>
      <c r="BQ184" s="31" t="n">
        <f aca="false">R184</f>
        <v>0</v>
      </c>
      <c r="BR184" s="31" t="n">
        <f aca="false">S184</f>
        <v>0</v>
      </c>
      <c r="BS184" s="31" t="n">
        <f aca="false">T184</f>
        <v>0</v>
      </c>
      <c r="BT184" s="31" t="n">
        <f aca="false">U184</f>
        <v>0</v>
      </c>
      <c r="BU184" s="31" t="n">
        <f aca="false">V184</f>
        <v>0</v>
      </c>
      <c r="BV184" s="32" t="n">
        <f aca="false">IF(BF184=0,IF(BN184=0,0,1),(BN184-BF184)/BF184)</f>
        <v>1</v>
      </c>
      <c r="BW184" s="32" t="n">
        <f aca="false">IF(BG184=0,IF(BO184=0,0,1),(BO184-BG184)/BG184)</f>
        <v>1</v>
      </c>
      <c r="BX184" s="32" t="n">
        <f aca="false">IF(BH184=0,IF(BP184=0,0,1),(BP184-BH184)/BH184)</f>
        <v>0</v>
      </c>
      <c r="BY184" s="32" t="n">
        <f aca="false">IF(BI184=0,IF(BQ184=0,0,1),(BQ184-BI184)/BI184)</f>
        <v>0</v>
      </c>
      <c r="BZ184" s="32" t="n">
        <f aca="false">IF(BJ184=0,IF(BR184=0,0,1),(BR184-BJ184)/BJ184)</f>
        <v>0</v>
      </c>
      <c r="CA184" s="32" t="n">
        <f aca="false">IF(BK184=0,IF(BS184=0,0,1),(BS184-BK184)/BK184)</f>
        <v>0</v>
      </c>
      <c r="CB184" s="32" t="n">
        <f aca="false">IF(BL184=0,IF(BT184=0,0,1),(BT184-BL184)/BL184)</f>
        <v>0</v>
      </c>
      <c r="CC184" s="32" t="n">
        <f aca="false">IF(BM184=0,IF(BU184=0,0,1),(BU184-BM184)/BM184)</f>
        <v>0</v>
      </c>
      <c r="CD184" s="32" t="n">
        <f aca="false">MAX(MAX(BV184:CC184),-MIN(BV184:CC184))</f>
        <v>1</v>
      </c>
      <c r="CE184" s="31" t="str">
        <f aca="false">IF(CI184="","",SUMIFS($CF$7:$CF$696,$A$7:$A$696,CI184,$B$7:$B$696,B184))</f>
        <v/>
      </c>
      <c r="CF184" s="31" t="n">
        <f aca="false">SUM(AU184:BE184)</f>
        <v>660817</v>
      </c>
      <c r="CG184" s="33" t="str">
        <f aca="false">A184&amp;"|"&amp;B184</f>
        <v>2026-06 賞与|高速交通（株）</v>
      </c>
      <c r="CH184" s="34" t="str">
        <f aca="false">IFERROR(INDEX(設定!$D$61:$D$106,MATCH(B184,設定!$B$61:$B$106,0)),"Y")</f>
        <v>Y</v>
      </c>
      <c r="CI184" s="34" t="str">
        <f aca="false">IFERROR(INDEX(設定!$D$20:$D$34,MATCH(A184,設定!$A$20:$A$34,0))&amp;"","")</f>
        <v/>
      </c>
    </row>
    <row r="185" customFormat="false" ht="15" hidden="true" customHeight="false" outlineLevel="0" collapsed="false">
      <c r="A185" s="22" t="s">
        <v>210</v>
      </c>
      <c r="B185" s="23" t="s">
        <v>201</v>
      </c>
      <c r="C185" s="10" t="str">
        <f aca="false">IF(G185="","未受領",IF(G185="なし","報告なし",IF(AH185="○","起票済",IF(OR(AG185="○",F185="一致",F185="入金不要"),"入金確認済","受領済"))))</f>
        <v>入金確認済</v>
      </c>
      <c r="D185" s="10" t="str">
        <f aca="false">IF(OR(G185="",G185="なし"),"―",IF(CH185="N","対象外",IF(AND(I185="",J185="",K185=""),"標報未入力",IF(CD185&gt;=設定!$B$4,"要確認","問題なし"))))</f>
        <v>標報未入力</v>
      </c>
      <c r="E185" s="24" t="str">
        <f aca="false">IF(OR(G185="",G185="なし",CE185="",CF185=0),"―",IF(CF185=CE185,"前月同額",IF(CE185=0,"―",IF(ABS(CF185/CE185-1)&gt;=設定!$B$5,"変動大 "&amp;TEXT(CF185/CE185-1,"+0%;-0%"),"〇"))))</f>
        <v>―</v>
      </c>
      <c r="F185" s="10" t="str">
        <f aca="false">IF(OR(G185="",G185="なし"),"―",IF(CF185=0,"入金不要",IF(COUNT(Z185,AB185,AD185,AF185)=0,IF(AG185="○","手動確認","未入金"),IF(AND(N(Z185)=Y185,IF(AA185="",TRUE(),N(AB185)=AA185),IF(AC185="",TRUE(),N(AD185)=AC185),IF(AE185="",TRUE(),N(AF185)=AE185)),"一致","不一致"))))</f>
        <v>手動確認</v>
      </c>
      <c r="G185" s="25" t="s">
        <v>159</v>
      </c>
      <c r="H185" s="26"/>
      <c r="I185" s="27"/>
      <c r="J185" s="27"/>
      <c r="K185" s="27"/>
      <c r="L185" s="27" t="n">
        <v>120871</v>
      </c>
      <c r="M185" s="27" t="n">
        <v>9907</v>
      </c>
      <c r="N185" s="27" t="n">
        <v>120872</v>
      </c>
      <c r="O185" s="27" t="n">
        <v>9907</v>
      </c>
      <c r="P185" s="27" t="n">
        <v>114</v>
      </c>
      <c r="Q185" s="27"/>
      <c r="R185" s="27"/>
      <c r="S185" s="27"/>
      <c r="T185" s="27"/>
      <c r="U185" s="27"/>
      <c r="V185" s="27"/>
      <c r="W185" s="10" t="str">
        <f aca="false">IFERROR(INDEX(設定!$E$61:$E$106,MATCH(B185,設定!$B$61:$B$106,0)),"合算")</f>
        <v>合算</v>
      </c>
      <c r="X185" s="28"/>
      <c r="Y185" s="29" t="n">
        <f aca="false">IF(OR(G185="",G185="なし"),"",IF(W185="合算",CF185,IF(W185="掛金・負担金別",(AU185+AV185+AZ185+BB185+BD185),SUM(AU185:AY185))))</f>
        <v>261671</v>
      </c>
      <c r="Z185" s="27"/>
      <c r="AA185" s="29" t="str">
        <f aca="false">IF(OR(G185="",G185="なし"),"",IF(W185="掛金・負担金別",(AW185+AX185+AY185+BA185+BC185+BE185),IF(W185="経理区分別",AZ185+BA185,"")))</f>
        <v/>
      </c>
      <c r="AB185" s="27"/>
      <c r="AC185" s="29" t="str">
        <f aca="false">IF(OR(G185="",G185="なし"),"",IF(W185="経理区分別",BB185+BC185,""))</f>
        <v/>
      </c>
      <c r="AD185" s="27"/>
      <c r="AE185" s="29" t="str">
        <f aca="false">IF(OR(G185="",G185="なし"),"",IF(W185="経理区分別",BD185+BE185,""))</f>
        <v/>
      </c>
      <c r="AF185" s="27"/>
      <c r="AG185" s="26" t="s">
        <v>160</v>
      </c>
      <c r="AH185" s="26"/>
      <c r="AI185" s="30"/>
      <c r="AJ185" s="31"/>
      <c r="AK185" s="31"/>
      <c r="AL185" s="31"/>
      <c r="AM185" s="31"/>
      <c r="AN185" s="31"/>
      <c r="AO185" s="31"/>
      <c r="AP185" s="31"/>
      <c r="AQ185" s="31"/>
      <c r="AR185" s="31"/>
      <c r="AS185" s="31"/>
      <c r="AT185" s="31"/>
      <c r="AU185" s="31" t="n">
        <f aca="false">IF($G185="",AJ185,L185)</f>
        <v>120871</v>
      </c>
      <c r="AV185" s="31" t="n">
        <f aca="false">IF($G185="",AK185,M185)</f>
        <v>9907</v>
      </c>
      <c r="AW185" s="31" t="n">
        <f aca="false">IF($G185="",AL185,N185)</f>
        <v>120872</v>
      </c>
      <c r="AX185" s="31" t="n">
        <f aca="false">IF($G185="",AM185,O185)</f>
        <v>9907</v>
      </c>
      <c r="AY185" s="31" t="n">
        <f aca="false">IF($G185="",AN185,P185)</f>
        <v>114</v>
      </c>
      <c r="AZ185" s="31" t="n">
        <f aca="false">IF($G185="",AO185,Q185)</f>
        <v>0</v>
      </c>
      <c r="BA185" s="31" t="n">
        <f aca="false">IF($G185="",AP185,R185)</f>
        <v>0</v>
      </c>
      <c r="BB185" s="31" t="n">
        <f aca="false">IF($G185="",AQ185,S185)</f>
        <v>0</v>
      </c>
      <c r="BC185" s="31" t="n">
        <f aca="false">IF($G185="",AR185,T185)</f>
        <v>0</v>
      </c>
      <c r="BD185" s="31" t="n">
        <f aca="false">IF($G185="",AS185,U185)</f>
        <v>0</v>
      </c>
      <c r="BE185" s="31" t="n">
        <f aca="false">IF($G185="",AT185,V185)</f>
        <v>0</v>
      </c>
      <c r="BF185" s="31" t="n">
        <f aca="false">ROUNDDOWN(I185*設定!$B$10/1000,0)+ROUNDDOWN(I185*設定!$B$11/1000,0)</f>
        <v>0</v>
      </c>
      <c r="BG185" s="31" t="n">
        <f aca="false">ROUNDDOWN(I185*設定!$C$10/1000,0)+ROUNDDOWN(I185*設定!$C$11/1000,0)+ROUNDDOWN(I185*設定!$C$12/1000,0)</f>
        <v>0</v>
      </c>
      <c r="BH185" s="31" t="n">
        <f aca="false">ROUNDDOWN(J185*設定!$B$13/1000,0)</f>
        <v>0</v>
      </c>
      <c r="BI185" s="31" t="n">
        <f aca="false">ROUNDDOWN(J185*設定!$C$13/1000,0)</f>
        <v>0</v>
      </c>
      <c r="BJ185" s="31" t="n">
        <f aca="false">ROUNDDOWN(K185*設定!$B$14/1000,0)</f>
        <v>0</v>
      </c>
      <c r="BK185" s="31" t="n">
        <f aca="false">ROUNDDOWN(K185*設定!$C$14/1000,0)</f>
        <v>0</v>
      </c>
      <c r="BL185" s="31" t="n">
        <f aca="false">ROUNDDOWN(J185*設定!$B$15/1000,0)</f>
        <v>0</v>
      </c>
      <c r="BM185" s="31" t="n">
        <f aca="false">ROUNDDOWN(J185*設定!$C$15/1000,0)</f>
        <v>0</v>
      </c>
      <c r="BN185" s="31" t="n">
        <f aca="false">L185+M185</f>
        <v>130778</v>
      </c>
      <c r="BO185" s="31" t="n">
        <f aca="false">N185+O185+P185</f>
        <v>130893</v>
      </c>
      <c r="BP185" s="31" t="n">
        <f aca="false">Q185</f>
        <v>0</v>
      </c>
      <c r="BQ185" s="31" t="n">
        <f aca="false">R185</f>
        <v>0</v>
      </c>
      <c r="BR185" s="31" t="n">
        <f aca="false">S185</f>
        <v>0</v>
      </c>
      <c r="BS185" s="31" t="n">
        <f aca="false">T185</f>
        <v>0</v>
      </c>
      <c r="BT185" s="31" t="n">
        <f aca="false">U185</f>
        <v>0</v>
      </c>
      <c r="BU185" s="31" t="n">
        <f aca="false">V185</f>
        <v>0</v>
      </c>
      <c r="BV185" s="32" t="n">
        <f aca="false">IF(BF185=0,IF(BN185=0,0,1),(BN185-BF185)/BF185)</f>
        <v>1</v>
      </c>
      <c r="BW185" s="32" t="n">
        <f aca="false">IF(BG185=0,IF(BO185=0,0,1),(BO185-BG185)/BG185)</f>
        <v>1</v>
      </c>
      <c r="BX185" s="32" t="n">
        <f aca="false">IF(BH185=0,IF(BP185=0,0,1),(BP185-BH185)/BH185)</f>
        <v>0</v>
      </c>
      <c r="BY185" s="32" t="n">
        <f aca="false">IF(BI185=0,IF(BQ185=0,0,1),(BQ185-BI185)/BI185)</f>
        <v>0</v>
      </c>
      <c r="BZ185" s="32" t="n">
        <f aca="false">IF(BJ185=0,IF(BR185=0,0,1),(BR185-BJ185)/BJ185)</f>
        <v>0</v>
      </c>
      <c r="CA185" s="32" t="n">
        <f aca="false">IF(BK185=0,IF(BS185=0,0,1),(BS185-BK185)/BK185)</f>
        <v>0</v>
      </c>
      <c r="CB185" s="32" t="n">
        <f aca="false">IF(BL185=0,IF(BT185=0,0,1),(BT185-BL185)/BL185)</f>
        <v>0</v>
      </c>
      <c r="CC185" s="32" t="n">
        <f aca="false">IF(BM185=0,IF(BU185=0,0,1),(BU185-BM185)/BM185)</f>
        <v>0</v>
      </c>
      <c r="CD185" s="32" t="n">
        <f aca="false">MAX(MAX(BV185:CC185),-MIN(BV185:CC185))</f>
        <v>1</v>
      </c>
      <c r="CE185" s="31" t="str">
        <f aca="false">IF(CI185="","",SUMIFS($CF$7:$CF$696,$A$7:$A$696,CI185,$B$7:$B$696,B185))</f>
        <v/>
      </c>
      <c r="CF185" s="31" t="n">
        <f aca="false">SUM(AU185:BE185)</f>
        <v>261671</v>
      </c>
      <c r="CG185" s="33" t="str">
        <f aca="false">A185&amp;"|"&amp;B185</f>
        <v>2026-06 賞与|広島駅南口開発（株）</v>
      </c>
      <c r="CH185" s="34" t="str">
        <f aca="false">IFERROR(INDEX(設定!$D$61:$D$106,MATCH(B185,設定!$B$61:$B$106,0)),"Y")</f>
        <v>Y</v>
      </c>
      <c r="CI185" s="34" t="str">
        <f aca="false">IFERROR(INDEX(設定!$D$20:$D$34,MATCH(A185,設定!$A$20:$A$34,0))&amp;"","")</f>
        <v/>
      </c>
    </row>
    <row r="186" customFormat="false" ht="15" hidden="true" customHeight="false" outlineLevel="0" collapsed="false">
      <c r="A186" s="22" t="s">
        <v>210</v>
      </c>
      <c r="B186" s="23" t="s">
        <v>202</v>
      </c>
      <c r="C186" s="10" t="str">
        <f aca="false">IF(G186="","未受領",IF(G186="なし","報告なし",IF(AH186="○","起票済",IF(OR(AG186="○",F186="一致",F186="入金不要"),"入金確認済","受領済"))))</f>
        <v>入金確認済</v>
      </c>
      <c r="D186" s="10" t="str">
        <f aca="false">IF(OR(G186="",G186="なし"),"―",IF(CH186="N","対象外",IF(AND(I186="",J186="",K186=""),"標報未入力",IF(CD186&gt;=設定!$B$4,"要確認","問題なし"))))</f>
        <v>標報未入力</v>
      </c>
      <c r="E186" s="24" t="str">
        <f aca="false">IF(OR(G186="",G186="なし",CE186="",CF186=0),"―",IF(CF186=CE186,"前月同額",IF(CE186=0,"―",IF(ABS(CF186/CE186-1)&gt;=設定!$B$5,"変動大 "&amp;TEXT(CF186/CE186-1,"+0%;-0%"),"〇"))))</f>
        <v>―</v>
      </c>
      <c r="F186" s="10" t="str">
        <f aca="false">IF(OR(G186="",G186="なし"),"―",IF(CF186=0,"入金不要",IF(COUNT(Z186,AB186,AD186,AF186)=0,IF(AG186="○","手動確認","未入金"),IF(AND(N(Z186)=Y186,IF(AA186="",TRUE(),N(AB186)=AA186),IF(AC186="",TRUE(),N(AD186)=AC186),IF(AE186="",TRUE(),N(AF186)=AE186)),"一致","不一致"))))</f>
        <v>手動確認</v>
      </c>
      <c r="G186" s="25" t="s">
        <v>159</v>
      </c>
      <c r="H186" s="26"/>
      <c r="I186" s="27"/>
      <c r="J186" s="27"/>
      <c r="K186" s="27"/>
      <c r="L186" s="27" t="n">
        <v>31384</v>
      </c>
      <c r="M186" s="27" t="n">
        <v>2572</v>
      </c>
      <c r="N186" s="27" t="n">
        <v>31385</v>
      </c>
      <c r="O186" s="27" t="n">
        <v>2572</v>
      </c>
      <c r="P186" s="27"/>
      <c r="Q186" s="27" t="n">
        <v>17787</v>
      </c>
      <c r="R186" s="27" t="n">
        <v>17805</v>
      </c>
      <c r="S186" s="27" t="n">
        <v>2709</v>
      </c>
      <c r="T186" s="27" t="n">
        <v>2709</v>
      </c>
      <c r="U186" s="27" t="n">
        <v>394</v>
      </c>
      <c r="V186" s="27" t="n">
        <v>394</v>
      </c>
      <c r="W186" s="10" t="str">
        <f aca="false">IFERROR(INDEX(設定!$E$61:$E$106,MATCH(B186,設定!$B$61:$B$106,0)),"合算")</f>
        <v>合算</v>
      </c>
      <c r="X186" s="28"/>
      <c r="Y186" s="29" t="n">
        <f aca="false">IF(OR(G186="",G186="なし"),"",IF(W186="合算",CF186,IF(W186="掛金・負担金別",(AU186+AV186+AZ186+BB186+BD186),SUM(AU186:AY186))))</f>
        <v>109711</v>
      </c>
      <c r="Z186" s="27"/>
      <c r="AA186" s="29" t="str">
        <f aca="false">IF(OR(G186="",G186="なし"),"",IF(W186="掛金・負担金別",(AW186+AX186+AY186+BA186+BC186+BE186),IF(W186="経理区分別",AZ186+BA186,"")))</f>
        <v/>
      </c>
      <c r="AB186" s="27"/>
      <c r="AC186" s="29" t="str">
        <f aca="false">IF(OR(G186="",G186="なし"),"",IF(W186="経理区分別",BB186+BC186,""))</f>
        <v/>
      </c>
      <c r="AD186" s="27"/>
      <c r="AE186" s="29" t="str">
        <f aca="false">IF(OR(G186="",G186="なし"),"",IF(W186="経理区分別",BD186+BE186,""))</f>
        <v/>
      </c>
      <c r="AF186" s="27"/>
      <c r="AG186" s="26" t="s">
        <v>160</v>
      </c>
      <c r="AH186" s="26"/>
      <c r="AI186" s="30"/>
      <c r="AJ186" s="31"/>
      <c r="AK186" s="31"/>
      <c r="AL186" s="31"/>
      <c r="AM186" s="31"/>
      <c r="AN186" s="31"/>
      <c r="AO186" s="31"/>
      <c r="AP186" s="31"/>
      <c r="AQ186" s="31"/>
      <c r="AR186" s="31"/>
      <c r="AS186" s="31"/>
      <c r="AT186" s="31"/>
      <c r="AU186" s="31" t="n">
        <f aca="false">IF($G186="",AJ186,L186)</f>
        <v>31384</v>
      </c>
      <c r="AV186" s="31" t="n">
        <f aca="false">IF($G186="",AK186,M186)</f>
        <v>2572</v>
      </c>
      <c r="AW186" s="31" t="n">
        <f aca="false">IF($G186="",AL186,N186)</f>
        <v>31385</v>
      </c>
      <c r="AX186" s="31" t="n">
        <f aca="false">IF($G186="",AM186,O186)</f>
        <v>2572</v>
      </c>
      <c r="AY186" s="31" t="n">
        <f aca="false">IF($G186="",AN186,P186)</f>
        <v>0</v>
      </c>
      <c r="AZ186" s="31" t="n">
        <f aca="false">IF($G186="",AO186,Q186)</f>
        <v>17787</v>
      </c>
      <c r="BA186" s="31" t="n">
        <f aca="false">IF($G186="",AP186,R186)</f>
        <v>17805</v>
      </c>
      <c r="BB186" s="31" t="n">
        <f aca="false">IF($G186="",AQ186,S186)</f>
        <v>2709</v>
      </c>
      <c r="BC186" s="31" t="n">
        <f aca="false">IF($G186="",AR186,T186)</f>
        <v>2709</v>
      </c>
      <c r="BD186" s="31" t="n">
        <f aca="false">IF($G186="",AS186,U186)</f>
        <v>394</v>
      </c>
      <c r="BE186" s="31" t="n">
        <f aca="false">IF($G186="",AT186,V186)</f>
        <v>394</v>
      </c>
      <c r="BF186" s="31" t="n">
        <f aca="false">ROUNDDOWN(I186*設定!$B$10/1000,0)+ROUNDDOWN(I186*設定!$B$11/1000,0)</f>
        <v>0</v>
      </c>
      <c r="BG186" s="31" t="n">
        <f aca="false">ROUNDDOWN(I186*設定!$C$10/1000,0)+ROUNDDOWN(I186*設定!$C$11/1000,0)+ROUNDDOWN(I186*設定!$C$12/1000,0)</f>
        <v>0</v>
      </c>
      <c r="BH186" s="31" t="n">
        <f aca="false">ROUNDDOWN(J186*設定!$B$13/1000,0)</f>
        <v>0</v>
      </c>
      <c r="BI186" s="31" t="n">
        <f aca="false">ROUNDDOWN(J186*設定!$C$13/1000,0)</f>
        <v>0</v>
      </c>
      <c r="BJ186" s="31" t="n">
        <f aca="false">ROUNDDOWN(K186*設定!$B$14/1000,0)</f>
        <v>0</v>
      </c>
      <c r="BK186" s="31" t="n">
        <f aca="false">ROUNDDOWN(K186*設定!$C$14/1000,0)</f>
        <v>0</v>
      </c>
      <c r="BL186" s="31" t="n">
        <f aca="false">ROUNDDOWN(J186*設定!$B$15/1000,0)</f>
        <v>0</v>
      </c>
      <c r="BM186" s="31" t="n">
        <f aca="false">ROUNDDOWN(J186*設定!$C$15/1000,0)</f>
        <v>0</v>
      </c>
      <c r="BN186" s="31" t="n">
        <f aca="false">L186+M186</f>
        <v>33956</v>
      </c>
      <c r="BO186" s="31" t="n">
        <f aca="false">N186+O186+P186</f>
        <v>33957</v>
      </c>
      <c r="BP186" s="31" t="n">
        <f aca="false">Q186</f>
        <v>17787</v>
      </c>
      <c r="BQ186" s="31" t="n">
        <f aca="false">R186</f>
        <v>17805</v>
      </c>
      <c r="BR186" s="31" t="n">
        <f aca="false">S186</f>
        <v>2709</v>
      </c>
      <c r="BS186" s="31" t="n">
        <f aca="false">T186</f>
        <v>2709</v>
      </c>
      <c r="BT186" s="31" t="n">
        <f aca="false">U186</f>
        <v>394</v>
      </c>
      <c r="BU186" s="31" t="n">
        <f aca="false">V186</f>
        <v>394</v>
      </c>
      <c r="BV186" s="32" t="n">
        <f aca="false">IF(BF186=0,IF(BN186=0,0,1),(BN186-BF186)/BF186)</f>
        <v>1</v>
      </c>
      <c r="BW186" s="32" t="n">
        <f aca="false">IF(BG186=0,IF(BO186=0,0,1),(BO186-BG186)/BG186)</f>
        <v>1</v>
      </c>
      <c r="BX186" s="32" t="n">
        <f aca="false">IF(BH186=0,IF(BP186=0,0,1),(BP186-BH186)/BH186)</f>
        <v>1</v>
      </c>
      <c r="BY186" s="32" t="n">
        <f aca="false">IF(BI186=0,IF(BQ186=0,0,1),(BQ186-BI186)/BI186)</f>
        <v>1</v>
      </c>
      <c r="BZ186" s="32" t="n">
        <f aca="false">IF(BJ186=0,IF(BR186=0,0,1),(BR186-BJ186)/BJ186)</f>
        <v>1</v>
      </c>
      <c r="CA186" s="32" t="n">
        <f aca="false">IF(BK186=0,IF(BS186=0,0,1),(BS186-BK186)/BK186)</f>
        <v>1</v>
      </c>
      <c r="CB186" s="32" t="n">
        <f aca="false">IF(BL186=0,IF(BT186=0,0,1),(BT186-BL186)/BL186)</f>
        <v>1</v>
      </c>
      <c r="CC186" s="32" t="n">
        <f aca="false">IF(BM186=0,IF(BU186=0,0,1),(BU186-BM186)/BM186)</f>
        <v>1</v>
      </c>
      <c r="CD186" s="32" t="n">
        <f aca="false">MAX(MAX(BV186:CC186),-MIN(BV186:CC186))</f>
        <v>1</v>
      </c>
      <c r="CE186" s="31" t="str">
        <f aca="false">IF(CI186="","",SUMIFS($CF$7:$CF$696,$A$7:$A$696,CI186,$B$7:$B$696,B186))</f>
        <v/>
      </c>
      <c r="CF186" s="31" t="n">
        <f aca="false">SUM(AU186:BE186)</f>
        <v>109711</v>
      </c>
      <c r="CG186" s="33" t="str">
        <f aca="false">A186&amp;"|"&amp;B186</f>
        <v>2026-06 賞与|市職員労働組合</v>
      </c>
      <c r="CH186" s="34" t="str">
        <f aca="false">IFERROR(INDEX(設定!$D$61:$D$106,MATCH(B186,設定!$B$61:$B$106,0)),"Y")</f>
        <v>Y</v>
      </c>
      <c r="CI186" s="34" t="str">
        <f aca="false">IFERROR(INDEX(設定!$D$20:$D$34,MATCH(A186,設定!$A$20:$A$34,0))&amp;"","")</f>
        <v/>
      </c>
    </row>
    <row r="187" customFormat="false" ht="15" hidden="true" customHeight="false" outlineLevel="0" collapsed="false">
      <c r="A187" s="22" t="s">
        <v>210</v>
      </c>
      <c r="B187" s="23" t="s">
        <v>203</v>
      </c>
      <c r="C187" s="10" t="str">
        <f aca="false">IF(G187="","未受領",IF(G187="なし","報告なし",IF(AH187="○","起票済",IF(OR(AG187="○",F187="一致",F187="入金不要"),"入金確認済","受領済"))))</f>
        <v>未受領</v>
      </c>
      <c r="D187" s="10" t="str">
        <f aca="false">IF(OR(G187="",G187="なし"),"―",IF(CH187="N","対象外",IF(AND(I187="",J187="",K187=""),"標報未入力",IF(CD187&gt;=設定!$B$4,"要確認","問題なし"))))</f>
        <v>―</v>
      </c>
      <c r="E187" s="24" t="str">
        <f aca="false">IF(OR(G187="",G187="なし",CE187="",CF187=0),"―",IF(CF187=CE187,"前月同額",IF(CE187=0,"―",IF(ABS(CF187/CE187-1)&gt;=設定!$B$5,"変動大 "&amp;TEXT(CF187/CE187-1,"+0%;-0%"),"〇"))))</f>
        <v>―</v>
      </c>
      <c r="F187" s="10" t="str">
        <f aca="false">IF(OR(G187="",G187="なし"),"―",IF(CF187=0,"入金不要",IF(COUNT(Z187,AB187,AD187,AF187)=0,IF(AG187="○","手動確認","未入金"),IF(AND(N(Z187)=Y187,IF(AA187="",TRUE(),N(AB187)=AA187),IF(AC187="",TRUE(),N(AD187)=AC187),IF(AE187="",TRUE(),N(AF187)=AE187)),"一致","不一致"))))</f>
        <v>―</v>
      </c>
      <c r="G187" s="25"/>
      <c r="H187" s="26"/>
      <c r="I187" s="27"/>
      <c r="J187" s="27"/>
      <c r="K187" s="27"/>
      <c r="L187" s="27"/>
      <c r="M187" s="27"/>
      <c r="N187" s="27"/>
      <c r="O187" s="27"/>
      <c r="P187" s="27"/>
      <c r="Q187" s="27"/>
      <c r="R187" s="27"/>
      <c r="S187" s="27"/>
      <c r="T187" s="27"/>
      <c r="U187" s="27"/>
      <c r="V187" s="27"/>
      <c r="W187" s="10" t="str">
        <f aca="false">IFERROR(INDEX(設定!$E$61:$E$106,MATCH(B187,設定!$B$61:$B$106,0)),"合算")</f>
        <v>合算</v>
      </c>
      <c r="X187" s="28"/>
      <c r="Y187" s="29" t="str">
        <f aca="false">IF(OR(G187="",G187="なし"),"",IF(W187="合算",CF187,IF(W187="掛金・負担金別",(AU187+AV187+AZ187+BB187+BD187),SUM(AU187:AY187))))</f>
        <v/>
      </c>
      <c r="Z187" s="27"/>
      <c r="AA187" s="29" t="str">
        <f aca="false">IF(OR(G187="",G187="なし"),"",IF(W187="掛金・負担金別",(AW187+AX187+AY187+BA187+BC187+BE187),IF(W187="経理区分別",AZ187+BA187,"")))</f>
        <v/>
      </c>
      <c r="AB187" s="27"/>
      <c r="AC187" s="29" t="str">
        <f aca="false">IF(OR(G187="",G187="なし"),"",IF(W187="経理区分別",BB187+BC187,""))</f>
        <v/>
      </c>
      <c r="AD187" s="27"/>
      <c r="AE187" s="29" t="str">
        <f aca="false">IF(OR(G187="",G187="なし"),"",IF(W187="経理区分別",BD187+BE187,""))</f>
        <v/>
      </c>
      <c r="AF187" s="27"/>
      <c r="AG187" s="26"/>
      <c r="AH187" s="26"/>
      <c r="AI187" s="30"/>
      <c r="AJ187" s="31" t="n">
        <v>0</v>
      </c>
      <c r="AK187" s="31" t="n">
        <v>0</v>
      </c>
      <c r="AL187" s="31" t="n">
        <v>0</v>
      </c>
      <c r="AM187" s="31" t="n">
        <v>0</v>
      </c>
      <c r="AN187" s="31"/>
      <c r="AO187" s="31" t="n">
        <v>0</v>
      </c>
      <c r="AP187" s="31" t="n">
        <v>0</v>
      </c>
      <c r="AQ187" s="31" t="n">
        <v>0</v>
      </c>
      <c r="AR187" s="31" t="n">
        <v>0</v>
      </c>
      <c r="AS187" s="31" t="n">
        <v>0</v>
      </c>
      <c r="AT187" s="31" t="n">
        <v>0</v>
      </c>
      <c r="AU187" s="31" t="n">
        <f aca="false">IF($G187="",AJ187,L187)</f>
        <v>0</v>
      </c>
      <c r="AV187" s="31" t="n">
        <f aca="false">IF($G187="",AK187,M187)</f>
        <v>0</v>
      </c>
      <c r="AW187" s="31" t="n">
        <f aca="false">IF($G187="",AL187,N187)</f>
        <v>0</v>
      </c>
      <c r="AX187" s="31" t="n">
        <f aca="false">IF($G187="",AM187,O187)</f>
        <v>0</v>
      </c>
      <c r="AY187" s="31" t="n">
        <f aca="false">IF($G187="",AN187,P187)</f>
        <v>0</v>
      </c>
      <c r="AZ187" s="31" t="n">
        <f aca="false">IF($G187="",AO187,Q187)</f>
        <v>0</v>
      </c>
      <c r="BA187" s="31" t="n">
        <f aca="false">IF($G187="",AP187,R187)</f>
        <v>0</v>
      </c>
      <c r="BB187" s="31" t="n">
        <f aca="false">IF($G187="",AQ187,S187)</f>
        <v>0</v>
      </c>
      <c r="BC187" s="31" t="n">
        <f aca="false">IF($G187="",AR187,T187)</f>
        <v>0</v>
      </c>
      <c r="BD187" s="31" t="n">
        <f aca="false">IF($G187="",AS187,U187)</f>
        <v>0</v>
      </c>
      <c r="BE187" s="31" t="n">
        <f aca="false">IF($G187="",AT187,V187)</f>
        <v>0</v>
      </c>
      <c r="BF187" s="31" t="n">
        <f aca="false">ROUNDDOWN(I187*設定!$B$10/1000,0)+ROUNDDOWN(I187*設定!$B$11/1000,0)</f>
        <v>0</v>
      </c>
      <c r="BG187" s="31" t="n">
        <f aca="false">ROUNDDOWN(I187*設定!$C$10/1000,0)+ROUNDDOWN(I187*設定!$C$11/1000,0)+ROUNDDOWN(I187*設定!$C$12/1000,0)</f>
        <v>0</v>
      </c>
      <c r="BH187" s="31" t="n">
        <f aca="false">ROUNDDOWN(J187*設定!$B$13/1000,0)</f>
        <v>0</v>
      </c>
      <c r="BI187" s="31" t="n">
        <f aca="false">ROUNDDOWN(J187*設定!$C$13/1000,0)</f>
        <v>0</v>
      </c>
      <c r="BJ187" s="31" t="n">
        <f aca="false">ROUNDDOWN(K187*設定!$B$14/1000,0)</f>
        <v>0</v>
      </c>
      <c r="BK187" s="31" t="n">
        <f aca="false">ROUNDDOWN(K187*設定!$C$14/1000,0)</f>
        <v>0</v>
      </c>
      <c r="BL187" s="31" t="n">
        <f aca="false">ROUNDDOWN(J187*設定!$B$15/1000,0)</f>
        <v>0</v>
      </c>
      <c r="BM187" s="31" t="n">
        <f aca="false">ROUNDDOWN(J187*設定!$C$15/1000,0)</f>
        <v>0</v>
      </c>
      <c r="BN187" s="31" t="n">
        <f aca="false">L187+M187</f>
        <v>0</v>
      </c>
      <c r="BO187" s="31" t="n">
        <f aca="false">N187+O187+P187</f>
        <v>0</v>
      </c>
      <c r="BP187" s="31" t="n">
        <f aca="false">Q187</f>
        <v>0</v>
      </c>
      <c r="BQ187" s="31" t="n">
        <f aca="false">R187</f>
        <v>0</v>
      </c>
      <c r="BR187" s="31" t="n">
        <f aca="false">S187</f>
        <v>0</v>
      </c>
      <c r="BS187" s="31" t="n">
        <f aca="false">T187</f>
        <v>0</v>
      </c>
      <c r="BT187" s="31" t="n">
        <f aca="false">U187</f>
        <v>0</v>
      </c>
      <c r="BU187" s="31" t="n">
        <f aca="false">V187</f>
        <v>0</v>
      </c>
      <c r="BV187" s="32" t="n">
        <f aca="false">IF(BF187=0,IF(BN187=0,0,1),(BN187-BF187)/BF187)</f>
        <v>0</v>
      </c>
      <c r="BW187" s="32" t="n">
        <f aca="false">IF(BG187=0,IF(BO187=0,0,1),(BO187-BG187)/BG187)</f>
        <v>0</v>
      </c>
      <c r="BX187" s="32" t="n">
        <f aca="false">IF(BH187=0,IF(BP187=0,0,1),(BP187-BH187)/BH187)</f>
        <v>0</v>
      </c>
      <c r="BY187" s="32" t="n">
        <f aca="false">IF(BI187=0,IF(BQ187=0,0,1),(BQ187-BI187)/BI187)</f>
        <v>0</v>
      </c>
      <c r="BZ187" s="32" t="n">
        <f aca="false">IF(BJ187=0,IF(BR187=0,0,1),(BR187-BJ187)/BJ187)</f>
        <v>0</v>
      </c>
      <c r="CA187" s="32" t="n">
        <f aca="false">IF(BK187=0,IF(BS187=0,0,1),(BS187-BK187)/BK187)</f>
        <v>0</v>
      </c>
      <c r="CB187" s="32" t="n">
        <f aca="false">IF(BL187=0,IF(BT187=0,0,1),(BT187-BL187)/BL187)</f>
        <v>0</v>
      </c>
      <c r="CC187" s="32" t="n">
        <f aca="false">IF(BM187=0,IF(BU187=0,0,1),(BU187-BM187)/BM187)</f>
        <v>0</v>
      </c>
      <c r="CD187" s="32" t="n">
        <f aca="false">MAX(MAX(BV187:CC187),-MIN(BV187:CC187))</f>
        <v>-0</v>
      </c>
      <c r="CE187" s="31" t="str">
        <f aca="false">IF(CI187="","",SUMIFS($CF$7:$CF$696,$A$7:$A$696,CI187,$B$7:$B$696,B187))</f>
        <v/>
      </c>
      <c r="CF187" s="31" t="n">
        <f aca="false">SUM(AU187:BE187)</f>
        <v>0</v>
      </c>
      <c r="CG187" s="33" t="str">
        <f aca="false">A187&amp;"|"&amp;B187</f>
        <v>2026-06 賞与|自治労労働組合</v>
      </c>
      <c r="CH187" s="34" t="str">
        <f aca="false">IFERROR(INDEX(設定!$D$61:$D$106,MATCH(B187,設定!$B$61:$B$106,0)),"Y")</f>
        <v>Y</v>
      </c>
      <c r="CI187" s="34" t="str">
        <f aca="false">IFERROR(INDEX(設定!$D$20:$D$34,MATCH(A187,設定!$A$20:$A$34,0))&amp;"","")</f>
        <v/>
      </c>
    </row>
    <row r="188" customFormat="false" ht="15" hidden="true" customHeight="false" outlineLevel="0" collapsed="false">
      <c r="A188" s="22" t="s">
        <v>210</v>
      </c>
      <c r="B188" s="23" t="s">
        <v>204</v>
      </c>
      <c r="C188" s="10" t="str">
        <f aca="false">IF(G188="","未受領",IF(G188="なし","報告なし",IF(AH188="○","起票済",IF(OR(AG188="○",F188="一致",F188="入金不要"),"入金確認済","受領済"))))</f>
        <v>入金確認済</v>
      </c>
      <c r="D188" s="10" t="str">
        <f aca="false">IF(OR(G188="",G188="なし"),"―",IF(CH188="N","対象外",IF(AND(I188="",J188="",K188=""),"標報未入力",IF(CD188&gt;=設定!$B$4,"要確認","問題なし"))))</f>
        <v>標報未入力</v>
      </c>
      <c r="E188" s="24" t="str">
        <f aca="false">IF(OR(G188="",G188="なし",CE188="",CF188=0),"―",IF(CF188=CE188,"前月同額",IF(CE188=0,"―",IF(ABS(CF188/CE188-1)&gt;=設定!$B$5,"変動大 "&amp;TEXT(CF188/CE188-1,"+0%;-0%"),"〇"))))</f>
        <v>―</v>
      </c>
      <c r="F188" s="10" t="str">
        <f aca="false">IF(OR(G188="",G188="なし"),"―",IF(CF188=0,"入金不要",IF(COUNT(Z188,AB188,AD188,AF188)=0,IF(AG188="○","手動確認","未入金"),IF(AND(N(Z188)=Y188,IF(AA188="",TRUE(),N(AB188)=AA188),IF(AC188="",TRUE(),N(AD188)=AC188),IF(AE188="",TRUE(),N(AF188)=AE188)),"一致","不一致"))))</f>
        <v>手動確認</v>
      </c>
      <c r="G188" s="25" t="s">
        <v>159</v>
      </c>
      <c r="H188" s="26"/>
      <c r="I188" s="27"/>
      <c r="J188" s="27"/>
      <c r="K188" s="27"/>
      <c r="L188" s="27" t="n">
        <v>46024</v>
      </c>
      <c r="M188" s="27" t="n">
        <v>3772</v>
      </c>
      <c r="N188" s="27" t="n">
        <v>46025</v>
      </c>
      <c r="O188" s="27" t="n">
        <v>3772</v>
      </c>
      <c r="P188" s="27"/>
      <c r="Q188" s="27" t="n">
        <v>39568</v>
      </c>
      <c r="R188" s="27" t="n">
        <v>39607</v>
      </c>
      <c r="S188" s="27" t="n">
        <v>2054</v>
      </c>
      <c r="T188" s="27" t="n">
        <v>2054</v>
      </c>
      <c r="U188" s="27" t="n">
        <v>877</v>
      </c>
      <c r="V188" s="27" t="n">
        <v>877</v>
      </c>
      <c r="W188" s="10" t="str">
        <f aca="false">IFERROR(INDEX(設定!$E$61:$E$106,MATCH(B188,設定!$B$61:$B$106,0)),"合算")</f>
        <v>合算</v>
      </c>
      <c r="X188" s="28"/>
      <c r="Y188" s="29" t="n">
        <f aca="false">IF(OR(G188="",G188="なし"),"",IF(W188="合算",CF188,IF(W188="掛金・負担金別",(AU188+AV188+AZ188+BB188+BD188),SUM(AU188:AY188))))</f>
        <v>184630</v>
      </c>
      <c r="Z188" s="27"/>
      <c r="AA188" s="29" t="str">
        <f aca="false">IF(OR(G188="",G188="なし"),"",IF(W188="掛金・負担金別",(AW188+AX188+AY188+BA188+BC188+BE188),IF(W188="経理区分別",AZ188+BA188,"")))</f>
        <v/>
      </c>
      <c r="AB188" s="27"/>
      <c r="AC188" s="29" t="str">
        <f aca="false">IF(OR(G188="",G188="なし"),"",IF(W188="経理区分別",BB188+BC188,""))</f>
        <v/>
      </c>
      <c r="AD188" s="27"/>
      <c r="AE188" s="29" t="str">
        <f aca="false">IF(OR(G188="",G188="なし"),"",IF(W188="経理区分別",BD188+BE188,""))</f>
        <v/>
      </c>
      <c r="AF188" s="27"/>
      <c r="AG188" s="26" t="s">
        <v>160</v>
      </c>
      <c r="AH188" s="26"/>
      <c r="AI188" s="30"/>
      <c r="AJ188" s="31"/>
      <c r="AK188" s="31"/>
      <c r="AL188" s="31"/>
      <c r="AM188" s="31"/>
      <c r="AN188" s="31"/>
      <c r="AO188" s="31"/>
      <c r="AP188" s="31"/>
      <c r="AQ188" s="31"/>
      <c r="AR188" s="31"/>
      <c r="AS188" s="31"/>
      <c r="AT188" s="31"/>
      <c r="AU188" s="31" t="n">
        <f aca="false">IF($G188="",AJ188,L188)</f>
        <v>46024</v>
      </c>
      <c r="AV188" s="31" t="n">
        <f aca="false">IF($G188="",AK188,M188)</f>
        <v>3772</v>
      </c>
      <c r="AW188" s="31" t="n">
        <f aca="false">IF($G188="",AL188,N188)</f>
        <v>46025</v>
      </c>
      <c r="AX188" s="31" t="n">
        <f aca="false">IF($G188="",AM188,O188)</f>
        <v>3772</v>
      </c>
      <c r="AY188" s="31" t="n">
        <f aca="false">IF($G188="",AN188,P188)</f>
        <v>0</v>
      </c>
      <c r="AZ188" s="31" t="n">
        <f aca="false">IF($G188="",AO188,Q188)</f>
        <v>39568</v>
      </c>
      <c r="BA188" s="31" t="n">
        <f aca="false">IF($G188="",AP188,R188)</f>
        <v>39607</v>
      </c>
      <c r="BB188" s="31" t="n">
        <f aca="false">IF($G188="",AQ188,S188)</f>
        <v>2054</v>
      </c>
      <c r="BC188" s="31" t="n">
        <f aca="false">IF($G188="",AR188,T188)</f>
        <v>2054</v>
      </c>
      <c r="BD188" s="31" t="n">
        <f aca="false">IF($G188="",AS188,U188)</f>
        <v>877</v>
      </c>
      <c r="BE188" s="31" t="n">
        <f aca="false">IF($G188="",AT188,V188)</f>
        <v>877</v>
      </c>
      <c r="BF188" s="31" t="n">
        <f aca="false">ROUNDDOWN(I188*設定!$B$10/1000,0)+ROUNDDOWN(I188*設定!$B$11/1000,0)</f>
        <v>0</v>
      </c>
      <c r="BG188" s="31" t="n">
        <f aca="false">ROUNDDOWN(I188*設定!$C$10/1000,0)+ROUNDDOWN(I188*設定!$C$11/1000,0)+ROUNDDOWN(I188*設定!$C$12/1000,0)</f>
        <v>0</v>
      </c>
      <c r="BH188" s="31" t="n">
        <f aca="false">ROUNDDOWN(J188*設定!$B$13/1000,0)</f>
        <v>0</v>
      </c>
      <c r="BI188" s="31" t="n">
        <f aca="false">ROUNDDOWN(J188*設定!$C$13/1000,0)</f>
        <v>0</v>
      </c>
      <c r="BJ188" s="31" t="n">
        <f aca="false">ROUNDDOWN(K188*設定!$B$14/1000,0)</f>
        <v>0</v>
      </c>
      <c r="BK188" s="31" t="n">
        <f aca="false">ROUNDDOWN(K188*設定!$C$14/1000,0)</f>
        <v>0</v>
      </c>
      <c r="BL188" s="31" t="n">
        <f aca="false">ROUNDDOWN(J188*設定!$B$15/1000,0)</f>
        <v>0</v>
      </c>
      <c r="BM188" s="31" t="n">
        <f aca="false">ROUNDDOWN(J188*設定!$C$15/1000,0)</f>
        <v>0</v>
      </c>
      <c r="BN188" s="31" t="n">
        <f aca="false">L188+M188</f>
        <v>49796</v>
      </c>
      <c r="BO188" s="31" t="n">
        <f aca="false">N188+O188+P188</f>
        <v>49797</v>
      </c>
      <c r="BP188" s="31" t="n">
        <f aca="false">Q188</f>
        <v>39568</v>
      </c>
      <c r="BQ188" s="31" t="n">
        <f aca="false">R188</f>
        <v>39607</v>
      </c>
      <c r="BR188" s="31" t="n">
        <f aca="false">S188</f>
        <v>2054</v>
      </c>
      <c r="BS188" s="31" t="n">
        <f aca="false">T188</f>
        <v>2054</v>
      </c>
      <c r="BT188" s="31" t="n">
        <f aca="false">U188</f>
        <v>877</v>
      </c>
      <c r="BU188" s="31" t="n">
        <f aca="false">V188</f>
        <v>877</v>
      </c>
      <c r="BV188" s="32" t="n">
        <f aca="false">IF(BF188=0,IF(BN188=0,0,1),(BN188-BF188)/BF188)</f>
        <v>1</v>
      </c>
      <c r="BW188" s="32" t="n">
        <f aca="false">IF(BG188=0,IF(BO188=0,0,1),(BO188-BG188)/BG188)</f>
        <v>1</v>
      </c>
      <c r="BX188" s="32" t="n">
        <f aca="false">IF(BH188=0,IF(BP188=0,0,1),(BP188-BH188)/BH188)</f>
        <v>1</v>
      </c>
      <c r="BY188" s="32" t="n">
        <f aca="false">IF(BI188=0,IF(BQ188=0,0,1),(BQ188-BI188)/BI188)</f>
        <v>1</v>
      </c>
      <c r="BZ188" s="32" t="n">
        <f aca="false">IF(BJ188=0,IF(BR188=0,0,1),(BR188-BJ188)/BJ188)</f>
        <v>1</v>
      </c>
      <c r="CA188" s="32" t="n">
        <f aca="false">IF(BK188=0,IF(BS188=0,0,1),(BS188-BK188)/BK188)</f>
        <v>1</v>
      </c>
      <c r="CB188" s="32" t="n">
        <f aca="false">IF(BL188=0,IF(BT188=0,0,1),(BT188-BL188)/BL188)</f>
        <v>1</v>
      </c>
      <c r="CC188" s="32" t="n">
        <f aca="false">IF(BM188=0,IF(BU188=0,0,1),(BU188-BM188)/BM188)</f>
        <v>1</v>
      </c>
      <c r="CD188" s="32" t="n">
        <f aca="false">MAX(MAX(BV188:CC188),-MIN(BV188:CC188))</f>
        <v>1</v>
      </c>
      <c r="CE188" s="31" t="str">
        <f aca="false">IF(CI188="","",SUMIFS($CF$7:$CF$696,$A$7:$A$696,CI188,$B$7:$B$696,B188))</f>
        <v/>
      </c>
      <c r="CF188" s="31" t="n">
        <f aca="false">SUM(AU188:BE188)</f>
        <v>184630</v>
      </c>
      <c r="CG188" s="33" t="str">
        <f aca="false">A188&amp;"|"&amp;B188</f>
        <v>2026-06 賞与|病院労働組合</v>
      </c>
      <c r="CH188" s="34" t="str">
        <f aca="false">IFERROR(INDEX(設定!$D$61:$D$106,MATCH(B188,設定!$B$61:$B$106,0)),"Y")</f>
        <v>Y</v>
      </c>
      <c r="CI188" s="34" t="str">
        <f aca="false">IFERROR(INDEX(設定!$D$20:$D$34,MATCH(A188,設定!$A$20:$A$34,0))&amp;"","")</f>
        <v/>
      </c>
    </row>
    <row r="189" customFormat="false" ht="15" hidden="true" customHeight="false" outlineLevel="0" collapsed="false">
      <c r="A189" s="22" t="s">
        <v>210</v>
      </c>
      <c r="B189" s="23" t="s">
        <v>205</v>
      </c>
      <c r="C189" s="10" t="str">
        <f aca="false">IF(G189="","未受領",IF(G189="なし","報告なし",IF(AH189="○","起票済",IF(OR(AG189="○",F189="一致",F189="入金不要"),"入金確認済","受領済"))))</f>
        <v>報告なし</v>
      </c>
      <c r="D189" s="10" t="str">
        <f aca="false">IF(OR(G189="",G189="なし"),"―",IF(CH189="N","対象外",IF(AND(I189="",J189="",K189=""),"標報未入力",IF(CD189&gt;=設定!$B$4,"要確認","問題なし"))))</f>
        <v>―</v>
      </c>
      <c r="E189" s="24" t="str">
        <f aca="false">IF(OR(G189="",G189="なし",CE189="",CF189=0),"―",IF(CF189=CE189,"前月同額",IF(CE189=0,"―",IF(ABS(CF189/CE189-1)&gt;=設定!$B$5,"変動大 "&amp;TEXT(CF189/CE189-1,"+0%;-0%"),"〇"))))</f>
        <v>―</v>
      </c>
      <c r="F189" s="10" t="str">
        <f aca="false">IF(OR(G189="",G189="なし"),"―",IF(CF189=0,"入金不要",IF(COUNT(Z189,AB189,AD189,AF189)=0,IF(AG189="○","手動確認","未入金"),IF(AND(N(Z189)=Y189,IF(AA189="",TRUE(),N(AB189)=AA189),IF(AC189="",TRUE(),N(AD189)=AC189),IF(AE189="",TRUE(),N(AF189)=AE189)),"一致","不一致"))))</f>
        <v>―</v>
      </c>
      <c r="G189" s="25" t="s">
        <v>173</v>
      </c>
      <c r="H189" s="26"/>
      <c r="I189" s="27"/>
      <c r="J189" s="27"/>
      <c r="K189" s="27"/>
      <c r="L189" s="27"/>
      <c r="M189" s="27"/>
      <c r="N189" s="27"/>
      <c r="O189" s="27"/>
      <c r="P189" s="27"/>
      <c r="Q189" s="27"/>
      <c r="R189" s="27"/>
      <c r="S189" s="27"/>
      <c r="T189" s="27"/>
      <c r="U189" s="27"/>
      <c r="V189" s="27"/>
      <c r="W189" s="10" t="str">
        <f aca="false">IFERROR(INDEX(設定!$E$61:$E$106,MATCH(B189,設定!$B$61:$B$106,0)),"合算")</f>
        <v>合算</v>
      </c>
      <c r="X189" s="28"/>
      <c r="Y189" s="29" t="str">
        <f aca="false">IF(OR(G189="",G189="なし"),"",IF(W189="合算",CF189,IF(W189="掛金・負担金別",(AU189+AV189+AZ189+BB189+BD189),SUM(AU189:AY189))))</f>
        <v/>
      </c>
      <c r="Z189" s="27"/>
      <c r="AA189" s="29" t="str">
        <f aca="false">IF(OR(G189="",G189="なし"),"",IF(W189="掛金・負担金別",(AW189+AX189+AY189+BA189+BC189+BE189),IF(W189="経理区分別",AZ189+BA189,"")))</f>
        <v/>
      </c>
      <c r="AB189" s="27"/>
      <c r="AC189" s="29" t="str">
        <f aca="false">IF(OR(G189="",G189="なし"),"",IF(W189="経理区分別",BB189+BC189,""))</f>
        <v/>
      </c>
      <c r="AD189" s="27"/>
      <c r="AE189" s="29" t="str">
        <f aca="false">IF(OR(G189="",G189="なし"),"",IF(W189="経理区分別",BD189+BE189,""))</f>
        <v/>
      </c>
      <c r="AF189" s="27"/>
      <c r="AG189" s="26"/>
      <c r="AH189" s="26"/>
      <c r="AI189" s="30"/>
      <c r="AJ189" s="31"/>
      <c r="AK189" s="31"/>
      <c r="AL189" s="31"/>
      <c r="AM189" s="31"/>
      <c r="AN189" s="31"/>
      <c r="AO189" s="31"/>
      <c r="AP189" s="31"/>
      <c r="AQ189" s="31"/>
      <c r="AR189" s="31"/>
      <c r="AS189" s="31"/>
      <c r="AT189" s="31"/>
      <c r="AU189" s="31" t="n">
        <f aca="false">IF($G189="",AJ189,L189)</f>
        <v>0</v>
      </c>
      <c r="AV189" s="31" t="n">
        <f aca="false">IF($G189="",AK189,M189)</f>
        <v>0</v>
      </c>
      <c r="AW189" s="31" t="n">
        <f aca="false">IF($G189="",AL189,N189)</f>
        <v>0</v>
      </c>
      <c r="AX189" s="31" t="n">
        <f aca="false">IF($G189="",AM189,O189)</f>
        <v>0</v>
      </c>
      <c r="AY189" s="31" t="n">
        <f aca="false">IF($G189="",AN189,P189)</f>
        <v>0</v>
      </c>
      <c r="AZ189" s="31" t="n">
        <f aca="false">IF($G189="",AO189,Q189)</f>
        <v>0</v>
      </c>
      <c r="BA189" s="31" t="n">
        <f aca="false">IF($G189="",AP189,R189)</f>
        <v>0</v>
      </c>
      <c r="BB189" s="31" t="n">
        <f aca="false">IF($G189="",AQ189,S189)</f>
        <v>0</v>
      </c>
      <c r="BC189" s="31" t="n">
        <f aca="false">IF($G189="",AR189,T189)</f>
        <v>0</v>
      </c>
      <c r="BD189" s="31" t="n">
        <f aca="false">IF($G189="",AS189,U189)</f>
        <v>0</v>
      </c>
      <c r="BE189" s="31" t="n">
        <f aca="false">IF($G189="",AT189,V189)</f>
        <v>0</v>
      </c>
      <c r="BF189" s="31" t="n">
        <f aca="false">ROUNDDOWN(I189*設定!$B$10/1000,0)+ROUNDDOWN(I189*設定!$B$11/1000,0)</f>
        <v>0</v>
      </c>
      <c r="BG189" s="31" t="n">
        <f aca="false">ROUNDDOWN(I189*設定!$C$10/1000,0)+ROUNDDOWN(I189*設定!$C$11/1000,0)+ROUNDDOWN(I189*設定!$C$12/1000,0)</f>
        <v>0</v>
      </c>
      <c r="BH189" s="31" t="n">
        <f aca="false">ROUNDDOWN(J189*設定!$B$13/1000,0)</f>
        <v>0</v>
      </c>
      <c r="BI189" s="31" t="n">
        <f aca="false">ROUNDDOWN(J189*設定!$C$13/1000,0)</f>
        <v>0</v>
      </c>
      <c r="BJ189" s="31" t="n">
        <f aca="false">ROUNDDOWN(K189*設定!$B$14/1000,0)</f>
        <v>0</v>
      </c>
      <c r="BK189" s="31" t="n">
        <f aca="false">ROUNDDOWN(K189*設定!$C$14/1000,0)</f>
        <v>0</v>
      </c>
      <c r="BL189" s="31" t="n">
        <f aca="false">ROUNDDOWN(J189*設定!$B$15/1000,0)</f>
        <v>0</v>
      </c>
      <c r="BM189" s="31" t="n">
        <f aca="false">ROUNDDOWN(J189*設定!$C$15/1000,0)</f>
        <v>0</v>
      </c>
      <c r="BN189" s="31" t="n">
        <f aca="false">L189+M189</f>
        <v>0</v>
      </c>
      <c r="BO189" s="31" t="n">
        <f aca="false">N189+O189+P189</f>
        <v>0</v>
      </c>
      <c r="BP189" s="31" t="n">
        <f aca="false">Q189</f>
        <v>0</v>
      </c>
      <c r="BQ189" s="31" t="n">
        <f aca="false">R189</f>
        <v>0</v>
      </c>
      <c r="BR189" s="31" t="n">
        <f aca="false">S189</f>
        <v>0</v>
      </c>
      <c r="BS189" s="31" t="n">
        <f aca="false">T189</f>
        <v>0</v>
      </c>
      <c r="BT189" s="31" t="n">
        <f aca="false">U189</f>
        <v>0</v>
      </c>
      <c r="BU189" s="31" t="n">
        <f aca="false">V189</f>
        <v>0</v>
      </c>
      <c r="BV189" s="32" t="n">
        <f aca="false">IF(BF189=0,IF(BN189=0,0,1),(BN189-BF189)/BF189)</f>
        <v>0</v>
      </c>
      <c r="BW189" s="32" t="n">
        <f aca="false">IF(BG189=0,IF(BO189=0,0,1),(BO189-BG189)/BG189)</f>
        <v>0</v>
      </c>
      <c r="BX189" s="32" t="n">
        <f aca="false">IF(BH189=0,IF(BP189=0,0,1),(BP189-BH189)/BH189)</f>
        <v>0</v>
      </c>
      <c r="BY189" s="32" t="n">
        <f aca="false">IF(BI189=0,IF(BQ189=0,0,1),(BQ189-BI189)/BI189)</f>
        <v>0</v>
      </c>
      <c r="BZ189" s="32" t="n">
        <f aca="false">IF(BJ189=0,IF(BR189=0,0,1),(BR189-BJ189)/BJ189)</f>
        <v>0</v>
      </c>
      <c r="CA189" s="32" t="n">
        <f aca="false">IF(BK189=0,IF(BS189=0,0,1),(BS189-BK189)/BK189)</f>
        <v>0</v>
      </c>
      <c r="CB189" s="32" t="n">
        <f aca="false">IF(BL189=0,IF(BT189=0,0,1),(BT189-BL189)/BL189)</f>
        <v>0</v>
      </c>
      <c r="CC189" s="32" t="n">
        <f aca="false">IF(BM189=0,IF(BU189=0,0,1),(BU189-BM189)/BM189)</f>
        <v>0</v>
      </c>
      <c r="CD189" s="32" t="n">
        <f aca="false">MAX(MAX(BV189:CC189),-MIN(BV189:CC189))</f>
        <v>-0</v>
      </c>
      <c r="CE189" s="31" t="str">
        <f aca="false">IF(CI189="","",SUMIFS($CF$7:$CF$696,$A$7:$A$696,CI189,$B$7:$B$696,B189))</f>
        <v/>
      </c>
      <c r="CF189" s="31" t="n">
        <f aca="false">SUM(AU189:BE189)</f>
        <v>0</v>
      </c>
      <c r="CG189" s="33" t="str">
        <f aca="false">A189&amp;"|"&amp;B189</f>
        <v>2026-06 賞与|水道労働組合</v>
      </c>
      <c r="CH189" s="34" t="str">
        <f aca="false">IFERROR(INDEX(設定!$D$61:$D$106,MATCH(B189,設定!$B$61:$B$106,0)),"Y")</f>
        <v>Y</v>
      </c>
      <c r="CI189" s="34" t="str">
        <f aca="false">IFERROR(INDEX(設定!$D$20:$D$34,MATCH(A189,設定!$A$20:$A$34,0))&amp;"","")</f>
        <v/>
      </c>
    </row>
    <row r="190" customFormat="false" ht="15" hidden="true" customHeight="false" outlineLevel="0" collapsed="false">
      <c r="A190" s="22" t="s">
        <v>210</v>
      </c>
      <c r="B190" s="23" t="s">
        <v>206</v>
      </c>
      <c r="C190" s="10" t="str">
        <f aca="false">IF(G190="","未受領",IF(G190="なし","報告なし",IF(AH190="○","起票済",IF(OR(AG190="○",F190="一致",F190="入金不要"),"入金確認済","受領済"))))</f>
        <v>報告なし</v>
      </c>
      <c r="D190" s="10" t="str">
        <f aca="false">IF(OR(G190="",G190="なし"),"―",IF(CH190="N","対象外",IF(AND(I190="",J190="",K190=""),"標報未入力",IF(CD190&gt;=設定!$B$4,"要確認","問題なし"))))</f>
        <v>―</v>
      </c>
      <c r="E190" s="24" t="str">
        <f aca="false">IF(OR(G190="",G190="なし",CE190="",CF190=0),"―",IF(CF190=CE190,"前月同額",IF(CE190=0,"―",IF(ABS(CF190/CE190-1)&gt;=設定!$B$5,"変動大 "&amp;TEXT(CF190/CE190-1,"+0%;-0%"),"〇"))))</f>
        <v>―</v>
      </c>
      <c r="F190" s="10" t="str">
        <f aca="false">IF(OR(G190="",G190="なし"),"―",IF(CF190=0,"入金不要",IF(COUNT(Z190,AB190,AD190,AF190)=0,IF(AG190="○","手動確認","未入金"),IF(AND(N(Z190)=Y190,IF(AA190="",TRUE(),N(AB190)=AA190),IF(AC190="",TRUE(),N(AD190)=AC190),IF(AE190="",TRUE(),N(AF190)=AE190)),"一致","不一致"))))</f>
        <v>―</v>
      </c>
      <c r="G190" s="25" t="s">
        <v>173</v>
      </c>
      <c r="H190" s="26"/>
      <c r="I190" s="27"/>
      <c r="J190" s="27"/>
      <c r="K190" s="27"/>
      <c r="L190" s="27"/>
      <c r="M190" s="27"/>
      <c r="N190" s="27"/>
      <c r="O190" s="27"/>
      <c r="P190" s="27"/>
      <c r="Q190" s="27"/>
      <c r="R190" s="27"/>
      <c r="S190" s="27"/>
      <c r="T190" s="27"/>
      <c r="U190" s="27"/>
      <c r="V190" s="27"/>
      <c r="W190" s="10" t="str">
        <f aca="false">IFERROR(INDEX(設定!$E$61:$E$106,MATCH(B190,設定!$B$61:$B$106,0)),"合算")</f>
        <v>合算</v>
      </c>
      <c r="X190" s="28"/>
      <c r="Y190" s="29" t="str">
        <f aca="false">IF(OR(G190="",G190="なし"),"",IF(W190="合算",CF190,IF(W190="掛金・負担金別",(AU190+AV190+AZ190+BB190+BD190),SUM(AU190:AY190))))</f>
        <v/>
      </c>
      <c r="Z190" s="27"/>
      <c r="AA190" s="29" t="str">
        <f aca="false">IF(OR(G190="",G190="なし"),"",IF(W190="掛金・負担金別",(AW190+AX190+AY190+BA190+BC190+BE190),IF(W190="経理区分別",AZ190+BA190,"")))</f>
        <v/>
      </c>
      <c r="AB190" s="27"/>
      <c r="AC190" s="29" t="str">
        <f aca="false">IF(OR(G190="",G190="なし"),"",IF(W190="経理区分別",BB190+BC190,""))</f>
        <v/>
      </c>
      <c r="AD190" s="27"/>
      <c r="AE190" s="29" t="str">
        <f aca="false">IF(OR(G190="",G190="なし"),"",IF(W190="経理区分別",BD190+BE190,""))</f>
        <v/>
      </c>
      <c r="AF190" s="27"/>
      <c r="AG190" s="26"/>
      <c r="AH190" s="26"/>
      <c r="AI190" s="30"/>
      <c r="AJ190" s="31"/>
      <c r="AK190" s="31"/>
      <c r="AL190" s="31"/>
      <c r="AM190" s="31"/>
      <c r="AN190" s="31"/>
      <c r="AO190" s="31"/>
      <c r="AP190" s="31"/>
      <c r="AQ190" s="31"/>
      <c r="AR190" s="31"/>
      <c r="AS190" s="31"/>
      <c r="AT190" s="31"/>
      <c r="AU190" s="31" t="n">
        <f aca="false">IF($G190="",AJ190,L190)</f>
        <v>0</v>
      </c>
      <c r="AV190" s="31" t="n">
        <f aca="false">IF($G190="",AK190,M190)</f>
        <v>0</v>
      </c>
      <c r="AW190" s="31" t="n">
        <f aca="false">IF($G190="",AL190,N190)</f>
        <v>0</v>
      </c>
      <c r="AX190" s="31" t="n">
        <f aca="false">IF($G190="",AM190,O190)</f>
        <v>0</v>
      </c>
      <c r="AY190" s="31" t="n">
        <f aca="false">IF($G190="",AN190,P190)</f>
        <v>0</v>
      </c>
      <c r="AZ190" s="31" t="n">
        <f aca="false">IF($G190="",AO190,Q190)</f>
        <v>0</v>
      </c>
      <c r="BA190" s="31" t="n">
        <f aca="false">IF($G190="",AP190,R190)</f>
        <v>0</v>
      </c>
      <c r="BB190" s="31" t="n">
        <f aca="false">IF($G190="",AQ190,S190)</f>
        <v>0</v>
      </c>
      <c r="BC190" s="31" t="n">
        <f aca="false">IF($G190="",AR190,T190)</f>
        <v>0</v>
      </c>
      <c r="BD190" s="31" t="n">
        <f aca="false">IF($G190="",AS190,U190)</f>
        <v>0</v>
      </c>
      <c r="BE190" s="31" t="n">
        <f aca="false">IF($G190="",AT190,V190)</f>
        <v>0</v>
      </c>
      <c r="BF190" s="31" t="n">
        <f aca="false">ROUNDDOWN(I190*設定!$B$10/1000,0)+ROUNDDOWN(I190*設定!$B$11/1000,0)</f>
        <v>0</v>
      </c>
      <c r="BG190" s="31" t="n">
        <f aca="false">ROUNDDOWN(I190*設定!$C$10/1000,0)+ROUNDDOWN(I190*設定!$C$11/1000,0)+ROUNDDOWN(I190*設定!$C$12/1000,0)</f>
        <v>0</v>
      </c>
      <c r="BH190" s="31" t="n">
        <f aca="false">ROUNDDOWN(J190*設定!$B$13/1000,0)</f>
        <v>0</v>
      </c>
      <c r="BI190" s="31" t="n">
        <f aca="false">ROUNDDOWN(J190*設定!$C$13/1000,0)</f>
        <v>0</v>
      </c>
      <c r="BJ190" s="31" t="n">
        <f aca="false">ROUNDDOWN(K190*設定!$B$14/1000,0)</f>
        <v>0</v>
      </c>
      <c r="BK190" s="31" t="n">
        <f aca="false">ROUNDDOWN(K190*設定!$C$14/1000,0)</f>
        <v>0</v>
      </c>
      <c r="BL190" s="31" t="n">
        <f aca="false">ROUNDDOWN(J190*設定!$B$15/1000,0)</f>
        <v>0</v>
      </c>
      <c r="BM190" s="31" t="n">
        <f aca="false">ROUNDDOWN(J190*設定!$C$15/1000,0)</f>
        <v>0</v>
      </c>
      <c r="BN190" s="31" t="n">
        <f aca="false">L190+M190</f>
        <v>0</v>
      </c>
      <c r="BO190" s="31" t="n">
        <f aca="false">N190+O190+P190</f>
        <v>0</v>
      </c>
      <c r="BP190" s="31" t="n">
        <f aca="false">Q190</f>
        <v>0</v>
      </c>
      <c r="BQ190" s="31" t="n">
        <f aca="false">R190</f>
        <v>0</v>
      </c>
      <c r="BR190" s="31" t="n">
        <f aca="false">S190</f>
        <v>0</v>
      </c>
      <c r="BS190" s="31" t="n">
        <f aca="false">T190</f>
        <v>0</v>
      </c>
      <c r="BT190" s="31" t="n">
        <f aca="false">U190</f>
        <v>0</v>
      </c>
      <c r="BU190" s="31" t="n">
        <f aca="false">V190</f>
        <v>0</v>
      </c>
      <c r="BV190" s="32" t="n">
        <f aca="false">IF(BF190=0,IF(BN190=0,0,1),(BN190-BF190)/BF190)</f>
        <v>0</v>
      </c>
      <c r="BW190" s="32" t="n">
        <f aca="false">IF(BG190=0,IF(BO190=0,0,1),(BO190-BG190)/BG190)</f>
        <v>0</v>
      </c>
      <c r="BX190" s="32" t="n">
        <f aca="false">IF(BH190=0,IF(BP190=0,0,1),(BP190-BH190)/BH190)</f>
        <v>0</v>
      </c>
      <c r="BY190" s="32" t="n">
        <f aca="false">IF(BI190=0,IF(BQ190=0,0,1),(BQ190-BI190)/BI190)</f>
        <v>0</v>
      </c>
      <c r="BZ190" s="32" t="n">
        <f aca="false">IF(BJ190=0,IF(BR190=0,0,1),(BR190-BJ190)/BJ190)</f>
        <v>0</v>
      </c>
      <c r="CA190" s="32" t="n">
        <f aca="false">IF(BK190=0,IF(BS190=0,0,1),(BS190-BK190)/BK190)</f>
        <v>0</v>
      </c>
      <c r="CB190" s="32" t="n">
        <f aca="false">IF(BL190=0,IF(BT190=0,0,1),(BT190-BL190)/BL190)</f>
        <v>0</v>
      </c>
      <c r="CC190" s="32" t="n">
        <f aca="false">IF(BM190=0,IF(BU190=0,0,1),(BU190-BM190)/BM190)</f>
        <v>0</v>
      </c>
      <c r="CD190" s="32" t="n">
        <f aca="false">MAX(MAX(BV190:CC190),-MIN(BV190:CC190))</f>
        <v>-0</v>
      </c>
      <c r="CE190" s="31" t="str">
        <f aca="false">IF(CI190="","",SUMIFS($CF$7:$CF$696,$A$7:$A$696,CI190,$B$7:$B$696,B190))</f>
        <v/>
      </c>
      <c r="CF190" s="31" t="n">
        <f aca="false">SUM(AU190:BE190)</f>
        <v>0</v>
      </c>
      <c r="CG190" s="33" t="str">
        <f aca="false">A190&amp;"|"&amp;B190</f>
        <v>2026-06 賞与|任意継続組合員</v>
      </c>
      <c r="CH190" s="34" t="str">
        <f aca="false">IFERROR(INDEX(設定!$D$61:$D$106,MATCH(B190,設定!$B$61:$B$106,0)),"Y")</f>
        <v>N</v>
      </c>
      <c r="CI190" s="34" t="str">
        <f aca="false">IFERROR(INDEX(設定!$D$20:$D$34,MATCH(A190,設定!$A$20:$A$34,0))&amp;"","")</f>
        <v/>
      </c>
    </row>
    <row r="191" customFormat="false" ht="15" hidden="true" customHeight="false" outlineLevel="0" collapsed="false">
      <c r="A191" s="22" t="s">
        <v>211</v>
      </c>
      <c r="B191" s="23" t="s">
        <v>158</v>
      </c>
      <c r="C191" s="10" t="str">
        <f aca="false">IF(G191="","未受領",IF(G191="なし","報告なし",IF(AH191="○","起票済",IF(OR(AG191="○",F191="一致",F191="入金不要"),"入金確認済","受領済"))))</f>
        <v>入金確認済</v>
      </c>
      <c r="D191" s="10" t="str">
        <f aca="false">IF(OR(G191="",G191="なし"),"―",IF(CH191="N","対象外",IF(AND(I191="",J191="",K191=""),"標報未入力",IF(CD191&gt;=設定!$B$4,"要確認","問題なし"))))</f>
        <v>対象外</v>
      </c>
      <c r="E191" s="24" t="str">
        <f aca="false">IF(OR(G191="",G191="なし",CE191="",CF191=0),"―",IF(CF191=CE191,"前月同額",IF(CE191=0,"―",IF(ABS(CF191/CE191-1)&gt;=設定!$B$5,"変動大 "&amp;TEXT(CF191/CE191-1,"+0%;-0%"),"〇"))))</f>
        <v>〇</v>
      </c>
      <c r="F191" s="10" t="str">
        <f aca="false">IF(OR(G191="",G191="なし"),"―",IF(CF191=0,"入金不要",IF(COUNT(Z191,AB191,AD191,AF191)=0,IF(AG191="○","手動確認","未入金"),IF(AND(N(Z191)=Y191,IF(AA191="",TRUE(),N(AB191)=AA191),IF(AC191="",TRUE(),N(AD191)=AC191),IF(AE191="",TRUE(),N(AF191)=AE191)),"一致","不一致"))))</f>
        <v>手動確認</v>
      </c>
      <c r="G191" s="25" t="s">
        <v>159</v>
      </c>
      <c r="H191" s="26"/>
      <c r="I191" s="27"/>
      <c r="J191" s="27"/>
      <c r="K191" s="27"/>
      <c r="L191" s="27" t="n">
        <v>244123006</v>
      </c>
      <c r="M191" s="27" t="n">
        <v>20014957</v>
      </c>
      <c r="N191" s="27" t="n">
        <v>350370377</v>
      </c>
      <c r="O191" s="27" t="n">
        <v>19497061</v>
      </c>
      <c r="P191" s="27" t="n">
        <v>236288</v>
      </c>
      <c r="Q191" s="27" t="n">
        <v>176768259</v>
      </c>
      <c r="R191" s="27" t="n">
        <v>176034034</v>
      </c>
      <c r="S191" s="27" t="n">
        <v>16103399</v>
      </c>
      <c r="T191" s="27" t="n">
        <v>15690256</v>
      </c>
      <c r="U191" s="27" t="n">
        <v>3918168</v>
      </c>
      <c r="V191" s="27" t="n">
        <v>3834790</v>
      </c>
      <c r="W191" s="10" t="str">
        <f aca="false">IFERROR(INDEX(設定!$E$61:$E$106,MATCH(B191,設定!$B$61:$B$106,0)),"合算")</f>
        <v>合算</v>
      </c>
      <c r="X191" s="28"/>
      <c r="Y191" s="29" t="n">
        <f aca="false">IF(OR(G191="",G191="なし"),"",IF(W191="合算",CF191,IF(W191="掛金・負担金別",(AU191+AV191+AZ191+BB191+BD191),SUM(AU191:AY191))))</f>
        <v>1026590595</v>
      </c>
      <c r="Z191" s="27"/>
      <c r="AA191" s="29" t="str">
        <f aca="false">IF(OR(G191="",G191="なし"),"",IF(W191="掛金・負担金別",(AW191+AX191+AY191+BA191+BC191+BE191),IF(W191="経理区分別",AZ191+BA191,"")))</f>
        <v/>
      </c>
      <c r="AB191" s="27"/>
      <c r="AC191" s="29" t="str">
        <f aca="false">IF(OR(G191="",G191="なし"),"",IF(W191="経理区分別",BB191+BC191,""))</f>
        <v/>
      </c>
      <c r="AD191" s="27"/>
      <c r="AE191" s="29" t="str">
        <f aca="false">IF(OR(G191="",G191="なし"),"",IF(W191="経理区分別",BD191+BE191,""))</f>
        <v/>
      </c>
      <c r="AF191" s="27"/>
      <c r="AG191" s="26" t="s">
        <v>160</v>
      </c>
      <c r="AH191" s="26"/>
      <c r="AI191" s="30"/>
      <c r="AJ191" s="31"/>
      <c r="AK191" s="31"/>
      <c r="AL191" s="31"/>
      <c r="AM191" s="31"/>
      <c r="AN191" s="31"/>
      <c r="AO191" s="31"/>
      <c r="AP191" s="31"/>
      <c r="AQ191" s="31"/>
      <c r="AR191" s="31"/>
      <c r="AS191" s="31"/>
      <c r="AT191" s="31"/>
      <c r="AU191" s="31" t="n">
        <f aca="false">IF($G191="",AJ191,L191)</f>
        <v>244123006</v>
      </c>
      <c r="AV191" s="31" t="n">
        <f aca="false">IF($G191="",AK191,M191)</f>
        <v>20014957</v>
      </c>
      <c r="AW191" s="31" t="n">
        <f aca="false">IF($G191="",AL191,N191)</f>
        <v>350370377</v>
      </c>
      <c r="AX191" s="31" t="n">
        <f aca="false">IF($G191="",AM191,O191)</f>
        <v>19497061</v>
      </c>
      <c r="AY191" s="31" t="n">
        <f aca="false">IF($G191="",AN191,P191)</f>
        <v>236288</v>
      </c>
      <c r="AZ191" s="31" t="n">
        <f aca="false">IF($G191="",AO191,Q191)</f>
        <v>176768259</v>
      </c>
      <c r="BA191" s="31" t="n">
        <f aca="false">IF($G191="",AP191,R191)</f>
        <v>176034034</v>
      </c>
      <c r="BB191" s="31" t="n">
        <f aca="false">IF($G191="",AQ191,S191)</f>
        <v>16103399</v>
      </c>
      <c r="BC191" s="31" t="n">
        <f aca="false">IF($G191="",AR191,T191)</f>
        <v>15690256</v>
      </c>
      <c r="BD191" s="31" t="n">
        <f aca="false">IF($G191="",AS191,U191)</f>
        <v>3918168</v>
      </c>
      <c r="BE191" s="31" t="n">
        <f aca="false">IF($G191="",AT191,V191)</f>
        <v>3834790</v>
      </c>
      <c r="BF191" s="31" t="n">
        <f aca="false">ROUNDDOWN(I191*設定!$B$10/1000,0)+ROUNDDOWN(I191*設定!$B$11/1000,0)</f>
        <v>0</v>
      </c>
      <c r="BG191" s="31" t="n">
        <f aca="false">ROUNDDOWN(I191*設定!$C$10/1000,0)+ROUNDDOWN(I191*設定!$C$11/1000,0)+ROUNDDOWN(I191*設定!$C$12/1000,0)</f>
        <v>0</v>
      </c>
      <c r="BH191" s="31" t="n">
        <f aca="false">ROUNDDOWN(J191*設定!$B$13/1000,0)</f>
        <v>0</v>
      </c>
      <c r="BI191" s="31" t="n">
        <f aca="false">ROUNDDOWN(J191*設定!$C$13/1000,0)</f>
        <v>0</v>
      </c>
      <c r="BJ191" s="31" t="n">
        <f aca="false">ROUNDDOWN(K191*設定!$B$14/1000,0)</f>
        <v>0</v>
      </c>
      <c r="BK191" s="31" t="n">
        <f aca="false">ROUNDDOWN(K191*設定!$C$14/1000,0)</f>
        <v>0</v>
      </c>
      <c r="BL191" s="31" t="n">
        <f aca="false">ROUNDDOWN(J191*設定!$B$15/1000,0)</f>
        <v>0</v>
      </c>
      <c r="BM191" s="31" t="n">
        <f aca="false">ROUNDDOWN(J191*設定!$C$15/1000,0)</f>
        <v>0</v>
      </c>
      <c r="BN191" s="31" t="n">
        <f aca="false">L191+M191</f>
        <v>264137963</v>
      </c>
      <c r="BO191" s="31" t="n">
        <f aca="false">N191+O191+P191</f>
        <v>370103726</v>
      </c>
      <c r="BP191" s="31" t="n">
        <f aca="false">Q191</f>
        <v>176768259</v>
      </c>
      <c r="BQ191" s="31" t="n">
        <f aca="false">R191</f>
        <v>176034034</v>
      </c>
      <c r="BR191" s="31" t="n">
        <f aca="false">S191</f>
        <v>16103399</v>
      </c>
      <c r="BS191" s="31" t="n">
        <f aca="false">T191</f>
        <v>15690256</v>
      </c>
      <c r="BT191" s="31" t="n">
        <f aca="false">U191</f>
        <v>3918168</v>
      </c>
      <c r="BU191" s="31" t="n">
        <f aca="false">V191</f>
        <v>3834790</v>
      </c>
      <c r="BV191" s="32" t="n">
        <f aca="false">IF(BF191=0,IF(BN191=0,0,1),(BN191-BF191)/BF191)</f>
        <v>1</v>
      </c>
      <c r="BW191" s="32" t="n">
        <f aca="false">IF(BG191=0,IF(BO191=0,0,1),(BO191-BG191)/BG191)</f>
        <v>1</v>
      </c>
      <c r="BX191" s="32" t="n">
        <f aca="false">IF(BH191=0,IF(BP191=0,0,1),(BP191-BH191)/BH191)</f>
        <v>1</v>
      </c>
      <c r="BY191" s="32" t="n">
        <f aca="false">IF(BI191=0,IF(BQ191=0,0,1),(BQ191-BI191)/BI191)</f>
        <v>1</v>
      </c>
      <c r="BZ191" s="32" t="n">
        <f aca="false">IF(BJ191=0,IF(BR191=0,0,1),(BR191-BJ191)/BJ191)</f>
        <v>1</v>
      </c>
      <c r="CA191" s="32" t="n">
        <f aca="false">IF(BK191=0,IF(BS191=0,0,1),(BS191-BK191)/BK191)</f>
        <v>1</v>
      </c>
      <c r="CB191" s="32" t="n">
        <f aca="false">IF(BL191=0,IF(BT191=0,0,1),(BT191-BL191)/BL191)</f>
        <v>1</v>
      </c>
      <c r="CC191" s="32" t="n">
        <f aca="false">IF(BM191=0,IF(BU191=0,0,1),(BU191-BM191)/BM191)</f>
        <v>1</v>
      </c>
      <c r="CD191" s="32" t="n">
        <f aca="false">MAX(MAX(BV191:CC191),-MIN(BV191:CC191))</f>
        <v>1</v>
      </c>
      <c r="CE191" s="31" t="n">
        <f aca="false">IF(CI191="","",SUMIFS($CF$7:$CF$696,$A$7:$A$696,CI191,$B$7:$B$696,B191))</f>
        <v>1001121112</v>
      </c>
      <c r="CF191" s="31" t="n">
        <f aca="false">SUM(AU191:BE191)</f>
        <v>1026590595</v>
      </c>
      <c r="CG191" s="33" t="str">
        <f aca="false">A191&amp;"|"&amp;B191</f>
        <v>2026-07 月例|市長部局</v>
      </c>
      <c r="CH191" s="34" t="str">
        <f aca="false">IFERROR(INDEX(設定!$D$61:$D$106,MATCH(B191,設定!$B$61:$B$106,0)),"Y")</f>
        <v>N</v>
      </c>
      <c r="CI191" s="34" t="str">
        <f aca="false">IFERROR(INDEX(設定!$D$20:$D$34,MATCH(A191,設定!$A$20:$A$34,0))&amp;"","")</f>
        <v>2026-06 月例</v>
      </c>
    </row>
    <row r="192" customFormat="false" ht="15" hidden="true" customHeight="false" outlineLevel="0" collapsed="false">
      <c r="A192" s="22" t="s">
        <v>211</v>
      </c>
      <c r="B192" s="23" t="s">
        <v>161</v>
      </c>
      <c r="C192" s="10" t="str">
        <f aca="false">IF(G192="","未受領",IF(G192="なし","報告なし",IF(AH192="○","起票済",IF(OR(AG192="○",F192="一致",F192="入金不要"),"入金確認済","受領済"))))</f>
        <v>入金確認済</v>
      </c>
      <c r="D192" s="10" t="str">
        <f aca="false">IF(OR(G192="",G192="なし"),"―",IF(CH192="N","対象外",IF(AND(I192="",J192="",K192=""),"標報未入力",IF(CD192&gt;=設定!$B$4,"要確認","問題なし"))))</f>
        <v>標報未入力</v>
      </c>
      <c r="E192" s="24" t="str">
        <f aca="false">IF(OR(G192="",G192="なし",CE192="",CF192=0),"―",IF(CF192=CE192,"前月同額",IF(CE192=0,"―",IF(ABS(CF192/CE192-1)&gt;=設定!$B$5,"変動大 "&amp;TEXT(CF192/CE192-1,"+0%;-0%"),"〇"))))</f>
        <v>〇</v>
      </c>
      <c r="F192" s="10" t="str">
        <f aca="false">IF(OR(G192="",G192="なし"),"―",IF(CF192=0,"入金不要",IF(COUNT(Z192,AB192,AD192,AF192)=0,IF(AG192="○","手動確認","未入金"),IF(AND(N(Z192)=Y192,IF(AA192="",TRUE(),N(AB192)=AA192),IF(AC192="",TRUE(),N(AD192)=AC192),IF(AE192="",TRUE(),N(AF192)=AE192)),"一致","不一致"))))</f>
        <v>手動確認</v>
      </c>
      <c r="G192" s="25" t="s">
        <v>159</v>
      </c>
      <c r="H192" s="26"/>
      <c r="I192" s="27"/>
      <c r="J192" s="27"/>
      <c r="K192" s="27"/>
      <c r="L192" s="27" t="n">
        <v>16670844</v>
      </c>
      <c r="M192" s="27" t="n">
        <v>1366464</v>
      </c>
      <c r="N192" s="27" t="n">
        <v>24012163</v>
      </c>
      <c r="O192" s="27" t="n">
        <v>1366463</v>
      </c>
      <c r="P192" s="27" t="n">
        <v>15983</v>
      </c>
      <c r="Q192" s="27" t="n">
        <v>9763701</v>
      </c>
      <c r="R192" s="27" t="n">
        <v>9929666</v>
      </c>
      <c r="S192" s="27" t="n">
        <v>1038285</v>
      </c>
      <c r="T192" s="27" t="n">
        <v>1038282</v>
      </c>
      <c r="U192" s="27" t="n">
        <v>216545</v>
      </c>
      <c r="V192" s="27" t="n">
        <v>216620</v>
      </c>
      <c r="W192" s="10" t="str">
        <f aca="false">IFERROR(INDEX(設定!$E$61:$E$106,MATCH(B192,設定!$B$61:$B$106,0)),"合算")</f>
        <v>合算</v>
      </c>
      <c r="X192" s="28"/>
      <c r="Y192" s="29" t="n">
        <f aca="false">IF(OR(G192="",G192="なし"),"",IF(W192="合算",CF192,IF(W192="掛金・負担金別",(AU192+AV192+AZ192+BB192+BD192),SUM(AU192:AY192))))</f>
        <v>65635016</v>
      </c>
      <c r="Z192" s="27"/>
      <c r="AA192" s="29" t="str">
        <f aca="false">IF(OR(G192="",G192="なし"),"",IF(W192="掛金・負担金別",(AW192+AX192+AY192+BA192+BC192+BE192),IF(W192="経理区分別",AZ192+BA192,"")))</f>
        <v/>
      </c>
      <c r="AB192" s="27"/>
      <c r="AC192" s="29" t="str">
        <f aca="false">IF(OR(G192="",G192="なし"),"",IF(W192="経理区分別",BB192+BC192,""))</f>
        <v/>
      </c>
      <c r="AD192" s="27"/>
      <c r="AE192" s="29" t="str">
        <f aca="false">IF(OR(G192="",G192="なし"),"",IF(W192="経理区分別",BD192+BE192,""))</f>
        <v/>
      </c>
      <c r="AF192" s="27"/>
      <c r="AG192" s="26" t="s">
        <v>160</v>
      </c>
      <c r="AH192" s="26"/>
      <c r="AI192" s="30"/>
      <c r="AJ192" s="31"/>
      <c r="AK192" s="31"/>
      <c r="AL192" s="31"/>
      <c r="AM192" s="31"/>
      <c r="AN192" s="31"/>
      <c r="AO192" s="31"/>
      <c r="AP192" s="31"/>
      <c r="AQ192" s="31"/>
      <c r="AR192" s="31"/>
      <c r="AS192" s="31"/>
      <c r="AT192" s="31"/>
      <c r="AU192" s="31" t="n">
        <f aca="false">IF($G192="",AJ192,L192)</f>
        <v>16670844</v>
      </c>
      <c r="AV192" s="31" t="n">
        <f aca="false">IF($G192="",AK192,M192)</f>
        <v>1366464</v>
      </c>
      <c r="AW192" s="31" t="n">
        <f aca="false">IF($G192="",AL192,N192)</f>
        <v>24012163</v>
      </c>
      <c r="AX192" s="31" t="n">
        <f aca="false">IF($G192="",AM192,O192)</f>
        <v>1366463</v>
      </c>
      <c r="AY192" s="31" t="n">
        <f aca="false">IF($G192="",AN192,P192)</f>
        <v>15983</v>
      </c>
      <c r="AZ192" s="31" t="n">
        <f aca="false">IF($G192="",AO192,Q192)</f>
        <v>9763701</v>
      </c>
      <c r="BA192" s="31" t="n">
        <f aca="false">IF($G192="",AP192,R192)</f>
        <v>9929666</v>
      </c>
      <c r="BB192" s="31" t="n">
        <f aca="false">IF($G192="",AQ192,S192)</f>
        <v>1038285</v>
      </c>
      <c r="BC192" s="31" t="n">
        <f aca="false">IF($G192="",AR192,T192)</f>
        <v>1038282</v>
      </c>
      <c r="BD192" s="31" t="n">
        <f aca="false">IF($G192="",AS192,U192)</f>
        <v>216545</v>
      </c>
      <c r="BE192" s="31" t="n">
        <f aca="false">IF($G192="",AT192,V192)</f>
        <v>216620</v>
      </c>
      <c r="BF192" s="31" t="n">
        <f aca="false">ROUNDDOWN(I192*設定!$B$10/1000,0)+ROUNDDOWN(I192*設定!$B$11/1000,0)</f>
        <v>0</v>
      </c>
      <c r="BG192" s="31" t="n">
        <f aca="false">ROUNDDOWN(I192*設定!$C$10/1000,0)+ROUNDDOWN(I192*設定!$C$11/1000,0)+ROUNDDOWN(I192*設定!$C$12/1000,0)</f>
        <v>0</v>
      </c>
      <c r="BH192" s="31" t="n">
        <f aca="false">ROUNDDOWN(J192*設定!$B$13/1000,0)</f>
        <v>0</v>
      </c>
      <c r="BI192" s="31" t="n">
        <f aca="false">ROUNDDOWN(J192*設定!$C$13/1000,0)</f>
        <v>0</v>
      </c>
      <c r="BJ192" s="31" t="n">
        <f aca="false">ROUNDDOWN(K192*設定!$B$14/1000,0)</f>
        <v>0</v>
      </c>
      <c r="BK192" s="31" t="n">
        <f aca="false">ROUNDDOWN(K192*設定!$C$14/1000,0)</f>
        <v>0</v>
      </c>
      <c r="BL192" s="31" t="n">
        <f aca="false">ROUNDDOWN(J192*設定!$B$15/1000,0)</f>
        <v>0</v>
      </c>
      <c r="BM192" s="31" t="n">
        <f aca="false">ROUNDDOWN(J192*設定!$C$15/1000,0)</f>
        <v>0</v>
      </c>
      <c r="BN192" s="31" t="n">
        <f aca="false">L192+M192</f>
        <v>18037308</v>
      </c>
      <c r="BO192" s="31" t="n">
        <f aca="false">N192+O192+P192</f>
        <v>25394609</v>
      </c>
      <c r="BP192" s="31" t="n">
        <f aca="false">Q192</f>
        <v>9763701</v>
      </c>
      <c r="BQ192" s="31" t="n">
        <f aca="false">R192</f>
        <v>9929666</v>
      </c>
      <c r="BR192" s="31" t="n">
        <f aca="false">S192</f>
        <v>1038285</v>
      </c>
      <c r="BS192" s="31" t="n">
        <f aca="false">T192</f>
        <v>1038282</v>
      </c>
      <c r="BT192" s="31" t="n">
        <f aca="false">U192</f>
        <v>216545</v>
      </c>
      <c r="BU192" s="31" t="n">
        <f aca="false">V192</f>
        <v>216620</v>
      </c>
      <c r="BV192" s="32" t="n">
        <f aca="false">IF(BF192=0,IF(BN192=0,0,1),(BN192-BF192)/BF192)</f>
        <v>1</v>
      </c>
      <c r="BW192" s="32" t="n">
        <f aca="false">IF(BG192=0,IF(BO192=0,0,1),(BO192-BG192)/BG192)</f>
        <v>1</v>
      </c>
      <c r="BX192" s="32" t="n">
        <f aca="false">IF(BH192=0,IF(BP192=0,0,1),(BP192-BH192)/BH192)</f>
        <v>1</v>
      </c>
      <c r="BY192" s="32" t="n">
        <f aca="false">IF(BI192=0,IF(BQ192=0,0,1),(BQ192-BI192)/BI192)</f>
        <v>1</v>
      </c>
      <c r="BZ192" s="32" t="n">
        <f aca="false">IF(BJ192=0,IF(BR192=0,0,1),(BR192-BJ192)/BJ192)</f>
        <v>1</v>
      </c>
      <c r="CA192" s="32" t="n">
        <f aca="false">IF(BK192=0,IF(BS192=0,0,1),(BS192-BK192)/BK192)</f>
        <v>1</v>
      </c>
      <c r="CB192" s="32" t="n">
        <f aca="false">IF(BL192=0,IF(BT192=0,0,1),(BT192-BL192)/BL192)</f>
        <v>1</v>
      </c>
      <c r="CC192" s="32" t="n">
        <f aca="false">IF(BM192=0,IF(BU192=0,0,1),(BU192-BM192)/BM192)</f>
        <v>1</v>
      </c>
      <c r="CD192" s="32" t="n">
        <f aca="false">MAX(MAX(BV192:CC192),-MIN(BV192:CC192))</f>
        <v>1</v>
      </c>
      <c r="CE192" s="31" t="n">
        <f aca="false">IF(CI192="","",SUMIFS($CF$7:$CF$696,$A$7:$A$696,CI192,$B$7:$B$696,B192))</f>
        <v>64568412</v>
      </c>
      <c r="CF192" s="31" t="n">
        <f aca="false">SUM(AU192:BE192)</f>
        <v>65635016</v>
      </c>
      <c r="CG192" s="33" t="str">
        <f aca="false">A192&amp;"|"&amp;B192</f>
        <v>2026-07 月例|下水道局</v>
      </c>
      <c r="CH192" s="34" t="str">
        <f aca="false">IFERROR(INDEX(設定!$D$61:$D$106,MATCH(B192,設定!$B$61:$B$106,0)),"Y")</f>
        <v>Y</v>
      </c>
      <c r="CI192" s="34" t="str">
        <f aca="false">IFERROR(INDEX(設定!$D$20:$D$34,MATCH(A192,設定!$A$20:$A$34,0))&amp;"","")</f>
        <v>2026-06 月例</v>
      </c>
    </row>
    <row r="193" customFormat="false" ht="15" hidden="true" customHeight="false" outlineLevel="0" collapsed="false">
      <c r="A193" s="22" t="s">
        <v>211</v>
      </c>
      <c r="B193" s="23" t="s">
        <v>162</v>
      </c>
      <c r="C193" s="10" t="str">
        <f aca="false">IF(G193="","未受領",IF(G193="なし","報告なし",IF(AH193="○","起票済",IF(OR(AG193="○",F193="一致",F193="入金不要"),"入金確認済","受領済"))))</f>
        <v>入金確認済</v>
      </c>
      <c r="D193" s="10" t="str">
        <f aca="false">IF(OR(G193="",G193="なし"),"―",IF(CH193="N","対象外",IF(AND(I193="",J193="",K193=""),"標報未入力",IF(CD193&gt;=設定!$B$4,"要確認","問題なし"))))</f>
        <v>対象外</v>
      </c>
      <c r="E193" s="24" t="str">
        <f aca="false">IF(OR(G193="",G193="なし",CE193="",CF193=0),"―",IF(CF193=CE193,"前月同額",IF(CE193=0,"―",IF(ABS(CF193/CE193-1)&gt;=設定!$B$5,"変動大 "&amp;TEXT(CF193/CE193-1,"+0%;-0%"),"〇"))))</f>
        <v>〇</v>
      </c>
      <c r="F193" s="10" t="str">
        <f aca="false">IF(OR(G193="",G193="なし"),"―",IF(CF193=0,"入金不要",IF(COUNT(Z193,AB193,AD193,AF193)=0,IF(AG193="○","手動確認","未入金"),IF(AND(N(Z193)=Y193,IF(AA193="",TRUE(),N(AB193)=AA193),IF(AC193="",TRUE(),N(AD193)=AC193),IF(AE193="",TRUE(),N(AF193)=AE193)),"一致","不一致"))))</f>
        <v>手動確認</v>
      </c>
      <c r="G193" s="25" t="s">
        <v>159</v>
      </c>
      <c r="H193" s="26"/>
      <c r="I193" s="27"/>
      <c r="J193" s="27"/>
      <c r="K193" s="27"/>
      <c r="L193" s="27" t="n">
        <v>55474802</v>
      </c>
      <c r="M193" s="27" t="n">
        <v>4547114</v>
      </c>
      <c r="N193" s="27" t="n">
        <v>79748812</v>
      </c>
      <c r="O193" s="27" t="n">
        <v>4523176</v>
      </c>
      <c r="P193" s="27" t="n">
        <v>53211</v>
      </c>
      <c r="Q193" s="27" t="n">
        <v>32141726</v>
      </c>
      <c r="R193" s="27" t="n">
        <v>32523185</v>
      </c>
      <c r="S193" s="27" t="n">
        <v>2067121</v>
      </c>
      <c r="T193" s="27" t="n">
        <v>2054164</v>
      </c>
      <c r="U193" s="27" t="n">
        <v>712644</v>
      </c>
      <c r="V193" s="27" t="n">
        <v>709244</v>
      </c>
      <c r="W193" s="10" t="str">
        <f aca="false">IFERROR(INDEX(設定!$E$61:$E$106,MATCH(B193,設定!$B$61:$B$106,0)),"合算")</f>
        <v>合算</v>
      </c>
      <c r="X193" s="28"/>
      <c r="Y193" s="29" t="n">
        <f aca="false">IF(OR(G193="",G193="なし"),"",IF(W193="合算",CF193,IF(W193="掛金・負担金別",(AU193+AV193+AZ193+BB193+BD193),SUM(AU193:AY193))))</f>
        <v>214555199</v>
      </c>
      <c r="Z193" s="27"/>
      <c r="AA193" s="29" t="str">
        <f aca="false">IF(OR(G193="",G193="なし"),"",IF(W193="掛金・負担金別",(AW193+AX193+AY193+BA193+BC193+BE193),IF(W193="経理区分別",AZ193+BA193,"")))</f>
        <v/>
      </c>
      <c r="AB193" s="27"/>
      <c r="AC193" s="29" t="str">
        <f aca="false">IF(OR(G193="",G193="なし"),"",IF(W193="経理区分別",BB193+BC193,""))</f>
        <v/>
      </c>
      <c r="AD193" s="27"/>
      <c r="AE193" s="29" t="str">
        <f aca="false">IF(OR(G193="",G193="なし"),"",IF(W193="経理区分別",BD193+BE193,""))</f>
        <v/>
      </c>
      <c r="AF193" s="27"/>
      <c r="AG193" s="26" t="s">
        <v>160</v>
      </c>
      <c r="AH193" s="26"/>
      <c r="AI193" s="30"/>
      <c r="AJ193" s="31"/>
      <c r="AK193" s="31"/>
      <c r="AL193" s="31"/>
      <c r="AM193" s="31"/>
      <c r="AN193" s="31"/>
      <c r="AO193" s="31"/>
      <c r="AP193" s="31"/>
      <c r="AQ193" s="31"/>
      <c r="AR193" s="31"/>
      <c r="AS193" s="31"/>
      <c r="AT193" s="31"/>
      <c r="AU193" s="31" t="n">
        <f aca="false">IF($G193="",AJ193,L193)</f>
        <v>55474802</v>
      </c>
      <c r="AV193" s="31" t="n">
        <f aca="false">IF($G193="",AK193,M193)</f>
        <v>4547114</v>
      </c>
      <c r="AW193" s="31" t="n">
        <f aca="false">IF($G193="",AL193,N193)</f>
        <v>79748812</v>
      </c>
      <c r="AX193" s="31" t="n">
        <f aca="false">IF($G193="",AM193,O193)</f>
        <v>4523176</v>
      </c>
      <c r="AY193" s="31" t="n">
        <f aca="false">IF($G193="",AN193,P193)</f>
        <v>53211</v>
      </c>
      <c r="AZ193" s="31" t="n">
        <f aca="false">IF($G193="",AO193,Q193)</f>
        <v>32141726</v>
      </c>
      <c r="BA193" s="31" t="n">
        <f aca="false">IF($G193="",AP193,R193)</f>
        <v>32523185</v>
      </c>
      <c r="BB193" s="31" t="n">
        <f aca="false">IF($G193="",AQ193,S193)</f>
        <v>2067121</v>
      </c>
      <c r="BC193" s="31" t="n">
        <f aca="false">IF($G193="",AR193,T193)</f>
        <v>2054164</v>
      </c>
      <c r="BD193" s="31" t="n">
        <f aca="false">IF($G193="",AS193,U193)</f>
        <v>712644</v>
      </c>
      <c r="BE193" s="31" t="n">
        <f aca="false">IF($G193="",AT193,V193)</f>
        <v>709244</v>
      </c>
      <c r="BF193" s="31" t="n">
        <f aca="false">ROUNDDOWN(I193*設定!$B$10/1000,0)+ROUNDDOWN(I193*設定!$B$11/1000,0)</f>
        <v>0</v>
      </c>
      <c r="BG193" s="31" t="n">
        <f aca="false">ROUNDDOWN(I193*設定!$C$10/1000,0)+ROUNDDOWN(I193*設定!$C$11/1000,0)+ROUNDDOWN(I193*設定!$C$12/1000,0)</f>
        <v>0</v>
      </c>
      <c r="BH193" s="31" t="n">
        <f aca="false">ROUNDDOWN(J193*設定!$B$13/1000,0)</f>
        <v>0</v>
      </c>
      <c r="BI193" s="31" t="n">
        <f aca="false">ROUNDDOWN(J193*設定!$C$13/1000,0)</f>
        <v>0</v>
      </c>
      <c r="BJ193" s="31" t="n">
        <f aca="false">ROUNDDOWN(K193*設定!$B$14/1000,0)</f>
        <v>0</v>
      </c>
      <c r="BK193" s="31" t="n">
        <f aca="false">ROUNDDOWN(K193*設定!$C$14/1000,0)</f>
        <v>0</v>
      </c>
      <c r="BL193" s="31" t="n">
        <f aca="false">ROUNDDOWN(J193*設定!$B$15/1000,0)</f>
        <v>0</v>
      </c>
      <c r="BM193" s="31" t="n">
        <f aca="false">ROUNDDOWN(J193*設定!$C$15/1000,0)</f>
        <v>0</v>
      </c>
      <c r="BN193" s="31" t="n">
        <f aca="false">L193+M193</f>
        <v>60021916</v>
      </c>
      <c r="BO193" s="31" t="n">
        <f aca="false">N193+O193+P193</f>
        <v>84325199</v>
      </c>
      <c r="BP193" s="31" t="n">
        <f aca="false">Q193</f>
        <v>32141726</v>
      </c>
      <c r="BQ193" s="31" t="n">
        <f aca="false">R193</f>
        <v>32523185</v>
      </c>
      <c r="BR193" s="31" t="n">
        <f aca="false">S193</f>
        <v>2067121</v>
      </c>
      <c r="BS193" s="31" t="n">
        <f aca="false">T193</f>
        <v>2054164</v>
      </c>
      <c r="BT193" s="31" t="n">
        <f aca="false">U193</f>
        <v>712644</v>
      </c>
      <c r="BU193" s="31" t="n">
        <f aca="false">V193</f>
        <v>709244</v>
      </c>
      <c r="BV193" s="32" t="n">
        <f aca="false">IF(BF193=0,IF(BN193=0,0,1),(BN193-BF193)/BF193)</f>
        <v>1</v>
      </c>
      <c r="BW193" s="32" t="n">
        <f aca="false">IF(BG193=0,IF(BO193=0,0,1),(BO193-BG193)/BG193)</f>
        <v>1</v>
      </c>
      <c r="BX193" s="32" t="n">
        <f aca="false">IF(BH193=0,IF(BP193=0,0,1),(BP193-BH193)/BH193)</f>
        <v>1</v>
      </c>
      <c r="BY193" s="32" t="n">
        <f aca="false">IF(BI193=0,IF(BQ193=0,0,1),(BQ193-BI193)/BI193)</f>
        <v>1</v>
      </c>
      <c r="BZ193" s="32" t="n">
        <f aca="false">IF(BJ193=0,IF(BR193=0,0,1),(BR193-BJ193)/BJ193)</f>
        <v>1</v>
      </c>
      <c r="CA193" s="32" t="n">
        <f aca="false">IF(BK193=0,IF(BS193=0,0,1),(BS193-BK193)/BK193)</f>
        <v>1</v>
      </c>
      <c r="CB193" s="32" t="n">
        <f aca="false">IF(BL193=0,IF(BT193=0,0,1),(BT193-BL193)/BL193)</f>
        <v>1</v>
      </c>
      <c r="CC193" s="32" t="n">
        <f aca="false">IF(BM193=0,IF(BU193=0,0,1),(BU193-BM193)/BM193)</f>
        <v>1</v>
      </c>
      <c r="CD193" s="32" t="n">
        <f aca="false">MAX(MAX(BV193:CC193),-MIN(BV193:CC193))</f>
        <v>1</v>
      </c>
      <c r="CE193" s="31" t="n">
        <f aca="false">IF(CI193="","",SUMIFS($CF$7:$CF$696,$A$7:$A$696,CI193,$B$7:$B$696,B193))</f>
        <v>213739542</v>
      </c>
      <c r="CF193" s="31" t="n">
        <f aca="false">SUM(AU193:BE193)</f>
        <v>214555199</v>
      </c>
      <c r="CG193" s="33" t="str">
        <f aca="false">A193&amp;"|"&amp;B193</f>
        <v>2026-07 月例|消防局</v>
      </c>
      <c r="CH193" s="34" t="str">
        <f aca="false">IFERROR(INDEX(設定!$D$61:$D$106,MATCH(B193,設定!$B$61:$B$106,0)),"Y")</f>
        <v>N</v>
      </c>
      <c r="CI193" s="34" t="str">
        <f aca="false">IFERROR(INDEX(設定!$D$20:$D$34,MATCH(A193,設定!$A$20:$A$34,0))&amp;"","")</f>
        <v>2026-06 月例</v>
      </c>
    </row>
    <row r="194" customFormat="false" ht="15" hidden="true" customHeight="false" outlineLevel="0" collapsed="false">
      <c r="A194" s="22" t="s">
        <v>211</v>
      </c>
      <c r="B194" s="23" t="s">
        <v>163</v>
      </c>
      <c r="C194" s="10" t="str">
        <f aca="false">IF(G194="","未受領",IF(G194="なし","報告なし",IF(AH194="○","起票済",IF(OR(AG194="○",F194="一致",F194="入金不要"),"入金確認済","受領済"))))</f>
        <v>入金確認済</v>
      </c>
      <c r="D194" s="10" t="str">
        <f aca="false">IF(OR(G194="",G194="なし"),"―",IF(CH194="N","対象外",IF(AND(I194="",J194="",K194=""),"標報未入力",IF(CD194&gt;=設定!$B$4,"要確認","問題なし"))))</f>
        <v>標報未入力</v>
      </c>
      <c r="E194" s="24" t="str">
        <f aca="false">IF(OR(G194="",G194="なし",CE194="",CF194=0),"―",IF(CF194=CE194,"前月同額",IF(CE194=0,"―",IF(ABS(CF194/CE194-1)&gt;=設定!$B$5,"変動大 "&amp;TEXT(CF194/CE194-1,"+0%;-0%"),"〇"))))</f>
        <v>〇</v>
      </c>
      <c r="F194" s="10" t="str">
        <f aca="false">IF(OR(G194="",G194="なし"),"―",IF(CF194=0,"入金不要",IF(COUNT(Z194,AB194,AD194,AF194)=0,IF(AG194="○","手動確認","未入金"),IF(AND(N(Z194)=Y194,IF(AA194="",TRUE(),N(AB194)=AA194),IF(AC194="",TRUE(),N(AD194)=AC194),IF(AE194="",TRUE(),N(AF194)=AE194)),"一致","不一致"))))</f>
        <v>手動確認</v>
      </c>
      <c r="G194" s="25" t="s">
        <v>159</v>
      </c>
      <c r="H194" s="26"/>
      <c r="I194" s="27"/>
      <c r="J194" s="27"/>
      <c r="K194" s="27"/>
      <c r="L194" s="27" t="n">
        <v>1796328</v>
      </c>
      <c r="M194" s="27" t="n">
        <v>147240</v>
      </c>
      <c r="N194" s="27" t="n">
        <v>2604382</v>
      </c>
      <c r="O194" s="27" t="n">
        <v>147240</v>
      </c>
      <c r="P194" s="27" t="n">
        <v>1759</v>
      </c>
      <c r="Q194" s="27" t="n">
        <v>1024323</v>
      </c>
      <c r="R194" s="27" t="n">
        <v>1042063</v>
      </c>
      <c r="S194" s="27" t="n">
        <v>104770</v>
      </c>
      <c r="T194" s="27" t="n">
        <v>104769</v>
      </c>
      <c r="U194" s="27" t="n">
        <v>22706</v>
      </c>
      <c r="V194" s="27" t="n">
        <v>22715</v>
      </c>
      <c r="W194" s="10" t="str">
        <f aca="false">IFERROR(INDEX(設定!$E$61:$E$106,MATCH(B194,設定!$B$61:$B$106,0)),"合算")</f>
        <v>合算</v>
      </c>
      <c r="X194" s="28"/>
      <c r="Y194" s="29" t="n">
        <f aca="false">IF(OR(G194="",G194="なし"),"",IF(W194="合算",CF194,IF(W194="掛金・負担金別",(AU194+AV194+AZ194+BB194+BD194),SUM(AU194:AY194))))</f>
        <v>7018295</v>
      </c>
      <c r="Z194" s="27"/>
      <c r="AA194" s="29" t="str">
        <f aca="false">IF(OR(G194="",G194="なし"),"",IF(W194="掛金・負担金別",(AW194+AX194+AY194+BA194+BC194+BE194),IF(W194="経理区分別",AZ194+BA194,"")))</f>
        <v/>
      </c>
      <c r="AB194" s="27"/>
      <c r="AC194" s="29" t="str">
        <f aca="false">IF(OR(G194="",G194="なし"),"",IF(W194="経理区分別",BB194+BC194,""))</f>
        <v/>
      </c>
      <c r="AD194" s="27"/>
      <c r="AE194" s="29" t="str">
        <f aca="false">IF(OR(G194="",G194="なし"),"",IF(W194="経理区分別",BD194+BE194,""))</f>
        <v/>
      </c>
      <c r="AF194" s="27"/>
      <c r="AG194" s="26" t="s">
        <v>160</v>
      </c>
      <c r="AH194" s="26"/>
      <c r="AI194" s="30"/>
      <c r="AJ194" s="31"/>
      <c r="AK194" s="31"/>
      <c r="AL194" s="31"/>
      <c r="AM194" s="31"/>
      <c r="AN194" s="31"/>
      <c r="AO194" s="31"/>
      <c r="AP194" s="31"/>
      <c r="AQ194" s="31"/>
      <c r="AR194" s="31"/>
      <c r="AS194" s="31"/>
      <c r="AT194" s="31"/>
      <c r="AU194" s="31" t="n">
        <f aca="false">IF($G194="",AJ194,L194)</f>
        <v>1796328</v>
      </c>
      <c r="AV194" s="31" t="n">
        <f aca="false">IF($G194="",AK194,M194)</f>
        <v>147240</v>
      </c>
      <c r="AW194" s="31" t="n">
        <f aca="false">IF($G194="",AL194,N194)</f>
        <v>2604382</v>
      </c>
      <c r="AX194" s="31" t="n">
        <f aca="false">IF($G194="",AM194,O194)</f>
        <v>147240</v>
      </c>
      <c r="AY194" s="31" t="n">
        <f aca="false">IF($G194="",AN194,P194)</f>
        <v>1759</v>
      </c>
      <c r="AZ194" s="31" t="n">
        <f aca="false">IF($G194="",AO194,Q194)</f>
        <v>1024323</v>
      </c>
      <c r="BA194" s="31" t="n">
        <f aca="false">IF($G194="",AP194,R194)</f>
        <v>1042063</v>
      </c>
      <c r="BB194" s="31" t="n">
        <f aca="false">IF($G194="",AQ194,S194)</f>
        <v>104770</v>
      </c>
      <c r="BC194" s="31" t="n">
        <f aca="false">IF($G194="",AR194,T194)</f>
        <v>104769</v>
      </c>
      <c r="BD194" s="31" t="n">
        <f aca="false">IF($G194="",AS194,U194)</f>
        <v>22706</v>
      </c>
      <c r="BE194" s="31" t="n">
        <f aca="false">IF($G194="",AT194,V194)</f>
        <v>22715</v>
      </c>
      <c r="BF194" s="31" t="n">
        <f aca="false">ROUNDDOWN(I194*設定!$B$10/1000,0)+ROUNDDOWN(I194*設定!$B$11/1000,0)</f>
        <v>0</v>
      </c>
      <c r="BG194" s="31" t="n">
        <f aca="false">ROUNDDOWN(I194*設定!$C$10/1000,0)+ROUNDDOWN(I194*設定!$C$11/1000,0)+ROUNDDOWN(I194*設定!$C$12/1000,0)</f>
        <v>0</v>
      </c>
      <c r="BH194" s="31" t="n">
        <f aca="false">ROUNDDOWN(J194*設定!$B$13/1000,0)</f>
        <v>0</v>
      </c>
      <c r="BI194" s="31" t="n">
        <f aca="false">ROUNDDOWN(J194*設定!$C$13/1000,0)</f>
        <v>0</v>
      </c>
      <c r="BJ194" s="31" t="n">
        <f aca="false">ROUNDDOWN(K194*設定!$B$14/1000,0)</f>
        <v>0</v>
      </c>
      <c r="BK194" s="31" t="n">
        <f aca="false">ROUNDDOWN(K194*設定!$C$14/1000,0)</f>
        <v>0</v>
      </c>
      <c r="BL194" s="31" t="n">
        <f aca="false">ROUNDDOWN(J194*設定!$B$15/1000,0)</f>
        <v>0</v>
      </c>
      <c r="BM194" s="31" t="n">
        <f aca="false">ROUNDDOWN(J194*設定!$C$15/1000,0)</f>
        <v>0</v>
      </c>
      <c r="BN194" s="31" t="n">
        <f aca="false">L194+M194</f>
        <v>1943568</v>
      </c>
      <c r="BO194" s="31" t="n">
        <f aca="false">N194+O194+P194</f>
        <v>2753381</v>
      </c>
      <c r="BP194" s="31" t="n">
        <f aca="false">Q194</f>
        <v>1024323</v>
      </c>
      <c r="BQ194" s="31" t="n">
        <f aca="false">R194</f>
        <v>1042063</v>
      </c>
      <c r="BR194" s="31" t="n">
        <f aca="false">S194</f>
        <v>104770</v>
      </c>
      <c r="BS194" s="31" t="n">
        <f aca="false">T194</f>
        <v>104769</v>
      </c>
      <c r="BT194" s="31" t="n">
        <f aca="false">U194</f>
        <v>22706</v>
      </c>
      <c r="BU194" s="31" t="n">
        <f aca="false">V194</f>
        <v>22715</v>
      </c>
      <c r="BV194" s="32" t="n">
        <f aca="false">IF(BF194=0,IF(BN194=0,0,1),(BN194-BF194)/BF194)</f>
        <v>1</v>
      </c>
      <c r="BW194" s="32" t="n">
        <f aca="false">IF(BG194=0,IF(BO194=0,0,1),(BO194-BG194)/BG194)</f>
        <v>1</v>
      </c>
      <c r="BX194" s="32" t="n">
        <f aca="false">IF(BH194=0,IF(BP194=0,0,1),(BP194-BH194)/BH194)</f>
        <v>1</v>
      </c>
      <c r="BY194" s="32" t="n">
        <f aca="false">IF(BI194=0,IF(BQ194=0,0,1),(BQ194-BI194)/BI194)</f>
        <v>1</v>
      </c>
      <c r="BZ194" s="32" t="n">
        <f aca="false">IF(BJ194=0,IF(BR194=0,0,1),(BR194-BJ194)/BJ194)</f>
        <v>1</v>
      </c>
      <c r="CA194" s="32" t="n">
        <f aca="false">IF(BK194=0,IF(BS194=0,0,1),(BS194-BK194)/BK194)</f>
        <v>1</v>
      </c>
      <c r="CB194" s="32" t="n">
        <f aca="false">IF(BL194=0,IF(BT194=0,0,1),(BT194-BL194)/BL194)</f>
        <v>1</v>
      </c>
      <c r="CC194" s="32" t="n">
        <f aca="false">IF(BM194=0,IF(BU194=0,0,1),(BU194-BM194)/BM194)</f>
        <v>1</v>
      </c>
      <c r="CD194" s="32" t="n">
        <f aca="false">MAX(MAX(BV194:CC194),-MIN(BV194:CC194))</f>
        <v>1</v>
      </c>
      <c r="CE194" s="31" t="n">
        <f aca="false">IF(CI194="","",SUMIFS($CF$7:$CF$696,$A$7:$A$696,CI194,$B$7:$B$696,B194))</f>
        <v>7084919</v>
      </c>
      <c r="CF194" s="31" t="n">
        <f aca="false">SUM(AU194:BE194)</f>
        <v>7018295</v>
      </c>
      <c r="CG194" s="33" t="str">
        <f aca="false">A194&amp;"|"&amp;B194</f>
        <v>2026-07 月例|議会事務局</v>
      </c>
      <c r="CH194" s="34" t="str">
        <f aca="false">IFERROR(INDEX(設定!$D$61:$D$106,MATCH(B194,設定!$B$61:$B$106,0)),"Y")</f>
        <v>Y</v>
      </c>
      <c r="CI194" s="34" t="str">
        <f aca="false">IFERROR(INDEX(設定!$D$20:$D$34,MATCH(A194,設定!$A$20:$A$34,0))&amp;"","")</f>
        <v>2026-06 月例</v>
      </c>
    </row>
    <row r="195" customFormat="false" ht="15" hidden="true" customHeight="false" outlineLevel="0" collapsed="false">
      <c r="A195" s="22" t="s">
        <v>211</v>
      </c>
      <c r="B195" s="23" t="s">
        <v>164</v>
      </c>
      <c r="C195" s="10" t="str">
        <f aca="false">IF(G195="","未受領",IF(G195="なし","報告なし",IF(AH195="○","起票済",IF(OR(AG195="○",F195="一致",F195="入金不要"),"入金確認済","受領済"))))</f>
        <v>入金確認済</v>
      </c>
      <c r="D195" s="10" t="str">
        <f aca="false">IF(OR(G195="",G195="なし"),"―",IF(CH195="N","対象外",IF(AND(I195="",J195="",K195=""),"標報未入力",IF(CD195&gt;=設定!$B$4,"要確認","問題なし"))))</f>
        <v>対象外</v>
      </c>
      <c r="E195" s="24" t="str">
        <f aca="false">IF(OR(G195="",G195="なし",CE195="",CF195=0),"―",IF(CF195=CE195,"前月同額",IF(CE195=0,"―",IF(ABS(CF195/CE195-1)&gt;=設定!$B$5,"変動大 "&amp;TEXT(CF195/CE195-1,"+0%;-0%"),"〇"))))</f>
        <v>〇</v>
      </c>
      <c r="F195" s="10" t="str">
        <f aca="false">IF(OR(G195="",G195="なし"),"―",IF(CF195=0,"入金不要",IF(COUNT(Z195,AB195,AD195,AF195)=0,IF(AG195="○","手動確認","未入金"),IF(AND(N(Z195)=Y195,IF(AA195="",TRUE(),N(AB195)=AA195),IF(AC195="",TRUE(),N(AD195)=AC195),IF(AE195="",TRUE(),N(AF195)=AE195)),"一致","不一致"))))</f>
        <v>手動確認</v>
      </c>
      <c r="G195" s="25" t="s">
        <v>159</v>
      </c>
      <c r="H195" s="26"/>
      <c r="I195" s="27"/>
      <c r="J195" s="27"/>
      <c r="K195" s="27"/>
      <c r="L195" s="27" t="n">
        <v>24640950</v>
      </c>
      <c r="M195" s="27" t="n">
        <v>2019750</v>
      </c>
      <c r="N195" s="27" t="n">
        <v>35480583</v>
      </c>
      <c r="O195" s="27" t="n">
        <v>2019750</v>
      </c>
      <c r="P195" s="27" t="n">
        <v>23603</v>
      </c>
      <c r="Q195" s="27" t="n">
        <v>24013321</v>
      </c>
      <c r="R195" s="27" t="n">
        <v>24514598</v>
      </c>
      <c r="S195" s="27" t="n">
        <v>2806952</v>
      </c>
      <c r="T195" s="27" t="n">
        <v>2818162</v>
      </c>
      <c r="U195" s="27" t="n">
        <v>533601</v>
      </c>
      <c r="V195" s="27" t="n">
        <v>534518</v>
      </c>
      <c r="W195" s="10" t="str">
        <f aca="false">IFERROR(INDEX(設定!$E$61:$E$106,MATCH(B195,設定!$B$61:$B$106,0)),"合算")</f>
        <v>合算</v>
      </c>
      <c r="X195" s="28"/>
      <c r="Y195" s="29" t="n">
        <f aca="false">IF(OR(G195="",G195="なし"),"",IF(W195="合算",CF195,IF(W195="掛金・負担金別",(AU195+AV195+AZ195+BB195+BD195),SUM(AU195:AY195))))</f>
        <v>119405788</v>
      </c>
      <c r="Z195" s="27"/>
      <c r="AA195" s="29" t="str">
        <f aca="false">IF(OR(G195="",G195="なし"),"",IF(W195="掛金・負担金別",(AW195+AX195+AY195+BA195+BC195+BE195),IF(W195="経理区分別",AZ195+BA195,"")))</f>
        <v/>
      </c>
      <c r="AB195" s="27"/>
      <c r="AC195" s="29" t="str">
        <f aca="false">IF(OR(G195="",G195="なし"),"",IF(W195="経理区分別",BB195+BC195,""))</f>
        <v/>
      </c>
      <c r="AD195" s="27"/>
      <c r="AE195" s="29" t="str">
        <f aca="false">IF(OR(G195="",G195="なし"),"",IF(W195="経理区分別",BD195+BE195,""))</f>
        <v/>
      </c>
      <c r="AF195" s="27"/>
      <c r="AG195" s="26" t="s">
        <v>160</v>
      </c>
      <c r="AH195" s="26"/>
      <c r="AI195" s="30"/>
      <c r="AJ195" s="31"/>
      <c r="AK195" s="31"/>
      <c r="AL195" s="31"/>
      <c r="AM195" s="31"/>
      <c r="AN195" s="31"/>
      <c r="AO195" s="31"/>
      <c r="AP195" s="31"/>
      <c r="AQ195" s="31"/>
      <c r="AR195" s="31"/>
      <c r="AS195" s="31"/>
      <c r="AT195" s="31"/>
      <c r="AU195" s="31" t="n">
        <f aca="false">IF($G195="",AJ195,L195)</f>
        <v>24640950</v>
      </c>
      <c r="AV195" s="31" t="n">
        <f aca="false">IF($G195="",AK195,M195)</f>
        <v>2019750</v>
      </c>
      <c r="AW195" s="31" t="n">
        <f aca="false">IF($G195="",AL195,N195)</f>
        <v>35480583</v>
      </c>
      <c r="AX195" s="31" t="n">
        <f aca="false">IF($G195="",AM195,O195)</f>
        <v>2019750</v>
      </c>
      <c r="AY195" s="31" t="n">
        <f aca="false">IF($G195="",AN195,P195)</f>
        <v>23603</v>
      </c>
      <c r="AZ195" s="31" t="n">
        <f aca="false">IF($G195="",AO195,Q195)</f>
        <v>24013321</v>
      </c>
      <c r="BA195" s="31" t="n">
        <f aca="false">IF($G195="",AP195,R195)</f>
        <v>24514598</v>
      </c>
      <c r="BB195" s="31" t="n">
        <f aca="false">IF($G195="",AQ195,S195)</f>
        <v>2806952</v>
      </c>
      <c r="BC195" s="31" t="n">
        <f aca="false">IF($G195="",AR195,T195)</f>
        <v>2818162</v>
      </c>
      <c r="BD195" s="31" t="n">
        <f aca="false">IF($G195="",AS195,U195)</f>
        <v>533601</v>
      </c>
      <c r="BE195" s="31" t="n">
        <f aca="false">IF($G195="",AT195,V195)</f>
        <v>534518</v>
      </c>
      <c r="BF195" s="31" t="n">
        <f aca="false">ROUNDDOWN(I195*設定!$B$10/1000,0)+ROUNDDOWN(I195*設定!$B$11/1000,0)</f>
        <v>0</v>
      </c>
      <c r="BG195" s="31" t="n">
        <f aca="false">ROUNDDOWN(I195*設定!$C$10/1000,0)+ROUNDDOWN(I195*設定!$C$11/1000,0)+ROUNDDOWN(I195*設定!$C$12/1000,0)</f>
        <v>0</v>
      </c>
      <c r="BH195" s="31" t="n">
        <f aca="false">ROUNDDOWN(J195*設定!$B$13/1000,0)</f>
        <v>0</v>
      </c>
      <c r="BI195" s="31" t="n">
        <f aca="false">ROUNDDOWN(J195*設定!$C$13/1000,0)</f>
        <v>0</v>
      </c>
      <c r="BJ195" s="31" t="n">
        <f aca="false">ROUNDDOWN(K195*設定!$B$14/1000,0)</f>
        <v>0</v>
      </c>
      <c r="BK195" s="31" t="n">
        <f aca="false">ROUNDDOWN(K195*設定!$C$14/1000,0)</f>
        <v>0</v>
      </c>
      <c r="BL195" s="31" t="n">
        <f aca="false">ROUNDDOWN(J195*設定!$B$15/1000,0)</f>
        <v>0</v>
      </c>
      <c r="BM195" s="31" t="n">
        <f aca="false">ROUNDDOWN(J195*設定!$C$15/1000,0)</f>
        <v>0</v>
      </c>
      <c r="BN195" s="31" t="n">
        <f aca="false">L195+M195</f>
        <v>26660700</v>
      </c>
      <c r="BO195" s="31" t="n">
        <f aca="false">N195+O195+P195</f>
        <v>37523936</v>
      </c>
      <c r="BP195" s="31" t="n">
        <f aca="false">Q195</f>
        <v>24013321</v>
      </c>
      <c r="BQ195" s="31" t="n">
        <f aca="false">R195</f>
        <v>24514598</v>
      </c>
      <c r="BR195" s="31" t="n">
        <f aca="false">S195</f>
        <v>2806952</v>
      </c>
      <c r="BS195" s="31" t="n">
        <f aca="false">T195</f>
        <v>2818162</v>
      </c>
      <c r="BT195" s="31" t="n">
        <f aca="false">U195</f>
        <v>533601</v>
      </c>
      <c r="BU195" s="31" t="n">
        <f aca="false">V195</f>
        <v>534518</v>
      </c>
      <c r="BV195" s="32" t="n">
        <f aca="false">IF(BF195=0,IF(BN195=0,0,1),(BN195-BF195)/BF195)</f>
        <v>1</v>
      </c>
      <c r="BW195" s="32" t="n">
        <f aca="false">IF(BG195=0,IF(BO195=0,0,1),(BO195-BG195)/BG195)</f>
        <v>1</v>
      </c>
      <c r="BX195" s="32" t="n">
        <f aca="false">IF(BH195=0,IF(BP195=0,0,1),(BP195-BH195)/BH195)</f>
        <v>1</v>
      </c>
      <c r="BY195" s="32" t="n">
        <f aca="false">IF(BI195=0,IF(BQ195=0,0,1),(BQ195-BI195)/BI195)</f>
        <v>1</v>
      </c>
      <c r="BZ195" s="32" t="n">
        <f aca="false">IF(BJ195=0,IF(BR195=0,0,1),(BR195-BJ195)/BJ195)</f>
        <v>1</v>
      </c>
      <c r="CA195" s="32" t="n">
        <f aca="false">IF(BK195=0,IF(BS195=0,0,1),(BS195-BK195)/BK195)</f>
        <v>1</v>
      </c>
      <c r="CB195" s="32" t="n">
        <f aca="false">IF(BL195=0,IF(BT195=0,0,1),(BT195-BL195)/BL195)</f>
        <v>1</v>
      </c>
      <c r="CC195" s="32" t="n">
        <f aca="false">IF(BM195=0,IF(BU195=0,0,1),(BU195-BM195)/BM195)</f>
        <v>1</v>
      </c>
      <c r="CD195" s="32" t="n">
        <f aca="false">MAX(MAX(BV195:CC195),-MIN(BV195:CC195))</f>
        <v>1</v>
      </c>
      <c r="CE195" s="31" t="n">
        <f aca="false">IF(CI195="","",SUMIFS($CF$7:$CF$696,$A$7:$A$696,CI195,$B$7:$B$696,B195))</f>
        <v>115503248</v>
      </c>
      <c r="CF195" s="31" t="n">
        <f aca="false">SUM(AU195:BE195)</f>
        <v>119405788</v>
      </c>
      <c r="CG195" s="33" t="str">
        <f aca="false">A195&amp;"|"&amp;B195</f>
        <v>2026-07 月例|教育委員会（総務課）</v>
      </c>
      <c r="CH195" s="34" t="str">
        <f aca="false">IFERROR(INDEX(設定!$D$61:$D$106,MATCH(B195,設定!$B$61:$B$106,0)),"Y")</f>
        <v>N</v>
      </c>
      <c r="CI195" s="34" t="str">
        <f aca="false">IFERROR(INDEX(設定!$D$20:$D$34,MATCH(A195,設定!$A$20:$A$34,0))&amp;"","")</f>
        <v>2026-06 月例</v>
      </c>
    </row>
    <row r="196" customFormat="false" ht="15" hidden="true" customHeight="false" outlineLevel="0" collapsed="false">
      <c r="A196" s="22" t="s">
        <v>211</v>
      </c>
      <c r="B196" s="23" t="s">
        <v>165</v>
      </c>
      <c r="C196" s="10" t="str">
        <f aca="false">IF(G196="","未受領",IF(G196="なし","報告なし",IF(AH196="○","起票済",IF(OR(AG196="○",F196="一致",F196="入金不要"),"入金確認済","受領済"))))</f>
        <v>入金確認済</v>
      </c>
      <c r="D196" s="10" t="str">
        <f aca="false">IF(OR(G196="",G196="なし"),"―",IF(CH196="N","対象外",IF(AND(I196="",J196="",K196=""),"標報未入力",IF(CD196&gt;=設定!$B$4,"要確認","問題なし"))))</f>
        <v>標報未入力</v>
      </c>
      <c r="E196" s="24" t="str">
        <f aca="false">IF(OR(G196="",G196="なし",CE196="",CF196=0),"―",IF(CF196=CE196,"前月同額",IF(CE196=0,"―",IF(ABS(CF196/CE196-1)&gt;=設定!$B$5,"変動大 "&amp;TEXT(CF196/CE196-1,"+0%;-0%"),"〇"))))</f>
        <v>変動大 -16%</v>
      </c>
      <c r="F196" s="10" t="str">
        <f aca="false">IF(OR(G196="",G196="なし"),"―",IF(CF196=0,"入金不要",IF(COUNT(Z196,AB196,AD196,AF196)=0,IF(AG196="○","手動確認","未入金"),IF(AND(N(Z196)=Y196,IF(AA196="",TRUE(),N(AB196)=AA196),IF(AC196="",TRUE(),N(AD196)=AC196),IF(AE196="",TRUE(),N(AF196)=AE196)),"一致","不一致"))))</f>
        <v>手動確認</v>
      </c>
      <c r="G196" s="25" t="s">
        <v>159</v>
      </c>
      <c r="H196" s="26"/>
      <c r="I196" s="27"/>
      <c r="J196" s="27"/>
      <c r="K196" s="27"/>
      <c r="L196" s="27" t="n">
        <v>269925</v>
      </c>
      <c r="M196" s="27" t="n">
        <v>22125</v>
      </c>
      <c r="N196" s="27" t="n">
        <v>387630</v>
      </c>
      <c r="O196" s="27" t="n">
        <v>22125</v>
      </c>
      <c r="P196" s="27" t="n">
        <v>256</v>
      </c>
      <c r="Q196" s="27" t="n">
        <v>173210</v>
      </c>
      <c r="R196" s="27" t="n">
        <v>176117</v>
      </c>
      <c r="S196" s="27" t="n">
        <v>15800</v>
      </c>
      <c r="T196" s="27" t="n">
        <v>15800</v>
      </c>
      <c r="U196" s="27" t="n">
        <v>3839</v>
      </c>
      <c r="V196" s="27" t="n">
        <v>3840</v>
      </c>
      <c r="W196" s="10" t="str">
        <f aca="false">IFERROR(INDEX(設定!$E$61:$E$106,MATCH(B196,設定!$B$61:$B$106,0)),"合算")</f>
        <v>合算</v>
      </c>
      <c r="X196" s="28"/>
      <c r="Y196" s="29" t="n">
        <f aca="false">IF(OR(G196="",G196="なし"),"",IF(W196="合算",CF196,IF(W196="掛金・負担金別",(AU196+AV196+AZ196+BB196+BD196),SUM(AU196:AY196))))</f>
        <v>1090667</v>
      </c>
      <c r="Z196" s="27"/>
      <c r="AA196" s="29" t="str">
        <f aca="false">IF(OR(G196="",G196="なし"),"",IF(W196="掛金・負担金別",(AW196+AX196+AY196+BA196+BC196+BE196),IF(W196="経理区分別",AZ196+BA196,"")))</f>
        <v/>
      </c>
      <c r="AB196" s="27"/>
      <c r="AC196" s="29" t="str">
        <f aca="false">IF(OR(G196="",G196="なし"),"",IF(W196="経理区分別",BB196+BC196,""))</f>
        <v/>
      </c>
      <c r="AD196" s="27"/>
      <c r="AE196" s="29" t="str">
        <f aca="false">IF(OR(G196="",G196="なし"),"",IF(W196="経理区分別",BD196+BE196,""))</f>
        <v/>
      </c>
      <c r="AF196" s="27"/>
      <c r="AG196" s="26" t="s">
        <v>160</v>
      </c>
      <c r="AH196" s="26"/>
      <c r="AI196" s="30"/>
      <c r="AJ196" s="31"/>
      <c r="AK196" s="31"/>
      <c r="AL196" s="31"/>
      <c r="AM196" s="31"/>
      <c r="AN196" s="31"/>
      <c r="AO196" s="31"/>
      <c r="AP196" s="31"/>
      <c r="AQ196" s="31"/>
      <c r="AR196" s="31"/>
      <c r="AS196" s="31"/>
      <c r="AT196" s="31"/>
      <c r="AU196" s="31" t="n">
        <f aca="false">IF($G196="",AJ196,L196)</f>
        <v>269925</v>
      </c>
      <c r="AV196" s="31" t="n">
        <f aca="false">IF($G196="",AK196,M196)</f>
        <v>22125</v>
      </c>
      <c r="AW196" s="31" t="n">
        <f aca="false">IF($G196="",AL196,N196)</f>
        <v>387630</v>
      </c>
      <c r="AX196" s="31" t="n">
        <f aca="false">IF($G196="",AM196,O196)</f>
        <v>22125</v>
      </c>
      <c r="AY196" s="31" t="n">
        <f aca="false">IF($G196="",AN196,P196)</f>
        <v>256</v>
      </c>
      <c r="AZ196" s="31" t="n">
        <f aca="false">IF($G196="",AO196,Q196)</f>
        <v>173210</v>
      </c>
      <c r="BA196" s="31" t="n">
        <f aca="false">IF($G196="",AP196,R196)</f>
        <v>176117</v>
      </c>
      <c r="BB196" s="31" t="n">
        <f aca="false">IF($G196="",AQ196,S196)</f>
        <v>15800</v>
      </c>
      <c r="BC196" s="31" t="n">
        <f aca="false">IF($G196="",AR196,T196)</f>
        <v>15800</v>
      </c>
      <c r="BD196" s="31" t="n">
        <f aca="false">IF($G196="",AS196,U196)</f>
        <v>3839</v>
      </c>
      <c r="BE196" s="31" t="n">
        <f aca="false">IF($G196="",AT196,V196)</f>
        <v>3840</v>
      </c>
      <c r="BF196" s="31" t="n">
        <f aca="false">ROUNDDOWN(I196*設定!$B$10/1000,0)+ROUNDDOWN(I196*設定!$B$11/1000,0)</f>
        <v>0</v>
      </c>
      <c r="BG196" s="31" t="n">
        <f aca="false">ROUNDDOWN(I196*設定!$C$10/1000,0)+ROUNDDOWN(I196*設定!$C$11/1000,0)+ROUNDDOWN(I196*設定!$C$12/1000,0)</f>
        <v>0</v>
      </c>
      <c r="BH196" s="31" t="n">
        <f aca="false">ROUNDDOWN(J196*設定!$B$13/1000,0)</f>
        <v>0</v>
      </c>
      <c r="BI196" s="31" t="n">
        <f aca="false">ROUNDDOWN(J196*設定!$C$13/1000,0)</f>
        <v>0</v>
      </c>
      <c r="BJ196" s="31" t="n">
        <f aca="false">ROUNDDOWN(K196*設定!$B$14/1000,0)</f>
        <v>0</v>
      </c>
      <c r="BK196" s="31" t="n">
        <f aca="false">ROUNDDOWN(K196*設定!$C$14/1000,0)</f>
        <v>0</v>
      </c>
      <c r="BL196" s="31" t="n">
        <f aca="false">ROUNDDOWN(J196*設定!$B$15/1000,0)</f>
        <v>0</v>
      </c>
      <c r="BM196" s="31" t="n">
        <f aca="false">ROUNDDOWN(J196*設定!$C$15/1000,0)</f>
        <v>0</v>
      </c>
      <c r="BN196" s="31" t="n">
        <f aca="false">L196+M196</f>
        <v>292050</v>
      </c>
      <c r="BO196" s="31" t="n">
        <f aca="false">N196+O196+P196</f>
        <v>410011</v>
      </c>
      <c r="BP196" s="31" t="n">
        <f aca="false">Q196</f>
        <v>173210</v>
      </c>
      <c r="BQ196" s="31" t="n">
        <f aca="false">R196</f>
        <v>176117</v>
      </c>
      <c r="BR196" s="31" t="n">
        <f aca="false">S196</f>
        <v>15800</v>
      </c>
      <c r="BS196" s="31" t="n">
        <f aca="false">T196</f>
        <v>15800</v>
      </c>
      <c r="BT196" s="31" t="n">
        <f aca="false">U196</f>
        <v>3839</v>
      </c>
      <c r="BU196" s="31" t="n">
        <f aca="false">V196</f>
        <v>3840</v>
      </c>
      <c r="BV196" s="32" t="n">
        <f aca="false">IF(BF196=0,IF(BN196=0,0,1),(BN196-BF196)/BF196)</f>
        <v>1</v>
      </c>
      <c r="BW196" s="32" t="n">
        <f aca="false">IF(BG196=0,IF(BO196=0,0,1),(BO196-BG196)/BG196)</f>
        <v>1</v>
      </c>
      <c r="BX196" s="32" t="n">
        <f aca="false">IF(BH196=0,IF(BP196=0,0,1),(BP196-BH196)/BH196)</f>
        <v>1</v>
      </c>
      <c r="BY196" s="32" t="n">
        <f aca="false">IF(BI196=0,IF(BQ196=0,0,1),(BQ196-BI196)/BI196)</f>
        <v>1</v>
      </c>
      <c r="BZ196" s="32" t="n">
        <f aca="false">IF(BJ196=0,IF(BR196=0,0,1),(BR196-BJ196)/BJ196)</f>
        <v>1</v>
      </c>
      <c r="CA196" s="32" t="n">
        <f aca="false">IF(BK196=0,IF(BS196=0,0,1),(BS196-BK196)/BK196)</f>
        <v>1</v>
      </c>
      <c r="CB196" s="32" t="n">
        <f aca="false">IF(BL196=0,IF(BT196=0,0,1),(BT196-BL196)/BL196)</f>
        <v>1</v>
      </c>
      <c r="CC196" s="32" t="n">
        <f aca="false">IF(BM196=0,IF(BU196=0,0,1),(BU196-BM196)/BM196)</f>
        <v>1</v>
      </c>
      <c r="CD196" s="32" t="n">
        <f aca="false">MAX(MAX(BV196:CC196),-MIN(BV196:CC196))</f>
        <v>1</v>
      </c>
      <c r="CE196" s="31" t="n">
        <f aca="false">IF(CI196="","",SUMIFS($CF$7:$CF$696,$A$7:$A$696,CI196,$B$7:$B$696,B196))</f>
        <v>1304491</v>
      </c>
      <c r="CF196" s="31" t="n">
        <f aca="false">SUM(AU196:BE196)</f>
        <v>1090667</v>
      </c>
      <c r="CG196" s="33" t="str">
        <f aca="false">A196&amp;"|"&amp;B196</f>
        <v>2026-07 月例|選挙管理委員会</v>
      </c>
      <c r="CH196" s="34" t="str">
        <f aca="false">IFERROR(INDEX(設定!$D$61:$D$106,MATCH(B196,設定!$B$61:$B$106,0)),"Y")</f>
        <v>Y</v>
      </c>
      <c r="CI196" s="34" t="str">
        <f aca="false">IFERROR(INDEX(設定!$D$20:$D$34,MATCH(A196,設定!$A$20:$A$34,0))&amp;"","")</f>
        <v>2026-06 月例</v>
      </c>
    </row>
    <row r="197" customFormat="false" ht="15" hidden="true" customHeight="false" outlineLevel="0" collapsed="false">
      <c r="A197" s="22" t="s">
        <v>211</v>
      </c>
      <c r="B197" s="23" t="s">
        <v>166</v>
      </c>
      <c r="C197" s="10" t="str">
        <f aca="false">IF(G197="","未受領",IF(G197="なし","報告なし",IF(AH197="○","起票済",IF(OR(AG197="○",F197="一致",F197="入金不要"),"入金確認済","受領済"))))</f>
        <v>入金確認済</v>
      </c>
      <c r="D197" s="10" t="str">
        <f aca="false">IF(OR(G197="",G197="なし"),"―",IF(CH197="N","対象外",IF(AND(I197="",J197="",K197=""),"標報未入力",IF(CD197&gt;=設定!$B$4,"要確認","問題なし"))))</f>
        <v>標報未入力</v>
      </c>
      <c r="E197" s="24" t="str">
        <f aca="false">IF(OR(G197="",G197="なし",CE197="",CF197=0),"―",IF(CF197=CE197,"前月同額",IF(CE197=0,"―",IF(ABS(CF197/CE197-1)&gt;=設定!$B$5,"変動大 "&amp;TEXT(CF197/CE197-1,"+0%;-0%"),"〇"))))</f>
        <v>〇</v>
      </c>
      <c r="F197" s="10" t="str">
        <f aca="false">IF(OR(G197="",G197="なし"),"―",IF(CF197=0,"入金不要",IF(COUNT(Z197,AB197,AD197,AF197)=0,IF(AG197="○","手動確認","未入金"),IF(AND(N(Z197)=Y197,IF(AA197="",TRUE(),N(AB197)=AA197),IF(AC197="",TRUE(),N(AD197)=AC197),IF(AE197="",TRUE(),N(AF197)=AE197)),"一致","不一致"))))</f>
        <v>手動確認</v>
      </c>
      <c r="G197" s="25" t="s">
        <v>159</v>
      </c>
      <c r="H197" s="26"/>
      <c r="I197" s="27"/>
      <c r="J197" s="27"/>
      <c r="K197" s="27"/>
      <c r="L197" s="27" t="n">
        <v>618540</v>
      </c>
      <c r="M197" s="27" t="n">
        <v>50700</v>
      </c>
      <c r="N197" s="27" t="n">
        <v>888264</v>
      </c>
      <c r="O197" s="27" t="n">
        <v>50700</v>
      </c>
      <c r="P197" s="27" t="n">
        <v>587</v>
      </c>
      <c r="Q197" s="27" t="n">
        <v>364051</v>
      </c>
      <c r="R197" s="27" t="n">
        <v>370163</v>
      </c>
      <c r="S197" s="27" t="n">
        <v>30257</v>
      </c>
      <c r="T197" s="27" t="n">
        <v>30257</v>
      </c>
      <c r="U197" s="27" t="n">
        <v>8070</v>
      </c>
      <c r="V197" s="27" t="n">
        <v>8073</v>
      </c>
      <c r="W197" s="10" t="str">
        <f aca="false">IFERROR(INDEX(設定!$E$61:$E$106,MATCH(B197,設定!$B$61:$B$106,0)),"合算")</f>
        <v>合算</v>
      </c>
      <c r="X197" s="28"/>
      <c r="Y197" s="29" t="n">
        <f aca="false">IF(OR(G197="",G197="なし"),"",IF(W197="合算",CF197,IF(W197="掛金・負担金別",(AU197+AV197+AZ197+BB197+BD197),SUM(AU197:AY197))))</f>
        <v>2419662</v>
      </c>
      <c r="Z197" s="27"/>
      <c r="AA197" s="29" t="str">
        <f aca="false">IF(OR(G197="",G197="なし"),"",IF(W197="掛金・負担金別",(AW197+AX197+AY197+BA197+BC197+BE197),IF(W197="経理区分別",AZ197+BA197,"")))</f>
        <v/>
      </c>
      <c r="AB197" s="27"/>
      <c r="AC197" s="29" t="str">
        <f aca="false">IF(OR(G197="",G197="なし"),"",IF(W197="経理区分別",BB197+BC197,""))</f>
        <v/>
      </c>
      <c r="AD197" s="27"/>
      <c r="AE197" s="29" t="str">
        <f aca="false">IF(OR(G197="",G197="なし"),"",IF(W197="経理区分別",BD197+BE197,""))</f>
        <v/>
      </c>
      <c r="AF197" s="27"/>
      <c r="AG197" s="26" t="s">
        <v>160</v>
      </c>
      <c r="AH197" s="26"/>
      <c r="AI197" s="30"/>
      <c r="AJ197" s="31"/>
      <c r="AK197" s="31"/>
      <c r="AL197" s="31"/>
      <c r="AM197" s="31"/>
      <c r="AN197" s="31"/>
      <c r="AO197" s="31"/>
      <c r="AP197" s="31"/>
      <c r="AQ197" s="31"/>
      <c r="AR197" s="31"/>
      <c r="AS197" s="31"/>
      <c r="AT197" s="31"/>
      <c r="AU197" s="31" t="n">
        <f aca="false">IF($G197="",AJ197,L197)</f>
        <v>618540</v>
      </c>
      <c r="AV197" s="31" t="n">
        <f aca="false">IF($G197="",AK197,M197)</f>
        <v>50700</v>
      </c>
      <c r="AW197" s="31" t="n">
        <f aca="false">IF($G197="",AL197,N197)</f>
        <v>888264</v>
      </c>
      <c r="AX197" s="31" t="n">
        <f aca="false">IF($G197="",AM197,O197)</f>
        <v>50700</v>
      </c>
      <c r="AY197" s="31" t="n">
        <f aca="false">IF($G197="",AN197,P197)</f>
        <v>587</v>
      </c>
      <c r="AZ197" s="31" t="n">
        <f aca="false">IF($G197="",AO197,Q197)</f>
        <v>364051</v>
      </c>
      <c r="BA197" s="31" t="n">
        <f aca="false">IF($G197="",AP197,R197)</f>
        <v>370163</v>
      </c>
      <c r="BB197" s="31" t="n">
        <f aca="false">IF($G197="",AQ197,S197)</f>
        <v>30257</v>
      </c>
      <c r="BC197" s="31" t="n">
        <f aca="false">IF($G197="",AR197,T197)</f>
        <v>30257</v>
      </c>
      <c r="BD197" s="31" t="n">
        <f aca="false">IF($G197="",AS197,U197)</f>
        <v>8070</v>
      </c>
      <c r="BE197" s="31" t="n">
        <f aca="false">IF($G197="",AT197,V197)</f>
        <v>8073</v>
      </c>
      <c r="BF197" s="31" t="n">
        <f aca="false">ROUNDDOWN(I197*設定!$B$10/1000,0)+ROUNDDOWN(I197*設定!$B$11/1000,0)</f>
        <v>0</v>
      </c>
      <c r="BG197" s="31" t="n">
        <f aca="false">ROUNDDOWN(I197*設定!$C$10/1000,0)+ROUNDDOWN(I197*設定!$C$11/1000,0)+ROUNDDOWN(I197*設定!$C$12/1000,0)</f>
        <v>0</v>
      </c>
      <c r="BH197" s="31" t="n">
        <f aca="false">ROUNDDOWN(J197*設定!$B$13/1000,0)</f>
        <v>0</v>
      </c>
      <c r="BI197" s="31" t="n">
        <f aca="false">ROUNDDOWN(J197*設定!$C$13/1000,0)</f>
        <v>0</v>
      </c>
      <c r="BJ197" s="31" t="n">
        <f aca="false">ROUNDDOWN(K197*設定!$B$14/1000,0)</f>
        <v>0</v>
      </c>
      <c r="BK197" s="31" t="n">
        <f aca="false">ROUNDDOWN(K197*設定!$C$14/1000,0)</f>
        <v>0</v>
      </c>
      <c r="BL197" s="31" t="n">
        <f aca="false">ROUNDDOWN(J197*設定!$B$15/1000,0)</f>
        <v>0</v>
      </c>
      <c r="BM197" s="31" t="n">
        <f aca="false">ROUNDDOWN(J197*設定!$C$15/1000,0)</f>
        <v>0</v>
      </c>
      <c r="BN197" s="31" t="n">
        <f aca="false">L197+M197</f>
        <v>669240</v>
      </c>
      <c r="BO197" s="31" t="n">
        <f aca="false">N197+O197+P197</f>
        <v>939551</v>
      </c>
      <c r="BP197" s="31" t="n">
        <f aca="false">Q197</f>
        <v>364051</v>
      </c>
      <c r="BQ197" s="31" t="n">
        <f aca="false">R197</f>
        <v>370163</v>
      </c>
      <c r="BR197" s="31" t="n">
        <f aca="false">S197</f>
        <v>30257</v>
      </c>
      <c r="BS197" s="31" t="n">
        <f aca="false">T197</f>
        <v>30257</v>
      </c>
      <c r="BT197" s="31" t="n">
        <f aca="false">U197</f>
        <v>8070</v>
      </c>
      <c r="BU197" s="31" t="n">
        <f aca="false">V197</f>
        <v>8073</v>
      </c>
      <c r="BV197" s="32" t="n">
        <f aca="false">IF(BF197=0,IF(BN197=0,0,1),(BN197-BF197)/BF197)</f>
        <v>1</v>
      </c>
      <c r="BW197" s="32" t="n">
        <f aca="false">IF(BG197=0,IF(BO197=0,0,1),(BO197-BG197)/BG197)</f>
        <v>1</v>
      </c>
      <c r="BX197" s="32" t="n">
        <f aca="false">IF(BH197=0,IF(BP197=0,0,1),(BP197-BH197)/BH197)</f>
        <v>1</v>
      </c>
      <c r="BY197" s="32" t="n">
        <f aca="false">IF(BI197=0,IF(BQ197=0,0,1),(BQ197-BI197)/BI197)</f>
        <v>1</v>
      </c>
      <c r="BZ197" s="32" t="n">
        <f aca="false">IF(BJ197=0,IF(BR197=0,0,1),(BR197-BJ197)/BJ197)</f>
        <v>1</v>
      </c>
      <c r="CA197" s="32" t="n">
        <f aca="false">IF(BK197=0,IF(BS197=0,0,1),(BS197-BK197)/BK197)</f>
        <v>1</v>
      </c>
      <c r="CB197" s="32" t="n">
        <f aca="false">IF(BL197=0,IF(BT197=0,0,1),(BT197-BL197)/BL197)</f>
        <v>1</v>
      </c>
      <c r="CC197" s="32" t="n">
        <f aca="false">IF(BM197=0,IF(BU197=0,0,1),(BU197-BM197)/BM197)</f>
        <v>1</v>
      </c>
      <c r="CD197" s="32" t="n">
        <f aca="false">MAX(MAX(BV197:CC197),-MIN(BV197:CC197))</f>
        <v>1</v>
      </c>
      <c r="CE197" s="31" t="n">
        <f aca="false">IF(CI197="","",SUMIFS($CF$7:$CF$696,$A$7:$A$696,CI197,$B$7:$B$696,B197))</f>
        <v>2338916</v>
      </c>
      <c r="CF197" s="31" t="n">
        <f aca="false">SUM(AU197:BE197)</f>
        <v>2419662</v>
      </c>
      <c r="CG197" s="33" t="str">
        <f aca="false">A197&amp;"|"&amp;B197</f>
        <v>2026-07 月例|人事委員会</v>
      </c>
      <c r="CH197" s="34" t="str">
        <f aca="false">IFERROR(INDEX(設定!$D$61:$D$106,MATCH(B197,設定!$B$61:$B$106,0)),"Y")</f>
        <v>Y</v>
      </c>
      <c r="CI197" s="34" t="str">
        <f aca="false">IFERROR(INDEX(設定!$D$20:$D$34,MATCH(A197,設定!$A$20:$A$34,0))&amp;"","")</f>
        <v>2026-06 月例</v>
      </c>
    </row>
    <row r="198" customFormat="false" ht="15" hidden="true" customHeight="false" outlineLevel="0" collapsed="false">
      <c r="A198" s="22" t="s">
        <v>211</v>
      </c>
      <c r="B198" s="23" t="s">
        <v>167</v>
      </c>
      <c r="C198" s="10" t="str">
        <f aca="false">IF(G198="","未受領",IF(G198="なし","報告なし",IF(AH198="○","起票済",IF(OR(AG198="○",F198="一致",F198="入金不要"),"入金確認済","受領済"))))</f>
        <v>入金確認済</v>
      </c>
      <c r="D198" s="10" t="str">
        <f aca="false">IF(OR(G198="",G198="なし"),"―",IF(CH198="N","対象外",IF(AND(I198="",J198="",K198=""),"標報未入力",IF(CD198&gt;=設定!$B$4,"要確認","問題なし"))))</f>
        <v>標報未入力</v>
      </c>
      <c r="E198" s="24" t="str">
        <f aca="false">IF(OR(G198="",G198="なし",CE198="",CF198=0),"―",IF(CF198=CE198,"前月同額",IF(CE198=0,"―",IF(ABS(CF198/CE198-1)&gt;=設定!$B$5,"変動大 "&amp;TEXT(CF198/CE198-1,"+0%;-0%"),"〇"))))</f>
        <v>〇</v>
      </c>
      <c r="F198" s="10" t="str">
        <f aca="false">IF(OR(G198="",G198="なし"),"―",IF(CF198=0,"入金不要",IF(COUNT(Z198,AB198,AD198,AF198)=0,IF(AG198="○","手動確認","未入金"),IF(AND(N(Z198)=Y198,IF(AA198="",TRUE(),N(AB198)=AA198),IF(AC198="",TRUE(),N(AD198)=AC198),IF(AE198="",TRUE(),N(AF198)=AE198)),"一致","不一致"))))</f>
        <v>手動確認</v>
      </c>
      <c r="G198" s="25" t="s">
        <v>159</v>
      </c>
      <c r="H198" s="26"/>
      <c r="I198" s="27"/>
      <c r="J198" s="27"/>
      <c r="K198" s="27"/>
      <c r="L198" s="27" t="n">
        <v>1317600</v>
      </c>
      <c r="M198" s="27" t="n">
        <v>108000</v>
      </c>
      <c r="N198" s="27" t="n">
        <v>1903332</v>
      </c>
      <c r="O198" s="27" t="n">
        <v>108000</v>
      </c>
      <c r="P198" s="27" t="n">
        <v>1275</v>
      </c>
      <c r="Q198" s="27" t="n">
        <v>766995</v>
      </c>
      <c r="R198" s="27" t="n">
        <v>780119</v>
      </c>
      <c r="S198" s="27" t="n">
        <v>107914</v>
      </c>
      <c r="T198" s="27" t="n">
        <v>107914</v>
      </c>
      <c r="U198" s="27" t="n">
        <v>17000</v>
      </c>
      <c r="V198" s="27" t="n">
        <v>17007</v>
      </c>
      <c r="W198" s="10" t="str">
        <f aca="false">IFERROR(INDEX(設定!$E$61:$E$106,MATCH(B198,設定!$B$61:$B$106,0)),"合算")</f>
        <v>合算</v>
      </c>
      <c r="X198" s="28"/>
      <c r="Y198" s="29" t="n">
        <f aca="false">IF(OR(G198="",G198="なし"),"",IF(W198="合算",CF198,IF(W198="掛金・負担金別",(AU198+AV198+AZ198+BB198+BD198),SUM(AU198:AY198))))</f>
        <v>5235156</v>
      </c>
      <c r="Z198" s="27"/>
      <c r="AA198" s="29" t="str">
        <f aca="false">IF(OR(G198="",G198="なし"),"",IF(W198="掛金・負担金別",(AW198+AX198+AY198+BA198+BC198+BE198),IF(W198="経理区分別",AZ198+BA198,"")))</f>
        <v/>
      </c>
      <c r="AB198" s="27"/>
      <c r="AC198" s="29" t="str">
        <f aca="false">IF(OR(G198="",G198="なし"),"",IF(W198="経理区分別",BB198+BC198,""))</f>
        <v/>
      </c>
      <c r="AD198" s="27"/>
      <c r="AE198" s="29" t="str">
        <f aca="false">IF(OR(G198="",G198="なし"),"",IF(W198="経理区分別",BD198+BE198,""))</f>
        <v/>
      </c>
      <c r="AF198" s="27"/>
      <c r="AG198" s="26" t="s">
        <v>160</v>
      </c>
      <c r="AH198" s="26"/>
      <c r="AI198" s="30"/>
      <c r="AJ198" s="31"/>
      <c r="AK198" s="31"/>
      <c r="AL198" s="31"/>
      <c r="AM198" s="31"/>
      <c r="AN198" s="31"/>
      <c r="AO198" s="31"/>
      <c r="AP198" s="31"/>
      <c r="AQ198" s="31"/>
      <c r="AR198" s="31"/>
      <c r="AS198" s="31"/>
      <c r="AT198" s="31"/>
      <c r="AU198" s="31" t="n">
        <f aca="false">IF($G198="",AJ198,L198)</f>
        <v>1317600</v>
      </c>
      <c r="AV198" s="31" t="n">
        <f aca="false">IF($G198="",AK198,M198)</f>
        <v>108000</v>
      </c>
      <c r="AW198" s="31" t="n">
        <f aca="false">IF($G198="",AL198,N198)</f>
        <v>1903332</v>
      </c>
      <c r="AX198" s="31" t="n">
        <f aca="false">IF($G198="",AM198,O198)</f>
        <v>108000</v>
      </c>
      <c r="AY198" s="31" t="n">
        <f aca="false">IF($G198="",AN198,P198)</f>
        <v>1275</v>
      </c>
      <c r="AZ198" s="31" t="n">
        <f aca="false">IF($G198="",AO198,Q198)</f>
        <v>766995</v>
      </c>
      <c r="BA198" s="31" t="n">
        <f aca="false">IF($G198="",AP198,R198)</f>
        <v>780119</v>
      </c>
      <c r="BB198" s="31" t="n">
        <f aca="false">IF($G198="",AQ198,S198)</f>
        <v>107914</v>
      </c>
      <c r="BC198" s="31" t="n">
        <f aca="false">IF($G198="",AR198,T198)</f>
        <v>107914</v>
      </c>
      <c r="BD198" s="31" t="n">
        <f aca="false">IF($G198="",AS198,U198)</f>
        <v>17000</v>
      </c>
      <c r="BE198" s="31" t="n">
        <f aca="false">IF($G198="",AT198,V198)</f>
        <v>17007</v>
      </c>
      <c r="BF198" s="31" t="n">
        <f aca="false">ROUNDDOWN(I198*設定!$B$10/1000,0)+ROUNDDOWN(I198*設定!$B$11/1000,0)</f>
        <v>0</v>
      </c>
      <c r="BG198" s="31" t="n">
        <f aca="false">ROUNDDOWN(I198*設定!$C$10/1000,0)+ROUNDDOWN(I198*設定!$C$11/1000,0)+ROUNDDOWN(I198*設定!$C$12/1000,0)</f>
        <v>0</v>
      </c>
      <c r="BH198" s="31" t="n">
        <f aca="false">ROUNDDOWN(J198*設定!$B$13/1000,0)</f>
        <v>0</v>
      </c>
      <c r="BI198" s="31" t="n">
        <f aca="false">ROUNDDOWN(J198*設定!$C$13/1000,0)</f>
        <v>0</v>
      </c>
      <c r="BJ198" s="31" t="n">
        <f aca="false">ROUNDDOWN(K198*設定!$B$14/1000,0)</f>
        <v>0</v>
      </c>
      <c r="BK198" s="31" t="n">
        <f aca="false">ROUNDDOWN(K198*設定!$C$14/1000,0)</f>
        <v>0</v>
      </c>
      <c r="BL198" s="31" t="n">
        <f aca="false">ROUNDDOWN(J198*設定!$B$15/1000,0)</f>
        <v>0</v>
      </c>
      <c r="BM198" s="31" t="n">
        <f aca="false">ROUNDDOWN(J198*設定!$C$15/1000,0)</f>
        <v>0</v>
      </c>
      <c r="BN198" s="31" t="n">
        <f aca="false">L198+M198</f>
        <v>1425600</v>
      </c>
      <c r="BO198" s="31" t="n">
        <f aca="false">N198+O198+P198</f>
        <v>2012607</v>
      </c>
      <c r="BP198" s="31" t="n">
        <f aca="false">Q198</f>
        <v>766995</v>
      </c>
      <c r="BQ198" s="31" t="n">
        <f aca="false">R198</f>
        <v>780119</v>
      </c>
      <c r="BR198" s="31" t="n">
        <f aca="false">S198</f>
        <v>107914</v>
      </c>
      <c r="BS198" s="31" t="n">
        <f aca="false">T198</f>
        <v>107914</v>
      </c>
      <c r="BT198" s="31" t="n">
        <f aca="false">U198</f>
        <v>17000</v>
      </c>
      <c r="BU198" s="31" t="n">
        <f aca="false">V198</f>
        <v>17007</v>
      </c>
      <c r="BV198" s="32" t="n">
        <f aca="false">IF(BF198=0,IF(BN198=0,0,1),(BN198-BF198)/BF198)</f>
        <v>1</v>
      </c>
      <c r="BW198" s="32" t="n">
        <f aca="false">IF(BG198=0,IF(BO198=0,0,1),(BO198-BG198)/BG198)</f>
        <v>1</v>
      </c>
      <c r="BX198" s="32" t="n">
        <f aca="false">IF(BH198=0,IF(BP198=0,0,1),(BP198-BH198)/BH198)</f>
        <v>1</v>
      </c>
      <c r="BY198" s="32" t="n">
        <f aca="false">IF(BI198=0,IF(BQ198=0,0,1),(BQ198-BI198)/BI198)</f>
        <v>1</v>
      </c>
      <c r="BZ198" s="32" t="n">
        <f aca="false">IF(BJ198=0,IF(BR198=0,0,1),(BR198-BJ198)/BJ198)</f>
        <v>1</v>
      </c>
      <c r="CA198" s="32" t="n">
        <f aca="false">IF(BK198=0,IF(BS198=0,0,1),(BS198-BK198)/BK198)</f>
        <v>1</v>
      </c>
      <c r="CB198" s="32" t="n">
        <f aca="false">IF(BL198=0,IF(BT198=0,0,1),(BT198-BL198)/BL198)</f>
        <v>1</v>
      </c>
      <c r="CC198" s="32" t="n">
        <f aca="false">IF(BM198=0,IF(BU198=0,0,1),(BU198-BM198)/BM198)</f>
        <v>1</v>
      </c>
      <c r="CD198" s="32" t="n">
        <f aca="false">MAX(MAX(BV198:CC198),-MIN(BV198:CC198))</f>
        <v>1</v>
      </c>
      <c r="CE198" s="31" t="n">
        <f aca="false">IF(CI198="","",SUMIFS($CF$7:$CF$696,$A$7:$A$696,CI198,$B$7:$B$696,B198))</f>
        <v>5248909</v>
      </c>
      <c r="CF198" s="31" t="n">
        <f aca="false">SUM(AU198:BE198)</f>
        <v>5235156</v>
      </c>
      <c r="CG198" s="33" t="str">
        <f aca="false">A198&amp;"|"&amp;B198</f>
        <v>2026-07 月例|監査事務局</v>
      </c>
      <c r="CH198" s="34" t="str">
        <f aca="false">IFERROR(INDEX(設定!$D$61:$D$106,MATCH(B198,設定!$B$61:$B$106,0)),"Y")</f>
        <v>Y</v>
      </c>
      <c r="CI198" s="34" t="str">
        <f aca="false">IFERROR(INDEX(設定!$D$20:$D$34,MATCH(A198,設定!$A$20:$A$34,0))&amp;"","")</f>
        <v>2026-06 月例</v>
      </c>
    </row>
    <row r="199" customFormat="false" ht="15" hidden="true" customHeight="false" outlineLevel="0" collapsed="false">
      <c r="A199" s="22" t="s">
        <v>211</v>
      </c>
      <c r="B199" s="23" t="s">
        <v>168</v>
      </c>
      <c r="C199" s="10" t="str">
        <f aca="false">IF(G199="","未受領",IF(G199="なし","報告なし",IF(AH199="○","起票済",IF(OR(AG199="○",F199="一致",F199="入金不要"),"入金確認済","受領済"))))</f>
        <v>入金確認済</v>
      </c>
      <c r="D199" s="10" t="str">
        <f aca="false">IF(OR(G199="",G199="なし"),"―",IF(CH199="N","対象外",IF(AND(I199="",J199="",K199=""),"標報未入力",IF(CD199&gt;=設定!$B$4,"要確認","問題なし"))))</f>
        <v>標報未入力</v>
      </c>
      <c r="E199" s="24" t="str">
        <f aca="false">IF(OR(G199="",G199="なし",CE199="",CF199=0),"―",IF(CF199=CE199,"前月同額",IF(CE199=0,"―",IF(ABS(CF199/CE199-1)&gt;=設定!$B$5,"変動大 "&amp;TEXT(CF199/CE199-1,"+0%;-0%"),"〇"))))</f>
        <v>〇</v>
      </c>
      <c r="F199" s="10" t="str">
        <f aca="false">IF(OR(G199="",G199="なし"),"―",IF(CF199=0,"入金不要",IF(COUNT(Z199,AB199,AD199,AF199)=0,IF(AG199="○","手動確認","未入金"),IF(AND(N(Z199)=Y199,IF(AA199="",TRUE(),N(AB199)=AA199),IF(AC199="",TRUE(),N(AD199)=AC199),IF(AE199="",TRUE(),N(AF199)=AE199)),"一致","不一致"))))</f>
        <v>手動確認</v>
      </c>
      <c r="G199" s="25" t="s">
        <v>159</v>
      </c>
      <c r="H199" s="26"/>
      <c r="I199" s="27"/>
      <c r="J199" s="27"/>
      <c r="K199" s="27"/>
      <c r="L199" s="27" t="n">
        <v>396195</v>
      </c>
      <c r="M199" s="27" t="n">
        <v>32475</v>
      </c>
      <c r="N199" s="27" t="n">
        <v>568962</v>
      </c>
      <c r="O199" s="27" t="n">
        <v>32475</v>
      </c>
      <c r="P199" s="27" t="n">
        <v>376</v>
      </c>
      <c r="Q199" s="27" t="n">
        <v>299021</v>
      </c>
      <c r="R199" s="27" t="n">
        <v>304040</v>
      </c>
      <c r="S199" s="27" t="n">
        <v>33383</v>
      </c>
      <c r="T199" s="27" t="n">
        <v>33385</v>
      </c>
      <c r="U199" s="27" t="n">
        <v>6628</v>
      </c>
      <c r="V199" s="27" t="n">
        <v>6630</v>
      </c>
      <c r="W199" s="10" t="str">
        <f aca="false">IFERROR(INDEX(設定!$E$61:$E$106,MATCH(B199,設定!$B$61:$B$106,0)),"合算")</f>
        <v>合算</v>
      </c>
      <c r="X199" s="28"/>
      <c r="Y199" s="29" t="n">
        <f aca="false">IF(OR(G199="",G199="なし"),"",IF(W199="合算",CF199,IF(W199="掛金・負担金別",(AU199+AV199+AZ199+BB199+BD199),SUM(AU199:AY199))))</f>
        <v>1713570</v>
      </c>
      <c r="Z199" s="27"/>
      <c r="AA199" s="29" t="str">
        <f aca="false">IF(OR(G199="",G199="なし"),"",IF(W199="掛金・負担金別",(AW199+AX199+AY199+BA199+BC199+BE199),IF(W199="経理区分別",AZ199+BA199,"")))</f>
        <v/>
      </c>
      <c r="AB199" s="27"/>
      <c r="AC199" s="29" t="str">
        <f aca="false">IF(OR(G199="",G199="なし"),"",IF(W199="経理区分別",BB199+BC199,""))</f>
        <v/>
      </c>
      <c r="AD199" s="27"/>
      <c r="AE199" s="29" t="str">
        <f aca="false">IF(OR(G199="",G199="なし"),"",IF(W199="経理区分別",BD199+BE199,""))</f>
        <v/>
      </c>
      <c r="AF199" s="27"/>
      <c r="AG199" s="26" t="s">
        <v>160</v>
      </c>
      <c r="AH199" s="26"/>
      <c r="AI199" s="30"/>
      <c r="AJ199" s="31"/>
      <c r="AK199" s="31"/>
      <c r="AL199" s="31"/>
      <c r="AM199" s="31"/>
      <c r="AN199" s="31"/>
      <c r="AO199" s="31"/>
      <c r="AP199" s="31"/>
      <c r="AQ199" s="31"/>
      <c r="AR199" s="31"/>
      <c r="AS199" s="31"/>
      <c r="AT199" s="31"/>
      <c r="AU199" s="31" t="n">
        <f aca="false">IF($G199="",AJ199,L199)</f>
        <v>396195</v>
      </c>
      <c r="AV199" s="31" t="n">
        <f aca="false">IF($G199="",AK199,M199)</f>
        <v>32475</v>
      </c>
      <c r="AW199" s="31" t="n">
        <f aca="false">IF($G199="",AL199,N199)</f>
        <v>568962</v>
      </c>
      <c r="AX199" s="31" t="n">
        <f aca="false">IF($G199="",AM199,O199)</f>
        <v>32475</v>
      </c>
      <c r="AY199" s="31" t="n">
        <f aca="false">IF($G199="",AN199,P199)</f>
        <v>376</v>
      </c>
      <c r="AZ199" s="31" t="n">
        <f aca="false">IF($G199="",AO199,Q199)</f>
        <v>299021</v>
      </c>
      <c r="BA199" s="31" t="n">
        <f aca="false">IF($G199="",AP199,R199)</f>
        <v>304040</v>
      </c>
      <c r="BB199" s="31" t="n">
        <f aca="false">IF($G199="",AQ199,S199)</f>
        <v>33383</v>
      </c>
      <c r="BC199" s="31" t="n">
        <f aca="false">IF($G199="",AR199,T199)</f>
        <v>33385</v>
      </c>
      <c r="BD199" s="31" t="n">
        <f aca="false">IF($G199="",AS199,U199)</f>
        <v>6628</v>
      </c>
      <c r="BE199" s="31" t="n">
        <f aca="false">IF($G199="",AT199,V199)</f>
        <v>6630</v>
      </c>
      <c r="BF199" s="31" t="n">
        <f aca="false">ROUNDDOWN(I199*設定!$B$10/1000,0)+ROUNDDOWN(I199*設定!$B$11/1000,0)</f>
        <v>0</v>
      </c>
      <c r="BG199" s="31" t="n">
        <f aca="false">ROUNDDOWN(I199*設定!$C$10/1000,0)+ROUNDDOWN(I199*設定!$C$11/1000,0)+ROUNDDOWN(I199*設定!$C$12/1000,0)</f>
        <v>0</v>
      </c>
      <c r="BH199" s="31" t="n">
        <f aca="false">ROUNDDOWN(J199*設定!$B$13/1000,0)</f>
        <v>0</v>
      </c>
      <c r="BI199" s="31" t="n">
        <f aca="false">ROUNDDOWN(J199*設定!$C$13/1000,0)</f>
        <v>0</v>
      </c>
      <c r="BJ199" s="31" t="n">
        <f aca="false">ROUNDDOWN(K199*設定!$B$14/1000,0)</f>
        <v>0</v>
      </c>
      <c r="BK199" s="31" t="n">
        <f aca="false">ROUNDDOWN(K199*設定!$C$14/1000,0)</f>
        <v>0</v>
      </c>
      <c r="BL199" s="31" t="n">
        <f aca="false">ROUNDDOWN(J199*設定!$B$15/1000,0)</f>
        <v>0</v>
      </c>
      <c r="BM199" s="31" t="n">
        <f aca="false">ROUNDDOWN(J199*設定!$C$15/1000,0)</f>
        <v>0</v>
      </c>
      <c r="BN199" s="31" t="n">
        <f aca="false">L199+M199</f>
        <v>428670</v>
      </c>
      <c r="BO199" s="31" t="n">
        <f aca="false">N199+O199+P199</f>
        <v>601813</v>
      </c>
      <c r="BP199" s="31" t="n">
        <f aca="false">Q199</f>
        <v>299021</v>
      </c>
      <c r="BQ199" s="31" t="n">
        <f aca="false">R199</f>
        <v>304040</v>
      </c>
      <c r="BR199" s="31" t="n">
        <f aca="false">S199</f>
        <v>33383</v>
      </c>
      <c r="BS199" s="31" t="n">
        <f aca="false">T199</f>
        <v>33385</v>
      </c>
      <c r="BT199" s="31" t="n">
        <f aca="false">U199</f>
        <v>6628</v>
      </c>
      <c r="BU199" s="31" t="n">
        <f aca="false">V199</f>
        <v>6630</v>
      </c>
      <c r="BV199" s="32" t="n">
        <f aca="false">IF(BF199=0,IF(BN199=0,0,1),(BN199-BF199)/BF199)</f>
        <v>1</v>
      </c>
      <c r="BW199" s="32" t="n">
        <f aca="false">IF(BG199=0,IF(BO199=0,0,1),(BO199-BG199)/BG199)</f>
        <v>1</v>
      </c>
      <c r="BX199" s="32" t="n">
        <f aca="false">IF(BH199=0,IF(BP199=0,0,1),(BP199-BH199)/BH199)</f>
        <v>1</v>
      </c>
      <c r="BY199" s="32" t="n">
        <f aca="false">IF(BI199=0,IF(BQ199=0,0,1),(BQ199-BI199)/BI199)</f>
        <v>1</v>
      </c>
      <c r="BZ199" s="32" t="n">
        <f aca="false">IF(BJ199=0,IF(BR199=0,0,1),(BR199-BJ199)/BJ199)</f>
        <v>1</v>
      </c>
      <c r="CA199" s="32" t="n">
        <f aca="false">IF(BK199=0,IF(BS199=0,0,1),(BS199-BK199)/BK199)</f>
        <v>1</v>
      </c>
      <c r="CB199" s="32" t="n">
        <f aca="false">IF(BL199=0,IF(BT199=0,0,1),(BT199-BL199)/BL199)</f>
        <v>1</v>
      </c>
      <c r="CC199" s="32" t="n">
        <f aca="false">IF(BM199=0,IF(BU199=0,0,1),(BU199-BM199)/BM199)</f>
        <v>1</v>
      </c>
      <c r="CD199" s="32" t="n">
        <f aca="false">MAX(MAX(BV199:CC199),-MIN(BV199:CC199))</f>
        <v>1</v>
      </c>
      <c r="CE199" s="31" t="n">
        <f aca="false">IF(CI199="","",SUMIFS($CF$7:$CF$696,$A$7:$A$696,CI199,$B$7:$B$696,B199))</f>
        <v>1768620</v>
      </c>
      <c r="CF199" s="31" t="n">
        <f aca="false">SUM(AU199:BE199)</f>
        <v>1713570</v>
      </c>
      <c r="CG199" s="33" t="str">
        <f aca="false">A199&amp;"|"&amp;B199</f>
        <v>2026-07 月例|農業委員会</v>
      </c>
      <c r="CH199" s="34" t="str">
        <f aca="false">IFERROR(INDEX(設定!$D$61:$D$106,MATCH(B199,設定!$B$61:$B$106,0)),"Y")</f>
        <v>Y</v>
      </c>
      <c r="CI199" s="34" t="str">
        <f aca="false">IFERROR(INDEX(設定!$D$20:$D$34,MATCH(A199,設定!$A$20:$A$34,0))&amp;"","")</f>
        <v>2026-06 月例</v>
      </c>
    </row>
    <row r="200" customFormat="false" ht="15" hidden="true" customHeight="false" outlineLevel="0" collapsed="false">
      <c r="A200" s="22" t="s">
        <v>211</v>
      </c>
      <c r="B200" s="23" t="s">
        <v>169</v>
      </c>
      <c r="C200" s="10" t="str">
        <f aca="false">IF(G200="","未受領",IF(G200="なし","報告なし",IF(AH200="○","起票済",IF(OR(AG200="○",F200="一致",F200="入金不要"),"入金確認済","受領済"))))</f>
        <v>入金確認済</v>
      </c>
      <c r="D200" s="10" t="str">
        <f aca="false">IF(OR(G200="",G200="なし"),"―",IF(CH200="N","対象外",IF(AND(I200="",J200="",K200=""),"標報未入力",IF(CD200&gt;=設定!$B$4,"要確認","問題なし"))))</f>
        <v>対象外</v>
      </c>
      <c r="E200" s="24" t="str">
        <f aca="false">IF(OR(G200="",G200="なし",CE200="",CF200=0),"―",IF(CF200=CE200,"前月同額",IF(CE200=0,"―",IF(ABS(CF200/CE200-1)&gt;=設定!$B$5,"変動大 "&amp;TEXT(CF200/CE200-1,"+0%;-0%"),"〇"))))</f>
        <v>〇</v>
      </c>
      <c r="F200" s="10" t="str">
        <f aca="false">IF(OR(G200="",G200="なし"),"―",IF(CF200=0,"入金不要",IF(COUNT(Z200,AB200,AD200,AF200)=0,IF(AG200="○","手動確認","未入金"),IF(AND(N(Z200)=Y200,IF(AA200="",TRUE(),N(AB200)=AA200),IF(AC200="",TRUE(),N(AD200)=AC200),IF(AE200="",TRUE(),N(AF200)=AE200)),"一致","不一致"))))</f>
        <v>手動確認</v>
      </c>
      <c r="G200" s="25" t="s">
        <v>159</v>
      </c>
      <c r="H200" s="26"/>
      <c r="I200" s="27"/>
      <c r="J200" s="27"/>
      <c r="K200" s="27"/>
      <c r="L200" s="27" t="n">
        <v>22759527</v>
      </c>
      <c r="M200" s="27" t="n">
        <v>1865535</v>
      </c>
      <c r="N200" s="27" t="n">
        <v>32881359</v>
      </c>
      <c r="O200" s="27" t="n">
        <v>1865535</v>
      </c>
      <c r="P200" s="27" t="n">
        <v>22039</v>
      </c>
      <c r="Q200" s="27" t="n">
        <v>13590710</v>
      </c>
      <c r="R200" s="27" t="n">
        <v>13823267</v>
      </c>
      <c r="S200" s="27" t="n">
        <v>1377049</v>
      </c>
      <c r="T200" s="27" t="n">
        <v>1377049</v>
      </c>
      <c r="U200" s="27" t="n">
        <v>301037</v>
      </c>
      <c r="V200" s="27" t="n">
        <v>301136</v>
      </c>
      <c r="W200" s="10" t="str">
        <f aca="false">IFERROR(INDEX(設定!$E$61:$E$106,MATCH(B200,設定!$B$61:$B$106,0)),"合算")</f>
        <v>合算</v>
      </c>
      <c r="X200" s="28"/>
      <c r="Y200" s="29" t="n">
        <f aca="false">IF(OR(G200="",G200="なし"),"",IF(W200="合算",CF200,IF(W200="掛金・負担金別",(AU200+AV200+AZ200+BB200+BD200),SUM(AU200:AY200))))</f>
        <v>90164243</v>
      </c>
      <c r="Z200" s="27"/>
      <c r="AA200" s="29" t="str">
        <f aca="false">IF(OR(G200="",G200="なし"),"",IF(W200="掛金・負担金別",(AW200+AX200+AY200+BA200+BC200+BE200),IF(W200="経理区分別",AZ200+BA200,"")))</f>
        <v/>
      </c>
      <c r="AB200" s="27"/>
      <c r="AC200" s="29" t="str">
        <f aca="false">IF(OR(G200="",G200="なし"),"",IF(W200="経理区分別",BB200+BC200,""))</f>
        <v/>
      </c>
      <c r="AD200" s="27"/>
      <c r="AE200" s="29" t="str">
        <f aca="false">IF(OR(G200="",G200="なし"),"",IF(W200="経理区分別",BD200+BE200,""))</f>
        <v/>
      </c>
      <c r="AF200" s="27"/>
      <c r="AG200" s="26" t="s">
        <v>160</v>
      </c>
      <c r="AH200" s="26"/>
      <c r="AI200" s="30"/>
      <c r="AJ200" s="31"/>
      <c r="AK200" s="31"/>
      <c r="AL200" s="31"/>
      <c r="AM200" s="31"/>
      <c r="AN200" s="31"/>
      <c r="AO200" s="31"/>
      <c r="AP200" s="31"/>
      <c r="AQ200" s="31"/>
      <c r="AR200" s="31"/>
      <c r="AS200" s="31"/>
      <c r="AT200" s="31"/>
      <c r="AU200" s="31" t="n">
        <f aca="false">IF($G200="",AJ200,L200)</f>
        <v>22759527</v>
      </c>
      <c r="AV200" s="31" t="n">
        <f aca="false">IF($G200="",AK200,M200)</f>
        <v>1865535</v>
      </c>
      <c r="AW200" s="31" t="n">
        <f aca="false">IF($G200="",AL200,N200)</f>
        <v>32881359</v>
      </c>
      <c r="AX200" s="31" t="n">
        <f aca="false">IF($G200="",AM200,O200)</f>
        <v>1865535</v>
      </c>
      <c r="AY200" s="31" t="n">
        <f aca="false">IF($G200="",AN200,P200)</f>
        <v>22039</v>
      </c>
      <c r="AZ200" s="31" t="n">
        <f aca="false">IF($G200="",AO200,Q200)</f>
        <v>13590710</v>
      </c>
      <c r="BA200" s="31" t="n">
        <f aca="false">IF($G200="",AP200,R200)</f>
        <v>13823267</v>
      </c>
      <c r="BB200" s="31" t="n">
        <f aca="false">IF($G200="",AQ200,S200)</f>
        <v>1377049</v>
      </c>
      <c r="BC200" s="31" t="n">
        <f aca="false">IF($G200="",AR200,T200)</f>
        <v>1377049</v>
      </c>
      <c r="BD200" s="31" t="n">
        <f aca="false">IF($G200="",AS200,U200)</f>
        <v>301037</v>
      </c>
      <c r="BE200" s="31" t="n">
        <f aca="false">IF($G200="",AT200,V200)</f>
        <v>301136</v>
      </c>
      <c r="BF200" s="31" t="n">
        <f aca="false">ROUNDDOWN(I200*設定!$B$10/1000,0)+ROUNDDOWN(I200*設定!$B$11/1000,0)</f>
        <v>0</v>
      </c>
      <c r="BG200" s="31" t="n">
        <f aca="false">ROUNDDOWN(I200*設定!$C$10/1000,0)+ROUNDDOWN(I200*設定!$C$11/1000,0)+ROUNDDOWN(I200*設定!$C$12/1000,0)</f>
        <v>0</v>
      </c>
      <c r="BH200" s="31" t="n">
        <f aca="false">ROUNDDOWN(J200*設定!$B$13/1000,0)</f>
        <v>0</v>
      </c>
      <c r="BI200" s="31" t="n">
        <f aca="false">ROUNDDOWN(J200*設定!$C$13/1000,0)</f>
        <v>0</v>
      </c>
      <c r="BJ200" s="31" t="n">
        <f aca="false">ROUNDDOWN(K200*設定!$B$14/1000,0)</f>
        <v>0</v>
      </c>
      <c r="BK200" s="31" t="n">
        <f aca="false">ROUNDDOWN(K200*設定!$C$14/1000,0)</f>
        <v>0</v>
      </c>
      <c r="BL200" s="31" t="n">
        <f aca="false">ROUNDDOWN(J200*設定!$B$15/1000,0)</f>
        <v>0</v>
      </c>
      <c r="BM200" s="31" t="n">
        <f aca="false">ROUNDDOWN(J200*設定!$C$15/1000,0)</f>
        <v>0</v>
      </c>
      <c r="BN200" s="31" t="n">
        <f aca="false">L200+M200</f>
        <v>24625062</v>
      </c>
      <c r="BO200" s="31" t="n">
        <f aca="false">N200+O200+P200</f>
        <v>34768933</v>
      </c>
      <c r="BP200" s="31" t="n">
        <f aca="false">Q200</f>
        <v>13590710</v>
      </c>
      <c r="BQ200" s="31" t="n">
        <f aca="false">R200</f>
        <v>13823267</v>
      </c>
      <c r="BR200" s="31" t="n">
        <f aca="false">S200</f>
        <v>1377049</v>
      </c>
      <c r="BS200" s="31" t="n">
        <f aca="false">T200</f>
        <v>1377049</v>
      </c>
      <c r="BT200" s="31" t="n">
        <f aca="false">U200</f>
        <v>301037</v>
      </c>
      <c r="BU200" s="31" t="n">
        <f aca="false">V200</f>
        <v>301136</v>
      </c>
      <c r="BV200" s="32" t="n">
        <f aca="false">IF(BF200=0,IF(BN200=0,0,1),(BN200-BF200)/BF200)</f>
        <v>1</v>
      </c>
      <c r="BW200" s="32" t="n">
        <f aca="false">IF(BG200=0,IF(BO200=0,0,1),(BO200-BG200)/BG200)</f>
        <v>1</v>
      </c>
      <c r="BX200" s="32" t="n">
        <f aca="false">IF(BH200=0,IF(BP200=0,0,1),(BP200-BH200)/BH200)</f>
        <v>1</v>
      </c>
      <c r="BY200" s="32" t="n">
        <f aca="false">IF(BI200=0,IF(BQ200=0,0,1),(BQ200-BI200)/BI200)</f>
        <v>1</v>
      </c>
      <c r="BZ200" s="32" t="n">
        <f aca="false">IF(BJ200=0,IF(BR200=0,0,1),(BR200-BJ200)/BJ200)</f>
        <v>1</v>
      </c>
      <c r="CA200" s="32" t="n">
        <f aca="false">IF(BK200=0,IF(BS200=0,0,1),(BS200-BK200)/BK200)</f>
        <v>1</v>
      </c>
      <c r="CB200" s="32" t="n">
        <f aca="false">IF(BL200=0,IF(BT200=0,0,1),(BT200-BL200)/BL200)</f>
        <v>1</v>
      </c>
      <c r="CC200" s="32" t="n">
        <f aca="false">IF(BM200=0,IF(BU200=0,0,1),(BU200-BM200)/BM200)</f>
        <v>1</v>
      </c>
      <c r="CD200" s="32" t="n">
        <f aca="false">MAX(MAX(BV200:CC200),-MIN(BV200:CC200))</f>
        <v>1</v>
      </c>
      <c r="CE200" s="31" t="n">
        <f aca="false">IF(CI200="","",SUMIFS($CF$7:$CF$696,$A$7:$A$696,CI200,$B$7:$B$696,B200))</f>
        <v>88463632</v>
      </c>
      <c r="CF200" s="31" t="n">
        <f aca="false">SUM(AU200:BE200)</f>
        <v>90164243</v>
      </c>
      <c r="CG200" s="33" t="str">
        <f aca="false">A200&amp;"|"&amp;B200</f>
        <v>2026-07 月例|水道局</v>
      </c>
      <c r="CH200" s="34" t="str">
        <f aca="false">IFERROR(INDEX(設定!$D$61:$D$106,MATCH(B200,設定!$B$61:$B$106,0)),"Y")</f>
        <v>N</v>
      </c>
      <c r="CI200" s="34" t="str">
        <f aca="false">IFERROR(INDEX(設定!$D$20:$D$34,MATCH(A200,設定!$A$20:$A$34,0))&amp;"","")</f>
        <v>2026-06 月例</v>
      </c>
    </row>
    <row r="201" customFormat="false" ht="15" hidden="true" customHeight="false" outlineLevel="0" collapsed="false">
      <c r="A201" s="22" t="s">
        <v>211</v>
      </c>
      <c r="B201" s="23" t="s">
        <v>170</v>
      </c>
      <c r="C201" s="10" t="str">
        <f aca="false">IF(G201="","未受領",IF(G201="なし","報告なし",IF(AH201="○","起票済",IF(OR(AG201="○",F201="一致",F201="入金不要"),"入金確認済","受領済"))))</f>
        <v>入金確認済</v>
      </c>
      <c r="D201" s="10" t="str">
        <f aca="false">IF(OR(G201="",G201="なし"),"―",IF(CH201="N","対象外",IF(AND(I201="",J201="",K201=""),"標報未入力",IF(CD201&gt;=設定!$B$4,"要確認","問題なし"))))</f>
        <v>標報未入力</v>
      </c>
      <c r="E201" s="24" t="str">
        <f aca="false">IF(OR(G201="",G201="なし",CE201="",CF201=0),"―",IF(CF201=CE201,"前月同額",IF(CE201=0,"―",IF(ABS(CF201/CE201-1)&gt;=設定!$B$5,"変動大 "&amp;TEXT(CF201/CE201-1,"+0%;-0%"),"〇"))))</f>
        <v>前月同額</v>
      </c>
      <c r="F201" s="10" t="str">
        <f aca="false">IF(OR(G201="",G201="なし"),"―",IF(CF201=0,"入金不要",IF(COUNT(Z201,AB201,AD201,AF201)=0,IF(AG201="○","手動確認","未入金"),IF(AND(N(Z201)=Y201,IF(AA201="",TRUE(),N(AB201)=AA201),IF(AC201="",TRUE(),N(AD201)=AC201),IF(AE201="",TRUE(),N(AF201)=AE201)),"一致","不一致"))))</f>
        <v>手動確認</v>
      </c>
      <c r="G201" s="25" t="s">
        <v>159</v>
      </c>
      <c r="H201" s="26"/>
      <c r="I201" s="27"/>
      <c r="J201" s="27"/>
      <c r="K201" s="27"/>
      <c r="L201" s="27" t="n">
        <v>48495</v>
      </c>
      <c r="M201" s="27" t="n">
        <v>3975</v>
      </c>
      <c r="N201" s="27" t="n">
        <v>69642</v>
      </c>
      <c r="O201" s="27" t="n">
        <v>3975</v>
      </c>
      <c r="P201" s="27" t="n">
        <v>46</v>
      </c>
      <c r="Q201" s="27" t="n">
        <v>27485</v>
      </c>
      <c r="R201" s="27" t="n">
        <v>27946</v>
      </c>
      <c r="S201" s="27" t="n">
        <v>4187</v>
      </c>
      <c r="T201" s="27" t="n">
        <v>4187</v>
      </c>
      <c r="U201" s="27" t="n">
        <v>609</v>
      </c>
      <c r="V201" s="27" t="n">
        <v>609</v>
      </c>
      <c r="W201" s="10" t="str">
        <f aca="false">IFERROR(INDEX(設定!$E$61:$E$106,MATCH(B201,設定!$B$61:$B$106,0)),"合算")</f>
        <v>合算</v>
      </c>
      <c r="X201" s="28"/>
      <c r="Y201" s="29" t="n">
        <f aca="false">IF(OR(G201="",G201="なし"),"",IF(W201="合算",CF201,IF(W201="掛金・負担金別",(AU201+AV201+AZ201+BB201+BD201),SUM(AU201:AY201))))</f>
        <v>191156</v>
      </c>
      <c r="Z201" s="27"/>
      <c r="AA201" s="29" t="str">
        <f aca="false">IF(OR(G201="",G201="なし"),"",IF(W201="掛金・負担金別",(AW201+AX201+AY201+BA201+BC201+BE201),IF(W201="経理区分別",AZ201+BA201,"")))</f>
        <v/>
      </c>
      <c r="AB201" s="27"/>
      <c r="AC201" s="29" t="str">
        <f aca="false">IF(OR(G201="",G201="なし"),"",IF(W201="経理区分別",BB201+BC201,""))</f>
        <v/>
      </c>
      <c r="AD201" s="27"/>
      <c r="AE201" s="29" t="str">
        <f aca="false">IF(OR(G201="",G201="なし"),"",IF(W201="経理区分別",BD201+BE201,""))</f>
        <v/>
      </c>
      <c r="AF201" s="27"/>
      <c r="AG201" s="26" t="s">
        <v>160</v>
      </c>
      <c r="AH201" s="26"/>
      <c r="AI201" s="30"/>
      <c r="AJ201" s="31"/>
      <c r="AK201" s="31"/>
      <c r="AL201" s="31"/>
      <c r="AM201" s="31"/>
      <c r="AN201" s="31"/>
      <c r="AO201" s="31"/>
      <c r="AP201" s="31"/>
      <c r="AQ201" s="31"/>
      <c r="AR201" s="31"/>
      <c r="AS201" s="31"/>
      <c r="AT201" s="31"/>
      <c r="AU201" s="31" t="n">
        <f aca="false">IF($G201="",AJ201,L201)</f>
        <v>48495</v>
      </c>
      <c r="AV201" s="31" t="n">
        <f aca="false">IF($G201="",AK201,M201)</f>
        <v>3975</v>
      </c>
      <c r="AW201" s="31" t="n">
        <f aca="false">IF($G201="",AL201,N201)</f>
        <v>69642</v>
      </c>
      <c r="AX201" s="31" t="n">
        <f aca="false">IF($G201="",AM201,O201)</f>
        <v>3975</v>
      </c>
      <c r="AY201" s="31" t="n">
        <f aca="false">IF($G201="",AN201,P201)</f>
        <v>46</v>
      </c>
      <c r="AZ201" s="31" t="n">
        <f aca="false">IF($G201="",AO201,Q201)</f>
        <v>27485</v>
      </c>
      <c r="BA201" s="31" t="n">
        <f aca="false">IF($G201="",AP201,R201)</f>
        <v>27946</v>
      </c>
      <c r="BB201" s="31" t="n">
        <f aca="false">IF($G201="",AQ201,S201)</f>
        <v>4187</v>
      </c>
      <c r="BC201" s="31" t="n">
        <f aca="false">IF($G201="",AR201,T201)</f>
        <v>4187</v>
      </c>
      <c r="BD201" s="31" t="n">
        <f aca="false">IF($G201="",AS201,U201)</f>
        <v>609</v>
      </c>
      <c r="BE201" s="31" t="n">
        <f aca="false">IF($G201="",AT201,V201)</f>
        <v>609</v>
      </c>
      <c r="BF201" s="31" t="n">
        <f aca="false">ROUNDDOWN(I201*設定!$B$10/1000,0)+ROUNDDOWN(I201*設定!$B$11/1000,0)</f>
        <v>0</v>
      </c>
      <c r="BG201" s="31" t="n">
        <f aca="false">ROUNDDOWN(I201*設定!$C$10/1000,0)+ROUNDDOWN(I201*設定!$C$11/1000,0)+ROUNDDOWN(I201*設定!$C$12/1000,0)</f>
        <v>0</v>
      </c>
      <c r="BH201" s="31" t="n">
        <f aca="false">ROUNDDOWN(J201*設定!$B$13/1000,0)</f>
        <v>0</v>
      </c>
      <c r="BI201" s="31" t="n">
        <f aca="false">ROUNDDOWN(J201*設定!$C$13/1000,0)</f>
        <v>0</v>
      </c>
      <c r="BJ201" s="31" t="n">
        <f aca="false">ROUNDDOWN(K201*設定!$B$14/1000,0)</f>
        <v>0</v>
      </c>
      <c r="BK201" s="31" t="n">
        <f aca="false">ROUNDDOWN(K201*設定!$C$14/1000,0)</f>
        <v>0</v>
      </c>
      <c r="BL201" s="31" t="n">
        <f aca="false">ROUNDDOWN(J201*設定!$B$15/1000,0)</f>
        <v>0</v>
      </c>
      <c r="BM201" s="31" t="n">
        <f aca="false">ROUNDDOWN(J201*設定!$C$15/1000,0)</f>
        <v>0</v>
      </c>
      <c r="BN201" s="31" t="n">
        <f aca="false">L201+M201</f>
        <v>52470</v>
      </c>
      <c r="BO201" s="31" t="n">
        <f aca="false">N201+O201+P201</f>
        <v>73663</v>
      </c>
      <c r="BP201" s="31" t="n">
        <f aca="false">Q201</f>
        <v>27485</v>
      </c>
      <c r="BQ201" s="31" t="n">
        <f aca="false">R201</f>
        <v>27946</v>
      </c>
      <c r="BR201" s="31" t="n">
        <f aca="false">S201</f>
        <v>4187</v>
      </c>
      <c r="BS201" s="31" t="n">
        <f aca="false">T201</f>
        <v>4187</v>
      </c>
      <c r="BT201" s="31" t="n">
        <f aca="false">U201</f>
        <v>609</v>
      </c>
      <c r="BU201" s="31" t="n">
        <f aca="false">V201</f>
        <v>609</v>
      </c>
      <c r="BV201" s="32" t="n">
        <f aca="false">IF(BF201=0,IF(BN201=0,0,1),(BN201-BF201)/BF201)</f>
        <v>1</v>
      </c>
      <c r="BW201" s="32" t="n">
        <f aca="false">IF(BG201=0,IF(BO201=0,0,1),(BO201-BG201)/BG201)</f>
        <v>1</v>
      </c>
      <c r="BX201" s="32" t="n">
        <f aca="false">IF(BH201=0,IF(BP201=0,0,1),(BP201-BH201)/BH201)</f>
        <v>1</v>
      </c>
      <c r="BY201" s="32" t="n">
        <f aca="false">IF(BI201=0,IF(BQ201=0,0,1),(BQ201-BI201)/BI201)</f>
        <v>1</v>
      </c>
      <c r="BZ201" s="32" t="n">
        <f aca="false">IF(BJ201=0,IF(BR201=0,0,1),(BR201-BJ201)/BJ201)</f>
        <v>1</v>
      </c>
      <c r="CA201" s="32" t="n">
        <f aca="false">IF(BK201=0,IF(BS201=0,0,1),(BS201-BK201)/BK201)</f>
        <v>1</v>
      </c>
      <c r="CB201" s="32" t="n">
        <f aca="false">IF(BL201=0,IF(BT201=0,0,1),(BT201-BL201)/BL201)</f>
        <v>1</v>
      </c>
      <c r="CC201" s="32" t="n">
        <f aca="false">IF(BM201=0,IF(BU201=0,0,1),(BU201-BM201)/BM201)</f>
        <v>1</v>
      </c>
      <c r="CD201" s="32" t="n">
        <f aca="false">MAX(MAX(BV201:CC201),-MIN(BV201:CC201))</f>
        <v>1</v>
      </c>
      <c r="CE201" s="31" t="n">
        <f aca="false">IF(CI201="","",SUMIFS($CF$7:$CF$696,$A$7:$A$696,CI201,$B$7:$B$696,B201))</f>
        <v>191156</v>
      </c>
      <c r="CF201" s="31" t="n">
        <f aca="false">SUM(AU201:BE201)</f>
        <v>191156</v>
      </c>
      <c r="CG201" s="33" t="str">
        <f aca="false">A201&amp;"|"&amp;B201</f>
        <v>2026-07 月例|医療政策課(安芸市民)</v>
      </c>
      <c r="CH201" s="34" t="str">
        <f aca="false">IFERROR(INDEX(設定!$D$61:$D$106,MATCH(B201,設定!$B$61:$B$106,0)),"Y")</f>
        <v>Y</v>
      </c>
      <c r="CI201" s="34" t="str">
        <f aca="false">IFERROR(INDEX(設定!$D$20:$D$34,MATCH(A201,設定!$A$20:$A$34,0))&amp;"","")</f>
        <v>2026-06 月例</v>
      </c>
    </row>
    <row r="202" customFormat="false" ht="15" hidden="true" customHeight="false" outlineLevel="0" collapsed="false">
      <c r="A202" s="22" t="s">
        <v>211</v>
      </c>
      <c r="B202" s="23" t="s">
        <v>171</v>
      </c>
      <c r="C202" s="10" t="str">
        <f aca="false">IF(G202="","未受領",IF(G202="なし","報告なし",IF(AH202="○","起票済",IF(OR(AG202="○",F202="一致",F202="入金不要"),"入金確認済","受領済"))))</f>
        <v>入金確認済</v>
      </c>
      <c r="D202" s="10" t="str">
        <f aca="false">IF(OR(G202="",G202="なし"),"―",IF(CH202="N","対象外",IF(AND(I202="",J202="",K202=""),"標報未入力",IF(CD202&gt;=設定!$B$4,"要確認","問題なし"))))</f>
        <v>標報未入力</v>
      </c>
      <c r="E202" s="24" t="str">
        <f aca="false">IF(OR(G202="",G202="なし",CE202="",CF202=0),"―",IF(CF202=CE202,"前月同額",IF(CE202=0,"―",IF(ABS(CF202/CE202-1)&gt;=設定!$B$5,"変動大 "&amp;TEXT(CF202/CE202-1,"+0%;-0%"),"〇"))))</f>
        <v>変動大 +37%</v>
      </c>
      <c r="F202" s="10" t="str">
        <f aca="false">IF(OR(G202="",G202="なし"),"―",IF(CF202=0,"入金不要",IF(COUNT(Z202,AB202,AD202,AF202)=0,IF(AG202="○","手動確認","未入金"),IF(AND(N(Z202)=Y202,IF(AA202="",TRUE(),N(AB202)=AA202),IF(AC202="",TRUE(),N(AD202)=AC202),IF(AE202="",TRUE(),N(AF202)=AE202)),"一致","不一致"))))</f>
        <v>手動確認</v>
      </c>
      <c r="G202" s="25" t="s">
        <v>159</v>
      </c>
      <c r="H202" s="26"/>
      <c r="I202" s="27"/>
      <c r="J202" s="27"/>
      <c r="K202" s="27"/>
      <c r="L202" s="27" t="n">
        <v>0</v>
      </c>
      <c r="M202" s="27" t="n">
        <v>0</v>
      </c>
      <c r="N202" s="27"/>
      <c r="O202" s="27"/>
      <c r="P202" s="27" t="n">
        <v>0</v>
      </c>
      <c r="Q202" s="27" t="n">
        <v>386553</v>
      </c>
      <c r="R202" s="27" t="n">
        <v>393048</v>
      </c>
      <c r="S202" s="27" t="n">
        <v>12008</v>
      </c>
      <c r="T202" s="27" t="n">
        <v>12008</v>
      </c>
      <c r="U202" s="27" t="n">
        <v>8565</v>
      </c>
      <c r="V202" s="27" t="n">
        <v>8572</v>
      </c>
      <c r="W202" s="10" t="str">
        <f aca="false">IFERROR(INDEX(設定!$E$61:$E$106,MATCH(B202,設定!$B$61:$B$106,0)),"合算")</f>
        <v>合算</v>
      </c>
      <c r="X202" s="28"/>
      <c r="Y202" s="29" t="n">
        <f aca="false">IF(OR(G202="",G202="なし"),"",IF(W202="合算",CF202,IF(W202="掛金・負担金別",(AU202+AV202+AZ202+BB202+BD202),SUM(AU202:AY202))))</f>
        <v>820754</v>
      </c>
      <c r="Z202" s="27"/>
      <c r="AA202" s="29" t="str">
        <f aca="false">IF(OR(G202="",G202="なし"),"",IF(W202="掛金・負担金別",(AW202+AX202+AY202+BA202+BC202+BE202),IF(W202="経理区分別",AZ202+BA202,"")))</f>
        <v/>
      </c>
      <c r="AB202" s="27"/>
      <c r="AC202" s="29" t="str">
        <f aca="false">IF(OR(G202="",G202="なし"),"",IF(W202="経理区分別",BB202+BC202,""))</f>
        <v/>
      </c>
      <c r="AD202" s="27"/>
      <c r="AE202" s="29" t="str">
        <f aca="false">IF(OR(G202="",G202="なし"),"",IF(W202="経理区分別",BD202+BE202,""))</f>
        <v/>
      </c>
      <c r="AF202" s="27"/>
      <c r="AG202" s="26" t="s">
        <v>160</v>
      </c>
      <c r="AH202" s="26"/>
      <c r="AI202" s="30"/>
      <c r="AJ202" s="31"/>
      <c r="AK202" s="31"/>
      <c r="AL202" s="31"/>
      <c r="AM202" s="31"/>
      <c r="AN202" s="31"/>
      <c r="AO202" s="31"/>
      <c r="AP202" s="31"/>
      <c r="AQ202" s="31"/>
      <c r="AR202" s="31"/>
      <c r="AS202" s="31"/>
      <c r="AT202" s="31"/>
      <c r="AU202" s="31" t="n">
        <f aca="false">IF($G202="",AJ202,L202)</f>
        <v>0</v>
      </c>
      <c r="AV202" s="31" t="n">
        <f aca="false">IF($G202="",AK202,M202)</f>
        <v>0</v>
      </c>
      <c r="AW202" s="31" t="n">
        <f aca="false">IF($G202="",AL202,N202)</f>
        <v>0</v>
      </c>
      <c r="AX202" s="31" t="n">
        <f aca="false">IF($G202="",AM202,O202)</f>
        <v>0</v>
      </c>
      <c r="AY202" s="31" t="n">
        <f aca="false">IF($G202="",AN202,P202)</f>
        <v>0</v>
      </c>
      <c r="AZ202" s="31" t="n">
        <f aca="false">IF($G202="",AO202,Q202)</f>
        <v>386553</v>
      </c>
      <c r="BA202" s="31" t="n">
        <f aca="false">IF($G202="",AP202,R202)</f>
        <v>393048</v>
      </c>
      <c r="BB202" s="31" t="n">
        <f aca="false">IF($G202="",AQ202,S202)</f>
        <v>12008</v>
      </c>
      <c r="BC202" s="31" t="n">
        <f aca="false">IF($G202="",AR202,T202)</f>
        <v>12008</v>
      </c>
      <c r="BD202" s="31" t="n">
        <f aca="false">IF($G202="",AS202,U202)</f>
        <v>8565</v>
      </c>
      <c r="BE202" s="31" t="n">
        <f aca="false">IF($G202="",AT202,V202)</f>
        <v>8572</v>
      </c>
      <c r="BF202" s="31" t="n">
        <f aca="false">ROUNDDOWN(I202*設定!$B$10/1000,0)+ROUNDDOWN(I202*設定!$B$11/1000,0)</f>
        <v>0</v>
      </c>
      <c r="BG202" s="31" t="n">
        <f aca="false">ROUNDDOWN(I202*設定!$C$10/1000,0)+ROUNDDOWN(I202*設定!$C$11/1000,0)+ROUNDDOWN(I202*設定!$C$12/1000,0)</f>
        <v>0</v>
      </c>
      <c r="BH202" s="31" t="n">
        <f aca="false">ROUNDDOWN(J202*設定!$B$13/1000,0)</f>
        <v>0</v>
      </c>
      <c r="BI202" s="31" t="n">
        <f aca="false">ROUNDDOWN(J202*設定!$C$13/1000,0)</f>
        <v>0</v>
      </c>
      <c r="BJ202" s="31" t="n">
        <f aca="false">ROUNDDOWN(K202*設定!$B$14/1000,0)</f>
        <v>0</v>
      </c>
      <c r="BK202" s="31" t="n">
        <f aca="false">ROUNDDOWN(K202*設定!$C$14/1000,0)</f>
        <v>0</v>
      </c>
      <c r="BL202" s="31" t="n">
        <f aca="false">ROUNDDOWN(J202*設定!$B$15/1000,0)</f>
        <v>0</v>
      </c>
      <c r="BM202" s="31" t="n">
        <f aca="false">ROUNDDOWN(J202*設定!$C$15/1000,0)</f>
        <v>0</v>
      </c>
      <c r="BN202" s="31" t="n">
        <f aca="false">L202+M202</f>
        <v>0</v>
      </c>
      <c r="BO202" s="31" t="n">
        <f aca="false">N202+O202+P202</f>
        <v>0</v>
      </c>
      <c r="BP202" s="31" t="n">
        <f aca="false">Q202</f>
        <v>386553</v>
      </c>
      <c r="BQ202" s="31" t="n">
        <f aca="false">R202</f>
        <v>393048</v>
      </c>
      <c r="BR202" s="31" t="n">
        <f aca="false">S202</f>
        <v>12008</v>
      </c>
      <c r="BS202" s="31" t="n">
        <f aca="false">T202</f>
        <v>12008</v>
      </c>
      <c r="BT202" s="31" t="n">
        <f aca="false">U202</f>
        <v>8565</v>
      </c>
      <c r="BU202" s="31" t="n">
        <f aca="false">V202</f>
        <v>8572</v>
      </c>
      <c r="BV202" s="32" t="n">
        <f aca="false">IF(BF202=0,IF(BN202=0,0,1),(BN202-BF202)/BF202)</f>
        <v>0</v>
      </c>
      <c r="BW202" s="32" t="n">
        <f aca="false">IF(BG202=0,IF(BO202=0,0,1),(BO202-BG202)/BG202)</f>
        <v>0</v>
      </c>
      <c r="BX202" s="32" t="n">
        <f aca="false">IF(BH202=0,IF(BP202=0,0,1),(BP202-BH202)/BH202)</f>
        <v>1</v>
      </c>
      <c r="BY202" s="32" t="n">
        <f aca="false">IF(BI202=0,IF(BQ202=0,0,1),(BQ202-BI202)/BI202)</f>
        <v>1</v>
      </c>
      <c r="BZ202" s="32" t="n">
        <f aca="false">IF(BJ202=0,IF(BR202=0,0,1),(BR202-BJ202)/BJ202)</f>
        <v>1</v>
      </c>
      <c r="CA202" s="32" t="n">
        <f aca="false">IF(BK202=0,IF(BS202=0,0,1),(BS202-BK202)/BK202)</f>
        <v>1</v>
      </c>
      <c r="CB202" s="32" t="n">
        <f aca="false">IF(BL202=0,IF(BT202=0,0,1),(BT202-BL202)/BL202)</f>
        <v>1</v>
      </c>
      <c r="CC202" s="32" t="n">
        <f aca="false">IF(BM202=0,IF(BU202=0,0,1),(BU202-BM202)/BM202)</f>
        <v>1</v>
      </c>
      <c r="CD202" s="32" t="n">
        <f aca="false">MAX(MAX(BV202:CC202),-MIN(BV202:CC202))</f>
        <v>1</v>
      </c>
      <c r="CE202" s="31" t="n">
        <f aca="false">IF(CI202="","",SUMIFS($CF$7:$CF$696,$A$7:$A$696,CI202,$B$7:$B$696,B202))</f>
        <v>600597</v>
      </c>
      <c r="CF202" s="31" t="n">
        <f aca="false">SUM(AU202:BE202)</f>
        <v>820754</v>
      </c>
      <c r="CG202" s="33" t="str">
        <f aca="false">A202&amp;"|"&amp;B202</f>
        <v>2026-07 月例|教育委員会（教育給与課）</v>
      </c>
      <c r="CH202" s="34" t="str">
        <f aca="false">IFERROR(INDEX(設定!$D$61:$D$106,MATCH(B202,設定!$B$61:$B$106,0)),"Y")</f>
        <v>Y</v>
      </c>
      <c r="CI202" s="34" t="str">
        <f aca="false">IFERROR(INDEX(設定!$D$20:$D$34,MATCH(A202,設定!$A$20:$A$34,0))&amp;"","")</f>
        <v>2026-06 月例</v>
      </c>
    </row>
    <row r="203" customFormat="false" ht="15" hidden="true" customHeight="false" outlineLevel="0" collapsed="false">
      <c r="A203" s="22" t="s">
        <v>211</v>
      </c>
      <c r="B203" s="23" t="s">
        <v>172</v>
      </c>
      <c r="C203" s="10" t="str">
        <f aca="false">IF(G203="","未受領",IF(G203="なし","報告なし",IF(AH203="○","起票済",IF(OR(AG203="○",F203="一致",F203="入金不要"),"入金確認済","受領済"))))</f>
        <v>報告なし</v>
      </c>
      <c r="D203" s="10" t="str">
        <f aca="false">IF(OR(G203="",G203="なし"),"―",IF(CH203="N","対象外",IF(AND(I203="",J203="",K203=""),"標報未入力",IF(CD203&gt;=設定!$B$4,"要確認","問題なし"))))</f>
        <v>―</v>
      </c>
      <c r="E203" s="24" t="str">
        <f aca="false">IF(OR(G203="",G203="なし",CE203="",CF203=0),"―",IF(CF203=CE203,"前月同額",IF(CE203=0,"―",IF(ABS(CF203/CE203-1)&gt;=設定!$B$5,"変動大 "&amp;TEXT(CF203/CE203-1,"+0%;-0%"),"〇"))))</f>
        <v>―</v>
      </c>
      <c r="F203" s="10" t="str">
        <f aca="false">IF(OR(G203="",G203="なし"),"―",IF(CF203=0,"入金不要",IF(COUNT(Z203,AB203,AD203,AF203)=0,IF(AG203="○","手動確認","未入金"),IF(AND(N(Z203)=Y203,IF(AA203="",TRUE(),N(AB203)=AA203),IF(AC203="",TRUE(),N(AD203)=AC203),IF(AE203="",TRUE(),N(AF203)=AE203)),"一致","不一致"))))</f>
        <v>―</v>
      </c>
      <c r="G203" s="25" t="s">
        <v>173</v>
      </c>
      <c r="H203" s="26"/>
      <c r="I203" s="27"/>
      <c r="J203" s="27"/>
      <c r="K203" s="27"/>
      <c r="L203" s="27"/>
      <c r="M203" s="27"/>
      <c r="N203" s="27"/>
      <c r="O203" s="27"/>
      <c r="P203" s="27"/>
      <c r="Q203" s="27"/>
      <c r="R203" s="27"/>
      <c r="S203" s="27"/>
      <c r="T203" s="27"/>
      <c r="U203" s="27"/>
      <c r="V203" s="27"/>
      <c r="W203" s="10" t="str">
        <f aca="false">IFERROR(INDEX(設定!$E$61:$E$106,MATCH(B203,設定!$B$61:$B$106,0)),"合算")</f>
        <v>合算</v>
      </c>
      <c r="X203" s="28"/>
      <c r="Y203" s="29" t="str">
        <f aca="false">IF(OR(G203="",G203="なし"),"",IF(W203="合算",CF203,IF(W203="掛金・負担金別",(AU203+AV203+AZ203+BB203+BD203),SUM(AU203:AY203))))</f>
        <v/>
      </c>
      <c r="Z203" s="27"/>
      <c r="AA203" s="29" t="str">
        <f aca="false">IF(OR(G203="",G203="なし"),"",IF(W203="掛金・負担金別",(AW203+AX203+AY203+BA203+BC203+BE203),IF(W203="経理区分別",AZ203+BA203,"")))</f>
        <v/>
      </c>
      <c r="AB203" s="27"/>
      <c r="AC203" s="29" t="str">
        <f aca="false">IF(OR(G203="",G203="なし"),"",IF(W203="経理区分別",BB203+BC203,""))</f>
        <v/>
      </c>
      <c r="AD203" s="27"/>
      <c r="AE203" s="29" t="str">
        <f aca="false">IF(OR(G203="",G203="なし"),"",IF(W203="経理区分別",BD203+BE203,""))</f>
        <v/>
      </c>
      <c r="AF203" s="27"/>
      <c r="AG203" s="26"/>
      <c r="AH203" s="26"/>
      <c r="AI203" s="30"/>
      <c r="AJ203" s="31"/>
      <c r="AK203" s="31"/>
      <c r="AL203" s="31"/>
      <c r="AM203" s="31"/>
      <c r="AN203" s="31"/>
      <c r="AO203" s="31"/>
      <c r="AP203" s="31"/>
      <c r="AQ203" s="31"/>
      <c r="AR203" s="31"/>
      <c r="AS203" s="31"/>
      <c r="AT203" s="31"/>
      <c r="AU203" s="31" t="n">
        <f aca="false">IF($G203="",AJ203,L203)</f>
        <v>0</v>
      </c>
      <c r="AV203" s="31" t="n">
        <f aca="false">IF($G203="",AK203,M203)</f>
        <v>0</v>
      </c>
      <c r="AW203" s="31" t="n">
        <f aca="false">IF($G203="",AL203,N203)</f>
        <v>0</v>
      </c>
      <c r="AX203" s="31" t="n">
        <f aca="false">IF($G203="",AM203,O203)</f>
        <v>0</v>
      </c>
      <c r="AY203" s="31" t="n">
        <f aca="false">IF($G203="",AN203,P203)</f>
        <v>0</v>
      </c>
      <c r="AZ203" s="31" t="n">
        <f aca="false">IF($G203="",AO203,Q203)</f>
        <v>0</v>
      </c>
      <c r="BA203" s="31" t="n">
        <f aca="false">IF($G203="",AP203,R203)</f>
        <v>0</v>
      </c>
      <c r="BB203" s="31" t="n">
        <f aca="false">IF($G203="",AQ203,S203)</f>
        <v>0</v>
      </c>
      <c r="BC203" s="31" t="n">
        <f aca="false">IF($G203="",AR203,T203)</f>
        <v>0</v>
      </c>
      <c r="BD203" s="31" t="n">
        <f aca="false">IF($G203="",AS203,U203)</f>
        <v>0</v>
      </c>
      <c r="BE203" s="31" t="n">
        <f aca="false">IF($G203="",AT203,V203)</f>
        <v>0</v>
      </c>
      <c r="BF203" s="31" t="n">
        <f aca="false">ROUNDDOWN(I203*設定!$B$10/1000,0)+ROUNDDOWN(I203*設定!$B$11/1000,0)</f>
        <v>0</v>
      </c>
      <c r="BG203" s="31" t="n">
        <f aca="false">ROUNDDOWN(I203*設定!$C$10/1000,0)+ROUNDDOWN(I203*設定!$C$11/1000,0)+ROUNDDOWN(I203*設定!$C$12/1000,0)</f>
        <v>0</v>
      </c>
      <c r="BH203" s="31" t="n">
        <f aca="false">ROUNDDOWN(J203*設定!$B$13/1000,0)</f>
        <v>0</v>
      </c>
      <c r="BI203" s="31" t="n">
        <f aca="false">ROUNDDOWN(J203*設定!$C$13/1000,0)</f>
        <v>0</v>
      </c>
      <c r="BJ203" s="31" t="n">
        <f aca="false">ROUNDDOWN(K203*設定!$B$14/1000,0)</f>
        <v>0</v>
      </c>
      <c r="BK203" s="31" t="n">
        <f aca="false">ROUNDDOWN(K203*設定!$C$14/1000,0)</f>
        <v>0</v>
      </c>
      <c r="BL203" s="31" t="n">
        <f aca="false">ROUNDDOWN(J203*設定!$B$15/1000,0)</f>
        <v>0</v>
      </c>
      <c r="BM203" s="31" t="n">
        <f aca="false">ROUNDDOWN(J203*設定!$C$15/1000,0)</f>
        <v>0</v>
      </c>
      <c r="BN203" s="31" t="n">
        <f aca="false">L203+M203</f>
        <v>0</v>
      </c>
      <c r="BO203" s="31" t="n">
        <f aca="false">N203+O203+P203</f>
        <v>0</v>
      </c>
      <c r="BP203" s="31" t="n">
        <f aca="false">Q203</f>
        <v>0</v>
      </c>
      <c r="BQ203" s="31" t="n">
        <f aca="false">R203</f>
        <v>0</v>
      </c>
      <c r="BR203" s="31" t="n">
        <f aca="false">S203</f>
        <v>0</v>
      </c>
      <c r="BS203" s="31" t="n">
        <f aca="false">T203</f>
        <v>0</v>
      </c>
      <c r="BT203" s="31" t="n">
        <f aca="false">U203</f>
        <v>0</v>
      </c>
      <c r="BU203" s="31" t="n">
        <f aca="false">V203</f>
        <v>0</v>
      </c>
      <c r="BV203" s="32" t="n">
        <f aca="false">IF(BF203=0,IF(BN203=0,0,1),(BN203-BF203)/BF203)</f>
        <v>0</v>
      </c>
      <c r="BW203" s="32" t="n">
        <f aca="false">IF(BG203=0,IF(BO203=0,0,1),(BO203-BG203)/BG203)</f>
        <v>0</v>
      </c>
      <c r="BX203" s="32" t="n">
        <f aca="false">IF(BH203=0,IF(BP203=0,0,1),(BP203-BH203)/BH203)</f>
        <v>0</v>
      </c>
      <c r="BY203" s="32" t="n">
        <f aca="false">IF(BI203=0,IF(BQ203=0,0,1),(BQ203-BI203)/BI203)</f>
        <v>0</v>
      </c>
      <c r="BZ203" s="32" t="n">
        <f aca="false">IF(BJ203=0,IF(BR203=0,0,1),(BR203-BJ203)/BJ203)</f>
        <v>0</v>
      </c>
      <c r="CA203" s="32" t="n">
        <f aca="false">IF(BK203=0,IF(BS203=0,0,1),(BS203-BK203)/BK203)</f>
        <v>0</v>
      </c>
      <c r="CB203" s="32" t="n">
        <f aca="false">IF(BL203=0,IF(BT203=0,0,1),(BT203-BL203)/BL203)</f>
        <v>0</v>
      </c>
      <c r="CC203" s="32" t="n">
        <f aca="false">IF(BM203=0,IF(BU203=0,0,1),(BU203-BM203)/BM203)</f>
        <v>0</v>
      </c>
      <c r="CD203" s="32" t="n">
        <f aca="false">MAX(MAX(BV203:CC203),-MIN(BV203:CC203))</f>
        <v>-0</v>
      </c>
      <c r="CE203" s="31" t="n">
        <f aca="false">IF(CI203="","",SUMIFS($CF$7:$CF$696,$A$7:$A$696,CI203,$B$7:$B$696,B203))</f>
        <v>0</v>
      </c>
      <c r="CF203" s="31" t="n">
        <f aca="false">SUM(AU203:BE203)</f>
        <v>0</v>
      </c>
      <c r="CG203" s="33" t="str">
        <f aca="false">A203&amp;"|"&amp;B203</f>
        <v>2026-07 月例|地方税共同機構</v>
      </c>
      <c r="CH203" s="34" t="str">
        <f aca="false">IFERROR(INDEX(設定!$D$61:$D$106,MATCH(B203,設定!$B$61:$B$106,0)),"Y")</f>
        <v>Y</v>
      </c>
      <c r="CI203" s="34" t="str">
        <f aca="false">IFERROR(INDEX(設定!$D$20:$D$34,MATCH(A203,設定!$A$20:$A$34,0))&amp;"","")</f>
        <v>2026-06 月例</v>
      </c>
    </row>
    <row r="204" customFormat="false" ht="15" hidden="true" customHeight="false" outlineLevel="0" collapsed="false">
      <c r="A204" s="22" t="s">
        <v>211</v>
      </c>
      <c r="B204" s="23" t="s">
        <v>174</v>
      </c>
      <c r="C204" s="10" t="str">
        <f aca="false">IF(G204="","未受領",IF(G204="なし","報告なし",IF(AH204="○","起票済",IF(OR(AG204="○",F204="一致",F204="入金不要"),"入金確認済","受領済"))))</f>
        <v>入金確認済</v>
      </c>
      <c r="D204" s="10" t="str">
        <f aca="false">IF(OR(G204="",G204="なし"),"―",IF(CH204="N","対象外",IF(AND(I204="",J204="",K204=""),"標報未入力",IF(CD204&gt;=設定!$B$4,"要確認","問題なし"))))</f>
        <v>標報未入力</v>
      </c>
      <c r="E204" s="24" t="str">
        <f aca="false">IF(OR(G204="",G204="なし",CE204="",CF204=0),"―",IF(CF204=CE204,"前月同額",IF(CE204=0,"―",IF(ABS(CF204/CE204-1)&gt;=設定!$B$5,"変動大 "&amp;TEXT(CF204/CE204-1,"+0%;-0%"),"〇"))))</f>
        <v>〇</v>
      </c>
      <c r="F204" s="10" t="str">
        <f aca="false">IF(OR(G204="",G204="なし"),"―",IF(CF204=0,"入金不要",IF(COUNT(Z204,AB204,AD204,AF204)=0,IF(AG204="○","手動確認","未入金"),IF(AND(N(Z204)=Y204,IF(AA204="",TRUE(),N(AB204)=AA204),IF(AC204="",TRUE(),N(AD204)=AC204),IF(AE204="",TRUE(),N(AF204)=AE204)),"一致","不一致"))))</f>
        <v>手動確認</v>
      </c>
      <c r="G204" s="25" t="s">
        <v>159</v>
      </c>
      <c r="H204" s="26"/>
      <c r="I204" s="27"/>
      <c r="J204" s="27"/>
      <c r="K204" s="27"/>
      <c r="L204" s="27" t="n">
        <v>0</v>
      </c>
      <c r="M204" s="27" t="n">
        <v>0</v>
      </c>
      <c r="N204" s="27" t="n">
        <v>807030</v>
      </c>
      <c r="O204" s="27" t="n">
        <v>66150</v>
      </c>
      <c r="P204" s="27" t="n">
        <v>829</v>
      </c>
      <c r="Q204" s="27" t="n">
        <v>0</v>
      </c>
      <c r="R204" s="27" t="n">
        <v>462519</v>
      </c>
      <c r="S204" s="27" t="n">
        <v>0</v>
      </c>
      <c r="T204" s="27" t="n">
        <v>57354</v>
      </c>
      <c r="U204" s="27" t="n">
        <v>0</v>
      </c>
      <c r="V204" s="27" t="n">
        <v>10246</v>
      </c>
      <c r="W204" s="10" t="str">
        <f aca="false">IFERROR(INDEX(設定!$E$61:$E$106,MATCH(B204,設定!$B$61:$B$106,0)),"合算")</f>
        <v>合算</v>
      </c>
      <c r="X204" s="28"/>
      <c r="Y204" s="29" t="n">
        <f aca="false">IF(OR(G204="",G204="なし"),"",IF(W204="合算",CF204,IF(W204="掛金・負担金別",(AU204+AV204+AZ204+BB204+BD204),SUM(AU204:AY204))))</f>
        <v>1404128</v>
      </c>
      <c r="Z204" s="27"/>
      <c r="AA204" s="29" t="str">
        <f aca="false">IF(OR(G204="",G204="なし"),"",IF(W204="掛金・負担金別",(AW204+AX204+AY204+BA204+BC204+BE204),IF(W204="経理区分別",AZ204+BA204,"")))</f>
        <v/>
      </c>
      <c r="AB204" s="27"/>
      <c r="AC204" s="29" t="str">
        <f aca="false">IF(OR(G204="",G204="なし"),"",IF(W204="経理区分別",BB204+BC204,""))</f>
        <v/>
      </c>
      <c r="AD204" s="27"/>
      <c r="AE204" s="29" t="str">
        <f aca="false">IF(OR(G204="",G204="なし"),"",IF(W204="経理区分別",BD204+BE204,""))</f>
        <v/>
      </c>
      <c r="AF204" s="27"/>
      <c r="AG204" s="26" t="s">
        <v>160</v>
      </c>
      <c r="AH204" s="26"/>
      <c r="AI204" s="30"/>
      <c r="AJ204" s="31"/>
      <c r="AK204" s="31"/>
      <c r="AL204" s="31"/>
      <c r="AM204" s="31"/>
      <c r="AN204" s="31"/>
      <c r="AO204" s="31"/>
      <c r="AP204" s="31"/>
      <c r="AQ204" s="31"/>
      <c r="AR204" s="31"/>
      <c r="AS204" s="31"/>
      <c r="AT204" s="31"/>
      <c r="AU204" s="31" t="n">
        <f aca="false">IF($G204="",AJ204,L204)</f>
        <v>0</v>
      </c>
      <c r="AV204" s="31" t="n">
        <f aca="false">IF($G204="",AK204,M204)</f>
        <v>0</v>
      </c>
      <c r="AW204" s="31" t="n">
        <f aca="false">IF($G204="",AL204,N204)</f>
        <v>807030</v>
      </c>
      <c r="AX204" s="31" t="n">
        <f aca="false">IF($G204="",AM204,O204)</f>
        <v>66150</v>
      </c>
      <c r="AY204" s="31" t="n">
        <f aca="false">IF($G204="",AN204,P204)</f>
        <v>829</v>
      </c>
      <c r="AZ204" s="31" t="n">
        <f aca="false">IF($G204="",AO204,Q204)</f>
        <v>0</v>
      </c>
      <c r="BA204" s="31" t="n">
        <f aca="false">IF($G204="",AP204,R204)</f>
        <v>462519</v>
      </c>
      <c r="BB204" s="31" t="n">
        <f aca="false">IF($G204="",AQ204,S204)</f>
        <v>0</v>
      </c>
      <c r="BC204" s="31" t="n">
        <f aca="false">IF($G204="",AR204,T204)</f>
        <v>57354</v>
      </c>
      <c r="BD204" s="31" t="n">
        <f aca="false">IF($G204="",AS204,U204)</f>
        <v>0</v>
      </c>
      <c r="BE204" s="31" t="n">
        <f aca="false">IF($G204="",AT204,V204)</f>
        <v>10246</v>
      </c>
      <c r="BF204" s="31" t="n">
        <f aca="false">ROUNDDOWN(I204*設定!$B$10/1000,0)+ROUNDDOWN(I204*設定!$B$11/1000,0)</f>
        <v>0</v>
      </c>
      <c r="BG204" s="31" t="n">
        <f aca="false">ROUNDDOWN(I204*設定!$C$10/1000,0)+ROUNDDOWN(I204*設定!$C$11/1000,0)+ROUNDDOWN(I204*設定!$C$12/1000,0)</f>
        <v>0</v>
      </c>
      <c r="BH204" s="31" t="n">
        <f aca="false">ROUNDDOWN(J204*設定!$B$13/1000,0)</f>
        <v>0</v>
      </c>
      <c r="BI204" s="31" t="n">
        <f aca="false">ROUNDDOWN(J204*設定!$C$13/1000,0)</f>
        <v>0</v>
      </c>
      <c r="BJ204" s="31" t="n">
        <f aca="false">ROUNDDOWN(K204*設定!$B$14/1000,0)</f>
        <v>0</v>
      </c>
      <c r="BK204" s="31" t="n">
        <f aca="false">ROUNDDOWN(K204*設定!$C$14/1000,0)</f>
        <v>0</v>
      </c>
      <c r="BL204" s="31" t="n">
        <f aca="false">ROUNDDOWN(J204*設定!$B$15/1000,0)</f>
        <v>0</v>
      </c>
      <c r="BM204" s="31" t="n">
        <f aca="false">ROUNDDOWN(J204*設定!$C$15/1000,0)</f>
        <v>0</v>
      </c>
      <c r="BN204" s="31" t="n">
        <f aca="false">L204+M204</f>
        <v>0</v>
      </c>
      <c r="BO204" s="31" t="n">
        <f aca="false">N204+O204+P204</f>
        <v>874009</v>
      </c>
      <c r="BP204" s="31" t="n">
        <f aca="false">Q204</f>
        <v>0</v>
      </c>
      <c r="BQ204" s="31" t="n">
        <f aca="false">R204</f>
        <v>462519</v>
      </c>
      <c r="BR204" s="31" t="n">
        <f aca="false">S204</f>
        <v>0</v>
      </c>
      <c r="BS204" s="31" t="n">
        <f aca="false">T204</f>
        <v>57354</v>
      </c>
      <c r="BT204" s="31" t="n">
        <f aca="false">U204</f>
        <v>0</v>
      </c>
      <c r="BU204" s="31" t="n">
        <f aca="false">V204</f>
        <v>10246</v>
      </c>
      <c r="BV204" s="32" t="n">
        <f aca="false">IF(BF204=0,IF(BN204=0,0,1),(BN204-BF204)/BF204)</f>
        <v>0</v>
      </c>
      <c r="BW204" s="32" t="n">
        <f aca="false">IF(BG204=0,IF(BO204=0,0,1),(BO204-BG204)/BG204)</f>
        <v>1</v>
      </c>
      <c r="BX204" s="32" t="n">
        <f aca="false">IF(BH204=0,IF(BP204=0,0,1),(BP204-BH204)/BH204)</f>
        <v>0</v>
      </c>
      <c r="BY204" s="32" t="n">
        <f aca="false">IF(BI204=0,IF(BQ204=0,0,1),(BQ204-BI204)/BI204)</f>
        <v>1</v>
      </c>
      <c r="BZ204" s="32" t="n">
        <f aca="false">IF(BJ204=0,IF(BR204=0,0,1),(BR204-BJ204)/BJ204)</f>
        <v>0</v>
      </c>
      <c r="CA204" s="32" t="n">
        <f aca="false">IF(BK204=0,IF(BS204=0,0,1),(BS204-BK204)/BK204)</f>
        <v>1</v>
      </c>
      <c r="CB204" s="32" t="n">
        <f aca="false">IF(BL204=0,IF(BT204=0,0,1),(BT204-BL204)/BL204)</f>
        <v>0</v>
      </c>
      <c r="CC204" s="32" t="n">
        <f aca="false">IF(BM204=0,IF(BU204=0,0,1),(BU204-BM204)/BM204)</f>
        <v>1</v>
      </c>
      <c r="CD204" s="32" t="n">
        <f aca="false">MAX(MAX(BV204:CC204),-MIN(BV204:CC204))</f>
        <v>1</v>
      </c>
      <c r="CE204" s="31" t="n">
        <f aca="false">IF(CI204="","",SUMIFS($CF$7:$CF$696,$A$7:$A$696,CI204,$B$7:$B$696,B204))</f>
        <v>1335256</v>
      </c>
      <c r="CF204" s="31" t="n">
        <f aca="false">SUM(AU204:BE204)</f>
        <v>1404128</v>
      </c>
      <c r="CG204" s="33" t="str">
        <f aca="false">A204&amp;"|"&amp;B204</f>
        <v>2026-07 月例|平和文化センター</v>
      </c>
      <c r="CH204" s="34" t="str">
        <f aca="false">IFERROR(INDEX(設定!$D$61:$D$106,MATCH(B204,設定!$B$61:$B$106,0)),"Y")</f>
        <v>Y</v>
      </c>
      <c r="CI204" s="34" t="str">
        <f aca="false">IFERROR(INDEX(設定!$D$20:$D$34,MATCH(A204,設定!$A$20:$A$34,0))&amp;"","")</f>
        <v>2026-06 月例</v>
      </c>
    </row>
    <row r="205" customFormat="false" ht="15" hidden="true" customHeight="false" outlineLevel="0" collapsed="false">
      <c r="A205" s="22" t="s">
        <v>211</v>
      </c>
      <c r="B205" s="23" t="s">
        <v>175</v>
      </c>
      <c r="C205" s="10" t="str">
        <f aca="false">IF(G205="","未受領",IF(G205="なし","報告なし",IF(AH205="○","起票済",IF(OR(AG205="○",F205="一致",F205="入金不要"),"入金確認済","受領済"))))</f>
        <v>入金確認済</v>
      </c>
      <c r="D205" s="10" t="str">
        <f aca="false">IF(OR(G205="",G205="なし"),"―",IF(CH205="N","対象外",IF(AND(I205="",J205="",K205=""),"標報未入力",IF(CD205&gt;=設定!$B$4,"要確認","問題なし"))))</f>
        <v>標報未入力</v>
      </c>
      <c r="E205" s="24" t="str">
        <f aca="false">IF(OR(G205="",G205="なし",CE205="",CF205=0),"―",IF(CF205=CE205,"前月同額",IF(CE205=0,"―",IF(ABS(CF205/CE205-1)&gt;=設定!$B$5,"変動大 "&amp;TEXT(CF205/CE205-1,"+0%;-0%"),"〇"))))</f>
        <v>〇</v>
      </c>
      <c r="F205" s="10" t="str">
        <f aca="false">IF(OR(G205="",G205="なし"),"―",IF(CF205=0,"入金不要",IF(COUNT(Z205,AB205,AD205,AF205)=0,IF(AG205="○","手動確認","未入金"),IF(AND(N(Z205)=Y205,IF(AA205="",TRUE(),N(AB205)=AA205),IF(AC205="",TRUE(),N(AD205)=AC205),IF(AE205="",TRUE(),N(AF205)=AE205)),"一致","不一致"))))</f>
        <v>手動確認</v>
      </c>
      <c r="G205" s="25" t="s">
        <v>159</v>
      </c>
      <c r="H205" s="26"/>
      <c r="I205" s="27"/>
      <c r="J205" s="27"/>
      <c r="K205" s="27"/>
      <c r="L205" s="27"/>
      <c r="M205" s="27"/>
      <c r="N205" s="27" t="n">
        <v>2034960</v>
      </c>
      <c r="O205" s="27" t="n">
        <v>166800</v>
      </c>
      <c r="P205" s="27" t="n">
        <v>2038</v>
      </c>
      <c r="Q205" s="27"/>
      <c r="R205" s="27" t="n">
        <v>1310786</v>
      </c>
      <c r="S205" s="27"/>
      <c r="T205" s="27" t="n">
        <v>143859</v>
      </c>
      <c r="U205" s="27"/>
      <c r="V205" s="27" t="n">
        <v>29034</v>
      </c>
      <c r="W205" s="10" t="str">
        <f aca="false">IFERROR(INDEX(設定!$E$61:$E$106,MATCH(B205,設定!$B$61:$B$106,0)),"合算")</f>
        <v>合算</v>
      </c>
      <c r="X205" s="28"/>
      <c r="Y205" s="29" t="n">
        <f aca="false">IF(OR(G205="",G205="なし"),"",IF(W205="合算",CF205,IF(W205="掛金・負担金別",(AU205+AV205+AZ205+BB205+BD205),SUM(AU205:AY205))))</f>
        <v>3687477</v>
      </c>
      <c r="Z205" s="27"/>
      <c r="AA205" s="29" t="str">
        <f aca="false">IF(OR(G205="",G205="なし"),"",IF(W205="掛金・負担金別",(AW205+AX205+AY205+BA205+BC205+BE205),IF(W205="経理区分別",AZ205+BA205,"")))</f>
        <v/>
      </c>
      <c r="AB205" s="27"/>
      <c r="AC205" s="29" t="str">
        <f aca="false">IF(OR(G205="",G205="なし"),"",IF(W205="経理区分別",BB205+BC205,""))</f>
        <v/>
      </c>
      <c r="AD205" s="27"/>
      <c r="AE205" s="29" t="str">
        <f aca="false">IF(OR(G205="",G205="なし"),"",IF(W205="経理区分別",BD205+BE205,""))</f>
        <v/>
      </c>
      <c r="AF205" s="27"/>
      <c r="AG205" s="26" t="s">
        <v>160</v>
      </c>
      <c r="AH205" s="26"/>
      <c r="AI205" s="30"/>
      <c r="AJ205" s="31"/>
      <c r="AK205" s="31"/>
      <c r="AL205" s="31"/>
      <c r="AM205" s="31"/>
      <c r="AN205" s="31"/>
      <c r="AO205" s="31"/>
      <c r="AP205" s="31"/>
      <c r="AQ205" s="31"/>
      <c r="AR205" s="31"/>
      <c r="AS205" s="31"/>
      <c r="AT205" s="31"/>
      <c r="AU205" s="31" t="n">
        <f aca="false">IF($G205="",AJ205,L205)</f>
        <v>0</v>
      </c>
      <c r="AV205" s="31" t="n">
        <f aca="false">IF($G205="",AK205,M205)</f>
        <v>0</v>
      </c>
      <c r="AW205" s="31" t="n">
        <f aca="false">IF($G205="",AL205,N205)</f>
        <v>2034960</v>
      </c>
      <c r="AX205" s="31" t="n">
        <f aca="false">IF($G205="",AM205,O205)</f>
        <v>166800</v>
      </c>
      <c r="AY205" s="31" t="n">
        <f aca="false">IF($G205="",AN205,P205)</f>
        <v>2038</v>
      </c>
      <c r="AZ205" s="31" t="n">
        <f aca="false">IF($G205="",AO205,Q205)</f>
        <v>0</v>
      </c>
      <c r="BA205" s="31" t="n">
        <f aca="false">IF($G205="",AP205,R205)</f>
        <v>1310786</v>
      </c>
      <c r="BB205" s="31" t="n">
        <f aca="false">IF($G205="",AQ205,S205)</f>
        <v>0</v>
      </c>
      <c r="BC205" s="31" t="n">
        <f aca="false">IF($G205="",AR205,T205)</f>
        <v>143859</v>
      </c>
      <c r="BD205" s="31" t="n">
        <f aca="false">IF($G205="",AS205,U205)</f>
        <v>0</v>
      </c>
      <c r="BE205" s="31" t="n">
        <f aca="false">IF($G205="",AT205,V205)</f>
        <v>29034</v>
      </c>
      <c r="BF205" s="31" t="n">
        <f aca="false">ROUNDDOWN(I205*設定!$B$10/1000,0)+ROUNDDOWN(I205*設定!$B$11/1000,0)</f>
        <v>0</v>
      </c>
      <c r="BG205" s="31" t="n">
        <f aca="false">ROUNDDOWN(I205*設定!$C$10/1000,0)+ROUNDDOWN(I205*設定!$C$11/1000,0)+ROUNDDOWN(I205*設定!$C$12/1000,0)</f>
        <v>0</v>
      </c>
      <c r="BH205" s="31" t="n">
        <f aca="false">ROUNDDOWN(J205*設定!$B$13/1000,0)</f>
        <v>0</v>
      </c>
      <c r="BI205" s="31" t="n">
        <f aca="false">ROUNDDOWN(J205*設定!$C$13/1000,0)</f>
        <v>0</v>
      </c>
      <c r="BJ205" s="31" t="n">
        <f aca="false">ROUNDDOWN(K205*設定!$B$14/1000,0)</f>
        <v>0</v>
      </c>
      <c r="BK205" s="31" t="n">
        <f aca="false">ROUNDDOWN(K205*設定!$C$14/1000,0)</f>
        <v>0</v>
      </c>
      <c r="BL205" s="31" t="n">
        <f aca="false">ROUNDDOWN(J205*設定!$B$15/1000,0)</f>
        <v>0</v>
      </c>
      <c r="BM205" s="31" t="n">
        <f aca="false">ROUNDDOWN(J205*設定!$C$15/1000,0)</f>
        <v>0</v>
      </c>
      <c r="BN205" s="31" t="n">
        <f aca="false">L205+M205</f>
        <v>0</v>
      </c>
      <c r="BO205" s="31" t="n">
        <f aca="false">N205+O205+P205</f>
        <v>2203798</v>
      </c>
      <c r="BP205" s="31" t="n">
        <f aca="false">Q205</f>
        <v>0</v>
      </c>
      <c r="BQ205" s="31" t="n">
        <f aca="false">R205</f>
        <v>1310786</v>
      </c>
      <c r="BR205" s="31" t="n">
        <f aca="false">S205</f>
        <v>0</v>
      </c>
      <c r="BS205" s="31" t="n">
        <f aca="false">T205</f>
        <v>143859</v>
      </c>
      <c r="BT205" s="31" t="n">
        <f aca="false">U205</f>
        <v>0</v>
      </c>
      <c r="BU205" s="31" t="n">
        <f aca="false">V205</f>
        <v>29034</v>
      </c>
      <c r="BV205" s="32" t="n">
        <f aca="false">IF(BF205=0,IF(BN205=0,0,1),(BN205-BF205)/BF205)</f>
        <v>0</v>
      </c>
      <c r="BW205" s="32" t="n">
        <f aca="false">IF(BG205=0,IF(BO205=0,0,1),(BO205-BG205)/BG205)</f>
        <v>1</v>
      </c>
      <c r="BX205" s="32" t="n">
        <f aca="false">IF(BH205=0,IF(BP205=0,0,1),(BP205-BH205)/BH205)</f>
        <v>0</v>
      </c>
      <c r="BY205" s="32" t="n">
        <f aca="false">IF(BI205=0,IF(BQ205=0,0,1),(BQ205-BI205)/BI205)</f>
        <v>1</v>
      </c>
      <c r="BZ205" s="32" t="n">
        <f aca="false">IF(BJ205=0,IF(BR205=0,0,1),(BR205-BJ205)/BJ205)</f>
        <v>0</v>
      </c>
      <c r="CA205" s="32" t="n">
        <f aca="false">IF(BK205=0,IF(BS205=0,0,1),(BS205-BK205)/BK205)</f>
        <v>1</v>
      </c>
      <c r="CB205" s="32" t="n">
        <f aca="false">IF(BL205=0,IF(BT205=0,0,1),(BT205-BL205)/BL205)</f>
        <v>0</v>
      </c>
      <c r="CC205" s="32" t="n">
        <f aca="false">IF(BM205=0,IF(BU205=0,0,1),(BU205-BM205)/BM205)</f>
        <v>1</v>
      </c>
      <c r="CD205" s="32" t="n">
        <f aca="false">MAX(MAX(BV205:CC205),-MIN(BV205:CC205))</f>
        <v>1</v>
      </c>
      <c r="CE205" s="31" t="n">
        <f aca="false">IF(CI205="","",SUMIFS($CF$7:$CF$696,$A$7:$A$696,CI205,$B$7:$B$696,B205))</f>
        <v>3604427</v>
      </c>
      <c r="CF205" s="31" t="n">
        <f aca="false">SUM(AU205:BE205)</f>
        <v>3687477</v>
      </c>
      <c r="CG205" s="33" t="str">
        <f aca="false">A205&amp;"|"&amp;B205</f>
        <v>2026-07 月例|社会福祉事業団</v>
      </c>
      <c r="CH205" s="34" t="str">
        <f aca="false">IFERROR(INDEX(設定!$D$61:$D$106,MATCH(B205,設定!$B$61:$B$106,0)),"Y")</f>
        <v>Y</v>
      </c>
      <c r="CI205" s="34" t="str">
        <f aca="false">IFERROR(INDEX(設定!$D$20:$D$34,MATCH(A205,設定!$A$20:$A$34,0))&amp;"","")</f>
        <v>2026-06 月例</v>
      </c>
    </row>
    <row r="206" customFormat="false" ht="15" hidden="true" customHeight="false" outlineLevel="0" collapsed="false">
      <c r="A206" s="22" t="s">
        <v>211</v>
      </c>
      <c r="B206" s="23" t="s">
        <v>176</v>
      </c>
      <c r="C206" s="10" t="str">
        <f aca="false">IF(G206="","未受領",IF(G206="なし","報告なし",IF(AH206="○","起票済",IF(OR(AG206="○",F206="一致",F206="入金不要"),"入金確認済","受領済"))))</f>
        <v>入金確認済</v>
      </c>
      <c r="D206" s="10" t="str">
        <f aca="false">IF(OR(G206="",G206="なし"),"―",IF(CH206="N","対象外",IF(AND(I206="",J206="",K206=""),"標報未入力",IF(CD206&gt;=設定!$B$4,"要確認","問題なし"))))</f>
        <v>標報未入力</v>
      </c>
      <c r="E206" s="24" t="str">
        <f aca="false">IF(OR(G206="",G206="なし",CE206="",CF206=0),"―",IF(CF206=CE206,"前月同額",IF(CE206=0,"―",IF(ABS(CF206/CE206-1)&gt;=設定!$B$5,"変動大 "&amp;TEXT(CF206/CE206-1,"+0%;-0%"),"〇"))))</f>
        <v>前月同額</v>
      </c>
      <c r="F206" s="10" t="str">
        <f aca="false">IF(OR(G206="",G206="なし"),"―",IF(CF206=0,"入金不要",IF(COUNT(Z206,AB206,AD206,AF206)=0,IF(AG206="○","手動確認","未入金"),IF(AND(N(Z206)=Y206,IF(AA206="",TRUE(),N(AB206)=AA206),IF(AC206="",TRUE(),N(AD206)=AC206),IF(AE206="",TRUE(),N(AF206)=AE206)),"一致","不一致"))))</f>
        <v>手動確認</v>
      </c>
      <c r="G206" s="25" t="s">
        <v>159</v>
      </c>
      <c r="H206" s="26"/>
      <c r="I206" s="27"/>
      <c r="J206" s="27"/>
      <c r="K206" s="27"/>
      <c r="L206" s="27"/>
      <c r="M206" s="27"/>
      <c r="N206" s="27" t="n">
        <v>59475</v>
      </c>
      <c r="O206" s="27" t="n">
        <v>4875</v>
      </c>
      <c r="P206" s="27" t="n">
        <v>56</v>
      </c>
      <c r="Q206" s="27"/>
      <c r="R206" s="27" t="n">
        <v>36856</v>
      </c>
      <c r="S206" s="27"/>
      <c r="T206" s="27" t="n">
        <v>5609</v>
      </c>
      <c r="U206" s="27"/>
      <c r="V206" s="27" t="n">
        <v>816</v>
      </c>
      <c r="W206" s="10" t="str">
        <f aca="false">IFERROR(INDEX(設定!$E$61:$E$106,MATCH(B206,設定!$B$61:$B$106,0)),"合算")</f>
        <v>合算</v>
      </c>
      <c r="X206" s="28"/>
      <c r="Y206" s="29" t="n">
        <f aca="false">IF(OR(G206="",G206="なし"),"",IF(W206="合算",CF206,IF(W206="掛金・負担金別",(AU206+AV206+AZ206+BB206+BD206),SUM(AU206:AY206))))</f>
        <v>107687</v>
      </c>
      <c r="Z206" s="27"/>
      <c r="AA206" s="29" t="str">
        <f aca="false">IF(OR(G206="",G206="なし"),"",IF(W206="掛金・負担金別",(AW206+AX206+AY206+BA206+BC206+BE206),IF(W206="経理区分別",AZ206+BA206,"")))</f>
        <v/>
      </c>
      <c r="AB206" s="27"/>
      <c r="AC206" s="29" t="str">
        <f aca="false">IF(OR(G206="",G206="なし"),"",IF(W206="経理区分別",BB206+BC206,""))</f>
        <v/>
      </c>
      <c r="AD206" s="27"/>
      <c r="AE206" s="29" t="str">
        <f aca="false">IF(OR(G206="",G206="なし"),"",IF(W206="経理区分別",BD206+BE206,""))</f>
        <v/>
      </c>
      <c r="AF206" s="27"/>
      <c r="AG206" s="26" t="s">
        <v>160</v>
      </c>
      <c r="AH206" s="26"/>
      <c r="AI206" s="30"/>
      <c r="AJ206" s="31"/>
      <c r="AK206" s="31"/>
      <c r="AL206" s="31"/>
      <c r="AM206" s="31"/>
      <c r="AN206" s="31"/>
      <c r="AO206" s="31"/>
      <c r="AP206" s="31"/>
      <c r="AQ206" s="31"/>
      <c r="AR206" s="31"/>
      <c r="AS206" s="31"/>
      <c r="AT206" s="31"/>
      <c r="AU206" s="31" t="n">
        <f aca="false">IF($G206="",AJ206,L206)</f>
        <v>0</v>
      </c>
      <c r="AV206" s="31" t="n">
        <f aca="false">IF($G206="",AK206,M206)</f>
        <v>0</v>
      </c>
      <c r="AW206" s="31" t="n">
        <f aca="false">IF($G206="",AL206,N206)</f>
        <v>59475</v>
      </c>
      <c r="AX206" s="31" t="n">
        <f aca="false">IF($G206="",AM206,O206)</f>
        <v>4875</v>
      </c>
      <c r="AY206" s="31" t="n">
        <f aca="false">IF($G206="",AN206,P206)</f>
        <v>56</v>
      </c>
      <c r="AZ206" s="31" t="n">
        <f aca="false">IF($G206="",AO206,Q206)</f>
        <v>0</v>
      </c>
      <c r="BA206" s="31" t="n">
        <f aca="false">IF($G206="",AP206,R206)</f>
        <v>36856</v>
      </c>
      <c r="BB206" s="31" t="n">
        <f aca="false">IF($G206="",AQ206,S206)</f>
        <v>0</v>
      </c>
      <c r="BC206" s="31" t="n">
        <f aca="false">IF($G206="",AR206,T206)</f>
        <v>5609</v>
      </c>
      <c r="BD206" s="31" t="n">
        <f aca="false">IF($G206="",AS206,U206)</f>
        <v>0</v>
      </c>
      <c r="BE206" s="31" t="n">
        <f aca="false">IF($G206="",AT206,V206)</f>
        <v>816</v>
      </c>
      <c r="BF206" s="31" t="n">
        <f aca="false">ROUNDDOWN(I206*設定!$B$10/1000,0)+ROUNDDOWN(I206*設定!$B$11/1000,0)</f>
        <v>0</v>
      </c>
      <c r="BG206" s="31" t="n">
        <f aca="false">ROUNDDOWN(I206*設定!$C$10/1000,0)+ROUNDDOWN(I206*設定!$C$11/1000,0)+ROUNDDOWN(I206*設定!$C$12/1000,0)</f>
        <v>0</v>
      </c>
      <c r="BH206" s="31" t="n">
        <f aca="false">ROUNDDOWN(J206*設定!$B$13/1000,0)</f>
        <v>0</v>
      </c>
      <c r="BI206" s="31" t="n">
        <f aca="false">ROUNDDOWN(J206*設定!$C$13/1000,0)</f>
        <v>0</v>
      </c>
      <c r="BJ206" s="31" t="n">
        <f aca="false">ROUNDDOWN(K206*設定!$B$14/1000,0)</f>
        <v>0</v>
      </c>
      <c r="BK206" s="31" t="n">
        <f aca="false">ROUNDDOWN(K206*設定!$C$14/1000,0)</f>
        <v>0</v>
      </c>
      <c r="BL206" s="31" t="n">
        <f aca="false">ROUNDDOWN(J206*設定!$B$15/1000,0)</f>
        <v>0</v>
      </c>
      <c r="BM206" s="31" t="n">
        <f aca="false">ROUNDDOWN(J206*設定!$C$15/1000,0)</f>
        <v>0</v>
      </c>
      <c r="BN206" s="31" t="n">
        <f aca="false">L206+M206</f>
        <v>0</v>
      </c>
      <c r="BO206" s="31" t="n">
        <f aca="false">N206+O206+P206</f>
        <v>64406</v>
      </c>
      <c r="BP206" s="31" t="n">
        <f aca="false">Q206</f>
        <v>0</v>
      </c>
      <c r="BQ206" s="31" t="n">
        <f aca="false">R206</f>
        <v>36856</v>
      </c>
      <c r="BR206" s="31" t="n">
        <f aca="false">S206</f>
        <v>0</v>
      </c>
      <c r="BS206" s="31" t="n">
        <f aca="false">T206</f>
        <v>5609</v>
      </c>
      <c r="BT206" s="31" t="n">
        <f aca="false">U206</f>
        <v>0</v>
      </c>
      <c r="BU206" s="31" t="n">
        <f aca="false">V206</f>
        <v>816</v>
      </c>
      <c r="BV206" s="32" t="n">
        <f aca="false">IF(BF206=0,IF(BN206=0,0,1),(BN206-BF206)/BF206)</f>
        <v>0</v>
      </c>
      <c r="BW206" s="32" t="n">
        <f aca="false">IF(BG206=0,IF(BO206=0,0,1),(BO206-BG206)/BG206)</f>
        <v>1</v>
      </c>
      <c r="BX206" s="32" t="n">
        <f aca="false">IF(BH206=0,IF(BP206=0,0,1),(BP206-BH206)/BH206)</f>
        <v>0</v>
      </c>
      <c r="BY206" s="32" t="n">
        <f aca="false">IF(BI206=0,IF(BQ206=0,0,1),(BQ206-BI206)/BI206)</f>
        <v>1</v>
      </c>
      <c r="BZ206" s="32" t="n">
        <f aca="false">IF(BJ206=0,IF(BR206=0,0,1),(BR206-BJ206)/BJ206)</f>
        <v>0</v>
      </c>
      <c r="CA206" s="32" t="n">
        <f aca="false">IF(BK206=0,IF(BS206=0,0,1),(BS206-BK206)/BK206)</f>
        <v>1</v>
      </c>
      <c r="CB206" s="32" t="n">
        <f aca="false">IF(BL206=0,IF(BT206=0,0,1),(BT206-BL206)/BL206)</f>
        <v>0</v>
      </c>
      <c r="CC206" s="32" t="n">
        <f aca="false">IF(BM206=0,IF(BU206=0,0,1),(BU206-BM206)/BM206)</f>
        <v>1</v>
      </c>
      <c r="CD206" s="32" t="n">
        <f aca="false">MAX(MAX(BV206:CC206),-MIN(BV206:CC206))</f>
        <v>1</v>
      </c>
      <c r="CE206" s="31" t="n">
        <f aca="false">IF(CI206="","",SUMIFS($CF$7:$CF$696,$A$7:$A$696,CI206,$B$7:$B$696,B206))</f>
        <v>107687</v>
      </c>
      <c r="CF206" s="31" t="n">
        <f aca="false">SUM(AU206:BE206)</f>
        <v>107687</v>
      </c>
      <c r="CG206" s="33" t="str">
        <f aca="false">A206&amp;"|"&amp;B206</f>
        <v>2026-07 月例|原爆障害対策協議会</v>
      </c>
      <c r="CH206" s="34" t="str">
        <f aca="false">IFERROR(INDEX(設定!$D$61:$D$106,MATCH(B206,設定!$B$61:$B$106,0)),"Y")</f>
        <v>Y</v>
      </c>
      <c r="CI206" s="34" t="str">
        <f aca="false">IFERROR(INDEX(設定!$D$20:$D$34,MATCH(A206,設定!$A$20:$A$34,0))&amp;"","")</f>
        <v>2026-06 月例</v>
      </c>
    </row>
    <row r="207" customFormat="false" ht="15" hidden="true" customHeight="false" outlineLevel="0" collapsed="false">
      <c r="A207" s="22" t="s">
        <v>211</v>
      </c>
      <c r="B207" s="23" t="s">
        <v>177</v>
      </c>
      <c r="C207" s="10" t="str">
        <f aca="false">IF(G207="","未受領",IF(G207="なし","報告なし",IF(AH207="○","起票済",IF(OR(AG207="○",F207="一致",F207="入金不要"),"入金確認済","受領済"))))</f>
        <v>入金確認済</v>
      </c>
      <c r="D207" s="10" t="str">
        <f aca="false">IF(OR(G207="",G207="なし"),"―",IF(CH207="N","対象外",IF(AND(I207="",J207="",K207=""),"標報未入力",IF(CD207&gt;=設定!$B$4,"要確認","問題なし"))))</f>
        <v>標報未入力</v>
      </c>
      <c r="E207" s="24" t="str">
        <f aca="false">IF(OR(G207="",G207="なし",CE207="",CF207=0),"―",IF(CF207=CE207,"前月同額",IF(CE207=0,"―",IF(ABS(CF207/CE207-1)&gt;=設定!$B$5,"変動大 "&amp;TEXT(CF207/CE207-1,"+0%;-0%"),"〇"))))</f>
        <v>前月同額</v>
      </c>
      <c r="F207" s="10" t="str">
        <f aca="false">IF(OR(G207="",G207="なし"),"―",IF(CF207=0,"入金不要",IF(COUNT(Z207,AB207,AD207,AF207)=0,IF(AG207="○","手動確認","未入金"),IF(AND(N(Z207)=Y207,IF(AA207="",TRUE(),N(AB207)=AA207),IF(AC207="",TRUE(),N(AD207)=AC207),IF(AE207="",TRUE(),N(AF207)=AE207)),"一致","不一致"))))</f>
        <v>手動確認</v>
      </c>
      <c r="G207" s="25" t="s">
        <v>159</v>
      </c>
      <c r="H207" s="26"/>
      <c r="I207" s="27"/>
      <c r="J207" s="27"/>
      <c r="K207" s="27"/>
      <c r="L207" s="27"/>
      <c r="M207" s="27"/>
      <c r="N207" s="27" t="n">
        <v>368745</v>
      </c>
      <c r="O207" s="27" t="n">
        <v>30225</v>
      </c>
      <c r="P207" s="27" t="n">
        <v>395</v>
      </c>
      <c r="Q207" s="27"/>
      <c r="R207" s="27" t="n">
        <v>209223</v>
      </c>
      <c r="S207" s="27"/>
      <c r="T207" s="27" t="n">
        <v>26781</v>
      </c>
      <c r="U207" s="27"/>
      <c r="V207" s="27" t="n">
        <v>4634</v>
      </c>
      <c r="W207" s="10" t="str">
        <f aca="false">IFERROR(INDEX(設定!$E$61:$E$106,MATCH(B207,設定!$B$61:$B$106,0)),"合算")</f>
        <v>合算</v>
      </c>
      <c r="X207" s="28"/>
      <c r="Y207" s="29" t="n">
        <f aca="false">IF(OR(G207="",G207="なし"),"",IF(W207="合算",CF207,IF(W207="掛金・負担金別",(AU207+AV207+AZ207+BB207+BD207),SUM(AU207:AY207))))</f>
        <v>640003</v>
      </c>
      <c r="Z207" s="27"/>
      <c r="AA207" s="29" t="str">
        <f aca="false">IF(OR(G207="",G207="なし"),"",IF(W207="掛金・負担金別",(AW207+AX207+AY207+BA207+BC207+BE207),IF(W207="経理区分別",AZ207+BA207,"")))</f>
        <v/>
      </c>
      <c r="AB207" s="27"/>
      <c r="AC207" s="29" t="str">
        <f aca="false">IF(OR(G207="",G207="なし"),"",IF(W207="経理区分別",BB207+BC207,""))</f>
        <v/>
      </c>
      <c r="AD207" s="27"/>
      <c r="AE207" s="29" t="str">
        <f aca="false">IF(OR(G207="",G207="なし"),"",IF(W207="経理区分別",BD207+BE207,""))</f>
        <v/>
      </c>
      <c r="AF207" s="27"/>
      <c r="AG207" s="26" t="s">
        <v>160</v>
      </c>
      <c r="AH207" s="26"/>
      <c r="AI207" s="30"/>
      <c r="AJ207" s="31"/>
      <c r="AK207" s="31"/>
      <c r="AL207" s="31"/>
      <c r="AM207" s="31"/>
      <c r="AN207" s="31"/>
      <c r="AO207" s="31"/>
      <c r="AP207" s="31"/>
      <c r="AQ207" s="31"/>
      <c r="AR207" s="31"/>
      <c r="AS207" s="31"/>
      <c r="AT207" s="31"/>
      <c r="AU207" s="31" t="n">
        <f aca="false">IF($G207="",AJ207,L207)</f>
        <v>0</v>
      </c>
      <c r="AV207" s="31" t="n">
        <f aca="false">IF($G207="",AK207,M207)</f>
        <v>0</v>
      </c>
      <c r="AW207" s="31" t="n">
        <f aca="false">IF($G207="",AL207,N207)</f>
        <v>368745</v>
      </c>
      <c r="AX207" s="31" t="n">
        <f aca="false">IF($G207="",AM207,O207)</f>
        <v>30225</v>
      </c>
      <c r="AY207" s="31" t="n">
        <f aca="false">IF($G207="",AN207,P207)</f>
        <v>395</v>
      </c>
      <c r="AZ207" s="31" t="n">
        <f aca="false">IF($G207="",AO207,Q207)</f>
        <v>0</v>
      </c>
      <c r="BA207" s="31" t="n">
        <f aca="false">IF($G207="",AP207,R207)</f>
        <v>209223</v>
      </c>
      <c r="BB207" s="31" t="n">
        <f aca="false">IF($G207="",AQ207,S207)</f>
        <v>0</v>
      </c>
      <c r="BC207" s="31" t="n">
        <f aca="false">IF($G207="",AR207,T207)</f>
        <v>26781</v>
      </c>
      <c r="BD207" s="31" t="n">
        <f aca="false">IF($G207="",AS207,U207)</f>
        <v>0</v>
      </c>
      <c r="BE207" s="31" t="n">
        <f aca="false">IF($G207="",AT207,V207)</f>
        <v>4634</v>
      </c>
      <c r="BF207" s="31" t="n">
        <f aca="false">ROUNDDOWN(I207*設定!$B$10/1000,0)+ROUNDDOWN(I207*設定!$B$11/1000,0)</f>
        <v>0</v>
      </c>
      <c r="BG207" s="31" t="n">
        <f aca="false">ROUNDDOWN(I207*設定!$C$10/1000,0)+ROUNDDOWN(I207*設定!$C$11/1000,0)+ROUNDDOWN(I207*設定!$C$12/1000,0)</f>
        <v>0</v>
      </c>
      <c r="BH207" s="31" t="n">
        <f aca="false">ROUNDDOWN(J207*設定!$B$13/1000,0)</f>
        <v>0</v>
      </c>
      <c r="BI207" s="31" t="n">
        <f aca="false">ROUNDDOWN(J207*設定!$C$13/1000,0)</f>
        <v>0</v>
      </c>
      <c r="BJ207" s="31" t="n">
        <f aca="false">ROUNDDOWN(K207*設定!$B$14/1000,0)</f>
        <v>0</v>
      </c>
      <c r="BK207" s="31" t="n">
        <f aca="false">ROUNDDOWN(K207*設定!$C$14/1000,0)</f>
        <v>0</v>
      </c>
      <c r="BL207" s="31" t="n">
        <f aca="false">ROUNDDOWN(J207*設定!$B$15/1000,0)</f>
        <v>0</v>
      </c>
      <c r="BM207" s="31" t="n">
        <f aca="false">ROUNDDOWN(J207*設定!$C$15/1000,0)</f>
        <v>0</v>
      </c>
      <c r="BN207" s="31" t="n">
        <f aca="false">L207+M207</f>
        <v>0</v>
      </c>
      <c r="BO207" s="31" t="n">
        <f aca="false">N207+O207+P207</f>
        <v>399365</v>
      </c>
      <c r="BP207" s="31" t="n">
        <f aca="false">Q207</f>
        <v>0</v>
      </c>
      <c r="BQ207" s="31" t="n">
        <f aca="false">R207</f>
        <v>209223</v>
      </c>
      <c r="BR207" s="31" t="n">
        <f aca="false">S207</f>
        <v>0</v>
      </c>
      <c r="BS207" s="31" t="n">
        <f aca="false">T207</f>
        <v>26781</v>
      </c>
      <c r="BT207" s="31" t="n">
        <f aca="false">U207</f>
        <v>0</v>
      </c>
      <c r="BU207" s="31" t="n">
        <f aca="false">V207</f>
        <v>4634</v>
      </c>
      <c r="BV207" s="32" t="n">
        <f aca="false">IF(BF207=0,IF(BN207=0,0,1),(BN207-BF207)/BF207)</f>
        <v>0</v>
      </c>
      <c r="BW207" s="32" t="n">
        <f aca="false">IF(BG207=0,IF(BO207=0,0,1),(BO207-BG207)/BG207)</f>
        <v>1</v>
      </c>
      <c r="BX207" s="32" t="n">
        <f aca="false">IF(BH207=0,IF(BP207=0,0,1),(BP207-BH207)/BH207)</f>
        <v>0</v>
      </c>
      <c r="BY207" s="32" t="n">
        <f aca="false">IF(BI207=0,IF(BQ207=0,0,1),(BQ207-BI207)/BI207)</f>
        <v>1</v>
      </c>
      <c r="BZ207" s="32" t="n">
        <f aca="false">IF(BJ207=0,IF(BR207=0,0,1),(BR207-BJ207)/BJ207)</f>
        <v>0</v>
      </c>
      <c r="CA207" s="32" t="n">
        <f aca="false">IF(BK207=0,IF(BS207=0,0,1),(BS207-BK207)/BK207)</f>
        <v>1</v>
      </c>
      <c r="CB207" s="32" t="n">
        <f aca="false">IF(BL207=0,IF(BT207=0,0,1),(BT207-BL207)/BL207)</f>
        <v>0</v>
      </c>
      <c r="CC207" s="32" t="n">
        <f aca="false">IF(BM207=0,IF(BU207=0,0,1),(BU207-BM207)/BM207)</f>
        <v>1</v>
      </c>
      <c r="CD207" s="32" t="n">
        <f aca="false">MAX(MAX(BV207:CC207),-MIN(BV207:CC207))</f>
        <v>1</v>
      </c>
      <c r="CE207" s="31" t="n">
        <f aca="false">IF(CI207="","",SUMIFS($CF$7:$CF$696,$A$7:$A$696,CI207,$B$7:$B$696,B207))</f>
        <v>640003</v>
      </c>
      <c r="CF207" s="31" t="n">
        <f aca="false">SUM(AU207:BE207)</f>
        <v>640003</v>
      </c>
      <c r="CG207" s="33" t="str">
        <f aca="false">A207&amp;"|"&amp;B207</f>
        <v>2026-07 月例|産業振興センター</v>
      </c>
      <c r="CH207" s="34" t="str">
        <f aca="false">IFERROR(INDEX(設定!$D$61:$D$106,MATCH(B207,設定!$B$61:$B$106,0)),"Y")</f>
        <v>Y</v>
      </c>
      <c r="CI207" s="34" t="str">
        <f aca="false">IFERROR(INDEX(設定!$D$20:$D$34,MATCH(A207,設定!$A$20:$A$34,0))&amp;"","")</f>
        <v>2026-06 月例</v>
      </c>
    </row>
    <row r="208" customFormat="false" ht="15" hidden="true" customHeight="false" outlineLevel="0" collapsed="false">
      <c r="A208" s="22" t="s">
        <v>211</v>
      </c>
      <c r="B208" s="23" t="s">
        <v>178</v>
      </c>
      <c r="C208" s="10" t="str">
        <f aca="false">IF(G208="","未受領",IF(G208="なし","報告なし",IF(AH208="○","起票済",IF(OR(AG208="○",F208="一致",F208="入金不要"),"入金確認済","受領済"))))</f>
        <v>入金確認済</v>
      </c>
      <c r="D208" s="10" t="str">
        <f aca="false">IF(OR(G208="",G208="なし"),"―",IF(CH208="N","対象外",IF(AND(I208="",J208="",K208=""),"標報未入力",IF(CD208&gt;=設定!$B$4,"要確認","問題なし"))))</f>
        <v>標報未入力</v>
      </c>
      <c r="E208" s="24" t="str">
        <f aca="false">IF(OR(G208="",G208="なし",CE208="",CF208=0),"―",IF(CF208=CE208,"前月同額",IF(CE208=0,"―",IF(ABS(CF208/CE208-1)&gt;=設定!$B$5,"変動大 "&amp;TEXT(CF208/CE208-1,"+0%;-0%"),"〇"))))</f>
        <v>変動大 +14%</v>
      </c>
      <c r="F208" s="10" t="str">
        <f aca="false">IF(OR(G208="",G208="なし"),"―",IF(CF208=0,"入金不要",IF(COUNT(Z208,AB208,AD208,AF208)=0,IF(AG208="○","手動確認","未入金"),IF(AND(N(Z208)=Y208,IF(AA208="",TRUE(),N(AB208)=AA208),IF(AC208="",TRUE(),N(AD208)=AC208),IF(AE208="",TRUE(),N(AF208)=AE208)),"一致","不一致"))))</f>
        <v>手動確認</v>
      </c>
      <c r="G208" s="25" t="s">
        <v>159</v>
      </c>
      <c r="H208" s="26"/>
      <c r="I208" s="27"/>
      <c r="J208" s="27"/>
      <c r="K208" s="27"/>
      <c r="L208" s="27"/>
      <c r="M208" s="27"/>
      <c r="N208" s="27" t="n">
        <v>45750</v>
      </c>
      <c r="O208" s="27" t="n">
        <v>3750</v>
      </c>
      <c r="P208" s="27" t="n">
        <v>43</v>
      </c>
      <c r="Q208" s="27"/>
      <c r="R208" s="27" t="n">
        <v>25955</v>
      </c>
      <c r="S208" s="27"/>
      <c r="T208" s="27" t="n">
        <v>3950</v>
      </c>
      <c r="U208" s="27"/>
      <c r="V208" s="27" t="n">
        <v>575</v>
      </c>
      <c r="W208" s="10" t="str">
        <f aca="false">IFERROR(INDEX(設定!$E$61:$E$106,MATCH(B208,設定!$B$61:$B$106,0)),"合算")</f>
        <v>合算</v>
      </c>
      <c r="X208" s="28"/>
      <c r="Y208" s="29" t="n">
        <f aca="false">IF(OR(G208="",G208="なし"),"",IF(W208="合算",CF208,IF(W208="掛金・負担金別",(AU208+AV208+AZ208+BB208+BD208),SUM(AU208:AY208))))</f>
        <v>80023</v>
      </c>
      <c r="Z208" s="27"/>
      <c r="AA208" s="29" t="str">
        <f aca="false">IF(OR(G208="",G208="なし"),"",IF(W208="掛金・負担金別",(AW208+AX208+AY208+BA208+BC208+BE208),IF(W208="経理区分別",AZ208+BA208,"")))</f>
        <v/>
      </c>
      <c r="AB208" s="27"/>
      <c r="AC208" s="29" t="str">
        <f aca="false">IF(OR(G208="",G208="なし"),"",IF(W208="経理区分別",BB208+BC208,""))</f>
        <v/>
      </c>
      <c r="AD208" s="27"/>
      <c r="AE208" s="29" t="str">
        <f aca="false">IF(OR(G208="",G208="なし"),"",IF(W208="経理区分別",BD208+BE208,""))</f>
        <v/>
      </c>
      <c r="AF208" s="27"/>
      <c r="AG208" s="26" t="s">
        <v>160</v>
      </c>
      <c r="AH208" s="26"/>
      <c r="AI208" s="30"/>
      <c r="AJ208" s="31"/>
      <c r="AK208" s="31"/>
      <c r="AL208" s="31"/>
      <c r="AM208" s="31"/>
      <c r="AN208" s="31"/>
      <c r="AO208" s="31"/>
      <c r="AP208" s="31"/>
      <c r="AQ208" s="31"/>
      <c r="AR208" s="31"/>
      <c r="AS208" s="31"/>
      <c r="AT208" s="31"/>
      <c r="AU208" s="31" t="n">
        <f aca="false">IF($G208="",AJ208,L208)</f>
        <v>0</v>
      </c>
      <c r="AV208" s="31" t="n">
        <f aca="false">IF($G208="",AK208,M208)</f>
        <v>0</v>
      </c>
      <c r="AW208" s="31" t="n">
        <f aca="false">IF($G208="",AL208,N208)</f>
        <v>45750</v>
      </c>
      <c r="AX208" s="31" t="n">
        <f aca="false">IF($G208="",AM208,O208)</f>
        <v>3750</v>
      </c>
      <c r="AY208" s="31" t="n">
        <f aca="false">IF($G208="",AN208,P208)</f>
        <v>43</v>
      </c>
      <c r="AZ208" s="31" t="n">
        <f aca="false">IF($G208="",AO208,Q208)</f>
        <v>0</v>
      </c>
      <c r="BA208" s="31" t="n">
        <f aca="false">IF($G208="",AP208,R208)</f>
        <v>25955</v>
      </c>
      <c r="BB208" s="31" t="n">
        <f aca="false">IF($G208="",AQ208,S208)</f>
        <v>0</v>
      </c>
      <c r="BC208" s="31" t="n">
        <f aca="false">IF($G208="",AR208,T208)</f>
        <v>3950</v>
      </c>
      <c r="BD208" s="31" t="n">
        <f aca="false">IF($G208="",AS208,U208)</f>
        <v>0</v>
      </c>
      <c r="BE208" s="31" t="n">
        <f aca="false">IF($G208="",AT208,V208)</f>
        <v>575</v>
      </c>
      <c r="BF208" s="31" t="n">
        <f aca="false">ROUNDDOWN(I208*設定!$B$10/1000,0)+ROUNDDOWN(I208*設定!$B$11/1000,0)</f>
        <v>0</v>
      </c>
      <c r="BG208" s="31" t="n">
        <f aca="false">ROUNDDOWN(I208*設定!$C$10/1000,0)+ROUNDDOWN(I208*設定!$C$11/1000,0)+ROUNDDOWN(I208*設定!$C$12/1000,0)</f>
        <v>0</v>
      </c>
      <c r="BH208" s="31" t="n">
        <f aca="false">ROUNDDOWN(J208*設定!$B$13/1000,0)</f>
        <v>0</v>
      </c>
      <c r="BI208" s="31" t="n">
        <f aca="false">ROUNDDOWN(J208*設定!$C$13/1000,0)</f>
        <v>0</v>
      </c>
      <c r="BJ208" s="31" t="n">
        <f aca="false">ROUNDDOWN(K208*設定!$B$14/1000,0)</f>
        <v>0</v>
      </c>
      <c r="BK208" s="31" t="n">
        <f aca="false">ROUNDDOWN(K208*設定!$C$14/1000,0)</f>
        <v>0</v>
      </c>
      <c r="BL208" s="31" t="n">
        <f aca="false">ROUNDDOWN(J208*設定!$B$15/1000,0)</f>
        <v>0</v>
      </c>
      <c r="BM208" s="31" t="n">
        <f aca="false">ROUNDDOWN(J208*設定!$C$15/1000,0)</f>
        <v>0</v>
      </c>
      <c r="BN208" s="31" t="n">
        <f aca="false">L208+M208</f>
        <v>0</v>
      </c>
      <c r="BO208" s="31" t="n">
        <f aca="false">N208+O208+P208</f>
        <v>49543</v>
      </c>
      <c r="BP208" s="31" t="n">
        <f aca="false">Q208</f>
        <v>0</v>
      </c>
      <c r="BQ208" s="31" t="n">
        <f aca="false">R208</f>
        <v>25955</v>
      </c>
      <c r="BR208" s="31" t="n">
        <f aca="false">S208</f>
        <v>0</v>
      </c>
      <c r="BS208" s="31" t="n">
        <f aca="false">T208</f>
        <v>3950</v>
      </c>
      <c r="BT208" s="31" t="n">
        <f aca="false">U208</f>
        <v>0</v>
      </c>
      <c r="BU208" s="31" t="n">
        <f aca="false">V208</f>
        <v>575</v>
      </c>
      <c r="BV208" s="32" t="n">
        <f aca="false">IF(BF208=0,IF(BN208=0,0,1),(BN208-BF208)/BF208)</f>
        <v>0</v>
      </c>
      <c r="BW208" s="32" t="n">
        <f aca="false">IF(BG208=0,IF(BO208=0,0,1),(BO208-BG208)/BG208)</f>
        <v>1</v>
      </c>
      <c r="BX208" s="32" t="n">
        <f aca="false">IF(BH208=0,IF(BP208=0,0,1),(BP208-BH208)/BH208)</f>
        <v>0</v>
      </c>
      <c r="BY208" s="32" t="n">
        <f aca="false">IF(BI208=0,IF(BQ208=0,0,1),(BQ208-BI208)/BI208)</f>
        <v>1</v>
      </c>
      <c r="BZ208" s="32" t="n">
        <f aca="false">IF(BJ208=0,IF(BR208=0,0,1),(BR208-BJ208)/BJ208)</f>
        <v>0</v>
      </c>
      <c r="CA208" s="32" t="n">
        <f aca="false">IF(BK208=0,IF(BS208=0,0,1),(BS208-BK208)/BK208)</f>
        <v>1</v>
      </c>
      <c r="CB208" s="32" t="n">
        <f aca="false">IF(BL208=0,IF(BT208=0,0,1),(BT208-BL208)/BL208)</f>
        <v>0</v>
      </c>
      <c r="CC208" s="32" t="n">
        <f aca="false">IF(BM208=0,IF(BU208=0,0,1),(BU208-BM208)/BM208)</f>
        <v>1</v>
      </c>
      <c r="CD208" s="32" t="n">
        <f aca="false">MAX(MAX(BV208:CC208),-MIN(BV208:CC208))</f>
        <v>1</v>
      </c>
      <c r="CE208" s="31" t="n">
        <f aca="false">IF(CI208="","",SUMIFS($CF$7:$CF$696,$A$7:$A$696,CI208,$B$7:$B$696,B208))</f>
        <v>70420</v>
      </c>
      <c r="CF208" s="31" t="n">
        <f aca="false">SUM(AU208:BE208)</f>
        <v>80023</v>
      </c>
      <c r="CG208" s="33" t="str">
        <f aca="false">A208&amp;"|"&amp;B208</f>
        <v>2026-07 月例|ひろしま産業振興</v>
      </c>
      <c r="CH208" s="34" t="str">
        <f aca="false">IFERROR(INDEX(設定!$D$61:$D$106,MATCH(B208,設定!$B$61:$B$106,0)),"Y")</f>
        <v>Y</v>
      </c>
      <c r="CI208" s="34" t="str">
        <f aca="false">IFERROR(INDEX(設定!$D$20:$D$34,MATCH(A208,設定!$A$20:$A$34,0))&amp;"","")</f>
        <v>2026-06 月例</v>
      </c>
    </row>
    <row r="209" customFormat="false" ht="15" hidden="true" customHeight="false" outlineLevel="0" collapsed="false">
      <c r="A209" s="22" t="s">
        <v>211</v>
      </c>
      <c r="B209" s="23" t="s">
        <v>179</v>
      </c>
      <c r="C209" s="10" t="str">
        <f aca="false">IF(G209="","未受領",IF(G209="なし","報告なし",IF(AH209="○","起票済",IF(OR(AG209="○",F209="一致",F209="入金不要"),"入金確認済","受領済"))))</f>
        <v>入金確認済</v>
      </c>
      <c r="D209" s="10" t="str">
        <f aca="false">IF(OR(G209="",G209="なし"),"―",IF(CH209="N","対象外",IF(AND(I209="",J209="",K209=""),"標報未入力",IF(CD209&gt;=設定!$B$4,"要確認","問題なし"))))</f>
        <v>標報未入力</v>
      </c>
      <c r="E209" s="24" t="str">
        <f aca="false">IF(OR(G209="",G209="なし",CE209="",CF209=0),"―",IF(CF209=CE209,"前月同額",IF(CE209=0,"―",IF(ABS(CF209/CE209-1)&gt;=設定!$B$5,"変動大 "&amp;TEXT(CF209/CE209-1,"+0%;-0%"),"〇"))))</f>
        <v>―</v>
      </c>
      <c r="F209" s="10" t="str">
        <f aca="false">IF(OR(G209="",G209="なし"),"―",IF(CF209=0,"入金不要",IF(COUNT(Z209,AB209,AD209,AF209)=0,IF(AG209="○","手動確認","未入金"),IF(AND(N(Z209)=Y209,IF(AA209="",TRUE(),N(AB209)=AA209),IF(AC209="",TRUE(),N(AD209)=AC209),IF(AE209="",TRUE(),N(AF209)=AE209)),"一致","不一致"))))</f>
        <v>入金不要</v>
      </c>
      <c r="G209" s="25" t="s">
        <v>159</v>
      </c>
      <c r="H209" s="26"/>
      <c r="I209" s="27"/>
      <c r="J209" s="27"/>
      <c r="K209" s="27"/>
      <c r="L209" s="27"/>
      <c r="M209" s="27"/>
      <c r="N209" s="27" t="n">
        <v>0</v>
      </c>
      <c r="O209" s="27" t="n">
        <v>0</v>
      </c>
      <c r="P209" s="27" t="n">
        <v>0</v>
      </c>
      <c r="Q209" s="27"/>
      <c r="R209" s="27" t="n">
        <v>0</v>
      </c>
      <c r="S209" s="27"/>
      <c r="T209" s="27" t="n">
        <v>0</v>
      </c>
      <c r="U209" s="27"/>
      <c r="V209" s="27" t="n">
        <v>0</v>
      </c>
      <c r="W209" s="10" t="str">
        <f aca="false">IFERROR(INDEX(設定!$E$61:$E$106,MATCH(B209,設定!$B$61:$B$106,0)),"合算")</f>
        <v>合算</v>
      </c>
      <c r="X209" s="28"/>
      <c r="Y209" s="29" t="n">
        <f aca="false">IF(OR(G209="",G209="なし"),"",IF(W209="合算",CF209,IF(W209="掛金・負担金別",(AU209+AV209+AZ209+BB209+BD209),SUM(AU209:AY209))))</f>
        <v>0</v>
      </c>
      <c r="Z209" s="27"/>
      <c r="AA209" s="29" t="str">
        <f aca="false">IF(OR(G209="",G209="なし"),"",IF(W209="掛金・負担金別",(AW209+AX209+AY209+BA209+BC209+BE209),IF(W209="経理区分別",AZ209+BA209,"")))</f>
        <v/>
      </c>
      <c r="AB209" s="27"/>
      <c r="AC209" s="29" t="str">
        <f aca="false">IF(OR(G209="",G209="なし"),"",IF(W209="経理区分別",BB209+BC209,""))</f>
        <v/>
      </c>
      <c r="AD209" s="27"/>
      <c r="AE209" s="29" t="str">
        <f aca="false">IF(OR(G209="",G209="なし"),"",IF(W209="経理区分別",BD209+BE209,""))</f>
        <v/>
      </c>
      <c r="AF209" s="27"/>
      <c r="AG209" s="26" t="s">
        <v>160</v>
      </c>
      <c r="AH209" s="26"/>
      <c r="AI209" s="30"/>
      <c r="AJ209" s="31"/>
      <c r="AK209" s="31"/>
      <c r="AL209" s="31"/>
      <c r="AM209" s="31"/>
      <c r="AN209" s="31"/>
      <c r="AO209" s="31"/>
      <c r="AP209" s="31"/>
      <c r="AQ209" s="31"/>
      <c r="AR209" s="31"/>
      <c r="AS209" s="31"/>
      <c r="AT209" s="31"/>
      <c r="AU209" s="31" t="n">
        <f aca="false">IF($G209="",AJ209,L209)</f>
        <v>0</v>
      </c>
      <c r="AV209" s="31" t="n">
        <f aca="false">IF($G209="",AK209,M209)</f>
        <v>0</v>
      </c>
      <c r="AW209" s="31" t="n">
        <f aca="false">IF($G209="",AL209,N209)</f>
        <v>0</v>
      </c>
      <c r="AX209" s="31" t="n">
        <f aca="false">IF($G209="",AM209,O209)</f>
        <v>0</v>
      </c>
      <c r="AY209" s="31" t="n">
        <f aca="false">IF($G209="",AN209,P209)</f>
        <v>0</v>
      </c>
      <c r="AZ209" s="31" t="n">
        <f aca="false">IF($G209="",AO209,Q209)</f>
        <v>0</v>
      </c>
      <c r="BA209" s="31" t="n">
        <f aca="false">IF($G209="",AP209,R209)</f>
        <v>0</v>
      </c>
      <c r="BB209" s="31" t="n">
        <f aca="false">IF($G209="",AQ209,S209)</f>
        <v>0</v>
      </c>
      <c r="BC209" s="31" t="n">
        <f aca="false">IF($G209="",AR209,T209)</f>
        <v>0</v>
      </c>
      <c r="BD209" s="31" t="n">
        <f aca="false">IF($G209="",AS209,U209)</f>
        <v>0</v>
      </c>
      <c r="BE209" s="31" t="n">
        <f aca="false">IF($G209="",AT209,V209)</f>
        <v>0</v>
      </c>
      <c r="BF209" s="31" t="n">
        <f aca="false">ROUNDDOWN(I209*設定!$B$10/1000,0)+ROUNDDOWN(I209*設定!$B$11/1000,0)</f>
        <v>0</v>
      </c>
      <c r="BG209" s="31" t="n">
        <f aca="false">ROUNDDOWN(I209*設定!$C$10/1000,0)+ROUNDDOWN(I209*設定!$C$11/1000,0)+ROUNDDOWN(I209*設定!$C$12/1000,0)</f>
        <v>0</v>
      </c>
      <c r="BH209" s="31" t="n">
        <f aca="false">ROUNDDOWN(J209*設定!$B$13/1000,0)</f>
        <v>0</v>
      </c>
      <c r="BI209" s="31" t="n">
        <f aca="false">ROUNDDOWN(J209*設定!$C$13/1000,0)</f>
        <v>0</v>
      </c>
      <c r="BJ209" s="31" t="n">
        <f aca="false">ROUNDDOWN(K209*設定!$B$14/1000,0)</f>
        <v>0</v>
      </c>
      <c r="BK209" s="31" t="n">
        <f aca="false">ROUNDDOWN(K209*設定!$C$14/1000,0)</f>
        <v>0</v>
      </c>
      <c r="BL209" s="31" t="n">
        <f aca="false">ROUNDDOWN(J209*設定!$B$15/1000,0)</f>
        <v>0</v>
      </c>
      <c r="BM209" s="31" t="n">
        <f aca="false">ROUNDDOWN(J209*設定!$C$15/1000,0)</f>
        <v>0</v>
      </c>
      <c r="BN209" s="31" t="n">
        <f aca="false">L209+M209</f>
        <v>0</v>
      </c>
      <c r="BO209" s="31" t="n">
        <f aca="false">N209+O209+P209</f>
        <v>0</v>
      </c>
      <c r="BP209" s="31" t="n">
        <f aca="false">Q209</f>
        <v>0</v>
      </c>
      <c r="BQ209" s="31" t="n">
        <f aca="false">R209</f>
        <v>0</v>
      </c>
      <c r="BR209" s="31" t="n">
        <f aca="false">S209</f>
        <v>0</v>
      </c>
      <c r="BS209" s="31" t="n">
        <f aca="false">T209</f>
        <v>0</v>
      </c>
      <c r="BT209" s="31" t="n">
        <f aca="false">U209</f>
        <v>0</v>
      </c>
      <c r="BU209" s="31" t="n">
        <f aca="false">V209</f>
        <v>0</v>
      </c>
      <c r="BV209" s="32" t="n">
        <f aca="false">IF(BF209=0,IF(BN209=0,0,1),(BN209-BF209)/BF209)</f>
        <v>0</v>
      </c>
      <c r="BW209" s="32" t="n">
        <f aca="false">IF(BG209=0,IF(BO209=0,0,1),(BO209-BG209)/BG209)</f>
        <v>0</v>
      </c>
      <c r="BX209" s="32" t="n">
        <f aca="false">IF(BH209=0,IF(BP209=0,0,1),(BP209-BH209)/BH209)</f>
        <v>0</v>
      </c>
      <c r="BY209" s="32" t="n">
        <f aca="false">IF(BI209=0,IF(BQ209=0,0,1),(BQ209-BI209)/BI209)</f>
        <v>0</v>
      </c>
      <c r="BZ209" s="32" t="n">
        <f aca="false">IF(BJ209=0,IF(BR209=0,0,1),(BR209-BJ209)/BJ209)</f>
        <v>0</v>
      </c>
      <c r="CA209" s="32" t="n">
        <f aca="false">IF(BK209=0,IF(BS209=0,0,1),(BS209-BK209)/BK209)</f>
        <v>0</v>
      </c>
      <c r="CB209" s="32" t="n">
        <f aca="false">IF(BL209=0,IF(BT209=0,0,1),(BT209-BL209)/BL209)</f>
        <v>0</v>
      </c>
      <c r="CC209" s="32" t="n">
        <f aca="false">IF(BM209=0,IF(BU209=0,0,1),(BU209-BM209)/BM209)</f>
        <v>0</v>
      </c>
      <c r="CD209" s="32" t="n">
        <f aca="false">MAX(MAX(BV209:CC209),-MIN(BV209:CC209))</f>
        <v>-0</v>
      </c>
      <c r="CE209" s="31" t="n">
        <f aca="false">IF(CI209="","",SUMIFS($CF$7:$CF$696,$A$7:$A$696,CI209,$B$7:$B$696,B209))</f>
        <v>0</v>
      </c>
      <c r="CF209" s="31" t="n">
        <f aca="false">SUM(AU209:BE209)</f>
        <v>0</v>
      </c>
      <c r="CG209" s="33" t="str">
        <f aca="false">A209&amp;"|"&amp;B209</f>
        <v>2026-07 月例|都市整備公社　市</v>
      </c>
      <c r="CH209" s="34" t="str">
        <f aca="false">IFERROR(INDEX(設定!$D$61:$D$106,MATCH(B209,設定!$B$61:$B$106,0)),"Y")</f>
        <v>Y</v>
      </c>
      <c r="CI209" s="34" t="str">
        <f aca="false">IFERROR(INDEX(設定!$D$20:$D$34,MATCH(A209,設定!$A$20:$A$34,0))&amp;"","")</f>
        <v>2026-06 月例</v>
      </c>
    </row>
    <row r="210" customFormat="false" ht="15" hidden="true" customHeight="false" outlineLevel="0" collapsed="false">
      <c r="A210" s="22" t="s">
        <v>211</v>
      </c>
      <c r="B210" s="23" t="s">
        <v>180</v>
      </c>
      <c r="C210" s="10" t="str">
        <f aca="false">IF(G210="","未受領",IF(G210="なし","報告なし",IF(AH210="○","起票済",IF(OR(AG210="○",F210="一致",F210="入金不要"),"入金確認済","受領済"))))</f>
        <v>入金確認済</v>
      </c>
      <c r="D210" s="10" t="str">
        <f aca="false">IF(OR(G210="",G210="なし"),"―",IF(CH210="N","対象外",IF(AND(I210="",J210="",K210=""),"標報未入力",IF(CD210&gt;=設定!$B$4,"要確認","問題なし"))))</f>
        <v>標報未入力</v>
      </c>
      <c r="E210" s="24" t="str">
        <f aca="false">IF(OR(G210="",G210="なし",CE210="",CF210=0),"―",IF(CF210=CE210,"前月同額",IF(CE210=0,"―",IF(ABS(CF210/CE210-1)&gt;=設定!$B$5,"変動大 "&amp;TEXT(CF210/CE210-1,"+0%;-0%"),"〇"))))</f>
        <v>前月同額</v>
      </c>
      <c r="F210" s="10" t="str">
        <f aca="false">IF(OR(G210="",G210="なし"),"―",IF(CF210=0,"入金不要",IF(COUNT(Z210,AB210,AD210,AF210)=0,IF(AG210="○","手動確認","未入金"),IF(AND(N(Z210)=Y210,IF(AA210="",TRUE(),N(AB210)=AA210),IF(AC210="",TRUE(),N(AD210)=AC210),IF(AE210="",TRUE(),N(AF210)=AE210)),"一致","不一致"))))</f>
        <v>手動確認</v>
      </c>
      <c r="G210" s="25" t="s">
        <v>159</v>
      </c>
      <c r="H210" s="26"/>
      <c r="I210" s="27"/>
      <c r="J210" s="27"/>
      <c r="K210" s="27"/>
      <c r="L210" s="27"/>
      <c r="M210" s="27"/>
      <c r="N210" s="27" t="n">
        <v>193065</v>
      </c>
      <c r="O210" s="27" t="n">
        <v>15825</v>
      </c>
      <c r="P210" s="27" t="n">
        <v>183</v>
      </c>
      <c r="Q210" s="27"/>
      <c r="R210" s="27" t="n">
        <v>109530</v>
      </c>
      <c r="S210" s="27"/>
      <c r="T210" s="27" t="n">
        <v>12956</v>
      </c>
      <c r="U210" s="27"/>
      <c r="V210" s="27" t="n">
        <v>2426</v>
      </c>
      <c r="W210" s="10" t="str">
        <f aca="false">IFERROR(INDEX(設定!$E$61:$E$106,MATCH(B210,設定!$B$61:$B$106,0)),"合算")</f>
        <v>合算</v>
      </c>
      <c r="X210" s="28"/>
      <c r="Y210" s="29" t="n">
        <f aca="false">IF(OR(G210="",G210="なし"),"",IF(W210="合算",CF210,IF(W210="掛金・負担金別",(AU210+AV210+AZ210+BB210+BD210),SUM(AU210:AY210))))</f>
        <v>333985</v>
      </c>
      <c r="Z210" s="27"/>
      <c r="AA210" s="29" t="str">
        <f aca="false">IF(OR(G210="",G210="なし"),"",IF(W210="掛金・負担金別",(AW210+AX210+AY210+BA210+BC210+BE210),IF(W210="経理区分別",AZ210+BA210,"")))</f>
        <v/>
      </c>
      <c r="AB210" s="27"/>
      <c r="AC210" s="29" t="str">
        <f aca="false">IF(OR(G210="",G210="なし"),"",IF(W210="経理区分別",BB210+BC210,""))</f>
        <v/>
      </c>
      <c r="AD210" s="27"/>
      <c r="AE210" s="29" t="str">
        <f aca="false">IF(OR(G210="",G210="なし"),"",IF(W210="経理区分別",BD210+BE210,""))</f>
        <v/>
      </c>
      <c r="AF210" s="27"/>
      <c r="AG210" s="26" t="s">
        <v>160</v>
      </c>
      <c r="AH210" s="26"/>
      <c r="AI210" s="30"/>
      <c r="AJ210" s="31"/>
      <c r="AK210" s="31"/>
      <c r="AL210" s="31"/>
      <c r="AM210" s="31"/>
      <c r="AN210" s="31"/>
      <c r="AO210" s="31"/>
      <c r="AP210" s="31"/>
      <c r="AQ210" s="31"/>
      <c r="AR210" s="31"/>
      <c r="AS210" s="31"/>
      <c r="AT210" s="31"/>
      <c r="AU210" s="31" t="n">
        <f aca="false">IF($G210="",AJ210,L210)</f>
        <v>0</v>
      </c>
      <c r="AV210" s="31" t="n">
        <f aca="false">IF($G210="",AK210,M210)</f>
        <v>0</v>
      </c>
      <c r="AW210" s="31" t="n">
        <f aca="false">IF($G210="",AL210,N210)</f>
        <v>193065</v>
      </c>
      <c r="AX210" s="31" t="n">
        <f aca="false">IF($G210="",AM210,O210)</f>
        <v>15825</v>
      </c>
      <c r="AY210" s="31" t="n">
        <f aca="false">IF($G210="",AN210,P210)</f>
        <v>183</v>
      </c>
      <c r="AZ210" s="31" t="n">
        <f aca="false">IF($G210="",AO210,Q210)</f>
        <v>0</v>
      </c>
      <c r="BA210" s="31" t="n">
        <f aca="false">IF($G210="",AP210,R210)</f>
        <v>109530</v>
      </c>
      <c r="BB210" s="31" t="n">
        <f aca="false">IF($G210="",AQ210,S210)</f>
        <v>0</v>
      </c>
      <c r="BC210" s="31" t="n">
        <f aca="false">IF($G210="",AR210,T210)</f>
        <v>12956</v>
      </c>
      <c r="BD210" s="31" t="n">
        <f aca="false">IF($G210="",AS210,U210)</f>
        <v>0</v>
      </c>
      <c r="BE210" s="31" t="n">
        <f aca="false">IF($G210="",AT210,V210)</f>
        <v>2426</v>
      </c>
      <c r="BF210" s="31" t="n">
        <f aca="false">ROUNDDOWN(I210*設定!$B$10/1000,0)+ROUNDDOWN(I210*設定!$B$11/1000,0)</f>
        <v>0</v>
      </c>
      <c r="BG210" s="31" t="n">
        <f aca="false">ROUNDDOWN(I210*設定!$C$10/1000,0)+ROUNDDOWN(I210*設定!$C$11/1000,0)+ROUNDDOWN(I210*設定!$C$12/1000,0)</f>
        <v>0</v>
      </c>
      <c r="BH210" s="31" t="n">
        <f aca="false">ROUNDDOWN(J210*設定!$B$13/1000,0)</f>
        <v>0</v>
      </c>
      <c r="BI210" s="31" t="n">
        <f aca="false">ROUNDDOWN(J210*設定!$C$13/1000,0)</f>
        <v>0</v>
      </c>
      <c r="BJ210" s="31" t="n">
        <f aca="false">ROUNDDOWN(K210*設定!$B$14/1000,0)</f>
        <v>0</v>
      </c>
      <c r="BK210" s="31" t="n">
        <f aca="false">ROUNDDOWN(K210*設定!$C$14/1000,0)</f>
        <v>0</v>
      </c>
      <c r="BL210" s="31" t="n">
        <f aca="false">ROUNDDOWN(J210*設定!$B$15/1000,0)</f>
        <v>0</v>
      </c>
      <c r="BM210" s="31" t="n">
        <f aca="false">ROUNDDOWN(J210*設定!$C$15/1000,0)</f>
        <v>0</v>
      </c>
      <c r="BN210" s="31" t="n">
        <f aca="false">L210+M210</f>
        <v>0</v>
      </c>
      <c r="BO210" s="31" t="n">
        <f aca="false">N210+O210+P210</f>
        <v>209073</v>
      </c>
      <c r="BP210" s="31" t="n">
        <f aca="false">Q210</f>
        <v>0</v>
      </c>
      <c r="BQ210" s="31" t="n">
        <f aca="false">R210</f>
        <v>109530</v>
      </c>
      <c r="BR210" s="31" t="n">
        <f aca="false">S210</f>
        <v>0</v>
      </c>
      <c r="BS210" s="31" t="n">
        <f aca="false">T210</f>
        <v>12956</v>
      </c>
      <c r="BT210" s="31" t="n">
        <f aca="false">U210</f>
        <v>0</v>
      </c>
      <c r="BU210" s="31" t="n">
        <f aca="false">V210</f>
        <v>2426</v>
      </c>
      <c r="BV210" s="32" t="n">
        <f aca="false">IF(BF210=0,IF(BN210=0,0,1),(BN210-BF210)/BF210)</f>
        <v>0</v>
      </c>
      <c r="BW210" s="32" t="n">
        <f aca="false">IF(BG210=0,IF(BO210=0,0,1),(BO210-BG210)/BG210)</f>
        <v>1</v>
      </c>
      <c r="BX210" s="32" t="n">
        <f aca="false">IF(BH210=0,IF(BP210=0,0,1),(BP210-BH210)/BH210)</f>
        <v>0</v>
      </c>
      <c r="BY210" s="32" t="n">
        <f aca="false">IF(BI210=0,IF(BQ210=0,0,1),(BQ210-BI210)/BI210)</f>
        <v>1</v>
      </c>
      <c r="BZ210" s="32" t="n">
        <f aca="false">IF(BJ210=0,IF(BR210=0,0,1),(BR210-BJ210)/BJ210)</f>
        <v>0</v>
      </c>
      <c r="CA210" s="32" t="n">
        <f aca="false">IF(BK210=0,IF(BS210=0,0,1),(BS210-BK210)/BK210)</f>
        <v>1</v>
      </c>
      <c r="CB210" s="32" t="n">
        <f aca="false">IF(BL210=0,IF(BT210=0,0,1),(BT210-BL210)/BL210)</f>
        <v>0</v>
      </c>
      <c r="CC210" s="32" t="n">
        <f aca="false">IF(BM210=0,IF(BU210=0,0,1),(BU210-BM210)/BM210)</f>
        <v>1</v>
      </c>
      <c r="CD210" s="32" t="n">
        <f aca="false">MAX(MAX(BV210:CC210),-MIN(BV210:CC210))</f>
        <v>1</v>
      </c>
      <c r="CE210" s="31" t="n">
        <f aca="false">IF(CI210="","",SUMIFS($CF$7:$CF$696,$A$7:$A$696,CI210,$B$7:$B$696,B210))</f>
        <v>333985</v>
      </c>
      <c r="CF210" s="31" t="n">
        <f aca="false">SUM(AU210:BE210)</f>
        <v>333985</v>
      </c>
      <c r="CG210" s="33" t="str">
        <f aca="false">A210&amp;"|"&amp;B210</f>
        <v>2026-07 月例|都市整備公社　消防</v>
      </c>
      <c r="CH210" s="34" t="str">
        <f aca="false">IFERROR(INDEX(設定!$D$61:$D$106,MATCH(B210,設定!$B$61:$B$106,0)),"Y")</f>
        <v>Y</v>
      </c>
      <c r="CI210" s="34" t="str">
        <f aca="false">IFERROR(INDEX(設定!$D$20:$D$34,MATCH(A210,設定!$A$20:$A$34,0))&amp;"","")</f>
        <v>2026-06 月例</v>
      </c>
    </row>
    <row r="211" customFormat="false" ht="15" hidden="true" customHeight="false" outlineLevel="0" collapsed="false">
      <c r="A211" s="22" t="s">
        <v>211</v>
      </c>
      <c r="B211" s="23" t="s">
        <v>181</v>
      </c>
      <c r="C211" s="10" t="str">
        <f aca="false">IF(G211="","未受領",IF(G211="なし","報告なし",IF(AH211="○","起票済",IF(OR(AG211="○",F211="一致",F211="入金不要"),"入金確認済","受領済"))))</f>
        <v>入金確認済</v>
      </c>
      <c r="D211" s="10" t="str">
        <f aca="false">IF(OR(G211="",G211="なし"),"―",IF(CH211="N","対象外",IF(AND(I211="",J211="",K211=""),"標報未入力",IF(CD211&gt;=設定!$B$4,"要確認","問題なし"))))</f>
        <v>標報未入力</v>
      </c>
      <c r="E211" s="24" t="str">
        <f aca="false">IF(OR(G211="",G211="なし",CE211="",CF211=0),"―",IF(CF211=CE211,"前月同額",IF(CE211=0,"―",IF(ABS(CF211/CE211-1)&gt;=設定!$B$5,"変動大 "&amp;TEXT(CF211/CE211-1,"+0%;-0%"),"〇"))))</f>
        <v>〇</v>
      </c>
      <c r="F211" s="10" t="str">
        <f aca="false">IF(OR(G211="",G211="なし"),"―",IF(CF211=0,"入金不要",IF(COUNT(Z211,AB211,AD211,AF211)=0,IF(AG211="○","手動確認","未入金"),IF(AND(N(Z211)=Y211,IF(AA211="",TRUE(),N(AB211)=AA211),IF(AC211="",TRUE(),N(AD211)=AC211),IF(AE211="",TRUE(),N(AF211)=AE211)),"一致","不一致"))))</f>
        <v>手動確認</v>
      </c>
      <c r="G211" s="25" t="s">
        <v>159</v>
      </c>
      <c r="H211" s="26"/>
      <c r="I211" s="27"/>
      <c r="J211" s="27"/>
      <c r="K211" s="27"/>
      <c r="L211" s="27" t="n">
        <v>241560</v>
      </c>
      <c r="M211" s="27" t="n">
        <v>19800</v>
      </c>
      <c r="N211" s="27" t="n">
        <v>241560</v>
      </c>
      <c r="O211" s="27" t="n">
        <v>19800</v>
      </c>
      <c r="P211" s="27" t="n">
        <v>229</v>
      </c>
      <c r="Q211" s="27" t="n">
        <v>140019</v>
      </c>
      <c r="R211" s="27" t="n">
        <v>140157</v>
      </c>
      <c r="S211" s="27" t="n">
        <v>10744</v>
      </c>
      <c r="T211" s="27" t="n">
        <v>10744</v>
      </c>
      <c r="U211" s="27" t="n">
        <v>3104</v>
      </c>
      <c r="V211" s="27" t="n">
        <v>3105</v>
      </c>
      <c r="W211" s="10" t="str">
        <f aca="false">IFERROR(INDEX(設定!$E$61:$E$106,MATCH(B211,設定!$B$61:$B$106,0)),"合算")</f>
        <v>合算</v>
      </c>
      <c r="X211" s="28"/>
      <c r="Y211" s="29" t="n">
        <f aca="false">IF(OR(G211="",G211="なし"),"",IF(W211="合算",CF211,IF(W211="掛金・負担金別",(AU211+AV211+AZ211+BB211+BD211),SUM(AU211:AY211))))</f>
        <v>830822</v>
      </c>
      <c r="Z211" s="27"/>
      <c r="AA211" s="29" t="str">
        <f aca="false">IF(OR(G211="",G211="なし"),"",IF(W211="掛金・負担金別",(AW211+AX211+AY211+BA211+BC211+BE211),IF(W211="経理区分別",AZ211+BA211,"")))</f>
        <v/>
      </c>
      <c r="AB211" s="27"/>
      <c r="AC211" s="29" t="str">
        <f aca="false">IF(OR(G211="",G211="なし"),"",IF(W211="経理区分別",BB211+BC211,""))</f>
        <v/>
      </c>
      <c r="AD211" s="27"/>
      <c r="AE211" s="29" t="str">
        <f aca="false">IF(OR(G211="",G211="なし"),"",IF(W211="経理区分別",BD211+BE211,""))</f>
        <v/>
      </c>
      <c r="AF211" s="27"/>
      <c r="AG211" s="26" t="s">
        <v>160</v>
      </c>
      <c r="AH211" s="26"/>
      <c r="AI211" s="30"/>
      <c r="AJ211" s="31"/>
      <c r="AK211" s="31"/>
      <c r="AL211" s="31"/>
      <c r="AM211" s="31"/>
      <c r="AN211" s="31"/>
      <c r="AO211" s="31"/>
      <c r="AP211" s="31"/>
      <c r="AQ211" s="31"/>
      <c r="AR211" s="31"/>
      <c r="AS211" s="31"/>
      <c r="AT211" s="31"/>
      <c r="AU211" s="31" t="n">
        <f aca="false">IF($G211="",AJ211,L211)</f>
        <v>241560</v>
      </c>
      <c r="AV211" s="31" t="n">
        <f aca="false">IF($G211="",AK211,M211)</f>
        <v>19800</v>
      </c>
      <c r="AW211" s="31" t="n">
        <f aca="false">IF($G211="",AL211,N211)</f>
        <v>241560</v>
      </c>
      <c r="AX211" s="31" t="n">
        <f aca="false">IF($G211="",AM211,O211)</f>
        <v>19800</v>
      </c>
      <c r="AY211" s="31" t="n">
        <f aca="false">IF($G211="",AN211,P211)</f>
        <v>229</v>
      </c>
      <c r="AZ211" s="31" t="n">
        <f aca="false">IF($G211="",AO211,Q211)</f>
        <v>140019</v>
      </c>
      <c r="BA211" s="31" t="n">
        <f aca="false">IF($G211="",AP211,R211)</f>
        <v>140157</v>
      </c>
      <c r="BB211" s="31" t="n">
        <f aca="false">IF($G211="",AQ211,S211)</f>
        <v>10744</v>
      </c>
      <c r="BC211" s="31" t="n">
        <f aca="false">IF($G211="",AR211,T211)</f>
        <v>10744</v>
      </c>
      <c r="BD211" s="31" t="n">
        <f aca="false">IF($G211="",AS211,U211)</f>
        <v>3104</v>
      </c>
      <c r="BE211" s="31" t="n">
        <f aca="false">IF($G211="",AT211,V211)</f>
        <v>3105</v>
      </c>
      <c r="BF211" s="31" t="n">
        <f aca="false">ROUNDDOWN(I211*設定!$B$10/1000,0)+ROUNDDOWN(I211*設定!$B$11/1000,0)</f>
        <v>0</v>
      </c>
      <c r="BG211" s="31" t="n">
        <f aca="false">ROUNDDOWN(I211*設定!$C$10/1000,0)+ROUNDDOWN(I211*設定!$C$11/1000,0)+ROUNDDOWN(I211*設定!$C$12/1000,0)</f>
        <v>0</v>
      </c>
      <c r="BH211" s="31" t="n">
        <f aca="false">ROUNDDOWN(J211*設定!$B$13/1000,0)</f>
        <v>0</v>
      </c>
      <c r="BI211" s="31" t="n">
        <f aca="false">ROUNDDOWN(J211*設定!$C$13/1000,0)</f>
        <v>0</v>
      </c>
      <c r="BJ211" s="31" t="n">
        <f aca="false">ROUNDDOWN(K211*設定!$B$14/1000,0)</f>
        <v>0</v>
      </c>
      <c r="BK211" s="31" t="n">
        <f aca="false">ROUNDDOWN(K211*設定!$C$14/1000,0)</f>
        <v>0</v>
      </c>
      <c r="BL211" s="31" t="n">
        <f aca="false">ROUNDDOWN(J211*設定!$B$15/1000,0)</f>
        <v>0</v>
      </c>
      <c r="BM211" s="31" t="n">
        <f aca="false">ROUNDDOWN(J211*設定!$C$15/1000,0)</f>
        <v>0</v>
      </c>
      <c r="BN211" s="31" t="n">
        <f aca="false">L211+M211</f>
        <v>261360</v>
      </c>
      <c r="BO211" s="31" t="n">
        <f aca="false">N211+O211+P211</f>
        <v>261589</v>
      </c>
      <c r="BP211" s="31" t="n">
        <f aca="false">Q211</f>
        <v>140019</v>
      </c>
      <c r="BQ211" s="31" t="n">
        <f aca="false">R211</f>
        <v>140157</v>
      </c>
      <c r="BR211" s="31" t="n">
        <f aca="false">S211</f>
        <v>10744</v>
      </c>
      <c r="BS211" s="31" t="n">
        <f aca="false">T211</f>
        <v>10744</v>
      </c>
      <c r="BT211" s="31" t="n">
        <f aca="false">U211</f>
        <v>3104</v>
      </c>
      <c r="BU211" s="31" t="n">
        <f aca="false">V211</f>
        <v>3105</v>
      </c>
      <c r="BV211" s="32" t="n">
        <f aca="false">IF(BF211=0,IF(BN211=0,0,1),(BN211-BF211)/BF211)</f>
        <v>1</v>
      </c>
      <c r="BW211" s="32" t="n">
        <f aca="false">IF(BG211=0,IF(BO211=0,0,1),(BO211-BG211)/BG211)</f>
        <v>1</v>
      </c>
      <c r="BX211" s="32" t="n">
        <f aca="false">IF(BH211=0,IF(BP211=0,0,1),(BP211-BH211)/BH211)</f>
        <v>1</v>
      </c>
      <c r="BY211" s="32" t="n">
        <f aca="false">IF(BI211=0,IF(BQ211=0,0,1),(BQ211-BI211)/BI211)</f>
        <v>1</v>
      </c>
      <c r="BZ211" s="32" t="n">
        <f aca="false">IF(BJ211=0,IF(BR211=0,0,1),(BR211-BJ211)/BJ211)</f>
        <v>1</v>
      </c>
      <c r="CA211" s="32" t="n">
        <f aca="false">IF(BK211=0,IF(BS211=0,0,1),(BS211-BK211)/BK211)</f>
        <v>1</v>
      </c>
      <c r="CB211" s="32" t="n">
        <f aca="false">IF(BL211=0,IF(BT211=0,0,1),(BT211-BL211)/BL211)</f>
        <v>1</v>
      </c>
      <c r="CC211" s="32" t="n">
        <f aca="false">IF(BM211=0,IF(BU211=0,0,1),(BU211-BM211)/BM211)</f>
        <v>1</v>
      </c>
      <c r="CD211" s="32" t="n">
        <f aca="false">MAX(MAX(BV211:CC211),-MIN(BV211:CC211))</f>
        <v>1</v>
      </c>
      <c r="CE211" s="31" t="n">
        <f aca="false">IF(CI211="","",SUMIFS($CF$7:$CF$696,$A$7:$A$696,CI211,$B$7:$B$696,B211))</f>
        <v>818655</v>
      </c>
      <c r="CF211" s="31" t="n">
        <f aca="false">SUM(AU211:BE211)</f>
        <v>830822</v>
      </c>
      <c r="CG211" s="33" t="str">
        <f aca="false">A211&amp;"|"&amp;B211</f>
        <v>2026-07 月例|日本下水道事業団</v>
      </c>
      <c r="CH211" s="34" t="str">
        <f aca="false">IFERROR(INDEX(設定!$D$61:$D$106,MATCH(B211,設定!$B$61:$B$106,0)),"Y")</f>
        <v>Y</v>
      </c>
      <c r="CI211" s="34" t="str">
        <f aca="false">IFERROR(INDEX(設定!$D$20:$D$34,MATCH(A211,設定!$A$20:$A$34,0))&amp;"","")</f>
        <v>2026-06 月例</v>
      </c>
    </row>
    <row r="212" customFormat="false" ht="15" hidden="true" customHeight="false" outlineLevel="0" collapsed="false">
      <c r="A212" s="22" t="s">
        <v>211</v>
      </c>
      <c r="B212" s="23" t="s">
        <v>182</v>
      </c>
      <c r="C212" s="10" t="str">
        <f aca="false">IF(G212="","未受領",IF(G212="なし","報告なし",IF(AH212="○","起票済",IF(OR(AG212="○",F212="一致",F212="入金不要"),"入金確認済","受領済"))))</f>
        <v>入金確認済</v>
      </c>
      <c r="D212" s="10" t="str">
        <f aca="false">IF(OR(G212="",G212="なし"),"―",IF(CH212="N","対象外",IF(AND(I212="",J212="",K212=""),"標報未入力",IF(CD212&gt;=設定!$B$4,"要確認","問題なし"))))</f>
        <v>標報未入力</v>
      </c>
      <c r="E212" s="24" t="str">
        <f aca="false">IF(OR(G212="",G212="なし",CE212="",CF212=0),"―",IF(CF212=CE212,"前月同額",IF(CE212=0,"―",IF(ABS(CF212/CE212-1)&gt;=設定!$B$5,"変動大 "&amp;TEXT(CF212/CE212-1,"+0%;-0%"),"〇"))))</f>
        <v>前月同額</v>
      </c>
      <c r="F212" s="10" t="str">
        <f aca="false">IF(OR(G212="",G212="なし"),"―",IF(CF212=0,"入金不要",IF(COUNT(Z212,AB212,AD212,AF212)=0,IF(AG212="○","手動確認","未入金"),IF(AND(N(Z212)=Y212,IF(AA212="",TRUE(),N(AB212)=AA212),IF(AC212="",TRUE(),N(AD212)=AC212),IF(AE212="",TRUE(),N(AF212)=AE212)),"一致","不一致"))))</f>
        <v>手動確認</v>
      </c>
      <c r="G212" s="25" t="s">
        <v>159</v>
      </c>
      <c r="H212" s="26"/>
      <c r="I212" s="27"/>
      <c r="J212" s="27"/>
      <c r="K212" s="27"/>
      <c r="L212" s="27" t="n">
        <v>40260</v>
      </c>
      <c r="M212" s="27" t="n">
        <v>3300</v>
      </c>
      <c r="N212" s="27" t="n">
        <v>40260</v>
      </c>
      <c r="O212" s="27" t="n">
        <v>3300</v>
      </c>
      <c r="P212" s="27" t="n">
        <v>38</v>
      </c>
      <c r="Q212" s="27" t="n">
        <v>22818</v>
      </c>
      <c r="R212" s="27" t="n">
        <v>22840</v>
      </c>
      <c r="S212" s="27" t="n">
        <v>0</v>
      </c>
      <c r="T212" s="27" t="n">
        <v>0</v>
      </c>
      <c r="U212" s="27" t="n">
        <v>506</v>
      </c>
      <c r="V212" s="27" t="n">
        <v>506</v>
      </c>
      <c r="W212" s="10" t="str">
        <f aca="false">IFERROR(INDEX(設定!$E$61:$E$106,MATCH(B212,設定!$B$61:$B$106,0)),"合算")</f>
        <v>合算</v>
      </c>
      <c r="X212" s="28"/>
      <c r="Y212" s="29" t="n">
        <f aca="false">IF(OR(G212="",G212="なし"),"",IF(W212="合算",CF212,IF(W212="掛金・負担金別",(AU212+AV212+AZ212+BB212+BD212),SUM(AU212:AY212))))</f>
        <v>133828</v>
      </c>
      <c r="Z212" s="27"/>
      <c r="AA212" s="29" t="str">
        <f aca="false">IF(OR(G212="",G212="なし"),"",IF(W212="掛金・負担金別",(AW212+AX212+AY212+BA212+BC212+BE212),IF(W212="経理区分別",AZ212+BA212,"")))</f>
        <v/>
      </c>
      <c r="AB212" s="27"/>
      <c r="AC212" s="29" t="str">
        <f aca="false">IF(OR(G212="",G212="なし"),"",IF(W212="経理区分別",BB212+BC212,""))</f>
        <v/>
      </c>
      <c r="AD212" s="27"/>
      <c r="AE212" s="29" t="str">
        <f aca="false">IF(OR(G212="",G212="なし"),"",IF(W212="経理区分別",BD212+BE212,""))</f>
        <v/>
      </c>
      <c r="AF212" s="27"/>
      <c r="AG212" s="26" t="s">
        <v>160</v>
      </c>
      <c r="AH212" s="26"/>
      <c r="AI212" s="30"/>
      <c r="AJ212" s="31"/>
      <c r="AK212" s="31"/>
      <c r="AL212" s="31"/>
      <c r="AM212" s="31"/>
      <c r="AN212" s="31"/>
      <c r="AO212" s="31"/>
      <c r="AP212" s="31"/>
      <c r="AQ212" s="31"/>
      <c r="AR212" s="31"/>
      <c r="AS212" s="31"/>
      <c r="AT212" s="31"/>
      <c r="AU212" s="31" t="n">
        <f aca="false">IF($G212="",AJ212,L212)</f>
        <v>40260</v>
      </c>
      <c r="AV212" s="31" t="n">
        <f aca="false">IF($G212="",AK212,M212)</f>
        <v>3300</v>
      </c>
      <c r="AW212" s="31" t="n">
        <f aca="false">IF($G212="",AL212,N212)</f>
        <v>40260</v>
      </c>
      <c r="AX212" s="31" t="n">
        <f aca="false">IF($G212="",AM212,O212)</f>
        <v>3300</v>
      </c>
      <c r="AY212" s="31" t="n">
        <f aca="false">IF($G212="",AN212,P212)</f>
        <v>38</v>
      </c>
      <c r="AZ212" s="31" t="n">
        <f aca="false">IF($G212="",AO212,Q212)</f>
        <v>22818</v>
      </c>
      <c r="BA212" s="31" t="n">
        <f aca="false">IF($G212="",AP212,R212)</f>
        <v>22840</v>
      </c>
      <c r="BB212" s="31" t="n">
        <f aca="false">IF($G212="",AQ212,S212)</f>
        <v>0</v>
      </c>
      <c r="BC212" s="31" t="n">
        <f aca="false">IF($G212="",AR212,T212)</f>
        <v>0</v>
      </c>
      <c r="BD212" s="31" t="n">
        <f aca="false">IF($G212="",AS212,U212)</f>
        <v>506</v>
      </c>
      <c r="BE212" s="31" t="n">
        <f aca="false">IF($G212="",AT212,V212)</f>
        <v>506</v>
      </c>
      <c r="BF212" s="31" t="n">
        <f aca="false">ROUNDDOWN(I212*設定!$B$10/1000,0)+ROUNDDOWN(I212*設定!$B$11/1000,0)</f>
        <v>0</v>
      </c>
      <c r="BG212" s="31" t="n">
        <f aca="false">ROUNDDOWN(I212*設定!$C$10/1000,0)+ROUNDDOWN(I212*設定!$C$11/1000,0)+ROUNDDOWN(I212*設定!$C$12/1000,0)</f>
        <v>0</v>
      </c>
      <c r="BH212" s="31" t="n">
        <f aca="false">ROUNDDOWN(J212*設定!$B$13/1000,0)</f>
        <v>0</v>
      </c>
      <c r="BI212" s="31" t="n">
        <f aca="false">ROUNDDOWN(J212*設定!$C$13/1000,0)</f>
        <v>0</v>
      </c>
      <c r="BJ212" s="31" t="n">
        <f aca="false">ROUNDDOWN(K212*設定!$B$14/1000,0)</f>
        <v>0</v>
      </c>
      <c r="BK212" s="31" t="n">
        <f aca="false">ROUNDDOWN(K212*設定!$C$14/1000,0)</f>
        <v>0</v>
      </c>
      <c r="BL212" s="31" t="n">
        <f aca="false">ROUNDDOWN(J212*設定!$B$15/1000,0)</f>
        <v>0</v>
      </c>
      <c r="BM212" s="31" t="n">
        <f aca="false">ROUNDDOWN(J212*設定!$C$15/1000,0)</f>
        <v>0</v>
      </c>
      <c r="BN212" s="31" t="n">
        <f aca="false">L212+M212</f>
        <v>43560</v>
      </c>
      <c r="BO212" s="31" t="n">
        <f aca="false">N212+O212+P212</f>
        <v>43598</v>
      </c>
      <c r="BP212" s="31" t="n">
        <f aca="false">Q212</f>
        <v>22818</v>
      </c>
      <c r="BQ212" s="31" t="n">
        <f aca="false">R212</f>
        <v>22840</v>
      </c>
      <c r="BR212" s="31" t="n">
        <f aca="false">S212</f>
        <v>0</v>
      </c>
      <c r="BS212" s="31" t="n">
        <f aca="false">T212</f>
        <v>0</v>
      </c>
      <c r="BT212" s="31" t="n">
        <f aca="false">U212</f>
        <v>506</v>
      </c>
      <c r="BU212" s="31" t="n">
        <f aca="false">V212</f>
        <v>506</v>
      </c>
      <c r="BV212" s="32" t="n">
        <f aca="false">IF(BF212=0,IF(BN212=0,0,1),(BN212-BF212)/BF212)</f>
        <v>1</v>
      </c>
      <c r="BW212" s="32" t="n">
        <f aca="false">IF(BG212=0,IF(BO212=0,0,1),(BO212-BG212)/BG212)</f>
        <v>1</v>
      </c>
      <c r="BX212" s="32" t="n">
        <f aca="false">IF(BH212=0,IF(BP212=0,0,1),(BP212-BH212)/BH212)</f>
        <v>1</v>
      </c>
      <c r="BY212" s="32" t="n">
        <f aca="false">IF(BI212=0,IF(BQ212=0,0,1),(BQ212-BI212)/BI212)</f>
        <v>1</v>
      </c>
      <c r="BZ212" s="32" t="n">
        <f aca="false">IF(BJ212=0,IF(BR212=0,0,1),(BR212-BJ212)/BJ212)</f>
        <v>0</v>
      </c>
      <c r="CA212" s="32" t="n">
        <f aca="false">IF(BK212=0,IF(BS212=0,0,1),(BS212-BK212)/BK212)</f>
        <v>0</v>
      </c>
      <c r="CB212" s="32" t="n">
        <f aca="false">IF(BL212=0,IF(BT212=0,0,1),(BT212-BL212)/BL212)</f>
        <v>1</v>
      </c>
      <c r="CC212" s="32" t="n">
        <f aca="false">IF(BM212=0,IF(BU212=0,0,1),(BU212-BM212)/BM212)</f>
        <v>1</v>
      </c>
      <c r="CD212" s="32" t="n">
        <f aca="false">MAX(MAX(BV212:CC212),-MIN(BV212:CC212))</f>
        <v>1</v>
      </c>
      <c r="CE212" s="31" t="n">
        <f aca="false">IF(CI212="","",SUMIFS($CF$7:$CF$696,$A$7:$A$696,CI212,$B$7:$B$696,B212))</f>
        <v>133828</v>
      </c>
      <c r="CF212" s="31" t="n">
        <f aca="false">SUM(AU212:BE212)</f>
        <v>133828</v>
      </c>
      <c r="CG212" s="33" t="str">
        <f aca="false">A212&amp;"|"&amp;B212</f>
        <v>2026-07 月例|地方公務員災害補償基金本部</v>
      </c>
      <c r="CH212" s="34" t="str">
        <f aca="false">IFERROR(INDEX(設定!$D$61:$D$106,MATCH(B212,設定!$B$61:$B$106,0)),"Y")</f>
        <v>Y</v>
      </c>
      <c r="CI212" s="34" t="str">
        <f aca="false">IFERROR(INDEX(設定!$D$20:$D$34,MATCH(A212,設定!$A$20:$A$34,0))&amp;"","")</f>
        <v>2026-06 月例</v>
      </c>
    </row>
    <row r="213" customFormat="false" ht="15" hidden="true" customHeight="false" outlineLevel="0" collapsed="false">
      <c r="A213" s="22" t="s">
        <v>211</v>
      </c>
      <c r="B213" s="23" t="s">
        <v>183</v>
      </c>
      <c r="C213" s="10" t="str">
        <f aca="false">IF(G213="","未受領",IF(G213="なし","報告なし",IF(AH213="○","起票済",IF(OR(AG213="○",F213="一致",F213="入金不要"),"入金確認済","受領済"))))</f>
        <v>入金確認済</v>
      </c>
      <c r="D213" s="10" t="str">
        <f aca="false">IF(OR(G213="",G213="なし"),"―",IF(CH213="N","対象外",IF(AND(I213="",J213="",K213=""),"標報未入力",IF(CD213&gt;=設定!$B$4,"要確認","問題なし"))))</f>
        <v>標報未入力</v>
      </c>
      <c r="E213" s="24" t="str">
        <f aca="false">IF(OR(G213="",G213="なし",CE213="",CF213=0),"―",IF(CF213=CE213,"前月同額",IF(CE213=0,"―",IF(ABS(CF213/CE213-1)&gt;=設定!$B$5,"変動大 "&amp;TEXT(CF213/CE213-1,"+0%;-0%"),"〇"))))</f>
        <v>前月同額</v>
      </c>
      <c r="F213" s="10" t="str">
        <f aca="false">IF(OR(G213="",G213="なし"),"―",IF(CF213=0,"入金不要",IF(COUNT(Z213,AB213,AD213,AF213)=0,IF(AG213="○","手動確認","未入金"),IF(AND(N(Z213)=Y213,IF(AA213="",TRUE(),N(AB213)=AA213),IF(AC213="",TRUE(),N(AD213)=AC213),IF(AE213="",TRUE(),N(AF213)=AE213)),"一致","不一致"))))</f>
        <v>手動確認</v>
      </c>
      <c r="G213" s="25" t="s">
        <v>159</v>
      </c>
      <c r="H213" s="26"/>
      <c r="I213" s="27"/>
      <c r="J213" s="27"/>
      <c r="K213" s="27"/>
      <c r="L213" s="27" t="n">
        <v>107970</v>
      </c>
      <c r="M213" s="27" t="n">
        <v>8850</v>
      </c>
      <c r="N213" s="27" t="n">
        <v>107970</v>
      </c>
      <c r="O213" s="27" t="n">
        <v>8850</v>
      </c>
      <c r="P213" s="27" t="n">
        <v>102</v>
      </c>
      <c r="Q213" s="27" t="n">
        <v>61194</v>
      </c>
      <c r="R213" s="27" t="n">
        <v>61253</v>
      </c>
      <c r="S213" s="27" t="n">
        <v>9322</v>
      </c>
      <c r="T213" s="27" t="n">
        <v>9322</v>
      </c>
      <c r="U213" s="27" t="n">
        <v>1356</v>
      </c>
      <c r="V213" s="27" t="n">
        <v>1357</v>
      </c>
      <c r="W213" s="10" t="str">
        <f aca="false">IFERROR(INDEX(設定!$E$61:$E$106,MATCH(B213,設定!$B$61:$B$106,0)),"合算")</f>
        <v>合算</v>
      </c>
      <c r="X213" s="28"/>
      <c r="Y213" s="29" t="n">
        <f aca="false">IF(OR(G213="",G213="なし"),"",IF(W213="合算",CF213,IF(W213="掛金・負担金別",(AU213+AV213+AZ213+BB213+BD213),SUM(AU213:AY213))))</f>
        <v>377546</v>
      </c>
      <c r="Z213" s="27"/>
      <c r="AA213" s="29" t="str">
        <f aca="false">IF(OR(G213="",G213="なし"),"",IF(W213="掛金・負担金別",(AW213+AX213+AY213+BA213+BC213+BE213),IF(W213="経理区分別",AZ213+BA213,"")))</f>
        <v/>
      </c>
      <c r="AB213" s="27"/>
      <c r="AC213" s="29" t="str">
        <f aca="false">IF(OR(G213="",G213="なし"),"",IF(W213="経理区分別",BB213+BC213,""))</f>
        <v/>
      </c>
      <c r="AD213" s="27"/>
      <c r="AE213" s="29" t="str">
        <f aca="false">IF(OR(G213="",G213="なし"),"",IF(W213="経理区分別",BD213+BE213,""))</f>
        <v/>
      </c>
      <c r="AF213" s="27"/>
      <c r="AG213" s="26" t="s">
        <v>160</v>
      </c>
      <c r="AH213" s="26"/>
      <c r="AI213" s="30"/>
      <c r="AJ213" s="31"/>
      <c r="AK213" s="31"/>
      <c r="AL213" s="31"/>
      <c r="AM213" s="31"/>
      <c r="AN213" s="31"/>
      <c r="AO213" s="31"/>
      <c r="AP213" s="31"/>
      <c r="AQ213" s="31"/>
      <c r="AR213" s="31"/>
      <c r="AS213" s="31"/>
      <c r="AT213" s="31"/>
      <c r="AU213" s="31" t="n">
        <f aca="false">IF($G213="",AJ213,L213)</f>
        <v>107970</v>
      </c>
      <c r="AV213" s="31" t="n">
        <f aca="false">IF($G213="",AK213,M213)</f>
        <v>8850</v>
      </c>
      <c r="AW213" s="31" t="n">
        <f aca="false">IF($G213="",AL213,N213)</f>
        <v>107970</v>
      </c>
      <c r="AX213" s="31" t="n">
        <f aca="false">IF($G213="",AM213,O213)</f>
        <v>8850</v>
      </c>
      <c r="AY213" s="31" t="n">
        <f aca="false">IF($G213="",AN213,P213)</f>
        <v>102</v>
      </c>
      <c r="AZ213" s="31" t="n">
        <f aca="false">IF($G213="",AO213,Q213)</f>
        <v>61194</v>
      </c>
      <c r="BA213" s="31" t="n">
        <f aca="false">IF($G213="",AP213,R213)</f>
        <v>61253</v>
      </c>
      <c r="BB213" s="31" t="n">
        <f aca="false">IF($G213="",AQ213,S213)</f>
        <v>9322</v>
      </c>
      <c r="BC213" s="31" t="n">
        <f aca="false">IF($G213="",AR213,T213)</f>
        <v>9322</v>
      </c>
      <c r="BD213" s="31" t="n">
        <f aca="false">IF($G213="",AS213,U213)</f>
        <v>1356</v>
      </c>
      <c r="BE213" s="31" t="n">
        <f aca="false">IF($G213="",AT213,V213)</f>
        <v>1357</v>
      </c>
      <c r="BF213" s="31" t="n">
        <f aca="false">ROUNDDOWN(I213*設定!$B$10/1000,0)+ROUNDDOWN(I213*設定!$B$11/1000,0)</f>
        <v>0</v>
      </c>
      <c r="BG213" s="31" t="n">
        <f aca="false">ROUNDDOWN(I213*設定!$C$10/1000,0)+ROUNDDOWN(I213*設定!$C$11/1000,0)+ROUNDDOWN(I213*設定!$C$12/1000,0)</f>
        <v>0</v>
      </c>
      <c r="BH213" s="31" t="n">
        <f aca="false">ROUNDDOWN(J213*設定!$B$13/1000,0)</f>
        <v>0</v>
      </c>
      <c r="BI213" s="31" t="n">
        <f aca="false">ROUNDDOWN(J213*設定!$C$13/1000,0)</f>
        <v>0</v>
      </c>
      <c r="BJ213" s="31" t="n">
        <f aca="false">ROUNDDOWN(K213*設定!$B$14/1000,0)</f>
        <v>0</v>
      </c>
      <c r="BK213" s="31" t="n">
        <f aca="false">ROUNDDOWN(K213*設定!$C$14/1000,0)</f>
        <v>0</v>
      </c>
      <c r="BL213" s="31" t="n">
        <f aca="false">ROUNDDOWN(J213*設定!$B$15/1000,0)</f>
        <v>0</v>
      </c>
      <c r="BM213" s="31" t="n">
        <f aca="false">ROUNDDOWN(J213*設定!$C$15/1000,0)</f>
        <v>0</v>
      </c>
      <c r="BN213" s="31" t="n">
        <f aca="false">L213+M213</f>
        <v>116820</v>
      </c>
      <c r="BO213" s="31" t="n">
        <f aca="false">N213+O213+P213</f>
        <v>116922</v>
      </c>
      <c r="BP213" s="31" t="n">
        <f aca="false">Q213</f>
        <v>61194</v>
      </c>
      <c r="BQ213" s="31" t="n">
        <f aca="false">R213</f>
        <v>61253</v>
      </c>
      <c r="BR213" s="31" t="n">
        <f aca="false">S213</f>
        <v>9322</v>
      </c>
      <c r="BS213" s="31" t="n">
        <f aca="false">T213</f>
        <v>9322</v>
      </c>
      <c r="BT213" s="31" t="n">
        <f aca="false">U213</f>
        <v>1356</v>
      </c>
      <c r="BU213" s="31" t="n">
        <f aca="false">V213</f>
        <v>1357</v>
      </c>
      <c r="BV213" s="32" t="n">
        <f aca="false">IF(BF213=0,IF(BN213=0,0,1),(BN213-BF213)/BF213)</f>
        <v>1</v>
      </c>
      <c r="BW213" s="32" t="n">
        <f aca="false">IF(BG213=0,IF(BO213=0,0,1),(BO213-BG213)/BG213)</f>
        <v>1</v>
      </c>
      <c r="BX213" s="32" t="n">
        <f aca="false">IF(BH213=0,IF(BP213=0,0,1),(BP213-BH213)/BH213)</f>
        <v>1</v>
      </c>
      <c r="BY213" s="32" t="n">
        <f aca="false">IF(BI213=0,IF(BQ213=0,0,1),(BQ213-BI213)/BI213)</f>
        <v>1</v>
      </c>
      <c r="BZ213" s="32" t="n">
        <f aca="false">IF(BJ213=0,IF(BR213=0,0,1),(BR213-BJ213)/BJ213)</f>
        <v>1</v>
      </c>
      <c r="CA213" s="32" t="n">
        <f aca="false">IF(BK213=0,IF(BS213=0,0,1),(BS213-BK213)/BK213)</f>
        <v>1</v>
      </c>
      <c r="CB213" s="32" t="n">
        <f aca="false">IF(BL213=0,IF(BT213=0,0,1),(BT213-BL213)/BL213)</f>
        <v>1</v>
      </c>
      <c r="CC213" s="32" t="n">
        <f aca="false">IF(BM213=0,IF(BU213=0,0,1),(BU213-BM213)/BM213)</f>
        <v>1</v>
      </c>
      <c r="CD213" s="32" t="n">
        <f aca="false">MAX(MAX(BV213:CC213),-MIN(BV213:CC213))</f>
        <v>1</v>
      </c>
      <c r="CE213" s="31" t="n">
        <f aca="false">IF(CI213="","",SUMIFS($CF$7:$CF$696,$A$7:$A$696,CI213,$B$7:$B$696,B213))</f>
        <v>377546</v>
      </c>
      <c r="CF213" s="31" t="n">
        <f aca="false">SUM(AU213:BE213)</f>
        <v>377546</v>
      </c>
      <c r="CG213" s="33" t="str">
        <f aca="false">A213&amp;"|"&amp;B213</f>
        <v>2026-07 月例|救急振興財団</v>
      </c>
      <c r="CH213" s="34" t="str">
        <f aca="false">IFERROR(INDEX(設定!$D$61:$D$106,MATCH(B213,設定!$B$61:$B$106,0)),"Y")</f>
        <v>Y</v>
      </c>
      <c r="CI213" s="34" t="str">
        <f aca="false">IFERROR(INDEX(設定!$D$20:$D$34,MATCH(A213,設定!$A$20:$A$34,0))&amp;"","")</f>
        <v>2026-06 月例</v>
      </c>
    </row>
    <row r="214" customFormat="false" ht="15" hidden="true" customHeight="false" outlineLevel="0" collapsed="false">
      <c r="A214" s="22" t="s">
        <v>211</v>
      </c>
      <c r="B214" s="23" t="s">
        <v>184</v>
      </c>
      <c r="C214" s="10" t="str">
        <f aca="false">IF(G214="","未受領",IF(G214="なし","報告なし",IF(AH214="○","起票済",IF(OR(AG214="○",F214="一致",F214="入金不要"),"入金確認済","受領済"))))</f>
        <v>入金確認済</v>
      </c>
      <c r="D214" s="10" t="str">
        <f aca="false">IF(OR(G214="",G214="なし"),"―",IF(CH214="N","対象外",IF(AND(I214="",J214="",K214=""),"標報未入力",IF(CD214&gt;=設定!$B$4,"要確認","問題なし"))))</f>
        <v>標報未入力</v>
      </c>
      <c r="E214" s="24" t="str">
        <f aca="false">IF(OR(G214="",G214="なし",CE214="",CF214=0),"―",IF(CF214=CE214,"前月同額",IF(CE214=0,"―",IF(ABS(CF214/CE214-1)&gt;=設定!$B$5,"変動大 "&amp;TEXT(CF214/CE214-1,"+0%;-0%"),"〇"))))</f>
        <v>〇</v>
      </c>
      <c r="F214" s="10" t="str">
        <f aca="false">IF(OR(G214="",G214="なし"),"―",IF(CF214=0,"入金不要",IF(COUNT(Z214,AB214,AD214,AF214)=0,IF(AG214="○","手動確認","未入金"),IF(AND(N(Z214)=Y214,IF(AA214="",TRUE(),N(AB214)=AA214),IF(AC214="",TRUE(),N(AD214)=AC214),IF(AE214="",TRUE(),N(AF214)=AE214)),"一致","不一致"))))</f>
        <v>手動確認</v>
      </c>
      <c r="G214" s="25" t="s">
        <v>159</v>
      </c>
      <c r="H214" s="26"/>
      <c r="I214" s="27"/>
      <c r="J214" s="27"/>
      <c r="K214" s="27"/>
      <c r="L214" s="27" t="n">
        <v>755790</v>
      </c>
      <c r="M214" s="27" t="n">
        <v>61950</v>
      </c>
      <c r="N214" s="27" t="n">
        <v>746877</v>
      </c>
      <c r="O214" s="27" t="n">
        <v>61950</v>
      </c>
      <c r="P214" s="27" t="n">
        <v>753</v>
      </c>
      <c r="Q214" s="27" t="n">
        <v>428357</v>
      </c>
      <c r="R214" s="27" t="n">
        <v>437689</v>
      </c>
      <c r="S214" s="27" t="n">
        <v>39816</v>
      </c>
      <c r="T214" s="27" t="n">
        <v>39816</v>
      </c>
      <c r="U214" s="27" t="n">
        <v>9495</v>
      </c>
      <c r="V214" s="27" t="n">
        <v>9499</v>
      </c>
      <c r="W214" s="10" t="str">
        <f aca="false">IFERROR(INDEX(設定!$E$61:$E$106,MATCH(B214,設定!$B$61:$B$106,0)),"合算")</f>
        <v>合算</v>
      </c>
      <c r="X214" s="28"/>
      <c r="Y214" s="29" t="n">
        <f aca="false">IF(OR(G214="",G214="なし"),"",IF(W214="合算",CF214,IF(W214="掛金・負担金別",(AU214+AV214+AZ214+BB214+BD214),SUM(AU214:AY214))))</f>
        <v>2591992</v>
      </c>
      <c r="Z214" s="27"/>
      <c r="AA214" s="29" t="str">
        <f aca="false">IF(OR(G214="",G214="なし"),"",IF(W214="掛金・負担金別",(AW214+AX214+AY214+BA214+BC214+BE214),IF(W214="経理区分別",AZ214+BA214,"")))</f>
        <v/>
      </c>
      <c r="AB214" s="27"/>
      <c r="AC214" s="29" t="str">
        <f aca="false">IF(OR(G214="",G214="なし"),"",IF(W214="経理区分別",BB214+BC214,""))</f>
        <v/>
      </c>
      <c r="AD214" s="27"/>
      <c r="AE214" s="29" t="str">
        <f aca="false">IF(OR(G214="",G214="なし"),"",IF(W214="経理区分別",BD214+BE214,""))</f>
        <v/>
      </c>
      <c r="AF214" s="27"/>
      <c r="AG214" s="26" t="s">
        <v>160</v>
      </c>
      <c r="AH214" s="26"/>
      <c r="AI214" s="30"/>
      <c r="AJ214" s="31"/>
      <c r="AK214" s="31"/>
      <c r="AL214" s="31"/>
      <c r="AM214" s="31"/>
      <c r="AN214" s="31"/>
      <c r="AO214" s="31"/>
      <c r="AP214" s="31"/>
      <c r="AQ214" s="31"/>
      <c r="AR214" s="31"/>
      <c r="AS214" s="31"/>
      <c r="AT214" s="31"/>
      <c r="AU214" s="31" t="n">
        <f aca="false">IF($G214="",AJ214,L214)</f>
        <v>755790</v>
      </c>
      <c r="AV214" s="31" t="n">
        <f aca="false">IF($G214="",AK214,M214)</f>
        <v>61950</v>
      </c>
      <c r="AW214" s="31" t="n">
        <f aca="false">IF($G214="",AL214,N214)</f>
        <v>746877</v>
      </c>
      <c r="AX214" s="31" t="n">
        <f aca="false">IF($G214="",AM214,O214)</f>
        <v>61950</v>
      </c>
      <c r="AY214" s="31" t="n">
        <f aca="false">IF($G214="",AN214,P214)</f>
        <v>753</v>
      </c>
      <c r="AZ214" s="31" t="n">
        <f aca="false">IF($G214="",AO214,Q214)</f>
        <v>428357</v>
      </c>
      <c r="BA214" s="31" t="n">
        <f aca="false">IF($G214="",AP214,R214)</f>
        <v>437689</v>
      </c>
      <c r="BB214" s="31" t="n">
        <f aca="false">IF($G214="",AQ214,S214)</f>
        <v>39816</v>
      </c>
      <c r="BC214" s="31" t="n">
        <f aca="false">IF($G214="",AR214,T214)</f>
        <v>39816</v>
      </c>
      <c r="BD214" s="31" t="n">
        <f aca="false">IF($G214="",AS214,U214)</f>
        <v>9495</v>
      </c>
      <c r="BE214" s="31" t="n">
        <f aca="false">IF($G214="",AT214,V214)</f>
        <v>9499</v>
      </c>
      <c r="BF214" s="31" t="n">
        <f aca="false">ROUNDDOWN(I214*設定!$B$10/1000,0)+ROUNDDOWN(I214*設定!$B$11/1000,0)</f>
        <v>0</v>
      </c>
      <c r="BG214" s="31" t="n">
        <f aca="false">ROUNDDOWN(I214*設定!$C$10/1000,0)+ROUNDDOWN(I214*設定!$C$11/1000,0)+ROUNDDOWN(I214*設定!$C$12/1000,0)</f>
        <v>0</v>
      </c>
      <c r="BH214" s="31" t="n">
        <f aca="false">ROUNDDOWN(J214*設定!$B$13/1000,0)</f>
        <v>0</v>
      </c>
      <c r="BI214" s="31" t="n">
        <f aca="false">ROUNDDOWN(J214*設定!$C$13/1000,0)</f>
        <v>0</v>
      </c>
      <c r="BJ214" s="31" t="n">
        <f aca="false">ROUNDDOWN(K214*設定!$B$14/1000,0)</f>
        <v>0</v>
      </c>
      <c r="BK214" s="31" t="n">
        <f aca="false">ROUNDDOWN(K214*設定!$C$14/1000,0)</f>
        <v>0</v>
      </c>
      <c r="BL214" s="31" t="n">
        <f aca="false">ROUNDDOWN(J214*設定!$B$15/1000,0)</f>
        <v>0</v>
      </c>
      <c r="BM214" s="31" t="n">
        <f aca="false">ROUNDDOWN(J214*設定!$C$15/1000,0)</f>
        <v>0</v>
      </c>
      <c r="BN214" s="31" t="n">
        <f aca="false">L214+M214</f>
        <v>817740</v>
      </c>
      <c r="BO214" s="31" t="n">
        <f aca="false">N214+O214+P214</f>
        <v>809580</v>
      </c>
      <c r="BP214" s="31" t="n">
        <f aca="false">Q214</f>
        <v>428357</v>
      </c>
      <c r="BQ214" s="31" t="n">
        <f aca="false">R214</f>
        <v>437689</v>
      </c>
      <c r="BR214" s="31" t="n">
        <f aca="false">S214</f>
        <v>39816</v>
      </c>
      <c r="BS214" s="31" t="n">
        <f aca="false">T214</f>
        <v>39816</v>
      </c>
      <c r="BT214" s="31" t="n">
        <f aca="false">U214</f>
        <v>9495</v>
      </c>
      <c r="BU214" s="31" t="n">
        <f aca="false">V214</f>
        <v>9499</v>
      </c>
      <c r="BV214" s="32" t="n">
        <f aca="false">IF(BF214=0,IF(BN214=0,0,1),(BN214-BF214)/BF214)</f>
        <v>1</v>
      </c>
      <c r="BW214" s="32" t="n">
        <f aca="false">IF(BG214=0,IF(BO214=0,0,1),(BO214-BG214)/BG214)</f>
        <v>1</v>
      </c>
      <c r="BX214" s="32" t="n">
        <f aca="false">IF(BH214=0,IF(BP214=0,0,1),(BP214-BH214)/BH214)</f>
        <v>1</v>
      </c>
      <c r="BY214" s="32" t="n">
        <f aca="false">IF(BI214=0,IF(BQ214=0,0,1),(BQ214-BI214)/BI214)</f>
        <v>1</v>
      </c>
      <c r="BZ214" s="32" t="n">
        <f aca="false">IF(BJ214=0,IF(BR214=0,0,1),(BR214-BJ214)/BJ214)</f>
        <v>1</v>
      </c>
      <c r="CA214" s="32" t="n">
        <f aca="false">IF(BK214=0,IF(BS214=0,0,1),(BS214-BK214)/BK214)</f>
        <v>1</v>
      </c>
      <c r="CB214" s="32" t="n">
        <f aca="false">IF(BL214=0,IF(BT214=0,0,1),(BT214-BL214)/BL214)</f>
        <v>1</v>
      </c>
      <c r="CC214" s="32" t="n">
        <f aca="false">IF(BM214=0,IF(BU214=0,0,1),(BU214-BM214)/BM214)</f>
        <v>1</v>
      </c>
      <c r="CD214" s="32" t="n">
        <f aca="false">MAX(MAX(BV214:CC214),-MIN(BV214:CC214))</f>
        <v>1</v>
      </c>
      <c r="CE214" s="31" t="n">
        <f aca="false">IF(CI214="","",SUMIFS($CF$7:$CF$696,$A$7:$A$696,CI214,$B$7:$B$696,B214))</f>
        <v>2498225</v>
      </c>
      <c r="CF214" s="31" t="n">
        <f aca="false">SUM(AU214:BE214)</f>
        <v>2591992</v>
      </c>
      <c r="CG214" s="33" t="str">
        <f aca="false">A214&amp;"|"&amp;B214</f>
        <v>2026-07 月例|高速道路公社</v>
      </c>
      <c r="CH214" s="34" t="str">
        <f aca="false">IFERROR(INDEX(設定!$D$61:$D$106,MATCH(B214,設定!$B$61:$B$106,0)),"Y")</f>
        <v>Y</v>
      </c>
      <c r="CI214" s="34" t="str">
        <f aca="false">IFERROR(INDEX(設定!$D$20:$D$34,MATCH(A214,設定!$A$20:$A$34,0))&amp;"","")</f>
        <v>2026-06 月例</v>
      </c>
    </row>
    <row r="215" customFormat="false" ht="15" hidden="true" customHeight="false" outlineLevel="0" collapsed="false">
      <c r="A215" s="22" t="s">
        <v>211</v>
      </c>
      <c r="B215" s="23" t="s">
        <v>185</v>
      </c>
      <c r="C215" s="10" t="str">
        <f aca="false">IF(G215="","未受領",IF(G215="なし","報告なし",IF(AH215="○","起票済",IF(OR(AG215="○",F215="一致",F215="入金不要"),"入金確認済","受領済"))))</f>
        <v>入金確認済</v>
      </c>
      <c r="D215" s="10" t="str">
        <f aca="false">IF(OR(G215="",G215="なし"),"―",IF(CH215="N","対象外",IF(AND(I215="",J215="",K215=""),"標報未入力",IF(CD215&gt;=設定!$B$4,"要確認","問題なし"))))</f>
        <v>標報未入力</v>
      </c>
      <c r="E215" s="24" t="str">
        <f aca="false">IF(OR(G215="",G215="なし",CE215="",CF215=0),"―",IF(CF215=CE215,"前月同額",IF(CE215=0,"―",IF(ABS(CF215/CE215-1)&gt;=設定!$B$5,"変動大 "&amp;TEXT(CF215/CE215-1,"+0%;-0%"),"〇"))))</f>
        <v>〇</v>
      </c>
      <c r="F215" s="10" t="str">
        <f aca="false">IF(OR(G215="",G215="なし"),"―",IF(CF215=0,"入金不要",IF(COUNT(Z215,AB215,AD215,AF215)=0,IF(AG215="○","手動確認","未入金"),IF(AND(N(Z215)=Y215,IF(AA215="",TRUE(),N(AB215)=AA215),IF(AC215="",TRUE(),N(AD215)=AC215),IF(AE215="",TRUE(),N(AF215)=AE215)),"一致","不一致"))))</f>
        <v>手動確認</v>
      </c>
      <c r="G215" s="25" t="s">
        <v>159</v>
      </c>
      <c r="H215" s="26"/>
      <c r="I215" s="27"/>
      <c r="J215" s="27"/>
      <c r="K215" s="27"/>
      <c r="L215" s="27"/>
      <c r="M215" s="27"/>
      <c r="N215" s="27" t="n">
        <v>582855</v>
      </c>
      <c r="O215" s="27" t="n">
        <v>47775</v>
      </c>
      <c r="P215" s="27" t="n">
        <v>579</v>
      </c>
      <c r="Q215" s="27"/>
      <c r="R215" s="27" t="n">
        <v>330681</v>
      </c>
      <c r="S215" s="27"/>
      <c r="T215" s="27" t="n">
        <v>28203</v>
      </c>
      <c r="U215" s="27"/>
      <c r="V215" s="27" t="n">
        <v>7324</v>
      </c>
      <c r="W215" s="10" t="str">
        <f aca="false">IFERROR(INDEX(設定!$E$61:$E$106,MATCH(B215,設定!$B$61:$B$106,0)),"合算")</f>
        <v>合算</v>
      </c>
      <c r="X215" s="28"/>
      <c r="Y215" s="29" t="n">
        <f aca="false">IF(OR(G215="",G215="なし"),"",IF(W215="合算",CF215,IF(W215="掛金・負担金別",(AU215+AV215+AZ215+BB215+BD215),SUM(AU215:AY215))))</f>
        <v>997417</v>
      </c>
      <c r="Z215" s="27"/>
      <c r="AA215" s="29" t="str">
        <f aca="false">IF(OR(G215="",G215="なし"),"",IF(W215="掛金・負担金別",(AW215+AX215+AY215+BA215+BC215+BE215),IF(W215="経理区分別",AZ215+BA215,"")))</f>
        <v/>
      </c>
      <c r="AB215" s="27"/>
      <c r="AC215" s="29" t="str">
        <f aca="false">IF(OR(G215="",G215="なし"),"",IF(W215="経理区分別",BB215+BC215,""))</f>
        <v/>
      </c>
      <c r="AD215" s="27"/>
      <c r="AE215" s="29" t="str">
        <f aca="false">IF(OR(G215="",G215="なし"),"",IF(W215="経理区分別",BD215+BE215,""))</f>
        <v/>
      </c>
      <c r="AF215" s="27"/>
      <c r="AG215" s="26" t="s">
        <v>160</v>
      </c>
      <c r="AH215" s="26"/>
      <c r="AI215" s="30"/>
      <c r="AJ215" s="31"/>
      <c r="AK215" s="31"/>
      <c r="AL215" s="31"/>
      <c r="AM215" s="31"/>
      <c r="AN215" s="31"/>
      <c r="AO215" s="31"/>
      <c r="AP215" s="31"/>
      <c r="AQ215" s="31"/>
      <c r="AR215" s="31"/>
      <c r="AS215" s="31"/>
      <c r="AT215" s="31"/>
      <c r="AU215" s="31" t="n">
        <f aca="false">IF($G215="",AJ215,L215)</f>
        <v>0</v>
      </c>
      <c r="AV215" s="31" t="n">
        <f aca="false">IF($G215="",AK215,M215)</f>
        <v>0</v>
      </c>
      <c r="AW215" s="31" t="n">
        <f aca="false">IF($G215="",AL215,N215)</f>
        <v>582855</v>
      </c>
      <c r="AX215" s="31" t="n">
        <f aca="false">IF($G215="",AM215,O215)</f>
        <v>47775</v>
      </c>
      <c r="AY215" s="31" t="n">
        <f aca="false">IF($G215="",AN215,P215)</f>
        <v>579</v>
      </c>
      <c r="AZ215" s="31" t="n">
        <f aca="false">IF($G215="",AO215,Q215)</f>
        <v>0</v>
      </c>
      <c r="BA215" s="31" t="n">
        <f aca="false">IF($G215="",AP215,R215)</f>
        <v>330681</v>
      </c>
      <c r="BB215" s="31" t="n">
        <f aca="false">IF($G215="",AQ215,S215)</f>
        <v>0</v>
      </c>
      <c r="BC215" s="31" t="n">
        <f aca="false">IF($G215="",AR215,T215)</f>
        <v>28203</v>
      </c>
      <c r="BD215" s="31" t="n">
        <f aca="false">IF($G215="",AS215,U215)</f>
        <v>0</v>
      </c>
      <c r="BE215" s="31" t="n">
        <f aca="false">IF($G215="",AT215,V215)</f>
        <v>7324</v>
      </c>
      <c r="BF215" s="31" t="n">
        <f aca="false">ROUNDDOWN(I215*設定!$B$10/1000,0)+ROUNDDOWN(I215*設定!$B$11/1000,0)</f>
        <v>0</v>
      </c>
      <c r="BG215" s="31" t="n">
        <f aca="false">ROUNDDOWN(I215*設定!$C$10/1000,0)+ROUNDDOWN(I215*設定!$C$11/1000,0)+ROUNDDOWN(I215*設定!$C$12/1000,0)</f>
        <v>0</v>
      </c>
      <c r="BH215" s="31" t="n">
        <f aca="false">ROUNDDOWN(J215*設定!$B$13/1000,0)</f>
        <v>0</v>
      </c>
      <c r="BI215" s="31" t="n">
        <f aca="false">ROUNDDOWN(J215*設定!$C$13/1000,0)</f>
        <v>0</v>
      </c>
      <c r="BJ215" s="31" t="n">
        <f aca="false">ROUNDDOWN(K215*設定!$B$14/1000,0)</f>
        <v>0</v>
      </c>
      <c r="BK215" s="31" t="n">
        <f aca="false">ROUNDDOWN(K215*設定!$C$14/1000,0)</f>
        <v>0</v>
      </c>
      <c r="BL215" s="31" t="n">
        <f aca="false">ROUNDDOWN(J215*設定!$B$15/1000,0)</f>
        <v>0</v>
      </c>
      <c r="BM215" s="31" t="n">
        <f aca="false">ROUNDDOWN(J215*設定!$C$15/1000,0)</f>
        <v>0</v>
      </c>
      <c r="BN215" s="31" t="n">
        <f aca="false">L215+M215</f>
        <v>0</v>
      </c>
      <c r="BO215" s="31" t="n">
        <f aca="false">N215+O215+P215</f>
        <v>631209</v>
      </c>
      <c r="BP215" s="31" t="n">
        <f aca="false">Q215</f>
        <v>0</v>
      </c>
      <c r="BQ215" s="31" t="n">
        <f aca="false">R215</f>
        <v>330681</v>
      </c>
      <c r="BR215" s="31" t="n">
        <f aca="false">S215</f>
        <v>0</v>
      </c>
      <c r="BS215" s="31" t="n">
        <f aca="false">T215</f>
        <v>28203</v>
      </c>
      <c r="BT215" s="31" t="n">
        <f aca="false">U215</f>
        <v>0</v>
      </c>
      <c r="BU215" s="31" t="n">
        <f aca="false">V215</f>
        <v>7324</v>
      </c>
      <c r="BV215" s="32" t="n">
        <f aca="false">IF(BF215=0,IF(BN215=0,0,1),(BN215-BF215)/BF215)</f>
        <v>0</v>
      </c>
      <c r="BW215" s="32" t="n">
        <f aca="false">IF(BG215=0,IF(BO215=0,0,1),(BO215-BG215)/BG215)</f>
        <v>1</v>
      </c>
      <c r="BX215" s="32" t="n">
        <f aca="false">IF(BH215=0,IF(BP215=0,0,1),(BP215-BH215)/BH215)</f>
        <v>0</v>
      </c>
      <c r="BY215" s="32" t="n">
        <f aca="false">IF(BI215=0,IF(BQ215=0,0,1),(BQ215-BI215)/BI215)</f>
        <v>1</v>
      </c>
      <c r="BZ215" s="32" t="n">
        <f aca="false">IF(BJ215=0,IF(BR215=0,0,1),(BR215-BJ215)/BJ215)</f>
        <v>0</v>
      </c>
      <c r="CA215" s="32" t="n">
        <f aca="false">IF(BK215=0,IF(BS215=0,0,1),(BS215-BK215)/BK215)</f>
        <v>1</v>
      </c>
      <c r="CB215" s="32" t="n">
        <f aca="false">IF(BL215=0,IF(BT215=0,0,1),(BT215-BL215)/BL215)</f>
        <v>0</v>
      </c>
      <c r="CC215" s="32" t="n">
        <f aca="false">IF(BM215=0,IF(BU215=0,0,1),(BU215-BM215)/BM215)</f>
        <v>1</v>
      </c>
      <c r="CD215" s="32" t="n">
        <f aca="false">MAX(MAX(BV215:CC215),-MIN(BV215:CC215))</f>
        <v>1</v>
      </c>
      <c r="CE215" s="31" t="n">
        <f aca="false">IF(CI215="","",SUMIFS($CF$7:$CF$696,$A$7:$A$696,CI215,$B$7:$B$696,B215))</f>
        <v>1038497</v>
      </c>
      <c r="CF215" s="31" t="n">
        <f aca="false">SUM(AU215:BE215)</f>
        <v>997417</v>
      </c>
      <c r="CG215" s="33" t="str">
        <f aca="false">A215&amp;"|"&amp;B215</f>
        <v>2026-07 月例|農林水産振興センタ</v>
      </c>
      <c r="CH215" s="34" t="str">
        <f aca="false">IFERROR(INDEX(設定!$D$61:$D$106,MATCH(B215,設定!$B$61:$B$106,0)),"Y")</f>
        <v>Y</v>
      </c>
      <c r="CI215" s="34" t="str">
        <f aca="false">IFERROR(INDEX(設定!$D$20:$D$34,MATCH(A215,設定!$A$20:$A$34,0))&amp;"","")</f>
        <v>2026-06 月例</v>
      </c>
    </row>
    <row r="216" customFormat="false" ht="15" hidden="true" customHeight="false" outlineLevel="0" collapsed="false">
      <c r="A216" s="22" t="s">
        <v>211</v>
      </c>
      <c r="B216" s="23" t="s">
        <v>186</v>
      </c>
      <c r="C216" s="10" t="str">
        <f aca="false">IF(G216="","未受領",IF(G216="なし","報告なし",IF(AH216="○","起票済",IF(OR(AG216="○",F216="一致",F216="入金不要"),"入金確認済","受領済"))))</f>
        <v>入金確認済</v>
      </c>
      <c r="D216" s="10" t="str">
        <f aca="false">IF(OR(G216="",G216="なし"),"―",IF(CH216="N","対象外",IF(AND(I216="",J216="",K216=""),"標報未入力",IF(CD216&gt;=設定!$B$4,"要確認","問題なし"))))</f>
        <v>標報未入力</v>
      </c>
      <c r="E216" s="24" t="str">
        <f aca="false">IF(OR(G216="",G216="なし",CE216="",CF216=0),"―",IF(CF216=CE216,"前月同額",IF(CE216=0,"―",IF(ABS(CF216/CE216-1)&gt;=設定!$B$5,"変動大 "&amp;TEXT(CF216/CE216-1,"+0%;-0%"),"〇"))))</f>
        <v>〇</v>
      </c>
      <c r="F216" s="10" t="str">
        <f aca="false">IF(OR(G216="",G216="なし"),"―",IF(CF216=0,"入金不要",IF(COUNT(Z216,AB216,AD216,AF216)=0,IF(AG216="○","手動確認","未入金"),IF(AND(N(Z216)=Y216,IF(AA216="",TRUE(),N(AB216)=AA216),IF(AC216="",TRUE(),N(AD216)=AC216),IF(AE216="",TRUE(),N(AF216)=AE216)),"一致","不一致"))))</f>
        <v>手動確認</v>
      </c>
      <c r="G216" s="25" t="s">
        <v>159</v>
      </c>
      <c r="H216" s="26"/>
      <c r="I216" s="27"/>
      <c r="J216" s="27"/>
      <c r="K216" s="27"/>
      <c r="L216" s="27"/>
      <c r="M216" s="27"/>
      <c r="N216" s="27" t="n">
        <v>1056825</v>
      </c>
      <c r="O216" s="27" t="n">
        <v>86625</v>
      </c>
      <c r="P216" s="27" t="n">
        <v>1000</v>
      </c>
      <c r="Q216" s="27"/>
      <c r="R216" s="27" t="n">
        <v>606306</v>
      </c>
      <c r="S216" s="27"/>
      <c r="T216" s="27" t="n">
        <v>86900</v>
      </c>
      <c r="U216" s="27"/>
      <c r="V216" s="27" t="n">
        <v>13430</v>
      </c>
      <c r="W216" s="10" t="str">
        <f aca="false">IFERROR(INDEX(設定!$E$61:$E$106,MATCH(B216,設定!$B$61:$B$106,0)),"合算")</f>
        <v>合算</v>
      </c>
      <c r="X216" s="28"/>
      <c r="Y216" s="29" t="n">
        <f aca="false">IF(OR(G216="",G216="なし"),"",IF(W216="合算",CF216,IF(W216="掛金・負担金別",(AU216+AV216+AZ216+BB216+BD216),SUM(AU216:AY216))))</f>
        <v>1851086</v>
      </c>
      <c r="Z216" s="27"/>
      <c r="AA216" s="29" t="str">
        <f aca="false">IF(OR(G216="",G216="なし"),"",IF(W216="掛金・負担金別",(AW216+AX216+AY216+BA216+BC216+BE216),IF(W216="経理区分別",AZ216+BA216,"")))</f>
        <v/>
      </c>
      <c r="AB216" s="27"/>
      <c r="AC216" s="29" t="str">
        <f aca="false">IF(OR(G216="",G216="なし"),"",IF(W216="経理区分別",BB216+BC216,""))</f>
        <v/>
      </c>
      <c r="AD216" s="27"/>
      <c r="AE216" s="29" t="str">
        <f aca="false">IF(OR(G216="",G216="なし"),"",IF(W216="経理区分別",BD216+BE216,""))</f>
        <v/>
      </c>
      <c r="AF216" s="27"/>
      <c r="AG216" s="26" t="s">
        <v>160</v>
      </c>
      <c r="AH216" s="26"/>
      <c r="AI216" s="30"/>
      <c r="AJ216" s="31"/>
      <c r="AK216" s="31"/>
      <c r="AL216" s="31"/>
      <c r="AM216" s="31"/>
      <c r="AN216" s="31"/>
      <c r="AO216" s="31"/>
      <c r="AP216" s="31"/>
      <c r="AQ216" s="31"/>
      <c r="AR216" s="31"/>
      <c r="AS216" s="31"/>
      <c r="AT216" s="31"/>
      <c r="AU216" s="31" t="n">
        <f aca="false">IF($G216="",AJ216,L216)</f>
        <v>0</v>
      </c>
      <c r="AV216" s="31" t="n">
        <f aca="false">IF($G216="",AK216,M216)</f>
        <v>0</v>
      </c>
      <c r="AW216" s="31" t="n">
        <f aca="false">IF($G216="",AL216,N216)</f>
        <v>1056825</v>
      </c>
      <c r="AX216" s="31" t="n">
        <f aca="false">IF($G216="",AM216,O216)</f>
        <v>86625</v>
      </c>
      <c r="AY216" s="31" t="n">
        <f aca="false">IF($G216="",AN216,P216)</f>
        <v>1000</v>
      </c>
      <c r="AZ216" s="31" t="n">
        <f aca="false">IF($G216="",AO216,Q216)</f>
        <v>0</v>
      </c>
      <c r="BA216" s="31" t="n">
        <f aca="false">IF($G216="",AP216,R216)</f>
        <v>606306</v>
      </c>
      <c r="BB216" s="31" t="n">
        <f aca="false">IF($G216="",AQ216,S216)</f>
        <v>0</v>
      </c>
      <c r="BC216" s="31" t="n">
        <f aca="false">IF($G216="",AR216,T216)</f>
        <v>86900</v>
      </c>
      <c r="BD216" s="31" t="n">
        <f aca="false">IF($G216="",AS216,U216)</f>
        <v>0</v>
      </c>
      <c r="BE216" s="31" t="n">
        <f aca="false">IF($G216="",AT216,V216)</f>
        <v>13430</v>
      </c>
      <c r="BF216" s="31" t="n">
        <f aca="false">ROUNDDOWN(I216*設定!$B$10/1000,0)+ROUNDDOWN(I216*設定!$B$11/1000,0)</f>
        <v>0</v>
      </c>
      <c r="BG216" s="31" t="n">
        <f aca="false">ROUNDDOWN(I216*設定!$C$10/1000,0)+ROUNDDOWN(I216*設定!$C$11/1000,0)+ROUNDDOWN(I216*設定!$C$12/1000,0)</f>
        <v>0</v>
      </c>
      <c r="BH216" s="31" t="n">
        <f aca="false">ROUNDDOWN(J216*設定!$B$13/1000,0)</f>
        <v>0</v>
      </c>
      <c r="BI216" s="31" t="n">
        <f aca="false">ROUNDDOWN(J216*設定!$C$13/1000,0)</f>
        <v>0</v>
      </c>
      <c r="BJ216" s="31" t="n">
        <f aca="false">ROUNDDOWN(K216*設定!$B$14/1000,0)</f>
        <v>0</v>
      </c>
      <c r="BK216" s="31" t="n">
        <f aca="false">ROUNDDOWN(K216*設定!$C$14/1000,0)</f>
        <v>0</v>
      </c>
      <c r="BL216" s="31" t="n">
        <f aca="false">ROUNDDOWN(J216*設定!$B$15/1000,0)</f>
        <v>0</v>
      </c>
      <c r="BM216" s="31" t="n">
        <f aca="false">ROUNDDOWN(J216*設定!$C$15/1000,0)</f>
        <v>0</v>
      </c>
      <c r="BN216" s="31" t="n">
        <f aca="false">L216+M216</f>
        <v>0</v>
      </c>
      <c r="BO216" s="31" t="n">
        <f aca="false">N216+O216+P216</f>
        <v>1144450</v>
      </c>
      <c r="BP216" s="31" t="n">
        <f aca="false">Q216</f>
        <v>0</v>
      </c>
      <c r="BQ216" s="31" t="n">
        <f aca="false">R216</f>
        <v>606306</v>
      </c>
      <c r="BR216" s="31" t="n">
        <f aca="false">S216</f>
        <v>0</v>
      </c>
      <c r="BS216" s="31" t="n">
        <f aca="false">T216</f>
        <v>86900</v>
      </c>
      <c r="BT216" s="31" t="n">
        <f aca="false">U216</f>
        <v>0</v>
      </c>
      <c r="BU216" s="31" t="n">
        <f aca="false">V216</f>
        <v>13430</v>
      </c>
      <c r="BV216" s="32" t="n">
        <f aca="false">IF(BF216=0,IF(BN216=0,0,1),(BN216-BF216)/BF216)</f>
        <v>0</v>
      </c>
      <c r="BW216" s="32" t="n">
        <f aca="false">IF(BG216=0,IF(BO216=0,0,1),(BO216-BG216)/BG216)</f>
        <v>1</v>
      </c>
      <c r="BX216" s="32" t="n">
        <f aca="false">IF(BH216=0,IF(BP216=0,0,1),(BP216-BH216)/BH216)</f>
        <v>0</v>
      </c>
      <c r="BY216" s="32" t="n">
        <f aca="false">IF(BI216=0,IF(BQ216=0,0,1),(BQ216-BI216)/BI216)</f>
        <v>1</v>
      </c>
      <c r="BZ216" s="32" t="n">
        <f aca="false">IF(BJ216=0,IF(BR216=0,0,1),(BR216-BJ216)/BJ216)</f>
        <v>0</v>
      </c>
      <c r="CA216" s="32" t="n">
        <f aca="false">IF(BK216=0,IF(BS216=0,0,1),(BS216-BK216)/BK216)</f>
        <v>1</v>
      </c>
      <c r="CB216" s="32" t="n">
        <f aca="false">IF(BL216=0,IF(BT216=0,0,1),(BT216-BL216)/BL216)</f>
        <v>0</v>
      </c>
      <c r="CC216" s="32" t="n">
        <f aca="false">IF(BM216=0,IF(BU216=0,0,1),(BU216-BM216)/BM216)</f>
        <v>1</v>
      </c>
      <c r="CD216" s="32" t="n">
        <f aca="false">MAX(MAX(BV216:CC216),-MIN(BV216:CC216))</f>
        <v>1</v>
      </c>
      <c r="CE216" s="31" t="n">
        <f aca="false">IF(CI216="","",SUMIFS($CF$7:$CF$696,$A$7:$A$696,CI216,$B$7:$B$696,B216))</f>
        <v>1846819</v>
      </c>
      <c r="CF216" s="31" t="n">
        <f aca="false">SUM(AU216:BE216)</f>
        <v>1851086</v>
      </c>
      <c r="CG216" s="33" t="str">
        <f aca="false">A216&amp;"|"&amp;B216</f>
        <v>2026-07 月例|文化財団　市長部局</v>
      </c>
      <c r="CH216" s="34" t="str">
        <f aca="false">IFERROR(INDEX(設定!$D$61:$D$106,MATCH(B216,設定!$B$61:$B$106,0)),"Y")</f>
        <v>Y</v>
      </c>
      <c r="CI216" s="34" t="str">
        <f aca="false">IFERROR(INDEX(設定!$D$20:$D$34,MATCH(A216,設定!$A$20:$A$34,0))&amp;"","")</f>
        <v>2026-06 月例</v>
      </c>
    </row>
    <row r="217" customFormat="false" ht="15" hidden="true" customHeight="false" outlineLevel="0" collapsed="false">
      <c r="A217" s="22" t="s">
        <v>211</v>
      </c>
      <c r="B217" s="23" t="s">
        <v>187</v>
      </c>
      <c r="C217" s="10" t="str">
        <f aca="false">IF(G217="","未受領",IF(G217="なし","報告なし",IF(AH217="○","起票済",IF(OR(AG217="○",F217="一致",F217="入金不要"),"入金確認済","受領済"))))</f>
        <v>入金確認済</v>
      </c>
      <c r="D217" s="10" t="str">
        <f aca="false">IF(OR(G217="",G217="なし"),"―",IF(CH217="N","対象外",IF(AND(I217="",J217="",K217=""),"標報未入力",IF(CD217&gt;=設定!$B$4,"要確認","問題なし"))))</f>
        <v>標報未入力</v>
      </c>
      <c r="E217" s="24" t="str">
        <f aca="false">IF(OR(G217="",G217="なし",CE217="",CF217=0),"―",IF(CF217=CE217,"前月同額",IF(CE217=0,"―",IF(ABS(CF217/CE217-1)&gt;=設定!$B$5,"変動大 "&amp;TEXT(CF217/CE217-1,"+0%;-0%"),"〇"))))</f>
        <v>―</v>
      </c>
      <c r="F217" s="10" t="str">
        <f aca="false">IF(OR(G217="",G217="なし"),"―",IF(CF217=0,"入金不要",IF(COUNT(Z217,AB217,AD217,AF217)=0,IF(AG217="○","手動確認","未入金"),IF(AND(N(Z217)=Y217,IF(AA217="",TRUE(),N(AB217)=AA217),IF(AC217="",TRUE(),N(AD217)=AC217),IF(AE217="",TRUE(),N(AF217)=AE217)),"一致","不一致"))))</f>
        <v>入金不要</v>
      </c>
      <c r="G217" s="25" t="s">
        <v>159</v>
      </c>
      <c r="H217" s="26"/>
      <c r="I217" s="27"/>
      <c r="J217" s="27"/>
      <c r="K217" s="27"/>
      <c r="L217" s="27"/>
      <c r="M217" s="27"/>
      <c r="N217" s="27" t="n">
        <v>0</v>
      </c>
      <c r="O217" s="27" t="n">
        <v>0</v>
      </c>
      <c r="P217" s="27" t="n">
        <v>0</v>
      </c>
      <c r="Q217" s="27"/>
      <c r="R217" s="27" t="n">
        <v>0</v>
      </c>
      <c r="S217" s="27"/>
      <c r="T217" s="27" t="n">
        <v>0</v>
      </c>
      <c r="U217" s="27"/>
      <c r="V217" s="27" t="n">
        <v>0</v>
      </c>
      <c r="W217" s="10" t="str">
        <f aca="false">IFERROR(INDEX(設定!$E$61:$E$106,MATCH(B217,設定!$B$61:$B$106,0)),"合算")</f>
        <v>合算</v>
      </c>
      <c r="X217" s="28"/>
      <c r="Y217" s="29" t="n">
        <f aca="false">IF(OR(G217="",G217="なし"),"",IF(W217="合算",CF217,IF(W217="掛金・負担金別",(AU217+AV217+AZ217+BB217+BD217),SUM(AU217:AY217))))</f>
        <v>0</v>
      </c>
      <c r="Z217" s="27"/>
      <c r="AA217" s="29" t="str">
        <f aca="false">IF(OR(G217="",G217="なし"),"",IF(W217="掛金・負担金別",(AW217+AX217+AY217+BA217+BC217+BE217),IF(W217="経理区分別",AZ217+BA217,"")))</f>
        <v/>
      </c>
      <c r="AB217" s="27"/>
      <c r="AC217" s="29" t="str">
        <f aca="false">IF(OR(G217="",G217="なし"),"",IF(W217="経理区分別",BB217+BC217,""))</f>
        <v/>
      </c>
      <c r="AD217" s="27"/>
      <c r="AE217" s="29" t="str">
        <f aca="false">IF(OR(G217="",G217="なし"),"",IF(W217="経理区分別",BD217+BE217,""))</f>
        <v/>
      </c>
      <c r="AF217" s="27"/>
      <c r="AG217" s="26" t="s">
        <v>160</v>
      </c>
      <c r="AH217" s="26"/>
      <c r="AI217" s="30"/>
      <c r="AJ217" s="31"/>
      <c r="AK217" s="31"/>
      <c r="AL217" s="31"/>
      <c r="AM217" s="31"/>
      <c r="AN217" s="31"/>
      <c r="AO217" s="31"/>
      <c r="AP217" s="31"/>
      <c r="AQ217" s="31"/>
      <c r="AR217" s="31"/>
      <c r="AS217" s="31"/>
      <c r="AT217" s="31"/>
      <c r="AU217" s="31" t="n">
        <f aca="false">IF($G217="",AJ217,L217)</f>
        <v>0</v>
      </c>
      <c r="AV217" s="31" t="n">
        <f aca="false">IF($G217="",AK217,M217)</f>
        <v>0</v>
      </c>
      <c r="AW217" s="31" t="n">
        <f aca="false">IF($G217="",AL217,N217)</f>
        <v>0</v>
      </c>
      <c r="AX217" s="31" t="n">
        <f aca="false">IF($G217="",AM217,O217)</f>
        <v>0</v>
      </c>
      <c r="AY217" s="31" t="n">
        <f aca="false">IF($G217="",AN217,P217)</f>
        <v>0</v>
      </c>
      <c r="AZ217" s="31" t="n">
        <f aca="false">IF($G217="",AO217,Q217)</f>
        <v>0</v>
      </c>
      <c r="BA217" s="31" t="n">
        <f aca="false">IF($G217="",AP217,R217)</f>
        <v>0</v>
      </c>
      <c r="BB217" s="31" t="n">
        <f aca="false">IF($G217="",AQ217,S217)</f>
        <v>0</v>
      </c>
      <c r="BC217" s="31" t="n">
        <f aca="false">IF($G217="",AR217,T217)</f>
        <v>0</v>
      </c>
      <c r="BD217" s="31" t="n">
        <f aca="false">IF($G217="",AS217,U217)</f>
        <v>0</v>
      </c>
      <c r="BE217" s="31" t="n">
        <f aca="false">IF($G217="",AT217,V217)</f>
        <v>0</v>
      </c>
      <c r="BF217" s="31" t="n">
        <f aca="false">ROUNDDOWN(I217*設定!$B$10/1000,0)+ROUNDDOWN(I217*設定!$B$11/1000,0)</f>
        <v>0</v>
      </c>
      <c r="BG217" s="31" t="n">
        <f aca="false">ROUNDDOWN(I217*設定!$C$10/1000,0)+ROUNDDOWN(I217*設定!$C$11/1000,0)+ROUNDDOWN(I217*設定!$C$12/1000,0)</f>
        <v>0</v>
      </c>
      <c r="BH217" s="31" t="n">
        <f aca="false">ROUNDDOWN(J217*設定!$B$13/1000,0)</f>
        <v>0</v>
      </c>
      <c r="BI217" s="31" t="n">
        <f aca="false">ROUNDDOWN(J217*設定!$C$13/1000,0)</f>
        <v>0</v>
      </c>
      <c r="BJ217" s="31" t="n">
        <f aca="false">ROUNDDOWN(K217*設定!$B$14/1000,0)</f>
        <v>0</v>
      </c>
      <c r="BK217" s="31" t="n">
        <f aca="false">ROUNDDOWN(K217*設定!$C$14/1000,0)</f>
        <v>0</v>
      </c>
      <c r="BL217" s="31" t="n">
        <f aca="false">ROUNDDOWN(J217*設定!$B$15/1000,0)</f>
        <v>0</v>
      </c>
      <c r="BM217" s="31" t="n">
        <f aca="false">ROUNDDOWN(J217*設定!$C$15/1000,0)</f>
        <v>0</v>
      </c>
      <c r="BN217" s="31" t="n">
        <f aca="false">L217+M217</f>
        <v>0</v>
      </c>
      <c r="BO217" s="31" t="n">
        <f aca="false">N217+O217+P217</f>
        <v>0</v>
      </c>
      <c r="BP217" s="31" t="n">
        <f aca="false">Q217</f>
        <v>0</v>
      </c>
      <c r="BQ217" s="31" t="n">
        <f aca="false">R217</f>
        <v>0</v>
      </c>
      <c r="BR217" s="31" t="n">
        <f aca="false">S217</f>
        <v>0</v>
      </c>
      <c r="BS217" s="31" t="n">
        <f aca="false">T217</f>
        <v>0</v>
      </c>
      <c r="BT217" s="31" t="n">
        <f aca="false">U217</f>
        <v>0</v>
      </c>
      <c r="BU217" s="31" t="n">
        <f aca="false">V217</f>
        <v>0</v>
      </c>
      <c r="BV217" s="32" t="n">
        <f aca="false">IF(BF217=0,IF(BN217=0,0,1),(BN217-BF217)/BF217)</f>
        <v>0</v>
      </c>
      <c r="BW217" s="32" t="n">
        <f aca="false">IF(BG217=0,IF(BO217=0,0,1),(BO217-BG217)/BG217)</f>
        <v>0</v>
      </c>
      <c r="BX217" s="32" t="n">
        <f aca="false">IF(BH217=0,IF(BP217=0,0,1),(BP217-BH217)/BH217)</f>
        <v>0</v>
      </c>
      <c r="BY217" s="32" t="n">
        <f aca="false">IF(BI217=0,IF(BQ217=0,0,1),(BQ217-BI217)/BI217)</f>
        <v>0</v>
      </c>
      <c r="BZ217" s="32" t="n">
        <f aca="false">IF(BJ217=0,IF(BR217=0,0,1),(BR217-BJ217)/BJ217)</f>
        <v>0</v>
      </c>
      <c r="CA217" s="32" t="n">
        <f aca="false">IF(BK217=0,IF(BS217=0,0,1),(BS217-BK217)/BK217)</f>
        <v>0</v>
      </c>
      <c r="CB217" s="32" t="n">
        <f aca="false">IF(BL217=0,IF(BT217=0,0,1),(BT217-BL217)/BL217)</f>
        <v>0</v>
      </c>
      <c r="CC217" s="32" t="n">
        <f aca="false">IF(BM217=0,IF(BU217=0,0,1),(BU217-BM217)/BM217)</f>
        <v>0</v>
      </c>
      <c r="CD217" s="32" t="n">
        <f aca="false">MAX(MAX(BV217:CC217),-MIN(BV217:CC217))</f>
        <v>-0</v>
      </c>
      <c r="CE217" s="31" t="n">
        <f aca="false">IF(CI217="","",SUMIFS($CF$7:$CF$696,$A$7:$A$696,CI217,$B$7:$B$696,B217))</f>
        <v>0</v>
      </c>
      <c r="CF217" s="31" t="n">
        <f aca="false">SUM(AU217:BE217)</f>
        <v>0</v>
      </c>
      <c r="CG217" s="33" t="str">
        <f aca="false">A217&amp;"|"&amp;B217</f>
        <v>2026-07 月例|文化財団　教育委員会</v>
      </c>
      <c r="CH217" s="34" t="str">
        <f aca="false">IFERROR(INDEX(設定!$D$61:$D$106,MATCH(B217,設定!$B$61:$B$106,0)),"Y")</f>
        <v>Y</v>
      </c>
      <c r="CI217" s="34" t="str">
        <f aca="false">IFERROR(INDEX(設定!$D$20:$D$34,MATCH(A217,設定!$A$20:$A$34,0))&amp;"","")</f>
        <v>2026-06 月例</v>
      </c>
    </row>
    <row r="218" customFormat="false" ht="15" hidden="true" customHeight="false" outlineLevel="0" collapsed="false">
      <c r="A218" s="22" t="s">
        <v>211</v>
      </c>
      <c r="B218" s="23" t="s">
        <v>188</v>
      </c>
      <c r="C218" s="10" t="str">
        <f aca="false">IF(G218="","未受領",IF(G218="なし","報告なし",IF(AH218="○","起票済",IF(OR(AG218="○",F218="一致",F218="入金不要"),"入金確認済","受領済"))))</f>
        <v>入金確認済</v>
      </c>
      <c r="D218" s="10" t="str">
        <f aca="false">IF(OR(G218="",G218="なし"),"―",IF(CH218="N","対象外",IF(AND(I218="",J218="",K218=""),"標報未入力",IF(CD218&gt;=設定!$B$4,"要確認","問題なし"))))</f>
        <v>標報未入力</v>
      </c>
      <c r="E218" s="24" t="str">
        <f aca="false">IF(OR(G218="",G218="なし",CE218="",CF218=0),"―",IF(CF218=CE218,"前月同額",IF(CE218=0,"―",IF(ABS(CF218/CE218-1)&gt;=設定!$B$5,"変動大 "&amp;TEXT(CF218/CE218-1,"+0%;-0%"),"〇"))))</f>
        <v>〇</v>
      </c>
      <c r="F218" s="10" t="str">
        <f aca="false">IF(OR(G218="",G218="なし"),"―",IF(CF218=0,"入金不要",IF(COUNT(Z218,AB218,AD218,AF218)=0,IF(AG218="○","手動確認","未入金"),IF(AND(N(Z218)=Y218,IF(AA218="",TRUE(),N(AB218)=AA218),IF(AC218="",TRUE(),N(AD218)=AC218),IF(AE218="",TRUE(),N(AF218)=AE218)),"一致","不一致"))))</f>
        <v>手動確認</v>
      </c>
      <c r="G218" s="25" t="s">
        <v>159</v>
      </c>
      <c r="H218" s="26"/>
      <c r="I218" s="27"/>
      <c r="J218" s="27"/>
      <c r="K218" s="27"/>
      <c r="L218" s="27"/>
      <c r="M218" s="27"/>
      <c r="N218" s="27" t="n">
        <v>405345</v>
      </c>
      <c r="O218" s="27" t="n">
        <v>33225</v>
      </c>
      <c r="P218" s="27" t="n">
        <v>383</v>
      </c>
      <c r="Q218" s="27"/>
      <c r="R218" s="27" t="n">
        <v>229960</v>
      </c>
      <c r="S218" s="27"/>
      <c r="T218" s="27" t="n">
        <v>34997</v>
      </c>
      <c r="U218" s="27"/>
      <c r="V218" s="27" t="n">
        <v>5093</v>
      </c>
      <c r="W218" s="10" t="str">
        <f aca="false">IFERROR(INDEX(設定!$E$61:$E$106,MATCH(B218,設定!$B$61:$B$106,0)),"合算")</f>
        <v>合算</v>
      </c>
      <c r="X218" s="28"/>
      <c r="Y218" s="29" t="n">
        <f aca="false">IF(OR(G218="",G218="なし"),"",IF(W218="合算",CF218,IF(W218="掛金・負担金別",(AU218+AV218+AZ218+BB218+BD218),SUM(AU218:AY218))))</f>
        <v>709003</v>
      </c>
      <c r="Z218" s="27"/>
      <c r="AA218" s="29" t="str">
        <f aca="false">IF(OR(G218="",G218="なし"),"",IF(W218="掛金・負担金別",(AW218+AX218+AY218+BA218+BC218+BE218),IF(W218="経理区分別",AZ218+BA218,"")))</f>
        <v/>
      </c>
      <c r="AB218" s="27"/>
      <c r="AC218" s="29" t="str">
        <f aca="false">IF(OR(G218="",G218="なし"),"",IF(W218="経理区分別",BB218+BC218,""))</f>
        <v/>
      </c>
      <c r="AD218" s="27"/>
      <c r="AE218" s="29" t="str">
        <f aca="false">IF(OR(G218="",G218="なし"),"",IF(W218="経理区分別",BD218+BE218,""))</f>
        <v/>
      </c>
      <c r="AF218" s="27"/>
      <c r="AG218" s="26" t="s">
        <v>160</v>
      </c>
      <c r="AH218" s="26"/>
      <c r="AI218" s="30"/>
      <c r="AJ218" s="31"/>
      <c r="AK218" s="31"/>
      <c r="AL218" s="31"/>
      <c r="AM218" s="31"/>
      <c r="AN218" s="31"/>
      <c r="AO218" s="31"/>
      <c r="AP218" s="31"/>
      <c r="AQ218" s="31"/>
      <c r="AR218" s="31"/>
      <c r="AS218" s="31"/>
      <c r="AT218" s="31"/>
      <c r="AU218" s="31" t="n">
        <f aca="false">IF($G218="",AJ218,L218)</f>
        <v>0</v>
      </c>
      <c r="AV218" s="31" t="n">
        <f aca="false">IF($G218="",AK218,M218)</f>
        <v>0</v>
      </c>
      <c r="AW218" s="31" t="n">
        <f aca="false">IF($G218="",AL218,N218)</f>
        <v>405345</v>
      </c>
      <c r="AX218" s="31" t="n">
        <f aca="false">IF($G218="",AM218,O218)</f>
        <v>33225</v>
      </c>
      <c r="AY218" s="31" t="n">
        <f aca="false">IF($G218="",AN218,P218)</f>
        <v>383</v>
      </c>
      <c r="AZ218" s="31" t="n">
        <f aca="false">IF($G218="",AO218,Q218)</f>
        <v>0</v>
      </c>
      <c r="BA218" s="31" t="n">
        <f aca="false">IF($G218="",AP218,R218)</f>
        <v>229960</v>
      </c>
      <c r="BB218" s="31" t="n">
        <f aca="false">IF($G218="",AQ218,S218)</f>
        <v>0</v>
      </c>
      <c r="BC218" s="31" t="n">
        <f aca="false">IF($G218="",AR218,T218)</f>
        <v>34997</v>
      </c>
      <c r="BD218" s="31" t="n">
        <f aca="false">IF($G218="",AS218,U218)</f>
        <v>0</v>
      </c>
      <c r="BE218" s="31" t="n">
        <f aca="false">IF($G218="",AT218,V218)</f>
        <v>5093</v>
      </c>
      <c r="BF218" s="31" t="n">
        <f aca="false">ROUNDDOWN(I218*設定!$B$10/1000,0)+ROUNDDOWN(I218*設定!$B$11/1000,0)</f>
        <v>0</v>
      </c>
      <c r="BG218" s="31" t="n">
        <f aca="false">ROUNDDOWN(I218*設定!$C$10/1000,0)+ROUNDDOWN(I218*設定!$C$11/1000,0)+ROUNDDOWN(I218*設定!$C$12/1000,0)</f>
        <v>0</v>
      </c>
      <c r="BH218" s="31" t="n">
        <f aca="false">ROUNDDOWN(J218*設定!$B$13/1000,0)</f>
        <v>0</v>
      </c>
      <c r="BI218" s="31" t="n">
        <f aca="false">ROUNDDOWN(J218*設定!$C$13/1000,0)</f>
        <v>0</v>
      </c>
      <c r="BJ218" s="31" t="n">
        <f aca="false">ROUNDDOWN(K218*設定!$B$14/1000,0)</f>
        <v>0</v>
      </c>
      <c r="BK218" s="31" t="n">
        <f aca="false">ROUNDDOWN(K218*設定!$C$14/1000,0)</f>
        <v>0</v>
      </c>
      <c r="BL218" s="31" t="n">
        <f aca="false">ROUNDDOWN(J218*設定!$B$15/1000,0)</f>
        <v>0</v>
      </c>
      <c r="BM218" s="31" t="n">
        <f aca="false">ROUNDDOWN(J218*設定!$C$15/1000,0)</f>
        <v>0</v>
      </c>
      <c r="BN218" s="31" t="n">
        <f aca="false">L218+M218</f>
        <v>0</v>
      </c>
      <c r="BO218" s="31" t="n">
        <f aca="false">N218+O218+P218</f>
        <v>438953</v>
      </c>
      <c r="BP218" s="31" t="n">
        <f aca="false">Q218</f>
        <v>0</v>
      </c>
      <c r="BQ218" s="31" t="n">
        <f aca="false">R218</f>
        <v>229960</v>
      </c>
      <c r="BR218" s="31" t="n">
        <f aca="false">S218</f>
        <v>0</v>
      </c>
      <c r="BS218" s="31" t="n">
        <f aca="false">T218</f>
        <v>34997</v>
      </c>
      <c r="BT218" s="31" t="n">
        <f aca="false">U218</f>
        <v>0</v>
      </c>
      <c r="BU218" s="31" t="n">
        <f aca="false">V218</f>
        <v>5093</v>
      </c>
      <c r="BV218" s="32" t="n">
        <f aca="false">IF(BF218=0,IF(BN218=0,0,1),(BN218-BF218)/BF218)</f>
        <v>0</v>
      </c>
      <c r="BW218" s="32" t="n">
        <f aca="false">IF(BG218=0,IF(BO218=0,0,1),(BO218-BG218)/BG218)</f>
        <v>1</v>
      </c>
      <c r="BX218" s="32" t="n">
        <f aca="false">IF(BH218=0,IF(BP218=0,0,1),(BP218-BH218)/BH218)</f>
        <v>0</v>
      </c>
      <c r="BY218" s="32" t="n">
        <f aca="false">IF(BI218=0,IF(BQ218=0,0,1),(BQ218-BI218)/BI218)</f>
        <v>1</v>
      </c>
      <c r="BZ218" s="32" t="n">
        <f aca="false">IF(BJ218=0,IF(BR218=0,0,1),(BR218-BJ218)/BJ218)</f>
        <v>0</v>
      </c>
      <c r="CA218" s="32" t="n">
        <f aca="false">IF(BK218=0,IF(BS218=0,0,1),(BS218-BK218)/BK218)</f>
        <v>1</v>
      </c>
      <c r="CB218" s="32" t="n">
        <f aca="false">IF(BL218=0,IF(BT218=0,0,1),(BT218-BL218)/BL218)</f>
        <v>0</v>
      </c>
      <c r="CC218" s="32" t="n">
        <f aca="false">IF(BM218=0,IF(BU218=0,0,1),(BU218-BM218)/BM218)</f>
        <v>1</v>
      </c>
      <c r="CD218" s="32" t="n">
        <f aca="false">MAX(MAX(BV218:CC218),-MIN(BV218:CC218))</f>
        <v>1</v>
      </c>
      <c r="CE218" s="31" t="n">
        <f aca="false">IF(CI218="","",SUMIFS($CF$7:$CF$696,$A$7:$A$696,CI218,$B$7:$B$696,B218))</f>
        <v>709002</v>
      </c>
      <c r="CF218" s="31" t="n">
        <f aca="false">SUM(AU218:BE218)</f>
        <v>709003</v>
      </c>
      <c r="CG218" s="33" t="str">
        <f aca="false">A218&amp;"|"&amp;B218</f>
        <v>2026-07 月例|みどり生きもの協会</v>
      </c>
      <c r="CH218" s="34" t="str">
        <f aca="false">IFERROR(INDEX(設定!$D$61:$D$106,MATCH(B218,設定!$B$61:$B$106,0)),"Y")</f>
        <v>Y</v>
      </c>
      <c r="CI218" s="34" t="str">
        <f aca="false">IFERROR(INDEX(設定!$D$20:$D$34,MATCH(A218,設定!$A$20:$A$34,0))&amp;"","")</f>
        <v>2026-06 月例</v>
      </c>
    </row>
    <row r="219" customFormat="false" ht="15" hidden="true" customHeight="false" outlineLevel="0" collapsed="false">
      <c r="A219" s="22" t="s">
        <v>211</v>
      </c>
      <c r="B219" s="23" t="s">
        <v>189</v>
      </c>
      <c r="C219" s="10" t="str">
        <f aca="false">IF(G219="","未受領",IF(G219="なし","報告なし",IF(AH219="○","起票済",IF(OR(AG219="○",F219="一致",F219="入金不要"),"入金確認済","受領済"))))</f>
        <v>入金確認済</v>
      </c>
      <c r="D219" s="10" t="str">
        <f aca="false">IF(OR(G219="",G219="なし"),"―",IF(CH219="N","対象外",IF(AND(I219="",J219="",K219=""),"標報未入力",IF(CD219&gt;=設定!$B$4,"要確認","問題なし"))))</f>
        <v>標報未入力</v>
      </c>
      <c r="E219" s="24" t="str">
        <f aca="false">IF(OR(G219="",G219="なし",CE219="",CF219=0),"―",IF(CF219=CE219,"前月同額",IF(CE219=0,"―",IF(ABS(CF219/CE219-1)&gt;=設定!$B$5,"変動大 "&amp;TEXT(CF219/CE219-1,"+0%;-0%"),"〇"))))</f>
        <v>前月同額</v>
      </c>
      <c r="F219" s="10" t="str">
        <f aca="false">IF(OR(G219="",G219="なし"),"―",IF(CF219=0,"入金不要",IF(COUNT(Z219,AB219,AD219,AF219)=0,IF(AG219="○","手動確認","未入金"),IF(AND(N(Z219)=Y219,IF(AA219="",TRUE(),N(AB219)=AA219),IF(AC219="",TRUE(),N(AD219)=AC219),IF(AE219="",TRUE(),N(AF219)=AE219)),"一致","不一致"))))</f>
        <v>手動確認</v>
      </c>
      <c r="G219" s="25" t="s">
        <v>159</v>
      </c>
      <c r="H219" s="26"/>
      <c r="I219" s="27"/>
      <c r="J219" s="27"/>
      <c r="K219" s="27"/>
      <c r="L219" s="27" t="n">
        <v>148230</v>
      </c>
      <c r="M219" s="27" t="n">
        <v>12150</v>
      </c>
      <c r="N219" s="27" t="n">
        <v>148230</v>
      </c>
      <c r="O219" s="27" t="n">
        <v>12150</v>
      </c>
      <c r="P219" s="27" t="n">
        <v>140</v>
      </c>
      <c r="Q219" s="27" t="n">
        <v>87123</v>
      </c>
      <c r="R219" s="27" t="n">
        <v>87208</v>
      </c>
      <c r="S219" s="27" t="n">
        <v>10033</v>
      </c>
      <c r="T219" s="27" t="n">
        <v>10033</v>
      </c>
      <c r="U219" s="27" t="n">
        <v>1931</v>
      </c>
      <c r="V219" s="27" t="n">
        <v>1932</v>
      </c>
      <c r="W219" s="10" t="str">
        <f aca="false">IFERROR(INDEX(設定!$E$61:$E$106,MATCH(B219,設定!$B$61:$B$106,0)),"合算")</f>
        <v>合算</v>
      </c>
      <c r="X219" s="28"/>
      <c r="Y219" s="29" t="n">
        <f aca="false">IF(OR(G219="",G219="なし"),"",IF(W219="合算",CF219,IF(W219="掛金・負担金別",(AU219+AV219+AZ219+BB219+BD219),SUM(AU219:AY219))))</f>
        <v>519160</v>
      </c>
      <c r="Z219" s="27"/>
      <c r="AA219" s="29" t="str">
        <f aca="false">IF(OR(G219="",G219="なし"),"",IF(W219="掛金・負担金別",(AW219+AX219+AY219+BA219+BC219+BE219),IF(W219="経理区分別",AZ219+BA219,"")))</f>
        <v/>
      </c>
      <c r="AB219" s="27"/>
      <c r="AC219" s="29" t="str">
        <f aca="false">IF(OR(G219="",G219="なし"),"",IF(W219="経理区分別",BB219+BC219,""))</f>
        <v/>
      </c>
      <c r="AD219" s="27"/>
      <c r="AE219" s="29" t="str">
        <f aca="false">IF(OR(G219="",G219="なし"),"",IF(W219="経理区分別",BD219+BE219,""))</f>
        <v/>
      </c>
      <c r="AF219" s="27"/>
      <c r="AG219" s="26" t="s">
        <v>160</v>
      </c>
      <c r="AH219" s="26"/>
      <c r="AI219" s="30"/>
      <c r="AJ219" s="31"/>
      <c r="AK219" s="31"/>
      <c r="AL219" s="31"/>
      <c r="AM219" s="31"/>
      <c r="AN219" s="31"/>
      <c r="AO219" s="31"/>
      <c r="AP219" s="31"/>
      <c r="AQ219" s="31"/>
      <c r="AR219" s="31"/>
      <c r="AS219" s="31"/>
      <c r="AT219" s="31"/>
      <c r="AU219" s="31" t="n">
        <f aca="false">IF($G219="",AJ219,L219)</f>
        <v>148230</v>
      </c>
      <c r="AV219" s="31" t="n">
        <f aca="false">IF($G219="",AK219,M219)</f>
        <v>12150</v>
      </c>
      <c r="AW219" s="31" t="n">
        <f aca="false">IF($G219="",AL219,N219)</f>
        <v>148230</v>
      </c>
      <c r="AX219" s="31" t="n">
        <f aca="false">IF($G219="",AM219,O219)</f>
        <v>12150</v>
      </c>
      <c r="AY219" s="31" t="n">
        <f aca="false">IF($G219="",AN219,P219)</f>
        <v>140</v>
      </c>
      <c r="AZ219" s="31" t="n">
        <f aca="false">IF($G219="",AO219,Q219)</f>
        <v>87123</v>
      </c>
      <c r="BA219" s="31" t="n">
        <f aca="false">IF($G219="",AP219,R219)</f>
        <v>87208</v>
      </c>
      <c r="BB219" s="31" t="n">
        <f aca="false">IF($G219="",AQ219,S219)</f>
        <v>10033</v>
      </c>
      <c r="BC219" s="31" t="n">
        <f aca="false">IF($G219="",AR219,T219)</f>
        <v>10033</v>
      </c>
      <c r="BD219" s="31" t="n">
        <f aca="false">IF($G219="",AS219,U219)</f>
        <v>1931</v>
      </c>
      <c r="BE219" s="31" t="n">
        <f aca="false">IF($G219="",AT219,V219)</f>
        <v>1932</v>
      </c>
      <c r="BF219" s="31" t="n">
        <f aca="false">ROUNDDOWN(I219*設定!$B$10/1000,0)+ROUNDDOWN(I219*設定!$B$11/1000,0)</f>
        <v>0</v>
      </c>
      <c r="BG219" s="31" t="n">
        <f aca="false">ROUNDDOWN(I219*設定!$C$10/1000,0)+ROUNDDOWN(I219*設定!$C$11/1000,0)+ROUNDDOWN(I219*設定!$C$12/1000,0)</f>
        <v>0</v>
      </c>
      <c r="BH219" s="31" t="n">
        <f aca="false">ROUNDDOWN(J219*設定!$B$13/1000,0)</f>
        <v>0</v>
      </c>
      <c r="BI219" s="31" t="n">
        <f aca="false">ROUNDDOWN(J219*設定!$C$13/1000,0)</f>
        <v>0</v>
      </c>
      <c r="BJ219" s="31" t="n">
        <f aca="false">ROUNDDOWN(K219*設定!$B$14/1000,0)</f>
        <v>0</v>
      </c>
      <c r="BK219" s="31" t="n">
        <f aca="false">ROUNDDOWN(K219*設定!$C$14/1000,0)</f>
        <v>0</v>
      </c>
      <c r="BL219" s="31" t="n">
        <f aca="false">ROUNDDOWN(J219*設定!$B$15/1000,0)</f>
        <v>0</v>
      </c>
      <c r="BM219" s="31" t="n">
        <f aca="false">ROUNDDOWN(J219*設定!$C$15/1000,0)</f>
        <v>0</v>
      </c>
      <c r="BN219" s="31" t="n">
        <f aca="false">L219+M219</f>
        <v>160380</v>
      </c>
      <c r="BO219" s="31" t="n">
        <f aca="false">N219+O219+P219</f>
        <v>160520</v>
      </c>
      <c r="BP219" s="31" t="n">
        <f aca="false">Q219</f>
        <v>87123</v>
      </c>
      <c r="BQ219" s="31" t="n">
        <f aca="false">R219</f>
        <v>87208</v>
      </c>
      <c r="BR219" s="31" t="n">
        <f aca="false">S219</f>
        <v>10033</v>
      </c>
      <c r="BS219" s="31" t="n">
        <f aca="false">T219</f>
        <v>10033</v>
      </c>
      <c r="BT219" s="31" t="n">
        <f aca="false">U219</f>
        <v>1931</v>
      </c>
      <c r="BU219" s="31" t="n">
        <f aca="false">V219</f>
        <v>1932</v>
      </c>
      <c r="BV219" s="32" t="n">
        <f aca="false">IF(BF219=0,IF(BN219=0,0,1),(BN219-BF219)/BF219)</f>
        <v>1</v>
      </c>
      <c r="BW219" s="32" t="n">
        <f aca="false">IF(BG219=0,IF(BO219=0,0,1),(BO219-BG219)/BG219)</f>
        <v>1</v>
      </c>
      <c r="BX219" s="32" t="n">
        <f aca="false">IF(BH219=0,IF(BP219=0,0,1),(BP219-BH219)/BH219)</f>
        <v>1</v>
      </c>
      <c r="BY219" s="32" t="n">
        <f aca="false">IF(BI219=0,IF(BQ219=0,0,1),(BQ219-BI219)/BI219)</f>
        <v>1</v>
      </c>
      <c r="BZ219" s="32" t="n">
        <f aca="false">IF(BJ219=0,IF(BR219=0,0,1),(BR219-BJ219)/BJ219)</f>
        <v>1</v>
      </c>
      <c r="CA219" s="32" t="n">
        <f aca="false">IF(BK219=0,IF(BS219=0,0,1),(BS219-BK219)/BK219)</f>
        <v>1</v>
      </c>
      <c r="CB219" s="32" t="n">
        <f aca="false">IF(BL219=0,IF(BT219=0,0,1),(BT219-BL219)/BL219)</f>
        <v>1</v>
      </c>
      <c r="CC219" s="32" t="n">
        <f aca="false">IF(BM219=0,IF(BU219=0,0,1),(BU219-BM219)/BM219)</f>
        <v>1</v>
      </c>
      <c r="CD219" s="32" t="n">
        <f aca="false">MAX(MAX(BV219:CC219),-MIN(BV219:CC219))</f>
        <v>1</v>
      </c>
      <c r="CE219" s="31" t="n">
        <f aca="false">IF(CI219="","",SUMIFS($CF$7:$CF$696,$A$7:$A$696,CI219,$B$7:$B$696,B219))</f>
        <v>519160</v>
      </c>
      <c r="CF219" s="31" t="n">
        <f aca="false">SUM(AU219:BE219)</f>
        <v>519160</v>
      </c>
      <c r="CG219" s="33" t="str">
        <f aca="false">A219&amp;"|"&amp;B219</f>
        <v>2026-07 月例|県下水道公社</v>
      </c>
      <c r="CH219" s="34" t="str">
        <f aca="false">IFERROR(INDEX(設定!$D$61:$D$106,MATCH(B219,設定!$B$61:$B$106,0)),"Y")</f>
        <v>Y</v>
      </c>
      <c r="CI219" s="34" t="str">
        <f aca="false">IFERROR(INDEX(設定!$D$20:$D$34,MATCH(A219,設定!$A$20:$A$34,0))&amp;"","")</f>
        <v>2026-06 月例</v>
      </c>
    </row>
    <row r="220" customFormat="false" ht="26.85" hidden="true" customHeight="false" outlineLevel="0" collapsed="false">
      <c r="A220" s="22" t="s">
        <v>211</v>
      </c>
      <c r="B220" s="35" t="s">
        <v>208</v>
      </c>
      <c r="C220" s="10" t="str">
        <f aca="false">IF(G220="","未受領",IF(G220="なし","報告なし",IF(AH220="○","起票済",IF(OR(AG220="○",F220="一致",F220="入金不要"),"入金確認済","受領済"))))</f>
        <v>入金確認済</v>
      </c>
      <c r="D220" s="10" t="str">
        <f aca="false">IF(OR(G220="",G220="なし"),"―",IF(CH220="N","対象外",IF(AND(I220="",J220="",K220=""),"標報未入力",IF(CD220&gt;=設定!$B$4,"要確認","問題なし"))))</f>
        <v>標報未入力</v>
      </c>
      <c r="E220" s="24" t="str">
        <f aca="false">IF(OR(G220="",G220="なし",CE220="",CF220=0),"―",IF(CF220=CE220,"前月同額",IF(CE220=0,"―",IF(ABS(CF220/CE220-1)&gt;=設定!$B$5,"変動大 "&amp;TEXT(CF220/CE220-1,"+0%;-0%"),"〇"))))</f>
        <v>〇</v>
      </c>
      <c r="F220" s="10" t="str">
        <f aca="false">IF(OR(G220="",G220="なし"),"―",IF(CF220=0,"入金不要",IF(COUNT(Z220,AB220,AD220,AF220)=0,IF(AG220="○","手動確認","未入金"),IF(AND(N(Z220)=Y220,IF(AA220="",TRUE(),N(AB220)=AA220),IF(AC220="",TRUE(),N(AD220)=AC220),IF(AE220="",TRUE(),N(AF220)=AE220)),"一致","不一致"))))</f>
        <v>手動確認</v>
      </c>
      <c r="G220" s="25" t="s">
        <v>159</v>
      </c>
      <c r="H220" s="26"/>
      <c r="I220" s="27"/>
      <c r="J220" s="27"/>
      <c r="K220" s="27"/>
      <c r="L220" s="27"/>
      <c r="M220" s="27"/>
      <c r="N220" s="27" t="n">
        <v>455670</v>
      </c>
      <c r="O220" s="27" t="n">
        <v>37350</v>
      </c>
      <c r="P220" s="27" t="n">
        <v>432</v>
      </c>
      <c r="Q220" s="27"/>
      <c r="R220" s="27" t="n">
        <v>267855</v>
      </c>
      <c r="S220" s="27"/>
      <c r="T220" s="27" t="n">
        <v>21725</v>
      </c>
      <c r="U220" s="27"/>
      <c r="V220" s="27" t="n">
        <v>5934</v>
      </c>
      <c r="W220" s="10" t="str">
        <f aca="false">IFERROR(INDEX(設定!$E$61:$E$106,MATCH(B220,設定!$B$61:$B$106,0)),"合算")</f>
        <v>合算</v>
      </c>
      <c r="X220" s="28"/>
      <c r="Y220" s="29" t="n">
        <f aca="false">IF(OR(G220="",G220="なし"),"",IF(W220="合算",CF220,IF(W220="掛金・負担金別",(AU220+AV220+AZ220+BB220+BD220),SUM(AU220:AY220))))</f>
        <v>788966</v>
      </c>
      <c r="Z220" s="27"/>
      <c r="AA220" s="29" t="str">
        <f aca="false">IF(OR(G220="",G220="なし"),"",IF(W220="掛金・負担金別",(AW220+AX220+AY220+BA220+BC220+BE220),IF(W220="経理区分別",AZ220+BA220,"")))</f>
        <v/>
      </c>
      <c r="AB220" s="27"/>
      <c r="AC220" s="29" t="str">
        <f aca="false">IF(OR(G220="",G220="なし"),"",IF(W220="経理区分別",BB220+BC220,""))</f>
        <v/>
      </c>
      <c r="AD220" s="27"/>
      <c r="AE220" s="29" t="str">
        <f aca="false">IF(OR(G220="",G220="なし"),"",IF(W220="経理区分別",BD220+BE220,""))</f>
        <v/>
      </c>
      <c r="AF220" s="27"/>
      <c r="AG220" s="26" t="s">
        <v>160</v>
      </c>
      <c r="AH220" s="26"/>
      <c r="AI220" s="30"/>
      <c r="AJ220" s="31"/>
      <c r="AK220" s="31"/>
      <c r="AL220" s="31"/>
      <c r="AM220" s="31"/>
      <c r="AN220" s="31"/>
      <c r="AO220" s="31"/>
      <c r="AP220" s="31"/>
      <c r="AQ220" s="31"/>
      <c r="AR220" s="31"/>
      <c r="AS220" s="31"/>
      <c r="AT220" s="31"/>
      <c r="AU220" s="31" t="n">
        <f aca="false">IF($G220="",AJ220,L220)</f>
        <v>0</v>
      </c>
      <c r="AV220" s="31" t="n">
        <f aca="false">IF($G220="",AK220,M220)</f>
        <v>0</v>
      </c>
      <c r="AW220" s="31" t="n">
        <f aca="false">IF($G220="",AL220,N220)</f>
        <v>455670</v>
      </c>
      <c r="AX220" s="31" t="n">
        <f aca="false">IF($G220="",AM220,O220)</f>
        <v>37350</v>
      </c>
      <c r="AY220" s="31" t="n">
        <f aca="false">IF($G220="",AN220,P220)</f>
        <v>432</v>
      </c>
      <c r="AZ220" s="31" t="n">
        <f aca="false">IF($G220="",AO220,Q220)</f>
        <v>0</v>
      </c>
      <c r="BA220" s="31" t="n">
        <f aca="false">IF($G220="",AP220,R220)</f>
        <v>267855</v>
      </c>
      <c r="BB220" s="31" t="n">
        <f aca="false">IF($G220="",AQ220,S220)</f>
        <v>0</v>
      </c>
      <c r="BC220" s="31" t="n">
        <f aca="false">IF($G220="",AR220,T220)</f>
        <v>21725</v>
      </c>
      <c r="BD220" s="31" t="n">
        <f aca="false">IF($G220="",AS220,U220)</f>
        <v>0</v>
      </c>
      <c r="BE220" s="31" t="n">
        <f aca="false">IF($G220="",AT220,V220)</f>
        <v>5934</v>
      </c>
      <c r="BF220" s="31" t="n">
        <f aca="false">ROUNDDOWN(I220*設定!$B$10/1000,0)+ROUNDDOWN(I220*設定!$B$11/1000,0)</f>
        <v>0</v>
      </c>
      <c r="BG220" s="31" t="n">
        <f aca="false">ROUNDDOWN(I220*設定!$C$10/1000,0)+ROUNDDOWN(I220*設定!$C$11/1000,0)+ROUNDDOWN(I220*設定!$C$12/1000,0)</f>
        <v>0</v>
      </c>
      <c r="BH220" s="31" t="n">
        <f aca="false">ROUNDDOWN(J220*設定!$B$13/1000,0)</f>
        <v>0</v>
      </c>
      <c r="BI220" s="31" t="n">
        <f aca="false">ROUNDDOWN(J220*設定!$C$13/1000,0)</f>
        <v>0</v>
      </c>
      <c r="BJ220" s="31" t="n">
        <f aca="false">ROUNDDOWN(K220*設定!$B$14/1000,0)</f>
        <v>0</v>
      </c>
      <c r="BK220" s="31" t="n">
        <f aca="false">ROUNDDOWN(K220*設定!$C$14/1000,0)</f>
        <v>0</v>
      </c>
      <c r="BL220" s="31" t="n">
        <f aca="false">ROUNDDOWN(J220*設定!$B$15/1000,0)</f>
        <v>0</v>
      </c>
      <c r="BM220" s="31" t="n">
        <f aca="false">ROUNDDOWN(J220*設定!$C$15/1000,0)</f>
        <v>0</v>
      </c>
      <c r="BN220" s="31" t="n">
        <f aca="false">L220+M220</f>
        <v>0</v>
      </c>
      <c r="BO220" s="31" t="n">
        <f aca="false">N220+O220+P220</f>
        <v>493452</v>
      </c>
      <c r="BP220" s="31" t="n">
        <f aca="false">Q220</f>
        <v>0</v>
      </c>
      <c r="BQ220" s="31" t="n">
        <f aca="false">R220</f>
        <v>267855</v>
      </c>
      <c r="BR220" s="31" t="n">
        <f aca="false">S220</f>
        <v>0</v>
      </c>
      <c r="BS220" s="31" t="n">
        <f aca="false">T220</f>
        <v>21725</v>
      </c>
      <c r="BT220" s="31" t="n">
        <f aca="false">U220</f>
        <v>0</v>
      </c>
      <c r="BU220" s="31" t="n">
        <f aca="false">V220</f>
        <v>5934</v>
      </c>
      <c r="BV220" s="32" t="n">
        <f aca="false">IF(BF220=0,IF(BN220=0,0,1),(BN220-BF220)/BF220)</f>
        <v>0</v>
      </c>
      <c r="BW220" s="32" t="n">
        <f aca="false">IF(BG220=0,IF(BO220=0,0,1),(BO220-BG220)/BG220)</f>
        <v>1</v>
      </c>
      <c r="BX220" s="32" t="n">
        <f aca="false">IF(BH220=0,IF(BP220=0,0,1),(BP220-BH220)/BH220)</f>
        <v>0</v>
      </c>
      <c r="BY220" s="32" t="n">
        <f aca="false">IF(BI220=0,IF(BQ220=0,0,1),(BQ220-BI220)/BI220)</f>
        <v>1</v>
      </c>
      <c r="BZ220" s="32" t="n">
        <f aca="false">IF(BJ220=0,IF(BR220=0,0,1),(BR220-BJ220)/BJ220)</f>
        <v>0</v>
      </c>
      <c r="CA220" s="32" t="n">
        <f aca="false">IF(BK220=0,IF(BS220=0,0,1),(BS220-BK220)/BK220)</f>
        <v>1</v>
      </c>
      <c r="CB220" s="32" t="n">
        <f aca="false">IF(BL220=0,IF(BT220=0,0,1),(BT220-BL220)/BL220)</f>
        <v>0</v>
      </c>
      <c r="CC220" s="32" t="n">
        <f aca="false">IF(BM220=0,IF(BU220=0,0,1),(BU220-BM220)/BM220)</f>
        <v>1</v>
      </c>
      <c r="CD220" s="32" t="n">
        <f aca="false">MAX(MAX(BV220:CC220),-MIN(BV220:CC220))</f>
        <v>1</v>
      </c>
      <c r="CE220" s="31" t="n">
        <f aca="false">IF(CI220="","",SUMIFS($CF$7:$CF$696,$A$7:$A$696,CI220,$B$7:$B$696,B220))</f>
        <v>784089</v>
      </c>
      <c r="CF220" s="31" t="n">
        <f aca="false">SUM(AU220:BE220)</f>
        <v>788966</v>
      </c>
      <c r="CG220" s="36" t="str">
        <f aca="false">A220&amp;"|"&amp;B220</f>
        <v>2026-07 月例|バス協調・共創
プラットフォーム</v>
      </c>
      <c r="CH220" s="34" t="str">
        <f aca="false">IFERROR(INDEX(設定!$D$61:$D$106,MATCH(B220,設定!$B$61:$B$106,0)),"Y")</f>
        <v>Y</v>
      </c>
      <c r="CI220" s="34" t="str">
        <f aca="false">IFERROR(INDEX(設定!$D$20:$D$34,MATCH(A220,設定!$A$20:$A$34,0))&amp;"","")</f>
        <v>2026-06 月例</v>
      </c>
    </row>
    <row r="221" customFormat="false" ht="15" hidden="true" customHeight="false" outlineLevel="0" collapsed="false">
      <c r="A221" s="22" t="s">
        <v>211</v>
      </c>
      <c r="B221" s="23" t="s">
        <v>191</v>
      </c>
      <c r="C221" s="10" t="str">
        <f aca="false">IF(G221="","未受領",IF(G221="なし","報告なし",IF(AH221="○","起票済",IF(OR(AG221="○",F221="一致",F221="入金不要"),"入金確認済","受領済"))))</f>
        <v>入金確認済</v>
      </c>
      <c r="D221" s="10" t="str">
        <f aca="false">IF(OR(G221="",G221="なし"),"―",IF(CH221="N","対象外",IF(AND(I221="",J221="",K221=""),"標報未入力",IF(CD221&gt;=設定!$B$4,"要確認","問題なし"))))</f>
        <v>標報未入力</v>
      </c>
      <c r="E221" s="24" t="str">
        <f aca="false">IF(OR(G221="",G221="なし",CE221="",CF221=0),"―",IF(CF221=CE221,"前月同額",IF(CE221=0,"―",IF(ABS(CF221/CE221-1)&gt;=設定!$B$5,"変動大 "&amp;TEXT(CF221/CE221-1,"+0%;-0%"),"〇"))))</f>
        <v>前月同額</v>
      </c>
      <c r="F221" s="10" t="str">
        <f aca="false">IF(OR(G221="",G221="なし"),"―",IF(CF221=0,"入金不要",IF(COUNT(Z221,AB221,AD221,AF221)=0,IF(AG221="○","手動確認","未入金"),IF(AND(N(Z221)=Y221,IF(AA221="",TRUE(),N(AB221)=AA221),IF(AC221="",TRUE(),N(AD221)=AC221),IF(AE221="",TRUE(),N(AF221)=AE221)),"一致","不一致"))))</f>
        <v>手動確認</v>
      </c>
      <c r="G221" s="25" t="s">
        <v>159</v>
      </c>
      <c r="H221" s="26"/>
      <c r="I221" s="27"/>
      <c r="J221" s="27"/>
      <c r="K221" s="27"/>
      <c r="L221" s="27" t="n">
        <v>56730</v>
      </c>
      <c r="M221" s="27" t="n">
        <v>4650</v>
      </c>
      <c r="N221" s="27" t="n">
        <v>56730</v>
      </c>
      <c r="O221" s="27" t="n">
        <v>4650</v>
      </c>
      <c r="P221" s="27" t="n">
        <v>53</v>
      </c>
      <c r="Q221" s="27" t="n">
        <v>32153</v>
      </c>
      <c r="R221" s="27" t="n">
        <v>32184</v>
      </c>
      <c r="S221" s="27" t="n">
        <v>4898</v>
      </c>
      <c r="T221" s="27" t="n">
        <v>4898</v>
      </c>
      <c r="U221" s="27" t="n">
        <v>713</v>
      </c>
      <c r="V221" s="27" t="n">
        <v>713</v>
      </c>
      <c r="W221" s="10" t="str">
        <f aca="false">IFERROR(INDEX(設定!$E$61:$E$106,MATCH(B221,設定!$B$61:$B$106,0)),"合算")</f>
        <v>合算</v>
      </c>
      <c r="X221" s="28"/>
      <c r="Y221" s="29" t="n">
        <f aca="false">IF(OR(G221="",G221="なし"),"",IF(W221="合算",CF221,IF(W221="掛金・負担金別",(AU221+AV221+AZ221+BB221+BD221),SUM(AU221:AY221))))</f>
        <v>198372</v>
      </c>
      <c r="Z221" s="27"/>
      <c r="AA221" s="29" t="str">
        <f aca="false">IF(OR(G221="",G221="なし"),"",IF(W221="掛金・負担金別",(AW221+AX221+AY221+BA221+BC221+BE221),IF(W221="経理区分別",AZ221+BA221,"")))</f>
        <v/>
      </c>
      <c r="AB221" s="27"/>
      <c r="AC221" s="29" t="str">
        <f aca="false">IF(OR(G221="",G221="なし"),"",IF(W221="経理区分別",BB221+BC221,""))</f>
        <v/>
      </c>
      <c r="AD221" s="27"/>
      <c r="AE221" s="29" t="str">
        <f aca="false">IF(OR(G221="",G221="なし"),"",IF(W221="経理区分別",BD221+BE221,""))</f>
        <v/>
      </c>
      <c r="AF221" s="27"/>
      <c r="AG221" s="26" t="s">
        <v>160</v>
      </c>
      <c r="AH221" s="26"/>
      <c r="AI221" s="30"/>
      <c r="AJ221" s="31"/>
      <c r="AK221" s="31"/>
      <c r="AL221" s="31"/>
      <c r="AM221" s="31"/>
      <c r="AN221" s="31"/>
      <c r="AO221" s="31"/>
      <c r="AP221" s="31"/>
      <c r="AQ221" s="31"/>
      <c r="AR221" s="31"/>
      <c r="AS221" s="31"/>
      <c r="AT221" s="31"/>
      <c r="AU221" s="31" t="n">
        <f aca="false">IF($G221="",AJ221,L221)</f>
        <v>56730</v>
      </c>
      <c r="AV221" s="31" t="n">
        <f aca="false">IF($G221="",AK221,M221)</f>
        <v>4650</v>
      </c>
      <c r="AW221" s="31" t="n">
        <f aca="false">IF($G221="",AL221,N221)</f>
        <v>56730</v>
      </c>
      <c r="AX221" s="31" t="n">
        <f aca="false">IF($G221="",AM221,O221)</f>
        <v>4650</v>
      </c>
      <c r="AY221" s="31" t="n">
        <f aca="false">IF($G221="",AN221,P221)</f>
        <v>53</v>
      </c>
      <c r="AZ221" s="31" t="n">
        <f aca="false">IF($G221="",AO221,Q221)</f>
        <v>32153</v>
      </c>
      <c r="BA221" s="31" t="n">
        <f aca="false">IF($G221="",AP221,R221)</f>
        <v>32184</v>
      </c>
      <c r="BB221" s="31" t="n">
        <f aca="false">IF($G221="",AQ221,S221)</f>
        <v>4898</v>
      </c>
      <c r="BC221" s="31" t="n">
        <f aca="false">IF($G221="",AR221,T221)</f>
        <v>4898</v>
      </c>
      <c r="BD221" s="31" t="n">
        <f aca="false">IF($G221="",AS221,U221)</f>
        <v>713</v>
      </c>
      <c r="BE221" s="31" t="n">
        <f aca="false">IF($G221="",AT221,V221)</f>
        <v>713</v>
      </c>
      <c r="BF221" s="31" t="n">
        <f aca="false">ROUNDDOWN(I221*設定!$B$10/1000,0)+ROUNDDOWN(I221*設定!$B$11/1000,0)</f>
        <v>0</v>
      </c>
      <c r="BG221" s="31" t="n">
        <f aca="false">ROUNDDOWN(I221*設定!$C$10/1000,0)+ROUNDDOWN(I221*設定!$C$11/1000,0)+ROUNDDOWN(I221*設定!$C$12/1000,0)</f>
        <v>0</v>
      </c>
      <c r="BH221" s="31" t="n">
        <f aca="false">ROUNDDOWN(J221*設定!$B$13/1000,0)</f>
        <v>0</v>
      </c>
      <c r="BI221" s="31" t="n">
        <f aca="false">ROUNDDOWN(J221*設定!$C$13/1000,0)</f>
        <v>0</v>
      </c>
      <c r="BJ221" s="31" t="n">
        <f aca="false">ROUNDDOWN(K221*設定!$B$14/1000,0)</f>
        <v>0</v>
      </c>
      <c r="BK221" s="31" t="n">
        <f aca="false">ROUNDDOWN(K221*設定!$C$14/1000,0)</f>
        <v>0</v>
      </c>
      <c r="BL221" s="31" t="n">
        <f aca="false">ROUNDDOWN(J221*設定!$B$15/1000,0)</f>
        <v>0</v>
      </c>
      <c r="BM221" s="31" t="n">
        <f aca="false">ROUNDDOWN(J221*設定!$C$15/1000,0)</f>
        <v>0</v>
      </c>
      <c r="BN221" s="31" t="n">
        <f aca="false">L221+M221</f>
        <v>61380</v>
      </c>
      <c r="BO221" s="31" t="n">
        <f aca="false">N221+O221+P221</f>
        <v>61433</v>
      </c>
      <c r="BP221" s="31" t="n">
        <f aca="false">Q221</f>
        <v>32153</v>
      </c>
      <c r="BQ221" s="31" t="n">
        <f aca="false">R221</f>
        <v>32184</v>
      </c>
      <c r="BR221" s="31" t="n">
        <f aca="false">S221</f>
        <v>4898</v>
      </c>
      <c r="BS221" s="31" t="n">
        <f aca="false">T221</f>
        <v>4898</v>
      </c>
      <c r="BT221" s="31" t="n">
        <f aca="false">U221</f>
        <v>713</v>
      </c>
      <c r="BU221" s="31" t="n">
        <f aca="false">V221</f>
        <v>713</v>
      </c>
      <c r="BV221" s="32" t="n">
        <f aca="false">IF(BF221=0,IF(BN221=0,0,1),(BN221-BF221)/BF221)</f>
        <v>1</v>
      </c>
      <c r="BW221" s="32" t="n">
        <f aca="false">IF(BG221=0,IF(BO221=0,0,1),(BO221-BG221)/BG221)</f>
        <v>1</v>
      </c>
      <c r="BX221" s="32" t="n">
        <f aca="false">IF(BH221=0,IF(BP221=0,0,1),(BP221-BH221)/BH221)</f>
        <v>1</v>
      </c>
      <c r="BY221" s="32" t="n">
        <f aca="false">IF(BI221=0,IF(BQ221=0,0,1),(BQ221-BI221)/BI221)</f>
        <v>1</v>
      </c>
      <c r="BZ221" s="32" t="n">
        <f aca="false">IF(BJ221=0,IF(BR221=0,0,1),(BR221-BJ221)/BJ221)</f>
        <v>1</v>
      </c>
      <c r="CA221" s="32" t="n">
        <f aca="false">IF(BK221=0,IF(BS221=0,0,1),(BS221-BK221)/BK221)</f>
        <v>1</v>
      </c>
      <c r="CB221" s="32" t="n">
        <f aca="false">IF(BL221=0,IF(BT221=0,0,1),(BT221-BL221)/BL221)</f>
        <v>1</v>
      </c>
      <c r="CC221" s="32" t="n">
        <f aca="false">IF(BM221=0,IF(BU221=0,0,1),(BU221-BM221)/BM221)</f>
        <v>1</v>
      </c>
      <c r="CD221" s="32" t="n">
        <f aca="false">MAX(MAX(BV221:CC221),-MIN(BV221:CC221))</f>
        <v>1</v>
      </c>
      <c r="CE221" s="31" t="n">
        <f aca="false">IF(CI221="","",SUMIFS($CF$7:$CF$696,$A$7:$A$696,CI221,$B$7:$B$696,B221))</f>
        <v>198372</v>
      </c>
      <c r="CF221" s="31" t="n">
        <f aca="false">SUM(AU221:BE221)</f>
        <v>198372</v>
      </c>
      <c r="CG221" s="33" t="str">
        <f aca="false">A221&amp;"|"&amp;B221</f>
        <v>2026-07 月例|広島県市長会</v>
      </c>
      <c r="CH221" s="34" t="str">
        <f aca="false">IFERROR(INDEX(設定!$D$61:$D$106,MATCH(B221,設定!$B$61:$B$106,0)),"Y")</f>
        <v>Y</v>
      </c>
      <c r="CI221" s="34" t="str">
        <f aca="false">IFERROR(INDEX(設定!$D$20:$D$34,MATCH(A221,設定!$A$20:$A$34,0))&amp;"","")</f>
        <v>2026-06 月例</v>
      </c>
    </row>
    <row r="222" customFormat="false" ht="15" hidden="true" customHeight="false" outlineLevel="0" collapsed="false">
      <c r="A222" s="22" t="s">
        <v>211</v>
      </c>
      <c r="B222" s="23" t="s">
        <v>192</v>
      </c>
      <c r="C222" s="10" t="str">
        <f aca="false">IF(G222="","未受領",IF(G222="なし","報告なし",IF(AH222="○","起票済",IF(OR(AG222="○",F222="一致",F222="入金不要"),"入金確認済","受領済"))))</f>
        <v>入金確認済</v>
      </c>
      <c r="D222" s="10" t="str">
        <f aca="false">IF(OR(G222="",G222="なし"),"―",IF(CH222="N","対象外",IF(AND(I222="",J222="",K222=""),"標報未入力",IF(CD222&gt;=設定!$B$4,"要確認","問題なし"))))</f>
        <v>標報未入力</v>
      </c>
      <c r="E222" s="24" t="str">
        <f aca="false">IF(OR(G222="",G222="なし",CE222="",CF222=0),"―",IF(CF222=CE222,"前月同額",IF(CE222=0,"―",IF(ABS(CF222/CE222-1)&gt;=設定!$B$5,"変動大 "&amp;TEXT(CF222/CE222-1,"+0%;-0%"),"〇"))))</f>
        <v>前月同額</v>
      </c>
      <c r="F222" s="10" t="str">
        <f aca="false">IF(OR(G222="",G222="なし"),"―",IF(CF222=0,"入金不要",IF(COUNT(Z222,AB222,AD222,AF222)=0,IF(AG222="○","手動確認","未入金"),IF(AND(N(Z222)=Y222,IF(AA222="",TRUE(),N(AB222)=AA222),IF(AC222="",TRUE(),N(AD222)=AC222),IF(AE222="",TRUE(),N(AF222)=AE222)),"一致","不一致"))))</f>
        <v>手動確認</v>
      </c>
      <c r="G222" s="25" t="s">
        <v>159</v>
      </c>
      <c r="H222" s="26"/>
      <c r="I222" s="27"/>
      <c r="J222" s="27"/>
      <c r="K222" s="27"/>
      <c r="L222" s="27" t="n">
        <v>59475</v>
      </c>
      <c r="M222" s="27" t="n">
        <v>4875</v>
      </c>
      <c r="N222" s="27" t="n">
        <v>59475</v>
      </c>
      <c r="O222" s="27" t="n">
        <v>4875</v>
      </c>
      <c r="P222" s="27" t="n">
        <v>56</v>
      </c>
      <c r="Q222" s="27" t="n">
        <v>38895</v>
      </c>
      <c r="R222" s="27" t="n">
        <v>38932</v>
      </c>
      <c r="S222" s="27" t="n">
        <v>5925</v>
      </c>
      <c r="T222" s="27" t="n">
        <v>5925</v>
      </c>
      <c r="U222" s="27" t="n">
        <v>862</v>
      </c>
      <c r="V222" s="27" t="n">
        <v>862</v>
      </c>
      <c r="W222" s="10" t="str">
        <f aca="false">IFERROR(INDEX(設定!$E$61:$E$106,MATCH(B222,設定!$B$61:$B$106,0)),"合算")</f>
        <v>合算</v>
      </c>
      <c r="X222" s="28"/>
      <c r="Y222" s="29" t="n">
        <f aca="false">IF(OR(G222="",G222="なし"),"",IF(W222="合算",CF222,IF(W222="掛金・負担金別",(AU222+AV222+AZ222+BB222+BD222),SUM(AU222:AY222))))</f>
        <v>220157</v>
      </c>
      <c r="Z222" s="27"/>
      <c r="AA222" s="29" t="str">
        <f aca="false">IF(OR(G222="",G222="なし"),"",IF(W222="掛金・負担金別",(AW222+AX222+AY222+BA222+BC222+BE222),IF(W222="経理区分別",AZ222+BA222,"")))</f>
        <v/>
      </c>
      <c r="AB222" s="27"/>
      <c r="AC222" s="29" t="str">
        <f aca="false">IF(OR(G222="",G222="なし"),"",IF(W222="経理区分別",BB222+BC222,""))</f>
        <v/>
      </c>
      <c r="AD222" s="27"/>
      <c r="AE222" s="29" t="str">
        <f aca="false">IF(OR(G222="",G222="なし"),"",IF(W222="経理区分別",BD222+BE222,""))</f>
        <v/>
      </c>
      <c r="AF222" s="27"/>
      <c r="AG222" s="26" t="s">
        <v>160</v>
      </c>
      <c r="AH222" s="26"/>
      <c r="AI222" s="30"/>
      <c r="AJ222" s="31"/>
      <c r="AK222" s="31"/>
      <c r="AL222" s="31"/>
      <c r="AM222" s="31"/>
      <c r="AN222" s="31"/>
      <c r="AO222" s="31"/>
      <c r="AP222" s="31"/>
      <c r="AQ222" s="31"/>
      <c r="AR222" s="31"/>
      <c r="AS222" s="31"/>
      <c r="AT222" s="31"/>
      <c r="AU222" s="31" t="n">
        <f aca="false">IF($G222="",AJ222,L222)</f>
        <v>59475</v>
      </c>
      <c r="AV222" s="31" t="n">
        <f aca="false">IF($G222="",AK222,M222)</f>
        <v>4875</v>
      </c>
      <c r="AW222" s="31" t="n">
        <f aca="false">IF($G222="",AL222,N222)</f>
        <v>59475</v>
      </c>
      <c r="AX222" s="31" t="n">
        <f aca="false">IF($G222="",AM222,O222)</f>
        <v>4875</v>
      </c>
      <c r="AY222" s="31" t="n">
        <f aca="false">IF($G222="",AN222,P222)</f>
        <v>56</v>
      </c>
      <c r="AZ222" s="31" t="n">
        <f aca="false">IF($G222="",AO222,Q222)</f>
        <v>38895</v>
      </c>
      <c r="BA222" s="31" t="n">
        <f aca="false">IF($G222="",AP222,R222)</f>
        <v>38932</v>
      </c>
      <c r="BB222" s="31" t="n">
        <f aca="false">IF($G222="",AQ222,S222)</f>
        <v>5925</v>
      </c>
      <c r="BC222" s="31" t="n">
        <f aca="false">IF($G222="",AR222,T222)</f>
        <v>5925</v>
      </c>
      <c r="BD222" s="31" t="n">
        <f aca="false">IF($G222="",AS222,U222)</f>
        <v>862</v>
      </c>
      <c r="BE222" s="31" t="n">
        <f aca="false">IF($G222="",AT222,V222)</f>
        <v>862</v>
      </c>
      <c r="BF222" s="31" t="n">
        <f aca="false">ROUNDDOWN(I222*設定!$B$10/1000,0)+ROUNDDOWN(I222*設定!$B$11/1000,0)</f>
        <v>0</v>
      </c>
      <c r="BG222" s="31" t="n">
        <f aca="false">ROUNDDOWN(I222*設定!$C$10/1000,0)+ROUNDDOWN(I222*設定!$C$11/1000,0)+ROUNDDOWN(I222*設定!$C$12/1000,0)</f>
        <v>0</v>
      </c>
      <c r="BH222" s="31" t="n">
        <f aca="false">ROUNDDOWN(J222*設定!$B$13/1000,0)</f>
        <v>0</v>
      </c>
      <c r="BI222" s="31" t="n">
        <f aca="false">ROUNDDOWN(J222*設定!$C$13/1000,0)</f>
        <v>0</v>
      </c>
      <c r="BJ222" s="31" t="n">
        <f aca="false">ROUNDDOWN(K222*設定!$B$14/1000,0)</f>
        <v>0</v>
      </c>
      <c r="BK222" s="31" t="n">
        <f aca="false">ROUNDDOWN(K222*設定!$C$14/1000,0)</f>
        <v>0</v>
      </c>
      <c r="BL222" s="31" t="n">
        <f aca="false">ROUNDDOWN(J222*設定!$B$15/1000,0)</f>
        <v>0</v>
      </c>
      <c r="BM222" s="31" t="n">
        <f aca="false">ROUNDDOWN(J222*設定!$C$15/1000,0)</f>
        <v>0</v>
      </c>
      <c r="BN222" s="31" t="n">
        <f aca="false">L222+M222</f>
        <v>64350</v>
      </c>
      <c r="BO222" s="31" t="n">
        <f aca="false">N222+O222+P222</f>
        <v>64406</v>
      </c>
      <c r="BP222" s="31" t="n">
        <f aca="false">Q222</f>
        <v>38895</v>
      </c>
      <c r="BQ222" s="31" t="n">
        <f aca="false">R222</f>
        <v>38932</v>
      </c>
      <c r="BR222" s="31" t="n">
        <f aca="false">S222</f>
        <v>5925</v>
      </c>
      <c r="BS222" s="31" t="n">
        <f aca="false">T222</f>
        <v>5925</v>
      </c>
      <c r="BT222" s="31" t="n">
        <f aca="false">U222</f>
        <v>862</v>
      </c>
      <c r="BU222" s="31" t="n">
        <f aca="false">V222</f>
        <v>862</v>
      </c>
      <c r="BV222" s="32" t="n">
        <f aca="false">IF(BF222=0,IF(BN222=0,0,1),(BN222-BF222)/BF222)</f>
        <v>1</v>
      </c>
      <c r="BW222" s="32" t="n">
        <f aca="false">IF(BG222=0,IF(BO222=0,0,1),(BO222-BG222)/BG222)</f>
        <v>1</v>
      </c>
      <c r="BX222" s="32" t="n">
        <f aca="false">IF(BH222=0,IF(BP222=0,0,1),(BP222-BH222)/BH222)</f>
        <v>1</v>
      </c>
      <c r="BY222" s="32" t="n">
        <f aca="false">IF(BI222=0,IF(BQ222=0,0,1),(BQ222-BI222)/BI222)</f>
        <v>1</v>
      </c>
      <c r="BZ222" s="32" t="n">
        <f aca="false">IF(BJ222=0,IF(BR222=0,0,1),(BR222-BJ222)/BJ222)</f>
        <v>1</v>
      </c>
      <c r="CA222" s="32" t="n">
        <f aca="false">IF(BK222=0,IF(BS222=0,0,1),(BS222-BK222)/BK222)</f>
        <v>1</v>
      </c>
      <c r="CB222" s="32" t="n">
        <f aca="false">IF(BL222=0,IF(BT222=0,0,1),(BT222-BL222)/BL222)</f>
        <v>1</v>
      </c>
      <c r="CC222" s="32" t="n">
        <f aca="false">IF(BM222=0,IF(BU222=0,0,1),(BU222-BM222)/BM222)</f>
        <v>1</v>
      </c>
      <c r="CD222" s="32" t="n">
        <f aca="false">MAX(MAX(BV222:CC222),-MIN(BV222:CC222))</f>
        <v>1</v>
      </c>
      <c r="CE222" s="31" t="n">
        <f aca="false">IF(CI222="","",SUMIFS($CF$7:$CF$696,$A$7:$A$696,CI222,$B$7:$B$696,B222))</f>
        <v>220157</v>
      </c>
      <c r="CF222" s="31" t="n">
        <f aca="false">SUM(AU222:BE222)</f>
        <v>220157</v>
      </c>
      <c r="CG222" s="33" t="str">
        <f aca="false">A222&amp;"|"&amp;B222</f>
        <v>2026-07 月例|全国市町村研修財団</v>
      </c>
      <c r="CH222" s="34" t="str">
        <f aca="false">IFERROR(INDEX(設定!$D$61:$D$106,MATCH(B222,設定!$B$61:$B$106,0)),"Y")</f>
        <v>Y</v>
      </c>
      <c r="CI222" s="34" t="str">
        <f aca="false">IFERROR(INDEX(設定!$D$20:$D$34,MATCH(A222,設定!$A$20:$A$34,0))&amp;"","")</f>
        <v>2026-06 月例</v>
      </c>
    </row>
    <row r="223" customFormat="false" ht="15" hidden="true" customHeight="false" outlineLevel="0" collapsed="false">
      <c r="A223" s="22" t="s">
        <v>211</v>
      </c>
      <c r="B223" s="23" t="s">
        <v>193</v>
      </c>
      <c r="C223" s="10" t="str">
        <f aca="false">IF(G223="","未受領",IF(G223="なし","報告なし",IF(AH223="○","起票済",IF(OR(AG223="○",F223="一致",F223="入金不要"),"入金確認済","受領済"))))</f>
        <v>入金確認済</v>
      </c>
      <c r="D223" s="10" t="str">
        <f aca="false">IF(OR(G223="",G223="なし"),"―",IF(CH223="N","対象外",IF(AND(I223="",J223="",K223=""),"標報未入力",IF(CD223&gt;=設定!$B$4,"要確認","問題なし"))))</f>
        <v>標報未入力</v>
      </c>
      <c r="E223" s="24" t="str">
        <f aca="false">IF(OR(G223="",G223="なし",CE223="",CF223=0),"―",IF(CF223=CE223,"前月同額",IF(CE223=0,"―",IF(ABS(CF223/CE223-1)&gt;=設定!$B$5,"変動大 "&amp;TEXT(CF223/CE223-1,"+0%;-0%"),"〇"))))</f>
        <v>変動大 +22%</v>
      </c>
      <c r="F223" s="10" t="str">
        <f aca="false">IF(OR(G223="",G223="なし"),"―",IF(CF223=0,"入金不要",IF(COUNT(Z223,AB223,AD223,AF223)=0,IF(AG223="○","手動確認","未入金"),IF(AND(N(Z223)=Y223,IF(AA223="",TRUE(),N(AB223)=AA223),IF(AC223="",TRUE(),N(AD223)=AC223),IF(AE223="",TRUE(),N(AF223)=AE223)),"一致","不一致"))))</f>
        <v>手動確認</v>
      </c>
      <c r="G223" s="25" t="s">
        <v>159</v>
      </c>
      <c r="H223" s="26"/>
      <c r="I223" s="27"/>
      <c r="J223" s="27"/>
      <c r="K223" s="27"/>
      <c r="L223" s="27" t="n">
        <v>45750</v>
      </c>
      <c r="M223" s="27" t="n">
        <v>3750</v>
      </c>
      <c r="N223" s="27" t="n">
        <v>45750</v>
      </c>
      <c r="O223" s="27" t="n">
        <v>3750</v>
      </c>
      <c r="P223" s="27" t="n">
        <v>43</v>
      </c>
      <c r="Q223" s="27" t="n">
        <v>25930</v>
      </c>
      <c r="R223" s="27" t="n">
        <v>25955</v>
      </c>
      <c r="S223" s="27" t="n">
        <v>0</v>
      </c>
      <c r="T223" s="27" t="n">
        <v>0</v>
      </c>
      <c r="U223" s="27" t="n">
        <v>575</v>
      </c>
      <c r="V223" s="27" t="n">
        <v>575</v>
      </c>
      <c r="W223" s="10" t="str">
        <f aca="false">IFERROR(INDEX(設定!$E$61:$E$106,MATCH(B223,設定!$B$61:$B$106,0)),"合算")</f>
        <v>合算</v>
      </c>
      <c r="X223" s="28"/>
      <c r="Y223" s="29" t="n">
        <f aca="false">IF(OR(G223="",G223="なし"),"",IF(W223="合算",CF223,IF(W223="掛金・負担金別",(AU223+AV223+AZ223+BB223+BD223),SUM(AU223:AY223))))</f>
        <v>152078</v>
      </c>
      <c r="Z223" s="27"/>
      <c r="AA223" s="29" t="str">
        <f aca="false">IF(OR(G223="",G223="なし"),"",IF(W223="掛金・負担金別",(AW223+AX223+AY223+BA223+BC223+BE223),IF(W223="経理区分別",AZ223+BA223,"")))</f>
        <v/>
      </c>
      <c r="AB223" s="27"/>
      <c r="AC223" s="29" t="str">
        <f aca="false">IF(OR(G223="",G223="なし"),"",IF(W223="経理区分別",BB223+BC223,""))</f>
        <v/>
      </c>
      <c r="AD223" s="27"/>
      <c r="AE223" s="29" t="str">
        <f aca="false">IF(OR(G223="",G223="なし"),"",IF(W223="経理区分別",BD223+BE223,""))</f>
        <v/>
      </c>
      <c r="AF223" s="27"/>
      <c r="AG223" s="26" t="s">
        <v>160</v>
      </c>
      <c r="AH223" s="26"/>
      <c r="AI223" s="30"/>
      <c r="AJ223" s="31"/>
      <c r="AK223" s="31"/>
      <c r="AL223" s="31"/>
      <c r="AM223" s="31"/>
      <c r="AN223" s="31"/>
      <c r="AO223" s="31"/>
      <c r="AP223" s="31"/>
      <c r="AQ223" s="31"/>
      <c r="AR223" s="31"/>
      <c r="AS223" s="31"/>
      <c r="AT223" s="31"/>
      <c r="AU223" s="31" t="n">
        <f aca="false">IF($G223="",AJ223,L223)</f>
        <v>45750</v>
      </c>
      <c r="AV223" s="31" t="n">
        <f aca="false">IF($G223="",AK223,M223)</f>
        <v>3750</v>
      </c>
      <c r="AW223" s="31" t="n">
        <f aca="false">IF($G223="",AL223,N223)</f>
        <v>45750</v>
      </c>
      <c r="AX223" s="31" t="n">
        <f aca="false">IF($G223="",AM223,O223)</f>
        <v>3750</v>
      </c>
      <c r="AY223" s="31" t="n">
        <f aca="false">IF($G223="",AN223,P223)</f>
        <v>43</v>
      </c>
      <c r="AZ223" s="31" t="n">
        <f aca="false">IF($G223="",AO223,Q223)</f>
        <v>25930</v>
      </c>
      <c r="BA223" s="31" t="n">
        <f aca="false">IF($G223="",AP223,R223)</f>
        <v>25955</v>
      </c>
      <c r="BB223" s="31" t="n">
        <f aca="false">IF($G223="",AQ223,S223)</f>
        <v>0</v>
      </c>
      <c r="BC223" s="31" t="n">
        <f aca="false">IF($G223="",AR223,T223)</f>
        <v>0</v>
      </c>
      <c r="BD223" s="31" t="n">
        <f aca="false">IF($G223="",AS223,U223)</f>
        <v>575</v>
      </c>
      <c r="BE223" s="31" t="n">
        <f aca="false">IF($G223="",AT223,V223)</f>
        <v>575</v>
      </c>
      <c r="BF223" s="31" t="n">
        <f aca="false">ROUNDDOWN(I223*設定!$B$10/1000,0)+ROUNDDOWN(I223*設定!$B$11/1000,0)</f>
        <v>0</v>
      </c>
      <c r="BG223" s="31" t="n">
        <f aca="false">ROUNDDOWN(I223*設定!$C$10/1000,0)+ROUNDDOWN(I223*設定!$C$11/1000,0)+ROUNDDOWN(I223*設定!$C$12/1000,0)</f>
        <v>0</v>
      </c>
      <c r="BH223" s="31" t="n">
        <f aca="false">ROUNDDOWN(J223*設定!$B$13/1000,0)</f>
        <v>0</v>
      </c>
      <c r="BI223" s="31" t="n">
        <f aca="false">ROUNDDOWN(J223*設定!$C$13/1000,0)</f>
        <v>0</v>
      </c>
      <c r="BJ223" s="31" t="n">
        <f aca="false">ROUNDDOWN(K223*設定!$B$14/1000,0)</f>
        <v>0</v>
      </c>
      <c r="BK223" s="31" t="n">
        <f aca="false">ROUNDDOWN(K223*設定!$C$14/1000,0)</f>
        <v>0</v>
      </c>
      <c r="BL223" s="31" t="n">
        <f aca="false">ROUNDDOWN(J223*設定!$B$15/1000,0)</f>
        <v>0</v>
      </c>
      <c r="BM223" s="31" t="n">
        <f aca="false">ROUNDDOWN(J223*設定!$C$15/1000,0)</f>
        <v>0</v>
      </c>
      <c r="BN223" s="31" t="n">
        <f aca="false">L223+M223</f>
        <v>49500</v>
      </c>
      <c r="BO223" s="31" t="n">
        <f aca="false">N223+O223+P223</f>
        <v>49543</v>
      </c>
      <c r="BP223" s="31" t="n">
        <f aca="false">Q223</f>
        <v>25930</v>
      </c>
      <c r="BQ223" s="31" t="n">
        <f aca="false">R223</f>
        <v>25955</v>
      </c>
      <c r="BR223" s="31" t="n">
        <f aca="false">S223</f>
        <v>0</v>
      </c>
      <c r="BS223" s="31" t="n">
        <f aca="false">T223</f>
        <v>0</v>
      </c>
      <c r="BT223" s="31" t="n">
        <f aca="false">U223</f>
        <v>575</v>
      </c>
      <c r="BU223" s="31" t="n">
        <f aca="false">V223</f>
        <v>575</v>
      </c>
      <c r="BV223" s="32" t="n">
        <f aca="false">IF(BF223=0,IF(BN223=0,0,1),(BN223-BF223)/BF223)</f>
        <v>1</v>
      </c>
      <c r="BW223" s="32" t="n">
        <f aca="false">IF(BG223=0,IF(BO223=0,0,1),(BO223-BG223)/BG223)</f>
        <v>1</v>
      </c>
      <c r="BX223" s="32" t="n">
        <f aca="false">IF(BH223=0,IF(BP223=0,0,1),(BP223-BH223)/BH223)</f>
        <v>1</v>
      </c>
      <c r="BY223" s="32" t="n">
        <f aca="false">IF(BI223=0,IF(BQ223=0,0,1),(BQ223-BI223)/BI223)</f>
        <v>1</v>
      </c>
      <c r="BZ223" s="32" t="n">
        <f aca="false">IF(BJ223=0,IF(BR223=0,0,1),(BR223-BJ223)/BJ223)</f>
        <v>0</v>
      </c>
      <c r="CA223" s="32" t="n">
        <f aca="false">IF(BK223=0,IF(BS223=0,0,1),(BS223-BK223)/BK223)</f>
        <v>0</v>
      </c>
      <c r="CB223" s="32" t="n">
        <f aca="false">IF(BL223=0,IF(BT223=0,0,1),(BT223-BL223)/BL223)</f>
        <v>1</v>
      </c>
      <c r="CC223" s="32" t="n">
        <f aca="false">IF(BM223=0,IF(BU223=0,0,1),(BU223-BM223)/BM223)</f>
        <v>1</v>
      </c>
      <c r="CD223" s="32" t="n">
        <f aca="false">MAX(MAX(BV223:CC223),-MIN(BV223:CC223))</f>
        <v>1</v>
      </c>
      <c r="CE223" s="31" t="n">
        <f aca="false">IF(CI223="","",SUMIFS($CF$7:$CF$696,$A$7:$A$696,CI223,$B$7:$B$696,B223))</f>
        <v>124702</v>
      </c>
      <c r="CF223" s="31" t="n">
        <f aca="false">SUM(AU223:BE223)</f>
        <v>152078</v>
      </c>
      <c r="CG223" s="33" t="str">
        <f aca="false">A223&amp;"|"&amp;B223</f>
        <v>2026-07 月例|都市再生機構</v>
      </c>
      <c r="CH223" s="34" t="str">
        <f aca="false">IFERROR(INDEX(設定!$D$61:$D$106,MATCH(B223,設定!$B$61:$B$106,0)),"Y")</f>
        <v>Y</v>
      </c>
      <c r="CI223" s="34" t="str">
        <f aca="false">IFERROR(INDEX(設定!$D$20:$D$34,MATCH(A223,設定!$A$20:$A$34,0))&amp;"","")</f>
        <v>2026-06 月例</v>
      </c>
    </row>
    <row r="224" customFormat="false" ht="15" hidden="true" customHeight="false" outlineLevel="0" collapsed="false">
      <c r="A224" s="22" t="s">
        <v>211</v>
      </c>
      <c r="B224" s="23" t="s">
        <v>194</v>
      </c>
      <c r="C224" s="10" t="str">
        <f aca="false">IF(G224="","未受領",IF(G224="なし","報告なし",IF(AH224="○","起票済",IF(OR(AG224="○",F224="一致",F224="入金不要"),"入金確認済","受領済"))))</f>
        <v>入金確認済</v>
      </c>
      <c r="D224" s="10" t="str">
        <f aca="false">IF(OR(G224="",G224="なし"),"―",IF(CH224="N","対象外",IF(AND(I224="",J224="",K224=""),"標報未入力",IF(CD224&gt;=設定!$B$4,"要確認","問題なし"))))</f>
        <v>標報未入力</v>
      </c>
      <c r="E224" s="24" t="str">
        <f aca="false">IF(OR(G224="",G224="なし",CE224="",CF224=0),"―",IF(CF224=CE224,"前月同額",IF(CE224=0,"―",IF(ABS(CF224/CE224-1)&gt;=設定!$B$5,"変動大 "&amp;TEXT(CF224/CE224-1,"+0%;-0%"),"〇"))))</f>
        <v>〇</v>
      </c>
      <c r="F224" s="10" t="str">
        <f aca="false">IF(OR(G224="",G224="なし"),"―",IF(CF224=0,"入金不要",IF(COUNT(Z224,AB224,AD224,AF224)=0,IF(AG224="○","手動確認","未入金"),IF(AND(N(Z224)=Y224,IF(AA224="",TRUE(),N(AB224)=AA224),IF(AC224="",TRUE(),N(AD224)=AC224),IF(AE224="",TRUE(),N(AF224)=AE224)),"一致","不一致"))))</f>
        <v>手動確認</v>
      </c>
      <c r="G224" s="25" t="s">
        <v>159</v>
      </c>
      <c r="H224" s="26"/>
      <c r="I224" s="27"/>
      <c r="J224" s="27"/>
      <c r="K224" s="27"/>
      <c r="L224" s="27" t="n">
        <v>1231590</v>
      </c>
      <c r="M224" s="27" t="n">
        <v>100950</v>
      </c>
      <c r="N224" s="27" t="n">
        <v>1231590</v>
      </c>
      <c r="O224" s="27" t="n">
        <v>100950</v>
      </c>
      <c r="P224" s="27" t="n">
        <v>1237</v>
      </c>
      <c r="Q224" s="27" t="n">
        <v>708914</v>
      </c>
      <c r="R224" s="27" t="n">
        <v>709649</v>
      </c>
      <c r="S224" s="27" t="n">
        <v>82002</v>
      </c>
      <c r="T224" s="27" t="n">
        <v>82002</v>
      </c>
      <c r="U224" s="27" t="n">
        <v>15716</v>
      </c>
      <c r="V224" s="27" t="n">
        <v>15720</v>
      </c>
      <c r="W224" s="10" t="str">
        <f aca="false">IFERROR(INDEX(設定!$E$61:$E$106,MATCH(B224,設定!$B$61:$B$106,0)),"合算")</f>
        <v>合算</v>
      </c>
      <c r="X224" s="28"/>
      <c r="Y224" s="29" t="n">
        <f aca="false">IF(OR(G224="",G224="なし"),"",IF(W224="合算",CF224,IF(W224="掛金・負担金別",(AU224+AV224+AZ224+BB224+BD224),SUM(AU224:AY224))))</f>
        <v>4280320</v>
      </c>
      <c r="Z224" s="27"/>
      <c r="AA224" s="29" t="str">
        <f aca="false">IF(OR(G224="",G224="なし"),"",IF(W224="掛金・負担金別",(AW224+AX224+AY224+BA224+BC224+BE224),IF(W224="経理区分別",AZ224+BA224,"")))</f>
        <v/>
      </c>
      <c r="AB224" s="27"/>
      <c r="AC224" s="29" t="str">
        <f aca="false">IF(OR(G224="",G224="なし"),"",IF(W224="経理区分別",BB224+BC224,""))</f>
        <v/>
      </c>
      <c r="AD224" s="27"/>
      <c r="AE224" s="29" t="str">
        <f aca="false">IF(OR(G224="",G224="なし"),"",IF(W224="経理区分別",BD224+BE224,""))</f>
        <v/>
      </c>
      <c r="AF224" s="27"/>
      <c r="AG224" s="26" t="s">
        <v>160</v>
      </c>
      <c r="AH224" s="26"/>
      <c r="AI224" s="30"/>
      <c r="AJ224" s="31"/>
      <c r="AK224" s="31"/>
      <c r="AL224" s="31"/>
      <c r="AM224" s="31"/>
      <c r="AN224" s="31"/>
      <c r="AO224" s="31"/>
      <c r="AP224" s="31"/>
      <c r="AQ224" s="31"/>
      <c r="AR224" s="31"/>
      <c r="AS224" s="31"/>
      <c r="AT224" s="31"/>
      <c r="AU224" s="31" t="n">
        <f aca="false">IF($G224="",AJ224,L224)</f>
        <v>1231590</v>
      </c>
      <c r="AV224" s="31" t="n">
        <f aca="false">IF($G224="",AK224,M224)</f>
        <v>100950</v>
      </c>
      <c r="AW224" s="31" t="n">
        <f aca="false">IF($G224="",AL224,N224)</f>
        <v>1231590</v>
      </c>
      <c r="AX224" s="31" t="n">
        <f aca="false">IF($G224="",AM224,O224)</f>
        <v>100950</v>
      </c>
      <c r="AY224" s="31" t="n">
        <f aca="false">IF($G224="",AN224,P224)</f>
        <v>1237</v>
      </c>
      <c r="AZ224" s="31" t="n">
        <f aca="false">IF($G224="",AO224,Q224)</f>
        <v>708914</v>
      </c>
      <c r="BA224" s="31" t="n">
        <f aca="false">IF($G224="",AP224,R224)</f>
        <v>709649</v>
      </c>
      <c r="BB224" s="31" t="n">
        <f aca="false">IF($G224="",AQ224,S224)</f>
        <v>82002</v>
      </c>
      <c r="BC224" s="31" t="n">
        <f aca="false">IF($G224="",AR224,T224)</f>
        <v>82002</v>
      </c>
      <c r="BD224" s="31" t="n">
        <f aca="false">IF($G224="",AS224,U224)</f>
        <v>15716</v>
      </c>
      <c r="BE224" s="31" t="n">
        <f aca="false">IF($G224="",AT224,V224)</f>
        <v>15720</v>
      </c>
      <c r="BF224" s="31" t="n">
        <f aca="false">ROUNDDOWN(I224*設定!$B$10/1000,0)+ROUNDDOWN(I224*設定!$B$11/1000,0)</f>
        <v>0</v>
      </c>
      <c r="BG224" s="31" t="n">
        <f aca="false">ROUNDDOWN(I224*設定!$C$10/1000,0)+ROUNDDOWN(I224*設定!$C$11/1000,0)+ROUNDDOWN(I224*設定!$C$12/1000,0)</f>
        <v>0</v>
      </c>
      <c r="BH224" s="31" t="n">
        <f aca="false">ROUNDDOWN(J224*設定!$B$13/1000,0)</f>
        <v>0</v>
      </c>
      <c r="BI224" s="31" t="n">
        <f aca="false">ROUNDDOWN(J224*設定!$C$13/1000,0)</f>
        <v>0</v>
      </c>
      <c r="BJ224" s="31" t="n">
        <f aca="false">ROUNDDOWN(K224*設定!$B$14/1000,0)</f>
        <v>0</v>
      </c>
      <c r="BK224" s="31" t="n">
        <f aca="false">ROUNDDOWN(K224*設定!$C$14/1000,0)</f>
        <v>0</v>
      </c>
      <c r="BL224" s="31" t="n">
        <f aca="false">ROUNDDOWN(J224*設定!$B$15/1000,0)</f>
        <v>0</v>
      </c>
      <c r="BM224" s="31" t="n">
        <f aca="false">ROUNDDOWN(J224*設定!$C$15/1000,0)</f>
        <v>0</v>
      </c>
      <c r="BN224" s="31" t="n">
        <f aca="false">L224+M224</f>
        <v>1332540</v>
      </c>
      <c r="BO224" s="31" t="n">
        <f aca="false">N224+O224+P224</f>
        <v>1333777</v>
      </c>
      <c r="BP224" s="31" t="n">
        <f aca="false">Q224</f>
        <v>708914</v>
      </c>
      <c r="BQ224" s="31" t="n">
        <f aca="false">R224</f>
        <v>709649</v>
      </c>
      <c r="BR224" s="31" t="n">
        <f aca="false">S224</f>
        <v>82002</v>
      </c>
      <c r="BS224" s="31" t="n">
        <f aca="false">T224</f>
        <v>82002</v>
      </c>
      <c r="BT224" s="31" t="n">
        <f aca="false">U224</f>
        <v>15716</v>
      </c>
      <c r="BU224" s="31" t="n">
        <f aca="false">V224</f>
        <v>15720</v>
      </c>
      <c r="BV224" s="32" t="n">
        <f aca="false">IF(BF224=0,IF(BN224=0,0,1),(BN224-BF224)/BF224)</f>
        <v>1</v>
      </c>
      <c r="BW224" s="32" t="n">
        <f aca="false">IF(BG224=0,IF(BO224=0,0,1),(BO224-BG224)/BG224)</f>
        <v>1</v>
      </c>
      <c r="BX224" s="32" t="n">
        <f aca="false">IF(BH224=0,IF(BP224=0,0,1),(BP224-BH224)/BH224)</f>
        <v>1</v>
      </c>
      <c r="BY224" s="32" t="n">
        <f aca="false">IF(BI224=0,IF(BQ224=0,0,1),(BQ224-BI224)/BI224)</f>
        <v>1</v>
      </c>
      <c r="BZ224" s="32" t="n">
        <f aca="false">IF(BJ224=0,IF(BR224=0,0,1),(BR224-BJ224)/BJ224)</f>
        <v>1</v>
      </c>
      <c r="CA224" s="32" t="n">
        <f aca="false">IF(BK224=0,IF(BS224=0,0,1),(BS224-BK224)/BK224)</f>
        <v>1</v>
      </c>
      <c r="CB224" s="32" t="n">
        <f aca="false">IF(BL224=0,IF(BT224=0,0,1),(BT224-BL224)/BL224)</f>
        <v>1</v>
      </c>
      <c r="CC224" s="32" t="n">
        <f aca="false">IF(BM224=0,IF(BU224=0,0,1),(BU224-BM224)/BM224)</f>
        <v>1</v>
      </c>
      <c r="CD224" s="32" t="n">
        <f aca="false">MAX(MAX(BV224:CC224),-MIN(BV224:CC224))</f>
        <v>1</v>
      </c>
      <c r="CE224" s="31" t="n">
        <f aca="false">IF(CI224="","",SUMIFS($CF$7:$CF$696,$A$7:$A$696,CI224,$B$7:$B$696,B224))</f>
        <v>4172024</v>
      </c>
      <c r="CF224" s="31" t="n">
        <f aca="false">SUM(AU224:BE224)</f>
        <v>4280320</v>
      </c>
      <c r="CG224" s="33" t="str">
        <f aca="false">A224&amp;"|"&amp;B224</f>
        <v>2026-07 月例|広島市立大学</v>
      </c>
      <c r="CH224" s="34" t="str">
        <f aca="false">IFERROR(INDEX(設定!$D$61:$D$106,MATCH(B224,設定!$B$61:$B$106,0)),"Y")</f>
        <v>Y</v>
      </c>
      <c r="CI224" s="34" t="str">
        <f aca="false">IFERROR(INDEX(設定!$D$20:$D$34,MATCH(A224,設定!$A$20:$A$34,0))&amp;"","")</f>
        <v>2026-06 月例</v>
      </c>
    </row>
    <row r="225" customFormat="false" ht="15" hidden="true" customHeight="false" outlineLevel="0" collapsed="false">
      <c r="A225" s="22" t="s">
        <v>211</v>
      </c>
      <c r="B225" s="23" t="s">
        <v>195</v>
      </c>
      <c r="C225" s="10" t="str">
        <f aca="false">IF(G225="","未受領",IF(G225="なし","報告なし",IF(AH225="○","起票済",IF(OR(AG225="○",F225="一致",F225="入金不要"),"入金確認済","受領済"))))</f>
        <v>入金確認済</v>
      </c>
      <c r="D225" s="10" t="str">
        <f aca="false">IF(OR(G225="",G225="なし"),"―",IF(CH225="N","対象外",IF(AND(I225="",J225="",K225=""),"標報未入力",IF(CD225&gt;=設定!$B$4,"要確認","問題なし"))))</f>
        <v>標報未入力</v>
      </c>
      <c r="E225" s="24" t="str">
        <f aca="false">IF(OR(G225="",G225="なし",CE225="",CF225=0),"―",IF(CF225=CE225,"前月同額",IF(CE225=0,"―",IF(ABS(CF225/CE225-1)&gt;=設定!$B$5,"変動大 "&amp;TEXT(CF225/CE225-1,"+0%;-0%"),"〇"))))</f>
        <v>〇</v>
      </c>
      <c r="F225" s="10" t="str">
        <f aca="false">IF(OR(G225="",G225="なし"),"―",IF(CF225=0,"入金不要",IF(COUNT(Z225,AB225,AD225,AF225)=0,IF(AG225="○","手動確認","未入金"),IF(AND(N(Z225)=Y225,IF(AA225="",TRUE(),N(AB225)=AA225),IF(AC225="",TRUE(),N(AD225)=AC225),IF(AE225="",TRUE(),N(AF225)=AE225)),"一致","不一致"))))</f>
        <v>手動確認</v>
      </c>
      <c r="G225" s="25" t="s">
        <v>159</v>
      </c>
      <c r="H225" s="26"/>
      <c r="I225" s="27"/>
      <c r="J225" s="27"/>
      <c r="K225" s="27"/>
      <c r="L225" s="27"/>
      <c r="M225" s="27"/>
      <c r="N225" s="27" t="n">
        <v>256200</v>
      </c>
      <c r="O225" s="27" t="n">
        <v>21000</v>
      </c>
      <c r="P225" s="27" t="n">
        <v>243</v>
      </c>
      <c r="Q225" s="27"/>
      <c r="R225" s="27" t="n">
        <v>148462</v>
      </c>
      <c r="S225" s="27"/>
      <c r="T225" s="27" t="n">
        <v>10507</v>
      </c>
      <c r="U225" s="27"/>
      <c r="V225" s="27" t="n">
        <v>3289</v>
      </c>
      <c r="W225" s="10" t="str">
        <f aca="false">IFERROR(INDEX(設定!$E$61:$E$106,MATCH(B225,設定!$B$61:$B$106,0)),"合算")</f>
        <v>合算</v>
      </c>
      <c r="X225" s="28"/>
      <c r="Y225" s="29" t="n">
        <f aca="false">IF(OR(G225="",G225="なし"),"",IF(W225="合算",CF225,IF(W225="掛金・負担金別",(AU225+AV225+AZ225+BB225+BD225),SUM(AU225:AY225))))</f>
        <v>439701</v>
      </c>
      <c r="Z225" s="27"/>
      <c r="AA225" s="29" t="str">
        <f aca="false">IF(OR(G225="",G225="なし"),"",IF(W225="掛金・負担金別",(AW225+AX225+AY225+BA225+BC225+BE225),IF(W225="経理区分別",AZ225+BA225,"")))</f>
        <v/>
      </c>
      <c r="AB225" s="27"/>
      <c r="AC225" s="29" t="str">
        <f aca="false">IF(OR(G225="",G225="なし"),"",IF(W225="経理区分別",BB225+BC225,""))</f>
        <v/>
      </c>
      <c r="AD225" s="27"/>
      <c r="AE225" s="29" t="str">
        <f aca="false">IF(OR(G225="",G225="なし"),"",IF(W225="経理区分別",BD225+BE225,""))</f>
        <v/>
      </c>
      <c r="AF225" s="27"/>
      <c r="AG225" s="26" t="s">
        <v>160</v>
      </c>
      <c r="AH225" s="26"/>
      <c r="AI225" s="30"/>
      <c r="AJ225" s="31"/>
      <c r="AK225" s="31"/>
      <c r="AL225" s="31"/>
      <c r="AM225" s="31"/>
      <c r="AN225" s="31"/>
      <c r="AO225" s="31"/>
      <c r="AP225" s="31"/>
      <c r="AQ225" s="31"/>
      <c r="AR225" s="31"/>
      <c r="AS225" s="31"/>
      <c r="AT225" s="31"/>
      <c r="AU225" s="31" t="n">
        <f aca="false">IF($G225="",AJ225,L225)</f>
        <v>0</v>
      </c>
      <c r="AV225" s="31" t="n">
        <f aca="false">IF($G225="",AK225,M225)</f>
        <v>0</v>
      </c>
      <c r="AW225" s="31" t="n">
        <f aca="false">IF($G225="",AL225,N225)</f>
        <v>256200</v>
      </c>
      <c r="AX225" s="31" t="n">
        <f aca="false">IF($G225="",AM225,O225)</f>
        <v>21000</v>
      </c>
      <c r="AY225" s="31" t="n">
        <f aca="false">IF($G225="",AN225,P225)</f>
        <v>243</v>
      </c>
      <c r="AZ225" s="31" t="n">
        <f aca="false">IF($G225="",AO225,Q225)</f>
        <v>0</v>
      </c>
      <c r="BA225" s="31" t="n">
        <f aca="false">IF($G225="",AP225,R225)</f>
        <v>148462</v>
      </c>
      <c r="BB225" s="31" t="n">
        <f aca="false">IF($G225="",AQ225,S225)</f>
        <v>0</v>
      </c>
      <c r="BC225" s="31" t="n">
        <f aca="false">IF($G225="",AR225,T225)</f>
        <v>10507</v>
      </c>
      <c r="BD225" s="31" t="n">
        <f aca="false">IF($G225="",AS225,U225)</f>
        <v>0</v>
      </c>
      <c r="BE225" s="31" t="n">
        <f aca="false">IF($G225="",AT225,V225)</f>
        <v>3289</v>
      </c>
      <c r="BF225" s="31" t="n">
        <f aca="false">ROUNDDOWN(I225*設定!$B$10/1000,0)+ROUNDDOWN(I225*設定!$B$11/1000,0)</f>
        <v>0</v>
      </c>
      <c r="BG225" s="31" t="n">
        <f aca="false">ROUNDDOWN(I225*設定!$C$10/1000,0)+ROUNDDOWN(I225*設定!$C$11/1000,0)+ROUNDDOWN(I225*設定!$C$12/1000,0)</f>
        <v>0</v>
      </c>
      <c r="BH225" s="31" t="n">
        <f aca="false">ROUNDDOWN(J225*設定!$B$13/1000,0)</f>
        <v>0</v>
      </c>
      <c r="BI225" s="31" t="n">
        <f aca="false">ROUNDDOWN(J225*設定!$C$13/1000,0)</f>
        <v>0</v>
      </c>
      <c r="BJ225" s="31" t="n">
        <f aca="false">ROUNDDOWN(K225*設定!$B$14/1000,0)</f>
        <v>0</v>
      </c>
      <c r="BK225" s="31" t="n">
        <f aca="false">ROUNDDOWN(K225*設定!$C$14/1000,0)</f>
        <v>0</v>
      </c>
      <c r="BL225" s="31" t="n">
        <f aca="false">ROUNDDOWN(J225*設定!$B$15/1000,0)</f>
        <v>0</v>
      </c>
      <c r="BM225" s="31" t="n">
        <f aca="false">ROUNDDOWN(J225*設定!$C$15/1000,0)</f>
        <v>0</v>
      </c>
      <c r="BN225" s="31" t="n">
        <f aca="false">L225+M225</f>
        <v>0</v>
      </c>
      <c r="BO225" s="31" t="n">
        <f aca="false">N225+O225+P225</f>
        <v>277443</v>
      </c>
      <c r="BP225" s="31" t="n">
        <f aca="false">Q225</f>
        <v>0</v>
      </c>
      <c r="BQ225" s="31" t="n">
        <f aca="false">R225</f>
        <v>148462</v>
      </c>
      <c r="BR225" s="31" t="n">
        <f aca="false">S225</f>
        <v>0</v>
      </c>
      <c r="BS225" s="31" t="n">
        <f aca="false">T225</f>
        <v>10507</v>
      </c>
      <c r="BT225" s="31" t="n">
        <f aca="false">U225</f>
        <v>0</v>
      </c>
      <c r="BU225" s="31" t="n">
        <f aca="false">V225</f>
        <v>3289</v>
      </c>
      <c r="BV225" s="32" t="n">
        <f aca="false">IF(BF225=0,IF(BN225=0,0,1),(BN225-BF225)/BF225)</f>
        <v>0</v>
      </c>
      <c r="BW225" s="32" t="n">
        <f aca="false">IF(BG225=0,IF(BO225=0,0,1),(BO225-BG225)/BG225)</f>
        <v>1</v>
      </c>
      <c r="BX225" s="32" t="n">
        <f aca="false">IF(BH225=0,IF(BP225=0,0,1),(BP225-BH225)/BH225)</f>
        <v>0</v>
      </c>
      <c r="BY225" s="32" t="n">
        <f aca="false">IF(BI225=0,IF(BQ225=0,0,1),(BQ225-BI225)/BI225)</f>
        <v>1</v>
      </c>
      <c r="BZ225" s="32" t="n">
        <f aca="false">IF(BJ225=0,IF(BR225=0,0,1),(BR225-BJ225)/BJ225)</f>
        <v>0</v>
      </c>
      <c r="CA225" s="32" t="n">
        <f aca="false">IF(BK225=0,IF(BS225=0,0,1),(BS225-BK225)/BK225)</f>
        <v>1</v>
      </c>
      <c r="CB225" s="32" t="n">
        <f aca="false">IF(BL225=0,IF(BT225=0,0,1),(BT225-BL225)/BL225)</f>
        <v>0</v>
      </c>
      <c r="CC225" s="32" t="n">
        <f aca="false">IF(BM225=0,IF(BU225=0,0,1),(BU225-BM225)/BM225)</f>
        <v>1</v>
      </c>
      <c r="CD225" s="32" t="n">
        <f aca="false">MAX(MAX(BV225:CC225),-MIN(BV225:CC225))</f>
        <v>1</v>
      </c>
      <c r="CE225" s="31" t="n">
        <f aca="false">IF(CI225="","",SUMIFS($CF$7:$CF$696,$A$7:$A$696,CI225,$B$7:$B$696,B225))</f>
        <v>416879</v>
      </c>
      <c r="CF225" s="31" t="n">
        <f aca="false">SUM(AU225:BE225)</f>
        <v>439701</v>
      </c>
      <c r="CG225" s="33" t="str">
        <f aca="false">A225&amp;"|"&amp;B225</f>
        <v>2026-07 月例|社会福祉協議会</v>
      </c>
      <c r="CH225" s="34" t="str">
        <f aca="false">IFERROR(INDEX(設定!$D$61:$D$106,MATCH(B225,設定!$B$61:$B$106,0)),"Y")</f>
        <v>Y</v>
      </c>
      <c r="CI225" s="34" t="str">
        <f aca="false">IFERROR(INDEX(設定!$D$20:$D$34,MATCH(A225,設定!$A$20:$A$34,0))&amp;"","")</f>
        <v>2026-06 月例</v>
      </c>
    </row>
    <row r="226" customFormat="false" ht="15" hidden="true" customHeight="false" outlineLevel="0" collapsed="false">
      <c r="A226" s="22" t="s">
        <v>211</v>
      </c>
      <c r="B226" s="23" t="s">
        <v>196</v>
      </c>
      <c r="C226" s="10" t="str">
        <f aca="false">IF(G226="","未受領",IF(G226="なし","報告なし",IF(AH226="○","起票済",IF(OR(AG226="○",F226="一致",F226="入金不要"),"入金確認済","受領済"))))</f>
        <v>入金確認済</v>
      </c>
      <c r="D226" s="10" t="str">
        <f aca="false">IF(OR(G226="",G226="なし"),"―",IF(CH226="N","対象外",IF(AND(I226="",J226="",K226=""),"標報未入力",IF(CD226&gt;=設定!$B$4,"要確認","問題なし"))))</f>
        <v>対象外</v>
      </c>
      <c r="E226" s="24" t="str">
        <f aca="false">IF(OR(G226="",G226="なし",CE226="",CF226=0),"―",IF(CF226=CE226,"前月同額",IF(CE226=0,"―",IF(ABS(CF226/CE226-1)&gt;=設定!$B$5,"変動大 "&amp;TEXT(CF226/CE226-1,"+0%;-0%"),"〇"))))</f>
        <v>〇</v>
      </c>
      <c r="F226" s="10" t="str">
        <f aca="false">IF(OR(G226="",G226="なし"),"―",IF(CF226=0,"入金不要",IF(COUNT(Z226,AB226,AD226,AF226)=0,IF(AG226="○","手動確認","未入金"),IF(AND(N(Z226)=Y226,IF(AA226="",TRUE(),N(AB226)=AA226),IF(AC226="",TRUE(),N(AD226)=AC226),IF(AE226="",TRUE(),N(AF226)=AE226)),"一致","不一致"))))</f>
        <v>手動確認</v>
      </c>
      <c r="G226" s="25" t="s">
        <v>159</v>
      </c>
      <c r="H226" s="26"/>
      <c r="I226" s="27"/>
      <c r="J226" s="27"/>
      <c r="K226" s="27"/>
      <c r="L226" s="27" t="n">
        <v>127522361</v>
      </c>
      <c r="M226" s="27" t="n">
        <v>10450553</v>
      </c>
      <c r="N226" s="27" t="n">
        <v>186040804</v>
      </c>
      <c r="O226" s="27" t="n">
        <v>10450553</v>
      </c>
      <c r="P226" s="27" t="n">
        <v>127229</v>
      </c>
      <c r="Q226" s="27" t="n">
        <v>94661023</v>
      </c>
      <c r="R226" s="27" t="n">
        <v>94767454</v>
      </c>
      <c r="S226" s="27" t="n">
        <v>8045644</v>
      </c>
      <c r="T226" s="27" t="n">
        <v>8045644</v>
      </c>
      <c r="U226" s="27" t="n">
        <v>2098459</v>
      </c>
      <c r="V226" s="27" t="n">
        <v>2098458</v>
      </c>
      <c r="W226" s="10" t="str">
        <f aca="false">IFERROR(INDEX(設定!$E$61:$E$106,MATCH(B226,設定!$B$61:$B$106,0)),"合算")</f>
        <v>合算</v>
      </c>
      <c r="X226" s="28"/>
      <c r="Y226" s="29" t="n">
        <f aca="false">IF(OR(G226="",G226="なし"),"",IF(W226="合算",CF226,IF(W226="掛金・負担金別",(AU226+AV226+AZ226+BB226+BD226),SUM(AU226:AY226))))</f>
        <v>544308182</v>
      </c>
      <c r="Z226" s="27"/>
      <c r="AA226" s="29" t="str">
        <f aca="false">IF(OR(G226="",G226="なし"),"",IF(W226="掛金・負担金別",(AW226+AX226+AY226+BA226+BC226+BE226),IF(W226="経理区分別",AZ226+BA226,"")))</f>
        <v/>
      </c>
      <c r="AB226" s="27"/>
      <c r="AC226" s="29" t="str">
        <f aca="false">IF(OR(G226="",G226="なし"),"",IF(W226="経理区分別",BB226+BC226,""))</f>
        <v/>
      </c>
      <c r="AD226" s="27"/>
      <c r="AE226" s="29" t="str">
        <f aca="false">IF(OR(G226="",G226="なし"),"",IF(W226="経理区分別",BD226+BE226,""))</f>
        <v/>
      </c>
      <c r="AF226" s="27"/>
      <c r="AG226" s="26" t="s">
        <v>160</v>
      </c>
      <c r="AH226" s="26"/>
      <c r="AI226" s="30"/>
      <c r="AJ226" s="31"/>
      <c r="AK226" s="31"/>
      <c r="AL226" s="31"/>
      <c r="AM226" s="31"/>
      <c r="AN226" s="31"/>
      <c r="AO226" s="31"/>
      <c r="AP226" s="31"/>
      <c r="AQ226" s="31"/>
      <c r="AR226" s="31"/>
      <c r="AS226" s="31"/>
      <c r="AT226" s="31"/>
      <c r="AU226" s="31" t="n">
        <f aca="false">IF($G226="",AJ226,L226)</f>
        <v>127522361</v>
      </c>
      <c r="AV226" s="31" t="n">
        <f aca="false">IF($G226="",AK226,M226)</f>
        <v>10450553</v>
      </c>
      <c r="AW226" s="31" t="n">
        <f aca="false">IF($G226="",AL226,N226)</f>
        <v>186040804</v>
      </c>
      <c r="AX226" s="31" t="n">
        <f aca="false">IF($G226="",AM226,O226)</f>
        <v>10450553</v>
      </c>
      <c r="AY226" s="31" t="n">
        <f aca="false">IF($G226="",AN226,P226)</f>
        <v>127229</v>
      </c>
      <c r="AZ226" s="31" t="n">
        <f aca="false">IF($G226="",AO226,Q226)</f>
        <v>94661023</v>
      </c>
      <c r="BA226" s="31" t="n">
        <f aca="false">IF($G226="",AP226,R226)</f>
        <v>94767454</v>
      </c>
      <c r="BB226" s="31" t="n">
        <f aca="false">IF($G226="",AQ226,S226)</f>
        <v>8045644</v>
      </c>
      <c r="BC226" s="31" t="n">
        <f aca="false">IF($G226="",AR226,T226)</f>
        <v>8045644</v>
      </c>
      <c r="BD226" s="31" t="n">
        <f aca="false">IF($G226="",AS226,U226)</f>
        <v>2098459</v>
      </c>
      <c r="BE226" s="31" t="n">
        <f aca="false">IF($G226="",AT226,V226)</f>
        <v>2098458</v>
      </c>
      <c r="BF226" s="31" t="n">
        <f aca="false">ROUNDDOWN(I226*設定!$B$10/1000,0)+ROUNDDOWN(I226*設定!$B$11/1000,0)</f>
        <v>0</v>
      </c>
      <c r="BG226" s="31" t="n">
        <f aca="false">ROUNDDOWN(I226*設定!$C$10/1000,0)+ROUNDDOWN(I226*設定!$C$11/1000,0)+ROUNDDOWN(I226*設定!$C$12/1000,0)</f>
        <v>0</v>
      </c>
      <c r="BH226" s="31" t="n">
        <f aca="false">ROUNDDOWN(J226*設定!$B$13/1000,0)</f>
        <v>0</v>
      </c>
      <c r="BI226" s="31" t="n">
        <f aca="false">ROUNDDOWN(J226*設定!$C$13/1000,0)</f>
        <v>0</v>
      </c>
      <c r="BJ226" s="31" t="n">
        <f aca="false">ROUNDDOWN(K226*設定!$B$14/1000,0)</f>
        <v>0</v>
      </c>
      <c r="BK226" s="31" t="n">
        <f aca="false">ROUNDDOWN(K226*設定!$C$14/1000,0)</f>
        <v>0</v>
      </c>
      <c r="BL226" s="31" t="n">
        <f aca="false">ROUNDDOWN(J226*設定!$B$15/1000,0)</f>
        <v>0</v>
      </c>
      <c r="BM226" s="31" t="n">
        <f aca="false">ROUNDDOWN(J226*設定!$C$15/1000,0)</f>
        <v>0</v>
      </c>
      <c r="BN226" s="31" t="n">
        <f aca="false">L226+M226</f>
        <v>137972914</v>
      </c>
      <c r="BO226" s="31" t="n">
        <f aca="false">N226+O226+P226</f>
        <v>196618586</v>
      </c>
      <c r="BP226" s="31" t="n">
        <f aca="false">Q226</f>
        <v>94661023</v>
      </c>
      <c r="BQ226" s="31" t="n">
        <f aca="false">R226</f>
        <v>94767454</v>
      </c>
      <c r="BR226" s="31" t="n">
        <f aca="false">S226</f>
        <v>8045644</v>
      </c>
      <c r="BS226" s="31" t="n">
        <f aca="false">T226</f>
        <v>8045644</v>
      </c>
      <c r="BT226" s="31" t="n">
        <f aca="false">U226</f>
        <v>2098459</v>
      </c>
      <c r="BU226" s="31" t="n">
        <f aca="false">V226</f>
        <v>2098458</v>
      </c>
      <c r="BV226" s="32" t="n">
        <f aca="false">IF(BF226=0,IF(BN226=0,0,1),(BN226-BF226)/BF226)</f>
        <v>1</v>
      </c>
      <c r="BW226" s="32" t="n">
        <f aca="false">IF(BG226=0,IF(BO226=0,0,1),(BO226-BG226)/BG226)</f>
        <v>1</v>
      </c>
      <c r="BX226" s="32" t="n">
        <f aca="false">IF(BH226=0,IF(BP226=0,0,1),(BP226-BH226)/BH226)</f>
        <v>1</v>
      </c>
      <c r="BY226" s="32" t="n">
        <f aca="false">IF(BI226=0,IF(BQ226=0,0,1),(BQ226-BI226)/BI226)</f>
        <v>1</v>
      </c>
      <c r="BZ226" s="32" t="n">
        <f aca="false">IF(BJ226=0,IF(BR226=0,0,1),(BR226-BJ226)/BJ226)</f>
        <v>1</v>
      </c>
      <c r="CA226" s="32" t="n">
        <f aca="false">IF(BK226=0,IF(BS226=0,0,1),(BS226-BK226)/BK226)</f>
        <v>1</v>
      </c>
      <c r="CB226" s="32" t="n">
        <f aca="false">IF(BL226=0,IF(BT226=0,0,1),(BT226-BL226)/BL226)</f>
        <v>1</v>
      </c>
      <c r="CC226" s="32" t="n">
        <f aca="false">IF(BM226=0,IF(BU226=0,0,1),(BU226-BM226)/BM226)</f>
        <v>1</v>
      </c>
      <c r="CD226" s="32" t="n">
        <f aca="false">MAX(MAX(BV226:CC226),-MIN(BV226:CC226))</f>
        <v>1</v>
      </c>
      <c r="CE226" s="31" t="n">
        <f aca="false">IF(CI226="","",SUMIFS($CF$7:$CF$696,$A$7:$A$696,CI226,$B$7:$B$696,B226))</f>
        <v>542685336</v>
      </c>
      <c r="CF226" s="31" t="n">
        <f aca="false">SUM(AU226:BE226)</f>
        <v>544308182</v>
      </c>
      <c r="CG226" s="33" t="str">
        <f aca="false">A226&amp;"|"&amp;B226</f>
        <v>2026-07 月例|市立病院機構</v>
      </c>
      <c r="CH226" s="34" t="str">
        <f aca="false">IFERROR(INDEX(設定!$D$61:$D$106,MATCH(B226,設定!$B$61:$B$106,0)),"Y")</f>
        <v>N</v>
      </c>
      <c r="CI226" s="34" t="str">
        <f aca="false">IFERROR(INDEX(設定!$D$20:$D$34,MATCH(A226,設定!$A$20:$A$34,0))&amp;"","")</f>
        <v>2026-06 月例</v>
      </c>
    </row>
    <row r="227" customFormat="false" ht="15" hidden="true" customHeight="false" outlineLevel="0" collapsed="false">
      <c r="A227" s="22" t="s">
        <v>211</v>
      </c>
      <c r="B227" s="23" t="s">
        <v>197</v>
      </c>
      <c r="C227" s="10" t="str">
        <f aca="false">IF(G227="","未受領",IF(G227="なし","報告なし",IF(AH227="○","起票済",IF(OR(AG227="○",F227="一致",F227="入金不要"),"入金確認済","受領済"))))</f>
        <v>入金確認済</v>
      </c>
      <c r="D227" s="10" t="str">
        <f aca="false">IF(OR(G227="",G227="なし"),"―",IF(CH227="N","対象外",IF(AND(I227="",J227="",K227=""),"標報未入力",IF(CD227&gt;=設定!$B$4,"要確認","問題なし"))))</f>
        <v>標報未入力</v>
      </c>
      <c r="E227" s="24" t="str">
        <f aca="false">IF(OR(G227="",G227="なし",CE227="",CF227=0),"―",IF(CF227=CE227,"前月同額",IF(CE227=0,"―",IF(ABS(CF227/CE227-1)&gt;=設定!$B$5,"変動大 "&amp;TEXT(CF227/CE227-1,"+0%;-0%"),"〇"))))</f>
        <v>前月同額</v>
      </c>
      <c r="F227" s="10" t="str">
        <f aca="false">IF(OR(G227="",G227="なし"),"―",IF(CF227=0,"入金不要",IF(COUNT(Z227,AB227,AD227,AF227)=0,IF(AG227="○","手動確認","未入金"),IF(AND(N(Z227)=Y227,IF(AA227="",TRUE(),N(AB227)=AA227),IF(AC227="",TRUE(),N(AD227)=AC227),IF(AE227="",TRUE(),N(AF227)=AE227)),"一致","不一致"))))</f>
        <v>手動確認</v>
      </c>
      <c r="G227" s="25" t="s">
        <v>159</v>
      </c>
      <c r="H227" s="26"/>
      <c r="I227" s="27"/>
      <c r="J227" s="27"/>
      <c r="K227" s="27"/>
      <c r="L227" s="27"/>
      <c r="M227" s="27"/>
      <c r="N227" s="27"/>
      <c r="O227" s="27"/>
      <c r="P227" s="27"/>
      <c r="Q227" s="27" t="n">
        <v>104755</v>
      </c>
      <c r="R227" s="27" t="n">
        <v>104857</v>
      </c>
      <c r="S227" s="27" t="n">
        <v>11060</v>
      </c>
      <c r="T227" s="27" t="n">
        <v>11060</v>
      </c>
      <c r="U227" s="27" t="n">
        <v>2321</v>
      </c>
      <c r="V227" s="27" t="n">
        <v>2322</v>
      </c>
      <c r="W227" s="10" t="str">
        <f aca="false">IFERROR(INDEX(設定!$E$61:$E$106,MATCH(B227,設定!$B$61:$B$106,0)),"合算")</f>
        <v>合算</v>
      </c>
      <c r="X227" s="28"/>
      <c r="Y227" s="29" t="n">
        <f aca="false">IF(OR(G227="",G227="なし"),"",IF(W227="合算",CF227,IF(W227="掛金・負担金別",(AU227+AV227+AZ227+BB227+BD227),SUM(AU227:AY227))))</f>
        <v>236375</v>
      </c>
      <c r="Z227" s="27"/>
      <c r="AA227" s="29" t="str">
        <f aca="false">IF(OR(G227="",G227="なし"),"",IF(W227="掛金・負担金別",(AW227+AX227+AY227+BA227+BC227+BE227),IF(W227="経理区分別",AZ227+BA227,"")))</f>
        <v/>
      </c>
      <c r="AB227" s="27"/>
      <c r="AC227" s="29" t="str">
        <f aca="false">IF(OR(G227="",G227="なし"),"",IF(W227="経理区分別",BB227+BC227,""))</f>
        <v/>
      </c>
      <c r="AD227" s="27"/>
      <c r="AE227" s="29" t="str">
        <f aca="false">IF(OR(G227="",G227="なし"),"",IF(W227="経理区分別",BD227+BE227,""))</f>
        <v/>
      </c>
      <c r="AF227" s="27"/>
      <c r="AG227" s="26" t="s">
        <v>160</v>
      </c>
      <c r="AH227" s="26"/>
      <c r="AI227" s="30"/>
      <c r="AJ227" s="31"/>
      <c r="AK227" s="31"/>
      <c r="AL227" s="31"/>
      <c r="AM227" s="31"/>
      <c r="AN227" s="31"/>
      <c r="AO227" s="31"/>
      <c r="AP227" s="31"/>
      <c r="AQ227" s="31"/>
      <c r="AR227" s="31"/>
      <c r="AS227" s="31"/>
      <c r="AT227" s="31"/>
      <c r="AU227" s="31" t="n">
        <f aca="false">IF($G227="",AJ227,L227)</f>
        <v>0</v>
      </c>
      <c r="AV227" s="31" t="n">
        <f aca="false">IF($G227="",AK227,M227)</f>
        <v>0</v>
      </c>
      <c r="AW227" s="31" t="n">
        <f aca="false">IF($G227="",AL227,N227)</f>
        <v>0</v>
      </c>
      <c r="AX227" s="31" t="n">
        <f aca="false">IF($G227="",AM227,O227)</f>
        <v>0</v>
      </c>
      <c r="AY227" s="31" t="n">
        <f aca="false">IF($G227="",AN227,P227)</f>
        <v>0</v>
      </c>
      <c r="AZ227" s="31" t="n">
        <f aca="false">IF($G227="",AO227,Q227)</f>
        <v>104755</v>
      </c>
      <c r="BA227" s="31" t="n">
        <f aca="false">IF($G227="",AP227,R227)</f>
        <v>104857</v>
      </c>
      <c r="BB227" s="31" t="n">
        <f aca="false">IF($G227="",AQ227,S227)</f>
        <v>11060</v>
      </c>
      <c r="BC227" s="31" t="n">
        <f aca="false">IF($G227="",AR227,T227)</f>
        <v>11060</v>
      </c>
      <c r="BD227" s="31" t="n">
        <f aca="false">IF($G227="",AS227,U227)</f>
        <v>2321</v>
      </c>
      <c r="BE227" s="31" t="n">
        <f aca="false">IF($G227="",AT227,V227)</f>
        <v>2322</v>
      </c>
      <c r="BF227" s="31" t="n">
        <f aca="false">ROUNDDOWN(I227*設定!$B$10/1000,0)+ROUNDDOWN(I227*設定!$B$11/1000,0)</f>
        <v>0</v>
      </c>
      <c r="BG227" s="31" t="n">
        <f aca="false">ROUNDDOWN(I227*設定!$C$10/1000,0)+ROUNDDOWN(I227*設定!$C$11/1000,0)+ROUNDDOWN(I227*設定!$C$12/1000,0)</f>
        <v>0</v>
      </c>
      <c r="BH227" s="31" t="n">
        <f aca="false">ROUNDDOWN(J227*設定!$B$13/1000,0)</f>
        <v>0</v>
      </c>
      <c r="BI227" s="31" t="n">
        <f aca="false">ROUNDDOWN(J227*設定!$C$13/1000,0)</f>
        <v>0</v>
      </c>
      <c r="BJ227" s="31" t="n">
        <f aca="false">ROUNDDOWN(K227*設定!$B$14/1000,0)</f>
        <v>0</v>
      </c>
      <c r="BK227" s="31" t="n">
        <f aca="false">ROUNDDOWN(K227*設定!$C$14/1000,0)</f>
        <v>0</v>
      </c>
      <c r="BL227" s="31" t="n">
        <f aca="false">ROUNDDOWN(J227*設定!$B$15/1000,0)</f>
        <v>0</v>
      </c>
      <c r="BM227" s="31" t="n">
        <f aca="false">ROUNDDOWN(J227*設定!$C$15/1000,0)</f>
        <v>0</v>
      </c>
      <c r="BN227" s="31" t="n">
        <f aca="false">L227+M227</f>
        <v>0</v>
      </c>
      <c r="BO227" s="31" t="n">
        <f aca="false">N227+O227+P227</f>
        <v>0</v>
      </c>
      <c r="BP227" s="31" t="n">
        <f aca="false">Q227</f>
        <v>104755</v>
      </c>
      <c r="BQ227" s="31" t="n">
        <f aca="false">R227</f>
        <v>104857</v>
      </c>
      <c r="BR227" s="31" t="n">
        <f aca="false">S227</f>
        <v>11060</v>
      </c>
      <c r="BS227" s="31" t="n">
        <f aca="false">T227</f>
        <v>11060</v>
      </c>
      <c r="BT227" s="31" t="n">
        <f aca="false">U227</f>
        <v>2321</v>
      </c>
      <c r="BU227" s="31" t="n">
        <f aca="false">V227</f>
        <v>2322</v>
      </c>
      <c r="BV227" s="32" t="n">
        <f aca="false">IF(BF227=0,IF(BN227=0,0,1),(BN227-BF227)/BF227)</f>
        <v>0</v>
      </c>
      <c r="BW227" s="32" t="n">
        <f aca="false">IF(BG227=0,IF(BO227=0,0,1),(BO227-BG227)/BG227)</f>
        <v>0</v>
      </c>
      <c r="BX227" s="32" t="n">
        <f aca="false">IF(BH227=0,IF(BP227=0,0,1),(BP227-BH227)/BH227)</f>
        <v>1</v>
      </c>
      <c r="BY227" s="32" t="n">
        <f aca="false">IF(BI227=0,IF(BQ227=0,0,1),(BQ227-BI227)/BI227)</f>
        <v>1</v>
      </c>
      <c r="BZ227" s="32" t="n">
        <f aca="false">IF(BJ227=0,IF(BR227=0,0,1),(BR227-BJ227)/BJ227)</f>
        <v>1</v>
      </c>
      <c r="CA227" s="32" t="n">
        <f aca="false">IF(BK227=0,IF(BS227=0,0,1),(BS227-BK227)/BK227)</f>
        <v>1</v>
      </c>
      <c r="CB227" s="32" t="n">
        <f aca="false">IF(BL227=0,IF(BT227=0,0,1),(BT227-BL227)/BL227)</f>
        <v>1</v>
      </c>
      <c r="CC227" s="32" t="n">
        <f aca="false">IF(BM227=0,IF(BU227=0,0,1),(BU227-BM227)/BM227)</f>
        <v>1</v>
      </c>
      <c r="CD227" s="32" t="n">
        <f aca="false">MAX(MAX(BV227:CC227),-MIN(BV227:CC227))</f>
        <v>1</v>
      </c>
      <c r="CE227" s="31" t="n">
        <f aca="false">IF(CI227="","",SUMIFS($CF$7:$CF$696,$A$7:$A$696,CI227,$B$7:$B$696,B227))</f>
        <v>236375</v>
      </c>
      <c r="CF227" s="31" t="n">
        <f aca="false">SUM(AU227:BE227)</f>
        <v>236375</v>
      </c>
      <c r="CG227" s="33" t="str">
        <f aca="false">A227&amp;"|"&amp;B227</f>
        <v>2026-07 月例|職員共済組合</v>
      </c>
      <c r="CH227" s="34" t="str">
        <f aca="false">IFERROR(INDEX(設定!$D$61:$D$106,MATCH(B227,設定!$B$61:$B$106,0)),"Y")</f>
        <v>Y</v>
      </c>
      <c r="CI227" s="34" t="str">
        <f aca="false">IFERROR(INDEX(設定!$D$20:$D$34,MATCH(A227,設定!$A$20:$A$34,0))&amp;"","")</f>
        <v>2026-06 月例</v>
      </c>
    </row>
    <row r="228" customFormat="false" ht="26.85" hidden="true" customHeight="false" outlineLevel="0" collapsed="false">
      <c r="A228" s="22" t="s">
        <v>211</v>
      </c>
      <c r="B228" s="35" t="s">
        <v>198</v>
      </c>
      <c r="C228" s="10" t="str">
        <f aca="false">IF(G228="","未受領",IF(G228="なし","報告なし",IF(AH228="○","起票済",IF(OR(AG228="○",F228="一致",F228="入金不要"),"入金確認済","受領済"))))</f>
        <v>報告なし</v>
      </c>
      <c r="D228" s="10" t="str">
        <f aca="false">IF(OR(G228="",G228="なし"),"―",IF(CH228="N","対象外",IF(AND(I228="",J228="",K228=""),"標報未入力",IF(CD228&gt;=設定!$B$4,"要確認","問題なし"))))</f>
        <v>―</v>
      </c>
      <c r="E228" s="24" t="str">
        <f aca="false">IF(OR(G228="",G228="なし",CE228="",CF228=0),"―",IF(CF228=CE228,"前月同額",IF(CE228=0,"―",IF(ABS(CF228/CE228-1)&gt;=設定!$B$5,"変動大 "&amp;TEXT(CF228/CE228-1,"+0%;-0%"),"〇"))))</f>
        <v>―</v>
      </c>
      <c r="F228" s="10" t="str">
        <f aca="false">IF(OR(G228="",G228="なし"),"―",IF(CF228=0,"入金不要",IF(COUNT(Z228,AB228,AD228,AF228)=0,IF(AG228="○","手動確認","未入金"),IF(AND(N(Z228)=Y228,IF(AA228="",TRUE(),N(AB228)=AA228),IF(AC228="",TRUE(),N(AD228)=AC228),IF(AE228="",TRUE(),N(AF228)=AE228)),"一致","不一致"))))</f>
        <v>―</v>
      </c>
      <c r="G228" s="25" t="s">
        <v>173</v>
      </c>
      <c r="H228" s="26"/>
      <c r="I228" s="27"/>
      <c r="J228" s="27"/>
      <c r="K228" s="27"/>
      <c r="L228" s="27"/>
      <c r="M228" s="27"/>
      <c r="N228" s="27"/>
      <c r="O228" s="27"/>
      <c r="P228" s="27"/>
      <c r="Q228" s="27"/>
      <c r="R228" s="27"/>
      <c r="S228" s="27"/>
      <c r="T228" s="27"/>
      <c r="U228" s="27"/>
      <c r="V228" s="27"/>
      <c r="W228" s="10" t="str">
        <f aca="false">IFERROR(INDEX(設定!$E$61:$E$106,MATCH(B228,設定!$B$61:$B$106,0)),"合算")</f>
        <v>合算</v>
      </c>
      <c r="X228" s="28"/>
      <c r="Y228" s="29" t="str">
        <f aca="false">IF(OR(G228="",G228="なし"),"",IF(W228="合算",CF228,IF(W228="掛金・負担金別",(AU228+AV228+AZ228+BB228+BD228),SUM(AU228:AY228))))</f>
        <v/>
      </c>
      <c r="Z228" s="27"/>
      <c r="AA228" s="29" t="str">
        <f aca="false">IF(OR(G228="",G228="なし"),"",IF(W228="掛金・負担金別",(AW228+AX228+AY228+BA228+BC228+BE228),IF(W228="経理区分別",AZ228+BA228,"")))</f>
        <v/>
      </c>
      <c r="AB228" s="27"/>
      <c r="AC228" s="29" t="str">
        <f aca="false">IF(OR(G228="",G228="なし"),"",IF(W228="経理区分別",BB228+BC228,""))</f>
        <v/>
      </c>
      <c r="AD228" s="27"/>
      <c r="AE228" s="29" t="str">
        <f aca="false">IF(OR(G228="",G228="なし"),"",IF(W228="経理区分別",BD228+BE228,""))</f>
        <v/>
      </c>
      <c r="AF228" s="27"/>
      <c r="AG228" s="26"/>
      <c r="AH228" s="26"/>
      <c r="AI228" s="30"/>
      <c r="AJ228" s="31"/>
      <c r="AK228" s="31"/>
      <c r="AL228" s="31"/>
      <c r="AM228" s="31"/>
      <c r="AN228" s="31"/>
      <c r="AO228" s="31"/>
      <c r="AP228" s="31"/>
      <c r="AQ228" s="31"/>
      <c r="AR228" s="31"/>
      <c r="AS228" s="31"/>
      <c r="AT228" s="31"/>
      <c r="AU228" s="31" t="n">
        <f aca="false">IF($G228="",AJ228,L228)</f>
        <v>0</v>
      </c>
      <c r="AV228" s="31" t="n">
        <f aca="false">IF($G228="",AK228,M228)</f>
        <v>0</v>
      </c>
      <c r="AW228" s="31" t="n">
        <f aca="false">IF($G228="",AL228,N228)</f>
        <v>0</v>
      </c>
      <c r="AX228" s="31" t="n">
        <f aca="false">IF($G228="",AM228,O228)</f>
        <v>0</v>
      </c>
      <c r="AY228" s="31" t="n">
        <f aca="false">IF($G228="",AN228,P228)</f>
        <v>0</v>
      </c>
      <c r="AZ228" s="31" t="n">
        <f aca="false">IF($G228="",AO228,Q228)</f>
        <v>0</v>
      </c>
      <c r="BA228" s="31" t="n">
        <f aca="false">IF($G228="",AP228,R228)</f>
        <v>0</v>
      </c>
      <c r="BB228" s="31" t="n">
        <f aca="false">IF($G228="",AQ228,S228)</f>
        <v>0</v>
      </c>
      <c r="BC228" s="31" t="n">
        <f aca="false">IF($G228="",AR228,T228)</f>
        <v>0</v>
      </c>
      <c r="BD228" s="31" t="n">
        <f aca="false">IF($G228="",AS228,U228)</f>
        <v>0</v>
      </c>
      <c r="BE228" s="31" t="n">
        <f aca="false">IF($G228="",AT228,V228)</f>
        <v>0</v>
      </c>
      <c r="BF228" s="31" t="n">
        <f aca="false">ROUNDDOWN(I228*設定!$B$10/1000,0)+ROUNDDOWN(I228*設定!$B$11/1000,0)</f>
        <v>0</v>
      </c>
      <c r="BG228" s="31" t="n">
        <f aca="false">ROUNDDOWN(I228*設定!$C$10/1000,0)+ROUNDDOWN(I228*設定!$C$11/1000,0)+ROUNDDOWN(I228*設定!$C$12/1000,0)</f>
        <v>0</v>
      </c>
      <c r="BH228" s="31" t="n">
        <f aca="false">ROUNDDOWN(J228*設定!$B$13/1000,0)</f>
        <v>0</v>
      </c>
      <c r="BI228" s="31" t="n">
        <f aca="false">ROUNDDOWN(J228*設定!$C$13/1000,0)</f>
        <v>0</v>
      </c>
      <c r="BJ228" s="31" t="n">
        <f aca="false">ROUNDDOWN(K228*設定!$B$14/1000,0)</f>
        <v>0</v>
      </c>
      <c r="BK228" s="31" t="n">
        <f aca="false">ROUNDDOWN(K228*設定!$C$14/1000,0)</f>
        <v>0</v>
      </c>
      <c r="BL228" s="31" t="n">
        <f aca="false">ROUNDDOWN(J228*設定!$B$15/1000,0)</f>
        <v>0</v>
      </c>
      <c r="BM228" s="31" t="n">
        <f aca="false">ROUNDDOWN(J228*設定!$C$15/1000,0)</f>
        <v>0</v>
      </c>
      <c r="BN228" s="31" t="n">
        <f aca="false">L228+M228</f>
        <v>0</v>
      </c>
      <c r="BO228" s="31" t="n">
        <f aca="false">N228+O228+P228</f>
        <v>0</v>
      </c>
      <c r="BP228" s="31" t="n">
        <f aca="false">Q228</f>
        <v>0</v>
      </c>
      <c r="BQ228" s="31" t="n">
        <f aca="false">R228</f>
        <v>0</v>
      </c>
      <c r="BR228" s="31" t="n">
        <f aca="false">S228</f>
        <v>0</v>
      </c>
      <c r="BS228" s="31" t="n">
        <f aca="false">T228</f>
        <v>0</v>
      </c>
      <c r="BT228" s="31" t="n">
        <f aca="false">U228</f>
        <v>0</v>
      </c>
      <c r="BU228" s="31" t="n">
        <f aca="false">V228</f>
        <v>0</v>
      </c>
      <c r="BV228" s="32" t="n">
        <f aca="false">IF(BF228=0,IF(BN228=0,0,1),(BN228-BF228)/BF228)</f>
        <v>0</v>
      </c>
      <c r="BW228" s="32" t="n">
        <f aca="false">IF(BG228=0,IF(BO228=0,0,1),(BO228-BG228)/BG228)</f>
        <v>0</v>
      </c>
      <c r="BX228" s="32" t="n">
        <f aca="false">IF(BH228=0,IF(BP228=0,0,1),(BP228-BH228)/BH228)</f>
        <v>0</v>
      </c>
      <c r="BY228" s="32" t="n">
        <f aca="false">IF(BI228=0,IF(BQ228=0,0,1),(BQ228-BI228)/BI228)</f>
        <v>0</v>
      </c>
      <c r="BZ228" s="32" t="n">
        <f aca="false">IF(BJ228=0,IF(BR228=0,0,1),(BR228-BJ228)/BJ228)</f>
        <v>0</v>
      </c>
      <c r="CA228" s="32" t="n">
        <f aca="false">IF(BK228=0,IF(BS228=0,0,1),(BS228-BK228)/BK228)</f>
        <v>0</v>
      </c>
      <c r="CB228" s="32" t="n">
        <f aca="false">IF(BL228=0,IF(BT228=0,0,1),(BT228-BL228)/BL228)</f>
        <v>0</v>
      </c>
      <c r="CC228" s="32" t="n">
        <f aca="false">IF(BM228=0,IF(BU228=0,0,1),(BU228-BM228)/BM228)</f>
        <v>0</v>
      </c>
      <c r="CD228" s="32" t="n">
        <f aca="false">MAX(MAX(BV228:CC228),-MIN(BV228:CC228))</f>
        <v>-0</v>
      </c>
      <c r="CE228" s="31" t="n">
        <f aca="false">IF(CI228="","",SUMIFS($CF$7:$CF$696,$A$7:$A$696,CI228,$B$7:$B$696,B228))</f>
        <v>0</v>
      </c>
      <c r="CF228" s="31" t="n">
        <f aca="false">SUM(AU228:BE228)</f>
        <v>0</v>
      </c>
      <c r="CG228" s="36" t="str">
        <f aca="false">A228&amp;"|"&amp;B228</f>
        <v>2026-07 月例|地方公共団体
情報システム機構</v>
      </c>
      <c r="CH228" s="34" t="str">
        <f aca="false">IFERROR(INDEX(設定!$D$61:$D$106,MATCH(B228,設定!$B$61:$B$106,0)),"Y")</f>
        <v>Y</v>
      </c>
      <c r="CI228" s="34" t="str">
        <f aca="false">IFERROR(INDEX(設定!$D$20:$D$34,MATCH(A228,設定!$A$20:$A$34,0))&amp;"","")</f>
        <v>2026-06 月例</v>
      </c>
    </row>
    <row r="229" customFormat="false" ht="15" hidden="true" customHeight="false" outlineLevel="0" collapsed="false">
      <c r="A229" s="22" t="s">
        <v>211</v>
      </c>
      <c r="B229" s="23" t="s">
        <v>199</v>
      </c>
      <c r="C229" s="10" t="str">
        <f aca="false">IF(G229="","未受領",IF(G229="なし","報告なし",IF(AH229="○","起票済",IF(OR(AG229="○",F229="一致",F229="入金不要"),"入金確認済","受領済"))))</f>
        <v>入金確認済</v>
      </c>
      <c r="D229" s="10" t="str">
        <f aca="false">IF(OR(G229="",G229="なし"),"―",IF(CH229="N","対象外",IF(AND(I229="",J229="",K229=""),"標報未入力",IF(CD229&gt;=設定!$B$4,"要確認","問題なし"))))</f>
        <v>標報未入力</v>
      </c>
      <c r="E229" s="24" t="str">
        <f aca="false">IF(OR(G229="",G229="なし",CE229="",CF229=0),"―",IF(CF229=CE229,"前月同額",IF(CE229=0,"―",IF(ABS(CF229/CE229-1)&gt;=設定!$B$5,"変動大 "&amp;TEXT(CF229/CE229-1,"+0%;-0%"),"〇"))))</f>
        <v>前月同額</v>
      </c>
      <c r="F229" s="10" t="str">
        <f aca="false">IF(OR(G229="",G229="なし"),"―",IF(CF229=0,"入金不要",IF(COUNT(Z229,AB229,AD229,AF229)=0,IF(AG229="○","手動確認","未入金"),IF(AND(N(Z229)=Y229,IF(AA229="",TRUE(),N(AB229)=AA229),IF(AC229="",TRUE(),N(AD229)=AC229),IF(AE229="",TRUE(),N(AF229)=AE229)),"一致","不一致"))))</f>
        <v>手動確認</v>
      </c>
      <c r="G229" s="25" t="s">
        <v>159</v>
      </c>
      <c r="H229" s="26"/>
      <c r="I229" s="27"/>
      <c r="J229" s="27"/>
      <c r="K229" s="27"/>
      <c r="L229" s="27" t="n">
        <v>118950</v>
      </c>
      <c r="M229" s="27" t="n">
        <v>9750</v>
      </c>
      <c r="N229" s="27" t="n">
        <v>118950</v>
      </c>
      <c r="O229" s="27" t="n">
        <v>9750</v>
      </c>
      <c r="P229" s="27" t="n">
        <v>112</v>
      </c>
      <c r="Q229" s="27" t="n">
        <v>84531</v>
      </c>
      <c r="R229" s="27" t="n">
        <v>84613</v>
      </c>
      <c r="S229" s="27" t="n">
        <v>12877</v>
      </c>
      <c r="T229" s="27" t="n">
        <v>12877</v>
      </c>
      <c r="U229" s="27" t="n">
        <v>1874</v>
      </c>
      <c r="V229" s="27" t="n">
        <v>1874</v>
      </c>
      <c r="W229" s="10" t="str">
        <f aca="false">IFERROR(INDEX(設定!$E$61:$E$106,MATCH(B229,設定!$B$61:$B$106,0)),"合算")</f>
        <v>合算</v>
      </c>
      <c r="X229" s="28"/>
      <c r="Y229" s="29" t="n">
        <f aca="false">IF(OR(G229="",G229="なし"),"",IF(W229="合算",CF229,IF(W229="掛金・負担金別",(AU229+AV229+AZ229+BB229+BD229),SUM(AU229:AY229))))</f>
        <v>456158</v>
      </c>
      <c r="Z229" s="27"/>
      <c r="AA229" s="29" t="str">
        <f aca="false">IF(OR(G229="",G229="なし"),"",IF(W229="掛金・負担金別",(AW229+AX229+AY229+BA229+BC229+BE229),IF(W229="経理区分別",AZ229+BA229,"")))</f>
        <v/>
      </c>
      <c r="AB229" s="27"/>
      <c r="AC229" s="29" t="str">
        <f aca="false">IF(OR(G229="",G229="なし"),"",IF(W229="経理区分別",BB229+BC229,""))</f>
        <v/>
      </c>
      <c r="AD229" s="27"/>
      <c r="AE229" s="29" t="str">
        <f aca="false">IF(OR(G229="",G229="なし"),"",IF(W229="経理区分別",BD229+BE229,""))</f>
        <v/>
      </c>
      <c r="AF229" s="27"/>
      <c r="AG229" s="26" t="s">
        <v>160</v>
      </c>
      <c r="AH229" s="26"/>
      <c r="AI229" s="30"/>
      <c r="AJ229" s="31"/>
      <c r="AK229" s="31"/>
      <c r="AL229" s="31"/>
      <c r="AM229" s="31"/>
      <c r="AN229" s="31"/>
      <c r="AO229" s="31"/>
      <c r="AP229" s="31"/>
      <c r="AQ229" s="31"/>
      <c r="AR229" s="31"/>
      <c r="AS229" s="31"/>
      <c r="AT229" s="31"/>
      <c r="AU229" s="31" t="n">
        <f aca="false">IF($G229="",AJ229,L229)</f>
        <v>118950</v>
      </c>
      <c r="AV229" s="31" t="n">
        <f aca="false">IF($G229="",AK229,M229)</f>
        <v>9750</v>
      </c>
      <c r="AW229" s="31" t="n">
        <f aca="false">IF($G229="",AL229,N229)</f>
        <v>118950</v>
      </c>
      <c r="AX229" s="31" t="n">
        <f aca="false">IF($G229="",AM229,O229)</f>
        <v>9750</v>
      </c>
      <c r="AY229" s="31" t="n">
        <f aca="false">IF($G229="",AN229,P229)</f>
        <v>112</v>
      </c>
      <c r="AZ229" s="31" t="n">
        <f aca="false">IF($G229="",AO229,Q229)</f>
        <v>84531</v>
      </c>
      <c r="BA229" s="31" t="n">
        <f aca="false">IF($G229="",AP229,R229)</f>
        <v>84613</v>
      </c>
      <c r="BB229" s="31" t="n">
        <f aca="false">IF($G229="",AQ229,S229)</f>
        <v>12877</v>
      </c>
      <c r="BC229" s="31" t="n">
        <f aca="false">IF($G229="",AR229,T229)</f>
        <v>12877</v>
      </c>
      <c r="BD229" s="31" t="n">
        <f aca="false">IF($G229="",AS229,U229)</f>
        <v>1874</v>
      </c>
      <c r="BE229" s="31" t="n">
        <f aca="false">IF($G229="",AT229,V229)</f>
        <v>1874</v>
      </c>
      <c r="BF229" s="31" t="n">
        <f aca="false">ROUNDDOWN(I229*設定!$B$10/1000,0)+ROUNDDOWN(I229*設定!$B$11/1000,0)</f>
        <v>0</v>
      </c>
      <c r="BG229" s="31" t="n">
        <f aca="false">ROUNDDOWN(I229*設定!$C$10/1000,0)+ROUNDDOWN(I229*設定!$C$11/1000,0)+ROUNDDOWN(I229*設定!$C$12/1000,0)</f>
        <v>0</v>
      </c>
      <c r="BH229" s="31" t="n">
        <f aca="false">ROUNDDOWN(J229*設定!$B$13/1000,0)</f>
        <v>0</v>
      </c>
      <c r="BI229" s="31" t="n">
        <f aca="false">ROUNDDOWN(J229*設定!$C$13/1000,0)</f>
        <v>0</v>
      </c>
      <c r="BJ229" s="31" t="n">
        <f aca="false">ROUNDDOWN(K229*設定!$B$14/1000,0)</f>
        <v>0</v>
      </c>
      <c r="BK229" s="31" t="n">
        <f aca="false">ROUNDDOWN(K229*設定!$C$14/1000,0)</f>
        <v>0</v>
      </c>
      <c r="BL229" s="31" t="n">
        <f aca="false">ROUNDDOWN(J229*設定!$B$15/1000,0)</f>
        <v>0</v>
      </c>
      <c r="BM229" s="31" t="n">
        <f aca="false">ROUNDDOWN(J229*設定!$C$15/1000,0)</f>
        <v>0</v>
      </c>
      <c r="BN229" s="31" t="n">
        <f aca="false">L229+M229</f>
        <v>128700</v>
      </c>
      <c r="BO229" s="31" t="n">
        <f aca="false">N229+O229+P229</f>
        <v>128812</v>
      </c>
      <c r="BP229" s="31" t="n">
        <f aca="false">Q229</f>
        <v>84531</v>
      </c>
      <c r="BQ229" s="31" t="n">
        <f aca="false">R229</f>
        <v>84613</v>
      </c>
      <c r="BR229" s="31" t="n">
        <f aca="false">S229</f>
        <v>12877</v>
      </c>
      <c r="BS229" s="31" t="n">
        <f aca="false">T229</f>
        <v>12877</v>
      </c>
      <c r="BT229" s="31" t="n">
        <f aca="false">U229</f>
        <v>1874</v>
      </c>
      <c r="BU229" s="31" t="n">
        <f aca="false">V229</f>
        <v>1874</v>
      </c>
      <c r="BV229" s="32" t="n">
        <f aca="false">IF(BF229=0,IF(BN229=0,0,1),(BN229-BF229)/BF229)</f>
        <v>1</v>
      </c>
      <c r="BW229" s="32" t="n">
        <f aca="false">IF(BG229=0,IF(BO229=0,0,1),(BO229-BG229)/BG229)</f>
        <v>1</v>
      </c>
      <c r="BX229" s="32" t="n">
        <f aca="false">IF(BH229=0,IF(BP229=0,0,1),(BP229-BH229)/BH229)</f>
        <v>1</v>
      </c>
      <c r="BY229" s="32" t="n">
        <f aca="false">IF(BI229=0,IF(BQ229=0,0,1),(BQ229-BI229)/BI229)</f>
        <v>1</v>
      </c>
      <c r="BZ229" s="32" t="n">
        <f aca="false">IF(BJ229=0,IF(BR229=0,0,1),(BR229-BJ229)/BJ229)</f>
        <v>1</v>
      </c>
      <c r="CA229" s="32" t="n">
        <f aca="false">IF(BK229=0,IF(BS229=0,0,1),(BS229-BK229)/BK229)</f>
        <v>1</v>
      </c>
      <c r="CB229" s="32" t="n">
        <f aca="false">IF(BL229=0,IF(BT229=0,0,1),(BT229-BL229)/BL229)</f>
        <v>1</v>
      </c>
      <c r="CC229" s="32" t="n">
        <f aca="false">IF(BM229=0,IF(BU229=0,0,1),(BU229-BM229)/BM229)</f>
        <v>1</v>
      </c>
      <c r="CD229" s="32" t="n">
        <f aca="false">MAX(MAX(BV229:CC229),-MIN(BV229:CC229))</f>
        <v>1</v>
      </c>
      <c r="CE229" s="31" t="n">
        <f aca="false">IF(CI229="","",SUMIFS($CF$7:$CF$696,$A$7:$A$696,CI229,$B$7:$B$696,B229))</f>
        <v>456158</v>
      </c>
      <c r="CF229" s="31" t="n">
        <f aca="false">SUM(AU229:BE229)</f>
        <v>456158</v>
      </c>
      <c r="CG229" s="33" t="str">
        <f aca="false">A229&amp;"|"&amp;B229</f>
        <v>2026-07 月例|全国市長会</v>
      </c>
      <c r="CH229" s="34" t="str">
        <f aca="false">IFERROR(INDEX(設定!$D$61:$D$106,MATCH(B229,設定!$B$61:$B$106,0)),"Y")</f>
        <v>Y</v>
      </c>
      <c r="CI229" s="34" t="str">
        <f aca="false">IFERROR(INDEX(設定!$D$20:$D$34,MATCH(A229,設定!$A$20:$A$34,0))&amp;"","")</f>
        <v>2026-06 月例</v>
      </c>
    </row>
    <row r="230" customFormat="false" ht="15" hidden="true" customHeight="false" outlineLevel="0" collapsed="false">
      <c r="A230" s="22" t="s">
        <v>211</v>
      </c>
      <c r="B230" s="23" t="s">
        <v>200</v>
      </c>
      <c r="C230" s="10" t="str">
        <f aca="false">IF(G230="","未受領",IF(G230="なし","報告なし",IF(AH230="○","起票済",IF(OR(AG230="○",F230="一致",F230="入金不要"),"入金確認済","受領済"))))</f>
        <v>入金確認済</v>
      </c>
      <c r="D230" s="10" t="str">
        <f aca="false">IF(OR(G230="",G230="なし"),"―",IF(CH230="N","対象外",IF(AND(I230="",J230="",K230=""),"標報未入力",IF(CD230&gt;=設定!$B$4,"要確認","問題なし"))))</f>
        <v>標報未入力</v>
      </c>
      <c r="E230" s="24" t="str">
        <f aca="false">IF(OR(G230="",G230="なし",CE230="",CF230=0),"―",IF(CF230=CE230,"前月同額",IF(CE230=0,"―",IF(ABS(CF230/CE230-1)&gt;=設定!$B$5,"変動大 "&amp;TEXT(CF230/CE230-1,"+0%;-0%"),"〇"))))</f>
        <v>前月同額</v>
      </c>
      <c r="F230" s="10" t="str">
        <f aca="false">IF(OR(G230="",G230="なし"),"―",IF(CF230=0,"入金不要",IF(COUNT(Z230,AB230,AD230,AF230)=0,IF(AG230="○","手動確認","未入金"),IF(AND(N(Z230)=Y230,IF(AA230="",TRUE(),N(AB230)=AA230),IF(AC230="",TRUE(),N(AD230)=AC230),IF(AE230="",TRUE(),N(AF230)=AE230)),"一致","不一致"))))</f>
        <v>手動確認</v>
      </c>
      <c r="G230" s="25" t="s">
        <v>159</v>
      </c>
      <c r="H230" s="26"/>
      <c r="I230" s="27"/>
      <c r="J230" s="27"/>
      <c r="K230" s="27"/>
      <c r="L230" s="27" t="n">
        <v>145485</v>
      </c>
      <c r="M230" s="27" t="n">
        <v>11925</v>
      </c>
      <c r="N230" s="27" t="n">
        <v>145485</v>
      </c>
      <c r="O230" s="27" t="n">
        <v>11925</v>
      </c>
      <c r="P230" s="27" t="n">
        <v>138</v>
      </c>
      <c r="Q230" s="27"/>
      <c r="R230" s="27"/>
      <c r="S230" s="27"/>
      <c r="T230" s="27"/>
      <c r="U230" s="27"/>
      <c r="V230" s="27"/>
      <c r="W230" s="10" t="str">
        <f aca="false">IFERROR(INDEX(設定!$E$61:$E$106,MATCH(B230,設定!$B$61:$B$106,0)),"合算")</f>
        <v>合算</v>
      </c>
      <c r="X230" s="28"/>
      <c r="Y230" s="29" t="n">
        <f aca="false">IF(OR(G230="",G230="なし"),"",IF(W230="合算",CF230,IF(W230="掛金・負担金別",(AU230+AV230+AZ230+BB230+BD230),SUM(AU230:AY230))))</f>
        <v>314958</v>
      </c>
      <c r="Z230" s="27"/>
      <c r="AA230" s="29" t="str">
        <f aca="false">IF(OR(G230="",G230="なし"),"",IF(W230="掛金・負担金別",(AW230+AX230+AY230+BA230+BC230+BE230),IF(W230="経理区分別",AZ230+BA230,"")))</f>
        <v/>
      </c>
      <c r="AB230" s="27"/>
      <c r="AC230" s="29" t="str">
        <f aca="false">IF(OR(G230="",G230="なし"),"",IF(W230="経理区分別",BB230+BC230,""))</f>
        <v/>
      </c>
      <c r="AD230" s="27"/>
      <c r="AE230" s="29" t="str">
        <f aca="false">IF(OR(G230="",G230="なし"),"",IF(W230="経理区分別",BD230+BE230,""))</f>
        <v/>
      </c>
      <c r="AF230" s="27"/>
      <c r="AG230" s="26" t="s">
        <v>160</v>
      </c>
      <c r="AH230" s="26"/>
      <c r="AI230" s="30"/>
      <c r="AJ230" s="31"/>
      <c r="AK230" s="31"/>
      <c r="AL230" s="31"/>
      <c r="AM230" s="31"/>
      <c r="AN230" s="31"/>
      <c r="AO230" s="31"/>
      <c r="AP230" s="31"/>
      <c r="AQ230" s="31"/>
      <c r="AR230" s="31"/>
      <c r="AS230" s="31"/>
      <c r="AT230" s="31"/>
      <c r="AU230" s="31" t="n">
        <f aca="false">IF($G230="",AJ230,L230)</f>
        <v>145485</v>
      </c>
      <c r="AV230" s="31" t="n">
        <f aca="false">IF($G230="",AK230,M230)</f>
        <v>11925</v>
      </c>
      <c r="AW230" s="31" t="n">
        <f aca="false">IF($G230="",AL230,N230)</f>
        <v>145485</v>
      </c>
      <c r="AX230" s="31" t="n">
        <f aca="false">IF($G230="",AM230,O230)</f>
        <v>11925</v>
      </c>
      <c r="AY230" s="31" t="n">
        <f aca="false">IF($G230="",AN230,P230)</f>
        <v>138</v>
      </c>
      <c r="AZ230" s="31" t="n">
        <f aca="false">IF($G230="",AO230,Q230)</f>
        <v>0</v>
      </c>
      <c r="BA230" s="31" t="n">
        <f aca="false">IF($G230="",AP230,R230)</f>
        <v>0</v>
      </c>
      <c r="BB230" s="31" t="n">
        <f aca="false">IF($G230="",AQ230,S230)</f>
        <v>0</v>
      </c>
      <c r="BC230" s="31" t="n">
        <f aca="false">IF($G230="",AR230,T230)</f>
        <v>0</v>
      </c>
      <c r="BD230" s="31" t="n">
        <f aca="false">IF($G230="",AS230,U230)</f>
        <v>0</v>
      </c>
      <c r="BE230" s="31" t="n">
        <f aca="false">IF($G230="",AT230,V230)</f>
        <v>0</v>
      </c>
      <c r="BF230" s="31" t="n">
        <f aca="false">ROUNDDOWN(I230*設定!$B$10/1000,0)+ROUNDDOWN(I230*設定!$B$11/1000,0)</f>
        <v>0</v>
      </c>
      <c r="BG230" s="31" t="n">
        <f aca="false">ROUNDDOWN(I230*設定!$C$10/1000,0)+ROUNDDOWN(I230*設定!$C$11/1000,0)+ROUNDDOWN(I230*設定!$C$12/1000,0)</f>
        <v>0</v>
      </c>
      <c r="BH230" s="31" t="n">
        <f aca="false">ROUNDDOWN(J230*設定!$B$13/1000,0)</f>
        <v>0</v>
      </c>
      <c r="BI230" s="31" t="n">
        <f aca="false">ROUNDDOWN(J230*設定!$C$13/1000,0)</f>
        <v>0</v>
      </c>
      <c r="BJ230" s="31" t="n">
        <f aca="false">ROUNDDOWN(K230*設定!$B$14/1000,0)</f>
        <v>0</v>
      </c>
      <c r="BK230" s="31" t="n">
        <f aca="false">ROUNDDOWN(K230*設定!$C$14/1000,0)</f>
        <v>0</v>
      </c>
      <c r="BL230" s="31" t="n">
        <f aca="false">ROUNDDOWN(J230*設定!$B$15/1000,0)</f>
        <v>0</v>
      </c>
      <c r="BM230" s="31" t="n">
        <f aca="false">ROUNDDOWN(J230*設定!$C$15/1000,0)</f>
        <v>0</v>
      </c>
      <c r="BN230" s="31" t="n">
        <f aca="false">L230+M230</f>
        <v>157410</v>
      </c>
      <c r="BO230" s="31" t="n">
        <f aca="false">N230+O230+P230</f>
        <v>157548</v>
      </c>
      <c r="BP230" s="31" t="n">
        <f aca="false">Q230</f>
        <v>0</v>
      </c>
      <c r="BQ230" s="31" t="n">
        <f aca="false">R230</f>
        <v>0</v>
      </c>
      <c r="BR230" s="31" t="n">
        <f aca="false">S230</f>
        <v>0</v>
      </c>
      <c r="BS230" s="31" t="n">
        <f aca="false">T230</f>
        <v>0</v>
      </c>
      <c r="BT230" s="31" t="n">
        <f aca="false">U230</f>
        <v>0</v>
      </c>
      <c r="BU230" s="31" t="n">
        <f aca="false">V230</f>
        <v>0</v>
      </c>
      <c r="BV230" s="32" t="n">
        <f aca="false">IF(BF230=0,IF(BN230=0,0,1),(BN230-BF230)/BF230)</f>
        <v>1</v>
      </c>
      <c r="BW230" s="32" t="n">
        <f aca="false">IF(BG230=0,IF(BO230=0,0,1),(BO230-BG230)/BG230)</f>
        <v>1</v>
      </c>
      <c r="BX230" s="32" t="n">
        <f aca="false">IF(BH230=0,IF(BP230=0,0,1),(BP230-BH230)/BH230)</f>
        <v>0</v>
      </c>
      <c r="BY230" s="32" t="n">
        <f aca="false">IF(BI230=0,IF(BQ230=0,0,1),(BQ230-BI230)/BI230)</f>
        <v>0</v>
      </c>
      <c r="BZ230" s="32" t="n">
        <f aca="false">IF(BJ230=0,IF(BR230=0,0,1),(BR230-BJ230)/BJ230)</f>
        <v>0</v>
      </c>
      <c r="CA230" s="32" t="n">
        <f aca="false">IF(BK230=0,IF(BS230=0,0,1),(BS230-BK230)/BK230)</f>
        <v>0</v>
      </c>
      <c r="CB230" s="32" t="n">
        <f aca="false">IF(BL230=0,IF(BT230=0,0,1),(BT230-BL230)/BL230)</f>
        <v>0</v>
      </c>
      <c r="CC230" s="32" t="n">
        <f aca="false">IF(BM230=0,IF(BU230=0,0,1),(BU230-BM230)/BM230)</f>
        <v>0</v>
      </c>
      <c r="CD230" s="32" t="n">
        <f aca="false">MAX(MAX(BV230:CC230),-MIN(BV230:CC230))</f>
        <v>1</v>
      </c>
      <c r="CE230" s="31" t="n">
        <f aca="false">IF(CI230="","",SUMIFS($CF$7:$CF$696,$A$7:$A$696,CI230,$B$7:$B$696,B230))</f>
        <v>314958</v>
      </c>
      <c r="CF230" s="31" t="n">
        <f aca="false">SUM(AU230:BE230)</f>
        <v>314958</v>
      </c>
      <c r="CG230" s="33" t="str">
        <f aca="false">A230&amp;"|"&amp;B230</f>
        <v>2026-07 月例|高速交通（株）</v>
      </c>
      <c r="CH230" s="34" t="str">
        <f aca="false">IFERROR(INDEX(設定!$D$61:$D$106,MATCH(B230,設定!$B$61:$B$106,0)),"Y")</f>
        <v>Y</v>
      </c>
      <c r="CI230" s="34" t="str">
        <f aca="false">IFERROR(INDEX(設定!$D$20:$D$34,MATCH(A230,設定!$A$20:$A$34,0))&amp;"","")</f>
        <v>2026-06 月例</v>
      </c>
    </row>
    <row r="231" customFormat="false" ht="15" hidden="true" customHeight="false" outlineLevel="0" collapsed="false">
      <c r="A231" s="22" t="s">
        <v>211</v>
      </c>
      <c r="B231" s="23" t="s">
        <v>201</v>
      </c>
      <c r="C231" s="10" t="str">
        <f aca="false">IF(G231="","未受領",IF(G231="なし","報告なし",IF(AH231="○","起票済",IF(OR(AG231="○",F231="一致",F231="入金不要"),"入金確認済","受領済"))))</f>
        <v>入金確認済</v>
      </c>
      <c r="D231" s="10" t="str">
        <f aca="false">IF(OR(G231="",G231="なし"),"―",IF(CH231="N","対象外",IF(AND(I231="",J231="",K231=""),"標報未入力",IF(CD231&gt;=設定!$B$4,"要確認","問題なし"))))</f>
        <v>標報未入力</v>
      </c>
      <c r="E231" s="24" t="str">
        <f aca="false">IF(OR(G231="",G231="なし",CE231="",CF231=0),"―",IF(CF231=CE231,"前月同額",IF(CE231=0,"―",IF(ABS(CF231/CE231-1)&gt;=設定!$B$5,"変動大 "&amp;TEXT(CF231/CE231-1,"+0%;-0%"),"〇"))))</f>
        <v>変動大 +18%</v>
      </c>
      <c r="F231" s="10" t="str">
        <f aca="false">IF(OR(G231="",G231="なし"),"―",IF(CF231=0,"入金不要",IF(COUNT(Z231,AB231,AD231,AF231)=0,IF(AG231="○","手動確認","未入金"),IF(AND(N(Z231)=Y231,IF(AA231="",TRUE(),N(AB231)=AA231),IF(AC231="",TRUE(),N(AD231)=AC231),IF(AE231="",TRUE(),N(AF231)=AE231)),"一致","不一致"))))</f>
        <v>手動確認</v>
      </c>
      <c r="G231" s="25" t="s">
        <v>159</v>
      </c>
      <c r="H231" s="26"/>
      <c r="I231" s="27"/>
      <c r="J231" s="27"/>
      <c r="K231" s="27"/>
      <c r="L231" s="27" t="n">
        <v>53985</v>
      </c>
      <c r="M231" s="27" t="n">
        <v>4425</v>
      </c>
      <c r="N231" s="27" t="n">
        <v>53985</v>
      </c>
      <c r="O231" s="27" t="n">
        <v>4425</v>
      </c>
      <c r="P231" s="27" t="n">
        <v>51</v>
      </c>
      <c r="Q231" s="27"/>
      <c r="R231" s="27"/>
      <c r="S231" s="27"/>
      <c r="T231" s="27"/>
      <c r="U231" s="27"/>
      <c r="V231" s="27"/>
      <c r="W231" s="10" t="str">
        <f aca="false">IFERROR(INDEX(設定!$E$61:$E$106,MATCH(B231,設定!$B$61:$B$106,0)),"合算")</f>
        <v>合算</v>
      </c>
      <c r="X231" s="28"/>
      <c r="Y231" s="29" t="n">
        <f aca="false">IF(OR(G231="",G231="なし"),"",IF(W231="合算",CF231,IF(W231="掛金・負担金別",(AU231+AV231+AZ231+BB231+BD231),SUM(AU231:AY231))))</f>
        <v>116871</v>
      </c>
      <c r="Z231" s="27"/>
      <c r="AA231" s="29" t="str">
        <f aca="false">IF(OR(G231="",G231="なし"),"",IF(W231="掛金・負担金別",(AW231+AX231+AY231+BA231+BC231+BE231),IF(W231="経理区分別",AZ231+BA231,"")))</f>
        <v/>
      </c>
      <c r="AB231" s="27"/>
      <c r="AC231" s="29" t="str">
        <f aca="false">IF(OR(G231="",G231="なし"),"",IF(W231="経理区分別",BB231+BC231,""))</f>
        <v/>
      </c>
      <c r="AD231" s="27"/>
      <c r="AE231" s="29" t="str">
        <f aca="false">IF(OR(G231="",G231="なし"),"",IF(W231="経理区分別",BD231+BE231,""))</f>
        <v/>
      </c>
      <c r="AF231" s="27"/>
      <c r="AG231" s="26" t="s">
        <v>160</v>
      </c>
      <c r="AH231" s="26"/>
      <c r="AI231" s="30"/>
      <c r="AJ231" s="31"/>
      <c r="AK231" s="31"/>
      <c r="AL231" s="31"/>
      <c r="AM231" s="31"/>
      <c r="AN231" s="31"/>
      <c r="AO231" s="31"/>
      <c r="AP231" s="31"/>
      <c r="AQ231" s="31"/>
      <c r="AR231" s="31"/>
      <c r="AS231" s="31"/>
      <c r="AT231" s="31"/>
      <c r="AU231" s="31" t="n">
        <f aca="false">IF($G231="",AJ231,L231)</f>
        <v>53985</v>
      </c>
      <c r="AV231" s="31" t="n">
        <f aca="false">IF($G231="",AK231,M231)</f>
        <v>4425</v>
      </c>
      <c r="AW231" s="31" t="n">
        <f aca="false">IF($G231="",AL231,N231)</f>
        <v>53985</v>
      </c>
      <c r="AX231" s="31" t="n">
        <f aca="false">IF($G231="",AM231,O231)</f>
        <v>4425</v>
      </c>
      <c r="AY231" s="31" t="n">
        <f aca="false">IF($G231="",AN231,P231)</f>
        <v>51</v>
      </c>
      <c r="AZ231" s="31" t="n">
        <f aca="false">IF($G231="",AO231,Q231)</f>
        <v>0</v>
      </c>
      <c r="BA231" s="31" t="n">
        <f aca="false">IF($G231="",AP231,R231)</f>
        <v>0</v>
      </c>
      <c r="BB231" s="31" t="n">
        <f aca="false">IF($G231="",AQ231,S231)</f>
        <v>0</v>
      </c>
      <c r="BC231" s="31" t="n">
        <f aca="false">IF($G231="",AR231,T231)</f>
        <v>0</v>
      </c>
      <c r="BD231" s="31" t="n">
        <f aca="false">IF($G231="",AS231,U231)</f>
        <v>0</v>
      </c>
      <c r="BE231" s="31" t="n">
        <f aca="false">IF($G231="",AT231,V231)</f>
        <v>0</v>
      </c>
      <c r="BF231" s="31" t="n">
        <f aca="false">ROUNDDOWN(I231*設定!$B$10/1000,0)+ROUNDDOWN(I231*設定!$B$11/1000,0)</f>
        <v>0</v>
      </c>
      <c r="BG231" s="31" t="n">
        <f aca="false">ROUNDDOWN(I231*設定!$C$10/1000,0)+ROUNDDOWN(I231*設定!$C$11/1000,0)+ROUNDDOWN(I231*設定!$C$12/1000,0)</f>
        <v>0</v>
      </c>
      <c r="BH231" s="31" t="n">
        <f aca="false">ROUNDDOWN(J231*設定!$B$13/1000,0)</f>
        <v>0</v>
      </c>
      <c r="BI231" s="31" t="n">
        <f aca="false">ROUNDDOWN(J231*設定!$C$13/1000,0)</f>
        <v>0</v>
      </c>
      <c r="BJ231" s="31" t="n">
        <f aca="false">ROUNDDOWN(K231*設定!$B$14/1000,0)</f>
        <v>0</v>
      </c>
      <c r="BK231" s="31" t="n">
        <f aca="false">ROUNDDOWN(K231*設定!$C$14/1000,0)</f>
        <v>0</v>
      </c>
      <c r="BL231" s="31" t="n">
        <f aca="false">ROUNDDOWN(J231*設定!$B$15/1000,0)</f>
        <v>0</v>
      </c>
      <c r="BM231" s="31" t="n">
        <f aca="false">ROUNDDOWN(J231*設定!$C$15/1000,0)</f>
        <v>0</v>
      </c>
      <c r="BN231" s="31" t="n">
        <f aca="false">L231+M231</f>
        <v>58410</v>
      </c>
      <c r="BO231" s="31" t="n">
        <f aca="false">N231+O231+P231</f>
        <v>58461</v>
      </c>
      <c r="BP231" s="31" t="n">
        <f aca="false">Q231</f>
        <v>0</v>
      </c>
      <c r="BQ231" s="31" t="n">
        <f aca="false">R231</f>
        <v>0</v>
      </c>
      <c r="BR231" s="31" t="n">
        <f aca="false">S231</f>
        <v>0</v>
      </c>
      <c r="BS231" s="31" t="n">
        <f aca="false">T231</f>
        <v>0</v>
      </c>
      <c r="BT231" s="31" t="n">
        <f aca="false">U231</f>
        <v>0</v>
      </c>
      <c r="BU231" s="31" t="n">
        <f aca="false">V231</f>
        <v>0</v>
      </c>
      <c r="BV231" s="32" t="n">
        <f aca="false">IF(BF231=0,IF(BN231=0,0,1),(BN231-BF231)/BF231)</f>
        <v>1</v>
      </c>
      <c r="BW231" s="32" t="n">
        <f aca="false">IF(BG231=0,IF(BO231=0,0,1),(BO231-BG231)/BG231)</f>
        <v>1</v>
      </c>
      <c r="BX231" s="32" t="n">
        <f aca="false">IF(BH231=0,IF(BP231=0,0,1),(BP231-BH231)/BH231)</f>
        <v>0</v>
      </c>
      <c r="BY231" s="32" t="n">
        <f aca="false">IF(BI231=0,IF(BQ231=0,0,1),(BQ231-BI231)/BI231)</f>
        <v>0</v>
      </c>
      <c r="BZ231" s="32" t="n">
        <f aca="false">IF(BJ231=0,IF(BR231=0,0,1),(BR231-BJ231)/BJ231)</f>
        <v>0</v>
      </c>
      <c r="CA231" s="32" t="n">
        <f aca="false">IF(BK231=0,IF(BS231=0,0,1),(BS231-BK231)/BK231)</f>
        <v>0</v>
      </c>
      <c r="CB231" s="32" t="n">
        <f aca="false">IF(BL231=0,IF(BT231=0,0,1),(BT231-BL231)/BL231)</f>
        <v>0</v>
      </c>
      <c r="CC231" s="32" t="n">
        <f aca="false">IF(BM231=0,IF(BU231=0,0,1),(BU231-BM231)/BM231)</f>
        <v>0</v>
      </c>
      <c r="CD231" s="32" t="n">
        <f aca="false">MAX(MAX(BV231:CC231),-MIN(BV231:CC231))</f>
        <v>1</v>
      </c>
      <c r="CE231" s="31" t="n">
        <f aca="false">IF(CI231="","",SUMIFS($CF$7:$CF$696,$A$7:$A$696,CI231,$B$7:$B$696,B231))</f>
        <v>99043</v>
      </c>
      <c r="CF231" s="31" t="n">
        <f aca="false">SUM(AU231:BE231)</f>
        <v>116871</v>
      </c>
      <c r="CG231" s="33" t="str">
        <f aca="false">A231&amp;"|"&amp;B231</f>
        <v>2026-07 月例|広島駅南口開発（株）</v>
      </c>
      <c r="CH231" s="34" t="str">
        <f aca="false">IFERROR(INDEX(設定!$D$61:$D$106,MATCH(B231,設定!$B$61:$B$106,0)),"Y")</f>
        <v>Y</v>
      </c>
      <c r="CI231" s="34" t="str">
        <f aca="false">IFERROR(INDEX(設定!$D$20:$D$34,MATCH(A231,設定!$A$20:$A$34,0))&amp;"","")</f>
        <v>2026-06 月例</v>
      </c>
    </row>
    <row r="232" customFormat="false" ht="15" hidden="true" customHeight="false" outlineLevel="0" collapsed="false">
      <c r="A232" s="22" t="s">
        <v>211</v>
      </c>
      <c r="B232" s="23" t="s">
        <v>202</v>
      </c>
      <c r="C232" s="10" t="str">
        <f aca="false">IF(G232="","未受領",IF(G232="なし","報告なし",IF(AH232="○","起票済",IF(OR(AG232="○",F232="一致",F232="入金不要"),"入金確認済","受領済"))))</f>
        <v>入金確認済</v>
      </c>
      <c r="D232" s="10" t="str">
        <f aca="false">IF(OR(G232="",G232="なし"),"―",IF(CH232="N","対象外",IF(AND(I232="",J232="",K232=""),"標報未入力",IF(CD232&gt;=設定!$B$4,"要確認","問題なし"))))</f>
        <v>標報未入力</v>
      </c>
      <c r="E232" s="24" t="str">
        <f aca="false">IF(OR(G232="",G232="なし",CE232="",CF232=0),"―",IF(CF232=CE232,"前月同額",IF(CE232=0,"―",IF(ABS(CF232/CE232-1)&gt;=設定!$B$5,"変動大 "&amp;TEXT(CF232/CE232-1,"+0%;-0%"),"〇"))))</f>
        <v>〇</v>
      </c>
      <c r="F232" s="10" t="str">
        <f aca="false">IF(OR(G232="",G232="なし"),"―",IF(CF232=0,"入金不要",IF(COUNT(Z232,AB232,AD232,AF232)=0,IF(AG232="○","手動確認","未入金"),IF(AND(N(Z232)=Y232,IF(AA232="",TRUE(),N(AB232)=AA232),IF(AC232="",TRUE(),N(AD232)=AC232),IF(AE232="",TRUE(),N(AF232)=AE232)),"一致","不一致"))))</f>
        <v>手動確認</v>
      </c>
      <c r="G232" s="25" t="s">
        <v>159</v>
      </c>
      <c r="H232" s="26"/>
      <c r="I232" s="27"/>
      <c r="J232" s="27"/>
      <c r="K232" s="27"/>
      <c r="L232" s="27" t="n">
        <v>29280</v>
      </c>
      <c r="M232" s="27" t="n">
        <v>2400</v>
      </c>
      <c r="N232" s="27" t="n">
        <v>29280</v>
      </c>
      <c r="O232" s="27" t="n">
        <v>2400</v>
      </c>
      <c r="P232" s="27"/>
      <c r="Q232" s="27" t="n">
        <v>16595</v>
      </c>
      <c r="R232" s="27" t="n">
        <v>15315</v>
      </c>
      <c r="S232" s="27" t="n">
        <v>2528</v>
      </c>
      <c r="T232" s="27" t="n">
        <v>2528</v>
      </c>
      <c r="U232" s="27" t="n">
        <v>368</v>
      </c>
      <c r="V232" s="27" t="n">
        <v>368</v>
      </c>
      <c r="W232" s="10" t="str">
        <f aca="false">IFERROR(INDEX(設定!$E$61:$E$106,MATCH(B232,設定!$B$61:$B$106,0)),"合算")</f>
        <v>合算</v>
      </c>
      <c r="X232" s="28"/>
      <c r="Y232" s="29" t="n">
        <f aca="false">IF(OR(G232="",G232="なし"),"",IF(W232="合算",CF232,IF(W232="掛金・負担金別",(AU232+AV232+AZ232+BB232+BD232),SUM(AU232:AY232))))</f>
        <v>101062</v>
      </c>
      <c r="Z232" s="27"/>
      <c r="AA232" s="29" t="str">
        <f aca="false">IF(OR(G232="",G232="なし"),"",IF(W232="掛金・負担金別",(AW232+AX232+AY232+BA232+BC232+BE232),IF(W232="経理区分別",AZ232+BA232,"")))</f>
        <v/>
      </c>
      <c r="AB232" s="27"/>
      <c r="AC232" s="29" t="str">
        <f aca="false">IF(OR(G232="",G232="なし"),"",IF(W232="経理区分別",BB232+BC232,""))</f>
        <v/>
      </c>
      <c r="AD232" s="27"/>
      <c r="AE232" s="29" t="str">
        <f aca="false">IF(OR(G232="",G232="なし"),"",IF(W232="経理区分別",BD232+BE232,""))</f>
        <v/>
      </c>
      <c r="AF232" s="27"/>
      <c r="AG232" s="26" t="s">
        <v>160</v>
      </c>
      <c r="AH232" s="26"/>
      <c r="AI232" s="30"/>
      <c r="AJ232" s="31"/>
      <c r="AK232" s="31"/>
      <c r="AL232" s="31"/>
      <c r="AM232" s="31"/>
      <c r="AN232" s="31"/>
      <c r="AO232" s="31"/>
      <c r="AP232" s="31"/>
      <c r="AQ232" s="31"/>
      <c r="AR232" s="31"/>
      <c r="AS232" s="31"/>
      <c r="AT232" s="31"/>
      <c r="AU232" s="31" t="n">
        <f aca="false">IF($G232="",AJ232,L232)</f>
        <v>29280</v>
      </c>
      <c r="AV232" s="31" t="n">
        <f aca="false">IF($G232="",AK232,M232)</f>
        <v>2400</v>
      </c>
      <c r="AW232" s="31" t="n">
        <f aca="false">IF($G232="",AL232,N232)</f>
        <v>29280</v>
      </c>
      <c r="AX232" s="31" t="n">
        <f aca="false">IF($G232="",AM232,O232)</f>
        <v>2400</v>
      </c>
      <c r="AY232" s="31" t="n">
        <f aca="false">IF($G232="",AN232,P232)</f>
        <v>0</v>
      </c>
      <c r="AZ232" s="31" t="n">
        <f aca="false">IF($G232="",AO232,Q232)</f>
        <v>16595</v>
      </c>
      <c r="BA232" s="31" t="n">
        <f aca="false">IF($G232="",AP232,R232)</f>
        <v>15315</v>
      </c>
      <c r="BB232" s="31" t="n">
        <f aca="false">IF($G232="",AQ232,S232)</f>
        <v>2528</v>
      </c>
      <c r="BC232" s="31" t="n">
        <f aca="false">IF($G232="",AR232,T232)</f>
        <v>2528</v>
      </c>
      <c r="BD232" s="31" t="n">
        <f aca="false">IF($G232="",AS232,U232)</f>
        <v>368</v>
      </c>
      <c r="BE232" s="31" t="n">
        <f aca="false">IF($G232="",AT232,V232)</f>
        <v>368</v>
      </c>
      <c r="BF232" s="31" t="n">
        <f aca="false">ROUNDDOWN(I232*設定!$B$10/1000,0)+ROUNDDOWN(I232*設定!$B$11/1000,0)</f>
        <v>0</v>
      </c>
      <c r="BG232" s="31" t="n">
        <f aca="false">ROUNDDOWN(I232*設定!$C$10/1000,0)+ROUNDDOWN(I232*設定!$C$11/1000,0)+ROUNDDOWN(I232*設定!$C$12/1000,0)</f>
        <v>0</v>
      </c>
      <c r="BH232" s="31" t="n">
        <f aca="false">ROUNDDOWN(J232*設定!$B$13/1000,0)</f>
        <v>0</v>
      </c>
      <c r="BI232" s="31" t="n">
        <f aca="false">ROUNDDOWN(J232*設定!$C$13/1000,0)</f>
        <v>0</v>
      </c>
      <c r="BJ232" s="31" t="n">
        <f aca="false">ROUNDDOWN(K232*設定!$B$14/1000,0)</f>
        <v>0</v>
      </c>
      <c r="BK232" s="31" t="n">
        <f aca="false">ROUNDDOWN(K232*設定!$C$14/1000,0)</f>
        <v>0</v>
      </c>
      <c r="BL232" s="31" t="n">
        <f aca="false">ROUNDDOWN(J232*設定!$B$15/1000,0)</f>
        <v>0</v>
      </c>
      <c r="BM232" s="31" t="n">
        <f aca="false">ROUNDDOWN(J232*設定!$C$15/1000,0)</f>
        <v>0</v>
      </c>
      <c r="BN232" s="31" t="n">
        <f aca="false">L232+M232</f>
        <v>31680</v>
      </c>
      <c r="BO232" s="31" t="n">
        <f aca="false">N232+O232+P232</f>
        <v>31680</v>
      </c>
      <c r="BP232" s="31" t="n">
        <f aca="false">Q232</f>
        <v>16595</v>
      </c>
      <c r="BQ232" s="31" t="n">
        <f aca="false">R232</f>
        <v>15315</v>
      </c>
      <c r="BR232" s="31" t="n">
        <f aca="false">S232</f>
        <v>2528</v>
      </c>
      <c r="BS232" s="31" t="n">
        <f aca="false">T232</f>
        <v>2528</v>
      </c>
      <c r="BT232" s="31" t="n">
        <f aca="false">U232</f>
        <v>368</v>
      </c>
      <c r="BU232" s="31" t="n">
        <f aca="false">V232</f>
        <v>368</v>
      </c>
      <c r="BV232" s="32" t="n">
        <f aca="false">IF(BF232=0,IF(BN232=0,0,1),(BN232-BF232)/BF232)</f>
        <v>1</v>
      </c>
      <c r="BW232" s="32" t="n">
        <f aca="false">IF(BG232=0,IF(BO232=0,0,1),(BO232-BG232)/BG232)</f>
        <v>1</v>
      </c>
      <c r="BX232" s="32" t="n">
        <f aca="false">IF(BH232=0,IF(BP232=0,0,1),(BP232-BH232)/BH232)</f>
        <v>1</v>
      </c>
      <c r="BY232" s="32" t="n">
        <f aca="false">IF(BI232=0,IF(BQ232=0,0,1),(BQ232-BI232)/BI232)</f>
        <v>1</v>
      </c>
      <c r="BZ232" s="32" t="n">
        <f aca="false">IF(BJ232=0,IF(BR232=0,0,1),(BR232-BJ232)/BJ232)</f>
        <v>1</v>
      </c>
      <c r="CA232" s="32" t="n">
        <f aca="false">IF(BK232=0,IF(BS232=0,0,1),(BS232-BK232)/BK232)</f>
        <v>1</v>
      </c>
      <c r="CB232" s="32" t="n">
        <f aca="false">IF(BL232=0,IF(BT232=0,0,1),(BT232-BL232)/BL232)</f>
        <v>1</v>
      </c>
      <c r="CC232" s="32" t="n">
        <f aca="false">IF(BM232=0,IF(BU232=0,0,1),(BU232-BM232)/BM232)</f>
        <v>1</v>
      </c>
      <c r="CD232" s="32" t="n">
        <f aca="false">MAX(MAX(BV232:CC232),-MIN(BV232:CC232))</f>
        <v>1</v>
      </c>
      <c r="CE232" s="31" t="n">
        <f aca="false">IF(CI232="","",SUMIFS($CF$7:$CF$696,$A$7:$A$696,CI232,$B$7:$B$696,B232))</f>
        <v>103654</v>
      </c>
      <c r="CF232" s="31" t="n">
        <f aca="false">SUM(AU232:BE232)</f>
        <v>101062</v>
      </c>
      <c r="CG232" s="33" t="str">
        <f aca="false">A232&amp;"|"&amp;B232</f>
        <v>2026-07 月例|市職員労働組合</v>
      </c>
      <c r="CH232" s="34" t="str">
        <f aca="false">IFERROR(INDEX(設定!$D$61:$D$106,MATCH(B232,設定!$B$61:$B$106,0)),"Y")</f>
        <v>Y</v>
      </c>
      <c r="CI232" s="34" t="str">
        <f aca="false">IFERROR(INDEX(設定!$D$20:$D$34,MATCH(A232,設定!$A$20:$A$34,0))&amp;"","")</f>
        <v>2026-06 月例</v>
      </c>
    </row>
    <row r="233" customFormat="false" ht="15" hidden="true" customHeight="false" outlineLevel="0" collapsed="false">
      <c r="A233" s="22" t="s">
        <v>211</v>
      </c>
      <c r="B233" s="23" t="s">
        <v>203</v>
      </c>
      <c r="C233" s="10" t="str">
        <f aca="false">IF(G233="","未受領",IF(G233="なし","報告なし",IF(AH233="○","起票済",IF(OR(AG233="○",F233="一致",F233="入金不要"),"入金確認済","受領済"))))</f>
        <v>未受領</v>
      </c>
      <c r="D233" s="10" t="str">
        <f aca="false">IF(OR(G233="",G233="なし"),"―",IF(CH233="N","対象外",IF(AND(I233="",J233="",K233=""),"標報未入力",IF(CD233&gt;=設定!$B$4,"要確認","問題なし"))))</f>
        <v>―</v>
      </c>
      <c r="E233" s="24" t="str">
        <f aca="false">IF(OR(G233="",G233="なし",CE233="",CF233=0),"―",IF(CF233=CE233,"前月同額",IF(CE233=0,"―",IF(ABS(CF233/CE233-1)&gt;=設定!$B$5,"変動大 "&amp;TEXT(CF233/CE233-1,"+0%;-0%"),"〇"))))</f>
        <v>―</v>
      </c>
      <c r="F233" s="10" t="str">
        <f aca="false">IF(OR(G233="",G233="なし"),"―",IF(CF233=0,"入金不要",IF(COUNT(Z233,AB233,AD233,AF233)=0,IF(AG233="○","手動確認","未入金"),IF(AND(N(Z233)=Y233,IF(AA233="",TRUE(),N(AB233)=AA233),IF(AC233="",TRUE(),N(AD233)=AC233),IF(AE233="",TRUE(),N(AF233)=AE233)),"一致","不一致"))))</f>
        <v>―</v>
      </c>
      <c r="G233" s="25"/>
      <c r="H233" s="26"/>
      <c r="I233" s="27"/>
      <c r="J233" s="27"/>
      <c r="K233" s="27"/>
      <c r="L233" s="27"/>
      <c r="M233" s="27"/>
      <c r="N233" s="27"/>
      <c r="O233" s="27"/>
      <c r="P233" s="27"/>
      <c r="Q233" s="27"/>
      <c r="R233" s="27"/>
      <c r="S233" s="27"/>
      <c r="T233" s="27"/>
      <c r="U233" s="27"/>
      <c r="V233" s="27"/>
      <c r="W233" s="10" t="str">
        <f aca="false">IFERROR(INDEX(設定!$E$61:$E$106,MATCH(B233,設定!$B$61:$B$106,0)),"合算")</f>
        <v>合算</v>
      </c>
      <c r="X233" s="28"/>
      <c r="Y233" s="29" t="str">
        <f aca="false">IF(OR(G233="",G233="なし"),"",IF(W233="合算",CF233,IF(W233="掛金・負担金別",(AU233+AV233+AZ233+BB233+BD233),SUM(AU233:AY233))))</f>
        <v/>
      </c>
      <c r="Z233" s="27"/>
      <c r="AA233" s="29" t="str">
        <f aca="false">IF(OR(G233="",G233="なし"),"",IF(W233="掛金・負担金別",(AW233+AX233+AY233+BA233+BC233+BE233),IF(W233="経理区分別",AZ233+BA233,"")))</f>
        <v/>
      </c>
      <c r="AB233" s="27"/>
      <c r="AC233" s="29" t="str">
        <f aca="false">IF(OR(G233="",G233="なし"),"",IF(W233="経理区分別",BB233+BC233,""))</f>
        <v/>
      </c>
      <c r="AD233" s="27"/>
      <c r="AE233" s="29" t="str">
        <f aca="false">IF(OR(G233="",G233="なし"),"",IF(W233="経理区分別",BD233+BE233,""))</f>
        <v/>
      </c>
      <c r="AF233" s="27"/>
      <c r="AG233" s="26"/>
      <c r="AH233" s="26"/>
      <c r="AI233" s="30"/>
      <c r="AJ233" s="31" t="n">
        <v>0</v>
      </c>
      <c r="AK233" s="31" t="n">
        <v>0</v>
      </c>
      <c r="AL233" s="31" t="n">
        <v>0</v>
      </c>
      <c r="AM233" s="31" t="n">
        <v>0</v>
      </c>
      <c r="AN233" s="31"/>
      <c r="AO233" s="31" t="n">
        <v>0</v>
      </c>
      <c r="AP233" s="31" t="n">
        <v>0</v>
      </c>
      <c r="AQ233" s="31" t="n">
        <v>0</v>
      </c>
      <c r="AR233" s="31" t="n">
        <v>0</v>
      </c>
      <c r="AS233" s="31" t="n">
        <v>0</v>
      </c>
      <c r="AT233" s="31" t="n">
        <v>0</v>
      </c>
      <c r="AU233" s="31" t="n">
        <f aca="false">IF($G233="",AJ233,L233)</f>
        <v>0</v>
      </c>
      <c r="AV233" s="31" t="n">
        <f aca="false">IF($G233="",AK233,M233)</f>
        <v>0</v>
      </c>
      <c r="AW233" s="31" t="n">
        <f aca="false">IF($G233="",AL233,N233)</f>
        <v>0</v>
      </c>
      <c r="AX233" s="31" t="n">
        <f aca="false">IF($G233="",AM233,O233)</f>
        <v>0</v>
      </c>
      <c r="AY233" s="31" t="n">
        <f aca="false">IF($G233="",AN233,P233)</f>
        <v>0</v>
      </c>
      <c r="AZ233" s="31" t="n">
        <f aca="false">IF($G233="",AO233,Q233)</f>
        <v>0</v>
      </c>
      <c r="BA233" s="31" t="n">
        <f aca="false">IF($G233="",AP233,R233)</f>
        <v>0</v>
      </c>
      <c r="BB233" s="31" t="n">
        <f aca="false">IF($G233="",AQ233,S233)</f>
        <v>0</v>
      </c>
      <c r="BC233" s="31" t="n">
        <f aca="false">IF($G233="",AR233,T233)</f>
        <v>0</v>
      </c>
      <c r="BD233" s="31" t="n">
        <f aca="false">IF($G233="",AS233,U233)</f>
        <v>0</v>
      </c>
      <c r="BE233" s="31" t="n">
        <f aca="false">IF($G233="",AT233,V233)</f>
        <v>0</v>
      </c>
      <c r="BF233" s="31" t="n">
        <f aca="false">ROUNDDOWN(I233*設定!$B$10/1000,0)+ROUNDDOWN(I233*設定!$B$11/1000,0)</f>
        <v>0</v>
      </c>
      <c r="BG233" s="31" t="n">
        <f aca="false">ROUNDDOWN(I233*設定!$C$10/1000,0)+ROUNDDOWN(I233*設定!$C$11/1000,0)+ROUNDDOWN(I233*設定!$C$12/1000,0)</f>
        <v>0</v>
      </c>
      <c r="BH233" s="31" t="n">
        <f aca="false">ROUNDDOWN(J233*設定!$B$13/1000,0)</f>
        <v>0</v>
      </c>
      <c r="BI233" s="31" t="n">
        <f aca="false">ROUNDDOWN(J233*設定!$C$13/1000,0)</f>
        <v>0</v>
      </c>
      <c r="BJ233" s="31" t="n">
        <f aca="false">ROUNDDOWN(K233*設定!$B$14/1000,0)</f>
        <v>0</v>
      </c>
      <c r="BK233" s="31" t="n">
        <f aca="false">ROUNDDOWN(K233*設定!$C$14/1000,0)</f>
        <v>0</v>
      </c>
      <c r="BL233" s="31" t="n">
        <f aca="false">ROUNDDOWN(J233*設定!$B$15/1000,0)</f>
        <v>0</v>
      </c>
      <c r="BM233" s="31" t="n">
        <f aca="false">ROUNDDOWN(J233*設定!$C$15/1000,0)</f>
        <v>0</v>
      </c>
      <c r="BN233" s="31" t="n">
        <f aca="false">L233+M233</f>
        <v>0</v>
      </c>
      <c r="BO233" s="31" t="n">
        <f aca="false">N233+O233+P233</f>
        <v>0</v>
      </c>
      <c r="BP233" s="31" t="n">
        <f aca="false">Q233</f>
        <v>0</v>
      </c>
      <c r="BQ233" s="31" t="n">
        <f aca="false">R233</f>
        <v>0</v>
      </c>
      <c r="BR233" s="31" t="n">
        <f aca="false">S233</f>
        <v>0</v>
      </c>
      <c r="BS233" s="31" t="n">
        <f aca="false">T233</f>
        <v>0</v>
      </c>
      <c r="BT233" s="31" t="n">
        <f aca="false">U233</f>
        <v>0</v>
      </c>
      <c r="BU233" s="31" t="n">
        <f aca="false">V233</f>
        <v>0</v>
      </c>
      <c r="BV233" s="32" t="n">
        <f aca="false">IF(BF233=0,IF(BN233=0,0,1),(BN233-BF233)/BF233)</f>
        <v>0</v>
      </c>
      <c r="BW233" s="32" t="n">
        <f aca="false">IF(BG233=0,IF(BO233=0,0,1),(BO233-BG233)/BG233)</f>
        <v>0</v>
      </c>
      <c r="BX233" s="32" t="n">
        <f aca="false">IF(BH233=0,IF(BP233=0,0,1),(BP233-BH233)/BH233)</f>
        <v>0</v>
      </c>
      <c r="BY233" s="32" t="n">
        <f aca="false">IF(BI233=0,IF(BQ233=0,0,1),(BQ233-BI233)/BI233)</f>
        <v>0</v>
      </c>
      <c r="BZ233" s="32" t="n">
        <f aca="false">IF(BJ233=0,IF(BR233=0,0,1),(BR233-BJ233)/BJ233)</f>
        <v>0</v>
      </c>
      <c r="CA233" s="32" t="n">
        <f aca="false">IF(BK233=0,IF(BS233=0,0,1),(BS233-BK233)/BK233)</f>
        <v>0</v>
      </c>
      <c r="CB233" s="32" t="n">
        <f aca="false">IF(BL233=0,IF(BT233=0,0,1),(BT233-BL233)/BL233)</f>
        <v>0</v>
      </c>
      <c r="CC233" s="32" t="n">
        <f aca="false">IF(BM233=0,IF(BU233=0,0,1),(BU233-BM233)/BM233)</f>
        <v>0</v>
      </c>
      <c r="CD233" s="32" t="n">
        <f aca="false">MAX(MAX(BV233:CC233),-MIN(BV233:CC233))</f>
        <v>-0</v>
      </c>
      <c r="CE233" s="31" t="n">
        <f aca="false">IF(CI233="","",SUMIFS($CF$7:$CF$696,$A$7:$A$696,CI233,$B$7:$B$696,B233))</f>
        <v>0</v>
      </c>
      <c r="CF233" s="31" t="n">
        <f aca="false">SUM(AU233:BE233)</f>
        <v>0</v>
      </c>
      <c r="CG233" s="33" t="str">
        <f aca="false">A233&amp;"|"&amp;B233</f>
        <v>2026-07 月例|自治労労働組合</v>
      </c>
      <c r="CH233" s="34" t="str">
        <f aca="false">IFERROR(INDEX(設定!$D$61:$D$106,MATCH(B233,設定!$B$61:$B$106,0)),"Y")</f>
        <v>Y</v>
      </c>
      <c r="CI233" s="34" t="str">
        <f aca="false">IFERROR(INDEX(設定!$D$20:$D$34,MATCH(A233,設定!$A$20:$A$34,0))&amp;"","")</f>
        <v>2026-06 月例</v>
      </c>
    </row>
    <row r="234" customFormat="false" ht="15" hidden="true" customHeight="false" outlineLevel="0" collapsed="false">
      <c r="A234" s="22" t="s">
        <v>211</v>
      </c>
      <c r="B234" s="23" t="s">
        <v>204</v>
      </c>
      <c r="C234" s="10" t="str">
        <f aca="false">IF(G234="","未受領",IF(G234="なし","報告なし",IF(AH234="○","起票済",IF(OR(AG234="○",F234="一致",F234="入金不要"),"入金確認済","受領済"))))</f>
        <v>入金確認済</v>
      </c>
      <c r="D234" s="10" t="str">
        <f aca="false">IF(OR(G234="",G234="なし"),"―",IF(CH234="N","対象外",IF(AND(I234="",J234="",K234=""),"標報未入力",IF(CD234&gt;=設定!$B$4,"要確認","問題なし"))))</f>
        <v>標報未入力</v>
      </c>
      <c r="E234" s="24" t="str">
        <f aca="false">IF(OR(G234="",G234="なし",CE234="",CF234=0),"―",IF(CF234=CE234,"前月同額",IF(CE234=0,"―",IF(ABS(CF234/CE234-1)&gt;=設定!$B$5,"変動大 "&amp;TEXT(CF234/CE234-1,"+0%;-0%"),"〇"))))</f>
        <v>前月同額</v>
      </c>
      <c r="F234" s="10" t="str">
        <f aca="false">IF(OR(G234="",G234="なし"),"―",IF(CF234=0,"入金不要",IF(COUNT(Z234,AB234,AD234,AF234)=0,IF(AG234="○","手動確認","未入金"),IF(AND(N(Z234)=Y234,IF(AA234="",TRUE(),N(AB234)=AA234),IF(AC234="",TRUE(),N(AD234)=AC234),IF(AE234="",TRUE(),N(AF234)=AE234)),"一致","不一致"))))</f>
        <v>手動確認</v>
      </c>
      <c r="G234" s="25" t="s">
        <v>159</v>
      </c>
      <c r="H234" s="26"/>
      <c r="I234" s="27"/>
      <c r="J234" s="27"/>
      <c r="K234" s="27"/>
      <c r="L234" s="27" t="n">
        <v>27450</v>
      </c>
      <c r="M234" s="27" t="n">
        <v>2250</v>
      </c>
      <c r="N234" s="27" t="n">
        <v>27450</v>
      </c>
      <c r="O234" s="27" t="n">
        <v>2250</v>
      </c>
      <c r="P234" s="27"/>
      <c r="Q234" s="27" t="n">
        <v>31116</v>
      </c>
      <c r="R234" s="27" t="n">
        <v>31146</v>
      </c>
      <c r="S234" s="27" t="n">
        <v>2370</v>
      </c>
      <c r="T234" s="27" t="n">
        <v>2370</v>
      </c>
      <c r="U234" s="27" t="n">
        <v>690</v>
      </c>
      <c r="V234" s="27" t="n">
        <v>690</v>
      </c>
      <c r="W234" s="10" t="str">
        <f aca="false">IFERROR(INDEX(設定!$E$61:$E$106,MATCH(B234,設定!$B$61:$B$106,0)),"合算")</f>
        <v>合算</v>
      </c>
      <c r="X234" s="28"/>
      <c r="Y234" s="29" t="n">
        <f aca="false">IF(OR(G234="",G234="なし"),"",IF(W234="合算",CF234,IF(W234="掛金・負担金別",(AU234+AV234+AZ234+BB234+BD234),SUM(AU234:AY234))))</f>
        <v>127782</v>
      </c>
      <c r="Z234" s="27"/>
      <c r="AA234" s="29" t="str">
        <f aca="false">IF(OR(G234="",G234="なし"),"",IF(W234="掛金・負担金別",(AW234+AX234+AY234+BA234+BC234+BE234),IF(W234="経理区分別",AZ234+BA234,"")))</f>
        <v/>
      </c>
      <c r="AB234" s="27"/>
      <c r="AC234" s="29" t="str">
        <f aca="false">IF(OR(G234="",G234="なし"),"",IF(W234="経理区分別",BB234+BC234,""))</f>
        <v/>
      </c>
      <c r="AD234" s="27"/>
      <c r="AE234" s="29" t="str">
        <f aca="false">IF(OR(G234="",G234="なし"),"",IF(W234="経理区分別",BD234+BE234,""))</f>
        <v/>
      </c>
      <c r="AF234" s="27"/>
      <c r="AG234" s="26" t="s">
        <v>160</v>
      </c>
      <c r="AH234" s="26"/>
      <c r="AI234" s="30"/>
      <c r="AJ234" s="31"/>
      <c r="AK234" s="31"/>
      <c r="AL234" s="31"/>
      <c r="AM234" s="31"/>
      <c r="AN234" s="31"/>
      <c r="AO234" s="31"/>
      <c r="AP234" s="31"/>
      <c r="AQ234" s="31"/>
      <c r="AR234" s="31"/>
      <c r="AS234" s="31"/>
      <c r="AT234" s="31"/>
      <c r="AU234" s="31" t="n">
        <f aca="false">IF($G234="",AJ234,L234)</f>
        <v>27450</v>
      </c>
      <c r="AV234" s="31" t="n">
        <f aca="false">IF($G234="",AK234,M234)</f>
        <v>2250</v>
      </c>
      <c r="AW234" s="31" t="n">
        <f aca="false">IF($G234="",AL234,N234)</f>
        <v>27450</v>
      </c>
      <c r="AX234" s="31" t="n">
        <f aca="false">IF($G234="",AM234,O234)</f>
        <v>2250</v>
      </c>
      <c r="AY234" s="31" t="n">
        <f aca="false">IF($G234="",AN234,P234)</f>
        <v>0</v>
      </c>
      <c r="AZ234" s="31" t="n">
        <f aca="false">IF($G234="",AO234,Q234)</f>
        <v>31116</v>
      </c>
      <c r="BA234" s="31" t="n">
        <f aca="false">IF($G234="",AP234,R234)</f>
        <v>31146</v>
      </c>
      <c r="BB234" s="31" t="n">
        <f aca="false">IF($G234="",AQ234,S234)</f>
        <v>2370</v>
      </c>
      <c r="BC234" s="31" t="n">
        <f aca="false">IF($G234="",AR234,T234)</f>
        <v>2370</v>
      </c>
      <c r="BD234" s="31" t="n">
        <f aca="false">IF($G234="",AS234,U234)</f>
        <v>690</v>
      </c>
      <c r="BE234" s="31" t="n">
        <f aca="false">IF($G234="",AT234,V234)</f>
        <v>690</v>
      </c>
      <c r="BF234" s="31" t="n">
        <f aca="false">ROUNDDOWN(I234*設定!$B$10/1000,0)+ROUNDDOWN(I234*設定!$B$11/1000,0)</f>
        <v>0</v>
      </c>
      <c r="BG234" s="31" t="n">
        <f aca="false">ROUNDDOWN(I234*設定!$C$10/1000,0)+ROUNDDOWN(I234*設定!$C$11/1000,0)+ROUNDDOWN(I234*設定!$C$12/1000,0)</f>
        <v>0</v>
      </c>
      <c r="BH234" s="31" t="n">
        <f aca="false">ROUNDDOWN(J234*設定!$B$13/1000,0)</f>
        <v>0</v>
      </c>
      <c r="BI234" s="31" t="n">
        <f aca="false">ROUNDDOWN(J234*設定!$C$13/1000,0)</f>
        <v>0</v>
      </c>
      <c r="BJ234" s="31" t="n">
        <f aca="false">ROUNDDOWN(K234*設定!$B$14/1000,0)</f>
        <v>0</v>
      </c>
      <c r="BK234" s="31" t="n">
        <f aca="false">ROUNDDOWN(K234*設定!$C$14/1000,0)</f>
        <v>0</v>
      </c>
      <c r="BL234" s="31" t="n">
        <f aca="false">ROUNDDOWN(J234*設定!$B$15/1000,0)</f>
        <v>0</v>
      </c>
      <c r="BM234" s="31" t="n">
        <f aca="false">ROUNDDOWN(J234*設定!$C$15/1000,0)</f>
        <v>0</v>
      </c>
      <c r="BN234" s="31" t="n">
        <f aca="false">L234+M234</f>
        <v>29700</v>
      </c>
      <c r="BO234" s="31" t="n">
        <f aca="false">N234+O234+P234</f>
        <v>29700</v>
      </c>
      <c r="BP234" s="31" t="n">
        <f aca="false">Q234</f>
        <v>31116</v>
      </c>
      <c r="BQ234" s="31" t="n">
        <f aca="false">R234</f>
        <v>31146</v>
      </c>
      <c r="BR234" s="31" t="n">
        <f aca="false">S234</f>
        <v>2370</v>
      </c>
      <c r="BS234" s="31" t="n">
        <f aca="false">T234</f>
        <v>2370</v>
      </c>
      <c r="BT234" s="31" t="n">
        <f aca="false">U234</f>
        <v>690</v>
      </c>
      <c r="BU234" s="31" t="n">
        <f aca="false">V234</f>
        <v>690</v>
      </c>
      <c r="BV234" s="32" t="n">
        <f aca="false">IF(BF234=0,IF(BN234=0,0,1),(BN234-BF234)/BF234)</f>
        <v>1</v>
      </c>
      <c r="BW234" s="32" t="n">
        <f aca="false">IF(BG234=0,IF(BO234=0,0,1),(BO234-BG234)/BG234)</f>
        <v>1</v>
      </c>
      <c r="BX234" s="32" t="n">
        <f aca="false">IF(BH234=0,IF(BP234=0,0,1),(BP234-BH234)/BH234)</f>
        <v>1</v>
      </c>
      <c r="BY234" s="32" t="n">
        <f aca="false">IF(BI234=0,IF(BQ234=0,0,1),(BQ234-BI234)/BI234)</f>
        <v>1</v>
      </c>
      <c r="BZ234" s="32" t="n">
        <f aca="false">IF(BJ234=0,IF(BR234=0,0,1),(BR234-BJ234)/BJ234)</f>
        <v>1</v>
      </c>
      <c r="CA234" s="32" t="n">
        <f aca="false">IF(BK234=0,IF(BS234=0,0,1),(BS234-BK234)/BK234)</f>
        <v>1</v>
      </c>
      <c r="CB234" s="32" t="n">
        <f aca="false">IF(BL234=0,IF(BT234=0,0,1),(BT234-BL234)/BL234)</f>
        <v>1</v>
      </c>
      <c r="CC234" s="32" t="n">
        <f aca="false">IF(BM234=0,IF(BU234=0,0,1),(BU234-BM234)/BM234)</f>
        <v>1</v>
      </c>
      <c r="CD234" s="32" t="n">
        <f aca="false">MAX(MAX(BV234:CC234),-MIN(BV234:CC234))</f>
        <v>1</v>
      </c>
      <c r="CE234" s="31" t="n">
        <f aca="false">IF(CI234="","",SUMIFS($CF$7:$CF$696,$A$7:$A$696,CI234,$B$7:$B$696,B234))</f>
        <v>127782</v>
      </c>
      <c r="CF234" s="31" t="n">
        <f aca="false">SUM(AU234:BE234)</f>
        <v>127782</v>
      </c>
      <c r="CG234" s="33" t="str">
        <f aca="false">A234&amp;"|"&amp;B234</f>
        <v>2026-07 月例|病院労働組合</v>
      </c>
      <c r="CH234" s="34" t="str">
        <f aca="false">IFERROR(INDEX(設定!$D$61:$D$106,MATCH(B234,設定!$B$61:$B$106,0)),"Y")</f>
        <v>Y</v>
      </c>
      <c r="CI234" s="34" t="str">
        <f aca="false">IFERROR(INDEX(設定!$D$20:$D$34,MATCH(A234,設定!$A$20:$A$34,0))&amp;"","")</f>
        <v>2026-06 月例</v>
      </c>
    </row>
    <row r="235" customFormat="false" ht="15" hidden="true" customHeight="false" outlineLevel="0" collapsed="false">
      <c r="A235" s="22" t="s">
        <v>211</v>
      </c>
      <c r="B235" s="23" t="s">
        <v>205</v>
      </c>
      <c r="C235" s="10" t="str">
        <f aca="false">IF(G235="","未受領",IF(G235="なし","報告なし",IF(AH235="○","起票済",IF(OR(AG235="○",F235="一致",F235="入金不要"),"入金確認済","受領済"))))</f>
        <v>報告なし</v>
      </c>
      <c r="D235" s="10" t="str">
        <f aca="false">IF(OR(G235="",G235="なし"),"―",IF(CH235="N","対象外",IF(AND(I235="",J235="",K235=""),"標報未入力",IF(CD235&gt;=設定!$B$4,"要確認","問題なし"))))</f>
        <v>―</v>
      </c>
      <c r="E235" s="24" t="str">
        <f aca="false">IF(OR(G235="",G235="なし",CE235="",CF235=0),"―",IF(CF235=CE235,"前月同額",IF(CE235=0,"―",IF(ABS(CF235/CE235-1)&gt;=設定!$B$5,"変動大 "&amp;TEXT(CF235/CE235-1,"+0%;-0%"),"〇"))))</f>
        <v>―</v>
      </c>
      <c r="F235" s="10" t="str">
        <f aca="false">IF(OR(G235="",G235="なし"),"―",IF(CF235=0,"入金不要",IF(COUNT(Z235,AB235,AD235,AF235)=0,IF(AG235="○","手動確認","未入金"),IF(AND(N(Z235)=Y235,IF(AA235="",TRUE(),N(AB235)=AA235),IF(AC235="",TRUE(),N(AD235)=AC235),IF(AE235="",TRUE(),N(AF235)=AE235)),"一致","不一致"))))</f>
        <v>―</v>
      </c>
      <c r="G235" s="25" t="s">
        <v>173</v>
      </c>
      <c r="H235" s="26"/>
      <c r="I235" s="27"/>
      <c r="J235" s="27"/>
      <c r="K235" s="27"/>
      <c r="L235" s="27"/>
      <c r="M235" s="27"/>
      <c r="N235" s="27"/>
      <c r="O235" s="27"/>
      <c r="P235" s="27"/>
      <c r="Q235" s="27"/>
      <c r="R235" s="27"/>
      <c r="S235" s="27"/>
      <c r="T235" s="27"/>
      <c r="U235" s="27"/>
      <c r="V235" s="27"/>
      <c r="W235" s="10" t="str">
        <f aca="false">IFERROR(INDEX(設定!$E$61:$E$106,MATCH(B235,設定!$B$61:$B$106,0)),"合算")</f>
        <v>合算</v>
      </c>
      <c r="X235" s="28"/>
      <c r="Y235" s="29" t="str">
        <f aca="false">IF(OR(G235="",G235="なし"),"",IF(W235="合算",CF235,IF(W235="掛金・負担金別",(AU235+AV235+AZ235+BB235+BD235),SUM(AU235:AY235))))</f>
        <v/>
      </c>
      <c r="Z235" s="27"/>
      <c r="AA235" s="29" t="str">
        <f aca="false">IF(OR(G235="",G235="なし"),"",IF(W235="掛金・負担金別",(AW235+AX235+AY235+BA235+BC235+BE235),IF(W235="経理区分別",AZ235+BA235,"")))</f>
        <v/>
      </c>
      <c r="AB235" s="27"/>
      <c r="AC235" s="29" t="str">
        <f aca="false">IF(OR(G235="",G235="なし"),"",IF(W235="経理区分別",BB235+BC235,""))</f>
        <v/>
      </c>
      <c r="AD235" s="27"/>
      <c r="AE235" s="29" t="str">
        <f aca="false">IF(OR(G235="",G235="なし"),"",IF(W235="経理区分別",BD235+BE235,""))</f>
        <v/>
      </c>
      <c r="AF235" s="27"/>
      <c r="AG235" s="26"/>
      <c r="AH235" s="26"/>
      <c r="AI235" s="30"/>
      <c r="AJ235" s="31"/>
      <c r="AK235" s="31"/>
      <c r="AL235" s="31"/>
      <c r="AM235" s="31"/>
      <c r="AN235" s="31"/>
      <c r="AO235" s="31"/>
      <c r="AP235" s="31"/>
      <c r="AQ235" s="31"/>
      <c r="AR235" s="31"/>
      <c r="AS235" s="31"/>
      <c r="AT235" s="31"/>
      <c r="AU235" s="31" t="n">
        <f aca="false">IF($G235="",AJ235,L235)</f>
        <v>0</v>
      </c>
      <c r="AV235" s="31" t="n">
        <f aca="false">IF($G235="",AK235,M235)</f>
        <v>0</v>
      </c>
      <c r="AW235" s="31" t="n">
        <f aca="false">IF($G235="",AL235,N235)</f>
        <v>0</v>
      </c>
      <c r="AX235" s="31" t="n">
        <f aca="false">IF($G235="",AM235,O235)</f>
        <v>0</v>
      </c>
      <c r="AY235" s="31" t="n">
        <f aca="false">IF($G235="",AN235,P235)</f>
        <v>0</v>
      </c>
      <c r="AZ235" s="31" t="n">
        <f aca="false">IF($G235="",AO235,Q235)</f>
        <v>0</v>
      </c>
      <c r="BA235" s="31" t="n">
        <f aca="false">IF($G235="",AP235,R235)</f>
        <v>0</v>
      </c>
      <c r="BB235" s="31" t="n">
        <f aca="false">IF($G235="",AQ235,S235)</f>
        <v>0</v>
      </c>
      <c r="BC235" s="31" t="n">
        <f aca="false">IF($G235="",AR235,T235)</f>
        <v>0</v>
      </c>
      <c r="BD235" s="31" t="n">
        <f aca="false">IF($G235="",AS235,U235)</f>
        <v>0</v>
      </c>
      <c r="BE235" s="31" t="n">
        <f aca="false">IF($G235="",AT235,V235)</f>
        <v>0</v>
      </c>
      <c r="BF235" s="31" t="n">
        <f aca="false">ROUNDDOWN(I235*設定!$B$10/1000,0)+ROUNDDOWN(I235*設定!$B$11/1000,0)</f>
        <v>0</v>
      </c>
      <c r="BG235" s="31" t="n">
        <f aca="false">ROUNDDOWN(I235*設定!$C$10/1000,0)+ROUNDDOWN(I235*設定!$C$11/1000,0)+ROUNDDOWN(I235*設定!$C$12/1000,0)</f>
        <v>0</v>
      </c>
      <c r="BH235" s="31" t="n">
        <f aca="false">ROUNDDOWN(J235*設定!$B$13/1000,0)</f>
        <v>0</v>
      </c>
      <c r="BI235" s="31" t="n">
        <f aca="false">ROUNDDOWN(J235*設定!$C$13/1000,0)</f>
        <v>0</v>
      </c>
      <c r="BJ235" s="31" t="n">
        <f aca="false">ROUNDDOWN(K235*設定!$B$14/1000,0)</f>
        <v>0</v>
      </c>
      <c r="BK235" s="31" t="n">
        <f aca="false">ROUNDDOWN(K235*設定!$C$14/1000,0)</f>
        <v>0</v>
      </c>
      <c r="BL235" s="31" t="n">
        <f aca="false">ROUNDDOWN(J235*設定!$B$15/1000,0)</f>
        <v>0</v>
      </c>
      <c r="BM235" s="31" t="n">
        <f aca="false">ROUNDDOWN(J235*設定!$C$15/1000,0)</f>
        <v>0</v>
      </c>
      <c r="BN235" s="31" t="n">
        <f aca="false">L235+M235</f>
        <v>0</v>
      </c>
      <c r="BO235" s="31" t="n">
        <f aca="false">N235+O235+P235</f>
        <v>0</v>
      </c>
      <c r="BP235" s="31" t="n">
        <f aca="false">Q235</f>
        <v>0</v>
      </c>
      <c r="BQ235" s="31" t="n">
        <f aca="false">R235</f>
        <v>0</v>
      </c>
      <c r="BR235" s="31" t="n">
        <f aca="false">S235</f>
        <v>0</v>
      </c>
      <c r="BS235" s="31" t="n">
        <f aca="false">T235</f>
        <v>0</v>
      </c>
      <c r="BT235" s="31" t="n">
        <f aca="false">U235</f>
        <v>0</v>
      </c>
      <c r="BU235" s="31" t="n">
        <f aca="false">V235</f>
        <v>0</v>
      </c>
      <c r="BV235" s="32" t="n">
        <f aca="false">IF(BF235=0,IF(BN235=0,0,1),(BN235-BF235)/BF235)</f>
        <v>0</v>
      </c>
      <c r="BW235" s="32" t="n">
        <f aca="false">IF(BG235=0,IF(BO235=0,0,1),(BO235-BG235)/BG235)</f>
        <v>0</v>
      </c>
      <c r="BX235" s="32" t="n">
        <f aca="false">IF(BH235=0,IF(BP235=0,0,1),(BP235-BH235)/BH235)</f>
        <v>0</v>
      </c>
      <c r="BY235" s="32" t="n">
        <f aca="false">IF(BI235=0,IF(BQ235=0,0,1),(BQ235-BI235)/BI235)</f>
        <v>0</v>
      </c>
      <c r="BZ235" s="32" t="n">
        <f aca="false">IF(BJ235=0,IF(BR235=0,0,1),(BR235-BJ235)/BJ235)</f>
        <v>0</v>
      </c>
      <c r="CA235" s="32" t="n">
        <f aca="false">IF(BK235=0,IF(BS235=0,0,1),(BS235-BK235)/BK235)</f>
        <v>0</v>
      </c>
      <c r="CB235" s="32" t="n">
        <f aca="false">IF(BL235=0,IF(BT235=0,0,1),(BT235-BL235)/BL235)</f>
        <v>0</v>
      </c>
      <c r="CC235" s="32" t="n">
        <f aca="false">IF(BM235=0,IF(BU235=0,0,1),(BU235-BM235)/BM235)</f>
        <v>0</v>
      </c>
      <c r="CD235" s="32" t="n">
        <f aca="false">MAX(MAX(BV235:CC235),-MIN(BV235:CC235))</f>
        <v>-0</v>
      </c>
      <c r="CE235" s="31" t="n">
        <f aca="false">IF(CI235="","",SUMIFS($CF$7:$CF$696,$A$7:$A$696,CI235,$B$7:$B$696,B235))</f>
        <v>0</v>
      </c>
      <c r="CF235" s="31" t="n">
        <f aca="false">SUM(AU235:BE235)</f>
        <v>0</v>
      </c>
      <c r="CG235" s="33" t="str">
        <f aca="false">A235&amp;"|"&amp;B235</f>
        <v>2026-07 月例|水道労働組合</v>
      </c>
      <c r="CH235" s="34" t="str">
        <f aca="false">IFERROR(INDEX(設定!$D$61:$D$106,MATCH(B235,設定!$B$61:$B$106,0)),"Y")</f>
        <v>Y</v>
      </c>
      <c r="CI235" s="34" t="str">
        <f aca="false">IFERROR(INDEX(設定!$D$20:$D$34,MATCH(A235,設定!$A$20:$A$34,0))&amp;"","")</f>
        <v>2026-06 月例</v>
      </c>
    </row>
    <row r="236" customFormat="false" ht="15" hidden="true" customHeight="false" outlineLevel="0" collapsed="false">
      <c r="A236" s="22" t="s">
        <v>211</v>
      </c>
      <c r="B236" s="23" t="s">
        <v>206</v>
      </c>
      <c r="C236" s="10" t="str">
        <f aca="false">IF(G236="","未受領",IF(G236="なし","報告なし",IF(AH236="○","起票済",IF(OR(AG236="○",F236="一致",F236="入金不要"),"入金確認済","受領済"))))</f>
        <v>受領済</v>
      </c>
      <c r="D236" s="10" t="str">
        <f aca="false">IF(OR(G236="",G236="なし"),"―",IF(CH236="N","対象外",IF(AND(I236="",J236="",K236=""),"標報未入力",IF(CD236&gt;=設定!$B$4,"要確認","問題なし"))))</f>
        <v>対象外</v>
      </c>
      <c r="E236" s="24" t="str">
        <f aca="false">IF(OR(G236="",G236="なし",CE236="",CF236=0),"―",IF(CF236=CE236,"前月同額",IF(CE236=0,"―",IF(ABS(CF236/CE236-1)&gt;=設定!$B$5,"変動大 "&amp;TEXT(CF236/CE236-1,"+0%;-0%"),"〇"))))</f>
        <v>変動大 -21%</v>
      </c>
      <c r="F236" s="10" t="str">
        <f aca="false">IF(OR(G236="",G236="なし"),"―",IF(CF236=0,"入金不要",IF(COUNT(Z236,AB236,AD236,AF236)=0,IF(AG236="○","手動確認","未入金"),IF(AND(N(Z236)=Y236,IF(AA236="",TRUE(),N(AB236)=AA236),IF(AC236="",TRUE(),N(AD236)=AC236),IF(AE236="",TRUE(),N(AF236)=AE236)),"一致","不一致"))))</f>
        <v>未入金</v>
      </c>
      <c r="G236" s="25" t="s">
        <v>159</v>
      </c>
      <c r="H236" s="26"/>
      <c r="I236" s="27"/>
      <c r="J236" s="27"/>
      <c r="K236" s="27"/>
      <c r="L236" s="27"/>
      <c r="M236" s="27"/>
      <c r="N236" s="27"/>
      <c r="O236" s="27"/>
      <c r="P236" s="27"/>
      <c r="Q236" s="27" t="n">
        <v>2297617</v>
      </c>
      <c r="R236" s="27"/>
      <c r="S236" s="27" t="n">
        <v>156680</v>
      </c>
      <c r="T236" s="27"/>
      <c r="U236" s="27" t="n">
        <v>50945</v>
      </c>
      <c r="V236" s="27"/>
      <c r="W236" s="10" t="str">
        <f aca="false">IFERROR(INDEX(設定!$E$61:$E$106,MATCH(B236,設定!$B$61:$B$106,0)),"合算")</f>
        <v>合算</v>
      </c>
      <c r="X236" s="28"/>
      <c r="Y236" s="29" t="n">
        <f aca="false">IF(OR(G236="",G236="なし"),"",IF(W236="合算",CF236,IF(W236="掛金・負担金別",(AU236+AV236+AZ236+BB236+BD236),SUM(AU236:AY236))))</f>
        <v>2505242</v>
      </c>
      <c r="Z236" s="27"/>
      <c r="AA236" s="29" t="str">
        <f aca="false">IF(OR(G236="",G236="なし"),"",IF(W236="掛金・負担金別",(AW236+AX236+AY236+BA236+BC236+BE236),IF(W236="経理区分別",AZ236+BA236,"")))</f>
        <v/>
      </c>
      <c r="AB236" s="27"/>
      <c r="AC236" s="29" t="str">
        <f aca="false">IF(OR(G236="",G236="なし"),"",IF(W236="経理区分別",BB236+BC236,""))</f>
        <v/>
      </c>
      <c r="AD236" s="27"/>
      <c r="AE236" s="29" t="str">
        <f aca="false">IF(OR(G236="",G236="なし"),"",IF(W236="経理区分別",BD236+BE236,""))</f>
        <v/>
      </c>
      <c r="AF236" s="27"/>
      <c r="AG236" s="26"/>
      <c r="AH236" s="26"/>
      <c r="AI236" s="30"/>
      <c r="AJ236" s="31"/>
      <c r="AK236" s="31"/>
      <c r="AL236" s="31"/>
      <c r="AM236" s="31"/>
      <c r="AN236" s="31"/>
      <c r="AO236" s="31"/>
      <c r="AP236" s="31"/>
      <c r="AQ236" s="31"/>
      <c r="AR236" s="31"/>
      <c r="AS236" s="31"/>
      <c r="AT236" s="31"/>
      <c r="AU236" s="31" t="n">
        <f aca="false">IF($G236="",AJ236,L236)</f>
        <v>0</v>
      </c>
      <c r="AV236" s="31" t="n">
        <f aca="false">IF($G236="",AK236,M236)</f>
        <v>0</v>
      </c>
      <c r="AW236" s="31" t="n">
        <f aca="false">IF($G236="",AL236,N236)</f>
        <v>0</v>
      </c>
      <c r="AX236" s="31" t="n">
        <f aca="false">IF($G236="",AM236,O236)</f>
        <v>0</v>
      </c>
      <c r="AY236" s="31" t="n">
        <f aca="false">IF($G236="",AN236,P236)</f>
        <v>0</v>
      </c>
      <c r="AZ236" s="31" t="n">
        <f aca="false">IF($G236="",AO236,Q236)</f>
        <v>2297617</v>
      </c>
      <c r="BA236" s="31" t="n">
        <f aca="false">IF($G236="",AP236,R236)</f>
        <v>0</v>
      </c>
      <c r="BB236" s="31" t="n">
        <f aca="false">IF($G236="",AQ236,S236)</f>
        <v>156680</v>
      </c>
      <c r="BC236" s="31" t="n">
        <f aca="false">IF($G236="",AR236,T236)</f>
        <v>0</v>
      </c>
      <c r="BD236" s="31" t="n">
        <f aca="false">IF($G236="",AS236,U236)</f>
        <v>50945</v>
      </c>
      <c r="BE236" s="31" t="n">
        <f aca="false">IF($G236="",AT236,V236)</f>
        <v>0</v>
      </c>
      <c r="BF236" s="31" t="n">
        <f aca="false">ROUNDDOWN(I236*設定!$B$10/1000,0)+ROUNDDOWN(I236*設定!$B$11/1000,0)</f>
        <v>0</v>
      </c>
      <c r="BG236" s="31" t="n">
        <f aca="false">ROUNDDOWN(I236*設定!$C$10/1000,0)+ROUNDDOWN(I236*設定!$C$11/1000,0)+ROUNDDOWN(I236*設定!$C$12/1000,0)</f>
        <v>0</v>
      </c>
      <c r="BH236" s="31" t="n">
        <f aca="false">ROUNDDOWN(J236*設定!$B$13/1000,0)</f>
        <v>0</v>
      </c>
      <c r="BI236" s="31" t="n">
        <f aca="false">ROUNDDOWN(J236*設定!$C$13/1000,0)</f>
        <v>0</v>
      </c>
      <c r="BJ236" s="31" t="n">
        <f aca="false">ROUNDDOWN(K236*設定!$B$14/1000,0)</f>
        <v>0</v>
      </c>
      <c r="BK236" s="31" t="n">
        <f aca="false">ROUNDDOWN(K236*設定!$C$14/1000,0)</f>
        <v>0</v>
      </c>
      <c r="BL236" s="31" t="n">
        <f aca="false">ROUNDDOWN(J236*設定!$B$15/1000,0)</f>
        <v>0</v>
      </c>
      <c r="BM236" s="31" t="n">
        <f aca="false">ROUNDDOWN(J236*設定!$C$15/1000,0)</f>
        <v>0</v>
      </c>
      <c r="BN236" s="31" t="n">
        <f aca="false">L236+M236</f>
        <v>0</v>
      </c>
      <c r="BO236" s="31" t="n">
        <f aca="false">N236+O236+P236</f>
        <v>0</v>
      </c>
      <c r="BP236" s="31" t="n">
        <f aca="false">Q236</f>
        <v>2297617</v>
      </c>
      <c r="BQ236" s="31" t="n">
        <f aca="false">R236</f>
        <v>0</v>
      </c>
      <c r="BR236" s="31" t="n">
        <f aca="false">S236</f>
        <v>156680</v>
      </c>
      <c r="BS236" s="31" t="n">
        <f aca="false">T236</f>
        <v>0</v>
      </c>
      <c r="BT236" s="31" t="n">
        <f aca="false">U236</f>
        <v>50945</v>
      </c>
      <c r="BU236" s="31" t="n">
        <f aca="false">V236</f>
        <v>0</v>
      </c>
      <c r="BV236" s="32" t="n">
        <f aca="false">IF(BF236=0,IF(BN236=0,0,1),(BN236-BF236)/BF236)</f>
        <v>0</v>
      </c>
      <c r="BW236" s="32" t="n">
        <f aca="false">IF(BG236=0,IF(BO236=0,0,1),(BO236-BG236)/BG236)</f>
        <v>0</v>
      </c>
      <c r="BX236" s="32" t="n">
        <f aca="false">IF(BH236=0,IF(BP236=0,0,1),(BP236-BH236)/BH236)</f>
        <v>1</v>
      </c>
      <c r="BY236" s="32" t="n">
        <f aca="false">IF(BI236=0,IF(BQ236=0,0,1),(BQ236-BI236)/BI236)</f>
        <v>0</v>
      </c>
      <c r="BZ236" s="32" t="n">
        <f aca="false">IF(BJ236=0,IF(BR236=0,0,1),(BR236-BJ236)/BJ236)</f>
        <v>1</v>
      </c>
      <c r="CA236" s="32" t="n">
        <f aca="false">IF(BK236=0,IF(BS236=0,0,1),(BS236-BK236)/BK236)</f>
        <v>0</v>
      </c>
      <c r="CB236" s="32" t="n">
        <f aca="false">IF(BL236=0,IF(BT236=0,0,1),(BT236-BL236)/BL236)</f>
        <v>1</v>
      </c>
      <c r="CC236" s="32" t="n">
        <f aca="false">IF(BM236=0,IF(BU236=0,0,1),(BU236-BM236)/BM236)</f>
        <v>0</v>
      </c>
      <c r="CD236" s="32" t="n">
        <f aca="false">MAX(MAX(BV236:CC236),-MIN(BV236:CC236))</f>
        <v>1</v>
      </c>
      <c r="CE236" s="31" t="n">
        <f aca="false">IF(CI236="","",SUMIFS($CF$7:$CF$696,$A$7:$A$696,CI236,$B$7:$B$696,B236))</f>
        <v>3170929</v>
      </c>
      <c r="CF236" s="31" t="n">
        <f aca="false">SUM(AU236:BE236)</f>
        <v>2505242</v>
      </c>
      <c r="CG236" s="33" t="str">
        <f aca="false">A236&amp;"|"&amp;B236</f>
        <v>2026-07 月例|任意継続組合員</v>
      </c>
      <c r="CH236" s="34" t="str">
        <f aca="false">IFERROR(INDEX(設定!$D$61:$D$106,MATCH(B236,設定!$B$61:$B$106,0)),"Y")</f>
        <v>N</v>
      </c>
      <c r="CI236" s="34" t="str">
        <f aca="false">IFERROR(INDEX(設定!$D$20:$D$34,MATCH(A236,設定!$A$20:$A$34,0))&amp;"","")</f>
        <v>2026-06 月例</v>
      </c>
    </row>
    <row r="237" customFormat="false" ht="15" hidden="true" customHeight="false" outlineLevel="0" collapsed="false">
      <c r="A237" s="22" t="s">
        <v>212</v>
      </c>
      <c r="B237" s="23" t="s">
        <v>158</v>
      </c>
      <c r="C237" s="10" t="str">
        <f aca="false">IF(G237="","未受領",IF(G237="なし","報告なし",IF(AH237="○","起票済",IF(OR(AG237="○",F237="一致",F237="入金不要"),"入金確認済","受領済"))))</f>
        <v>入金確認済</v>
      </c>
      <c r="D237" s="10" t="str">
        <f aca="false">IF(OR(G237="",G237="なし"),"―",IF(CH237="N","対象外",IF(AND(I237="",J237="",K237=""),"標報未入力",IF(CD237&gt;=設定!$B$4,"要確認","問題なし"))))</f>
        <v>対象外</v>
      </c>
      <c r="E237" s="24" t="str">
        <f aca="false">IF(OR(G237="",G237="なし",CE237="",CF237=0),"―",IF(CF237=CE237,"前月同額",IF(CE237=0,"―",IF(ABS(CF237/CE237-1)&gt;=設定!$B$5,"変動大 "&amp;TEXT(CF237/CE237-1,"+0%;-0%"),"〇"))))</f>
        <v>〇</v>
      </c>
      <c r="F237" s="10" t="str">
        <f aca="false">IF(OR(G237="",G237="なし"),"―",IF(CF237=0,"入金不要",IF(COUNT(Z237,AB237,AD237,AF237)=0,IF(AG237="○","手動確認","未入金"),IF(AND(N(Z237)=Y237,IF(AA237="",TRUE(),N(AB237)=AA237),IF(AC237="",TRUE(),N(AD237)=AC237),IF(AE237="",TRUE(),N(AF237)=AE237)),"一致","不一致"))))</f>
        <v>手動確認</v>
      </c>
      <c r="G237" s="25" t="s">
        <v>159</v>
      </c>
      <c r="H237" s="26"/>
      <c r="I237" s="27"/>
      <c r="J237" s="27"/>
      <c r="K237" s="27"/>
      <c r="L237" s="27" t="n">
        <v>240011361</v>
      </c>
      <c r="M237" s="27" t="n">
        <v>19665696</v>
      </c>
      <c r="N237" s="27" t="n">
        <v>344490798</v>
      </c>
      <c r="O237" s="27" t="n">
        <v>19152698</v>
      </c>
      <c r="P237" s="27" t="n">
        <v>232681</v>
      </c>
      <c r="Q237" s="27" t="n">
        <v>174300356</v>
      </c>
      <c r="R237" s="27" t="n">
        <v>173680228</v>
      </c>
      <c r="S237" s="27" t="n">
        <v>16027547</v>
      </c>
      <c r="T237" s="27" t="n">
        <v>15616952</v>
      </c>
      <c r="U237" s="27" t="n">
        <v>3863510</v>
      </c>
      <c r="V237" s="27" t="n">
        <v>3783419</v>
      </c>
      <c r="W237" s="10" t="str">
        <f aca="false">IFERROR(INDEX(設定!$E$61:$E$106,MATCH(B237,設定!$B$61:$B$106,0)),"合算")</f>
        <v>合算</v>
      </c>
      <c r="X237" s="28"/>
      <c r="Y237" s="29" t="n">
        <f aca="false">IF(OR(G237="",G237="なし"),"",IF(W237="合算",CF237,IF(W237="掛金・負担金別",(AU237+AV237+AZ237+BB237+BD237),SUM(AU237:AY237))))</f>
        <v>1010825246</v>
      </c>
      <c r="Z237" s="27"/>
      <c r="AA237" s="29" t="str">
        <f aca="false">IF(OR(G237="",G237="なし"),"",IF(W237="掛金・負担金別",(AW237+AX237+AY237+BA237+BC237+BE237),IF(W237="経理区分別",AZ237+BA237,"")))</f>
        <v/>
      </c>
      <c r="AB237" s="27"/>
      <c r="AC237" s="29" t="str">
        <f aca="false">IF(OR(G237="",G237="なし"),"",IF(W237="経理区分別",BB237+BC237,""))</f>
        <v/>
      </c>
      <c r="AD237" s="27"/>
      <c r="AE237" s="29" t="str">
        <f aca="false">IF(OR(G237="",G237="なし"),"",IF(W237="経理区分別",BD237+BE237,""))</f>
        <v/>
      </c>
      <c r="AF237" s="27"/>
      <c r="AG237" s="26" t="s">
        <v>160</v>
      </c>
      <c r="AH237" s="26"/>
      <c r="AI237" s="30"/>
      <c r="AJ237" s="31"/>
      <c r="AK237" s="31"/>
      <c r="AL237" s="31"/>
      <c r="AM237" s="31"/>
      <c r="AN237" s="31"/>
      <c r="AO237" s="31"/>
      <c r="AP237" s="31"/>
      <c r="AQ237" s="31"/>
      <c r="AR237" s="31"/>
      <c r="AS237" s="31"/>
      <c r="AT237" s="31"/>
      <c r="AU237" s="31" t="n">
        <f aca="false">IF($G237="",AJ237,L237)</f>
        <v>240011361</v>
      </c>
      <c r="AV237" s="31" t="n">
        <f aca="false">IF($G237="",AK237,M237)</f>
        <v>19665696</v>
      </c>
      <c r="AW237" s="31" t="n">
        <f aca="false">IF($G237="",AL237,N237)</f>
        <v>344490798</v>
      </c>
      <c r="AX237" s="31" t="n">
        <f aca="false">IF($G237="",AM237,O237)</f>
        <v>19152698</v>
      </c>
      <c r="AY237" s="31" t="n">
        <f aca="false">IF($G237="",AN237,P237)</f>
        <v>232681</v>
      </c>
      <c r="AZ237" s="31" t="n">
        <f aca="false">IF($G237="",AO237,Q237)</f>
        <v>174300356</v>
      </c>
      <c r="BA237" s="31" t="n">
        <f aca="false">IF($G237="",AP237,R237)</f>
        <v>173680228</v>
      </c>
      <c r="BB237" s="31" t="n">
        <f aca="false">IF($G237="",AQ237,S237)</f>
        <v>16027547</v>
      </c>
      <c r="BC237" s="31" t="n">
        <f aca="false">IF($G237="",AR237,T237)</f>
        <v>15616952</v>
      </c>
      <c r="BD237" s="31" t="n">
        <f aca="false">IF($G237="",AS237,U237)</f>
        <v>3863510</v>
      </c>
      <c r="BE237" s="31" t="n">
        <f aca="false">IF($G237="",AT237,V237)</f>
        <v>3783419</v>
      </c>
      <c r="BF237" s="31" t="n">
        <f aca="false">ROUNDDOWN(I237*設定!$B$10/1000,0)+ROUNDDOWN(I237*設定!$B$11/1000,0)</f>
        <v>0</v>
      </c>
      <c r="BG237" s="31" t="n">
        <f aca="false">ROUNDDOWN(I237*設定!$C$10/1000,0)+ROUNDDOWN(I237*設定!$C$11/1000,0)+ROUNDDOWN(I237*設定!$C$12/1000,0)</f>
        <v>0</v>
      </c>
      <c r="BH237" s="31" t="n">
        <f aca="false">ROUNDDOWN(J237*設定!$B$13/1000,0)</f>
        <v>0</v>
      </c>
      <c r="BI237" s="31" t="n">
        <f aca="false">ROUNDDOWN(J237*設定!$C$13/1000,0)</f>
        <v>0</v>
      </c>
      <c r="BJ237" s="31" t="n">
        <f aca="false">ROUNDDOWN(K237*設定!$B$14/1000,0)</f>
        <v>0</v>
      </c>
      <c r="BK237" s="31" t="n">
        <f aca="false">ROUNDDOWN(K237*設定!$C$14/1000,0)</f>
        <v>0</v>
      </c>
      <c r="BL237" s="31" t="n">
        <f aca="false">ROUNDDOWN(J237*設定!$B$15/1000,0)</f>
        <v>0</v>
      </c>
      <c r="BM237" s="31" t="n">
        <f aca="false">ROUNDDOWN(J237*設定!$C$15/1000,0)</f>
        <v>0</v>
      </c>
      <c r="BN237" s="31" t="n">
        <f aca="false">L237+M237</f>
        <v>259677057</v>
      </c>
      <c r="BO237" s="31" t="n">
        <f aca="false">N237+O237+P237</f>
        <v>363876177</v>
      </c>
      <c r="BP237" s="31" t="n">
        <f aca="false">Q237</f>
        <v>174300356</v>
      </c>
      <c r="BQ237" s="31" t="n">
        <f aca="false">R237</f>
        <v>173680228</v>
      </c>
      <c r="BR237" s="31" t="n">
        <f aca="false">S237</f>
        <v>16027547</v>
      </c>
      <c r="BS237" s="31" t="n">
        <f aca="false">T237</f>
        <v>15616952</v>
      </c>
      <c r="BT237" s="31" t="n">
        <f aca="false">U237</f>
        <v>3863510</v>
      </c>
      <c r="BU237" s="31" t="n">
        <f aca="false">V237</f>
        <v>3783419</v>
      </c>
      <c r="BV237" s="32" t="n">
        <f aca="false">IF(BF237=0,IF(BN237=0,0,1),(BN237-BF237)/BF237)</f>
        <v>1</v>
      </c>
      <c r="BW237" s="32" t="n">
        <f aca="false">IF(BG237=0,IF(BO237=0,0,1),(BO237-BG237)/BG237)</f>
        <v>1</v>
      </c>
      <c r="BX237" s="32" t="n">
        <f aca="false">IF(BH237=0,IF(BP237=0,0,1),(BP237-BH237)/BH237)</f>
        <v>1</v>
      </c>
      <c r="BY237" s="32" t="n">
        <f aca="false">IF(BI237=0,IF(BQ237=0,0,1),(BQ237-BI237)/BI237)</f>
        <v>1</v>
      </c>
      <c r="BZ237" s="32" t="n">
        <f aca="false">IF(BJ237=0,IF(BR237=0,0,1),(BR237-BJ237)/BJ237)</f>
        <v>1</v>
      </c>
      <c r="CA237" s="32" t="n">
        <f aca="false">IF(BK237=0,IF(BS237=0,0,1),(BS237-BK237)/BK237)</f>
        <v>1</v>
      </c>
      <c r="CB237" s="32" t="n">
        <f aca="false">IF(BL237=0,IF(BT237=0,0,1),(BT237-BL237)/BL237)</f>
        <v>1</v>
      </c>
      <c r="CC237" s="32" t="n">
        <f aca="false">IF(BM237=0,IF(BU237=0,0,1),(BU237-BM237)/BM237)</f>
        <v>1</v>
      </c>
      <c r="CD237" s="32" t="n">
        <f aca="false">MAX(MAX(BV237:CC237),-MIN(BV237:CC237))</f>
        <v>1</v>
      </c>
      <c r="CE237" s="31" t="n">
        <f aca="false">IF(CI237="","",SUMIFS($CF$7:$CF$696,$A$7:$A$696,CI237,$B$7:$B$696,B237))</f>
        <v>1026590595</v>
      </c>
      <c r="CF237" s="31" t="n">
        <f aca="false">SUM(AU237:BE237)</f>
        <v>1010825246</v>
      </c>
      <c r="CG237" s="33" t="str">
        <f aca="false">A237&amp;"|"&amp;B237</f>
        <v>2026-08 月例|市長部局</v>
      </c>
      <c r="CH237" s="34" t="str">
        <f aca="false">IFERROR(INDEX(設定!$D$61:$D$106,MATCH(B237,設定!$B$61:$B$106,0)),"Y")</f>
        <v>N</v>
      </c>
      <c r="CI237" s="34" t="str">
        <f aca="false">IFERROR(INDEX(設定!$D$20:$D$34,MATCH(A237,設定!$A$20:$A$34,0))&amp;"","")</f>
        <v>2026-07 月例</v>
      </c>
    </row>
    <row r="238" customFormat="false" ht="15" hidden="true" customHeight="false" outlineLevel="0" collapsed="false">
      <c r="A238" s="22" t="s">
        <v>212</v>
      </c>
      <c r="B238" s="23" t="s">
        <v>161</v>
      </c>
      <c r="C238" s="10" t="str">
        <f aca="false">IF(G238="","未受領",IF(G238="なし","報告なし",IF(AH238="○","起票済",IF(OR(AG238="○",F238="一致",F238="入金不要"),"入金確認済","受領済"))))</f>
        <v>入金確認済</v>
      </c>
      <c r="D238" s="10" t="str">
        <f aca="false">IF(OR(G238="",G238="なし"),"―",IF(CH238="N","対象外",IF(AND(I238="",J238="",K238=""),"標報未入力",IF(CD238&gt;=設定!$B$4,"要確認","問題なし"))))</f>
        <v>標報未入力</v>
      </c>
      <c r="E238" s="24" t="str">
        <f aca="false">IF(OR(G238="",G238="なし",CE238="",CF238=0),"―",IF(CF238=CE238,"前月同額",IF(CE238=0,"―",IF(ABS(CF238/CE238-1)&gt;=設定!$B$5,"変動大 "&amp;TEXT(CF238/CE238-1,"+0%;-0%"),"〇"))))</f>
        <v>〇</v>
      </c>
      <c r="F238" s="10" t="str">
        <f aca="false">IF(OR(G238="",G238="なし"),"―",IF(CF238=0,"入金不要",IF(COUNT(Z238,AB238,AD238,AF238)=0,IF(AG238="○","手動確認","未入金"),IF(AND(N(Z238)=Y238,IF(AA238="",TRUE(),N(AB238)=AA238),IF(AC238="",TRUE(),N(AD238)=AC238),IF(AE238="",TRUE(),N(AF238)=AE238)),"一致","不一致"))))</f>
        <v>手動確認</v>
      </c>
      <c r="G238" s="25" t="s">
        <v>159</v>
      </c>
      <c r="H238" s="26"/>
      <c r="I238" s="27"/>
      <c r="J238" s="27"/>
      <c r="K238" s="27"/>
      <c r="L238" s="27" t="n">
        <v>16588035</v>
      </c>
      <c r="M238" s="27" t="n">
        <v>1359675</v>
      </c>
      <c r="N238" s="27" t="n">
        <v>23873287</v>
      </c>
      <c r="O238" s="27" t="n">
        <v>1356600</v>
      </c>
      <c r="P238" s="27" t="n">
        <v>15939</v>
      </c>
      <c r="Q238" s="27" t="n">
        <v>9727752</v>
      </c>
      <c r="R238" s="27" t="n">
        <v>9871456</v>
      </c>
      <c r="S238" s="27" t="n">
        <v>1036431</v>
      </c>
      <c r="T238" s="27" t="n">
        <v>1036430</v>
      </c>
      <c r="U238" s="27" t="n">
        <v>215631</v>
      </c>
      <c r="V238" s="27" t="n">
        <v>215235</v>
      </c>
      <c r="W238" s="10" t="str">
        <f aca="false">IFERROR(INDEX(設定!$E$61:$E$106,MATCH(B238,設定!$B$61:$B$106,0)),"合算")</f>
        <v>合算</v>
      </c>
      <c r="X238" s="28"/>
      <c r="Y238" s="29" t="n">
        <f aca="false">IF(OR(G238="",G238="なし"),"",IF(W238="合算",CF238,IF(W238="掛金・負担金別",(AU238+AV238+AZ238+BB238+BD238),SUM(AU238:AY238))))</f>
        <v>65296471</v>
      </c>
      <c r="Z238" s="27"/>
      <c r="AA238" s="29" t="str">
        <f aca="false">IF(OR(G238="",G238="なし"),"",IF(W238="掛金・負担金別",(AW238+AX238+AY238+BA238+BC238+BE238),IF(W238="経理区分別",AZ238+BA238,"")))</f>
        <v/>
      </c>
      <c r="AB238" s="27"/>
      <c r="AC238" s="29" t="str">
        <f aca="false">IF(OR(G238="",G238="なし"),"",IF(W238="経理区分別",BB238+BC238,""))</f>
        <v/>
      </c>
      <c r="AD238" s="27"/>
      <c r="AE238" s="29" t="str">
        <f aca="false">IF(OR(G238="",G238="なし"),"",IF(W238="経理区分別",BD238+BE238,""))</f>
        <v/>
      </c>
      <c r="AF238" s="27"/>
      <c r="AG238" s="26" t="s">
        <v>160</v>
      </c>
      <c r="AH238" s="26"/>
      <c r="AI238" s="30"/>
      <c r="AJ238" s="31"/>
      <c r="AK238" s="31"/>
      <c r="AL238" s="31"/>
      <c r="AM238" s="31"/>
      <c r="AN238" s="31"/>
      <c r="AO238" s="31"/>
      <c r="AP238" s="31"/>
      <c r="AQ238" s="31"/>
      <c r="AR238" s="31"/>
      <c r="AS238" s="31"/>
      <c r="AT238" s="31"/>
      <c r="AU238" s="31" t="n">
        <f aca="false">IF($G238="",AJ238,L238)</f>
        <v>16588035</v>
      </c>
      <c r="AV238" s="31" t="n">
        <f aca="false">IF($G238="",AK238,M238)</f>
        <v>1359675</v>
      </c>
      <c r="AW238" s="31" t="n">
        <f aca="false">IF($G238="",AL238,N238)</f>
        <v>23873287</v>
      </c>
      <c r="AX238" s="31" t="n">
        <f aca="false">IF($G238="",AM238,O238)</f>
        <v>1356600</v>
      </c>
      <c r="AY238" s="31" t="n">
        <f aca="false">IF($G238="",AN238,P238)</f>
        <v>15939</v>
      </c>
      <c r="AZ238" s="31" t="n">
        <f aca="false">IF($G238="",AO238,Q238)</f>
        <v>9727752</v>
      </c>
      <c r="BA238" s="31" t="n">
        <f aca="false">IF($G238="",AP238,R238)</f>
        <v>9871456</v>
      </c>
      <c r="BB238" s="31" t="n">
        <f aca="false">IF($G238="",AQ238,S238)</f>
        <v>1036431</v>
      </c>
      <c r="BC238" s="31" t="n">
        <f aca="false">IF($G238="",AR238,T238)</f>
        <v>1036430</v>
      </c>
      <c r="BD238" s="31" t="n">
        <f aca="false">IF($G238="",AS238,U238)</f>
        <v>215631</v>
      </c>
      <c r="BE238" s="31" t="n">
        <f aca="false">IF($G238="",AT238,V238)</f>
        <v>215235</v>
      </c>
      <c r="BF238" s="31" t="n">
        <f aca="false">ROUNDDOWN(I238*設定!$B$10/1000,0)+ROUNDDOWN(I238*設定!$B$11/1000,0)</f>
        <v>0</v>
      </c>
      <c r="BG238" s="31" t="n">
        <f aca="false">ROUNDDOWN(I238*設定!$C$10/1000,0)+ROUNDDOWN(I238*設定!$C$11/1000,0)+ROUNDDOWN(I238*設定!$C$12/1000,0)</f>
        <v>0</v>
      </c>
      <c r="BH238" s="31" t="n">
        <f aca="false">ROUNDDOWN(J238*設定!$B$13/1000,0)</f>
        <v>0</v>
      </c>
      <c r="BI238" s="31" t="n">
        <f aca="false">ROUNDDOWN(J238*設定!$C$13/1000,0)</f>
        <v>0</v>
      </c>
      <c r="BJ238" s="31" t="n">
        <f aca="false">ROUNDDOWN(K238*設定!$B$14/1000,0)</f>
        <v>0</v>
      </c>
      <c r="BK238" s="31" t="n">
        <f aca="false">ROUNDDOWN(K238*設定!$C$14/1000,0)</f>
        <v>0</v>
      </c>
      <c r="BL238" s="31" t="n">
        <f aca="false">ROUNDDOWN(J238*設定!$B$15/1000,0)</f>
        <v>0</v>
      </c>
      <c r="BM238" s="31" t="n">
        <f aca="false">ROUNDDOWN(J238*設定!$C$15/1000,0)</f>
        <v>0</v>
      </c>
      <c r="BN238" s="31" t="n">
        <f aca="false">L238+M238</f>
        <v>17947710</v>
      </c>
      <c r="BO238" s="31" t="n">
        <f aca="false">N238+O238+P238</f>
        <v>25245826</v>
      </c>
      <c r="BP238" s="31" t="n">
        <f aca="false">Q238</f>
        <v>9727752</v>
      </c>
      <c r="BQ238" s="31" t="n">
        <f aca="false">R238</f>
        <v>9871456</v>
      </c>
      <c r="BR238" s="31" t="n">
        <f aca="false">S238</f>
        <v>1036431</v>
      </c>
      <c r="BS238" s="31" t="n">
        <f aca="false">T238</f>
        <v>1036430</v>
      </c>
      <c r="BT238" s="31" t="n">
        <f aca="false">U238</f>
        <v>215631</v>
      </c>
      <c r="BU238" s="31" t="n">
        <f aca="false">V238</f>
        <v>215235</v>
      </c>
      <c r="BV238" s="32" t="n">
        <f aca="false">IF(BF238=0,IF(BN238=0,0,1),(BN238-BF238)/BF238)</f>
        <v>1</v>
      </c>
      <c r="BW238" s="32" t="n">
        <f aca="false">IF(BG238=0,IF(BO238=0,0,1),(BO238-BG238)/BG238)</f>
        <v>1</v>
      </c>
      <c r="BX238" s="32" t="n">
        <f aca="false">IF(BH238=0,IF(BP238=0,0,1),(BP238-BH238)/BH238)</f>
        <v>1</v>
      </c>
      <c r="BY238" s="32" t="n">
        <f aca="false">IF(BI238=0,IF(BQ238=0,0,1),(BQ238-BI238)/BI238)</f>
        <v>1</v>
      </c>
      <c r="BZ238" s="32" t="n">
        <f aca="false">IF(BJ238=0,IF(BR238=0,0,1),(BR238-BJ238)/BJ238)</f>
        <v>1</v>
      </c>
      <c r="CA238" s="32" t="n">
        <f aca="false">IF(BK238=0,IF(BS238=0,0,1),(BS238-BK238)/BK238)</f>
        <v>1</v>
      </c>
      <c r="CB238" s="32" t="n">
        <f aca="false">IF(BL238=0,IF(BT238=0,0,1),(BT238-BL238)/BL238)</f>
        <v>1</v>
      </c>
      <c r="CC238" s="32" t="n">
        <f aca="false">IF(BM238=0,IF(BU238=0,0,1),(BU238-BM238)/BM238)</f>
        <v>1</v>
      </c>
      <c r="CD238" s="32" t="n">
        <f aca="false">MAX(MAX(BV238:CC238),-MIN(BV238:CC238))</f>
        <v>1</v>
      </c>
      <c r="CE238" s="31" t="n">
        <f aca="false">IF(CI238="","",SUMIFS($CF$7:$CF$696,$A$7:$A$696,CI238,$B$7:$B$696,B238))</f>
        <v>65635016</v>
      </c>
      <c r="CF238" s="31" t="n">
        <f aca="false">SUM(AU238:BE238)</f>
        <v>65296471</v>
      </c>
      <c r="CG238" s="33" t="str">
        <f aca="false">A238&amp;"|"&amp;B238</f>
        <v>2026-08 月例|下水道局</v>
      </c>
      <c r="CH238" s="34" t="str">
        <f aca="false">IFERROR(INDEX(設定!$D$61:$D$106,MATCH(B238,設定!$B$61:$B$106,0)),"Y")</f>
        <v>Y</v>
      </c>
      <c r="CI238" s="34" t="str">
        <f aca="false">IFERROR(INDEX(設定!$D$20:$D$34,MATCH(A238,設定!$A$20:$A$34,0))&amp;"","")</f>
        <v>2026-07 月例</v>
      </c>
    </row>
    <row r="239" customFormat="false" ht="15" hidden="true" customHeight="false" outlineLevel="0" collapsed="false">
      <c r="A239" s="22" t="s">
        <v>212</v>
      </c>
      <c r="B239" s="23" t="s">
        <v>162</v>
      </c>
      <c r="C239" s="10" t="str">
        <f aca="false">IF(G239="","未受領",IF(G239="なし","報告なし",IF(AH239="○","起票済",IF(OR(AG239="○",F239="一致",F239="入金不要"),"入金確認済","受領済"))))</f>
        <v>入金確認済</v>
      </c>
      <c r="D239" s="10" t="str">
        <f aca="false">IF(OR(G239="",G239="なし"),"―",IF(CH239="N","対象外",IF(AND(I239="",J239="",K239=""),"標報未入力",IF(CD239&gt;=設定!$B$4,"要確認","問題なし"))))</f>
        <v>対象外</v>
      </c>
      <c r="E239" s="24" t="str">
        <f aca="false">IF(OR(G239="",G239="なし",CE239="",CF239=0),"―",IF(CF239=CE239,"前月同額",IF(CE239=0,"―",IF(ABS(CF239/CE239-1)&gt;=設定!$B$5,"変動大 "&amp;TEXT(CF239/CE239-1,"+0%;-0%"),"〇"))))</f>
        <v>〇</v>
      </c>
      <c r="F239" s="10" t="str">
        <f aca="false">IF(OR(G239="",G239="なし"),"―",IF(CF239=0,"入金不要",IF(COUNT(Z239,AB239,AD239,AF239)=0,IF(AG239="○","手動確認","未入金"),IF(AND(N(Z239)=Y239,IF(AA239="",TRUE(),N(AB239)=AA239),IF(AC239="",TRUE(),N(AD239)=AC239),IF(AE239="",TRUE(),N(AF239)=AE239)),"一致","不一致"))))</f>
        <v>手動確認</v>
      </c>
      <c r="G239" s="25" t="s">
        <v>159</v>
      </c>
      <c r="H239" s="26"/>
      <c r="I239" s="27"/>
      <c r="J239" s="27"/>
      <c r="K239" s="27"/>
      <c r="L239" s="27" t="n">
        <v>55235805</v>
      </c>
      <c r="M239" s="27" t="n">
        <v>4527525</v>
      </c>
      <c r="N239" s="27" t="n">
        <v>79571664</v>
      </c>
      <c r="O239" s="27" t="n">
        <v>4511700</v>
      </c>
      <c r="P239" s="27" t="n">
        <v>53136</v>
      </c>
      <c r="Q239" s="27" t="n">
        <v>31992417</v>
      </c>
      <c r="R239" s="27" t="n">
        <v>32430032</v>
      </c>
      <c r="S239" s="27" t="n">
        <v>2081981</v>
      </c>
      <c r="T239" s="27" t="n">
        <v>2069025</v>
      </c>
      <c r="U239" s="27" t="n">
        <v>709180</v>
      </c>
      <c r="V239" s="27" t="n">
        <v>707025</v>
      </c>
      <c r="W239" s="10" t="str">
        <f aca="false">IFERROR(INDEX(設定!$E$61:$E$106,MATCH(B239,設定!$B$61:$B$106,0)),"合算")</f>
        <v>合算</v>
      </c>
      <c r="X239" s="28"/>
      <c r="Y239" s="29" t="n">
        <f aca="false">IF(OR(G239="",G239="なし"),"",IF(W239="合算",CF239,IF(W239="掛金・負担金別",(AU239+AV239+AZ239+BB239+BD239),SUM(AU239:AY239))))</f>
        <v>213889490</v>
      </c>
      <c r="Z239" s="27"/>
      <c r="AA239" s="29" t="str">
        <f aca="false">IF(OR(G239="",G239="なし"),"",IF(W239="掛金・負担金別",(AW239+AX239+AY239+BA239+BC239+BE239),IF(W239="経理区分別",AZ239+BA239,"")))</f>
        <v/>
      </c>
      <c r="AB239" s="27"/>
      <c r="AC239" s="29" t="str">
        <f aca="false">IF(OR(G239="",G239="なし"),"",IF(W239="経理区分別",BB239+BC239,""))</f>
        <v/>
      </c>
      <c r="AD239" s="27"/>
      <c r="AE239" s="29" t="str">
        <f aca="false">IF(OR(G239="",G239="なし"),"",IF(W239="経理区分別",BD239+BE239,""))</f>
        <v/>
      </c>
      <c r="AF239" s="27"/>
      <c r="AG239" s="26" t="s">
        <v>160</v>
      </c>
      <c r="AH239" s="26"/>
      <c r="AI239" s="30"/>
      <c r="AJ239" s="31"/>
      <c r="AK239" s="31"/>
      <c r="AL239" s="31"/>
      <c r="AM239" s="31"/>
      <c r="AN239" s="31"/>
      <c r="AO239" s="31"/>
      <c r="AP239" s="31"/>
      <c r="AQ239" s="31"/>
      <c r="AR239" s="31"/>
      <c r="AS239" s="31"/>
      <c r="AT239" s="31"/>
      <c r="AU239" s="31" t="n">
        <f aca="false">IF($G239="",AJ239,L239)</f>
        <v>55235805</v>
      </c>
      <c r="AV239" s="31" t="n">
        <f aca="false">IF($G239="",AK239,M239)</f>
        <v>4527525</v>
      </c>
      <c r="AW239" s="31" t="n">
        <f aca="false">IF($G239="",AL239,N239)</f>
        <v>79571664</v>
      </c>
      <c r="AX239" s="31" t="n">
        <f aca="false">IF($G239="",AM239,O239)</f>
        <v>4511700</v>
      </c>
      <c r="AY239" s="31" t="n">
        <f aca="false">IF($G239="",AN239,P239)</f>
        <v>53136</v>
      </c>
      <c r="AZ239" s="31" t="n">
        <f aca="false">IF($G239="",AO239,Q239)</f>
        <v>31992417</v>
      </c>
      <c r="BA239" s="31" t="n">
        <f aca="false">IF($G239="",AP239,R239)</f>
        <v>32430032</v>
      </c>
      <c r="BB239" s="31" t="n">
        <f aca="false">IF($G239="",AQ239,S239)</f>
        <v>2081981</v>
      </c>
      <c r="BC239" s="31" t="n">
        <f aca="false">IF($G239="",AR239,T239)</f>
        <v>2069025</v>
      </c>
      <c r="BD239" s="31" t="n">
        <f aca="false">IF($G239="",AS239,U239)</f>
        <v>709180</v>
      </c>
      <c r="BE239" s="31" t="n">
        <f aca="false">IF($G239="",AT239,V239)</f>
        <v>707025</v>
      </c>
      <c r="BF239" s="31" t="n">
        <f aca="false">ROUNDDOWN(I239*設定!$B$10/1000,0)+ROUNDDOWN(I239*設定!$B$11/1000,0)</f>
        <v>0</v>
      </c>
      <c r="BG239" s="31" t="n">
        <f aca="false">ROUNDDOWN(I239*設定!$C$10/1000,0)+ROUNDDOWN(I239*設定!$C$11/1000,0)+ROUNDDOWN(I239*設定!$C$12/1000,0)</f>
        <v>0</v>
      </c>
      <c r="BH239" s="31" t="n">
        <f aca="false">ROUNDDOWN(J239*設定!$B$13/1000,0)</f>
        <v>0</v>
      </c>
      <c r="BI239" s="31" t="n">
        <f aca="false">ROUNDDOWN(J239*設定!$C$13/1000,0)</f>
        <v>0</v>
      </c>
      <c r="BJ239" s="31" t="n">
        <f aca="false">ROUNDDOWN(K239*設定!$B$14/1000,0)</f>
        <v>0</v>
      </c>
      <c r="BK239" s="31" t="n">
        <f aca="false">ROUNDDOWN(K239*設定!$C$14/1000,0)</f>
        <v>0</v>
      </c>
      <c r="BL239" s="31" t="n">
        <f aca="false">ROUNDDOWN(J239*設定!$B$15/1000,0)</f>
        <v>0</v>
      </c>
      <c r="BM239" s="31" t="n">
        <f aca="false">ROUNDDOWN(J239*設定!$C$15/1000,0)</f>
        <v>0</v>
      </c>
      <c r="BN239" s="31" t="n">
        <f aca="false">L239+M239</f>
        <v>59763330</v>
      </c>
      <c r="BO239" s="31" t="n">
        <f aca="false">N239+O239+P239</f>
        <v>84136500</v>
      </c>
      <c r="BP239" s="31" t="n">
        <f aca="false">Q239</f>
        <v>31992417</v>
      </c>
      <c r="BQ239" s="31" t="n">
        <f aca="false">R239</f>
        <v>32430032</v>
      </c>
      <c r="BR239" s="31" t="n">
        <f aca="false">S239</f>
        <v>2081981</v>
      </c>
      <c r="BS239" s="31" t="n">
        <f aca="false">T239</f>
        <v>2069025</v>
      </c>
      <c r="BT239" s="31" t="n">
        <f aca="false">U239</f>
        <v>709180</v>
      </c>
      <c r="BU239" s="31" t="n">
        <f aca="false">V239</f>
        <v>707025</v>
      </c>
      <c r="BV239" s="32" t="n">
        <f aca="false">IF(BF239=0,IF(BN239=0,0,1),(BN239-BF239)/BF239)</f>
        <v>1</v>
      </c>
      <c r="BW239" s="32" t="n">
        <f aca="false">IF(BG239=0,IF(BO239=0,0,1),(BO239-BG239)/BG239)</f>
        <v>1</v>
      </c>
      <c r="BX239" s="32" t="n">
        <f aca="false">IF(BH239=0,IF(BP239=0,0,1),(BP239-BH239)/BH239)</f>
        <v>1</v>
      </c>
      <c r="BY239" s="32" t="n">
        <f aca="false">IF(BI239=0,IF(BQ239=0,0,1),(BQ239-BI239)/BI239)</f>
        <v>1</v>
      </c>
      <c r="BZ239" s="32" t="n">
        <f aca="false">IF(BJ239=0,IF(BR239=0,0,1),(BR239-BJ239)/BJ239)</f>
        <v>1</v>
      </c>
      <c r="CA239" s="32" t="n">
        <f aca="false">IF(BK239=0,IF(BS239=0,0,1),(BS239-BK239)/BK239)</f>
        <v>1</v>
      </c>
      <c r="CB239" s="32" t="n">
        <f aca="false">IF(BL239=0,IF(BT239=0,0,1),(BT239-BL239)/BL239)</f>
        <v>1</v>
      </c>
      <c r="CC239" s="32" t="n">
        <f aca="false">IF(BM239=0,IF(BU239=0,0,1),(BU239-BM239)/BM239)</f>
        <v>1</v>
      </c>
      <c r="CD239" s="32" t="n">
        <f aca="false">MAX(MAX(BV239:CC239),-MIN(BV239:CC239))</f>
        <v>1</v>
      </c>
      <c r="CE239" s="31" t="n">
        <f aca="false">IF(CI239="","",SUMIFS($CF$7:$CF$696,$A$7:$A$696,CI239,$B$7:$B$696,B239))</f>
        <v>214555199</v>
      </c>
      <c r="CF239" s="31" t="n">
        <f aca="false">SUM(AU239:BE239)</f>
        <v>213889490</v>
      </c>
      <c r="CG239" s="33" t="str">
        <f aca="false">A239&amp;"|"&amp;B239</f>
        <v>2026-08 月例|消防局</v>
      </c>
      <c r="CH239" s="34" t="str">
        <f aca="false">IFERROR(INDEX(設定!$D$61:$D$106,MATCH(B239,設定!$B$61:$B$106,0)),"Y")</f>
        <v>N</v>
      </c>
      <c r="CI239" s="34" t="str">
        <f aca="false">IFERROR(INDEX(設定!$D$20:$D$34,MATCH(A239,設定!$A$20:$A$34,0))&amp;"","")</f>
        <v>2026-07 月例</v>
      </c>
    </row>
    <row r="240" customFormat="false" ht="15" hidden="true" customHeight="false" outlineLevel="0" collapsed="false">
      <c r="A240" s="22" t="s">
        <v>212</v>
      </c>
      <c r="B240" s="23" t="s">
        <v>163</v>
      </c>
      <c r="C240" s="10" t="str">
        <f aca="false">IF(G240="","未受領",IF(G240="なし","報告なし",IF(AH240="○","起票済",IF(OR(AG240="○",F240="一致",F240="入金不要"),"入金確認済","受領済"))))</f>
        <v>入金確認済</v>
      </c>
      <c r="D240" s="10" t="str">
        <f aca="false">IF(OR(G240="",G240="なし"),"―",IF(CH240="N","対象外",IF(AND(I240="",J240="",K240=""),"標報未入力",IF(CD240&gt;=設定!$B$4,"要確認","問題なし"))))</f>
        <v>標報未入力</v>
      </c>
      <c r="E240" s="24" t="str">
        <f aca="false">IF(OR(G240="",G240="なし",CE240="",CF240=0),"―",IF(CF240=CE240,"前月同額",IF(CE240=0,"―",IF(ABS(CF240/CE240-1)&gt;=設定!$B$5,"変動大 "&amp;TEXT(CF240/CE240-1,"+0%;-0%"),"〇"))))</f>
        <v>〇</v>
      </c>
      <c r="F240" s="10" t="str">
        <f aca="false">IF(OR(G240="",G240="なし"),"―",IF(CF240=0,"入金不要",IF(COUNT(Z240,AB240,AD240,AF240)=0,IF(AG240="○","手動確認","未入金"),IF(AND(N(Z240)=Y240,IF(AA240="",TRUE(),N(AB240)=AA240),IF(AC240="",TRUE(),N(AD240)=AC240),IF(AE240="",TRUE(),N(AF240)=AE240)),"一致","不一致"))))</f>
        <v>手動確認</v>
      </c>
      <c r="G240" s="25" t="s">
        <v>159</v>
      </c>
      <c r="H240" s="26"/>
      <c r="I240" s="27"/>
      <c r="J240" s="27"/>
      <c r="K240" s="27"/>
      <c r="L240" s="27" t="n">
        <v>1820850</v>
      </c>
      <c r="M240" s="27" t="n">
        <v>149250</v>
      </c>
      <c r="N240" s="27" t="n">
        <v>2624436</v>
      </c>
      <c r="O240" s="27" t="n">
        <v>149250</v>
      </c>
      <c r="P240" s="27" t="n">
        <v>1750</v>
      </c>
      <c r="Q240" s="27" t="n">
        <v>1038220</v>
      </c>
      <c r="R240" s="27" t="n">
        <v>1055863</v>
      </c>
      <c r="S240" s="27" t="n">
        <v>103885</v>
      </c>
      <c r="T240" s="27" t="n">
        <v>103885</v>
      </c>
      <c r="U240" s="27" t="n">
        <v>23014</v>
      </c>
      <c r="V240" s="27" t="n">
        <v>23023</v>
      </c>
      <c r="W240" s="10" t="str">
        <f aca="false">IFERROR(INDEX(設定!$E$61:$E$106,MATCH(B240,設定!$B$61:$B$106,0)),"合算")</f>
        <v>合算</v>
      </c>
      <c r="X240" s="28"/>
      <c r="Y240" s="29" t="n">
        <f aca="false">IF(OR(G240="",G240="なし"),"",IF(W240="合算",CF240,IF(W240="掛金・負担金別",(AU240+AV240+AZ240+BB240+BD240),SUM(AU240:AY240))))</f>
        <v>7093426</v>
      </c>
      <c r="Z240" s="27"/>
      <c r="AA240" s="29" t="str">
        <f aca="false">IF(OR(G240="",G240="なし"),"",IF(W240="掛金・負担金別",(AW240+AX240+AY240+BA240+BC240+BE240),IF(W240="経理区分別",AZ240+BA240,"")))</f>
        <v/>
      </c>
      <c r="AB240" s="27"/>
      <c r="AC240" s="29" t="str">
        <f aca="false">IF(OR(G240="",G240="なし"),"",IF(W240="経理区分別",BB240+BC240,""))</f>
        <v/>
      </c>
      <c r="AD240" s="27"/>
      <c r="AE240" s="29" t="str">
        <f aca="false">IF(OR(G240="",G240="なし"),"",IF(W240="経理区分別",BD240+BE240,""))</f>
        <v/>
      </c>
      <c r="AF240" s="27"/>
      <c r="AG240" s="26" t="s">
        <v>160</v>
      </c>
      <c r="AH240" s="26"/>
      <c r="AI240" s="30"/>
      <c r="AJ240" s="31"/>
      <c r="AK240" s="31"/>
      <c r="AL240" s="31"/>
      <c r="AM240" s="31"/>
      <c r="AN240" s="31"/>
      <c r="AO240" s="31"/>
      <c r="AP240" s="31"/>
      <c r="AQ240" s="31"/>
      <c r="AR240" s="31"/>
      <c r="AS240" s="31"/>
      <c r="AT240" s="31"/>
      <c r="AU240" s="31" t="n">
        <f aca="false">IF($G240="",AJ240,L240)</f>
        <v>1820850</v>
      </c>
      <c r="AV240" s="31" t="n">
        <f aca="false">IF($G240="",AK240,M240)</f>
        <v>149250</v>
      </c>
      <c r="AW240" s="31" t="n">
        <f aca="false">IF($G240="",AL240,N240)</f>
        <v>2624436</v>
      </c>
      <c r="AX240" s="31" t="n">
        <f aca="false">IF($G240="",AM240,O240)</f>
        <v>149250</v>
      </c>
      <c r="AY240" s="31" t="n">
        <f aca="false">IF($G240="",AN240,P240)</f>
        <v>1750</v>
      </c>
      <c r="AZ240" s="31" t="n">
        <f aca="false">IF($G240="",AO240,Q240)</f>
        <v>1038220</v>
      </c>
      <c r="BA240" s="31" t="n">
        <f aca="false">IF($G240="",AP240,R240)</f>
        <v>1055863</v>
      </c>
      <c r="BB240" s="31" t="n">
        <f aca="false">IF($G240="",AQ240,S240)</f>
        <v>103885</v>
      </c>
      <c r="BC240" s="31" t="n">
        <f aca="false">IF($G240="",AR240,T240)</f>
        <v>103885</v>
      </c>
      <c r="BD240" s="31" t="n">
        <f aca="false">IF($G240="",AS240,U240)</f>
        <v>23014</v>
      </c>
      <c r="BE240" s="31" t="n">
        <f aca="false">IF($G240="",AT240,V240)</f>
        <v>23023</v>
      </c>
      <c r="BF240" s="31" t="n">
        <f aca="false">ROUNDDOWN(I240*設定!$B$10/1000,0)+ROUNDDOWN(I240*設定!$B$11/1000,0)</f>
        <v>0</v>
      </c>
      <c r="BG240" s="31" t="n">
        <f aca="false">ROUNDDOWN(I240*設定!$C$10/1000,0)+ROUNDDOWN(I240*設定!$C$11/1000,0)+ROUNDDOWN(I240*設定!$C$12/1000,0)</f>
        <v>0</v>
      </c>
      <c r="BH240" s="31" t="n">
        <f aca="false">ROUNDDOWN(J240*設定!$B$13/1000,0)</f>
        <v>0</v>
      </c>
      <c r="BI240" s="31" t="n">
        <f aca="false">ROUNDDOWN(J240*設定!$C$13/1000,0)</f>
        <v>0</v>
      </c>
      <c r="BJ240" s="31" t="n">
        <f aca="false">ROUNDDOWN(K240*設定!$B$14/1000,0)</f>
        <v>0</v>
      </c>
      <c r="BK240" s="31" t="n">
        <f aca="false">ROUNDDOWN(K240*設定!$C$14/1000,0)</f>
        <v>0</v>
      </c>
      <c r="BL240" s="31" t="n">
        <f aca="false">ROUNDDOWN(J240*設定!$B$15/1000,0)</f>
        <v>0</v>
      </c>
      <c r="BM240" s="31" t="n">
        <f aca="false">ROUNDDOWN(J240*設定!$C$15/1000,0)</f>
        <v>0</v>
      </c>
      <c r="BN240" s="31" t="n">
        <f aca="false">L240+M240</f>
        <v>1970100</v>
      </c>
      <c r="BO240" s="31" t="n">
        <f aca="false">N240+O240+P240</f>
        <v>2775436</v>
      </c>
      <c r="BP240" s="31" t="n">
        <f aca="false">Q240</f>
        <v>1038220</v>
      </c>
      <c r="BQ240" s="31" t="n">
        <f aca="false">R240</f>
        <v>1055863</v>
      </c>
      <c r="BR240" s="31" t="n">
        <f aca="false">S240</f>
        <v>103885</v>
      </c>
      <c r="BS240" s="31" t="n">
        <f aca="false">T240</f>
        <v>103885</v>
      </c>
      <c r="BT240" s="31" t="n">
        <f aca="false">U240</f>
        <v>23014</v>
      </c>
      <c r="BU240" s="31" t="n">
        <f aca="false">V240</f>
        <v>23023</v>
      </c>
      <c r="BV240" s="32" t="n">
        <f aca="false">IF(BF240=0,IF(BN240=0,0,1),(BN240-BF240)/BF240)</f>
        <v>1</v>
      </c>
      <c r="BW240" s="32" t="n">
        <f aca="false">IF(BG240=0,IF(BO240=0,0,1),(BO240-BG240)/BG240)</f>
        <v>1</v>
      </c>
      <c r="BX240" s="32" t="n">
        <f aca="false">IF(BH240=0,IF(BP240=0,0,1),(BP240-BH240)/BH240)</f>
        <v>1</v>
      </c>
      <c r="BY240" s="32" t="n">
        <f aca="false">IF(BI240=0,IF(BQ240=0,0,1),(BQ240-BI240)/BI240)</f>
        <v>1</v>
      </c>
      <c r="BZ240" s="32" t="n">
        <f aca="false">IF(BJ240=0,IF(BR240=0,0,1),(BR240-BJ240)/BJ240)</f>
        <v>1</v>
      </c>
      <c r="CA240" s="32" t="n">
        <f aca="false">IF(BK240=0,IF(BS240=0,0,1),(BS240-BK240)/BK240)</f>
        <v>1</v>
      </c>
      <c r="CB240" s="32" t="n">
        <f aca="false">IF(BL240=0,IF(BT240=0,0,1),(BT240-BL240)/BL240)</f>
        <v>1</v>
      </c>
      <c r="CC240" s="32" t="n">
        <f aca="false">IF(BM240=0,IF(BU240=0,0,1),(BU240-BM240)/BM240)</f>
        <v>1</v>
      </c>
      <c r="CD240" s="32" t="n">
        <f aca="false">MAX(MAX(BV240:CC240),-MIN(BV240:CC240))</f>
        <v>1</v>
      </c>
      <c r="CE240" s="31" t="n">
        <f aca="false">IF(CI240="","",SUMIFS($CF$7:$CF$696,$A$7:$A$696,CI240,$B$7:$B$696,B240))</f>
        <v>7018295</v>
      </c>
      <c r="CF240" s="31" t="n">
        <f aca="false">SUM(AU240:BE240)</f>
        <v>7093426</v>
      </c>
      <c r="CG240" s="33" t="str">
        <f aca="false">A240&amp;"|"&amp;B240</f>
        <v>2026-08 月例|議会事務局</v>
      </c>
      <c r="CH240" s="34" t="str">
        <f aca="false">IFERROR(INDEX(設定!$D$61:$D$106,MATCH(B240,設定!$B$61:$B$106,0)),"Y")</f>
        <v>Y</v>
      </c>
      <c r="CI240" s="34" t="str">
        <f aca="false">IFERROR(INDEX(設定!$D$20:$D$34,MATCH(A240,設定!$A$20:$A$34,0))&amp;"","")</f>
        <v>2026-07 月例</v>
      </c>
    </row>
    <row r="241" customFormat="false" ht="15" hidden="true" customHeight="false" outlineLevel="0" collapsed="false">
      <c r="A241" s="22" t="s">
        <v>212</v>
      </c>
      <c r="B241" s="23" t="s">
        <v>164</v>
      </c>
      <c r="C241" s="10" t="str">
        <f aca="false">IF(G241="","未受領",IF(G241="なし","報告なし",IF(AH241="○","起票済",IF(OR(AG241="○",F241="一致",F241="入金不要"),"入金確認済","受領済"))))</f>
        <v>入金確認済</v>
      </c>
      <c r="D241" s="10" t="str">
        <f aca="false">IF(OR(G241="",G241="なし"),"―",IF(CH241="N","対象外",IF(AND(I241="",J241="",K241=""),"標報未入力",IF(CD241&gt;=設定!$B$4,"要確認","問題なし"))))</f>
        <v>対象外</v>
      </c>
      <c r="E241" s="24" t="str">
        <f aca="false">IF(OR(G241="",G241="なし",CE241="",CF241=0),"―",IF(CF241=CE241,"前月同額",IF(CE241=0,"―",IF(ABS(CF241/CE241-1)&gt;=設定!$B$5,"変動大 "&amp;TEXT(CF241/CE241-1,"+0%;-0%"),"〇"))))</f>
        <v>〇</v>
      </c>
      <c r="F241" s="10" t="str">
        <f aca="false">IF(OR(G241="",G241="なし"),"―",IF(CF241=0,"入金不要",IF(COUNT(Z241,AB241,AD241,AF241)=0,IF(AG241="○","手動確認","未入金"),IF(AND(N(Z241)=Y241,IF(AA241="",TRUE(),N(AB241)=AA241),IF(AC241="",TRUE(),N(AD241)=AC241),IF(AE241="",TRUE(),N(AF241)=AE241)),"一致","不一致"))))</f>
        <v>手動確認</v>
      </c>
      <c r="G241" s="25" t="s">
        <v>159</v>
      </c>
      <c r="H241" s="26"/>
      <c r="I241" s="27"/>
      <c r="J241" s="27"/>
      <c r="K241" s="27"/>
      <c r="L241" s="27" t="n">
        <v>24341928</v>
      </c>
      <c r="M241" s="27" t="n">
        <v>1995240</v>
      </c>
      <c r="N241" s="27" t="n">
        <v>35033612</v>
      </c>
      <c r="O241" s="27" t="n">
        <v>1995240</v>
      </c>
      <c r="P241" s="27" t="n">
        <v>23280</v>
      </c>
      <c r="Q241" s="27" t="n">
        <v>23861925</v>
      </c>
      <c r="R241" s="27" t="n">
        <v>24258573</v>
      </c>
      <c r="S241" s="27" t="n">
        <v>2786882</v>
      </c>
      <c r="T241" s="27" t="n">
        <v>2788577</v>
      </c>
      <c r="U241" s="27" t="n">
        <v>528582</v>
      </c>
      <c r="V241" s="27" t="n">
        <v>528695</v>
      </c>
      <c r="W241" s="10" t="str">
        <f aca="false">IFERROR(INDEX(設定!$E$61:$E$106,MATCH(B241,設定!$B$61:$B$106,0)),"合算")</f>
        <v>合算</v>
      </c>
      <c r="X241" s="28"/>
      <c r="Y241" s="29" t="n">
        <f aca="false">IF(OR(G241="",G241="なし"),"",IF(W241="合算",CF241,IF(W241="掛金・負担金別",(AU241+AV241+AZ241+BB241+BD241),SUM(AU241:AY241))))</f>
        <v>118142534</v>
      </c>
      <c r="Z241" s="27"/>
      <c r="AA241" s="29" t="str">
        <f aca="false">IF(OR(G241="",G241="なし"),"",IF(W241="掛金・負担金別",(AW241+AX241+AY241+BA241+BC241+BE241),IF(W241="経理区分別",AZ241+BA241,"")))</f>
        <v/>
      </c>
      <c r="AB241" s="27"/>
      <c r="AC241" s="29" t="str">
        <f aca="false">IF(OR(G241="",G241="なし"),"",IF(W241="経理区分別",BB241+BC241,""))</f>
        <v/>
      </c>
      <c r="AD241" s="27"/>
      <c r="AE241" s="29" t="str">
        <f aca="false">IF(OR(G241="",G241="なし"),"",IF(W241="経理区分別",BD241+BE241,""))</f>
        <v/>
      </c>
      <c r="AF241" s="27"/>
      <c r="AG241" s="26" t="s">
        <v>160</v>
      </c>
      <c r="AH241" s="26"/>
      <c r="AI241" s="30"/>
      <c r="AJ241" s="31"/>
      <c r="AK241" s="31"/>
      <c r="AL241" s="31"/>
      <c r="AM241" s="31"/>
      <c r="AN241" s="31"/>
      <c r="AO241" s="31"/>
      <c r="AP241" s="31"/>
      <c r="AQ241" s="31"/>
      <c r="AR241" s="31"/>
      <c r="AS241" s="31"/>
      <c r="AT241" s="31"/>
      <c r="AU241" s="31" t="n">
        <f aca="false">IF($G241="",AJ241,L241)</f>
        <v>24341928</v>
      </c>
      <c r="AV241" s="31" t="n">
        <f aca="false">IF($G241="",AK241,M241)</f>
        <v>1995240</v>
      </c>
      <c r="AW241" s="31" t="n">
        <f aca="false">IF($G241="",AL241,N241)</f>
        <v>35033612</v>
      </c>
      <c r="AX241" s="31" t="n">
        <f aca="false">IF($G241="",AM241,O241)</f>
        <v>1995240</v>
      </c>
      <c r="AY241" s="31" t="n">
        <f aca="false">IF($G241="",AN241,P241)</f>
        <v>23280</v>
      </c>
      <c r="AZ241" s="31" t="n">
        <f aca="false">IF($G241="",AO241,Q241)</f>
        <v>23861925</v>
      </c>
      <c r="BA241" s="31" t="n">
        <f aca="false">IF($G241="",AP241,R241)</f>
        <v>24258573</v>
      </c>
      <c r="BB241" s="31" t="n">
        <f aca="false">IF($G241="",AQ241,S241)</f>
        <v>2786882</v>
      </c>
      <c r="BC241" s="31" t="n">
        <f aca="false">IF($G241="",AR241,T241)</f>
        <v>2788577</v>
      </c>
      <c r="BD241" s="31" t="n">
        <f aca="false">IF($G241="",AS241,U241)</f>
        <v>528582</v>
      </c>
      <c r="BE241" s="31" t="n">
        <f aca="false">IF($G241="",AT241,V241)</f>
        <v>528695</v>
      </c>
      <c r="BF241" s="31" t="n">
        <f aca="false">ROUNDDOWN(I241*設定!$B$10/1000,0)+ROUNDDOWN(I241*設定!$B$11/1000,0)</f>
        <v>0</v>
      </c>
      <c r="BG241" s="31" t="n">
        <f aca="false">ROUNDDOWN(I241*設定!$C$10/1000,0)+ROUNDDOWN(I241*設定!$C$11/1000,0)+ROUNDDOWN(I241*設定!$C$12/1000,0)</f>
        <v>0</v>
      </c>
      <c r="BH241" s="31" t="n">
        <f aca="false">ROUNDDOWN(J241*設定!$B$13/1000,0)</f>
        <v>0</v>
      </c>
      <c r="BI241" s="31" t="n">
        <f aca="false">ROUNDDOWN(J241*設定!$C$13/1000,0)</f>
        <v>0</v>
      </c>
      <c r="BJ241" s="31" t="n">
        <f aca="false">ROUNDDOWN(K241*設定!$B$14/1000,0)</f>
        <v>0</v>
      </c>
      <c r="BK241" s="31" t="n">
        <f aca="false">ROUNDDOWN(K241*設定!$C$14/1000,0)</f>
        <v>0</v>
      </c>
      <c r="BL241" s="31" t="n">
        <f aca="false">ROUNDDOWN(J241*設定!$B$15/1000,0)</f>
        <v>0</v>
      </c>
      <c r="BM241" s="31" t="n">
        <f aca="false">ROUNDDOWN(J241*設定!$C$15/1000,0)</f>
        <v>0</v>
      </c>
      <c r="BN241" s="31" t="n">
        <f aca="false">L241+M241</f>
        <v>26337168</v>
      </c>
      <c r="BO241" s="31" t="n">
        <f aca="false">N241+O241+P241</f>
        <v>37052132</v>
      </c>
      <c r="BP241" s="31" t="n">
        <f aca="false">Q241</f>
        <v>23861925</v>
      </c>
      <c r="BQ241" s="31" t="n">
        <f aca="false">R241</f>
        <v>24258573</v>
      </c>
      <c r="BR241" s="31" t="n">
        <f aca="false">S241</f>
        <v>2786882</v>
      </c>
      <c r="BS241" s="31" t="n">
        <f aca="false">T241</f>
        <v>2788577</v>
      </c>
      <c r="BT241" s="31" t="n">
        <f aca="false">U241</f>
        <v>528582</v>
      </c>
      <c r="BU241" s="31" t="n">
        <f aca="false">V241</f>
        <v>528695</v>
      </c>
      <c r="BV241" s="32" t="n">
        <f aca="false">IF(BF241=0,IF(BN241=0,0,1),(BN241-BF241)/BF241)</f>
        <v>1</v>
      </c>
      <c r="BW241" s="32" t="n">
        <f aca="false">IF(BG241=0,IF(BO241=0,0,1),(BO241-BG241)/BG241)</f>
        <v>1</v>
      </c>
      <c r="BX241" s="32" t="n">
        <f aca="false">IF(BH241=0,IF(BP241=0,0,1),(BP241-BH241)/BH241)</f>
        <v>1</v>
      </c>
      <c r="BY241" s="32" t="n">
        <f aca="false">IF(BI241=0,IF(BQ241=0,0,1),(BQ241-BI241)/BI241)</f>
        <v>1</v>
      </c>
      <c r="BZ241" s="32" t="n">
        <f aca="false">IF(BJ241=0,IF(BR241=0,0,1),(BR241-BJ241)/BJ241)</f>
        <v>1</v>
      </c>
      <c r="CA241" s="32" t="n">
        <f aca="false">IF(BK241=0,IF(BS241=0,0,1),(BS241-BK241)/BK241)</f>
        <v>1</v>
      </c>
      <c r="CB241" s="32" t="n">
        <f aca="false">IF(BL241=0,IF(BT241=0,0,1),(BT241-BL241)/BL241)</f>
        <v>1</v>
      </c>
      <c r="CC241" s="32" t="n">
        <f aca="false">IF(BM241=0,IF(BU241=0,0,1),(BU241-BM241)/BM241)</f>
        <v>1</v>
      </c>
      <c r="CD241" s="32" t="n">
        <f aca="false">MAX(MAX(BV241:CC241),-MIN(BV241:CC241))</f>
        <v>1</v>
      </c>
      <c r="CE241" s="31" t="n">
        <f aca="false">IF(CI241="","",SUMIFS($CF$7:$CF$696,$A$7:$A$696,CI241,$B$7:$B$696,B241))</f>
        <v>119405788</v>
      </c>
      <c r="CF241" s="31" t="n">
        <f aca="false">SUM(AU241:BE241)</f>
        <v>118142534</v>
      </c>
      <c r="CG241" s="33" t="str">
        <f aca="false">A241&amp;"|"&amp;B241</f>
        <v>2026-08 月例|教育委員会（総務課）</v>
      </c>
      <c r="CH241" s="34" t="str">
        <f aca="false">IFERROR(INDEX(設定!$D$61:$D$106,MATCH(B241,設定!$B$61:$B$106,0)),"Y")</f>
        <v>N</v>
      </c>
      <c r="CI241" s="34" t="str">
        <f aca="false">IFERROR(INDEX(設定!$D$20:$D$34,MATCH(A241,設定!$A$20:$A$34,0))&amp;"","")</f>
        <v>2026-07 月例</v>
      </c>
    </row>
    <row r="242" customFormat="false" ht="15" hidden="true" customHeight="false" outlineLevel="0" collapsed="false">
      <c r="A242" s="22" t="s">
        <v>212</v>
      </c>
      <c r="B242" s="23" t="s">
        <v>165</v>
      </c>
      <c r="C242" s="10" t="str">
        <f aca="false">IF(G242="","未受領",IF(G242="なし","報告なし",IF(AH242="○","起票済",IF(OR(AG242="○",F242="一致",F242="入金不要"),"入金確認済","受領済"))))</f>
        <v>入金確認済</v>
      </c>
      <c r="D242" s="10" t="str">
        <f aca="false">IF(OR(G242="",G242="なし"),"―",IF(CH242="N","対象外",IF(AND(I242="",J242="",K242=""),"標報未入力",IF(CD242&gt;=設定!$B$4,"要確認","問題なし"))))</f>
        <v>標報未入力</v>
      </c>
      <c r="E242" s="24" t="str">
        <f aca="false">IF(OR(G242="",G242="なし",CE242="",CF242=0),"―",IF(CF242=CE242,"前月同額",IF(CE242=0,"―",IF(ABS(CF242/CE242-1)&gt;=設定!$B$5,"変動大 "&amp;TEXT(CF242/CE242-1,"+0%;-0%"),"〇"))))</f>
        <v>前月同額</v>
      </c>
      <c r="F242" s="10" t="str">
        <f aca="false">IF(OR(G242="",G242="なし"),"―",IF(CF242=0,"入金不要",IF(COUNT(Z242,AB242,AD242,AF242)=0,IF(AG242="○","手動確認","未入金"),IF(AND(N(Z242)=Y242,IF(AA242="",TRUE(),N(AB242)=AA242),IF(AC242="",TRUE(),N(AD242)=AC242),IF(AE242="",TRUE(),N(AF242)=AE242)),"一致","不一致"))))</f>
        <v>手動確認</v>
      </c>
      <c r="G242" s="25" t="s">
        <v>159</v>
      </c>
      <c r="H242" s="26"/>
      <c r="I242" s="27"/>
      <c r="J242" s="27"/>
      <c r="K242" s="27"/>
      <c r="L242" s="27" t="n">
        <v>269925</v>
      </c>
      <c r="M242" s="27" t="n">
        <v>22125</v>
      </c>
      <c r="N242" s="27" t="n">
        <v>387630</v>
      </c>
      <c r="O242" s="27" t="n">
        <v>22125</v>
      </c>
      <c r="P242" s="27" t="n">
        <v>256</v>
      </c>
      <c r="Q242" s="27" t="n">
        <v>173210</v>
      </c>
      <c r="R242" s="27" t="n">
        <v>176117</v>
      </c>
      <c r="S242" s="27" t="n">
        <v>15800</v>
      </c>
      <c r="T242" s="27" t="n">
        <v>15800</v>
      </c>
      <c r="U242" s="27" t="n">
        <v>3839</v>
      </c>
      <c r="V242" s="27" t="n">
        <v>3840</v>
      </c>
      <c r="W242" s="10" t="str">
        <f aca="false">IFERROR(INDEX(設定!$E$61:$E$106,MATCH(B242,設定!$B$61:$B$106,0)),"合算")</f>
        <v>合算</v>
      </c>
      <c r="X242" s="28"/>
      <c r="Y242" s="29" t="n">
        <f aca="false">IF(OR(G242="",G242="なし"),"",IF(W242="合算",CF242,IF(W242="掛金・負担金別",(AU242+AV242+AZ242+BB242+BD242),SUM(AU242:AY242))))</f>
        <v>1090667</v>
      </c>
      <c r="Z242" s="27"/>
      <c r="AA242" s="29" t="str">
        <f aca="false">IF(OR(G242="",G242="なし"),"",IF(W242="掛金・負担金別",(AW242+AX242+AY242+BA242+BC242+BE242),IF(W242="経理区分別",AZ242+BA242,"")))</f>
        <v/>
      </c>
      <c r="AB242" s="27"/>
      <c r="AC242" s="29" t="str">
        <f aca="false">IF(OR(G242="",G242="なし"),"",IF(W242="経理区分別",BB242+BC242,""))</f>
        <v/>
      </c>
      <c r="AD242" s="27"/>
      <c r="AE242" s="29" t="str">
        <f aca="false">IF(OR(G242="",G242="なし"),"",IF(W242="経理区分別",BD242+BE242,""))</f>
        <v/>
      </c>
      <c r="AF242" s="27"/>
      <c r="AG242" s="26" t="s">
        <v>160</v>
      </c>
      <c r="AH242" s="26"/>
      <c r="AI242" s="30"/>
      <c r="AJ242" s="31"/>
      <c r="AK242" s="31"/>
      <c r="AL242" s="31"/>
      <c r="AM242" s="31"/>
      <c r="AN242" s="31"/>
      <c r="AO242" s="31"/>
      <c r="AP242" s="31"/>
      <c r="AQ242" s="31"/>
      <c r="AR242" s="31"/>
      <c r="AS242" s="31"/>
      <c r="AT242" s="31"/>
      <c r="AU242" s="31" t="n">
        <f aca="false">IF($G242="",AJ242,L242)</f>
        <v>269925</v>
      </c>
      <c r="AV242" s="31" t="n">
        <f aca="false">IF($G242="",AK242,M242)</f>
        <v>22125</v>
      </c>
      <c r="AW242" s="31" t="n">
        <f aca="false">IF($G242="",AL242,N242)</f>
        <v>387630</v>
      </c>
      <c r="AX242" s="31" t="n">
        <f aca="false">IF($G242="",AM242,O242)</f>
        <v>22125</v>
      </c>
      <c r="AY242" s="31" t="n">
        <f aca="false">IF($G242="",AN242,P242)</f>
        <v>256</v>
      </c>
      <c r="AZ242" s="31" t="n">
        <f aca="false">IF($G242="",AO242,Q242)</f>
        <v>173210</v>
      </c>
      <c r="BA242" s="31" t="n">
        <f aca="false">IF($G242="",AP242,R242)</f>
        <v>176117</v>
      </c>
      <c r="BB242" s="31" t="n">
        <f aca="false">IF($G242="",AQ242,S242)</f>
        <v>15800</v>
      </c>
      <c r="BC242" s="31" t="n">
        <f aca="false">IF($G242="",AR242,T242)</f>
        <v>15800</v>
      </c>
      <c r="BD242" s="31" t="n">
        <f aca="false">IF($G242="",AS242,U242)</f>
        <v>3839</v>
      </c>
      <c r="BE242" s="31" t="n">
        <f aca="false">IF($G242="",AT242,V242)</f>
        <v>3840</v>
      </c>
      <c r="BF242" s="31" t="n">
        <f aca="false">ROUNDDOWN(I242*設定!$B$10/1000,0)+ROUNDDOWN(I242*設定!$B$11/1000,0)</f>
        <v>0</v>
      </c>
      <c r="BG242" s="31" t="n">
        <f aca="false">ROUNDDOWN(I242*設定!$C$10/1000,0)+ROUNDDOWN(I242*設定!$C$11/1000,0)+ROUNDDOWN(I242*設定!$C$12/1000,0)</f>
        <v>0</v>
      </c>
      <c r="BH242" s="31" t="n">
        <f aca="false">ROUNDDOWN(J242*設定!$B$13/1000,0)</f>
        <v>0</v>
      </c>
      <c r="BI242" s="31" t="n">
        <f aca="false">ROUNDDOWN(J242*設定!$C$13/1000,0)</f>
        <v>0</v>
      </c>
      <c r="BJ242" s="31" t="n">
        <f aca="false">ROUNDDOWN(K242*設定!$B$14/1000,0)</f>
        <v>0</v>
      </c>
      <c r="BK242" s="31" t="n">
        <f aca="false">ROUNDDOWN(K242*設定!$C$14/1000,0)</f>
        <v>0</v>
      </c>
      <c r="BL242" s="31" t="n">
        <f aca="false">ROUNDDOWN(J242*設定!$B$15/1000,0)</f>
        <v>0</v>
      </c>
      <c r="BM242" s="31" t="n">
        <f aca="false">ROUNDDOWN(J242*設定!$C$15/1000,0)</f>
        <v>0</v>
      </c>
      <c r="BN242" s="31" t="n">
        <f aca="false">L242+M242</f>
        <v>292050</v>
      </c>
      <c r="BO242" s="31" t="n">
        <f aca="false">N242+O242+P242</f>
        <v>410011</v>
      </c>
      <c r="BP242" s="31" t="n">
        <f aca="false">Q242</f>
        <v>173210</v>
      </c>
      <c r="BQ242" s="31" t="n">
        <f aca="false">R242</f>
        <v>176117</v>
      </c>
      <c r="BR242" s="31" t="n">
        <f aca="false">S242</f>
        <v>15800</v>
      </c>
      <c r="BS242" s="31" t="n">
        <f aca="false">T242</f>
        <v>15800</v>
      </c>
      <c r="BT242" s="31" t="n">
        <f aca="false">U242</f>
        <v>3839</v>
      </c>
      <c r="BU242" s="31" t="n">
        <f aca="false">V242</f>
        <v>3840</v>
      </c>
      <c r="BV242" s="32" t="n">
        <f aca="false">IF(BF242=0,IF(BN242=0,0,1),(BN242-BF242)/BF242)</f>
        <v>1</v>
      </c>
      <c r="BW242" s="32" t="n">
        <f aca="false">IF(BG242=0,IF(BO242=0,0,1),(BO242-BG242)/BG242)</f>
        <v>1</v>
      </c>
      <c r="BX242" s="32" t="n">
        <f aca="false">IF(BH242=0,IF(BP242=0,0,1),(BP242-BH242)/BH242)</f>
        <v>1</v>
      </c>
      <c r="BY242" s="32" t="n">
        <f aca="false">IF(BI242=0,IF(BQ242=0,0,1),(BQ242-BI242)/BI242)</f>
        <v>1</v>
      </c>
      <c r="BZ242" s="32" t="n">
        <f aca="false">IF(BJ242=0,IF(BR242=0,0,1),(BR242-BJ242)/BJ242)</f>
        <v>1</v>
      </c>
      <c r="CA242" s="32" t="n">
        <f aca="false">IF(BK242=0,IF(BS242=0,0,1),(BS242-BK242)/BK242)</f>
        <v>1</v>
      </c>
      <c r="CB242" s="32" t="n">
        <f aca="false">IF(BL242=0,IF(BT242=0,0,1),(BT242-BL242)/BL242)</f>
        <v>1</v>
      </c>
      <c r="CC242" s="32" t="n">
        <f aca="false">IF(BM242=0,IF(BU242=0,0,1),(BU242-BM242)/BM242)</f>
        <v>1</v>
      </c>
      <c r="CD242" s="32" t="n">
        <f aca="false">MAX(MAX(BV242:CC242),-MIN(BV242:CC242))</f>
        <v>1</v>
      </c>
      <c r="CE242" s="31" t="n">
        <f aca="false">IF(CI242="","",SUMIFS($CF$7:$CF$696,$A$7:$A$696,CI242,$B$7:$B$696,B242))</f>
        <v>1090667</v>
      </c>
      <c r="CF242" s="31" t="n">
        <f aca="false">SUM(AU242:BE242)</f>
        <v>1090667</v>
      </c>
      <c r="CG242" s="33" t="str">
        <f aca="false">A242&amp;"|"&amp;B242</f>
        <v>2026-08 月例|選挙管理委員会</v>
      </c>
      <c r="CH242" s="34" t="str">
        <f aca="false">IFERROR(INDEX(設定!$D$61:$D$106,MATCH(B242,設定!$B$61:$B$106,0)),"Y")</f>
        <v>Y</v>
      </c>
      <c r="CI242" s="34" t="str">
        <f aca="false">IFERROR(INDEX(設定!$D$20:$D$34,MATCH(A242,設定!$A$20:$A$34,0))&amp;"","")</f>
        <v>2026-07 月例</v>
      </c>
    </row>
    <row r="243" customFormat="false" ht="15" hidden="true" customHeight="false" outlineLevel="0" collapsed="false">
      <c r="A243" s="22" t="s">
        <v>212</v>
      </c>
      <c r="B243" s="23" t="s">
        <v>166</v>
      </c>
      <c r="C243" s="10" t="str">
        <f aca="false">IF(G243="","未受領",IF(G243="なし","報告なし",IF(AH243="○","起票済",IF(OR(AG243="○",F243="一致",F243="入金不要"),"入金確認済","受領済"))))</f>
        <v>入金確認済</v>
      </c>
      <c r="D243" s="10" t="str">
        <f aca="false">IF(OR(G243="",G243="なし"),"―",IF(CH243="N","対象外",IF(AND(I243="",J243="",K243=""),"標報未入力",IF(CD243&gt;=設定!$B$4,"要確認","問題なし"))))</f>
        <v>標報未入力</v>
      </c>
      <c r="E243" s="24" t="str">
        <f aca="false">IF(OR(G243="",G243="なし",CE243="",CF243=0),"―",IF(CF243=CE243,"前月同額",IF(CE243=0,"―",IF(ABS(CF243/CE243-1)&gt;=設定!$B$5,"変動大 "&amp;TEXT(CF243/CE243-1,"+0%;-0%"),"〇"))))</f>
        <v>前月同額</v>
      </c>
      <c r="F243" s="10" t="str">
        <f aca="false">IF(OR(G243="",G243="なし"),"―",IF(CF243=0,"入金不要",IF(COUNT(Z243,AB243,AD243,AF243)=0,IF(AG243="○","手動確認","未入金"),IF(AND(N(Z243)=Y243,IF(AA243="",TRUE(),N(AB243)=AA243),IF(AC243="",TRUE(),N(AD243)=AC243),IF(AE243="",TRUE(),N(AF243)=AE243)),"一致","不一致"))))</f>
        <v>手動確認</v>
      </c>
      <c r="G243" s="25" t="s">
        <v>159</v>
      </c>
      <c r="H243" s="26"/>
      <c r="I243" s="27"/>
      <c r="J243" s="27"/>
      <c r="K243" s="27"/>
      <c r="L243" s="27" t="n">
        <v>618540</v>
      </c>
      <c r="M243" s="27" t="n">
        <v>50700</v>
      </c>
      <c r="N243" s="27" t="n">
        <v>888264</v>
      </c>
      <c r="O243" s="27" t="n">
        <v>50700</v>
      </c>
      <c r="P243" s="27" t="n">
        <v>587</v>
      </c>
      <c r="Q243" s="27" t="n">
        <v>364051</v>
      </c>
      <c r="R243" s="27" t="n">
        <v>370163</v>
      </c>
      <c r="S243" s="27" t="n">
        <v>30257</v>
      </c>
      <c r="T243" s="27" t="n">
        <v>30257</v>
      </c>
      <c r="U243" s="27" t="n">
        <v>8070</v>
      </c>
      <c r="V243" s="27" t="n">
        <v>8073</v>
      </c>
      <c r="W243" s="10" t="str">
        <f aca="false">IFERROR(INDEX(設定!$E$61:$E$106,MATCH(B243,設定!$B$61:$B$106,0)),"合算")</f>
        <v>合算</v>
      </c>
      <c r="X243" s="28"/>
      <c r="Y243" s="29" t="n">
        <f aca="false">IF(OR(G243="",G243="なし"),"",IF(W243="合算",CF243,IF(W243="掛金・負担金別",(AU243+AV243+AZ243+BB243+BD243),SUM(AU243:AY243))))</f>
        <v>2419662</v>
      </c>
      <c r="Z243" s="27"/>
      <c r="AA243" s="29" t="str">
        <f aca="false">IF(OR(G243="",G243="なし"),"",IF(W243="掛金・負担金別",(AW243+AX243+AY243+BA243+BC243+BE243),IF(W243="経理区分別",AZ243+BA243,"")))</f>
        <v/>
      </c>
      <c r="AB243" s="27"/>
      <c r="AC243" s="29" t="str">
        <f aca="false">IF(OR(G243="",G243="なし"),"",IF(W243="経理区分別",BB243+BC243,""))</f>
        <v/>
      </c>
      <c r="AD243" s="27"/>
      <c r="AE243" s="29" t="str">
        <f aca="false">IF(OR(G243="",G243="なし"),"",IF(W243="経理区分別",BD243+BE243,""))</f>
        <v/>
      </c>
      <c r="AF243" s="27"/>
      <c r="AG243" s="26" t="s">
        <v>160</v>
      </c>
      <c r="AH243" s="26"/>
      <c r="AI243" s="30"/>
      <c r="AJ243" s="31"/>
      <c r="AK243" s="31"/>
      <c r="AL243" s="31"/>
      <c r="AM243" s="31"/>
      <c r="AN243" s="31"/>
      <c r="AO243" s="31"/>
      <c r="AP243" s="31"/>
      <c r="AQ243" s="31"/>
      <c r="AR243" s="31"/>
      <c r="AS243" s="31"/>
      <c r="AT243" s="31"/>
      <c r="AU243" s="31" t="n">
        <f aca="false">IF($G243="",AJ243,L243)</f>
        <v>618540</v>
      </c>
      <c r="AV243" s="31" t="n">
        <f aca="false">IF($G243="",AK243,M243)</f>
        <v>50700</v>
      </c>
      <c r="AW243" s="31" t="n">
        <f aca="false">IF($G243="",AL243,N243)</f>
        <v>888264</v>
      </c>
      <c r="AX243" s="31" t="n">
        <f aca="false">IF($G243="",AM243,O243)</f>
        <v>50700</v>
      </c>
      <c r="AY243" s="31" t="n">
        <f aca="false">IF($G243="",AN243,P243)</f>
        <v>587</v>
      </c>
      <c r="AZ243" s="31" t="n">
        <f aca="false">IF($G243="",AO243,Q243)</f>
        <v>364051</v>
      </c>
      <c r="BA243" s="31" t="n">
        <f aca="false">IF($G243="",AP243,R243)</f>
        <v>370163</v>
      </c>
      <c r="BB243" s="31" t="n">
        <f aca="false">IF($G243="",AQ243,S243)</f>
        <v>30257</v>
      </c>
      <c r="BC243" s="31" t="n">
        <f aca="false">IF($G243="",AR243,T243)</f>
        <v>30257</v>
      </c>
      <c r="BD243" s="31" t="n">
        <f aca="false">IF($G243="",AS243,U243)</f>
        <v>8070</v>
      </c>
      <c r="BE243" s="31" t="n">
        <f aca="false">IF($G243="",AT243,V243)</f>
        <v>8073</v>
      </c>
      <c r="BF243" s="31" t="n">
        <f aca="false">ROUNDDOWN(I243*設定!$B$10/1000,0)+ROUNDDOWN(I243*設定!$B$11/1000,0)</f>
        <v>0</v>
      </c>
      <c r="BG243" s="31" t="n">
        <f aca="false">ROUNDDOWN(I243*設定!$C$10/1000,0)+ROUNDDOWN(I243*設定!$C$11/1000,0)+ROUNDDOWN(I243*設定!$C$12/1000,0)</f>
        <v>0</v>
      </c>
      <c r="BH243" s="31" t="n">
        <f aca="false">ROUNDDOWN(J243*設定!$B$13/1000,0)</f>
        <v>0</v>
      </c>
      <c r="BI243" s="31" t="n">
        <f aca="false">ROUNDDOWN(J243*設定!$C$13/1000,0)</f>
        <v>0</v>
      </c>
      <c r="BJ243" s="31" t="n">
        <f aca="false">ROUNDDOWN(K243*設定!$B$14/1000,0)</f>
        <v>0</v>
      </c>
      <c r="BK243" s="31" t="n">
        <f aca="false">ROUNDDOWN(K243*設定!$C$14/1000,0)</f>
        <v>0</v>
      </c>
      <c r="BL243" s="31" t="n">
        <f aca="false">ROUNDDOWN(J243*設定!$B$15/1000,0)</f>
        <v>0</v>
      </c>
      <c r="BM243" s="31" t="n">
        <f aca="false">ROUNDDOWN(J243*設定!$C$15/1000,0)</f>
        <v>0</v>
      </c>
      <c r="BN243" s="31" t="n">
        <f aca="false">L243+M243</f>
        <v>669240</v>
      </c>
      <c r="BO243" s="31" t="n">
        <f aca="false">N243+O243+P243</f>
        <v>939551</v>
      </c>
      <c r="BP243" s="31" t="n">
        <f aca="false">Q243</f>
        <v>364051</v>
      </c>
      <c r="BQ243" s="31" t="n">
        <f aca="false">R243</f>
        <v>370163</v>
      </c>
      <c r="BR243" s="31" t="n">
        <f aca="false">S243</f>
        <v>30257</v>
      </c>
      <c r="BS243" s="31" t="n">
        <f aca="false">T243</f>
        <v>30257</v>
      </c>
      <c r="BT243" s="31" t="n">
        <f aca="false">U243</f>
        <v>8070</v>
      </c>
      <c r="BU243" s="31" t="n">
        <f aca="false">V243</f>
        <v>8073</v>
      </c>
      <c r="BV243" s="32" t="n">
        <f aca="false">IF(BF243=0,IF(BN243=0,0,1),(BN243-BF243)/BF243)</f>
        <v>1</v>
      </c>
      <c r="BW243" s="32" t="n">
        <f aca="false">IF(BG243=0,IF(BO243=0,0,1),(BO243-BG243)/BG243)</f>
        <v>1</v>
      </c>
      <c r="BX243" s="32" t="n">
        <f aca="false">IF(BH243=0,IF(BP243=0,0,1),(BP243-BH243)/BH243)</f>
        <v>1</v>
      </c>
      <c r="BY243" s="32" t="n">
        <f aca="false">IF(BI243=0,IF(BQ243=0,0,1),(BQ243-BI243)/BI243)</f>
        <v>1</v>
      </c>
      <c r="BZ243" s="32" t="n">
        <f aca="false">IF(BJ243=0,IF(BR243=0,0,1),(BR243-BJ243)/BJ243)</f>
        <v>1</v>
      </c>
      <c r="CA243" s="32" t="n">
        <f aca="false">IF(BK243=0,IF(BS243=0,0,1),(BS243-BK243)/BK243)</f>
        <v>1</v>
      </c>
      <c r="CB243" s="32" t="n">
        <f aca="false">IF(BL243=0,IF(BT243=0,0,1),(BT243-BL243)/BL243)</f>
        <v>1</v>
      </c>
      <c r="CC243" s="32" t="n">
        <f aca="false">IF(BM243=0,IF(BU243=0,0,1),(BU243-BM243)/BM243)</f>
        <v>1</v>
      </c>
      <c r="CD243" s="32" t="n">
        <f aca="false">MAX(MAX(BV243:CC243),-MIN(BV243:CC243))</f>
        <v>1</v>
      </c>
      <c r="CE243" s="31" t="n">
        <f aca="false">IF(CI243="","",SUMIFS($CF$7:$CF$696,$A$7:$A$696,CI243,$B$7:$B$696,B243))</f>
        <v>2419662</v>
      </c>
      <c r="CF243" s="31" t="n">
        <f aca="false">SUM(AU243:BE243)</f>
        <v>2419662</v>
      </c>
      <c r="CG243" s="33" t="str">
        <f aca="false">A243&amp;"|"&amp;B243</f>
        <v>2026-08 月例|人事委員会</v>
      </c>
      <c r="CH243" s="34" t="str">
        <f aca="false">IFERROR(INDEX(設定!$D$61:$D$106,MATCH(B243,設定!$B$61:$B$106,0)),"Y")</f>
        <v>Y</v>
      </c>
      <c r="CI243" s="34" t="str">
        <f aca="false">IFERROR(INDEX(設定!$D$20:$D$34,MATCH(A243,設定!$A$20:$A$34,0))&amp;"","")</f>
        <v>2026-07 月例</v>
      </c>
    </row>
    <row r="244" customFormat="false" ht="15" hidden="true" customHeight="false" outlineLevel="0" collapsed="false">
      <c r="A244" s="22" t="s">
        <v>212</v>
      </c>
      <c r="B244" s="23" t="s">
        <v>167</v>
      </c>
      <c r="C244" s="10" t="str">
        <f aca="false">IF(G244="","未受領",IF(G244="なし","報告なし",IF(AH244="○","起票済",IF(OR(AG244="○",F244="一致",F244="入金不要"),"入金確認済","受領済"))))</f>
        <v>入金確認済</v>
      </c>
      <c r="D244" s="10" t="str">
        <f aca="false">IF(OR(G244="",G244="なし"),"―",IF(CH244="N","対象外",IF(AND(I244="",J244="",K244=""),"標報未入力",IF(CD244&gt;=設定!$B$4,"要確認","問題なし"))))</f>
        <v>標報未入力</v>
      </c>
      <c r="E244" s="24" t="str">
        <f aca="false">IF(OR(G244="",G244="なし",CE244="",CF244=0),"―",IF(CF244=CE244,"前月同額",IF(CE244=0,"―",IF(ABS(CF244/CE244-1)&gt;=設定!$B$5,"変動大 "&amp;TEXT(CF244/CE244-1,"+0%;-0%"),"〇"))))</f>
        <v>前月同額</v>
      </c>
      <c r="F244" s="10" t="str">
        <f aca="false">IF(OR(G244="",G244="なし"),"―",IF(CF244=0,"入金不要",IF(COUNT(Z244,AB244,AD244,AF244)=0,IF(AG244="○","手動確認","未入金"),IF(AND(N(Z244)=Y244,IF(AA244="",TRUE(),N(AB244)=AA244),IF(AC244="",TRUE(),N(AD244)=AC244),IF(AE244="",TRUE(),N(AF244)=AE244)),"一致","不一致"))))</f>
        <v>手動確認</v>
      </c>
      <c r="G244" s="25" t="s">
        <v>159</v>
      </c>
      <c r="H244" s="26"/>
      <c r="I244" s="27"/>
      <c r="J244" s="27"/>
      <c r="K244" s="27"/>
      <c r="L244" s="27" t="n">
        <v>1317600</v>
      </c>
      <c r="M244" s="27" t="n">
        <v>108000</v>
      </c>
      <c r="N244" s="27" t="n">
        <v>1903332</v>
      </c>
      <c r="O244" s="27" t="n">
        <v>108000</v>
      </c>
      <c r="P244" s="27" t="n">
        <v>1275</v>
      </c>
      <c r="Q244" s="27" t="n">
        <v>766995</v>
      </c>
      <c r="R244" s="27" t="n">
        <v>780119</v>
      </c>
      <c r="S244" s="27" t="n">
        <v>107914</v>
      </c>
      <c r="T244" s="27" t="n">
        <v>107914</v>
      </c>
      <c r="U244" s="27" t="n">
        <v>17000</v>
      </c>
      <c r="V244" s="27" t="n">
        <v>17007</v>
      </c>
      <c r="W244" s="10" t="str">
        <f aca="false">IFERROR(INDEX(設定!$E$61:$E$106,MATCH(B244,設定!$B$61:$B$106,0)),"合算")</f>
        <v>合算</v>
      </c>
      <c r="X244" s="28"/>
      <c r="Y244" s="29" t="n">
        <f aca="false">IF(OR(G244="",G244="なし"),"",IF(W244="合算",CF244,IF(W244="掛金・負担金別",(AU244+AV244+AZ244+BB244+BD244),SUM(AU244:AY244))))</f>
        <v>5235156</v>
      </c>
      <c r="Z244" s="27"/>
      <c r="AA244" s="29" t="str">
        <f aca="false">IF(OR(G244="",G244="なし"),"",IF(W244="掛金・負担金別",(AW244+AX244+AY244+BA244+BC244+BE244),IF(W244="経理区分別",AZ244+BA244,"")))</f>
        <v/>
      </c>
      <c r="AB244" s="27"/>
      <c r="AC244" s="29" t="str">
        <f aca="false">IF(OR(G244="",G244="なし"),"",IF(W244="経理区分別",BB244+BC244,""))</f>
        <v/>
      </c>
      <c r="AD244" s="27"/>
      <c r="AE244" s="29" t="str">
        <f aca="false">IF(OR(G244="",G244="なし"),"",IF(W244="経理区分別",BD244+BE244,""))</f>
        <v/>
      </c>
      <c r="AF244" s="27"/>
      <c r="AG244" s="26" t="s">
        <v>160</v>
      </c>
      <c r="AH244" s="26"/>
      <c r="AI244" s="30"/>
      <c r="AJ244" s="31"/>
      <c r="AK244" s="31"/>
      <c r="AL244" s="31"/>
      <c r="AM244" s="31"/>
      <c r="AN244" s="31"/>
      <c r="AO244" s="31"/>
      <c r="AP244" s="31"/>
      <c r="AQ244" s="31"/>
      <c r="AR244" s="31"/>
      <c r="AS244" s="31"/>
      <c r="AT244" s="31"/>
      <c r="AU244" s="31" t="n">
        <f aca="false">IF($G244="",AJ244,L244)</f>
        <v>1317600</v>
      </c>
      <c r="AV244" s="31" t="n">
        <f aca="false">IF($G244="",AK244,M244)</f>
        <v>108000</v>
      </c>
      <c r="AW244" s="31" t="n">
        <f aca="false">IF($G244="",AL244,N244)</f>
        <v>1903332</v>
      </c>
      <c r="AX244" s="31" t="n">
        <f aca="false">IF($G244="",AM244,O244)</f>
        <v>108000</v>
      </c>
      <c r="AY244" s="31" t="n">
        <f aca="false">IF($G244="",AN244,P244)</f>
        <v>1275</v>
      </c>
      <c r="AZ244" s="31" t="n">
        <f aca="false">IF($G244="",AO244,Q244)</f>
        <v>766995</v>
      </c>
      <c r="BA244" s="31" t="n">
        <f aca="false">IF($G244="",AP244,R244)</f>
        <v>780119</v>
      </c>
      <c r="BB244" s="31" t="n">
        <f aca="false">IF($G244="",AQ244,S244)</f>
        <v>107914</v>
      </c>
      <c r="BC244" s="31" t="n">
        <f aca="false">IF($G244="",AR244,T244)</f>
        <v>107914</v>
      </c>
      <c r="BD244" s="31" t="n">
        <f aca="false">IF($G244="",AS244,U244)</f>
        <v>17000</v>
      </c>
      <c r="BE244" s="31" t="n">
        <f aca="false">IF($G244="",AT244,V244)</f>
        <v>17007</v>
      </c>
      <c r="BF244" s="31" t="n">
        <f aca="false">ROUNDDOWN(I244*設定!$B$10/1000,0)+ROUNDDOWN(I244*設定!$B$11/1000,0)</f>
        <v>0</v>
      </c>
      <c r="BG244" s="31" t="n">
        <f aca="false">ROUNDDOWN(I244*設定!$C$10/1000,0)+ROUNDDOWN(I244*設定!$C$11/1000,0)+ROUNDDOWN(I244*設定!$C$12/1000,0)</f>
        <v>0</v>
      </c>
      <c r="BH244" s="31" t="n">
        <f aca="false">ROUNDDOWN(J244*設定!$B$13/1000,0)</f>
        <v>0</v>
      </c>
      <c r="BI244" s="31" t="n">
        <f aca="false">ROUNDDOWN(J244*設定!$C$13/1000,0)</f>
        <v>0</v>
      </c>
      <c r="BJ244" s="31" t="n">
        <f aca="false">ROUNDDOWN(K244*設定!$B$14/1000,0)</f>
        <v>0</v>
      </c>
      <c r="BK244" s="31" t="n">
        <f aca="false">ROUNDDOWN(K244*設定!$C$14/1000,0)</f>
        <v>0</v>
      </c>
      <c r="BL244" s="31" t="n">
        <f aca="false">ROUNDDOWN(J244*設定!$B$15/1000,0)</f>
        <v>0</v>
      </c>
      <c r="BM244" s="31" t="n">
        <f aca="false">ROUNDDOWN(J244*設定!$C$15/1000,0)</f>
        <v>0</v>
      </c>
      <c r="BN244" s="31" t="n">
        <f aca="false">L244+M244</f>
        <v>1425600</v>
      </c>
      <c r="BO244" s="31" t="n">
        <f aca="false">N244+O244+P244</f>
        <v>2012607</v>
      </c>
      <c r="BP244" s="31" t="n">
        <f aca="false">Q244</f>
        <v>766995</v>
      </c>
      <c r="BQ244" s="31" t="n">
        <f aca="false">R244</f>
        <v>780119</v>
      </c>
      <c r="BR244" s="31" t="n">
        <f aca="false">S244</f>
        <v>107914</v>
      </c>
      <c r="BS244" s="31" t="n">
        <f aca="false">T244</f>
        <v>107914</v>
      </c>
      <c r="BT244" s="31" t="n">
        <f aca="false">U244</f>
        <v>17000</v>
      </c>
      <c r="BU244" s="31" t="n">
        <f aca="false">V244</f>
        <v>17007</v>
      </c>
      <c r="BV244" s="32" t="n">
        <f aca="false">IF(BF244=0,IF(BN244=0,0,1),(BN244-BF244)/BF244)</f>
        <v>1</v>
      </c>
      <c r="BW244" s="32" t="n">
        <f aca="false">IF(BG244=0,IF(BO244=0,0,1),(BO244-BG244)/BG244)</f>
        <v>1</v>
      </c>
      <c r="BX244" s="32" t="n">
        <f aca="false">IF(BH244=0,IF(BP244=0,0,1),(BP244-BH244)/BH244)</f>
        <v>1</v>
      </c>
      <c r="BY244" s="32" t="n">
        <f aca="false">IF(BI244=0,IF(BQ244=0,0,1),(BQ244-BI244)/BI244)</f>
        <v>1</v>
      </c>
      <c r="BZ244" s="32" t="n">
        <f aca="false">IF(BJ244=0,IF(BR244=0,0,1),(BR244-BJ244)/BJ244)</f>
        <v>1</v>
      </c>
      <c r="CA244" s="32" t="n">
        <f aca="false">IF(BK244=0,IF(BS244=0,0,1),(BS244-BK244)/BK244)</f>
        <v>1</v>
      </c>
      <c r="CB244" s="32" t="n">
        <f aca="false">IF(BL244=0,IF(BT244=0,0,1),(BT244-BL244)/BL244)</f>
        <v>1</v>
      </c>
      <c r="CC244" s="32" t="n">
        <f aca="false">IF(BM244=0,IF(BU244=0,0,1),(BU244-BM244)/BM244)</f>
        <v>1</v>
      </c>
      <c r="CD244" s="32" t="n">
        <f aca="false">MAX(MAX(BV244:CC244),-MIN(BV244:CC244))</f>
        <v>1</v>
      </c>
      <c r="CE244" s="31" t="n">
        <f aca="false">IF(CI244="","",SUMIFS($CF$7:$CF$696,$A$7:$A$696,CI244,$B$7:$B$696,B244))</f>
        <v>5235156</v>
      </c>
      <c r="CF244" s="31" t="n">
        <f aca="false">SUM(AU244:BE244)</f>
        <v>5235156</v>
      </c>
      <c r="CG244" s="33" t="str">
        <f aca="false">A244&amp;"|"&amp;B244</f>
        <v>2026-08 月例|監査事務局</v>
      </c>
      <c r="CH244" s="34" t="str">
        <f aca="false">IFERROR(INDEX(設定!$D$61:$D$106,MATCH(B244,設定!$B$61:$B$106,0)),"Y")</f>
        <v>Y</v>
      </c>
      <c r="CI244" s="34" t="str">
        <f aca="false">IFERROR(INDEX(設定!$D$20:$D$34,MATCH(A244,設定!$A$20:$A$34,0))&amp;"","")</f>
        <v>2026-07 月例</v>
      </c>
    </row>
    <row r="245" customFormat="false" ht="15" hidden="true" customHeight="false" outlineLevel="0" collapsed="false">
      <c r="A245" s="22" t="s">
        <v>212</v>
      </c>
      <c r="B245" s="23" t="s">
        <v>168</v>
      </c>
      <c r="C245" s="10" t="str">
        <f aca="false">IF(G245="","未受領",IF(G245="なし","報告なし",IF(AH245="○","起票済",IF(OR(AG245="○",F245="一致",F245="入金不要"),"入金確認済","受領済"))))</f>
        <v>入金確認済</v>
      </c>
      <c r="D245" s="10" t="str">
        <f aca="false">IF(OR(G245="",G245="なし"),"―",IF(CH245="N","対象外",IF(AND(I245="",J245="",K245=""),"標報未入力",IF(CD245&gt;=設定!$B$4,"要確認","問題なし"))))</f>
        <v>標報未入力</v>
      </c>
      <c r="E245" s="24" t="str">
        <f aca="false">IF(OR(G245="",G245="なし",CE245="",CF245=0),"―",IF(CF245=CE245,"前月同額",IF(CE245=0,"―",IF(ABS(CF245/CE245-1)&gt;=設定!$B$5,"変動大 "&amp;TEXT(CF245/CE245-1,"+0%;-0%"),"〇"))))</f>
        <v>前月同額</v>
      </c>
      <c r="F245" s="10" t="str">
        <f aca="false">IF(OR(G245="",G245="なし"),"―",IF(CF245=0,"入金不要",IF(COUNT(Z245,AB245,AD245,AF245)=0,IF(AG245="○","手動確認","未入金"),IF(AND(N(Z245)=Y245,IF(AA245="",TRUE(),N(AB245)=AA245),IF(AC245="",TRUE(),N(AD245)=AC245),IF(AE245="",TRUE(),N(AF245)=AE245)),"一致","不一致"))))</f>
        <v>手動確認</v>
      </c>
      <c r="G245" s="25" t="s">
        <v>159</v>
      </c>
      <c r="H245" s="26"/>
      <c r="I245" s="27"/>
      <c r="J245" s="27"/>
      <c r="K245" s="27"/>
      <c r="L245" s="27" t="n">
        <v>396195</v>
      </c>
      <c r="M245" s="27" t="n">
        <v>32475</v>
      </c>
      <c r="N245" s="27" t="n">
        <v>568962</v>
      </c>
      <c r="O245" s="27" t="n">
        <v>32475</v>
      </c>
      <c r="P245" s="27" t="n">
        <v>376</v>
      </c>
      <c r="Q245" s="27" t="n">
        <v>299021</v>
      </c>
      <c r="R245" s="27" t="n">
        <v>304040</v>
      </c>
      <c r="S245" s="27" t="n">
        <v>33383</v>
      </c>
      <c r="T245" s="27" t="n">
        <v>33385</v>
      </c>
      <c r="U245" s="27" t="n">
        <v>6628</v>
      </c>
      <c r="V245" s="27" t="n">
        <v>6630</v>
      </c>
      <c r="W245" s="10" t="str">
        <f aca="false">IFERROR(INDEX(設定!$E$61:$E$106,MATCH(B245,設定!$B$61:$B$106,0)),"合算")</f>
        <v>合算</v>
      </c>
      <c r="X245" s="28"/>
      <c r="Y245" s="29" t="n">
        <f aca="false">IF(OR(G245="",G245="なし"),"",IF(W245="合算",CF245,IF(W245="掛金・負担金別",(AU245+AV245+AZ245+BB245+BD245),SUM(AU245:AY245))))</f>
        <v>1713570</v>
      </c>
      <c r="Z245" s="27"/>
      <c r="AA245" s="29" t="str">
        <f aca="false">IF(OR(G245="",G245="なし"),"",IF(W245="掛金・負担金別",(AW245+AX245+AY245+BA245+BC245+BE245),IF(W245="経理区分別",AZ245+BA245,"")))</f>
        <v/>
      </c>
      <c r="AB245" s="27"/>
      <c r="AC245" s="29" t="str">
        <f aca="false">IF(OR(G245="",G245="なし"),"",IF(W245="経理区分別",BB245+BC245,""))</f>
        <v/>
      </c>
      <c r="AD245" s="27"/>
      <c r="AE245" s="29" t="str">
        <f aca="false">IF(OR(G245="",G245="なし"),"",IF(W245="経理区分別",BD245+BE245,""))</f>
        <v/>
      </c>
      <c r="AF245" s="27"/>
      <c r="AG245" s="26" t="s">
        <v>160</v>
      </c>
      <c r="AH245" s="26"/>
      <c r="AI245" s="30"/>
      <c r="AJ245" s="31"/>
      <c r="AK245" s="31"/>
      <c r="AL245" s="31"/>
      <c r="AM245" s="31"/>
      <c r="AN245" s="31"/>
      <c r="AO245" s="31"/>
      <c r="AP245" s="31"/>
      <c r="AQ245" s="31"/>
      <c r="AR245" s="31"/>
      <c r="AS245" s="31"/>
      <c r="AT245" s="31"/>
      <c r="AU245" s="31" t="n">
        <f aca="false">IF($G245="",AJ245,L245)</f>
        <v>396195</v>
      </c>
      <c r="AV245" s="31" t="n">
        <f aca="false">IF($G245="",AK245,M245)</f>
        <v>32475</v>
      </c>
      <c r="AW245" s="31" t="n">
        <f aca="false">IF($G245="",AL245,N245)</f>
        <v>568962</v>
      </c>
      <c r="AX245" s="31" t="n">
        <f aca="false">IF($G245="",AM245,O245)</f>
        <v>32475</v>
      </c>
      <c r="AY245" s="31" t="n">
        <f aca="false">IF($G245="",AN245,P245)</f>
        <v>376</v>
      </c>
      <c r="AZ245" s="31" t="n">
        <f aca="false">IF($G245="",AO245,Q245)</f>
        <v>299021</v>
      </c>
      <c r="BA245" s="31" t="n">
        <f aca="false">IF($G245="",AP245,R245)</f>
        <v>304040</v>
      </c>
      <c r="BB245" s="31" t="n">
        <f aca="false">IF($G245="",AQ245,S245)</f>
        <v>33383</v>
      </c>
      <c r="BC245" s="31" t="n">
        <f aca="false">IF($G245="",AR245,T245)</f>
        <v>33385</v>
      </c>
      <c r="BD245" s="31" t="n">
        <f aca="false">IF($G245="",AS245,U245)</f>
        <v>6628</v>
      </c>
      <c r="BE245" s="31" t="n">
        <f aca="false">IF($G245="",AT245,V245)</f>
        <v>6630</v>
      </c>
      <c r="BF245" s="31" t="n">
        <f aca="false">ROUNDDOWN(I245*設定!$B$10/1000,0)+ROUNDDOWN(I245*設定!$B$11/1000,0)</f>
        <v>0</v>
      </c>
      <c r="BG245" s="31" t="n">
        <f aca="false">ROUNDDOWN(I245*設定!$C$10/1000,0)+ROUNDDOWN(I245*設定!$C$11/1000,0)+ROUNDDOWN(I245*設定!$C$12/1000,0)</f>
        <v>0</v>
      </c>
      <c r="BH245" s="31" t="n">
        <f aca="false">ROUNDDOWN(J245*設定!$B$13/1000,0)</f>
        <v>0</v>
      </c>
      <c r="BI245" s="31" t="n">
        <f aca="false">ROUNDDOWN(J245*設定!$C$13/1000,0)</f>
        <v>0</v>
      </c>
      <c r="BJ245" s="31" t="n">
        <f aca="false">ROUNDDOWN(K245*設定!$B$14/1000,0)</f>
        <v>0</v>
      </c>
      <c r="BK245" s="31" t="n">
        <f aca="false">ROUNDDOWN(K245*設定!$C$14/1000,0)</f>
        <v>0</v>
      </c>
      <c r="BL245" s="31" t="n">
        <f aca="false">ROUNDDOWN(J245*設定!$B$15/1000,0)</f>
        <v>0</v>
      </c>
      <c r="BM245" s="31" t="n">
        <f aca="false">ROUNDDOWN(J245*設定!$C$15/1000,0)</f>
        <v>0</v>
      </c>
      <c r="BN245" s="31" t="n">
        <f aca="false">L245+M245</f>
        <v>428670</v>
      </c>
      <c r="BO245" s="31" t="n">
        <f aca="false">N245+O245+P245</f>
        <v>601813</v>
      </c>
      <c r="BP245" s="31" t="n">
        <f aca="false">Q245</f>
        <v>299021</v>
      </c>
      <c r="BQ245" s="31" t="n">
        <f aca="false">R245</f>
        <v>304040</v>
      </c>
      <c r="BR245" s="31" t="n">
        <f aca="false">S245</f>
        <v>33383</v>
      </c>
      <c r="BS245" s="31" t="n">
        <f aca="false">T245</f>
        <v>33385</v>
      </c>
      <c r="BT245" s="31" t="n">
        <f aca="false">U245</f>
        <v>6628</v>
      </c>
      <c r="BU245" s="31" t="n">
        <f aca="false">V245</f>
        <v>6630</v>
      </c>
      <c r="BV245" s="32" t="n">
        <f aca="false">IF(BF245=0,IF(BN245=0,0,1),(BN245-BF245)/BF245)</f>
        <v>1</v>
      </c>
      <c r="BW245" s="32" t="n">
        <f aca="false">IF(BG245=0,IF(BO245=0,0,1),(BO245-BG245)/BG245)</f>
        <v>1</v>
      </c>
      <c r="BX245" s="32" t="n">
        <f aca="false">IF(BH245=0,IF(BP245=0,0,1),(BP245-BH245)/BH245)</f>
        <v>1</v>
      </c>
      <c r="BY245" s="32" t="n">
        <f aca="false">IF(BI245=0,IF(BQ245=0,0,1),(BQ245-BI245)/BI245)</f>
        <v>1</v>
      </c>
      <c r="BZ245" s="32" t="n">
        <f aca="false">IF(BJ245=0,IF(BR245=0,0,1),(BR245-BJ245)/BJ245)</f>
        <v>1</v>
      </c>
      <c r="CA245" s="32" t="n">
        <f aca="false">IF(BK245=0,IF(BS245=0,0,1),(BS245-BK245)/BK245)</f>
        <v>1</v>
      </c>
      <c r="CB245" s="32" t="n">
        <f aca="false">IF(BL245=0,IF(BT245=0,0,1),(BT245-BL245)/BL245)</f>
        <v>1</v>
      </c>
      <c r="CC245" s="32" t="n">
        <f aca="false">IF(BM245=0,IF(BU245=0,0,1),(BU245-BM245)/BM245)</f>
        <v>1</v>
      </c>
      <c r="CD245" s="32" t="n">
        <f aca="false">MAX(MAX(BV245:CC245),-MIN(BV245:CC245))</f>
        <v>1</v>
      </c>
      <c r="CE245" s="31" t="n">
        <f aca="false">IF(CI245="","",SUMIFS($CF$7:$CF$696,$A$7:$A$696,CI245,$B$7:$B$696,B245))</f>
        <v>1713570</v>
      </c>
      <c r="CF245" s="31" t="n">
        <f aca="false">SUM(AU245:BE245)</f>
        <v>1713570</v>
      </c>
      <c r="CG245" s="33" t="str">
        <f aca="false">A245&amp;"|"&amp;B245</f>
        <v>2026-08 月例|農業委員会</v>
      </c>
      <c r="CH245" s="34" t="str">
        <f aca="false">IFERROR(INDEX(設定!$D$61:$D$106,MATCH(B245,設定!$B$61:$B$106,0)),"Y")</f>
        <v>Y</v>
      </c>
      <c r="CI245" s="34" t="str">
        <f aca="false">IFERROR(INDEX(設定!$D$20:$D$34,MATCH(A245,設定!$A$20:$A$34,0))&amp;"","")</f>
        <v>2026-07 月例</v>
      </c>
    </row>
    <row r="246" customFormat="false" ht="15" hidden="true" customHeight="false" outlineLevel="0" collapsed="false">
      <c r="A246" s="22" t="s">
        <v>212</v>
      </c>
      <c r="B246" s="23" t="s">
        <v>169</v>
      </c>
      <c r="C246" s="10" t="str">
        <f aca="false">IF(G246="","未受領",IF(G246="なし","報告なし",IF(AH246="○","起票済",IF(OR(AG246="○",F246="一致",F246="入金不要"),"入金確認済","受領済"))))</f>
        <v>入金確認済</v>
      </c>
      <c r="D246" s="10" t="str">
        <f aca="false">IF(OR(G246="",G246="なし"),"―",IF(CH246="N","対象外",IF(AND(I246="",J246="",K246=""),"標報未入力",IF(CD246&gt;=設定!$B$4,"要確認","問題なし"))))</f>
        <v>対象外</v>
      </c>
      <c r="E246" s="24" t="str">
        <f aca="false">IF(OR(G246="",G246="なし",CE246="",CF246=0),"―",IF(CF246=CE246,"前月同額",IF(CE246=0,"―",IF(ABS(CF246/CE246-1)&gt;=設定!$B$5,"変動大 "&amp;TEXT(CF246/CE246-1,"+0%;-0%"),"〇"))))</f>
        <v>〇</v>
      </c>
      <c r="F246" s="10" t="str">
        <f aca="false">IF(OR(G246="",G246="なし"),"―",IF(CF246=0,"入金不要",IF(COUNT(Z246,AB246,AD246,AF246)=0,IF(AG246="○","手動確認","未入金"),IF(AND(N(Z246)=Y246,IF(AA246="",TRUE(),N(AB246)=AA246),IF(AC246="",TRUE(),N(AD246)=AC246),IF(AE246="",TRUE(),N(AF246)=AE246)),"一致","不一致"))))</f>
        <v>手動確認</v>
      </c>
      <c r="G246" s="25" t="s">
        <v>159</v>
      </c>
      <c r="H246" s="26"/>
      <c r="I246" s="27"/>
      <c r="J246" s="27"/>
      <c r="K246" s="27"/>
      <c r="L246" s="27" t="n">
        <v>22626120</v>
      </c>
      <c r="M246" s="27" t="n">
        <v>1854600</v>
      </c>
      <c r="N246" s="27" t="n">
        <v>32739144</v>
      </c>
      <c r="O246" s="27" t="n">
        <v>1854600</v>
      </c>
      <c r="P246" s="27" t="n">
        <v>21850</v>
      </c>
      <c r="Q246" s="27" t="n">
        <v>13500472</v>
      </c>
      <c r="R246" s="27" t="n">
        <v>13734572</v>
      </c>
      <c r="S246" s="27" t="n">
        <v>1365752</v>
      </c>
      <c r="T246" s="27" t="n">
        <v>1365752</v>
      </c>
      <c r="U246" s="27" t="n">
        <v>299280</v>
      </c>
      <c r="V246" s="27" t="n">
        <v>299377</v>
      </c>
      <c r="W246" s="10" t="str">
        <f aca="false">IFERROR(INDEX(設定!$E$61:$E$106,MATCH(B246,設定!$B$61:$B$106,0)),"合算")</f>
        <v>合算</v>
      </c>
      <c r="X246" s="28"/>
      <c r="Y246" s="29" t="n">
        <f aca="false">IF(OR(G246="",G246="なし"),"",IF(W246="合算",CF246,IF(W246="掛金・負担金別",(AU246+AV246+AZ246+BB246+BD246),SUM(AU246:AY246))))</f>
        <v>89661519</v>
      </c>
      <c r="Z246" s="27"/>
      <c r="AA246" s="29" t="str">
        <f aca="false">IF(OR(G246="",G246="なし"),"",IF(W246="掛金・負担金別",(AW246+AX246+AY246+BA246+BC246+BE246),IF(W246="経理区分別",AZ246+BA246,"")))</f>
        <v/>
      </c>
      <c r="AB246" s="27"/>
      <c r="AC246" s="29" t="str">
        <f aca="false">IF(OR(G246="",G246="なし"),"",IF(W246="経理区分別",BB246+BC246,""))</f>
        <v/>
      </c>
      <c r="AD246" s="27"/>
      <c r="AE246" s="29" t="str">
        <f aca="false">IF(OR(G246="",G246="なし"),"",IF(W246="経理区分別",BD246+BE246,""))</f>
        <v/>
      </c>
      <c r="AF246" s="27"/>
      <c r="AG246" s="26" t="s">
        <v>160</v>
      </c>
      <c r="AH246" s="26"/>
      <c r="AI246" s="30"/>
      <c r="AJ246" s="31"/>
      <c r="AK246" s="31"/>
      <c r="AL246" s="31"/>
      <c r="AM246" s="31"/>
      <c r="AN246" s="31"/>
      <c r="AO246" s="31"/>
      <c r="AP246" s="31"/>
      <c r="AQ246" s="31"/>
      <c r="AR246" s="31"/>
      <c r="AS246" s="31"/>
      <c r="AT246" s="31"/>
      <c r="AU246" s="31" t="n">
        <f aca="false">IF($G246="",AJ246,L246)</f>
        <v>22626120</v>
      </c>
      <c r="AV246" s="31" t="n">
        <f aca="false">IF($G246="",AK246,M246)</f>
        <v>1854600</v>
      </c>
      <c r="AW246" s="31" t="n">
        <f aca="false">IF($G246="",AL246,N246)</f>
        <v>32739144</v>
      </c>
      <c r="AX246" s="31" t="n">
        <f aca="false">IF($G246="",AM246,O246)</f>
        <v>1854600</v>
      </c>
      <c r="AY246" s="31" t="n">
        <f aca="false">IF($G246="",AN246,P246)</f>
        <v>21850</v>
      </c>
      <c r="AZ246" s="31" t="n">
        <f aca="false">IF($G246="",AO246,Q246)</f>
        <v>13500472</v>
      </c>
      <c r="BA246" s="31" t="n">
        <f aca="false">IF($G246="",AP246,R246)</f>
        <v>13734572</v>
      </c>
      <c r="BB246" s="31" t="n">
        <f aca="false">IF($G246="",AQ246,S246)</f>
        <v>1365752</v>
      </c>
      <c r="BC246" s="31" t="n">
        <f aca="false">IF($G246="",AR246,T246)</f>
        <v>1365752</v>
      </c>
      <c r="BD246" s="31" t="n">
        <f aca="false">IF($G246="",AS246,U246)</f>
        <v>299280</v>
      </c>
      <c r="BE246" s="31" t="n">
        <f aca="false">IF($G246="",AT246,V246)</f>
        <v>299377</v>
      </c>
      <c r="BF246" s="31" t="n">
        <f aca="false">ROUNDDOWN(I246*設定!$B$10/1000,0)+ROUNDDOWN(I246*設定!$B$11/1000,0)</f>
        <v>0</v>
      </c>
      <c r="BG246" s="31" t="n">
        <f aca="false">ROUNDDOWN(I246*設定!$C$10/1000,0)+ROUNDDOWN(I246*設定!$C$11/1000,0)+ROUNDDOWN(I246*設定!$C$12/1000,0)</f>
        <v>0</v>
      </c>
      <c r="BH246" s="31" t="n">
        <f aca="false">ROUNDDOWN(J246*設定!$B$13/1000,0)</f>
        <v>0</v>
      </c>
      <c r="BI246" s="31" t="n">
        <f aca="false">ROUNDDOWN(J246*設定!$C$13/1000,0)</f>
        <v>0</v>
      </c>
      <c r="BJ246" s="31" t="n">
        <f aca="false">ROUNDDOWN(K246*設定!$B$14/1000,0)</f>
        <v>0</v>
      </c>
      <c r="BK246" s="31" t="n">
        <f aca="false">ROUNDDOWN(K246*設定!$C$14/1000,0)</f>
        <v>0</v>
      </c>
      <c r="BL246" s="31" t="n">
        <f aca="false">ROUNDDOWN(J246*設定!$B$15/1000,0)</f>
        <v>0</v>
      </c>
      <c r="BM246" s="31" t="n">
        <f aca="false">ROUNDDOWN(J246*設定!$C$15/1000,0)</f>
        <v>0</v>
      </c>
      <c r="BN246" s="31" t="n">
        <f aca="false">L246+M246</f>
        <v>24480720</v>
      </c>
      <c r="BO246" s="31" t="n">
        <f aca="false">N246+O246+P246</f>
        <v>34615594</v>
      </c>
      <c r="BP246" s="31" t="n">
        <f aca="false">Q246</f>
        <v>13500472</v>
      </c>
      <c r="BQ246" s="31" t="n">
        <f aca="false">R246</f>
        <v>13734572</v>
      </c>
      <c r="BR246" s="31" t="n">
        <f aca="false">S246</f>
        <v>1365752</v>
      </c>
      <c r="BS246" s="31" t="n">
        <f aca="false">T246</f>
        <v>1365752</v>
      </c>
      <c r="BT246" s="31" t="n">
        <f aca="false">U246</f>
        <v>299280</v>
      </c>
      <c r="BU246" s="31" t="n">
        <f aca="false">V246</f>
        <v>299377</v>
      </c>
      <c r="BV246" s="32" t="n">
        <f aca="false">IF(BF246=0,IF(BN246=0,0,1),(BN246-BF246)/BF246)</f>
        <v>1</v>
      </c>
      <c r="BW246" s="32" t="n">
        <f aca="false">IF(BG246=0,IF(BO246=0,0,1),(BO246-BG246)/BG246)</f>
        <v>1</v>
      </c>
      <c r="BX246" s="32" t="n">
        <f aca="false">IF(BH246=0,IF(BP246=0,0,1),(BP246-BH246)/BH246)</f>
        <v>1</v>
      </c>
      <c r="BY246" s="32" t="n">
        <f aca="false">IF(BI246=0,IF(BQ246=0,0,1),(BQ246-BI246)/BI246)</f>
        <v>1</v>
      </c>
      <c r="BZ246" s="32" t="n">
        <f aca="false">IF(BJ246=0,IF(BR246=0,0,1),(BR246-BJ246)/BJ246)</f>
        <v>1</v>
      </c>
      <c r="CA246" s="32" t="n">
        <f aca="false">IF(BK246=0,IF(BS246=0,0,1),(BS246-BK246)/BK246)</f>
        <v>1</v>
      </c>
      <c r="CB246" s="32" t="n">
        <f aca="false">IF(BL246=0,IF(BT246=0,0,1),(BT246-BL246)/BL246)</f>
        <v>1</v>
      </c>
      <c r="CC246" s="32" t="n">
        <f aca="false">IF(BM246=0,IF(BU246=0,0,1),(BU246-BM246)/BM246)</f>
        <v>1</v>
      </c>
      <c r="CD246" s="32" t="n">
        <f aca="false">MAX(MAX(BV246:CC246),-MIN(BV246:CC246))</f>
        <v>1</v>
      </c>
      <c r="CE246" s="31" t="n">
        <f aca="false">IF(CI246="","",SUMIFS($CF$7:$CF$696,$A$7:$A$696,CI246,$B$7:$B$696,B246))</f>
        <v>90164243</v>
      </c>
      <c r="CF246" s="31" t="n">
        <f aca="false">SUM(AU246:BE246)</f>
        <v>89661519</v>
      </c>
      <c r="CG246" s="33" t="str">
        <f aca="false">A246&amp;"|"&amp;B246</f>
        <v>2026-08 月例|水道局</v>
      </c>
      <c r="CH246" s="34" t="str">
        <f aca="false">IFERROR(INDEX(設定!$D$61:$D$106,MATCH(B246,設定!$B$61:$B$106,0)),"Y")</f>
        <v>N</v>
      </c>
      <c r="CI246" s="34" t="str">
        <f aca="false">IFERROR(INDEX(設定!$D$20:$D$34,MATCH(A246,設定!$A$20:$A$34,0))&amp;"","")</f>
        <v>2026-07 月例</v>
      </c>
    </row>
    <row r="247" customFormat="false" ht="15" hidden="true" customHeight="false" outlineLevel="0" collapsed="false">
      <c r="A247" s="22" t="s">
        <v>212</v>
      </c>
      <c r="B247" s="23" t="s">
        <v>170</v>
      </c>
      <c r="C247" s="10" t="str">
        <f aca="false">IF(G247="","未受領",IF(G247="なし","報告なし",IF(AH247="○","起票済",IF(OR(AG247="○",F247="一致",F247="入金不要"),"入金確認済","受領済"))))</f>
        <v>入金確認済</v>
      </c>
      <c r="D247" s="10" t="str">
        <f aca="false">IF(OR(G247="",G247="なし"),"―",IF(CH247="N","対象外",IF(AND(I247="",J247="",K247=""),"標報未入力",IF(CD247&gt;=設定!$B$4,"要確認","問題なし"))))</f>
        <v>標報未入力</v>
      </c>
      <c r="E247" s="24" t="str">
        <f aca="false">IF(OR(G247="",G247="なし",CE247="",CF247=0),"―",IF(CF247=CE247,"前月同額",IF(CE247=0,"―",IF(ABS(CF247/CE247-1)&gt;=設定!$B$5,"変動大 "&amp;TEXT(CF247/CE247-1,"+0%;-0%"),"〇"))))</f>
        <v>前月同額</v>
      </c>
      <c r="F247" s="10" t="str">
        <f aca="false">IF(OR(G247="",G247="なし"),"―",IF(CF247=0,"入金不要",IF(COUNT(Z247,AB247,AD247,AF247)=0,IF(AG247="○","手動確認","未入金"),IF(AND(N(Z247)=Y247,IF(AA247="",TRUE(),N(AB247)=AA247),IF(AC247="",TRUE(),N(AD247)=AC247),IF(AE247="",TRUE(),N(AF247)=AE247)),"一致","不一致"))))</f>
        <v>手動確認</v>
      </c>
      <c r="G247" s="25" t="s">
        <v>159</v>
      </c>
      <c r="H247" s="26"/>
      <c r="I247" s="27"/>
      <c r="J247" s="27"/>
      <c r="K247" s="27"/>
      <c r="L247" s="27" t="n">
        <v>48495</v>
      </c>
      <c r="M247" s="27" t="n">
        <v>3975</v>
      </c>
      <c r="N247" s="27" t="n">
        <v>69642</v>
      </c>
      <c r="O247" s="27" t="n">
        <v>3975</v>
      </c>
      <c r="P247" s="27" t="n">
        <v>46</v>
      </c>
      <c r="Q247" s="27" t="n">
        <v>27485</v>
      </c>
      <c r="R247" s="27" t="n">
        <v>27946</v>
      </c>
      <c r="S247" s="27" t="n">
        <v>4187</v>
      </c>
      <c r="T247" s="27" t="n">
        <v>4187</v>
      </c>
      <c r="U247" s="27" t="n">
        <v>609</v>
      </c>
      <c r="V247" s="27" t="n">
        <v>609</v>
      </c>
      <c r="W247" s="10" t="str">
        <f aca="false">IFERROR(INDEX(設定!$E$61:$E$106,MATCH(B247,設定!$B$61:$B$106,0)),"合算")</f>
        <v>合算</v>
      </c>
      <c r="X247" s="28"/>
      <c r="Y247" s="29" t="n">
        <f aca="false">IF(OR(G247="",G247="なし"),"",IF(W247="合算",CF247,IF(W247="掛金・負担金別",(AU247+AV247+AZ247+BB247+BD247),SUM(AU247:AY247))))</f>
        <v>191156</v>
      </c>
      <c r="Z247" s="27"/>
      <c r="AA247" s="29" t="str">
        <f aca="false">IF(OR(G247="",G247="なし"),"",IF(W247="掛金・負担金別",(AW247+AX247+AY247+BA247+BC247+BE247),IF(W247="経理区分別",AZ247+BA247,"")))</f>
        <v/>
      </c>
      <c r="AB247" s="27"/>
      <c r="AC247" s="29" t="str">
        <f aca="false">IF(OR(G247="",G247="なし"),"",IF(W247="経理区分別",BB247+BC247,""))</f>
        <v/>
      </c>
      <c r="AD247" s="27"/>
      <c r="AE247" s="29" t="str">
        <f aca="false">IF(OR(G247="",G247="なし"),"",IF(W247="経理区分別",BD247+BE247,""))</f>
        <v/>
      </c>
      <c r="AF247" s="27"/>
      <c r="AG247" s="26" t="s">
        <v>160</v>
      </c>
      <c r="AH247" s="26"/>
      <c r="AI247" s="30"/>
      <c r="AJ247" s="31"/>
      <c r="AK247" s="31"/>
      <c r="AL247" s="31"/>
      <c r="AM247" s="31"/>
      <c r="AN247" s="31"/>
      <c r="AO247" s="31"/>
      <c r="AP247" s="31"/>
      <c r="AQ247" s="31"/>
      <c r="AR247" s="31"/>
      <c r="AS247" s="31"/>
      <c r="AT247" s="31"/>
      <c r="AU247" s="31" t="n">
        <f aca="false">IF($G247="",AJ247,L247)</f>
        <v>48495</v>
      </c>
      <c r="AV247" s="31" t="n">
        <f aca="false">IF($G247="",AK247,M247)</f>
        <v>3975</v>
      </c>
      <c r="AW247" s="31" t="n">
        <f aca="false">IF($G247="",AL247,N247)</f>
        <v>69642</v>
      </c>
      <c r="AX247" s="31" t="n">
        <f aca="false">IF($G247="",AM247,O247)</f>
        <v>3975</v>
      </c>
      <c r="AY247" s="31" t="n">
        <f aca="false">IF($G247="",AN247,P247)</f>
        <v>46</v>
      </c>
      <c r="AZ247" s="31" t="n">
        <f aca="false">IF($G247="",AO247,Q247)</f>
        <v>27485</v>
      </c>
      <c r="BA247" s="31" t="n">
        <f aca="false">IF($G247="",AP247,R247)</f>
        <v>27946</v>
      </c>
      <c r="BB247" s="31" t="n">
        <f aca="false">IF($G247="",AQ247,S247)</f>
        <v>4187</v>
      </c>
      <c r="BC247" s="31" t="n">
        <f aca="false">IF($G247="",AR247,T247)</f>
        <v>4187</v>
      </c>
      <c r="BD247" s="31" t="n">
        <f aca="false">IF($G247="",AS247,U247)</f>
        <v>609</v>
      </c>
      <c r="BE247" s="31" t="n">
        <f aca="false">IF($G247="",AT247,V247)</f>
        <v>609</v>
      </c>
      <c r="BF247" s="31" t="n">
        <f aca="false">ROUNDDOWN(I247*設定!$B$10/1000,0)+ROUNDDOWN(I247*設定!$B$11/1000,0)</f>
        <v>0</v>
      </c>
      <c r="BG247" s="31" t="n">
        <f aca="false">ROUNDDOWN(I247*設定!$C$10/1000,0)+ROUNDDOWN(I247*設定!$C$11/1000,0)+ROUNDDOWN(I247*設定!$C$12/1000,0)</f>
        <v>0</v>
      </c>
      <c r="BH247" s="31" t="n">
        <f aca="false">ROUNDDOWN(J247*設定!$B$13/1000,0)</f>
        <v>0</v>
      </c>
      <c r="BI247" s="31" t="n">
        <f aca="false">ROUNDDOWN(J247*設定!$C$13/1000,0)</f>
        <v>0</v>
      </c>
      <c r="BJ247" s="31" t="n">
        <f aca="false">ROUNDDOWN(K247*設定!$B$14/1000,0)</f>
        <v>0</v>
      </c>
      <c r="BK247" s="31" t="n">
        <f aca="false">ROUNDDOWN(K247*設定!$C$14/1000,0)</f>
        <v>0</v>
      </c>
      <c r="BL247" s="31" t="n">
        <f aca="false">ROUNDDOWN(J247*設定!$B$15/1000,0)</f>
        <v>0</v>
      </c>
      <c r="BM247" s="31" t="n">
        <f aca="false">ROUNDDOWN(J247*設定!$C$15/1000,0)</f>
        <v>0</v>
      </c>
      <c r="BN247" s="31" t="n">
        <f aca="false">L247+M247</f>
        <v>52470</v>
      </c>
      <c r="BO247" s="31" t="n">
        <f aca="false">N247+O247+P247</f>
        <v>73663</v>
      </c>
      <c r="BP247" s="31" t="n">
        <f aca="false">Q247</f>
        <v>27485</v>
      </c>
      <c r="BQ247" s="31" t="n">
        <f aca="false">R247</f>
        <v>27946</v>
      </c>
      <c r="BR247" s="31" t="n">
        <f aca="false">S247</f>
        <v>4187</v>
      </c>
      <c r="BS247" s="31" t="n">
        <f aca="false">T247</f>
        <v>4187</v>
      </c>
      <c r="BT247" s="31" t="n">
        <f aca="false">U247</f>
        <v>609</v>
      </c>
      <c r="BU247" s="31" t="n">
        <f aca="false">V247</f>
        <v>609</v>
      </c>
      <c r="BV247" s="32" t="n">
        <f aca="false">IF(BF247=0,IF(BN247=0,0,1),(BN247-BF247)/BF247)</f>
        <v>1</v>
      </c>
      <c r="BW247" s="32" t="n">
        <f aca="false">IF(BG247=0,IF(BO247=0,0,1),(BO247-BG247)/BG247)</f>
        <v>1</v>
      </c>
      <c r="BX247" s="32" t="n">
        <f aca="false">IF(BH247=0,IF(BP247=0,0,1),(BP247-BH247)/BH247)</f>
        <v>1</v>
      </c>
      <c r="BY247" s="32" t="n">
        <f aca="false">IF(BI247=0,IF(BQ247=0,0,1),(BQ247-BI247)/BI247)</f>
        <v>1</v>
      </c>
      <c r="BZ247" s="32" t="n">
        <f aca="false">IF(BJ247=0,IF(BR247=0,0,1),(BR247-BJ247)/BJ247)</f>
        <v>1</v>
      </c>
      <c r="CA247" s="32" t="n">
        <f aca="false">IF(BK247=0,IF(BS247=0,0,1),(BS247-BK247)/BK247)</f>
        <v>1</v>
      </c>
      <c r="CB247" s="32" t="n">
        <f aca="false">IF(BL247=0,IF(BT247=0,0,1),(BT247-BL247)/BL247)</f>
        <v>1</v>
      </c>
      <c r="CC247" s="32" t="n">
        <f aca="false">IF(BM247=0,IF(BU247=0,0,1),(BU247-BM247)/BM247)</f>
        <v>1</v>
      </c>
      <c r="CD247" s="32" t="n">
        <f aca="false">MAX(MAX(BV247:CC247),-MIN(BV247:CC247))</f>
        <v>1</v>
      </c>
      <c r="CE247" s="31" t="n">
        <f aca="false">IF(CI247="","",SUMIFS($CF$7:$CF$696,$A$7:$A$696,CI247,$B$7:$B$696,B247))</f>
        <v>191156</v>
      </c>
      <c r="CF247" s="31" t="n">
        <f aca="false">SUM(AU247:BE247)</f>
        <v>191156</v>
      </c>
      <c r="CG247" s="33" t="str">
        <f aca="false">A247&amp;"|"&amp;B247</f>
        <v>2026-08 月例|医療政策課(安芸市民)</v>
      </c>
      <c r="CH247" s="34" t="str">
        <f aca="false">IFERROR(INDEX(設定!$D$61:$D$106,MATCH(B247,設定!$B$61:$B$106,0)),"Y")</f>
        <v>Y</v>
      </c>
      <c r="CI247" s="34" t="str">
        <f aca="false">IFERROR(INDEX(設定!$D$20:$D$34,MATCH(A247,設定!$A$20:$A$34,0))&amp;"","")</f>
        <v>2026-07 月例</v>
      </c>
    </row>
    <row r="248" customFormat="false" ht="15" hidden="true" customHeight="false" outlineLevel="0" collapsed="false">
      <c r="A248" s="22" t="s">
        <v>212</v>
      </c>
      <c r="B248" s="23" t="s">
        <v>171</v>
      </c>
      <c r="C248" s="10" t="str">
        <f aca="false">IF(G248="","未受領",IF(G248="なし","報告なし",IF(AH248="○","起票済",IF(OR(AG248="○",F248="一致",F248="入金不要"),"入金確認済","受領済"))))</f>
        <v>入金確認済</v>
      </c>
      <c r="D248" s="10" t="str">
        <f aca="false">IF(OR(G248="",G248="なし"),"―",IF(CH248="N","対象外",IF(AND(I248="",J248="",K248=""),"標報未入力",IF(CD248&gt;=設定!$B$4,"要確認","問題なし"))))</f>
        <v>標報未入力</v>
      </c>
      <c r="E248" s="24" t="str">
        <f aca="false">IF(OR(G248="",G248="なし",CE248="",CF248=0),"―",IF(CF248=CE248,"前月同額",IF(CE248=0,"―",IF(ABS(CF248/CE248-1)&gt;=設定!$B$5,"変動大 "&amp;TEXT(CF248/CE248-1,"+0%;-0%"),"〇"))))</f>
        <v>変動大 -30%</v>
      </c>
      <c r="F248" s="10" t="str">
        <f aca="false">IF(OR(G248="",G248="なし"),"―",IF(CF248=0,"入金不要",IF(COUNT(Z248,AB248,AD248,AF248)=0,IF(AG248="○","手動確認","未入金"),IF(AND(N(Z248)=Y248,IF(AA248="",TRUE(),N(AB248)=AA248),IF(AC248="",TRUE(),N(AD248)=AC248),IF(AE248="",TRUE(),N(AF248)=AE248)),"一致","不一致"))))</f>
        <v>手動確認</v>
      </c>
      <c r="G248" s="25" t="s">
        <v>159</v>
      </c>
      <c r="H248" s="26"/>
      <c r="I248" s="27"/>
      <c r="J248" s="27"/>
      <c r="K248" s="27"/>
      <c r="L248" s="27" t="n">
        <v>0</v>
      </c>
      <c r="M248" s="27" t="n">
        <v>0</v>
      </c>
      <c r="N248" s="27"/>
      <c r="O248" s="27"/>
      <c r="P248" s="27" t="n">
        <v>0</v>
      </c>
      <c r="Q248" s="27" t="n">
        <v>269662</v>
      </c>
      <c r="R248" s="27" t="n">
        <v>274195</v>
      </c>
      <c r="S248" s="27" t="n">
        <v>10428</v>
      </c>
      <c r="T248" s="27" t="n">
        <v>10428</v>
      </c>
      <c r="U248" s="27" t="n">
        <v>5976</v>
      </c>
      <c r="V248" s="27" t="n">
        <v>5980</v>
      </c>
      <c r="W248" s="10" t="str">
        <f aca="false">IFERROR(INDEX(設定!$E$61:$E$106,MATCH(B248,設定!$B$61:$B$106,0)),"合算")</f>
        <v>合算</v>
      </c>
      <c r="X248" s="28"/>
      <c r="Y248" s="29" t="n">
        <f aca="false">IF(OR(G248="",G248="なし"),"",IF(W248="合算",CF248,IF(W248="掛金・負担金別",(AU248+AV248+AZ248+BB248+BD248),SUM(AU248:AY248))))</f>
        <v>576669</v>
      </c>
      <c r="Z248" s="27"/>
      <c r="AA248" s="29" t="str">
        <f aca="false">IF(OR(G248="",G248="なし"),"",IF(W248="掛金・負担金別",(AW248+AX248+AY248+BA248+BC248+BE248),IF(W248="経理区分別",AZ248+BA248,"")))</f>
        <v/>
      </c>
      <c r="AB248" s="27"/>
      <c r="AC248" s="29" t="str">
        <f aca="false">IF(OR(G248="",G248="なし"),"",IF(W248="経理区分別",BB248+BC248,""))</f>
        <v/>
      </c>
      <c r="AD248" s="27"/>
      <c r="AE248" s="29" t="str">
        <f aca="false">IF(OR(G248="",G248="なし"),"",IF(W248="経理区分別",BD248+BE248,""))</f>
        <v/>
      </c>
      <c r="AF248" s="27"/>
      <c r="AG248" s="26" t="s">
        <v>160</v>
      </c>
      <c r="AH248" s="26"/>
      <c r="AI248" s="30"/>
      <c r="AJ248" s="31"/>
      <c r="AK248" s="31"/>
      <c r="AL248" s="31"/>
      <c r="AM248" s="31"/>
      <c r="AN248" s="31"/>
      <c r="AO248" s="31"/>
      <c r="AP248" s="31"/>
      <c r="AQ248" s="31"/>
      <c r="AR248" s="31"/>
      <c r="AS248" s="31"/>
      <c r="AT248" s="31"/>
      <c r="AU248" s="31" t="n">
        <f aca="false">IF($G248="",AJ248,L248)</f>
        <v>0</v>
      </c>
      <c r="AV248" s="31" t="n">
        <f aca="false">IF($G248="",AK248,M248)</f>
        <v>0</v>
      </c>
      <c r="AW248" s="31" t="n">
        <f aca="false">IF($G248="",AL248,N248)</f>
        <v>0</v>
      </c>
      <c r="AX248" s="31" t="n">
        <f aca="false">IF($G248="",AM248,O248)</f>
        <v>0</v>
      </c>
      <c r="AY248" s="31" t="n">
        <f aca="false">IF($G248="",AN248,P248)</f>
        <v>0</v>
      </c>
      <c r="AZ248" s="31" t="n">
        <f aca="false">IF($G248="",AO248,Q248)</f>
        <v>269662</v>
      </c>
      <c r="BA248" s="31" t="n">
        <f aca="false">IF($G248="",AP248,R248)</f>
        <v>274195</v>
      </c>
      <c r="BB248" s="31" t="n">
        <f aca="false">IF($G248="",AQ248,S248)</f>
        <v>10428</v>
      </c>
      <c r="BC248" s="31" t="n">
        <f aca="false">IF($G248="",AR248,T248)</f>
        <v>10428</v>
      </c>
      <c r="BD248" s="31" t="n">
        <f aca="false">IF($G248="",AS248,U248)</f>
        <v>5976</v>
      </c>
      <c r="BE248" s="31" t="n">
        <f aca="false">IF($G248="",AT248,V248)</f>
        <v>5980</v>
      </c>
      <c r="BF248" s="31" t="n">
        <f aca="false">ROUNDDOWN(I248*設定!$B$10/1000,0)+ROUNDDOWN(I248*設定!$B$11/1000,0)</f>
        <v>0</v>
      </c>
      <c r="BG248" s="31" t="n">
        <f aca="false">ROUNDDOWN(I248*設定!$C$10/1000,0)+ROUNDDOWN(I248*設定!$C$11/1000,0)+ROUNDDOWN(I248*設定!$C$12/1000,0)</f>
        <v>0</v>
      </c>
      <c r="BH248" s="31" t="n">
        <f aca="false">ROUNDDOWN(J248*設定!$B$13/1000,0)</f>
        <v>0</v>
      </c>
      <c r="BI248" s="31" t="n">
        <f aca="false">ROUNDDOWN(J248*設定!$C$13/1000,0)</f>
        <v>0</v>
      </c>
      <c r="BJ248" s="31" t="n">
        <f aca="false">ROUNDDOWN(K248*設定!$B$14/1000,0)</f>
        <v>0</v>
      </c>
      <c r="BK248" s="31" t="n">
        <f aca="false">ROUNDDOWN(K248*設定!$C$14/1000,0)</f>
        <v>0</v>
      </c>
      <c r="BL248" s="31" t="n">
        <f aca="false">ROUNDDOWN(J248*設定!$B$15/1000,0)</f>
        <v>0</v>
      </c>
      <c r="BM248" s="31" t="n">
        <f aca="false">ROUNDDOWN(J248*設定!$C$15/1000,0)</f>
        <v>0</v>
      </c>
      <c r="BN248" s="31" t="n">
        <f aca="false">L248+M248</f>
        <v>0</v>
      </c>
      <c r="BO248" s="31" t="n">
        <f aca="false">N248+O248+P248</f>
        <v>0</v>
      </c>
      <c r="BP248" s="31" t="n">
        <f aca="false">Q248</f>
        <v>269662</v>
      </c>
      <c r="BQ248" s="31" t="n">
        <f aca="false">R248</f>
        <v>274195</v>
      </c>
      <c r="BR248" s="31" t="n">
        <f aca="false">S248</f>
        <v>10428</v>
      </c>
      <c r="BS248" s="31" t="n">
        <f aca="false">T248</f>
        <v>10428</v>
      </c>
      <c r="BT248" s="31" t="n">
        <f aca="false">U248</f>
        <v>5976</v>
      </c>
      <c r="BU248" s="31" t="n">
        <f aca="false">V248</f>
        <v>5980</v>
      </c>
      <c r="BV248" s="32" t="n">
        <f aca="false">IF(BF248=0,IF(BN248=0,0,1),(BN248-BF248)/BF248)</f>
        <v>0</v>
      </c>
      <c r="BW248" s="32" t="n">
        <f aca="false">IF(BG248=0,IF(BO248=0,0,1),(BO248-BG248)/BG248)</f>
        <v>0</v>
      </c>
      <c r="BX248" s="32" t="n">
        <f aca="false">IF(BH248=0,IF(BP248=0,0,1),(BP248-BH248)/BH248)</f>
        <v>1</v>
      </c>
      <c r="BY248" s="32" t="n">
        <f aca="false">IF(BI248=0,IF(BQ248=0,0,1),(BQ248-BI248)/BI248)</f>
        <v>1</v>
      </c>
      <c r="BZ248" s="32" t="n">
        <f aca="false">IF(BJ248=0,IF(BR248=0,0,1),(BR248-BJ248)/BJ248)</f>
        <v>1</v>
      </c>
      <c r="CA248" s="32" t="n">
        <f aca="false">IF(BK248=0,IF(BS248=0,0,1),(BS248-BK248)/BK248)</f>
        <v>1</v>
      </c>
      <c r="CB248" s="32" t="n">
        <f aca="false">IF(BL248=0,IF(BT248=0,0,1),(BT248-BL248)/BL248)</f>
        <v>1</v>
      </c>
      <c r="CC248" s="32" t="n">
        <f aca="false">IF(BM248=0,IF(BU248=0,0,1),(BU248-BM248)/BM248)</f>
        <v>1</v>
      </c>
      <c r="CD248" s="32" t="n">
        <f aca="false">MAX(MAX(BV248:CC248),-MIN(BV248:CC248))</f>
        <v>1</v>
      </c>
      <c r="CE248" s="31" t="n">
        <f aca="false">IF(CI248="","",SUMIFS($CF$7:$CF$696,$A$7:$A$696,CI248,$B$7:$B$696,B248))</f>
        <v>820754</v>
      </c>
      <c r="CF248" s="31" t="n">
        <f aca="false">SUM(AU248:BE248)</f>
        <v>576669</v>
      </c>
      <c r="CG248" s="33" t="str">
        <f aca="false">A248&amp;"|"&amp;B248</f>
        <v>2026-08 月例|教育委員会（教育給与課）</v>
      </c>
      <c r="CH248" s="34" t="str">
        <f aca="false">IFERROR(INDEX(設定!$D$61:$D$106,MATCH(B248,設定!$B$61:$B$106,0)),"Y")</f>
        <v>Y</v>
      </c>
      <c r="CI248" s="34" t="str">
        <f aca="false">IFERROR(INDEX(設定!$D$20:$D$34,MATCH(A248,設定!$A$20:$A$34,0))&amp;"","")</f>
        <v>2026-07 月例</v>
      </c>
    </row>
    <row r="249" customFormat="false" ht="15" hidden="true" customHeight="false" outlineLevel="0" collapsed="false">
      <c r="A249" s="22" t="s">
        <v>212</v>
      </c>
      <c r="B249" s="23" t="s">
        <v>172</v>
      </c>
      <c r="C249" s="10" t="str">
        <f aca="false">IF(G249="","未受領",IF(G249="なし","報告なし",IF(AH249="○","起票済",IF(OR(AG249="○",F249="一致",F249="入金不要"),"入金確認済","受領済"))))</f>
        <v>報告なし</v>
      </c>
      <c r="D249" s="10" t="str">
        <f aca="false">IF(OR(G249="",G249="なし"),"―",IF(CH249="N","対象外",IF(AND(I249="",J249="",K249=""),"標報未入力",IF(CD249&gt;=設定!$B$4,"要確認","問題なし"))))</f>
        <v>―</v>
      </c>
      <c r="E249" s="24" t="str">
        <f aca="false">IF(OR(G249="",G249="なし",CE249="",CF249=0),"―",IF(CF249=CE249,"前月同額",IF(CE249=0,"―",IF(ABS(CF249/CE249-1)&gt;=設定!$B$5,"変動大 "&amp;TEXT(CF249/CE249-1,"+0%;-0%"),"〇"))))</f>
        <v>―</v>
      </c>
      <c r="F249" s="10" t="str">
        <f aca="false">IF(OR(G249="",G249="なし"),"―",IF(CF249=0,"入金不要",IF(COUNT(Z249,AB249,AD249,AF249)=0,IF(AG249="○","手動確認","未入金"),IF(AND(N(Z249)=Y249,IF(AA249="",TRUE(),N(AB249)=AA249),IF(AC249="",TRUE(),N(AD249)=AC249),IF(AE249="",TRUE(),N(AF249)=AE249)),"一致","不一致"))))</f>
        <v>―</v>
      </c>
      <c r="G249" s="25" t="s">
        <v>173</v>
      </c>
      <c r="H249" s="26"/>
      <c r="I249" s="27"/>
      <c r="J249" s="27"/>
      <c r="K249" s="27"/>
      <c r="L249" s="27"/>
      <c r="M249" s="27"/>
      <c r="N249" s="27"/>
      <c r="O249" s="27"/>
      <c r="P249" s="27"/>
      <c r="Q249" s="27"/>
      <c r="R249" s="27"/>
      <c r="S249" s="27"/>
      <c r="T249" s="27"/>
      <c r="U249" s="27"/>
      <c r="V249" s="27"/>
      <c r="W249" s="10" t="str">
        <f aca="false">IFERROR(INDEX(設定!$E$61:$E$106,MATCH(B249,設定!$B$61:$B$106,0)),"合算")</f>
        <v>合算</v>
      </c>
      <c r="X249" s="28"/>
      <c r="Y249" s="29" t="str">
        <f aca="false">IF(OR(G249="",G249="なし"),"",IF(W249="合算",CF249,IF(W249="掛金・負担金別",(AU249+AV249+AZ249+BB249+BD249),SUM(AU249:AY249))))</f>
        <v/>
      </c>
      <c r="Z249" s="27"/>
      <c r="AA249" s="29" t="str">
        <f aca="false">IF(OR(G249="",G249="なし"),"",IF(W249="掛金・負担金別",(AW249+AX249+AY249+BA249+BC249+BE249),IF(W249="経理区分別",AZ249+BA249,"")))</f>
        <v/>
      </c>
      <c r="AB249" s="27"/>
      <c r="AC249" s="29" t="str">
        <f aca="false">IF(OR(G249="",G249="なし"),"",IF(W249="経理区分別",BB249+BC249,""))</f>
        <v/>
      </c>
      <c r="AD249" s="27"/>
      <c r="AE249" s="29" t="str">
        <f aca="false">IF(OR(G249="",G249="なし"),"",IF(W249="経理区分別",BD249+BE249,""))</f>
        <v/>
      </c>
      <c r="AF249" s="27"/>
      <c r="AG249" s="26"/>
      <c r="AH249" s="26"/>
      <c r="AI249" s="30"/>
      <c r="AJ249" s="31"/>
      <c r="AK249" s="31"/>
      <c r="AL249" s="31"/>
      <c r="AM249" s="31"/>
      <c r="AN249" s="31"/>
      <c r="AO249" s="31"/>
      <c r="AP249" s="31"/>
      <c r="AQ249" s="31"/>
      <c r="AR249" s="31"/>
      <c r="AS249" s="31"/>
      <c r="AT249" s="31"/>
      <c r="AU249" s="31" t="n">
        <f aca="false">IF($G249="",AJ249,L249)</f>
        <v>0</v>
      </c>
      <c r="AV249" s="31" t="n">
        <f aca="false">IF($G249="",AK249,M249)</f>
        <v>0</v>
      </c>
      <c r="AW249" s="31" t="n">
        <f aca="false">IF($G249="",AL249,N249)</f>
        <v>0</v>
      </c>
      <c r="AX249" s="31" t="n">
        <f aca="false">IF($G249="",AM249,O249)</f>
        <v>0</v>
      </c>
      <c r="AY249" s="31" t="n">
        <f aca="false">IF($G249="",AN249,P249)</f>
        <v>0</v>
      </c>
      <c r="AZ249" s="31" t="n">
        <f aca="false">IF($G249="",AO249,Q249)</f>
        <v>0</v>
      </c>
      <c r="BA249" s="31" t="n">
        <f aca="false">IF($G249="",AP249,R249)</f>
        <v>0</v>
      </c>
      <c r="BB249" s="31" t="n">
        <f aca="false">IF($G249="",AQ249,S249)</f>
        <v>0</v>
      </c>
      <c r="BC249" s="31" t="n">
        <f aca="false">IF($G249="",AR249,T249)</f>
        <v>0</v>
      </c>
      <c r="BD249" s="31" t="n">
        <f aca="false">IF($G249="",AS249,U249)</f>
        <v>0</v>
      </c>
      <c r="BE249" s="31" t="n">
        <f aca="false">IF($G249="",AT249,V249)</f>
        <v>0</v>
      </c>
      <c r="BF249" s="31" t="n">
        <f aca="false">ROUNDDOWN(I249*設定!$B$10/1000,0)+ROUNDDOWN(I249*設定!$B$11/1000,0)</f>
        <v>0</v>
      </c>
      <c r="BG249" s="31" t="n">
        <f aca="false">ROUNDDOWN(I249*設定!$C$10/1000,0)+ROUNDDOWN(I249*設定!$C$11/1000,0)+ROUNDDOWN(I249*設定!$C$12/1000,0)</f>
        <v>0</v>
      </c>
      <c r="BH249" s="31" t="n">
        <f aca="false">ROUNDDOWN(J249*設定!$B$13/1000,0)</f>
        <v>0</v>
      </c>
      <c r="BI249" s="31" t="n">
        <f aca="false">ROUNDDOWN(J249*設定!$C$13/1000,0)</f>
        <v>0</v>
      </c>
      <c r="BJ249" s="31" t="n">
        <f aca="false">ROUNDDOWN(K249*設定!$B$14/1000,0)</f>
        <v>0</v>
      </c>
      <c r="BK249" s="31" t="n">
        <f aca="false">ROUNDDOWN(K249*設定!$C$14/1000,0)</f>
        <v>0</v>
      </c>
      <c r="BL249" s="31" t="n">
        <f aca="false">ROUNDDOWN(J249*設定!$B$15/1000,0)</f>
        <v>0</v>
      </c>
      <c r="BM249" s="31" t="n">
        <f aca="false">ROUNDDOWN(J249*設定!$C$15/1000,0)</f>
        <v>0</v>
      </c>
      <c r="BN249" s="31" t="n">
        <f aca="false">L249+M249</f>
        <v>0</v>
      </c>
      <c r="BO249" s="31" t="n">
        <f aca="false">N249+O249+P249</f>
        <v>0</v>
      </c>
      <c r="BP249" s="31" t="n">
        <f aca="false">Q249</f>
        <v>0</v>
      </c>
      <c r="BQ249" s="31" t="n">
        <f aca="false">R249</f>
        <v>0</v>
      </c>
      <c r="BR249" s="31" t="n">
        <f aca="false">S249</f>
        <v>0</v>
      </c>
      <c r="BS249" s="31" t="n">
        <f aca="false">T249</f>
        <v>0</v>
      </c>
      <c r="BT249" s="31" t="n">
        <f aca="false">U249</f>
        <v>0</v>
      </c>
      <c r="BU249" s="31" t="n">
        <f aca="false">V249</f>
        <v>0</v>
      </c>
      <c r="BV249" s="32" t="n">
        <f aca="false">IF(BF249=0,IF(BN249=0,0,1),(BN249-BF249)/BF249)</f>
        <v>0</v>
      </c>
      <c r="BW249" s="32" t="n">
        <f aca="false">IF(BG249=0,IF(BO249=0,0,1),(BO249-BG249)/BG249)</f>
        <v>0</v>
      </c>
      <c r="BX249" s="32" t="n">
        <f aca="false">IF(BH249=0,IF(BP249=0,0,1),(BP249-BH249)/BH249)</f>
        <v>0</v>
      </c>
      <c r="BY249" s="32" t="n">
        <f aca="false">IF(BI249=0,IF(BQ249=0,0,1),(BQ249-BI249)/BI249)</f>
        <v>0</v>
      </c>
      <c r="BZ249" s="32" t="n">
        <f aca="false">IF(BJ249=0,IF(BR249=0,0,1),(BR249-BJ249)/BJ249)</f>
        <v>0</v>
      </c>
      <c r="CA249" s="32" t="n">
        <f aca="false">IF(BK249=0,IF(BS249=0,0,1),(BS249-BK249)/BK249)</f>
        <v>0</v>
      </c>
      <c r="CB249" s="32" t="n">
        <f aca="false">IF(BL249=0,IF(BT249=0,0,1),(BT249-BL249)/BL249)</f>
        <v>0</v>
      </c>
      <c r="CC249" s="32" t="n">
        <f aca="false">IF(BM249=0,IF(BU249=0,0,1),(BU249-BM249)/BM249)</f>
        <v>0</v>
      </c>
      <c r="CD249" s="32" t="n">
        <f aca="false">MAX(MAX(BV249:CC249),-MIN(BV249:CC249))</f>
        <v>-0</v>
      </c>
      <c r="CE249" s="31" t="n">
        <f aca="false">IF(CI249="","",SUMIFS($CF$7:$CF$696,$A$7:$A$696,CI249,$B$7:$B$696,B249))</f>
        <v>0</v>
      </c>
      <c r="CF249" s="31" t="n">
        <f aca="false">SUM(AU249:BE249)</f>
        <v>0</v>
      </c>
      <c r="CG249" s="33" t="str">
        <f aca="false">A249&amp;"|"&amp;B249</f>
        <v>2026-08 月例|地方税共同機構</v>
      </c>
      <c r="CH249" s="34" t="str">
        <f aca="false">IFERROR(INDEX(設定!$D$61:$D$106,MATCH(B249,設定!$B$61:$B$106,0)),"Y")</f>
        <v>Y</v>
      </c>
      <c r="CI249" s="34" t="str">
        <f aca="false">IFERROR(INDEX(設定!$D$20:$D$34,MATCH(A249,設定!$A$20:$A$34,0))&amp;"","")</f>
        <v>2026-07 月例</v>
      </c>
    </row>
    <row r="250" customFormat="false" ht="15" hidden="true" customHeight="false" outlineLevel="0" collapsed="false">
      <c r="A250" s="22" t="s">
        <v>212</v>
      </c>
      <c r="B250" s="23" t="s">
        <v>174</v>
      </c>
      <c r="C250" s="10" t="str">
        <f aca="false">IF(G250="","未受領",IF(G250="なし","報告なし",IF(AH250="○","起票済",IF(OR(AG250="○",F250="一致",F250="入金不要"),"入金確認済","受領済"))))</f>
        <v>入金確認済</v>
      </c>
      <c r="D250" s="10" t="str">
        <f aca="false">IF(OR(G250="",G250="なし"),"―",IF(CH250="N","対象外",IF(AND(I250="",J250="",K250=""),"標報未入力",IF(CD250&gt;=設定!$B$4,"要確認","問題なし"))))</f>
        <v>標報未入力</v>
      </c>
      <c r="E250" s="24" t="str">
        <f aca="false">IF(OR(G250="",G250="なし",CE250="",CF250=0),"―",IF(CF250=CE250,"前月同額",IF(CE250=0,"―",IF(ABS(CF250/CE250-1)&gt;=設定!$B$5,"変動大 "&amp;TEXT(CF250/CE250-1,"+0%;-0%"),"〇"))))</f>
        <v>〇</v>
      </c>
      <c r="F250" s="10" t="str">
        <f aca="false">IF(OR(G250="",G250="なし"),"―",IF(CF250=0,"入金不要",IF(COUNT(Z250,AB250,AD250,AF250)=0,IF(AG250="○","手動確認","未入金"),IF(AND(N(Z250)=Y250,IF(AA250="",TRUE(),N(AB250)=AA250),IF(AC250="",TRUE(),N(AD250)=AC250),IF(AE250="",TRUE(),N(AF250)=AE250)),"一致","不一致"))))</f>
        <v>手動確認</v>
      </c>
      <c r="G250" s="25" t="s">
        <v>159</v>
      </c>
      <c r="H250" s="26"/>
      <c r="I250" s="27"/>
      <c r="J250" s="27"/>
      <c r="K250" s="27"/>
      <c r="L250" s="27" t="n">
        <v>0</v>
      </c>
      <c r="M250" s="27" t="n">
        <v>0</v>
      </c>
      <c r="N250" s="27" t="n">
        <v>779580</v>
      </c>
      <c r="O250" s="27" t="n">
        <v>63900</v>
      </c>
      <c r="P250" s="27" t="n">
        <v>801</v>
      </c>
      <c r="Q250" s="27" t="n">
        <v>0</v>
      </c>
      <c r="R250" s="27" t="n">
        <v>440717</v>
      </c>
      <c r="S250" s="27" t="n">
        <v>0</v>
      </c>
      <c r="T250" s="27" t="n">
        <v>54036</v>
      </c>
      <c r="U250" s="27" t="n">
        <v>0</v>
      </c>
      <c r="V250" s="27" t="n">
        <v>9764</v>
      </c>
      <c r="W250" s="10" t="str">
        <f aca="false">IFERROR(INDEX(設定!$E$61:$E$106,MATCH(B250,設定!$B$61:$B$106,0)),"合算")</f>
        <v>合算</v>
      </c>
      <c r="X250" s="28"/>
      <c r="Y250" s="29" t="n">
        <f aca="false">IF(OR(G250="",G250="なし"),"",IF(W250="合算",CF250,IF(W250="掛金・負担金別",(AU250+AV250+AZ250+BB250+BD250),SUM(AU250:AY250))))</f>
        <v>1348798</v>
      </c>
      <c r="Z250" s="27"/>
      <c r="AA250" s="29" t="str">
        <f aca="false">IF(OR(G250="",G250="なし"),"",IF(W250="掛金・負担金別",(AW250+AX250+AY250+BA250+BC250+BE250),IF(W250="経理区分別",AZ250+BA250,"")))</f>
        <v/>
      </c>
      <c r="AB250" s="27"/>
      <c r="AC250" s="29" t="str">
        <f aca="false">IF(OR(G250="",G250="なし"),"",IF(W250="経理区分別",BB250+BC250,""))</f>
        <v/>
      </c>
      <c r="AD250" s="27"/>
      <c r="AE250" s="29" t="str">
        <f aca="false">IF(OR(G250="",G250="なし"),"",IF(W250="経理区分別",BD250+BE250,""))</f>
        <v/>
      </c>
      <c r="AF250" s="27"/>
      <c r="AG250" s="26" t="s">
        <v>160</v>
      </c>
      <c r="AH250" s="26"/>
      <c r="AI250" s="30"/>
      <c r="AJ250" s="31"/>
      <c r="AK250" s="31"/>
      <c r="AL250" s="31"/>
      <c r="AM250" s="31"/>
      <c r="AN250" s="31"/>
      <c r="AO250" s="31"/>
      <c r="AP250" s="31"/>
      <c r="AQ250" s="31"/>
      <c r="AR250" s="31"/>
      <c r="AS250" s="31"/>
      <c r="AT250" s="31"/>
      <c r="AU250" s="31" t="n">
        <f aca="false">IF($G250="",AJ250,L250)</f>
        <v>0</v>
      </c>
      <c r="AV250" s="31" t="n">
        <f aca="false">IF($G250="",AK250,M250)</f>
        <v>0</v>
      </c>
      <c r="AW250" s="31" t="n">
        <f aca="false">IF($G250="",AL250,N250)</f>
        <v>779580</v>
      </c>
      <c r="AX250" s="31" t="n">
        <f aca="false">IF($G250="",AM250,O250)</f>
        <v>63900</v>
      </c>
      <c r="AY250" s="31" t="n">
        <f aca="false">IF($G250="",AN250,P250)</f>
        <v>801</v>
      </c>
      <c r="AZ250" s="31" t="n">
        <f aca="false">IF($G250="",AO250,Q250)</f>
        <v>0</v>
      </c>
      <c r="BA250" s="31" t="n">
        <f aca="false">IF($G250="",AP250,R250)</f>
        <v>440717</v>
      </c>
      <c r="BB250" s="31" t="n">
        <f aca="false">IF($G250="",AQ250,S250)</f>
        <v>0</v>
      </c>
      <c r="BC250" s="31" t="n">
        <f aca="false">IF($G250="",AR250,T250)</f>
        <v>54036</v>
      </c>
      <c r="BD250" s="31" t="n">
        <f aca="false">IF($G250="",AS250,U250)</f>
        <v>0</v>
      </c>
      <c r="BE250" s="31" t="n">
        <f aca="false">IF($G250="",AT250,V250)</f>
        <v>9764</v>
      </c>
      <c r="BF250" s="31" t="n">
        <f aca="false">ROUNDDOWN(I250*設定!$B$10/1000,0)+ROUNDDOWN(I250*設定!$B$11/1000,0)</f>
        <v>0</v>
      </c>
      <c r="BG250" s="31" t="n">
        <f aca="false">ROUNDDOWN(I250*設定!$C$10/1000,0)+ROUNDDOWN(I250*設定!$C$11/1000,0)+ROUNDDOWN(I250*設定!$C$12/1000,0)</f>
        <v>0</v>
      </c>
      <c r="BH250" s="31" t="n">
        <f aca="false">ROUNDDOWN(J250*設定!$B$13/1000,0)</f>
        <v>0</v>
      </c>
      <c r="BI250" s="31" t="n">
        <f aca="false">ROUNDDOWN(J250*設定!$C$13/1000,0)</f>
        <v>0</v>
      </c>
      <c r="BJ250" s="31" t="n">
        <f aca="false">ROUNDDOWN(K250*設定!$B$14/1000,0)</f>
        <v>0</v>
      </c>
      <c r="BK250" s="31" t="n">
        <f aca="false">ROUNDDOWN(K250*設定!$C$14/1000,0)</f>
        <v>0</v>
      </c>
      <c r="BL250" s="31" t="n">
        <f aca="false">ROUNDDOWN(J250*設定!$B$15/1000,0)</f>
        <v>0</v>
      </c>
      <c r="BM250" s="31" t="n">
        <f aca="false">ROUNDDOWN(J250*設定!$C$15/1000,0)</f>
        <v>0</v>
      </c>
      <c r="BN250" s="31" t="n">
        <f aca="false">L250+M250</f>
        <v>0</v>
      </c>
      <c r="BO250" s="31" t="n">
        <f aca="false">N250+O250+P250</f>
        <v>844281</v>
      </c>
      <c r="BP250" s="31" t="n">
        <f aca="false">Q250</f>
        <v>0</v>
      </c>
      <c r="BQ250" s="31" t="n">
        <f aca="false">R250</f>
        <v>440717</v>
      </c>
      <c r="BR250" s="31" t="n">
        <f aca="false">S250</f>
        <v>0</v>
      </c>
      <c r="BS250" s="31" t="n">
        <f aca="false">T250</f>
        <v>54036</v>
      </c>
      <c r="BT250" s="31" t="n">
        <f aca="false">U250</f>
        <v>0</v>
      </c>
      <c r="BU250" s="31" t="n">
        <f aca="false">V250</f>
        <v>9764</v>
      </c>
      <c r="BV250" s="32" t="n">
        <f aca="false">IF(BF250=0,IF(BN250=0,0,1),(BN250-BF250)/BF250)</f>
        <v>0</v>
      </c>
      <c r="BW250" s="32" t="n">
        <f aca="false">IF(BG250=0,IF(BO250=0,0,1),(BO250-BG250)/BG250)</f>
        <v>1</v>
      </c>
      <c r="BX250" s="32" t="n">
        <f aca="false">IF(BH250=0,IF(BP250=0,0,1),(BP250-BH250)/BH250)</f>
        <v>0</v>
      </c>
      <c r="BY250" s="32" t="n">
        <f aca="false">IF(BI250=0,IF(BQ250=0,0,1),(BQ250-BI250)/BI250)</f>
        <v>1</v>
      </c>
      <c r="BZ250" s="32" t="n">
        <f aca="false">IF(BJ250=0,IF(BR250=0,0,1),(BR250-BJ250)/BJ250)</f>
        <v>0</v>
      </c>
      <c r="CA250" s="32" t="n">
        <f aca="false">IF(BK250=0,IF(BS250=0,0,1),(BS250-BK250)/BK250)</f>
        <v>1</v>
      </c>
      <c r="CB250" s="32" t="n">
        <f aca="false">IF(BL250=0,IF(BT250=0,0,1),(BT250-BL250)/BL250)</f>
        <v>0</v>
      </c>
      <c r="CC250" s="32" t="n">
        <f aca="false">IF(BM250=0,IF(BU250=0,0,1),(BU250-BM250)/BM250)</f>
        <v>1</v>
      </c>
      <c r="CD250" s="32" t="n">
        <f aca="false">MAX(MAX(BV250:CC250),-MIN(BV250:CC250))</f>
        <v>1</v>
      </c>
      <c r="CE250" s="31" t="n">
        <f aca="false">IF(CI250="","",SUMIFS($CF$7:$CF$696,$A$7:$A$696,CI250,$B$7:$B$696,B250))</f>
        <v>1404128</v>
      </c>
      <c r="CF250" s="31" t="n">
        <f aca="false">SUM(AU250:BE250)</f>
        <v>1348798</v>
      </c>
      <c r="CG250" s="33" t="str">
        <f aca="false">A250&amp;"|"&amp;B250</f>
        <v>2026-08 月例|平和文化センター</v>
      </c>
      <c r="CH250" s="34" t="str">
        <f aca="false">IFERROR(INDEX(設定!$D$61:$D$106,MATCH(B250,設定!$B$61:$B$106,0)),"Y")</f>
        <v>Y</v>
      </c>
      <c r="CI250" s="34" t="str">
        <f aca="false">IFERROR(INDEX(設定!$D$20:$D$34,MATCH(A250,設定!$A$20:$A$34,0))&amp;"","")</f>
        <v>2026-07 月例</v>
      </c>
    </row>
    <row r="251" customFormat="false" ht="15" hidden="true" customHeight="false" outlineLevel="0" collapsed="false">
      <c r="A251" s="22" t="s">
        <v>212</v>
      </c>
      <c r="B251" s="23" t="s">
        <v>175</v>
      </c>
      <c r="C251" s="10" t="str">
        <f aca="false">IF(G251="","未受領",IF(G251="なし","報告なし",IF(AH251="○","起票済",IF(OR(AG251="○",F251="一致",F251="入金不要"),"入金確認済","受領済"))))</f>
        <v>入金確認済</v>
      </c>
      <c r="D251" s="10" t="str">
        <f aca="false">IF(OR(G251="",G251="なし"),"―",IF(CH251="N","対象外",IF(AND(I251="",J251="",K251=""),"標報未入力",IF(CD251&gt;=設定!$B$4,"要確認","問題なし"))))</f>
        <v>標報未入力</v>
      </c>
      <c r="E251" s="24" t="str">
        <f aca="false">IF(OR(G251="",G251="なし",CE251="",CF251=0),"―",IF(CF251=CE251,"前月同額",IF(CE251=0,"―",IF(ABS(CF251/CE251-1)&gt;=設定!$B$5,"変動大 "&amp;TEXT(CF251/CE251-1,"+0%;-0%"),"〇"))))</f>
        <v>前月同額</v>
      </c>
      <c r="F251" s="10" t="str">
        <f aca="false">IF(OR(G251="",G251="なし"),"―",IF(CF251=0,"入金不要",IF(COUNT(Z251,AB251,AD251,AF251)=0,IF(AG251="○","手動確認","未入金"),IF(AND(N(Z251)=Y251,IF(AA251="",TRUE(),N(AB251)=AA251),IF(AC251="",TRUE(),N(AD251)=AC251),IF(AE251="",TRUE(),N(AF251)=AE251)),"一致","不一致"))))</f>
        <v>手動確認</v>
      </c>
      <c r="G251" s="25" t="s">
        <v>159</v>
      </c>
      <c r="H251" s="26"/>
      <c r="I251" s="27"/>
      <c r="J251" s="27"/>
      <c r="K251" s="27"/>
      <c r="L251" s="27"/>
      <c r="M251" s="27"/>
      <c r="N251" s="27" t="n">
        <v>2034960</v>
      </c>
      <c r="O251" s="27" t="n">
        <v>166800</v>
      </c>
      <c r="P251" s="27" t="n">
        <v>2038</v>
      </c>
      <c r="Q251" s="27"/>
      <c r="R251" s="27" t="n">
        <v>1310786</v>
      </c>
      <c r="S251" s="27"/>
      <c r="T251" s="27" t="n">
        <v>143859</v>
      </c>
      <c r="U251" s="27"/>
      <c r="V251" s="27" t="n">
        <v>29034</v>
      </c>
      <c r="W251" s="10" t="str">
        <f aca="false">IFERROR(INDEX(設定!$E$61:$E$106,MATCH(B251,設定!$B$61:$B$106,0)),"合算")</f>
        <v>合算</v>
      </c>
      <c r="X251" s="28"/>
      <c r="Y251" s="29" t="n">
        <f aca="false">IF(OR(G251="",G251="なし"),"",IF(W251="合算",CF251,IF(W251="掛金・負担金別",(AU251+AV251+AZ251+BB251+BD251),SUM(AU251:AY251))))</f>
        <v>3687477</v>
      </c>
      <c r="Z251" s="27"/>
      <c r="AA251" s="29" t="str">
        <f aca="false">IF(OR(G251="",G251="なし"),"",IF(W251="掛金・負担金別",(AW251+AX251+AY251+BA251+BC251+BE251),IF(W251="経理区分別",AZ251+BA251,"")))</f>
        <v/>
      </c>
      <c r="AB251" s="27"/>
      <c r="AC251" s="29" t="str">
        <f aca="false">IF(OR(G251="",G251="なし"),"",IF(W251="経理区分別",BB251+BC251,""))</f>
        <v/>
      </c>
      <c r="AD251" s="27"/>
      <c r="AE251" s="29" t="str">
        <f aca="false">IF(OR(G251="",G251="なし"),"",IF(W251="経理区分別",BD251+BE251,""))</f>
        <v/>
      </c>
      <c r="AF251" s="27"/>
      <c r="AG251" s="26" t="s">
        <v>160</v>
      </c>
      <c r="AH251" s="26"/>
      <c r="AI251" s="30"/>
      <c r="AJ251" s="31"/>
      <c r="AK251" s="31"/>
      <c r="AL251" s="31"/>
      <c r="AM251" s="31"/>
      <c r="AN251" s="31"/>
      <c r="AO251" s="31"/>
      <c r="AP251" s="31"/>
      <c r="AQ251" s="31"/>
      <c r="AR251" s="31"/>
      <c r="AS251" s="31"/>
      <c r="AT251" s="31"/>
      <c r="AU251" s="31" t="n">
        <f aca="false">IF($G251="",AJ251,L251)</f>
        <v>0</v>
      </c>
      <c r="AV251" s="31" t="n">
        <f aca="false">IF($G251="",AK251,M251)</f>
        <v>0</v>
      </c>
      <c r="AW251" s="31" t="n">
        <f aca="false">IF($G251="",AL251,N251)</f>
        <v>2034960</v>
      </c>
      <c r="AX251" s="31" t="n">
        <f aca="false">IF($G251="",AM251,O251)</f>
        <v>166800</v>
      </c>
      <c r="AY251" s="31" t="n">
        <f aca="false">IF($G251="",AN251,P251)</f>
        <v>2038</v>
      </c>
      <c r="AZ251" s="31" t="n">
        <f aca="false">IF($G251="",AO251,Q251)</f>
        <v>0</v>
      </c>
      <c r="BA251" s="31" t="n">
        <f aca="false">IF($G251="",AP251,R251)</f>
        <v>1310786</v>
      </c>
      <c r="BB251" s="31" t="n">
        <f aca="false">IF($G251="",AQ251,S251)</f>
        <v>0</v>
      </c>
      <c r="BC251" s="31" t="n">
        <f aca="false">IF($G251="",AR251,T251)</f>
        <v>143859</v>
      </c>
      <c r="BD251" s="31" t="n">
        <f aca="false">IF($G251="",AS251,U251)</f>
        <v>0</v>
      </c>
      <c r="BE251" s="31" t="n">
        <f aca="false">IF($G251="",AT251,V251)</f>
        <v>29034</v>
      </c>
      <c r="BF251" s="31" t="n">
        <f aca="false">ROUNDDOWN(I251*設定!$B$10/1000,0)+ROUNDDOWN(I251*設定!$B$11/1000,0)</f>
        <v>0</v>
      </c>
      <c r="BG251" s="31" t="n">
        <f aca="false">ROUNDDOWN(I251*設定!$C$10/1000,0)+ROUNDDOWN(I251*設定!$C$11/1000,0)+ROUNDDOWN(I251*設定!$C$12/1000,0)</f>
        <v>0</v>
      </c>
      <c r="BH251" s="31" t="n">
        <f aca="false">ROUNDDOWN(J251*設定!$B$13/1000,0)</f>
        <v>0</v>
      </c>
      <c r="BI251" s="31" t="n">
        <f aca="false">ROUNDDOWN(J251*設定!$C$13/1000,0)</f>
        <v>0</v>
      </c>
      <c r="BJ251" s="31" t="n">
        <f aca="false">ROUNDDOWN(K251*設定!$B$14/1000,0)</f>
        <v>0</v>
      </c>
      <c r="BK251" s="31" t="n">
        <f aca="false">ROUNDDOWN(K251*設定!$C$14/1000,0)</f>
        <v>0</v>
      </c>
      <c r="BL251" s="31" t="n">
        <f aca="false">ROUNDDOWN(J251*設定!$B$15/1000,0)</f>
        <v>0</v>
      </c>
      <c r="BM251" s="31" t="n">
        <f aca="false">ROUNDDOWN(J251*設定!$C$15/1000,0)</f>
        <v>0</v>
      </c>
      <c r="BN251" s="31" t="n">
        <f aca="false">L251+M251</f>
        <v>0</v>
      </c>
      <c r="BO251" s="31" t="n">
        <f aca="false">N251+O251+P251</f>
        <v>2203798</v>
      </c>
      <c r="BP251" s="31" t="n">
        <f aca="false">Q251</f>
        <v>0</v>
      </c>
      <c r="BQ251" s="31" t="n">
        <f aca="false">R251</f>
        <v>1310786</v>
      </c>
      <c r="BR251" s="31" t="n">
        <f aca="false">S251</f>
        <v>0</v>
      </c>
      <c r="BS251" s="31" t="n">
        <f aca="false">T251</f>
        <v>143859</v>
      </c>
      <c r="BT251" s="31" t="n">
        <f aca="false">U251</f>
        <v>0</v>
      </c>
      <c r="BU251" s="31" t="n">
        <f aca="false">V251</f>
        <v>29034</v>
      </c>
      <c r="BV251" s="32" t="n">
        <f aca="false">IF(BF251=0,IF(BN251=0,0,1),(BN251-BF251)/BF251)</f>
        <v>0</v>
      </c>
      <c r="BW251" s="32" t="n">
        <f aca="false">IF(BG251=0,IF(BO251=0,0,1),(BO251-BG251)/BG251)</f>
        <v>1</v>
      </c>
      <c r="BX251" s="32" t="n">
        <f aca="false">IF(BH251=0,IF(BP251=0,0,1),(BP251-BH251)/BH251)</f>
        <v>0</v>
      </c>
      <c r="BY251" s="32" t="n">
        <f aca="false">IF(BI251=0,IF(BQ251=0,0,1),(BQ251-BI251)/BI251)</f>
        <v>1</v>
      </c>
      <c r="BZ251" s="32" t="n">
        <f aca="false">IF(BJ251=0,IF(BR251=0,0,1),(BR251-BJ251)/BJ251)</f>
        <v>0</v>
      </c>
      <c r="CA251" s="32" t="n">
        <f aca="false">IF(BK251=0,IF(BS251=0,0,1),(BS251-BK251)/BK251)</f>
        <v>1</v>
      </c>
      <c r="CB251" s="32" t="n">
        <f aca="false">IF(BL251=0,IF(BT251=0,0,1),(BT251-BL251)/BL251)</f>
        <v>0</v>
      </c>
      <c r="CC251" s="32" t="n">
        <f aca="false">IF(BM251=0,IF(BU251=0,0,1),(BU251-BM251)/BM251)</f>
        <v>1</v>
      </c>
      <c r="CD251" s="32" t="n">
        <f aca="false">MAX(MAX(BV251:CC251),-MIN(BV251:CC251))</f>
        <v>1</v>
      </c>
      <c r="CE251" s="31" t="n">
        <f aca="false">IF(CI251="","",SUMIFS($CF$7:$CF$696,$A$7:$A$696,CI251,$B$7:$B$696,B251))</f>
        <v>3687477</v>
      </c>
      <c r="CF251" s="31" t="n">
        <f aca="false">SUM(AU251:BE251)</f>
        <v>3687477</v>
      </c>
      <c r="CG251" s="33" t="str">
        <f aca="false">A251&amp;"|"&amp;B251</f>
        <v>2026-08 月例|社会福祉事業団</v>
      </c>
      <c r="CH251" s="34" t="str">
        <f aca="false">IFERROR(INDEX(設定!$D$61:$D$106,MATCH(B251,設定!$B$61:$B$106,0)),"Y")</f>
        <v>Y</v>
      </c>
      <c r="CI251" s="34" t="str">
        <f aca="false">IFERROR(INDEX(設定!$D$20:$D$34,MATCH(A251,設定!$A$20:$A$34,0))&amp;"","")</f>
        <v>2026-07 月例</v>
      </c>
    </row>
    <row r="252" customFormat="false" ht="15" hidden="true" customHeight="false" outlineLevel="0" collapsed="false">
      <c r="A252" s="22" t="s">
        <v>212</v>
      </c>
      <c r="B252" s="23" t="s">
        <v>176</v>
      </c>
      <c r="C252" s="10" t="str">
        <f aca="false">IF(G252="","未受領",IF(G252="なし","報告なし",IF(AH252="○","起票済",IF(OR(AG252="○",F252="一致",F252="入金不要"),"入金確認済","受領済"))))</f>
        <v>入金確認済</v>
      </c>
      <c r="D252" s="10" t="str">
        <f aca="false">IF(OR(G252="",G252="なし"),"―",IF(CH252="N","対象外",IF(AND(I252="",J252="",K252=""),"標報未入力",IF(CD252&gt;=設定!$B$4,"要確認","問題なし"))))</f>
        <v>標報未入力</v>
      </c>
      <c r="E252" s="24" t="str">
        <f aca="false">IF(OR(G252="",G252="なし",CE252="",CF252=0),"―",IF(CF252=CE252,"前月同額",IF(CE252=0,"―",IF(ABS(CF252/CE252-1)&gt;=設定!$B$5,"変動大 "&amp;TEXT(CF252/CE252-1,"+0%;-0%"),"〇"))))</f>
        <v>前月同額</v>
      </c>
      <c r="F252" s="10" t="str">
        <f aca="false">IF(OR(G252="",G252="なし"),"―",IF(CF252=0,"入金不要",IF(COUNT(Z252,AB252,AD252,AF252)=0,IF(AG252="○","手動確認","未入金"),IF(AND(N(Z252)=Y252,IF(AA252="",TRUE(),N(AB252)=AA252),IF(AC252="",TRUE(),N(AD252)=AC252),IF(AE252="",TRUE(),N(AF252)=AE252)),"一致","不一致"))))</f>
        <v>手動確認</v>
      </c>
      <c r="G252" s="25" t="s">
        <v>159</v>
      </c>
      <c r="H252" s="26"/>
      <c r="I252" s="27"/>
      <c r="J252" s="27"/>
      <c r="K252" s="27"/>
      <c r="L252" s="27"/>
      <c r="M252" s="27"/>
      <c r="N252" s="27" t="n">
        <v>59475</v>
      </c>
      <c r="O252" s="27" t="n">
        <v>4875</v>
      </c>
      <c r="P252" s="27" t="n">
        <v>56</v>
      </c>
      <c r="Q252" s="27"/>
      <c r="R252" s="27" t="n">
        <v>36856</v>
      </c>
      <c r="S252" s="27"/>
      <c r="T252" s="27" t="n">
        <v>5609</v>
      </c>
      <c r="U252" s="27"/>
      <c r="V252" s="27" t="n">
        <v>816</v>
      </c>
      <c r="W252" s="10" t="str">
        <f aca="false">IFERROR(INDEX(設定!$E$61:$E$106,MATCH(B252,設定!$B$61:$B$106,0)),"合算")</f>
        <v>合算</v>
      </c>
      <c r="X252" s="28"/>
      <c r="Y252" s="29" t="n">
        <f aca="false">IF(OR(G252="",G252="なし"),"",IF(W252="合算",CF252,IF(W252="掛金・負担金別",(AU252+AV252+AZ252+BB252+BD252),SUM(AU252:AY252))))</f>
        <v>107687</v>
      </c>
      <c r="Z252" s="27"/>
      <c r="AA252" s="29" t="str">
        <f aca="false">IF(OR(G252="",G252="なし"),"",IF(W252="掛金・負担金別",(AW252+AX252+AY252+BA252+BC252+BE252),IF(W252="経理区分別",AZ252+BA252,"")))</f>
        <v/>
      </c>
      <c r="AB252" s="27"/>
      <c r="AC252" s="29" t="str">
        <f aca="false">IF(OR(G252="",G252="なし"),"",IF(W252="経理区分別",BB252+BC252,""))</f>
        <v/>
      </c>
      <c r="AD252" s="27"/>
      <c r="AE252" s="29" t="str">
        <f aca="false">IF(OR(G252="",G252="なし"),"",IF(W252="経理区分別",BD252+BE252,""))</f>
        <v/>
      </c>
      <c r="AF252" s="27"/>
      <c r="AG252" s="26" t="s">
        <v>160</v>
      </c>
      <c r="AH252" s="26"/>
      <c r="AI252" s="30"/>
      <c r="AJ252" s="31"/>
      <c r="AK252" s="31"/>
      <c r="AL252" s="31"/>
      <c r="AM252" s="31"/>
      <c r="AN252" s="31"/>
      <c r="AO252" s="31"/>
      <c r="AP252" s="31"/>
      <c r="AQ252" s="31"/>
      <c r="AR252" s="31"/>
      <c r="AS252" s="31"/>
      <c r="AT252" s="31"/>
      <c r="AU252" s="31" t="n">
        <f aca="false">IF($G252="",AJ252,L252)</f>
        <v>0</v>
      </c>
      <c r="AV252" s="31" t="n">
        <f aca="false">IF($G252="",AK252,M252)</f>
        <v>0</v>
      </c>
      <c r="AW252" s="31" t="n">
        <f aca="false">IF($G252="",AL252,N252)</f>
        <v>59475</v>
      </c>
      <c r="AX252" s="31" t="n">
        <f aca="false">IF($G252="",AM252,O252)</f>
        <v>4875</v>
      </c>
      <c r="AY252" s="31" t="n">
        <f aca="false">IF($G252="",AN252,P252)</f>
        <v>56</v>
      </c>
      <c r="AZ252" s="31" t="n">
        <f aca="false">IF($G252="",AO252,Q252)</f>
        <v>0</v>
      </c>
      <c r="BA252" s="31" t="n">
        <f aca="false">IF($G252="",AP252,R252)</f>
        <v>36856</v>
      </c>
      <c r="BB252" s="31" t="n">
        <f aca="false">IF($G252="",AQ252,S252)</f>
        <v>0</v>
      </c>
      <c r="BC252" s="31" t="n">
        <f aca="false">IF($G252="",AR252,T252)</f>
        <v>5609</v>
      </c>
      <c r="BD252" s="31" t="n">
        <f aca="false">IF($G252="",AS252,U252)</f>
        <v>0</v>
      </c>
      <c r="BE252" s="31" t="n">
        <f aca="false">IF($G252="",AT252,V252)</f>
        <v>816</v>
      </c>
      <c r="BF252" s="31" t="n">
        <f aca="false">ROUNDDOWN(I252*設定!$B$10/1000,0)+ROUNDDOWN(I252*設定!$B$11/1000,0)</f>
        <v>0</v>
      </c>
      <c r="BG252" s="31" t="n">
        <f aca="false">ROUNDDOWN(I252*設定!$C$10/1000,0)+ROUNDDOWN(I252*設定!$C$11/1000,0)+ROUNDDOWN(I252*設定!$C$12/1000,0)</f>
        <v>0</v>
      </c>
      <c r="BH252" s="31" t="n">
        <f aca="false">ROUNDDOWN(J252*設定!$B$13/1000,0)</f>
        <v>0</v>
      </c>
      <c r="BI252" s="31" t="n">
        <f aca="false">ROUNDDOWN(J252*設定!$C$13/1000,0)</f>
        <v>0</v>
      </c>
      <c r="BJ252" s="31" t="n">
        <f aca="false">ROUNDDOWN(K252*設定!$B$14/1000,0)</f>
        <v>0</v>
      </c>
      <c r="BK252" s="31" t="n">
        <f aca="false">ROUNDDOWN(K252*設定!$C$14/1000,0)</f>
        <v>0</v>
      </c>
      <c r="BL252" s="31" t="n">
        <f aca="false">ROUNDDOWN(J252*設定!$B$15/1000,0)</f>
        <v>0</v>
      </c>
      <c r="BM252" s="31" t="n">
        <f aca="false">ROUNDDOWN(J252*設定!$C$15/1000,0)</f>
        <v>0</v>
      </c>
      <c r="BN252" s="31" t="n">
        <f aca="false">L252+M252</f>
        <v>0</v>
      </c>
      <c r="BO252" s="31" t="n">
        <f aca="false">N252+O252+P252</f>
        <v>64406</v>
      </c>
      <c r="BP252" s="31" t="n">
        <f aca="false">Q252</f>
        <v>0</v>
      </c>
      <c r="BQ252" s="31" t="n">
        <f aca="false">R252</f>
        <v>36856</v>
      </c>
      <c r="BR252" s="31" t="n">
        <f aca="false">S252</f>
        <v>0</v>
      </c>
      <c r="BS252" s="31" t="n">
        <f aca="false">T252</f>
        <v>5609</v>
      </c>
      <c r="BT252" s="31" t="n">
        <f aca="false">U252</f>
        <v>0</v>
      </c>
      <c r="BU252" s="31" t="n">
        <f aca="false">V252</f>
        <v>816</v>
      </c>
      <c r="BV252" s="32" t="n">
        <f aca="false">IF(BF252=0,IF(BN252=0,0,1),(BN252-BF252)/BF252)</f>
        <v>0</v>
      </c>
      <c r="BW252" s="32" t="n">
        <f aca="false">IF(BG252=0,IF(BO252=0,0,1),(BO252-BG252)/BG252)</f>
        <v>1</v>
      </c>
      <c r="BX252" s="32" t="n">
        <f aca="false">IF(BH252=0,IF(BP252=0,0,1),(BP252-BH252)/BH252)</f>
        <v>0</v>
      </c>
      <c r="BY252" s="32" t="n">
        <f aca="false">IF(BI252=0,IF(BQ252=0,0,1),(BQ252-BI252)/BI252)</f>
        <v>1</v>
      </c>
      <c r="BZ252" s="32" t="n">
        <f aca="false">IF(BJ252=0,IF(BR252=0,0,1),(BR252-BJ252)/BJ252)</f>
        <v>0</v>
      </c>
      <c r="CA252" s="32" t="n">
        <f aca="false">IF(BK252=0,IF(BS252=0,0,1),(BS252-BK252)/BK252)</f>
        <v>1</v>
      </c>
      <c r="CB252" s="32" t="n">
        <f aca="false">IF(BL252=0,IF(BT252=0,0,1),(BT252-BL252)/BL252)</f>
        <v>0</v>
      </c>
      <c r="CC252" s="32" t="n">
        <f aca="false">IF(BM252=0,IF(BU252=0,0,1),(BU252-BM252)/BM252)</f>
        <v>1</v>
      </c>
      <c r="CD252" s="32" t="n">
        <f aca="false">MAX(MAX(BV252:CC252),-MIN(BV252:CC252))</f>
        <v>1</v>
      </c>
      <c r="CE252" s="31" t="n">
        <f aca="false">IF(CI252="","",SUMIFS($CF$7:$CF$696,$A$7:$A$696,CI252,$B$7:$B$696,B252))</f>
        <v>107687</v>
      </c>
      <c r="CF252" s="31" t="n">
        <f aca="false">SUM(AU252:BE252)</f>
        <v>107687</v>
      </c>
      <c r="CG252" s="33" t="str">
        <f aca="false">A252&amp;"|"&amp;B252</f>
        <v>2026-08 月例|原爆障害対策協議会</v>
      </c>
      <c r="CH252" s="34" t="str">
        <f aca="false">IFERROR(INDEX(設定!$D$61:$D$106,MATCH(B252,設定!$B$61:$B$106,0)),"Y")</f>
        <v>Y</v>
      </c>
      <c r="CI252" s="34" t="str">
        <f aca="false">IFERROR(INDEX(設定!$D$20:$D$34,MATCH(A252,設定!$A$20:$A$34,0))&amp;"","")</f>
        <v>2026-07 月例</v>
      </c>
    </row>
    <row r="253" customFormat="false" ht="15" hidden="true" customHeight="false" outlineLevel="0" collapsed="false">
      <c r="A253" s="22" t="s">
        <v>212</v>
      </c>
      <c r="B253" s="23" t="s">
        <v>177</v>
      </c>
      <c r="C253" s="10" t="str">
        <f aca="false">IF(G253="","未受領",IF(G253="なし","報告なし",IF(AH253="○","起票済",IF(OR(AG253="○",F253="一致",F253="入金不要"),"入金確認済","受領済"))))</f>
        <v>入金確認済</v>
      </c>
      <c r="D253" s="10" t="str">
        <f aca="false">IF(OR(G253="",G253="なし"),"―",IF(CH253="N","対象外",IF(AND(I253="",J253="",K253=""),"標報未入力",IF(CD253&gt;=設定!$B$4,"要確認","問題なし"))))</f>
        <v>標報未入力</v>
      </c>
      <c r="E253" s="24" t="str">
        <f aca="false">IF(OR(G253="",G253="なし",CE253="",CF253=0),"―",IF(CF253=CE253,"前月同額",IF(CE253=0,"―",IF(ABS(CF253/CE253-1)&gt;=設定!$B$5,"変動大 "&amp;TEXT(CF253/CE253-1,"+0%;-0%"),"〇"))))</f>
        <v>〇</v>
      </c>
      <c r="F253" s="10" t="str">
        <f aca="false">IF(OR(G253="",G253="なし"),"―",IF(CF253=0,"入金不要",IF(COUNT(Z253,AB253,AD253,AF253)=0,IF(AG253="○","手動確認","未入金"),IF(AND(N(Z253)=Y253,IF(AA253="",TRUE(),N(AB253)=AA253),IF(AC253="",TRUE(),N(AD253)=AC253),IF(AE253="",TRUE(),N(AF253)=AE253)),"一致","不一致"))))</f>
        <v>手動確認</v>
      </c>
      <c r="G253" s="25" t="s">
        <v>159</v>
      </c>
      <c r="H253" s="26"/>
      <c r="I253" s="27"/>
      <c r="J253" s="27"/>
      <c r="K253" s="27"/>
      <c r="L253" s="27"/>
      <c r="M253" s="27"/>
      <c r="N253" s="27" t="n">
        <v>339465</v>
      </c>
      <c r="O253" s="27" t="n">
        <v>27825</v>
      </c>
      <c r="P253" s="27" t="n">
        <v>395</v>
      </c>
      <c r="Q253" s="27"/>
      <c r="R253" s="27" t="n">
        <v>192628</v>
      </c>
      <c r="S253" s="27"/>
      <c r="T253" s="27" t="n">
        <v>26781</v>
      </c>
      <c r="U253" s="27"/>
      <c r="V253" s="27" t="n">
        <v>4266</v>
      </c>
      <c r="W253" s="10" t="str">
        <f aca="false">IFERROR(INDEX(設定!$E$61:$E$106,MATCH(B253,設定!$B$61:$B$106,0)),"合算")</f>
        <v>合算</v>
      </c>
      <c r="X253" s="28"/>
      <c r="Y253" s="29" t="n">
        <f aca="false">IF(OR(G253="",G253="なし"),"",IF(W253="合算",CF253,IF(W253="掛金・負担金別",(AU253+AV253+AZ253+BB253+BD253),SUM(AU253:AY253))))</f>
        <v>591360</v>
      </c>
      <c r="Z253" s="27"/>
      <c r="AA253" s="29" t="str">
        <f aca="false">IF(OR(G253="",G253="なし"),"",IF(W253="掛金・負担金別",(AW253+AX253+AY253+BA253+BC253+BE253),IF(W253="経理区分別",AZ253+BA253,"")))</f>
        <v/>
      </c>
      <c r="AB253" s="27"/>
      <c r="AC253" s="29" t="str">
        <f aca="false">IF(OR(G253="",G253="なし"),"",IF(W253="経理区分別",BB253+BC253,""))</f>
        <v/>
      </c>
      <c r="AD253" s="27"/>
      <c r="AE253" s="29" t="str">
        <f aca="false">IF(OR(G253="",G253="なし"),"",IF(W253="経理区分別",BD253+BE253,""))</f>
        <v/>
      </c>
      <c r="AF253" s="27"/>
      <c r="AG253" s="26" t="s">
        <v>160</v>
      </c>
      <c r="AH253" s="26"/>
      <c r="AI253" s="30"/>
      <c r="AJ253" s="31"/>
      <c r="AK253" s="31"/>
      <c r="AL253" s="31"/>
      <c r="AM253" s="31"/>
      <c r="AN253" s="31"/>
      <c r="AO253" s="31"/>
      <c r="AP253" s="31"/>
      <c r="AQ253" s="31"/>
      <c r="AR253" s="31"/>
      <c r="AS253" s="31"/>
      <c r="AT253" s="31"/>
      <c r="AU253" s="31" t="n">
        <f aca="false">IF($G253="",AJ253,L253)</f>
        <v>0</v>
      </c>
      <c r="AV253" s="31" t="n">
        <f aca="false">IF($G253="",AK253,M253)</f>
        <v>0</v>
      </c>
      <c r="AW253" s="31" t="n">
        <f aca="false">IF($G253="",AL253,N253)</f>
        <v>339465</v>
      </c>
      <c r="AX253" s="31" t="n">
        <f aca="false">IF($G253="",AM253,O253)</f>
        <v>27825</v>
      </c>
      <c r="AY253" s="31" t="n">
        <f aca="false">IF($G253="",AN253,P253)</f>
        <v>395</v>
      </c>
      <c r="AZ253" s="31" t="n">
        <f aca="false">IF($G253="",AO253,Q253)</f>
        <v>0</v>
      </c>
      <c r="BA253" s="31" t="n">
        <f aca="false">IF($G253="",AP253,R253)</f>
        <v>192628</v>
      </c>
      <c r="BB253" s="31" t="n">
        <f aca="false">IF($G253="",AQ253,S253)</f>
        <v>0</v>
      </c>
      <c r="BC253" s="31" t="n">
        <f aca="false">IF($G253="",AR253,T253)</f>
        <v>26781</v>
      </c>
      <c r="BD253" s="31" t="n">
        <f aca="false">IF($G253="",AS253,U253)</f>
        <v>0</v>
      </c>
      <c r="BE253" s="31" t="n">
        <f aca="false">IF($G253="",AT253,V253)</f>
        <v>4266</v>
      </c>
      <c r="BF253" s="31" t="n">
        <f aca="false">ROUNDDOWN(I253*設定!$B$10/1000,0)+ROUNDDOWN(I253*設定!$B$11/1000,0)</f>
        <v>0</v>
      </c>
      <c r="BG253" s="31" t="n">
        <f aca="false">ROUNDDOWN(I253*設定!$C$10/1000,0)+ROUNDDOWN(I253*設定!$C$11/1000,0)+ROUNDDOWN(I253*設定!$C$12/1000,0)</f>
        <v>0</v>
      </c>
      <c r="BH253" s="31" t="n">
        <f aca="false">ROUNDDOWN(J253*設定!$B$13/1000,0)</f>
        <v>0</v>
      </c>
      <c r="BI253" s="31" t="n">
        <f aca="false">ROUNDDOWN(J253*設定!$C$13/1000,0)</f>
        <v>0</v>
      </c>
      <c r="BJ253" s="31" t="n">
        <f aca="false">ROUNDDOWN(K253*設定!$B$14/1000,0)</f>
        <v>0</v>
      </c>
      <c r="BK253" s="31" t="n">
        <f aca="false">ROUNDDOWN(K253*設定!$C$14/1000,0)</f>
        <v>0</v>
      </c>
      <c r="BL253" s="31" t="n">
        <f aca="false">ROUNDDOWN(J253*設定!$B$15/1000,0)</f>
        <v>0</v>
      </c>
      <c r="BM253" s="31" t="n">
        <f aca="false">ROUNDDOWN(J253*設定!$C$15/1000,0)</f>
        <v>0</v>
      </c>
      <c r="BN253" s="31" t="n">
        <f aca="false">L253+M253</f>
        <v>0</v>
      </c>
      <c r="BO253" s="31" t="n">
        <f aca="false">N253+O253+P253</f>
        <v>367685</v>
      </c>
      <c r="BP253" s="31" t="n">
        <f aca="false">Q253</f>
        <v>0</v>
      </c>
      <c r="BQ253" s="31" t="n">
        <f aca="false">R253</f>
        <v>192628</v>
      </c>
      <c r="BR253" s="31" t="n">
        <f aca="false">S253</f>
        <v>0</v>
      </c>
      <c r="BS253" s="31" t="n">
        <f aca="false">T253</f>
        <v>26781</v>
      </c>
      <c r="BT253" s="31" t="n">
        <f aca="false">U253</f>
        <v>0</v>
      </c>
      <c r="BU253" s="31" t="n">
        <f aca="false">V253</f>
        <v>4266</v>
      </c>
      <c r="BV253" s="32" t="n">
        <f aca="false">IF(BF253=0,IF(BN253=0,0,1),(BN253-BF253)/BF253)</f>
        <v>0</v>
      </c>
      <c r="BW253" s="32" t="n">
        <f aca="false">IF(BG253=0,IF(BO253=0,0,1),(BO253-BG253)/BG253)</f>
        <v>1</v>
      </c>
      <c r="BX253" s="32" t="n">
        <f aca="false">IF(BH253=0,IF(BP253=0,0,1),(BP253-BH253)/BH253)</f>
        <v>0</v>
      </c>
      <c r="BY253" s="32" t="n">
        <f aca="false">IF(BI253=0,IF(BQ253=0,0,1),(BQ253-BI253)/BI253)</f>
        <v>1</v>
      </c>
      <c r="BZ253" s="32" t="n">
        <f aca="false">IF(BJ253=0,IF(BR253=0,0,1),(BR253-BJ253)/BJ253)</f>
        <v>0</v>
      </c>
      <c r="CA253" s="32" t="n">
        <f aca="false">IF(BK253=0,IF(BS253=0,0,1),(BS253-BK253)/BK253)</f>
        <v>1</v>
      </c>
      <c r="CB253" s="32" t="n">
        <f aca="false">IF(BL253=0,IF(BT253=0,0,1),(BT253-BL253)/BL253)</f>
        <v>0</v>
      </c>
      <c r="CC253" s="32" t="n">
        <f aca="false">IF(BM253=0,IF(BU253=0,0,1),(BU253-BM253)/BM253)</f>
        <v>1</v>
      </c>
      <c r="CD253" s="32" t="n">
        <f aca="false">MAX(MAX(BV253:CC253),-MIN(BV253:CC253))</f>
        <v>1</v>
      </c>
      <c r="CE253" s="31" t="n">
        <f aca="false">IF(CI253="","",SUMIFS($CF$7:$CF$696,$A$7:$A$696,CI253,$B$7:$B$696,B253))</f>
        <v>640003</v>
      </c>
      <c r="CF253" s="31" t="n">
        <f aca="false">SUM(AU253:BE253)</f>
        <v>591360</v>
      </c>
      <c r="CG253" s="33" t="str">
        <f aca="false">A253&amp;"|"&amp;B253</f>
        <v>2026-08 月例|産業振興センター</v>
      </c>
      <c r="CH253" s="34" t="str">
        <f aca="false">IFERROR(INDEX(設定!$D$61:$D$106,MATCH(B253,設定!$B$61:$B$106,0)),"Y")</f>
        <v>Y</v>
      </c>
      <c r="CI253" s="34" t="str">
        <f aca="false">IFERROR(INDEX(設定!$D$20:$D$34,MATCH(A253,設定!$A$20:$A$34,0))&amp;"","")</f>
        <v>2026-07 月例</v>
      </c>
    </row>
    <row r="254" customFormat="false" ht="15" hidden="true" customHeight="false" outlineLevel="0" collapsed="false">
      <c r="A254" s="22" t="s">
        <v>212</v>
      </c>
      <c r="B254" s="23" t="s">
        <v>178</v>
      </c>
      <c r="C254" s="10" t="str">
        <f aca="false">IF(G254="","未受領",IF(G254="なし","報告なし",IF(AH254="○","起票済",IF(OR(AG254="○",F254="一致",F254="入金不要"),"入金確認済","受領済"))))</f>
        <v>入金確認済</v>
      </c>
      <c r="D254" s="10" t="str">
        <f aca="false">IF(OR(G254="",G254="なし"),"―",IF(CH254="N","対象外",IF(AND(I254="",J254="",K254=""),"標報未入力",IF(CD254&gt;=設定!$B$4,"要確認","問題なし"))))</f>
        <v>標報未入力</v>
      </c>
      <c r="E254" s="24" t="str">
        <f aca="false">IF(OR(G254="",G254="なし",CE254="",CF254=0),"―",IF(CF254=CE254,"前月同額",IF(CE254=0,"―",IF(ABS(CF254/CE254-1)&gt;=設定!$B$5,"変動大 "&amp;TEXT(CF254/CE254-1,"+0%;-0%"),"〇"))))</f>
        <v>前月同額</v>
      </c>
      <c r="F254" s="10" t="str">
        <f aca="false">IF(OR(G254="",G254="なし"),"―",IF(CF254=0,"入金不要",IF(COUNT(Z254,AB254,AD254,AF254)=0,IF(AG254="○","手動確認","未入金"),IF(AND(N(Z254)=Y254,IF(AA254="",TRUE(),N(AB254)=AA254),IF(AC254="",TRUE(),N(AD254)=AC254),IF(AE254="",TRUE(),N(AF254)=AE254)),"一致","不一致"))))</f>
        <v>手動確認</v>
      </c>
      <c r="G254" s="25" t="s">
        <v>159</v>
      </c>
      <c r="H254" s="26"/>
      <c r="I254" s="27"/>
      <c r="J254" s="27"/>
      <c r="K254" s="27"/>
      <c r="L254" s="27"/>
      <c r="M254" s="27"/>
      <c r="N254" s="27" t="n">
        <v>45750</v>
      </c>
      <c r="O254" s="27" t="n">
        <v>3750</v>
      </c>
      <c r="P254" s="27" t="n">
        <v>43</v>
      </c>
      <c r="Q254" s="27"/>
      <c r="R254" s="27" t="n">
        <v>25955</v>
      </c>
      <c r="S254" s="27"/>
      <c r="T254" s="27" t="n">
        <v>3950</v>
      </c>
      <c r="U254" s="27"/>
      <c r="V254" s="27" t="n">
        <v>575</v>
      </c>
      <c r="W254" s="10" t="str">
        <f aca="false">IFERROR(INDEX(設定!$E$61:$E$106,MATCH(B254,設定!$B$61:$B$106,0)),"合算")</f>
        <v>合算</v>
      </c>
      <c r="X254" s="28"/>
      <c r="Y254" s="29" t="n">
        <f aca="false">IF(OR(G254="",G254="なし"),"",IF(W254="合算",CF254,IF(W254="掛金・負担金別",(AU254+AV254+AZ254+BB254+BD254),SUM(AU254:AY254))))</f>
        <v>80023</v>
      </c>
      <c r="Z254" s="27"/>
      <c r="AA254" s="29" t="str">
        <f aca="false">IF(OR(G254="",G254="なし"),"",IF(W254="掛金・負担金別",(AW254+AX254+AY254+BA254+BC254+BE254),IF(W254="経理区分別",AZ254+BA254,"")))</f>
        <v/>
      </c>
      <c r="AB254" s="27"/>
      <c r="AC254" s="29" t="str">
        <f aca="false">IF(OR(G254="",G254="なし"),"",IF(W254="経理区分別",BB254+BC254,""))</f>
        <v/>
      </c>
      <c r="AD254" s="27"/>
      <c r="AE254" s="29" t="str">
        <f aca="false">IF(OR(G254="",G254="なし"),"",IF(W254="経理区分別",BD254+BE254,""))</f>
        <v/>
      </c>
      <c r="AF254" s="27"/>
      <c r="AG254" s="26" t="s">
        <v>160</v>
      </c>
      <c r="AH254" s="26"/>
      <c r="AI254" s="30"/>
      <c r="AJ254" s="31"/>
      <c r="AK254" s="31"/>
      <c r="AL254" s="31"/>
      <c r="AM254" s="31"/>
      <c r="AN254" s="31"/>
      <c r="AO254" s="31"/>
      <c r="AP254" s="31"/>
      <c r="AQ254" s="31"/>
      <c r="AR254" s="31"/>
      <c r="AS254" s="31"/>
      <c r="AT254" s="31"/>
      <c r="AU254" s="31" t="n">
        <f aca="false">IF($G254="",AJ254,L254)</f>
        <v>0</v>
      </c>
      <c r="AV254" s="31" t="n">
        <f aca="false">IF($G254="",AK254,M254)</f>
        <v>0</v>
      </c>
      <c r="AW254" s="31" t="n">
        <f aca="false">IF($G254="",AL254,N254)</f>
        <v>45750</v>
      </c>
      <c r="AX254" s="31" t="n">
        <f aca="false">IF($G254="",AM254,O254)</f>
        <v>3750</v>
      </c>
      <c r="AY254" s="31" t="n">
        <f aca="false">IF($G254="",AN254,P254)</f>
        <v>43</v>
      </c>
      <c r="AZ254" s="31" t="n">
        <f aca="false">IF($G254="",AO254,Q254)</f>
        <v>0</v>
      </c>
      <c r="BA254" s="31" t="n">
        <f aca="false">IF($G254="",AP254,R254)</f>
        <v>25955</v>
      </c>
      <c r="BB254" s="31" t="n">
        <f aca="false">IF($G254="",AQ254,S254)</f>
        <v>0</v>
      </c>
      <c r="BC254" s="31" t="n">
        <f aca="false">IF($G254="",AR254,T254)</f>
        <v>3950</v>
      </c>
      <c r="BD254" s="31" t="n">
        <f aca="false">IF($G254="",AS254,U254)</f>
        <v>0</v>
      </c>
      <c r="BE254" s="31" t="n">
        <f aca="false">IF($G254="",AT254,V254)</f>
        <v>575</v>
      </c>
      <c r="BF254" s="31" t="n">
        <f aca="false">ROUNDDOWN(I254*設定!$B$10/1000,0)+ROUNDDOWN(I254*設定!$B$11/1000,0)</f>
        <v>0</v>
      </c>
      <c r="BG254" s="31" t="n">
        <f aca="false">ROUNDDOWN(I254*設定!$C$10/1000,0)+ROUNDDOWN(I254*設定!$C$11/1000,0)+ROUNDDOWN(I254*設定!$C$12/1000,0)</f>
        <v>0</v>
      </c>
      <c r="BH254" s="31" t="n">
        <f aca="false">ROUNDDOWN(J254*設定!$B$13/1000,0)</f>
        <v>0</v>
      </c>
      <c r="BI254" s="31" t="n">
        <f aca="false">ROUNDDOWN(J254*設定!$C$13/1000,0)</f>
        <v>0</v>
      </c>
      <c r="BJ254" s="31" t="n">
        <f aca="false">ROUNDDOWN(K254*設定!$B$14/1000,0)</f>
        <v>0</v>
      </c>
      <c r="BK254" s="31" t="n">
        <f aca="false">ROUNDDOWN(K254*設定!$C$14/1000,0)</f>
        <v>0</v>
      </c>
      <c r="BL254" s="31" t="n">
        <f aca="false">ROUNDDOWN(J254*設定!$B$15/1000,0)</f>
        <v>0</v>
      </c>
      <c r="BM254" s="31" t="n">
        <f aca="false">ROUNDDOWN(J254*設定!$C$15/1000,0)</f>
        <v>0</v>
      </c>
      <c r="BN254" s="31" t="n">
        <f aca="false">L254+M254</f>
        <v>0</v>
      </c>
      <c r="BO254" s="31" t="n">
        <f aca="false">N254+O254+P254</f>
        <v>49543</v>
      </c>
      <c r="BP254" s="31" t="n">
        <f aca="false">Q254</f>
        <v>0</v>
      </c>
      <c r="BQ254" s="31" t="n">
        <f aca="false">R254</f>
        <v>25955</v>
      </c>
      <c r="BR254" s="31" t="n">
        <f aca="false">S254</f>
        <v>0</v>
      </c>
      <c r="BS254" s="31" t="n">
        <f aca="false">T254</f>
        <v>3950</v>
      </c>
      <c r="BT254" s="31" t="n">
        <f aca="false">U254</f>
        <v>0</v>
      </c>
      <c r="BU254" s="31" t="n">
        <f aca="false">V254</f>
        <v>575</v>
      </c>
      <c r="BV254" s="32" t="n">
        <f aca="false">IF(BF254=0,IF(BN254=0,0,1),(BN254-BF254)/BF254)</f>
        <v>0</v>
      </c>
      <c r="BW254" s="32" t="n">
        <f aca="false">IF(BG254=0,IF(BO254=0,0,1),(BO254-BG254)/BG254)</f>
        <v>1</v>
      </c>
      <c r="BX254" s="32" t="n">
        <f aca="false">IF(BH254=0,IF(BP254=0,0,1),(BP254-BH254)/BH254)</f>
        <v>0</v>
      </c>
      <c r="BY254" s="32" t="n">
        <f aca="false">IF(BI254=0,IF(BQ254=0,0,1),(BQ254-BI254)/BI254)</f>
        <v>1</v>
      </c>
      <c r="BZ254" s="32" t="n">
        <f aca="false">IF(BJ254=0,IF(BR254=0,0,1),(BR254-BJ254)/BJ254)</f>
        <v>0</v>
      </c>
      <c r="CA254" s="32" t="n">
        <f aca="false">IF(BK254=0,IF(BS254=0,0,1),(BS254-BK254)/BK254)</f>
        <v>1</v>
      </c>
      <c r="CB254" s="32" t="n">
        <f aca="false">IF(BL254=0,IF(BT254=0,0,1),(BT254-BL254)/BL254)</f>
        <v>0</v>
      </c>
      <c r="CC254" s="32" t="n">
        <f aca="false">IF(BM254=0,IF(BU254=0,0,1),(BU254-BM254)/BM254)</f>
        <v>1</v>
      </c>
      <c r="CD254" s="32" t="n">
        <f aca="false">MAX(MAX(BV254:CC254),-MIN(BV254:CC254))</f>
        <v>1</v>
      </c>
      <c r="CE254" s="31" t="n">
        <f aca="false">IF(CI254="","",SUMIFS($CF$7:$CF$696,$A$7:$A$696,CI254,$B$7:$B$696,B254))</f>
        <v>80023</v>
      </c>
      <c r="CF254" s="31" t="n">
        <f aca="false">SUM(AU254:BE254)</f>
        <v>80023</v>
      </c>
      <c r="CG254" s="33" t="str">
        <f aca="false">A254&amp;"|"&amp;B254</f>
        <v>2026-08 月例|ひろしま産業振興</v>
      </c>
      <c r="CH254" s="34" t="str">
        <f aca="false">IFERROR(INDEX(設定!$D$61:$D$106,MATCH(B254,設定!$B$61:$B$106,0)),"Y")</f>
        <v>Y</v>
      </c>
      <c r="CI254" s="34" t="str">
        <f aca="false">IFERROR(INDEX(設定!$D$20:$D$34,MATCH(A254,設定!$A$20:$A$34,0))&amp;"","")</f>
        <v>2026-07 月例</v>
      </c>
    </row>
    <row r="255" customFormat="false" ht="15" hidden="true" customHeight="false" outlineLevel="0" collapsed="false">
      <c r="A255" s="22" t="s">
        <v>212</v>
      </c>
      <c r="B255" s="23" t="s">
        <v>179</v>
      </c>
      <c r="C255" s="10" t="str">
        <f aca="false">IF(G255="","未受領",IF(G255="なし","報告なし",IF(AH255="○","起票済",IF(OR(AG255="○",F255="一致",F255="入金不要"),"入金確認済","受領済"))))</f>
        <v>入金確認済</v>
      </c>
      <c r="D255" s="10" t="str">
        <f aca="false">IF(OR(G255="",G255="なし"),"―",IF(CH255="N","対象外",IF(AND(I255="",J255="",K255=""),"標報未入力",IF(CD255&gt;=設定!$B$4,"要確認","問題なし"))))</f>
        <v>標報未入力</v>
      </c>
      <c r="E255" s="24" t="str">
        <f aca="false">IF(OR(G255="",G255="なし",CE255="",CF255=0),"―",IF(CF255=CE255,"前月同額",IF(CE255=0,"―",IF(ABS(CF255/CE255-1)&gt;=設定!$B$5,"変動大 "&amp;TEXT(CF255/CE255-1,"+0%;-0%"),"〇"))))</f>
        <v>―</v>
      </c>
      <c r="F255" s="10" t="str">
        <f aca="false">IF(OR(G255="",G255="なし"),"―",IF(CF255=0,"入金不要",IF(COUNT(Z255,AB255,AD255,AF255)=0,IF(AG255="○","手動確認","未入金"),IF(AND(N(Z255)=Y255,IF(AA255="",TRUE(),N(AB255)=AA255),IF(AC255="",TRUE(),N(AD255)=AC255),IF(AE255="",TRUE(),N(AF255)=AE255)),"一致","不一致"))))</f>
        <v>入金不要</v>
      </c>
      <c r="G255" s="25" t="s">
        <v>159</v>
      </c>
      <c r="H255" s="26"/>
      <c r="I255" s="27"/>
      <c r="J255" s="27"/>
      <c r="K255" s="27"/>
      <c r="L255" s="27"/>
      <c r="M255" s="27"/>
      <c r="N255" s="27" t="n">
        <v>0</v>
      </c>
      <c r="O255" s="27" t="n">
        <v>0</v>
      </c>
      <c r="P255" s="27" t="n">
        <v>0</v>
      </c>
      <c r="Q255" s="27"/>
      <c r="R255" s="27" t="n">
        <v>0</v>
      </c>
      <c r="S255" s="27"/>
      <c r="T255" s="27" t="n">
        <v>0</v>
      </c>
      <c r="U255" s="27"/>
      <c r="V255" s="27" t="n">
        <v>0</v>
      </c>
      <c r="W255" s="10" t="str">
        <f aca="false">IFERROR(INDEX(設定!$E$61:$E$106,MATCH(B255,設定!$B$61:$B$106,0)),"合算")</f>
        <v>合算</v>
      </c>
      <c r="X255" s="28"/>
      <c r="Y255" s="29" t="n">
        <f aca="false">IF(OR(G255="",G255="なし"),"",IF(W255="合算",CF255,IF(W255="掛金・負担金別",(AU255+AV255+AZ255+BB255+BD255),SUM(AU255:AY255))))</f>
        <v>0</v>
      </c>
      <c r="Z255" s="27"/>
      <c r="AA255" s="29" t="str">
        <f aca="false">IF(OR(G255="",G255="なし"),"",IF(W255="掛金・負担金別",(AW255+AX255+AY255+BA255+BC255+BE255),IF(W255="経理区分別",AZ255+BA255,"")))</f>
        <v/>
      </c>
      <c r="AB255" s="27"/>
      <c r="AC255" s="29" t="str">
        <f aca="false">IF(OR(G255="",G255="なし"),"",IF(W255="経理区分別",BB255+BC255,""))</f>
        <v/>
      </c>
      <c r="AD255" s="27"/>
      <c r="AE255" s="29" t="str">
        <f aca="false">IF(OR(G255="",G255="なし"),"",IF(W255="経理区分別",BD255+BE255,""))</f>
        <v/>
      </c>
      <c r="AF255" s="27"/>
      <c r="AG255" s="26" t="s">
        <v>160</v>
      </c>
      <c r="AH255" s="26"/>
      <c r="AI255" s="30"/>
      <c r="AJ255" s="31"/>
      <c r="AK255" s="31"/>
      <c r="AL255" s="31"/>
      <c r="AM255" s="31"/>
      <c r="AN255" s="31"/>
      <c r="AO255" s="31"/>
      <c r="AP255" s="31"/>
      <c r="AQ255" s="31"/>
      <c r="AR255" s="31"/>
      <c r="AS255" s="31"/>
      <c r="AT255" s="31"/>
      <c r="AU255" s="31" t="n">
        <f aca="false">IF($G255="",AJ255,L255)</f>
        <v>0</v>
      </c>
      <c r="AV255" s="31" t="n">
        <f aca="false">IF($G255="",AK255,M255)</f>
        <v>0</v>
      </c>
      <c r="AW255" s="31" t="n">
        <f aca="false">IF($G255="",AL255,N255)</f>
        <v>0</v>
      </c>
      <c r="AX255" s="31" t="n">
        <f aca="false">IF($G255="",AM255,O255)</f>
        <v>0</v>
      </c>
      <c r="AY255" s="31" t="n">
        <f aca="false">IF($G255="",AN255,P255)</f>
        <v>0</v>
      </c>
      <c r="AZ255" s="31" t="n">
        <f aca="false">IF($G255="",AO255,Q255)</f>
        <v>0</v>
      </c>
      <c r="BA255" s="31" t="n">
        <f aca="false">IF($G255="",AP255,R255)</f>
        <v>0</v>
      </c>
      <c r="BB255" s="31" t="n">
        <f aca="false">IF($G255="",AQ255,S255)</f>
        <v>0</v>
      </c>
      <c r="BC255" s="31" t="n">
        <f aca="false">IF($G255="",AR255,T255)</f>
        <v>0</v>
      </c>
      <c r="BD255" s="31" t="n">
        <f aca="false">IF($G255="",AS255,U255)</f>
        <v>0</v>
      </c>
      <c r="BE255" s="31" t="n">
        <f aca="false">IF($G255="",AT255,V255)</f>
        <v>0</v>
      </c>
      <c r="BF255" s="31" t="n">
        <f aca="false">ROUNDDOWN(I255*設定!$B$10/1000,0)+ROUNDDOWN(I255*設定!$B$11/1000,0)</f>
        <v>0</v>
      </c>
      <c r="BG255" s="31" t="n">
        <f aca="false">ROUNDDOWN(I255*設定!$C$10/1000,0)+ROUNDDOWN(I255*設定!$C$11/1000,0)+ROUNDDOWN(I255*設定!$C$12/1000,0)</f>
        <v>0</v>
      </c>
      <c r="BH255" s="31" t="n">
        <f aca="false">ROUNDDOWN(J255*設定!$B$13/1000,0)</f>
        <v>0</v>
      </c>
      <c r="BI255" s="31" t="n">
        <f aca="false">ROUNDDOWN(J255*設定!$C$13/1000,0)</f>
        <v>0</v>
      </c>
      <c r="BJ255" s="31" t="n">
        <f aca="false">ROUNDDOWN(K255*設定!$B$14/1000,0)</f>
        <v>0</v>
      </c>
      <c r="BK255" s="31" t="n">
        <f aca="false">ROUNDDOWN(K255*設定!$C$14/1000,0)</f>
        <v>0</v>
      </c>
      <c r="BL255" s="31" t="n">
        <f aca="false">ROUNDDOWN(J255*設定!$B$15/1000,0)</f>
        <v>0</v>
      </c>
      <c r="BM255" s="31" t="n">
        <f aca="false">ROUNDDOWN(J255*設定!$C$15/1000,0)</f>
        <v>0</v>
      </c>
      <c r="BN255" s="31" t="n">
        <f aca="false">L255+M255</f>
        <v>0</v>
      </c>
      <c r="BO255" s="31" t="n">
        <f aca="false">N255+O255+P255</f>
        <v>0</v>
      </c>
      <c r="BP255" s="31" t="n">
        <f aca="false">Q255</f>
        <v>0</v>
      </c>
      <c r="BQ255" s="31" t="n">
        <f aca="false">R255</f>
        <v>0</v>
      </c>
      <c r="BR255" s="31" t="n">
        <f aca="false">S255</f>
        <v>0</v>
      </c>
      <c r="BS255" s="31" t="n">
        <f aca="false">T255</f>
        <v>0</v>
      </c>
      <c r="BT255" s="31" t="n">
        <f aca="false">U255</f>
        <v>0</v>
      </c>
      <c r="BU255" s="31" t="n">
        <f aca="false">V255</f>
        <v>0</v>
      </c>
      <c r="BV255" s="32" t="n">
        <f aca="false">IF(BF255=0,IF(BN255=0,0,1),(BN255-BF255)/BF255)</f>
        <v>0</v>
      </c>
      <c r="BW255" s="32" t="n">
        <f aca="false">IF(BG255=0,IF(BO255=0,0,1),(BO255-BG255)/BG255)</f>
        <v>0</v>
      </c>
      <c r="BX255" s="32" t="n">
        <f aca="false">IF(BH255=0,IF(BP255=0,0,1),(BP255-BH255)/BH255)</f>
        <v>0</v>
      </c>
      <c r="BY255" s="32" t="n">
        <f aca="false">IF(BI255=0,IF(BQ255=0,0,1),(BQ255-BI255)/BI255)</f>
        <v>0</v>
      </c>
      <c r="BZ255" s="32" t="n">
        <f aca="false">IF(BJ255=0,IF(BR255=0,0,1),(BR255-BJ255)/BJ255)</f>
        <v>0</v>
      </c>
      <c r="CA255" s="32" t="n">
        <f aca="false">IF(BK255=0,IF(BS255=0,0,1),(BS255-BK255)/BK255)</f>
        <v>0</v>
      </c>
      <c r="CB255" s="32" t="n">
        <f aca="false">IF(BL255=0,IF(BT255=0,0,1),(BT255-BL255)/BL255)</f>
        <v>0</v>
      </c>
      <c r="CC255" s="32" t="n">
        <f aca="false">IF(BM255=0,IF(BU255=0,0,1),(BU255-BM255)/BM255)</f>
        <v>0</v>
      </c>
      <c r="CD255" s="32" t="n">
        <f aca="false">MAX(MAX(BV255:CC255),-MIN(BV255:CC255))</f>
        <v>-0</v>
      </c>
      <c r="CE255" s="31" t="n">
        <f aca="false">IF(CI255="","",SUMIFS($CF$7:$CF$696,$A$7:$A$696,CI255,$B$7:$B$696,B255))</f>
        <v>0</v>
      </c>
      <c r="CF255" s="31" t="n">
        <f aca="false">SUM(AU255:BE255)</f>
        <v>0</v>
      </c>
      <c r="CG255" s="33" t="str">
        <f aca="false">A255&amp;"|"&amp;B255</f>
        <v>2026-08 月例|都市整備公社　市</v>
      </c>
      <c r="CH255" s="34" t="str">
        <f aca="false">IFERROR(INDEX(設定!$D$61:$D$106,MATCH(B255,設定!$B$61:$B$106,0)),"Y")</f>
        <v>Y</v>
      </c>
      <c r="CI255" s="34" t="str">
        <f aca="false">IFERROR(INDEX(設定!$D$20:$D$34,MATCH(A255,設定!$A$20:$A$34,0))&amp;"","")</f>
        <v>2026-07 月例</v>
      </c>
    </row>
    <row r="256" customFormat="false" ht="15" hidden="true" customHeight="false" outlineLevel="0" collapsed="false">
      <c r="A256" s="22" t="s">
        <v>212</v>
      </c>
      <c r="B256" s="23" t="s">
        <v>180</v>
      </c>
      <c r="C256" s="10" t="str">
        <f aca="false">IF(G256="","未受領",IF(G256="なし","報告なし",IF(AH256="○","起票済",IF(OR(AG256="○",F256="一致",F256="入金不要"),"入金確認済","受領済"))))</f>
        <v>入金確認済</v>
      </c>
      <c r="D256" s="10" t="str">
        <f aca="false">IF(OR(G256="",G256="なし"),"―",IF(CH256="N","対象外",IF(AND(I256="",J256="",K256=""),"標報未入力",IF(CD256&gt;=設定!$B$4,"要確認","問題なし"))))</f>
        <v>標報未入力</v>
      </c>
      <c r="E256" s="24" t="str">
        <f aca="false">IF(OR(G256="",G256="なし",CE256="",CF256=0),"―",IF(CF256=CE256,"前月同額",IF(CE256=0,"―",IF(ABS(CF256/CE256-1)&gt;=設定!$B$5,"変動大 "&amp;TEXT(CF256/CE256-1,"+0%;-0%"),"〇"))))</f>
        <v>前月同額</v>
      </c>
      <c r="F256" s="10" t="str">
        <f aca="false">IF(OR(G256="",G256="なし"),"―",IF(CF256=0,"入金不要",IF(COUNT(Z256,AB256,AD256,AF256)=0,IF(AG256="○","手動確認","未入金"),IF(AND(N(Z256)=Y256,IF(AA256="",TRUE(),N(AB256)=AA256),IF(AC256="",TRUE(),N(AD256)=AC256),IF(AE256="",TRUE(),N(AF256)=AE256)),"一致","不一致"))))</f>
        <v>手動確認</v>
      </c>
      <c r="G256" s="25" t="s">
        <v>159</v>
      </c>
      <c r="H256" s="26"/>
      <c r="I256" s="27"/>
      <c r="J256" s="27"/>
      <c r="K256" s="27"/>
      <c r="L256" s="27"/>
      <c r="M256" s="27"/>
      <c r="N256" s="27" t="n">
        <v>193065</v>
      </c>
      <c r="O256" s="27" t="n">
        <v>15825</v>
      </c>
      <c r="P256" s="27" t="n">
        <v>183</v>
      </c>
      <c r="Q256" s="27"/>
      <c r="R256" s="27" t="n">
        <v>109530</v>
      </c>
      <c r="S256" s="27"/>
      <c r="T256" s="27" t="n">
        <v>12956</v>
      </c>
      <c r="U256" s="27"/>
      <c r="V256" s="27" t="n">
        <v>2426</v>
      </c>
      <c r="W256" s="10" t="str">
        <f aca="false">IFERROR(INDEX(設定!$E$61:$E$106,MATCH(B256,設定!$B$61:$B$106,0)),"合算")</f>
        <v>合算</v>
      </c>
      <c r="X256" s="28"/>
      <c r="Y256" s="29" t="n">
        <f aca="false">IF(OR(G256="",G256="なし"),"",IF(W256="合算",CF256,IF(W256="掛金・負担金別",(AU256+AV256+AZ256+BB256+BD256),SUM(AU256:AY256))))</f>
        <v>333985</v>
      </c>
      <c r="Z256" s="27"/>
      <c r="AA256" s="29" t="str">
        <f aca="false">IF(OR(G256="",G256="なし"),"",IF(W256="掛金・負担金別",(AW256+AX256+AY256+BA256+BC256+BE256),IF(W256="経理区分別",AZ256+BA256,"")))</f>
        <v/>
      </c>
      <c r="AB256" s="27"/>
      <c r="AC256" s="29" t="str">
        <f aca="false">IF(OR(G256="",G256="なし"),"",IF(W256="経理区分別",BB256+BC256,""))</f>
        <v/>
      </c>
      <c r="AD256" s="27"/>
      <c r="AE256" s="29" t="str">
        <f aca="false">IF(OR(G256="",G256="なし"),"",IF(W256="経理区分別",BD256+BE256,""))</f>
        <v/>
      </c>
      <c r="AF256" s="27"/>
      <c r="AG256" s="26" t="s">
        <v>160</v>
      </c>
      <c r="AH256" s="26"/>
      <c r="AI256" s="30"/>
      <c r="AJ256" s="31"/>
      <c r="AK256" s="31"/>
      <c r="AL256" s="31"/>
      <c r="AM256" s="31"/>
      <c r="AN256" s="31"/>
      <c r="AO256" s="31"/>
      <c r="AP256" s="31"/>
      <c r="AQ256" s="31"/>
      <c r="AR256" s="31"/>
      <c r="AS256" s="31"/>
      <c r="AT256" s="31"/>
      <c r="AU256" s="31" t="n">
        <f aca="false">IF($G256="",AJ256,L256)</f>
        <v>0</v>
      </c>
      <c r="AV256" s="31" t="n">
        <f aca="false">IF($G256="",AK256,M256)</f>
        <v>0</v>
      </c>
      <c r="AW256" s="31" t="n">
        <f aca="false">IF($G256="",AL256,N256)</f>
        <v>193065</v>
      </c>
      <c r="AX256" s="31" t="n">
        <f aca="false">IF($G256="",AM256,O256)</f>
        <v>15825</v>
      </c>
      <c r="AY256" s="31" t="n">
        <f aca="false">IF($G256="",AN256,P256)</f>
        <v>183</v>
      </c>
      <c r="AZ256" s="31" t="n">
        <f aca="false">IF($G256="",AO256,Q256)</f>
        <v>0</v>
      </c>
      <c r="BA256" s="31" t="n">
        <f aca="false">IF($G256="",AP256,R256)</f>
        <v>109530</v>
      </c>
      <c r="BB256" s="31" t="n">
        <f aca="false">IF($G256="",AQ256,S256)</f>
        <v>0</v>
      </c>
      <c r="BC256" s="31" t="n">
        <f aca="false">IF($G256="",AR256,T256)</f>
        <v>12956</v>
      </c>
      <c r="BD256" s="31" t="n">
        <f aca="false">IF($G256="",AS256,U256)</f>
        <v>0</v>
      </c>
      <c r="BE256" s="31" t="n">
        <f aca="false">IF($G256="",AT256,V256)</f>
        <v>2426</v>
      </c>
      <c r="BF256" s="31" t="n">
        <f aca="false">ROUNDDOWN(I256*設定!$B$10/1000,0)+ROUNDDOWN(I256*設定!$B$11/1000,0)</f>
        <v>0</v>
      </c>
      <c r="BG256" s="31" t="n">
        <f aca="false">ROUNDDOWN(I256*設定!$C$10/1000,0)+ROUNDDOWN(I256*設定!$C$11/1000,0)+ROUNDDOWN(I256*設定!$C$12/1000,0)</f>
        <v>0</v>
      </c>
      <c r="BH256" s="31" t="n">
        <f aca="false">ROUNDDOWN(J256*設定!$B$13/1000,0)</f>
        <v>0</v>
      </c>
      <c r="BI256" s="31" t="n">
        <f aca="false">ROUNDDOWN(J256*設定!$C$13/1000,0)</f>
        <v>0</v>
      </c>
      <c r="BJ256" s="31" t="n">
        <f aca="false">ROUNDDOWN(K256*設定!$B$14/1000,0)</f>
        <v>0</v>
      </c>
      <c r="BK256" s="31" t="n">
        <f aca="false">ROUNDDOWN(K256*設定!$C$14/1000,0)</f>
        <v>0</v>
      </c>
      <c r="BL256" s="31" t="n">
        <f aca="false">ROUNDDOWN(J256*設定!$B$15/1000,0)</f>
        <v>0</v>
      </c>
      <c r="BM256" s="31" t="n">
        <f aca="false">ROUNDDOWN(J256*設定!$C$15/1000,0)</f>
        <v>0</v>
      </c>
      <c r="BN256" s="31" t="n">
        <f aca="false">L256+M256</f>
        <v>0</v>
      </c>
      <c r="BO256" s="31" t="n">
        <f aca="false">N256+O256+P256</f>
        <v>209073</v>
      </c>
      <c r="BP256" s="31" t="n">
        <f aca="false">Q256</f>
        <v>0</v>
      </c>
      <c r="BQ256" s="31" t="n">
        <f aca="false">R256</f>
        <v>109530</v>
      </c>
      <c r="BR256" s="31" t="n">
        <f aca="false">S256</f>
        <v>0</v>
      </c>
      <c r="BS256" s="31" t="n">
        <f aca="false">T256</f>
        <v>12956</v>
      </c>
      <c r="BT256" s="31" t="n">
        <f aca="false">U256</f>
        <v>0</v>
      </c>
      <c r="BU256" s="31" t="n">
        <f aca="false">V256</f>
        <v>2426</v>
      </c>
      <c r="BV256" s="32" t="n">
        <f aca="false">IF(BF256=0,IF(BN256=0,0,1),(BN256-BF256)/BF256)</f>
        <v>0</v>
      </c>
      <c r="BW256" s="32" t="n">
        <f aca="false">IF(BG256=0,IF(BO256=0,0,1),(BO256-BG256)/BG256)</f>
        <v>1</v>
      </c>
      <c r="BX256" s="32" t="n">
        <f aca="false">IF(BH256=0,IF(BP256=0,0,1),(BP256-BH256)/BH256)</f>
        <v>0</v>
      </c>
      <c r="BY256" s="32" t="n">
        <f aca="false">IF(BI256=0,IF(BQ256=0,0,1),(BQ256-BI256)/BI256)</f>
        <v>1</v>
      </c>
      <c r="BZ256" s="32" t="n">
        <f aca="false">IF(BJ256=0,IF(BR256=0,0,1),(BR256-BJ256)/BJ256)</f>
        <v>0</v>
      </c>
      <c r="CA256" s="32" t="n">
        <f aca="false">IF(BK256=0,IF(BS256=0,0,1),(BS256-BK256)/BK256)</f>
        <v>1</v>
      </c>
      <c r="CB256" s="32" t="n">
        <f aca="false">IF(BL256=0,IF(BT256=0,0,1),(BT256-BL256)/BL256)</f>
        <v>0</v>
      </c>
      <c r="CC256" s="32" t="n">
        <f aca="false">IF(BM256=0,IF(BU256=0,0,1),(BU256-BM256)/BM256)</f>
        <v>1</v>
      </c>
      <c r="CD256" s="32" t="n">
        <f aca="false">MAX(MAX(BV256:CC256),-MIN(BV256:CC256))</f>
        <v>1</v>
      </c>
      <c r="CE256" s="31" t="n">
        <f aca="false">IF(CI256="","",SUMIFS($CF$7:$CF$696,$A$7:$A$696,CI256,$B$7:$B$696,B256))</f>
        <v>333985</v>
      </c>
      <c r="CF256" s="31" t="n">
        <f aca="false">SUM(AU256:BE256)</f>
        <v>333985</v>
      </c>
      <c r="CG256" s="33" t="str">
        <f aca="false">A256&amp;"|"&amp;B256</f>
        <v>2026-08 月例|都市整備公社　消防</v>
      </c>
      <c r="CH256" s="34" t="str">
        <f aca="false">IFERROR(INDEX(設定!$D$61:$D$106,MATCH(B256,設定!$B$61:$B$106,0)),"Y")</f>
        <v>Y</v>
      </c>
      <c r="CI256" s="34" t="str">
        <f aca="false">IFERROR(INDEX(設定!$D$20:$D$34,MATCH(A256,設定!$A$20:$A$34,0))&amp;"","")</f>
        <v>2026-07 月例</v>
      </c>
    </row>
    <row r="257" customFormat="false" ht="15" hidden="true" customHeight="false" outlineLevel="0" collapsed="false">
      <c r="A257" s="22" t="s">
        <v>212</v>
      </c>
      <c r="B257" s="23" t="s">
        <v>181</v>
      </c>
      <c r="C257" s="10" t="str">
        <f aca="false">IF(G257="","未受領",IF(G257="なし","報告なし",IF(AH257="○","起票済",IF(OR(AG257="○",F257="一致",F257="入金不要"),"入金確認済","受領済"))))</f>
        <v>入金確認済</v>
      </c>
      <c r="D257" s="10" t="str">
        <f aca="false">IF(OR(G257="",G257="なし"),"―",IF(CH257="N","対象外",IF(AND(I257="",J257="",K257=""),"標報未入力",IF(CD257&gt;=設定!$B$4,"要確認","問題なし"))))</f>
        <v>標報未入力</v>
      </c>
      <c r="E257" s="24" t="str">
        <f aca="false">IF(OR(G257="",G257="なし",CE257="",CF257=0),"―",IF(CF257=CE257,"前月同額",IF(CE257=0,"―",IF(ABS(CF257/CE257-1)&gt;=設定!$B$5,"変動大 "&amp;TEXT(CF257/CE257-1,"+0%;-0%"),"〇"))))</f>
        <v>前月同額</v>
      </c>
      <c r="F257" s="10" t="str">
        <f aca="false">IF(OR(G257="",G257="なし"),"―",IF(CF257=0,"入金不要",IF(COUNT(Z257,AB257,AD257,AF257)=0,IF(AG257="○","手動確認","未入金"),IF(AND(N(Z257)=Y257,IF(AA257="",TRUE(),N(AB257)=AA257),IF(AC257="",TRUE(),N(AD257)=AC257),IF(AE257="",TRUE(),N(AF257)=AE257)),"一致","不一致"))))</f>
        <v>手動確認</v>
      </c>
      <c r="G257" s="25" t="s">
        <v>159</v>
      </c>
      <c r="H257" s="26"/>
      <c r="I257" s="27"/>
      <c r="J257" s="27"/>
      <c r="K257" s="27"/>
      <c r="L257" s="27" t="n">
        <v>241560</v>
      </c>
      <c r="M257" s="27" t="n">
        <v>19800</v>
      </c>
      <c r="N257" s="27" t="n">
        <v>241560</v>
      </c>
      <c r="O257" s="27" t="n">
        <v>19800</v>
      </c>
      <c r="P257" s="27" t="n">
        <v>229</v>
      </c>
      <c r="Q257" s="27" t="n">
        <v>140019</v>
      </c>
      <c r="R257" s="27" t="n">
        <v>140157</v>
      </c>
      <c r="S257" s="27" t="n">
        <v>10744</v>
      </c>
      <c r="T257" s="27" t="n">
        <v>10744</v>
      </c>
      <c r="U257" s="27" t="n">
        <v>3104</v>
      </c>
      <c r="V257" s="27" t="n">
        <v>3105</v>
      </c>
      <c r="W257" s="10" t="str">
        <f aca="false">IFERROR(INDEX(設定!$E$61:$E$106,MATCH(B257,設定!$B$61:$B$106,0)),"合算")</f>
        <v>合算</v>
      </c>
      <c r="X257" s="28"/>
      <c r="Y257" s="29" t="n">
        <f aca="false">IF(OR(G257="",G257="なし"),"",IF(W257="合算",CF257,IF(W257="掛金・負担金別",(AU257+AV257+AZ257+BB257+BD257),SUM(AU257:AY257))))</f>
        <v>830822</v>
      </c>
      <c r="Z257" s="27"/>
      <c r="AA257" s="29" t="str">
        <f aca="false">IF(OR(G257="",G257="なし"),"",IF(W257="掛金・負担金別",(AW257+AX257+AY257+BA257+BC257+BE257),IF(W257="経理区分別",AZ257+BA257,"")))</f>
        <v/>
      </c>
      <c r="AB257" s="27"/>
      <c r="AC257" s="29" t="str">
        <f aca="false">IF(OR(G257="",G257="なし"),"",IF(W257="経理区分別",BB257+BC257,""))</f>
        <v/>
      </c>
      <c r="AD257" s="27"/>
      <c r="AE257" s="29" t="str">
        <f aca="false">IF(OR(G257="",G257="なし"),"",IF(W257="経理区分別",BD257+BE257,""))</f>
        <v/>
      </c>
      <c r="AF257" s="27"/>
      <c r="AG257" s="26" t="s">
        <v>160</v>
      </c>
      <c r="AH257" s="26"/>
      <c r="AI257" s="30"/>
      <c r="AJ257" s="31"/>
      <c r="AK257" s="31"/>
      <c r="AL257" s="31"/>
      <c r="AM257" s="31"/>
      <c r="AN257" s="31"/>
      <c r="AO257" s="31"/>
      <c r="AP257" s="31"/>
      <c r="AQ257" s="31"/>
      <c r="AR257" s="31"/>
      <c r="AS257" s="31"/>
      <c r="AT257" s="31"/>
      <c r="AU257" s="31" t="n">
        <f aca="false">IF($G257="",AJ257,L257)</f>
        <v>241560</v>
      </c>
      <c r="AV257" s="31" t="n">
        <f aca="false">IF($G257="",AK257,M257)</f>
        <v>19800</v>
      </c>
      <c r="AW257" s="31" t="n">
        <f aca="false">IF($G257="",AL257,N257)</f>
        <v>241560</v>
      </c>
      <c r="AX257" s="31" t="n">
        <f aca="false">IF($G257="",AM257,O257)</f>
        <v>19800</v>
      </c>
      <c r="AY257" s="31" t="n">
        <f aca="false">IF($G257="",AN257,P257)</f>
        <v>229</v>
      </c>
      <c r="AZ257" s="31" t="n">
        <f aca="false">IF($G257="",AO257,Q257)</f>
        <v>140019</v>
      </c>
      <c r="BA257" s="31" t="n">
        <f aca="false">IF($G257="",AP257,R257)</f>
        <v>140157</v>
      </c>
      <c r="BB257" s="31" t="n">
        <f aca="false">IF($G257="",AQ257,S257)</f>
        <v>10744</v>
      </c>
      <c r="BC257" s="31" t="n">
        <f aca="false">IF($G257="",AR257,T257)</f>
        <v>10744</v>
      </c>
      <c r="BD257" s="31" t="n">
        <f aca="false">IF($G257="",AS257,U257)</f>
        <v>3104</v>
      </c>
      <c r="BE257" s="31" t="n">
        <f aca="false">IF($G257="",AT257,V257)</f>
        <v>3105</v>
      </c>
      <c r="BF257" s="31" t="n">
        <f aca="false">ROUNDDOWN(I257*設定!$B$10/1000,0)+ROUNDDOWN(I257*設定!$B$11/1000,0)</f>
        <v>0</v>
      </c>
      <c r="BG257" s="31" t="n">
        <f aca="false">ROUNDDOWN(I257*設定!$C$10/1000,0)+ROUNDDOWN(I257*設定!$C$11/1000,0)+ROUNDDOWN(I257*設定!$C$12/1000,0)</f>
        <v>0</v>
      </c>
      <c r="BH257" s="31" t="n">
        <f aca="false">ROUNDDOWN(J257*設定!$B$13/1000,0)</f>
        <v>0</v>
      </c>
      <c r="BI257" s="31" t="n">
        <f aca="false">ROUNDDOWN(J257*設定!$C$13/1000,0)</f>
        <v>0</v>
      </c>
      <c r="BJ257" s="31" t="n">
        <f aca="false">ROUNDDOWN(K257*設定!$B$14/1000,0)</f>
        <v>0</v>
      </c>
      <c r="BK257" s="31" t="n">
        <f aca="false">ROUNDDOWN(K257*設定!$C$14/1000,0)</f>
        <v>0</v>
      </c>
      <c r="BL257" s="31" t="n">
        <f aca="false">ROUNDDOWN(J257*設定!$B$15/1000,0)</f>
        <v>0</v>
      </c>
      <c r="BM257" s="31" t="n">
        <f aca="false">ROUNDDOWN(J257*設定!$C$15/1000,0)</f>
        <v>0</v>
      </c>
      <c r="BN257" s="31" t="n">
        <f aca="false">L257+M257</f>
        <v>261360</v>
      </c>
      <c r="BO257" s="31" t="n">
        <f aca="false">N257+O257+P257</f>
        <v>261589</v>
      </c>
      <c r="BP257" s="31" t="n">
        <f aca="false">Q257</f>
        <v>140019</v>
      </c>
      <c r="BQ257" s="31" t="n">
        <f aca="false">R257</f>
        <v>140157</v>
      </c>
      <c r="BR257" s="31" t="n">
        <f aca="false">S257</f>
        <v>10744</v>
      </c>
      <c r="BS257" s="31" t="n">
        <f aca="false">T257</f>
        <v>10744</v>
      </c>
      <c r="BT257" s="31" t="n">
        <f aca="false">U257</f>
        <v>3104</v>
      </c>
      <c r="BU257" s="31" t="n">
        <f aca="false">V257</f>
        <v>3105</v>
      </c>
      <c r="BV257" s="32" t="n">
        <f aca="false">IF(BF257=0,IF(BN257=0,0,1),(BN257-BF257)/BF257)</f>
        <v>1</v>
      </c>
      <c r="BW257" s="32" t="n">
        <f aca="false">IF(BG257=0,IF(BO257=0,0,1),(BO257-BG257)/BG257)</f>
        <v>1</v>
      </c>
      <c r="BX257" s="32" t="n">
        <f aca="false">IF(BH257=0,IF(BP257=0,0,1),(BP257-BH257)/BH257)</f>
        <v>1</v>
      </c>
      <c r="BY257" s="32" t="n">
        <f aca="false">IF(BI257=0,IF(BQ257=0,0,1),(BQ257-BI257)/BI257)</f>
        <v>1</v>
      </c>
      <c r="BZ257" s="32" t="n">
        <f aca="false">IF(BJ257=0,IF(BR257=0,0,1),(BR257-BJ257)/BJ257)</f>
        <v>1</v>
      </c>
      <c r="CA257" s="32" t="n">
        <f aca="false">IF(BK257=0,IF(BS257=0,0,1),(BS257-BK257)/BK257)</f>
        <v>1</v>
      </c>
      <c r="CB257" s="32" t="n">
        <f aca="false">IF(BL257=0,IF(BT257=0,0,1),(BT257-BL257)/BL257)</f>
        <v>1</v>
      </c>
      <c r="CC257" s="32" t="n">
        <f aca="false">IF(BM257=0,IF(BU257=0,0,1),(BU257-BM257)/BM257)</f>
        <v>1</v>
      </c>
      <c r="CD257" s="32" t="n">
        <f aca="false">MAX(MAX(BV257:CC257),-MIN(BV257:CC257))</f>
        <v>1</v>
      </c>
      <c r="CE257" s="31" t="n">
        <f aca="false">IF(CI257="","",SUMIFS($CF$7:$CF$696,$A$7:$A$696,CI257,$B$7:$B$696,B257))</f>
        <v>830822</v>
      </c>
      <c r="CF257" s="31" t="n">
        <f aca="false">SUM(AU257:BE257)</f>
        <v>830822</v>
      </c>
      <c r="CG257" s="33" t="str">
        <f aca="false">A257&amp;"|"&amp;B257</f>
        <v>2026-08 月例|日本下水道事業団</v>
      </c>
      <c r="CH257" s="34" t="str">
        <f aca="false">IFERROR(INDEX(設定!$D$61:$D$106,MATCH(B257,設定!$B$61:$B$106,0)),"Y")</f>
        <v>Y</v>
      </c>
      <c r="CI257" s="34" t="str">
        <f aca="false">IFERROR(INDEX(設定!$D$20:$D$34,MATCH(A257,設定!$A$20:$A$34,0))&amp;"","")</f>
        <v>2026-07 月例</v>
      </c>
    </row>
    <row r="258" customFormat="false" ht="15" hidden="true" customHeight="false" outlineLevel="0" collapsed="false">
      <c r="A258" s="22" t="s">
        <v>212</v>
      </c>
      <c r="B258" s="23" t="s">
        <v>182</v>
      </c>
      <c r="C258" s="10" t="str">
        <f aca="false">IF(G258="","未受領",IF(G258="なし","報告なし",IF(AH258="○","起票済",IF(OR(AG258="○",F258="一致",F258="入金不要"),"入金確認済","受領済"))))</f>
        <v>入金確認済</v>
      </c>
      <c r="D258" s="10" t="str">
        <f aca="false">IF(OR(G258="",G258="なし"),"―",IF(CH258="N","対象外",IF(AND(I258="",J258="",K258=""),"標報未入力",IF(CD258&gt;=設定!$B$4,"要確認","問題なし"))))</f>
        <v>標報未入力</v>
      </c>
      <c r="E258" s="24" t="str">
        <f aca="false">IF(OR(G258="",G258="なし",CE258="",CF258=0),"―",IF(CF258=CE258,"前月同額",IF(CE258=0,"―",IF(ABS(CF258/CE258-1)&gt;=設定!$B$5,"変動大 "&amp;TEXT(CF258/CE258-1,"+0%;-0%"),"〇"))))</f>
        <v>前月同額</v>
      </c>
      <c r="F258" s="10" t="str">
        <f aca="false">IF(OR(G258="",G258="なし"),"―",IF(CF258=0,"入金不要",IF(COUNT(Z258,AB258,AD258,AF258)=0,IF(AG258="○","手動確認","未入金"),IF(AND(N(Z258)=Y258,IF(AA258="",TRUE(),N(AB258)=AA258),IF(AC258="",TRUE(),N(AD258)=AC258),IF(AE258="",TRUE(),N(AF258)=AE258)),"一致","不一致"))))</f>
        <v>手動確認</v>
      </c>
      <c r="G258" s="25" t="s">
        <v>159</v>
      </c>
      <c r="H258" s="26"/>
      <c r="I258" s="27"/>
      <c r="J258" s="27"/>
      <c r="K258" s="27"/>
      <c r="L258" s="27" t="n">
        <v>40260</v>
      </c>
      <c r="M258" s="27" t="n">
        <v>3300</v>
      </c>
      <c r="N258" s="27" t="n">
        <v>40260</v>
      </c>
      <c r="O258" s="27" t="n">
        <v>3300</v>
      </c>
      <c r="P258" s="27" t="n">
        <v>38</v>
      </c>
      <c r="Q258" s="27" t="n">
        <v>22818</v>
      </c>
      <c r="R258" s="27" t="n">
        <v>22840</v>
      </c>
      <c r="S258" s="27" t="n">
        <v>0</v>
      </c>
      <c r="T258" s="27" t="n">
        <v>0</v>
      </c>
      <c r="U258" s="27" t="n">
        <v>506</v>
      </c>
      <c r="V258" s="27" t="n">
        <v>506</v>
      </c>
      <c r="W258" s="10" t="str">
        <f aca="false">IFERROR(INDEX(設定!$E$61:$E$106,MATCH(B258,設定!$B$61:$B$106,0)),"合算")</f>
        <v>合算</v>
      </c>
      <c r="X258" s="28"/>
      <c r="Y258" s="29" t="n">
        <f aca="false">IF(OR(G258="",G258="なし"),"",IF(W258="合算",CF258,IF(W258="掛金・負担金別",(AU258+AV258+AZ258+BB258+BD258),SUM(AU258:AY258))))</f>
        <v>133828</v>
      </c>
      <c r="Z258" s="27"/>
      <c r="AA258" s="29" t="str">
        <f aca="false">IF(OR(G258="",G258="なし"),"",IF(W258="掛金・負担金別",(AW258+AX258+AY258+BA258+BC258+BE258),IF(W258="経理区分別",AZ258+BA258,"")))</f>
        <v/>
      </c>
      <c r="AB258" s="27"/>
      <c r="AC258" s="29" t="str">
        <f aca="false">IF(OR(G258="",G258="なし"),"",IF(W258="経理区分別",BB258+BC258,""))</f>
        <v/>
      </c>
      <c r="AD258" s="27"/>
      <c r="AE258" s="29" t="str">
        <f aca="false">IF(OR(G258="",G258="なし"),"",IF(W258="経理区分別",BD258+BE258,""))</f>
        <v/>
      </c>
      <c r="AF258" s="27"/>
      <c r="AG258" s="26" t="s">
        <v>160</v>
      </c>
      <c r="AH258" s="26"/>
      <c r="AI258" s="30"/>
      <c r="AJ258" s="31"/>
      <c r="AK258" s="31"/>
      <c r="AL258" s="31"/>
      <c r="AM258" s="31"/>
      <c r="AN258" s="31"/>
      <c r="AO258" s="31"/>
      <c r="AP258" s="31"/>
      <c r="AQ258" s="31"/>
      <c r="AR258" s="31"/>
      <c r="AS258" s="31"/>
      <c r="AT258" s="31"/>
      <c r="AU258" s="31" t="n">
        <f aca="false">IF($G258="",AJ258,L258)</f>
        <v>40260</v>
      </c>
      <c r="AV258" s="31" t="n">
        <f aca="false">IF($G258="",AK258,M258)</f>
        <v>3300</v>
      </c>
      <c r="AW258" s="31" t="n">
        <f aca="false">IF($G258="",AL258,N258)</f>
        <v>40260</v>
      </c>
      <c r="AX258" s="31" t="n">
        <f aca="false">IF($G258="",AM258,O258)</f>
        <v>3300</v>
      </c>
      <c r="AY258" s="31" t="n">
        <f aca="false">IF($G258="",AN258,P258)</f>
        <v>38</v>
      </c>
      <c r="AZ258" s="31" t="n">
        <f aca="false">IF($G258="",AO258,Q258)</f>
        <v>22818</v>
      </c>
      <c r="BA258" s="31" t="n">
        <f aca="false">IF($G258="",AP258,R258)</f>
        <v>22840</v>
      </c>
      <c r="BB258" s="31" t="n">
        <f aca="false">IF($G258="",AQ258,S258)</f>
        <v>0</v>
      </c>
      <c r="BC258" s="31" t="n">
        <f aca="false">IF($G258="",AR258,T258)</f>
        <v>0</v>
      </c>
      <c r="BD258" s="31" t="n">
        <f aca="false">IF($G258="",AS258,U258)</f>
        <v>506</v>
      </c>
      <c r="BE258" s="31" t="n">
        <f aca="false">IF($G258="",AT258,V258)</f>
        <v>506</v>
      </c>
      <c r="BF258" s="31" t="n">
        <f aca="false">ROUNDDOWN(I258*設定!$B$10/1000,0)+ROUNDDOWN(I258*設定!$B$11/1000,0)</f>
        <v>0</v>
      </c>
      <c r="BG258" s="31" t="n">
        <f aca="false">ROUNDDOWN(I258*設定!$C$10/1000,0)+ROUNDDOWN(I258*設定!$C$11/1000,0)+ROUNDDOWN(I258*設定!$C$12/1000,0)</f>
        <v>0</v>
      </c>
      <c r="BH258" s="31" t="n">
        <f aca="false">ROUNDDOWN(J258*設定!$B$13/1000,0)</f>
        <v>0</v>
      </c>
      <c r="BI258" s="31" t="n">
        <f aca="false">ROUNDDOWN(J258*設定!$C$13/1000,0)</f>
        <v>0</v>
      </c>
      <c r="BJ258" s="31" t="n">
        <f aca="false">ROUNDDOWN(K258*設定!$B$14/1000,0)</f>
        <v>0</v>
      </c>
      <c r="BK258" s="31" t="n">
        <f aca="false">ROUNDDOWN(K258*設定!$C$14/1000,0)</f>
        <v>0</v>
      </c>
      <c r="BL258" s="31" t="n">
        <f aca="false">ROUNDDOWN(J258*設定!$B$15/1000,0)</f>
        <v>0</v>
      </c>
      <c r="BM258" s="31" t="n">
        <f aca="false">ROUNDDOWN(J258*設定!$C$15/1000,0)</f>
        <v>0</v>
      </c>
      <c r="BN258" s="31" t="n">
        <f aca="false">L258+M258</f>
        <v>43560</v>
      </c>
      <c r="BO258" s="31" t="n">
        <f aca="false">N258+O258+P258</f>
        <v>43598</v>
      </c>
      <c r="BP258" s="31" t="n">
        <f aca="false">Q258</f>
        <v>22818</v>
      </c>
      <c r="BQ258" s="31" t="n">
        <f aca="false">R258</f>
        <v>22840</v>
      </c>
      <c r="BR258" s="31" t="n">
        <f aca="false">S258</f>
        <v>0</v>
      </c>
      <c r="BS258" s="31" t="n">
        <f aca="false">T258</f>
        <v>0</v>
      </c>
      <c r="BT258" s="31" t="n">
        <f aca="false">U258</f>
        <v>506</v>
      </c>
      <c r="BU258" s="31" t="n">
        <f aca="false">V258</f>
        <v>506</v>
      </c>
      <c r="BV258" s="32" t="n">
        <f aca="false">IF(BF258=0,IF(BN258=0,0,1),(BN258-BF258)/BF258)</f>
        <v>1</v>
      </c>
      <c r="BW258" s="32" t="n">
        <f aca="false">IF(BG258=0,IF(BO258=0,0,1),(BO258-BG258)/BG258)</f>
        <v>1</v>
      </c>
      <c r="BX258" s="32" t="n">
        <f aca="false">IF(BH258=0,IF(BP258=0,0,1),(BP258-BH258)/BH258)</f>
        <v>1</v>
      </c>
      <c r="BY258" s="32" t="n">
        <f aca="false">IF(BI258=0,IF(BQ258=0,0,1),(BQ258-BI258)/BI258)</f>
        <v>1</v>
      </c>
      <c r="BZ258" s="32" t="n">
        <f aca="false">IF(BJ258=0,IF(BR258=0,0,1),(BR258-BJ258)/BJ258)</f>
        <v>0</v>
      </c>
      <c r="CA258" s="32" t="n">
        <f aca="false">IF(BK258=0,IF(BS258=0,0,1),(BS258-BK258)/BK258)</f>
        <v>0</v>
      </c>
      <c r="CB258" s="32" t="n">
        <f aca="false">IF(BL258=0,IF(BT258=0,0,1),(BT258-BL258)/BL258)</f>
        <v>1</v>
      </c>
      <c r="CC258" s="32" t="n">
        <f aca="false">IF(BM258=0,IF(BU258=0,0,1),(BU258-BM258)/BM258)</f>
        <v>1</v>
      </c>
      <c r="CD258" s="32" t="n">
        <f aca="false">MAX(MAX(BV258:CC258),-MIN(BV258:CC258))</f>
        <v>1</v>
      </c>
      <c r="CE258" s="31" t="n">
        <f aca="false">IF(CI258="","",SUMIFS($CF$7:$CF$696,$A$7:$A$696,CI258,$B$7:$B$696,B258))</f>
        <v>133828</v>
      </c>
      <c r="CF258" s="31" t="n">
        <f aca="false">SUM(AU258:BE258)</f>
        <v>133828</v>
      </c>
      <c r="CG258" s="33" t="str">
        <f aca="false">A258&amp;"|"&amp;B258</f>
        <v>2026-08 月例|地方公務員災害補償基金本部</v>
      </c>
      <c r="CH258" s="34" t="str">
        <f aca="false">IFERROR(INDEX(設定!$D$61:$D$106,MATCH(B258,設定!$B$61:$B$106,0)),"Y")</f>
        <v>Y</v>
      </c>
      <c r="CI258" s="34" t="str">
        <f aca="false">IFERROR(INDEX(設定!$D$20:$D$34,MATCH(A258,設定!$A$20:$A$34,0))&amp;"","")</f>
        <v>2026-07 月例</v>
      </c>
    </row>
    <row r="259" customFormat="false" ht="15" hidden="true" customHeight="false" outlineLevel="0" collapsed="false">
      <c r="A259" s="22" t="s">
        <v>212</v>
      </c>
      <c r="B259" s="23" t="s">
        <v>183</v>
      </c>
      <c r="C259" s="10" t="str">
        <f aca="false">IF(G259="","未受領",IF(G259="なし","報告なし",IF(AH259="○","起票済",IF(OR(AG259="○",F259="一致",F259="入金不要"),"入金確認済","受領済"))))</f>
        <v>入金確認済</v>
      </c>
      <c r="D259" s="10" t="str">
        <f aca="false">IF(OR(G259="",G259="なし"),"―",IF(CH259="N","対象外",IF(AND(I259="",J259="",K259=""),"標報未入力",IF(CD259&gt;=設定!$B$4,"要確認","問題なし"))))</f>
        <v>標報未入力</v>
      </c>
      <c r="E259" s="24" t="str">
        <f aca="false">IF(OR(G259="",G259="なし",CE259="",CF259=0),"―",IF(CF259=CE259,"前月同額",IF(CE259=0,"―",IF(ABS(CF259/CE259-1)&gt;=設定!$B$5,"変動大 "&amp;TEXT(CF259/CE259-1,"+0%;-0%"),"〇"))))</f>
        <v>前月同額</v>
      </c>
      <c r="F259" s="10" t="str">
        <f aca="false">IF(OR(G259="",G259="なし"),"―",IF(CF259=0,"入金不要",IF(COUNT(Z259,AB259,AD259,AF259)=0,IF(AG259="○","手動確認","未入金"),IF(AND(N(Z259)=Y259,IF(AA259="",TRUE(),N(AB259)=AA259),IF(AC259="",TRUE(),N(AD259)=AC259),IF(AE259="",TRUE(),N(AF259)=AE259)),"一致","不一致"))))</f>
        <v>手動確認</v>
      </c>
      <c r="G259" s="25" t="s">
        <v>159</v>
      </c>
      <c r="H259" s="26"/>
      <c r="I259" s="27"/>
      <c r="J259" s="27"/>
      <c r="K259" s="27"/>
      <c r="L259" s="27" t="n">
        <v>107970</v>
      </c>
      <c r="M259" s="27" t="n">
        <v>8850</v>
      </c>
      <c r="N259" s="27" t="n">
        <v>107970</v>
      </c>
      <c r="O259" s="27" t="n">
        <v>8850</v>
      </c>
      <c r="P259" s="27" t="n">
        <v>102</v>
      </c>
      <c r="Q259" s="27" t="n">
        <v>61194</v>
      </c>
      <c r="R259" s="27" t="n">
        <v>61253</v>
      </c>
      <c r="S259" s="27" t="n">
        <v>9322</v>
      </c>
      <c r="T259" s="27" t="n">
        <v>9322</v>
      </c>
      <c r="U259" s="27" t="n">
        <v>1356</v>
      </c>
      <c r="V259" s="27" t="n">
        <v>1357</v>
      </c>
      <c r="W259" s="10" t="str">
        <f aca="false">IFERROR(INDEX(設定!$E$61:$E$106,MATCH(B259,設定!$B$61:$B$106,0)),"合算")</f>
        <v>合算</v>
      </c>
      <c r="X259" s="28"/>
      <c r="Y259" s="29" t="n">
        <f aca="false">IF(OR(G259="",G259="なし"),"",IF(W259="合算",CF259,IF(W259="掛金・負担金別",(AU259+AV259+AZ259+BB259+BD259),SUM(AU259:AY259))))</f>
        <v>377546</v>
      </c>
      <c r="Z259" s="27"/>
      <c r="AA259" s="29" t="str">
        <f aca="false">IF(OR(G259="",G259="なし"),"",IF(W259="掛金・負担金別",(AW259+AX259+AY259+BA259+BC259+BE259),IF(W259="経理区分別",AZ259+BA259,"")))</f>
        <v/>
      </c>
      <c r="AB259" s="27"/>
      <c r="AC259" s="29" t="str">
        <f aca="false">IF(OR(G259="",G259="なし"),"",IF(W259="経理区分別",BB259+BC259,""))</f>
        <v/>
      </c>
      <c r="AD259" s="27"/>
      <c r="AE259" s="29" t="str">
        <f aca="false">IF(OR(G259="",G259="なし"),"",IF(W259="経理区分別",BD259+BE259,""))</f>
        <v/>
      </c>
      <c r="AF259" s="27"/>
      <c r="AG259" s="26" t="s">
        <v>160</v>
      </c>
      <c r="AH259" s="26"/>
      <c r="AI259" s="30"/>
      <c r="AJ259" s="31"/>
      <c r="AK259" s="31"/>
      <c r="AL259" s="31"/>
      <c r="AM259" s="31"/>
      <c r="AN259" s="31"/>
      <c r="AO259" s="31"/>
      <c r="AP259" s="31"/>
      <c r="AQ259" s="31"/>
      <c r="AR259" s="31"/>
      <c r="AS259" s="31"/>
      <c r="AT259" s="31"/>
      <c r="AU259" s="31" t="n">
        <f aca="false">IF($G259="",AJ259,L259)</f>
        <v>107970</v>
      </c>
      <c r="AV259" s="31" t="n">
        <f aca="false">IF($G259="",AK259,M259)</f>
        <v>8850</v>
      </c>
      <c r="AW259" s="31" t="n">
        <f aca="false">IF($G259="",AL259,N259)</f>
        <v>107970</v>
      </c>
      <c r="AX259" s="31" t="n">
        <f aca="false">IF($G259="",AM259,O259)</f>
        <v>8850</v>
      </c>
      <c r="AY259" s="31" t="n">
        <f aca="false">IF($G259="",AN259,P259)</f>
        <v>102</v>
      </c>
      <c r="AZ259" s="31" t="n">
        <f aca="false">IF($G259="",AO259,Q259)</f>
        <v>61194</v>
      </c>
      <c r="BA259" s="31" t="n">
        <f aca="false">IF($G259="",AP259,R259)</f>
        <v>61253</v>
      </c>
      <c r="BB259" s="31" t="n">
        <f aca="false">IF($G259="",AQ259,S259)</f>
        <v>9322</v>
      </c>
      <c r="BC259" s="31" t="n">
        <f aca="false">IF($G259="",AR259,T259)</f>
        <v>9322</v>
      </c>
      <c r="BD259" s="31" t="n">
        <f aca="false">IF($G259="",AS259,U259)</f>
        <v>1356</v>
      </c>
      <c r="BE259" s="31" t="n">
        <f aca="false">IF($G259="",AT259,V259)</f>
        <v>1357</v>
      </c>
      <c r="BF259" s="31" t="n">
        <f aca="false">ROUNDDOWN(I259*設定!$B$10/1000,0)+ROUNDDOWN(I259*設定!$B$11/1000,0)</f>
        <v>0</v>
      </c>
      <c r="BG259" s="31" t="n">
        <f aca="false">ROUNDDOWN(I259*設定!$C$10/1000,0)+ROUNDDOWN(I259*設定!$C$11/1000,0)+ROUNDDOWN(I259*設定!$C$12/1000,0)</f>
        <v>0</v>
      </c>
      <c r="BH259" s="31" t="n">
        <f aca="false">ROUNDDOWN(J259*設定!$B$13/1000,0)</f>
        <v>0</v>
      </c>
      <c r="BI259" s="31" t="n">
        <f aca="false">ROUNDDOWN(J259*設定!$C$13/1000,0)</f>
        <v>0</v>
      </c>
      <c r="BJ259" s="31" t="n">
        <f aca="false">ROUNDDOWN(K259*設定!$B$14/1000,0)</f>
        <v>0</v>
      </c>
      <c r="BK259" s="31" t="n">
        <f aca="false">ROUNDDOWN(K259*設定!$C$14/1000,0)</f>
        <v>0</v>
      </c>
      <c r="BL259" s="31" t="n">
        <f aca="false">ROUNDDOWN(J259*設定!$B$15/1000,0)</f>
        <v>0</v>
      </c>
      <c r="BM259" s="31" t="n">
        <f aca="false">ROUNDDOWN(J259*設定!$C$15/1000,0)</f>
        <v>0</v>
      </c>
      <c r="BN259" s="31" t="n">
        <f aca="false">L259+M259</f>
        <v>116820</v>
      </c>
      <c r="BO259" s="31" t="n">
        <f aca="false">N259+O259+P259</f>
        <v>116922</v>
      </c>
      <c r="BP259" s="31" t="n">
        <f aca="false">Q259</f>
        <v>61194</v>
      </c>
      <c r="BQ259" s="31" t="n">
        <f aca="false">R259</f>
        <v>61253</v>
      </c>
      <c r="BR259" s="31" t="n">
        <f aca="false">S259</f>
        <v>9322</v>
      </c>
      <c r="BS259" s="31" t="n">
        <f aca="false">T259</f>
        <v>9322</v>
      </c>
      <c r="BT259" s="31" t="n">
        <f aca="false">U259</f>
        <v>1356</v>
      </c>
      <c r="BU259" s="31" t="n">
        <f aca="false">V259</f>
        <v>1357</v>
      </c>
      <c r="BV259" s="32" t="n">
        <f aca="false">IF(BF259=0,IF(BN259=0,0,1),(BN259-BF259)/BF259)</f>
        <v>1</v>
      </c>
      <c r="BW259" s="32" t="n">
        <f aca="false">IF(BG259=0,IF(BO259=0,0,1),(BO259-BG259)/BG259)</f>
        <v>1</v>
      </c>
      <c r="BX259" s="32" t="n">
        <f aca="false">IF(BH259=0,IF(BP259=0,0,1),(BP259-BH259)/BH259)</f>
        <v>1</v>
      </c>
      <c r="BY259" s="32" t="n">
        <f aca="false">IF(BI259=0,IF(BQ259=0,0,1),(BQ259-BI259)/BI259)</f>
        <v>1</v>
      </c>
      <c r="BZ259" s="32" t="n">
        <f aca="false">IF(BJ259=0,IF(BR259=0,0,1),(BR259-BJ259)/BJ259)</f>
        <v>1</v>
      </c>
      <c r="CA259" s="32" t="n">
        <f aca="false">IF(BK259=0,IF(BS259=0,0,1),(BS259-BK259)/BK259)</f>
        <v>1</v>
      </c>
      <c r="CB259" s="32" t="n">
        <f aca="false">IF(BL259=0,IF(BT259=0,0,1),(BT259-BL259)/BL259)</f>
        <v>1</v>
      </c>
      <c r="CC259" s="32" t="n">
        <f aca="false">IF(BM259=0,IF(BU259=0,0,1),(BU259-BM259)/BM259)</f>
        <v>1</v>
      </c>
      <c r="CD259" s="32" t="n">
        <f aca="false">MAX(MAX(BV259:CC259),-MIN(BV259:CC259))</f>
        <v>1</v>
      </c>
      <c r="CE259" s="31" t="n">
        <f aca="false">IF(CI259="","",SUMIFS($CF$7:$CF$696,$A$7:$A$696,CI259,$B$7:$B$696,B259))</f>
        <v>377546</v>
      </c>
      <c r="CF259" s="31" t="n">
        <f aca="false">SUM(AU259:BE259)</f>
        <v>377546</v>
      </c>
      <c r="CG259" s="33" t="str">
        <f aca="false">A259&amp;"|"&amp;B259</f>
        <v>2026-08 月例|救急振興財団</v>
      </c>
      <c r="CH259" s="34" t="str">
        <f aca="false">IFERROR(INDEX(設定!$D$61:$D$106,MATCH(B259,設定!$B$61:$B$106,0)),"Y")</f>
        <v>Y</v>
      </c>
      <c r="CI259" s="34" t="str">
        <f aca="false">IFERROR(INDEX(設定!$D$20:$D$34,MATCH(A259,設定!$A$20:$A$34,0))&amp;"","")</f>
        <v>2026-07 月例</v>
      </c>
    </row>
    <row r="260" customFormat="false" ht="15" hidden="true" customHeight="false" outlineLevel="0" collapsed="false">
      <c r="A260" s="22" t="s">
        <v>212</v>
      </c>
      <c r="B260" s="23" t="s">
        <v>184</v>
      </c>
      <c r="C260" s="10" t="str">
        <f aca="false">IF(G260="","未受領",IF(G260="なし","報告なし",IF(AH260="○","起票済",IF(OR(AG260="○",F260="一致",F260="入金不要"),"入金確認済","受領済"))))</f>
        <v>入金確認済</v>
      </c>
      <c r="D260" s="10" t="str">
        <f aca="false">IF(OR(G260="",G260="なし"),"―",IF(CH260="N","対象外",IF(AND(I260="",J260="",K260=""),"標報未入力",IF(CD260&gt;=設定!$B$4,"要確認","問題なし"))))</f>
        <v>標報未入力</v>
      </c>
      <c r="E260" s="24" t="str">
        <f aca="false">IF(OR(G260="",G260="なし",CE260="",CF260=0),"―",IF(CF260=CE260,"前月同額",IF(CE260=0,"―",IF(ABS(CF260/CE260-1)&gt;=設定!$B$5,"変動大 "&amp;TEXT(CF260/CE260-1,"+0%;-0%"),"〇"))))</f>
        <v>〇</v>
      </c>
      <c r="F260" s="10" t="str">
        <f aca="false">IF(OR(G260="",G260="なし"),"―",IF(CF260=0,"入金不要",IF(COUNT(Z260,AB260,AD260,AF260)=0,IF(AG260="○","手動確認","未入金"),IF(AND(N(Z260)=Y260,IF(AA260="",TRUE(),N(AB260)=AA260),IF(AC260="",TRUE(),N(AD260)=AC260),IF(AE260="",TRUE(),N(AF260)=AE260)),"一致","不一致"))))</f>
        <v>手動確認</v>
      </c>
      <c r="G260" s="25" t="s">
        <v>159</v>
      </c>
      <c r="H260" s="26"/>
      <c r="I260" s="27"/>
      <c r="J260" s="27"/>
      <c r="K260" s="27"/>
      <c r="L260" s="27" t="n">
        <v>793305</v>
      </c>
      <c r="M260" s="27" t="n">
        <v>65025</v>
      </c>
      <c r="N260" s="27" t="n">
        <v>793304</v>
      </c>
      <c r="O260" s="27" t="n">
        <v>65024</v>
      </c>
      <c r="P260" s="27" t="n">
        <v>756</v>
      </c>
      <c r="Q260" s="27" t="n">
        <v>449619</v>
      </c>
      <c r="R260" s="27" t="n">
        <v>450061</v>
      </c>
      <c r="S260" s="27" t="n">
        <v>39816</v>
      </c>
      <c r="T260" s="27" t="n">
        <v>39816</v>
      </c>
      <c r="U260" s="27" t="n">
        <v>9966</v>
      </c>
      <c r="V260" s="27" t="n">
        <v>9969</v>
      </c>
      <c r="W260" s="10" t="str">
        <f aca="false">IFERROR(INDEX(設定!$E$61:$E$106,MATCH(B260,設定!$B$61:$B$106,0)),"合算")</f>
        <v>合算</v>
      </c>
      <c r="X260" s="28"/>
      <c r="Y260" s="29" t="n">
        <f aca="false">IF(OR(G260="",G260="なし"),"",IF(W260="合算",CF260,IF(W260="掛金・負担金別",(AU260+AV260+AZ260+BB260+BD260),SUM(AU260:AY260))))</f>
        <v>2716661</v>
      </c>
      <c r="Z260" s="27"/>
      <c r="AA260" s="29" t="str">
        <f aca="false">IF(OR(G260="",G260="なし"),"",IF(W260="掛金・負担金別",(AW260+AX260+AY260+BA260+BC260+BE260),IF(W260="経理区分別",AZ260+BA260,"")))</f>
        <v/>
      </c>
      <c r="AB260" s="27"/>
      <c r="AC260" s="29" t="str">
        <f aca="false">IF(OR(G260="",G260="なし"),"",IF(W260="経理区分別",BB260+BC260,""))</f>
        <v/>
      </c>
      <c r="AD260" s="27"/>
      <c r="AE260" s="29" t="str">
        <f aca="false">IF(OR(G260="",G260="なし"),"",IF(W260="経理区分別",BD260+BE260,""))</f>
        <v/>
      </c>
      <c r="AF260" s="27"/>
      <c r="AG260" s="26" t="s">
        <v>160</v>
      </c>
      <c r="AH260" s="26"/>
      <c r="AI260" s="30"/>
      <c r="AJ260" s="31"/>
      <c r="AK260" s="31"/>
      <c r="AL260" s="31"/>
      <c r="AM260" s="31"/>
      <c r="AN260" s="31"/>
      <c r="AO260" s="31"/>
      <c r="AP260" s="31"/>
      <c r="AQ260" s="31"/>
      <c r="AR260" s="31"/>
      <c r="AS260" s="31"/>
      <c r="AT260" s="31"/>
      <c r="AU260" s="31" t="n">
        <f aca="false">IF($G260="",AJ260,L260)</f>
        <v>793305</v>
      </c>
      <c r="AV260" s="31" t="n">
        <f aca="false">IF($G260="",AK260,M260)</f>
        <v>65025</v>
      </c>
      <c r="AW260" s="31" t="n">
        <f aca="false">IF($G260="",AL260,N260)</f>
        <v>793304</v>
      </c>
      <c r="AX260" s="31" t="n">
        <f aca="false">IF($G260="",AM260,O260)</f>
        <v>65024</v>
      </c>
      <c r="AY260" s="31" t="n">
        <f aca="false">IF($G260="",AN260,P260)</f>
        <v>756</v>
      </c>
      <c r="AZ260" s="31" t="n">
        <f aca="false">IF($G260="",AO260,Q260)</f>
        <v>449619</v>
      </c>
      <c r="BA260" s="31" t="n">
        <f aca="false">IF($G260="",AP260,R260)</f>
        <v>450061</v>
      </c>
      <c r="BB260" s="31" t="n">
        <f aca="false">IF($G260="",AQ260,S260)</f>
        <v>39816</v>
      </c>
      <c r="BC260" s="31" t="n">
        <f aca="false">IF($G260="",AR260,T260)</f>
        <v>39816</v>
      </c>
      <c r="BD260" s="31" t="n">
        <f aca="false">IF($G260="",AS260,U260)</f>
        <v>9966</v>
      </c>
      <c r="BE260" s="31" t="n">
        <f aca="false">IF($G260="",AT260,V260)</f>
        <v>9969</v>
      </c>
      <c r="BF260" s="31" t="n">
        <f aca="false">ROUNDDOWN(I260*設定!$B$10/1000,0)+ROUNDDOWN(I260*設定!$B$11/1000,0)</f>
        <v>0</v>
      </c>
      <c r="BG260" s="31" t="n">
        <f aca="false">ROUNDDOWN(I260*設定!$C$10/1000,0)+ROUNDDOWN(I260*設定!$C$11/1000,0)+ROUNDDOWN(I260*設定!$C$12/1000,0)</f>
        <v>0</v>
      </c>
      <c r="BH260" s="31" t="n">
        <f aca="false">ROUNDDOWN(J260*設定!$B$13/1000,0)</f>
        <v>0</v>
      </c>
      <c r="BI260" s="31" t="n">
        <f aca="false">ROUNDDOWN(J260*設定!$C$13/1000,0)</f>
        <v>0</v>
      </c>
      <c r="BJ260" s="31" t="n">
        <f aca="false">ROUNDDOWN(K260*設定!$B$14/1000,0)</f>
        <v>0</v>
      </c>
      <c r="BK260" s="31" t="n">
        <f aca="false">ROUNDDOWN(K260*設定!$C$14/1000,0)</f>
        <v>0</v>
      </c>
      <c r="BL260" s="31" t="n">
        <f aca="false">ROUNDDOWN(J260*設定!$B$15/1000,0)</f>
        <v>0</v>
      </c>
      <c r="BM260" s="31" t="n">
        <f aca="false">ROUNDDOWN(J260*設定!$C$15/1000,0)</f>
        <v>0</v>
      </c>
      <c r="BN260" s="31" t="n">
        <f aca="false">L260+M260</f>
        <v>858330</v>
      </c>
      <c r="BO260" s="31" t="n">
        <f aca="false">N260+O260+P260</f>
        <v>859084</v>
      </c>
      <c r="BP260" s="31" t="n">
        <f aca="false">Q260</f>
        <v>449619</v>
      </c>
      <c r="BQ260" s="31" t="n">
        <f aca="false">R260</f>
        <v>450061</v>
      </c>
      <c r="BR260" s="31" t="n">
        <f aca="false">S260</f>
        <v>39816</v>
      </c>
      <c r="BS260" s="31" t="n">
        <f aca="false">T260</f>
        <v>39816</v>
      </c>
      <c r="BT260" s="31" t="n">
        <f aca="false">U260</f>
        <v>9966</v>
      </c>
      <c r="BU260" s="31" t="n">
        <f aca="false">V260</f>
        <v>9969</v>
      </c>
      <c r="BV260" s="32" t="n">
        <f aca="false">IF(BF260=0,IF(BN260=0,0,1),(BN260-BF260)/BF260)</f>
        <v>1</v>
      </c>
      <c r="BW260" s="32" t="n">
        <f aca="false">IF(BG260=0,IF(BO260=0,0,1),(BO260-BG260)/BG260)</f>
        <v>1</v>
      </c>
      <c r="BX260" s="32" t="n">
        <f aca="false">IF(BH260=0,IF(BP260=0,0,1),(BP260-BH260)/BH260)</f>
        <v>1</v>
      </c>
      <c r="BY260" s="32" t="n">
        <f aca="false">IF(BI260=0,IF(BQ260=0,0,1),(BQ260-BI260)/BI260)</f>
        <v>1</v>
      </c>
      <c r="BZ260" s="32" t="n">
        <f aca="false">IF(BJ260=0,IF(BR260=0,0,1),(BR260-BJ260)/BJ260)</f>
        <v>1</v>
      </c>
      <c r="CA260" s="32" t="n">
        <f aca="false">IF(BK260=0,IF(BS260=0,0,1),(BS260-BK260)/BK260)</f>
        <v>1</v>
      </c>
      <c r="CB260" s="32" t="n">
        <f aca="false">IF(BL260=0,IF(BT260=0,0,1),(BT260-BL260)/BL260)</f>
        <v>1</v>
      </c>
      <c r="CC260" s="32" t="n">
        <f aca="false">IF(BM260=0,IF(BU260=0,0,1),(BU260-BM260)/BM260)</f>
        <v>1</v>
      </c>
      <c r="CD260" s="32" t="n">
        <f aca="false">MAX(MAX(BV260:CC260),-MIN(BV260:CC260))</f>
        <v>1</v>
      </c>
      <c r="CE260" s="31" t="n">
        <f aca="false">IF(CI260="","",SUMIFS($CF$7:$CF$696,$A$7:$A$696,CI260,$B$7:$B$696,B260))</f>
        <v>2591992</v>
      </c>
      <c r="CF260" s="31" t="n">
        <f aca="false">SUM(AU260:BE260)</f>
        <v>2716661</v>
      </c>
      <c r="CG260" s="33" t="str">
        <f aca="false">A260&amp;"|"&amp;B260</f>
        <v>2026-08 月例|高速道路公社</v>
      </c>
      <c r="CH260" s="34" t="str">
        <f aca="false">IFERROR(INDEX(設定!$D$61:$D$106,MATCH(B260,設定!$B$61:$B$106,0)),"Y")</f>
        <v>Y</v>
      </c>
      <c r="CI260" s="34" t="str">
        <f aca="false">IFERROR(INDEX(設定!$D$20:$D$34,MATCH(A260,設定!$A$20:$A$34,0))&amp;"","")</f>
        <v>2026-07 月例</v>
      </c>
    </row>
    <row r="261" customFormat="false" ht="15" hidden="true" customHeight="false" outlineLevel="0" collapsed="false">
      <c r="A261" s="22" t="s">
        <v>212</v>
      </c>
      <c r="B261" s="23" t="s">
        <v>185</v>
      </c>
      <c r="C261" s="10" t="str">
        <f aca="false">IF(G261="","未受領",IF(G261="なし","報告なし",IF(AH261="○","起票済",IF(OR(AG261="○",F261="一致",F261="入金不要"),"入金確認済","受領済"))))</f>
        <v>入金確認済</v>
      </c>
      <c r="D261" s="10" t="str">
        <f aca="false">IF(OR(G261="",G261="なし"),"―",IF(CH261="N","対象外",IF(AND(I261="",J261="",K261=""),"標報未入力",IF(CD261&gt;=設定!$B$4,"要確認","問題なし"))))</f>
        <v>標報未入力</v>
      </c>
      <c r="E261" s="24" t="str">
        <f aca="false">IF(OR(G261="",G261="なし",CE261="",CF261=0),"―",IF(CF261=CE261,"前月同額",IF(CE261=0,"―",IF(ABS(CF261/CE261-1)&gt;=設定!$B$5,"変動大 "&amp;TEXT(CF261/CE261-1,"+0%;-0%"),"〇"))))</f>
        <v>前月同額</v>
      </c>
      <c r="F261" s="10" t="str">
        <f aca="false">IF(OR(G261="",G261="なし"),"―",IF(CF261=0,"入金不要",IF(COUNT(Z261,AB261,AD261,AF261)=0,IF(AG261="○","手動確認","未入金"),IF(AND(N(Z261)=Y261,IF(AA261="",TRUE(),N(AB261)=AA261),IF(AC261="",TRUE(),N(AD261)=AC261),IF(AE261="",TRUE(),N(AF261)=AE261)),"一致","不一致"))))</f>
        <v>手動確認</v>
      </c>
      <c r="G261" s="25" t="s">
        <v>159</v>
      </c>
      <c r="H261" s="26"/>
      <c r="I261" s="27"/>
      <c r="J261" s="27"/>
      <c r="K261" s="27"/>
      <c r="L261" s="27"/>
      <c r="M261" s="27"/>
      <c r="N261" s="27" t="n">
        <v>582855</v>
      </c>
      <c r="O261" s="27" t="n">
        <v>47775</v>
      </c>
      <c r="P261" s="27" t="n">
        <v>579</v>
      </c>
      <c r="Q261" s="27"/>
      <c r="R261" s="27" t="n">
        <v>330681</v>
      </c>
      <c r="S261" s="27"/>
      <c r="T261" s="27" t="n">
        <v>28203</v>
      </c>
      <c r="U261" s="27"/>
      <c r="V261" s="27" t="n">
        <v>7324</v>
      </c>
      <c r="W261" s="10" t="str">
        <f aca="false">IFERROR(INDEX(設定!$E$61:$E$106,MATCH(B261,設定!$B$61:$B$106,0)),"合算")</f>
        <v>合算</v>
      </c>
      <c r="X261" s="28"/>
      <c r="Y261" s="29" t="n">
        <f aca="false">IF(OR(G261="",G261="なし"),"",IF(W261="合算",CF261,IF(W261="掛金・負担金別",(AU261+AV261+AZ261+BB261+BD261),SUM(AU261:AY261))))</f>
        <v>997417</v>
      </c>
      <c r="Z261" s="27"/>
      <c r="AA261" s="29" t="str">
        <f aca="false">IF(OR(G261="",G261="なし"),"",IF(W261="掛金・負担金別",(AW261+AX261+AY261+BA261+BC261+BE261),IF(W261="経理区分別",AZ261+BA261,"")))</f>
        <v/>
      </c>
      <c r="AB261" s="27"/>
      <c r="AC261" s="29" t="str">
        <f aca="false">IF(OR(G261="",G261="なし"),"",IF(W261="経理区分別",BB261+BC261,""))</f>
        <v/>
      </c>
      <c r="AD261" s="27"/>
      <c r="AE261" s="29" t="str">
        <f aca="false">IF(OR(G261="",G261="なし"),"",IF(W261="経理区分別",BD261+BE261,""))</f>
        <v/>
      </c>
      <c r="AF261" s="27"/>
      <c r="AG261" s="26" t="s">
        <v>160</v>
      </c>
      <c r="AH261" s="26"/>
      <c r="AI261" s="30"/>
      <c r="AJ261" s="31"/>
      <c r="AK261" s="31"/>
      <c r="AL261" s="31"/>
      <c r="AM261" s="31"/>
      <c r="AN261" s="31"/>
      <c r="AO261" s="31"/>
      <c r="AP261" s="31"/>
      <c r="AQ261" s="31"/>
      <c r="AR261" s="31"/>
      <c r="AS261" s="31"/>
      <c r="AT261" s="31"/>
      <c r="AU261" s="31" t="n">
        <f aca="false">IF($G261="",AJ261,L261)</f>
        <v>0</v>
      </c>
      <c r="AV261" s="31" t="n">
        <f aca="false">IF($G261="",AK261,M261)</f>
        <v>0</v>
      </c>
      <c r="AW261" s="31" t="n">
        <f aca="false">IF($G261="",AL261,N261)</f>
        <v>582855</v>
      </c>
      <c r="AX261" s="31" t="n">
        <f aca="false">IF($G261="",AM261,O261)</f>
        <v>47775</v>
      </c>
      <c r="AY261" s="31" t="n">
        <f aca="false">IF($G261="",AN261,P261)</f>
        <v>579</v>
      </c>
      <c r="AZ261" s="31" t="n">
        <f aca="false">IF($G261="",AO261,Q261)</f>
        <v>0</v>
      </c>
      <c r="BA261" s="31" t="n">
        <f aca="false">IF($G261="",AP261,R261)</f>
        <v>330681</v>
      </c>
      <c r="BB261" s="31" t="n">
        <f aca="false">IF($G261="",AQ261,S261)</f>
        <v>0</v>
      </c>
      <c r="BC261" s="31" t="n">
        <f aca="false">IF($G261="",AR261,T261)</f>
        <v>28203</v>
      </c>
      <c r="BD261" s="31" t="n">
        <f aca="false">IF($G261="",AS261,U261)</f>
        <v>0</v>
      </c>
      <c r="BE261" s="31" t="n">
        <f aca="false">IF($G261="",AT261,V261)</f>
        <v>7324</v>
      </c>
      <c r="BF261" s="31" t="n">
        <f aca="false">ROUNDDOWN(I261*設定!$B$10/1000,0)+ROUNDDOWN(I261*設定!$B$11/1000,0)</f>
        <v>0</v>
      </c>
      <c r="BG261" s="31" t="n">
        <f aca="false">ROUNDDOWN(I261*設定!$C$10/1000,0)+ROUNDDOWN(I261*設定!$C$11/1000,0)+ROUNDDOWN(I261*設定!$C$12/1000,0)</f>
        <v>0</v>
      </c>
      <c r="BH261" s="31" t="n">
        <f aca="false">ROUNDDOWN(J261*設定!$B$13/1000,0)</f>
        <v>0</v>
      </c>
      <c r="BI261" s="31" t="n">
        <f aca="false">ROUNDDOWN(J261*設定!$C$13/1000,0)</f>
        <v>0</v>
      </c>
      <c r="BJ261" s="31" t="n">
        <f aca="false">ROUNDDOWN(K261*設定!$B$14/1000,0)</f>
        <v>0</v>
      </c>
      <c r="BK261" s="31" t="n">
        <f aca="false">ROUNDDOWN(K261*設定!$C$14/1000,0)</f>
        <v>0</v>
      </c>
      <c r="BL261" s="31" t="n">
        <f aca="false">ROUNDDOWN(J261*設定!$B$15/1000,0)</f>
        <v>0</v>
      </c>
      <c r="BM261" s="31" t="n">
        <f aca="false">ROUNDDOWN(J261*設定!$C$15/1000,0)</f>
        <v>0</v>
      </c>
      <c r="BN261" s="31" t="n">
        <f aca="false">L261+M261</f>
        <v>0</v>
      </c>
      <c r="BO261" s="31" t="n">
        <f aca="false">N261+O261+P261</f>
        <v>631209</v>
      </c>
      <c r="BP261" s="31" t="n">
        <f aca="false">Q261</f>
        <v>0</v>
      </c>
      <c r="BQ261" s="31" t="n">
        <f aca="false">R261</f>
        <v>330681</v>
      </c>
      <c r="BR261" s="31" t="n">
        <f aca="false">S261</f>
        <v>0</v>
      </c>
      <c r="BS261" s="31" t="n">
        <f aca="false">T261</f>
        <v>28203</v>
      </c>
      <c r="BT261" s="31" t="n">
        <f aca="false">U261</f>
        <v>0</v>
      </c>
      <c r="BU261" s="31" t="n">
        <f aca="false">V261</f>
        <v>7324</v>
      </c>
      <c r="BV261" s="32" t="n">
        <f aca="false">IF(BF261=0,IF(BN261=0,0,1),(BN261-BF261)/BF261)</f>
        <v>0</v>
      </c>
      <c r="BW261" s="32" t="n">
        <f aca="false">IF(BG261=0,IF(BO261=0,0,1),(BO261-BG261)/BG261)</f>
        <v>1</v>
      </c>
      <c r="BX261" s="32" t="n">
        <f aca="false">IF(BH261=0,IF(BP261=0,0,1),(BP261-BH261)/BH261)</f>
        <v>0</v>
      </c>
      <c r="BY261" s="32" t="n">
        <f aca="false">IF(BI261=0,IF(BQ261=0,0,1),(BQ261-BI261)/BI261)</f>
        <v>1</v>
      </c>
      <c r="BZ261" s="32" t="n">
        <f aca="false">IF(BJ261=0,IF(BR261=0,0,1),(BR261-BJ261)/BJ261)</f>
        <v>0</v>
      </c>
      <c r="CA261" s="32" t="n">
        <f aca="false">IF(BK261=0,IF(BS261=0,0,1),(BS261-BK261)/BK261)</f>
        <v>1</v>
      </c>
      <c r="CB261" s="32" t="n">
        <f aca="false">IF(BL261=0,IF(BT261=0,0,1),(BT261-BL261)/BL261)</f>
        <v>0</v>
      </c>
      <c r="CC261" s="32" t="n">
        <f aca="false">IF(BM261=0,IF(BU261=0,0,1),(BU261-BM261)/BM261)</f>
        <v>1</v>
      </c>
      <c r="CD261" s="32" t="n">
        <f aca="false">MAX(MAX(BV261:CC261),-MIN(BV261:CC261))</f>
        <v>1</v>
      </c>
      <c r="CE261" s="31" t="n">
        <f aca="false">IF(CI261="","",SUMIFS($CF$7:$CF$696,$A$7:$A$696,CI261,$B$7:$B$696,B261))</f>
        <v>997417</v>
      </c>
      <c r="CF261" s="31" t="n">
        <f aca="false">SUM(AU261:BE261)</f>
        <v>997417</v>
      </c>
      <c r="CG261" s="33" t="str">
        <f aca="false">A261&amp;"|"&amp;B261</f>
        <v>2026-08 月例|農林水産振興センタ</v>
      </c>
      <c r="CH261" s="34" t="str">
        <f aca="false">IFERROR(INDEX(設定!$D$61:$D$106,MATCH(B261,設定!$B$61:$B$106,0)),"Y")</f>
        <v>Y</v>
      </c>
      <c r="CI261" s="34" t="str">
        <f aca="false">IFERROR(INDEX(設定!$D$20:$D$34,MATCH(A261,設定!$A$20:$A$34,0))&amp;"","")</f>
        <v>2026-07 月例</v>
      </c>
    </row>
    <row r="262" customFormat="false" ht="15" hidden="true" customHeight="false" outlineLevel="0" collapsed="false">
      <c r="A262" s="22" t="s">
        <v>212</v>
      </c>
      <c r="B262" s="23" t="s">
        <v>186</v>
      </c>
      <c r="C262" s="10" t="str">
        <f aca="false">IF(G262="","未受領",IF(G262="なし","報告なし",IF(AH262="○","起票済",IF(OR(AG262="○",F262="一致",F262="入金不要"),"入金確認済","受領済"))))</f>
        <v>入金確認済</v>
      </c>
      <c r="D262" s="10" t="str">
        <f aca="false">IF(OR(G262="",G262="なし"),"―",IF(CH262="N","対象外",IF(AND(I262="",J262="",K262=""),"標報未入力",IF(CD262&gt;=設定!$B$4,"要確認","問題なし"))))</f>
        <v>標報未入力</v>
      </c>
      <c r="E262" s="24" t="str">
        <f aca="false">IF(OR(G262="",G262="なし",CE262="",CF262=0),"―",IF(CF262=CE262,"前月同額",IF(CE262=0,"―",IF(ABS(CF262/CE262-1)&gt;=設定!$B$5,"変動大 "&amp;TEXT(CF262/CE262-1,"+0%;-0%"),"〇"))))</f>
        <v>〇</v>
      </c>
      <c r="F262" s="10" t="str">
        <f aca="false">IF(OR(G262="",G262="なし"),"―",IF(CF262=0,"入金不要",IF(COUNT(Z262,AB262,AD262,AF262)=0,IF(AG262="○","手動確認","未入金"),IF(AND(N(Z262)=Y262,IF(AA262="",TRUE(),N(AB262)=AA262),IF(AC262="",TRUE(),N(AD262)=AC262),IF(AE262="",TRUE(),N(AF262)=AE262)),"一致","不一致"))))</f>
        <v>手動確認</v>
      </c>
      <c r="G262" s="25" t="s">
        <v>159</v>
      </c>
      <c r="H262" s="26"/>
      <c r="I262" s="27"/>
      <c r="J262" s="27"/>
      <c r="K262" s="27"/>
      <c r="L262" s="27"/>
      <c r="M262" s="27"/>
      <c r="N262" s="27" t="n">
        <v>1056825</v>
      </c>
      <c r="O262" s="27" t="n">
        <v>86625</v>
      </c>
      <c r="P262" s="27" t="n">
        <v>1000</v>
      </c>
      <c r="Q262" s="27"/>
      <c r="R262" s="27" t="n">
        <v>599038</v>
      </c>
      <c r="S262" s="27"/>
      <c r="T262" s="27" t="n">
        <v>85794</v>
      </c>
      <c r="U262" s="27"/>
      <c r="V262" s="27" t="n">
        <v>13270</v>
      </c>
      <c r="W262" s="10" t="str">
        <f aca="false">IFERROR(INDEX(設定!$E$61:$E$106,MATCH(B262,設定!$B$61:$B$106,0)),"合算")</f>
        <v>合算</v>
      </c>
      <c r="X262" s="28"/>
      <c r="Y262" s="29" t="n">
        <f aca="false">IF(OR(G262="",G262="なし"),"",IF(W262="合算",CF262,IF(W262="掛金・負担金別",(AU262+AV262+AZ262+BB262+BD262),SUM(AU262:AY262))))</f>
        <v>1842552</v>
      </c>
      <c r="Z262" s="27"/>
      <c r="AA262" s="29" t="str">
        <f aca="false">IF(OR(G262="",G262="なし"),"",IF(W262="掛金・負担金別",(AW262+AX262+AY262+BA262+BC262+BE262),IF(W262="経理区分別",AZ262+BA262,"")))</f>
        <v/>
      </c>
      <c r="AB262" s="27"/>
      <c r="AC262" s="29" t="str">
        <f aca="false">IF(OR(G262="",G262="なし"),"",IF(W262="経理区分別",BB262+BC262,""))</f>
        <v/>
      </c>
      <c r="AD262" s="27"/>
      <c r="AE262" s="29" t="str">
        <f aca="false">IF(OR(G262="",G262="なし"),"",IF(W262="経理区分別",BD262+BE262,""))</f>
        <v/>
      </c>
      <c r="AF262" s="27"/>
      <c r="AG262" s="26" t="s">
        <v>160</v>
      </c>
      <c r="AH262" s="26"/>
      <c r="AI262" s="30"/>
      <c r="AJ262" s="31"/>
      <c r="AK262" s="31"/>
      <c r="AL262" s="31"/>
      <c r="AM262" s="31"/>
      <c r="AN262" s="31"/>
      <c r="AO262" s="31"/>
      <c r="AP262" s="31"/>
      <c r="AQ262" s="31"/>
      <c r="AR262" s="31"/>
      <c r="AS262" s="31"/>
      <c r="AT262" s="31"/>
      <c r="AU262" s="31" t="n">
        <f aca="false">IF($G262="",AJ262,L262)</f>
        <v>0</v>
      </c>
      <c r="AV262" s="31" t="n">
        <f aca="false">IF($G262="",AK262,M262)</f>
        <v>0</v>
      </c>
      <c r="AW262" s="31" t="n">
        <f aca="false">IF($G262="",AL262,N262)</f>
        <v>1056825</v>
      </c>
      <c r="AX262" s="31" t="n">
        <f aca="false">IF($G262="",AM262,O262)</f>
        <v>86625</v>
      </c>
      <c r="AY262" s="31" t="n">
        <f aca="false">IF($G262="",AN262,P262)</f>
        <v>1000</v>
      </c>
      <c r="AZ262" s="31" t="n">
        <f aca="false">IF($G262="",AO262,Q262)</f>
        <v>0</v>
      </c>
      <c r="BA262" s="31" t="n">
        <f aca="false">IF($G262="",AP262,R262)</f>
        <v>599038</v>
      </c>
      <c r="BB262" s="31" t="n">
        <f aca="false">IF($G262="",AQ262,S262)</f>
        <v>0</v>
      </c>
      <c r="BC262" s="31" t="n">
        <f aca="false">IF($G262="",AR262,T262)</f>
        <v>85794</v>
      </c>
      <c r="BD262" s="31" t="n">
        <f aca="false">IF($G262="",AS262,U262)</f>
        <v>0</v>
      </c>
      <c r="BE262" s="31" t="n">
        <f aca="false">IF($G262="",AT262,V262)</f>
        <v>13270</v>
      </c>
      <c r="BF262" s="31" t="n">
        <f aca="false">ROUNDDOWN(I262*設定!$B$10/1000,0)+ROUNDDOWN(I262*設定!$B$11/1000,0)</f>
        <v>0</v>
      </c>
      <c r="BG262" s="31" t="n">
        <f aca="false">ROUNDDOWN(I262*設定!$C$10/1000,0)+ROUNDDOWN(I262*設定!$C$11/1000,0)+ROUNDDOWN(I262*設定!$C$12/1000,0)</f>
        <v>0</v>
      </c>
      <c r="BH262" s="31" t="n">
        <f aca="false">ROUNDDOWN(J262*設定!$B$13/1000,0)</f>
        <v>0</v>
      </c>
      <c r="BI262" s="31" t="n">
        <f aca="false">ROUNDDOWN(J262*設定!$C$13/1000,0)</f>
        <v>0</v>
      </c>
      <c r="BJ262" s="31" t="n">
        <f aca="false">ROUNDDOWN(K262*設定!$B$14/1000,0)</f>
        <v>0</v>
      </c>
      <c r="BK262" s="31" t="n">
        <f aca="false">ROUNDDOWN(K262*設定!$C$14/1000,0)</f>
        <v>0</v>
      </c>
      <c r="BL262" s="31" t="n">
        <f aca="false">ROUNDDOWN(J262*設定!$B$15/1000,0)</f>
        <v>0</v>
      </c>
      <c r="BM262" s="31" t="n">
        <f aca="false">ROUNDDOWN(J262*設定!$C$15/1000,0)</f>
        <v>0</v>
      </c>
      <c r="BN262" s="31" t="n">
        <f aca="false">L262+M262</f>
        <v>0</v>
      </c>
      <c r="BO262" s="31" t="n">
        <f aca="false">N262+O262+P262</f>
        <v>1144450</v>
      </c>
      <c r="BP262" s="31" t="n">
        <f aca="false">Q262</f>
        <v>0</v>
      </c>
      <c r="BQ262" s="31" t="n">
        <f aca="false">R262</f>
        <v>599038</v>
      </c>
      <c r="BR262" s="31" t="n">
        <f aca="false">S262</f>
        <v>0</v>
      </c>
      <c r="BS262" s="31" t="n">
        <f aca="false">T262</f>
        <v>85794</v>
      </c>
      <c r="BT262" s="31" t="n">
        <f aca="false">U262</f>
        <v>0</v>
      </c>
      <c r="BU262" s="31" t="n">
        <f aca="false">V262</f>
        <v>13270</v>
      </c>
      <c r="BV262" s="32" t="n">
        <f aca="false">IF(BF262=0,IF(BN262=0,0,1),(BN262-BF262)/BF262)</f>
        <v>0</v>
      </c>
      <c r="BW262" s="32" t="n">
        <f aca="false">IF(BG262=0,IF(BO262=0,0,1),(BO262-BG262)/BG262)</f>
        <v>1</v>
      </c>
      <c r="BX262" s="32" t="n">
        <f aca="false">IF(BH262=0,IF(BP262=0,0,1),(BP262-BH262)/BH262)</f>
        <v>0</v>
      </c>
      <c r="BY262" s="32" t="n">
        <f aca="false">IF(BI262=0,IF(BQ262=0,0,1),(BQ262-BI262)/BI262)</f>
        <v>1</v>
      </c>
      <c r="BZ262" s="32" t="n">
        <f aca="false">IF(BJ262=0,IF(BR262=0,0,1),(BR262-BJ262)/BJ262)</f>
        <v>0</v>
      </c>
      <c r="CA262" s="32" t="n">
        <f aca="false">IF(BK262=0,IF(BS262=0,0,1),(BS262-BK262)/BK262)</f>
        <v>1</v>
      </c>
      <c r="CB262" s="32" t="n">
        <f aca="false">IF(BL262=0,IF(BT262=0,0,1),(BT262-BL262)/BL262)</f>
        <v>0</v>
      </c>
      <c r="CC262" s="32" t="n">
        <f aca="false">IF(BM262=0,IF(BU262=0,0,1),(BU262-BM262)/BM262)</f>
        <v>1</v>
      </c>
      <c r="CD262" s="32" t="n">
        <f aca="false">MAX(MAX(BV262:CC262),-MIN(BV262:CC262))</f>
        <v>1</v>
      </c>
      <c r="CE262" s="31" t="n">
        <f aca="false">IF(CI262="","",SUMIFS($CF$7:$CF$696,$A$7:$A$696,CI262,$B$7:$B$696,B262))</f>
        <v>1851086</v>
      </c>
      <c r="CF262" s="31" t="n">
        <f aca="false">SUM(AU262:BE262)</f>
        <v>1842552</v>
      </c>
      <c r="CG262" s="33" t="str">
        <f aca="false">A262&amp;"|"&amp;B262</f>
        <v>2026-08 月例|文化財団　市長部局</v>
      </c>
      <c r="CH262" s="34" t="str">
        <f aca="false">IFERROR(INDEX(設定!$D$61:$D$106,MATCH(B262,設定!$B$61:$B$106,0)),"Y")</f>
        <v>Y</v>
      </c>
      <c r="CI262" s="34" t="str">
        <f aca="false">IFERROR(INDEX(設定!$D$20:$D$34,MATCH(A262,設定!$A$20:$A$34,0))&amp;"","")</f>
        <v>2026-07 月例</v>
      </c>
    </row>
    <row r="263" customFormat="false" ht="15" hidden="true" customHeight="false" outlineLevel="0" collapsed="false">
      <c r="A263" s="22" t="s">
        <v>212</v>
      </c>
      <c r="B263" s="23" t="s">
        <v>187</v>
      </c>
      <c r="C263" s="10" t="str">
        <f aca="false">IF(G263="","未受領",IF(G263="なし","報告なし",IF(AH263="○","起票済",IF(OR(AG263="○",F263="一致",F263="入金不要"),"入金確認済","受領済"))))</f>
        <v>入金確認済</v>
      </c>
      <c r="D263" s="10" t="str">
        <f aca="false">IF(OR(G263="",G263="なし"),"―",IF(CH263="N","対象外",IF(AND(I263="",J263="",K263=""),"標報未入力",IF(CD263&gt;=設定!$B$4,"要確認","問題なし"))))</f>
        <v>標報未入力</v>
      </c>
      <c r="E263" s="24" t="str">
        <f aca="false">IF(OR(G263="",G263="なし",CE263="",CF263=0),"―",IF(CF263=CE263,"前月同額",IF(CE263=0,"―",IF(ABS(CF263/CE263-1)&gt;=設定!$B$5,"変動大 "&amp;TEXT(CF263/CE263-1,"+0%;-0%"),"〇"))))</f>
        <v>―</v>
      </c>
      <c r="F263" s="10" t="str">
        <f aca="false">IF(OR(G263="",G263="なし"),"―",IF(CF263=0,"入金不要",IF(COUNT(Z263,AB263,AD263,AF263)=0,IF(AG263="○","手動確認","未入金"),IF(AND(N(Z263)=Y263,IF(AA263="",TRUE(),N(AB263)=AA263),IF(AC263="",TRUE(),N(AD263)=AC263),IF(AE263="",TRUE(),N(AF263)=AE263)),"一致","不一致"))))</f>
        <v>入金不要</v>
      </c>
      <c r="G263" s="25" t="s">
        <v>159</v>
      </c>
      <c r="H263" s="26"/>
      <c r="I263" s="27"/>
      <c r="J263" s="27"/>
      <c r="K263" s="27"/>
      <c r="L263" s="27"/>
      <c r="M263" s="27"/>
      <c r="N263" s="27" t="n">
        <v>0</v>
      </c>
      <c r="O263" s="27" t="n">
        <v>0</v>
      </c>
      <c r="P263" s="27" t="n">
        <v>0</v>
      </c>
      <c r="Q263" s="27"/>
      <c r="R263" s="27" t="n">
        <v>0</v>
      </c>
      <c r="S263" s="27"/>
      <c r="T263" s="27" t="n">
        <v>0</v>
      </c>
      <c r="U263" s="27"/>
      <c r="V263" s="27" t="n">
        <v>0</v>
      </c>
      <c r="W263" s="10" t="str">
        <f aca="false">IFERROR(INDEX(設定!$E$61:$E$106,MATCH(B263,設定!$B$61:$B$106,0)),"合算")</f>
        <v>合算</v>
      </c>
      <c r="X263" s="28"/>
      <c r="Y263" s="29" t="n">
        <f aca="false">IF(OR(G263="",G263="なし"),"",IF(W263="合算",CF263,IF(W263="掛金・負担金別",(AU263+AV263+AZ263+BB263+BD263),SUM(AU263:AY263))))</f>
        <v>0</v>
      </c>
      <c r="Z263" s="27"/>
      <c r="AA263" s="29" t="str">
        <f aca="false">IF(OR(G263="",G263="なし"),"",IF(W263="掛金・負担金別",(AW263+AX263+AY263+BA263+BC263+BE263),IF(W263="経理区分別",AZ263+BA263,"")))</f>
        <v/>
      </c>
      <c r="AB263" s="27"/>
      <c r="AC263" s="29" t="str">
        <f aca="false">IF(OR(G263="",G263="なし"),"",IF(W263="経理区分別",BB263+BC263,""))</f>
        <v/>
      </c>
      <c r="AD263" s="27"/>
      <c r="AE263" s="29" t="str">
        <f aca="false">IF(OR(G263="",G263="なし"),"",IF(W263="経理区分別",BD263+BE263,""))</f>
        <v/>
      </c>
      <c r="AF263" s="27"/>
      <c r="AG263" s="26" t="s">
        <v>160</v>
      </c>
      <c r="AH263" s="26"/>
      <c r="AI263" s="30"/>
      <c r="AJ263" s="31"/>
      <c r="AK263" s="31"/>
      <c r="AL263" s="31"/>
      <c r="AM263" s="31"/>
      <c r="AN263" s="31"/>
      <c r="AO263" s="31"/>
      <c r="AP263" s="31"/>
      <c r="AQ263" s="31"/>
      <c r="AR263" s="31"/>
      <c r="AS263" s="31"/>
      <c r="AT263" s="31"/>
      <c r="AU263" s="31" t="n">
        <f aca="false">IF($G263="",AJ263,L263)</f>
        <v>0</v>
      </c>
      <c r="AV263" s="31" t="n">
        <f aca="false">IF($G263="",AK263,M263)</f>
        <v>0</v>
      </c>
      <c r="AW263" s="31" t="n">
        <f aca="false">IF($G263="",AL263,N263)</f>
        <v>0</v>
      </c>
      <c r="AX263" s="31" t="n">
        <f aca="false">IF($G263="",AM263,O263)</f>
        <v>0</v>
      </c>
      <c r="AY263" s="31" t="n">
        <f aca="false">IF($G263="",AN263,P263)</f>
        <v>0</v>
      </c>
      <c r="AZ263" s="31" t="n">
        <f aca="false">IF($G263="",AO263,Q263)</f>
        <v>0</v>
      </c>
      <c r="BA263" s="31" t="n">
        <f aca="false">IF($G263="",AP263,R263)</f>
        <v>0</v>
      </c>
      <c r="BB263" s="31" t="n">
        <f aca="false">IF($G263="",AQ263,S263)</f>
        <v>0</v>
      </c>
      <c r="BC263" s="31" t="n">
        <f aca="false">IF($G263="",AR263,T263)</f>
        <v>0</v>
      </c>
      <c r="BD263" s="31" t="n">
        <f aca="false">IF($G263="",AS263,U263)</f>
        <v>0</v>
      </c>
      <c r="BE263" s="31" t="n">
        <f aca="false">IF($G263="",AT263,V263)</f>
        <v>0</v>
      </c>
      <c r="BF263" s="31" t="n">
        <f aca="false">ROUNDDOWN(I263*設定!$B$10/1000,0)+ROUNDDOWN(I263*設定!$B$11/1000,0)</f>
        <v>0</v>
      </c>
      <c r="BG263" s="31" t="n">
        <f aca="false">ROUNDDOWN(I263*設定!$C$10/1000,0)+ROUNDDOWN(I263*設定!$C$11/1000,0)+ROUNDDOWN(I263*設定!$C$12/1000,0)</f>
        <v>0</v>
      </c>
      <c r="BH263" s="31" t="n">
        <f aca="false">ROUNDDOWN(J263*設定!$B$13/1000,0)</f>
        <v>0</v>
      </c>
      <c r="BI263" s="31" t="n">
        <f aca="false">ROUNDDOWN(J263*設定!$C$13/1000,0)</f>
        <v>0</v>
      </c>
      <c r="BJ263" s="31" t="n">
        <f aca="false">ROUNDDOWN(K263*設定!$B$14/1000,0)</f>
        <v>0</v>
      </c>
      <c r="BK263" s="31" t="n">
        <f aca="false">ROUNDDOWN(K263*設定!$C$14/1000,0)</f>
        <v>0</v>
      </c>
      <c r="BL263" s="31" t="n">
        <f aca="false">ROUNDDOWN(J263*設定!$B$15/1000,0)</f>
        <v>0</v>
      </c>
      <c r="BM263" s="31" t="n">
        <f aca="false">ROUNDDOWN(J263*設定!$C$15/1000,0)</f>
        <v>0</v>
      </c>
      <c r="BN263" s="31" t="n">
        <f aca="false">L263+M263</f>
        <v>0</v>
      </c>
      <c r="BO263" s="31" t="n">
        <f aca="false">N263+O263+P263</f>
        <v>0</v>
      </c>
      <c r="BP263" s="31" t="n">
        <f aca="false">Q263</f>
        <v>0</v>
      </c>
      <c r="BQ263" s="31" t="n">
        <f aca="false">R263</f>
        <v>0</v>
      </c>
      <c r="BR263" s="31" t="n">
        <f aca="false">S263</f>
        <v>0</v>
      </c>
      <c r="BS263" s="31" t="n">
        <f aca="false">T263</f>
        <v>0</v>
      </c>
      <c r="BT263" s="31" t="n">
        <f aca="false">U263</f>
        <v>0</v>
      </c>
      <c r="BU263" s="31" t="n">
        <f aca="false">V263</f>
        <v>0</v>
      </c>
      <c r="BV263" s="32" t="n">
        <f aca="false">IF(BF263=0,IF(BN263=0,0,1),(BN263-BF263)/BF263)</f>
        <v>0</v>
      </c>
      <c r="BW263" s="32" t="n">
        <f aca="false">IF(BG263=0,IF(BO263=0,0,1),(BO263-BG263)/BG263)</f>
        <v>0</v>
      </c>
      <c r="BX263" s="32" t="n">
        <f aca="false">IF(BH263=0,IF(BP263=0,0,1),(BP263-BH263)/BH263)</f>
        <v>0</v>
      </c>
      <c r="BY263" s="32" t="n">
        <f aca="false">IF(BI263=0,IF(BQ263=0,0,1),(BQ263-BI263)/BI263)</f>
        <v>0</v>
      </c>
      <c r="BZ263" s="32" t="n">
        <f aca="false">IF(BJ263=0,IF(BR263=0,0,1),(BR263-BJ263)/BJ263)</f>
        <v>0</v>
      </c>
      <c r="CA263" s="32" t="n">
        <f aca="false">IF(BK263=0,IF(BS263=0,0,1),(BS263-BK263)/BK263)</f>
        <v>0</v>
      </c>
      <c r="CB263" s="32" t="n">
        <f aca="false">IF(BL263=0,IF(BT263=0,0,1),(BT263-BL263)/BL263)</f>
        <v>0</v>
      </c>
      <c r="CC263" s="32" t="n">
        <f aca="false">IF(BM263=0,IF(BU263=0,0,1),(BU263-BM263)/BM263)</f>
        <v>0</v>
      </c>
      <c r="CD263" s="32" t="n">
        <f aca="false">MAX(MAX(BV263:CC263),-MIN(BV263:CC263))</f>
        <v>-0</v>
      </c>
      <c r="CE263" s="31" t="n">
        <f aca="false">IF(CI263="","",SUMIFS($CF$7:$CF$696,$A$7:$A$696,CI263,$B$7:$B$696,B263))</f>
        <v>0</v>
      </c>
      <c r="CF263" s="31" t="n">
        <f aca="false">SUM(AU263:BE263)</f>
        <v>0</v>
      </c>
      <c r="CG263" s="33" t="str">
        <f aca="false">A263&amp;"|"&amp;B263</f>
        <v>2026-08 月例|文化財団　教育委員会</v>
      </c>
      <c r="CH263" s="34" t="str">
        <f aca="false">IFERROR(INDEX(設定!$D$61:$D$106,MATCH(B263,設定!$B$61:$B$106,0)),"Y")</f>
        <v>Y</v>
      </c>
      <c r="CI263" s="34" t="str">
        <f aca="false">IFERROR(INDEX(設定!$D$20:$D$34,MATCH(A263,設定!$A$20:$A$34,0))&amp;"","")</f>
        <v>2026-07 月例</v>
      </c>
    </row>
    <row r="264" customFormat="false" ht="15" hidden="true" customHeight="false" outlineLevel="0" collapsed="false">
      <c r="A264" s="22" t="s">
        <v>212</v>
      </c>
      <c r="B264" s="23" t="s">
        <v>188</v>
      </c>
      <c r="C264" s="10" t="str">
        <f aca="false">IF(G264="","未受領",IF(G264="なし","報告なし",IF(AH264="○","起票済",IF(OR(AG264="○",F264="一致",F264="入金不要"),"入金確認済","受領済"))))</f>
        <v>入金確認済</v>
      </c>
      <c r="D264" s="10" t="str">
        <f aca="false">IF(OR(G264="",G264="なし"),"―",IF(CH264="N","対象外",IF(AND(I264="",J264="",K264=""),"標報未入力",IF(CD264&gt;=設定!$B$4,"要確認","問題なし"))))</f>
        <v>標報未入力</v>
      </c>
      <c r="E264" s="24" t="str">
        <f aca="false">IF(OR(G264="",G264="なし",CE264="",CF264=0),"―",IF(CF264=CE264,"前月同額",IF(CE264=0,"―",IF(ABS(CF264/CE264-1)&gt;=設定!$B$5,"変動大 "&amp;TEXT(CF264/CE264-1,"+0%;-0%"),"〇"))))</f>
        <v>前月同額</v>
      </c>
      <c r="F264" s="10" t="str">
        <f aca="false">IF(OR(G264="",G264="なし"),"―",IF(CF264=0,"入金不要",IF(COUNT(Z264,AB264,AD264,AF264)=0,IF(AG264="○","手動確認","未入金"),IF(AND(N(Z264)=Y264,IF(AA264="",TRUE(),N(AB264)=AA264),IF(AC264="",TRUE(),N(AD264)=AC264),IF(AE264="",TRUE(),N(AF264)=AE264)),"一致","不一致"))))</f>
        <v>手動確認</v>
      </c>
      <c r="G264" s="25" t="s">
        <v>159</v>
      </c>
      <c r="H264" s="26"/>
      <c r="I264" s="27"/>
      <c r="J264" s="27"/>
      <c r="K264" s="27"/>
      <c r="L264" s="27"/>
      <c r="M264" s="27"/>
      <c r="N264" s="27" t="n">
        <v>405345</v>
      </c>
      <c r="O264" s="27" t="n">
        <v>33225</v>
      </c>
      <c r="P264" s="27" t="n">
        <v>383</v>
      </c>
      <c r="Q264" s="27"/>
      <c r="R264" s="27" t="n">
        <v>229960</v>
      </c>
      <c r="S264" s="27"/>
      <c r="T264" s="27" t="n">
        <v>34997</v>
      </c>
      <c r="U264" s="27"/>
      <c r="V264" s="27" t="n">
        <v>5093</v>
      </c>
      <c r="W264" s="10" t="str">
        <f aca="false">IFERROR(INDEX(設定!$E$61:$E$106,MATCH(B264,設定!$B$61:$B$106,0)),"合算")</f>
        <v>合算</v>
      </c>
      <c r="X264" s="28"/>
      <c r="Y264" s="29" t="n">
        <f aca="false">IF(OR(G264="",G264="なし"),"",IF(W264="合算",CF264,IF(W264="掛金・負担金別",(AU264+AV264+AZ264+BB264+BD264),SUM(AU264:AY264))))</f>
        <v>709003</v>
      </c>
      <c r="Z264" s="27"/>
      <c r="AA264" s="29" t="str">
        <f aca="false">IF(OR(G264="",G264="なし"),"",IF(W264="掛金・負担金別",(AW264+AX264+AY264+BA264+BC264+BE264),IF(W264="経理区分別",AZ264+BA264,"")))</f>
        <v/>
      </c>
      <c r="AB264" s="27"/>
      <c r="AC264" s="29" t="str">
        <f aca="false">IF(OR(G264="",G264="なし"),"",IF(W264="経理区分別",BB264+BC264,""))</f>
        <v/>
      </c>
      <c r="AD264" s="27"/>
      <c r="AE264" s="29" t="str">
        <f aca="false">IF(OR(G264="",G264="なし"),"",IF(W264="経理区分別",BD264+BE264,""))</f>
        <v/>
      </c>
      <c r="AF264" s="27"/>
      <c r="AG264" s="26" t="s">
        <v>160</v>
      </c>
      <c r="AH264" s="26"/>
      <c r="AI264" s="30"/>
      <c r="AJ264" s="31"/>
      <c r="AK264" s="31"/>
      <c r="AL264" s="31"/>
      <c r="AM264" s="31"/>
      <c r="AN264" s="31"/>
      <c r="AO264" s="31"/>
      <c r="AP264" s="31"/>
      <c r="AQ264" s="31"/>
      <c r="AR264" s="31"/>
      <c r="AS264" s="31"/>
      <c r="AT264" s="31"/>
      <c r="AU264" s="31" t="n">
        <f aca="false">IF($G264="",AJ264,L264)</f>
        <v>0</v>
      </c>
      <c r="AV264" s="31" t="n">
        <f aca="false">IF($G264="",AK264,M264)</f>
        <v>0</v>
      </c>
      <c r="AW264" s="31" t="n">
        <f aca="false">IF($G264="",AL264,N264)</f>
        <v>405345</v>
      </c>
      <c r="AX264" s="31" t="n">
        <f aca="false">IF($G264="",AM264,O264)</f>
        <v>33225</v>
      </c>
      <c r="AY264" s="31" t="n">
        <f aca="false">IF($G264="",AN264,P264)</f>
        <v>383</v>
      </c>
      <c r="AZ264" s="31" t="n">
        <f aca="false">IF($G264="",AO264,Q264)</f>
        <v>0</v>
      </c>
      <c r="BA264" s="31" t="n">
        <f aca="false">IF($G264="",AP264,R264)</f>
        <v>229960</v>
      </c>
      <c r="BB264" s="31" t="n">
        <f aca="false">IF($G264="",AQ264,S264)</f>
        <v>0</v>
      </c>
      <c r="BC264" s="31" t="n">
        <f aca="false">IF($G264="",AR264,T264)</f>
        <v>34997</v>
      </c>
      <c r="BD264" s="31" t="n">
        <f aca="false">IF($G264="",AS264,U264)</f>
        <v>0</v>
      </c>
      <c r="BE264" s="31" t="n">
        <f aca="false">IF($G264="",AT264,V264)</f>
        <v>5093</v>
      </c>
      <c r="BF264" s="31" t="n">
        <f aca="false">ROUNDDOWN(I264*設定!$B$10/1000,0)+ROUNDDOWN(I264*設定!$B$11/1000,0)</f>
        <v>0</v>
      </c>
      <c r="BG264" s="31" t="n">
        <f aca="false">ROUNDDOWN(I264*設定!$C$10/1000,0)+ROUNDDOWN(I264*設定!$C$11/1000,0)+ROUNDDOWN(I264*設定!$C$12/1000,0)</f>
        <v>0</v>
      </c>
      <c r="BH264" s="31" t="n">
        <f aca="false">ROUNDDOWN(J264*設定!$B$13/1000,0)</f>
        <v>0</v>
      </c>
      <c r="BI264" s="31" t="n">
        <f aca="false">ROUNDDOWN(J264*設定!$C$13/1000,0)</f>
        <v>0</v>
      </c>
      <c r="BJ264" s="31" t="n">
        <f aca="false">ROUNDDOWN(K264*設定!$B$14/1000,0)</f>
        <v>0</v>
      </c>
      <c r="BK264" s="31" t="n">
        <f aca="false">ROUNDDOWN(K264*設定!$C$14/1000,0)</f>
        <v>0</v>
      </c>
      <c r="BL264" s="31" t="n">
        <f aca="false">ROUNDDOWN(J264*設定!$B$15/1000,0)</f>
        <v>0</v>
      </c>
      <c r="BM264" s="31" t="n">
        <f aca="false">ROUNDDOWN(J264*設定!$C$15/1000,0)</f>
        <v>0</v>
      </c>
      <c r="BN264" s="31" t="n">
        <f aca="false">L264+M264</f>
        <v>0</v>
      </c>
      <c r="BO264" s="31" t="n">
        <f aca="false">N264+O264+P264</f>
        <v>438953</v>
      </c>
      <c r="BP264" s="31" t="n">
        <f aca="false">Q264</f>
        <v>0</v>
      </c>
      <c r="BQ264" s="31" t="n">
        <f aca="false">R264</f>
        <v>229960</v>
      </c>
      <c r="BR264" s="31" t="n">
        <f aca="false">S264</f>
        <v>0</v>
      </c>
      <c r="BS264" s="31" t="n">
        <f aca="false">T264</f>
        <v>34997</v>
      </c>
      <c r="BT264" s="31" t="n">
        <f aca="false">U264</f>
        <v>0</v>
      </c>
      <c r="BU264" s="31" t="n">
        <f aca="false">V264</f>
        <v>5093</v>
      </c>
      <c r="BV264" s="32" t="n">
        <f aca="false">IF(BF264=0,IF(BN264=0,0,1),(BN264-BF264)/BF264)</f>
        <v>0</v>
      </c>
      <c r="BW264" s="32" t="n">
        <f aca="false">IF(BG264=0,IF(BO264=0,0,1),(BO264-BG264)/BG264)</f>
        <v>1</v>
      </c>
      <c r="BX264" s="32" t="n">
        <f aca="false">IF(BH264=0,IF(BP264=0,0,1),(BP264-BH264)/BH264)</f>
        <v>0</v>
      </c>
      <c r="BY264" s="32" t="n">
        <f aca="false">IF(BI264=0,IF(BQ264=0,0,1),(BQ264-BI264)/BI264)</f>
        <v>1</v>
      </c>
      <c r="BZ264" s="32" t="n">
        <f aca="false">IF(BJ264=0,IF(BR264=0,0,1),(BR264-BJ264)/BJ264)</f>
        <v>0</v>
      </c>
      <c r="CA264" s="32" t="n">
        <f aca="false">IF(BK264=0,IF(BS264=0,0,1),(BS264-BK264)/BK264)</f>
        <v>1</v>
      </c>
      <c r="CB264" s="32" t="n">
        <f aca="false">IF(BL264=0,IF(BT264=0,0,1),(BT264-BL264)/BL264)</f>
        <v>0</v>
      </c>
      <c r="CC264" s="32" t="n">
        <f aca="false">IF(BM264=0,IF(BU264=0,0,1),(BU264-BM264)/BM264)</f>
        <v>1</v>
      </c>
      <c r="CD264" s="32" t="n">
        <f aca="false">MAX(MAX(BV264:CC264),-MIN(BV264:CC264))</f>
        <v>1</v>
      </c>
      <c r="CE264" s="31" t="n">
        <f aca="false">IF(CI264="","",SUMIFS($CF$7:$CF$696,$A$7:$A$696,CI264,$B$7:$B$696,B264))</f>
        <v>709003</v>
      </c>
      <c r="CF264" s="31" t="n">
        <f aca="false">SUM(AU264:BE264)</f>
        <v>709003</v>
      </c>
      <c r="CG264" s="33" t="str">
        <f aca="false">A264&amp;"|"&amp;B264</f>
        <v>2026-08 月例|みどり生きもの協会</v>
      </c>
      <c r="CH264" s="34" t="str">
        <f aca="false">IFERROR(INDEX(設定!$D$61:$D$106,MATCH(B264,設定!$B$61:$B$106,0)),"Y")</f>
        <v>Y</v>
      </c>
      <c r="CI264" s="34" t="str">
        <f aca="false">IFERROR(INDEX(設定!$D$20:$D$34,MATCH(A264,設定!$A$20:$A$34,0))&amp;"","")</f>
        <v>2026-07 月例</v>
      </c>
    </row>
    <row r="265" customFormat="false" ht="15" hidden="true" customHeight="false" outlineLevel="0" collapsed="false">
      <c r="A265" s="22" t="s">
        <v>212</v>
      </c>
      <c r="B265" s="23" t="s">
        <v>189</v>
      </c>
      <c r="C265" s="10" t="str">
        <f aca="false">IF(G265="","未受領",IF(G265="なし","報告なし",IF(AH265="○","起票済",IF(OR(AG265="○",F265="一致",F265="入金不要"),"入金確認済","受領済"))))</f>
        <v>入金確認済</v>
      </c>
      <c r="D265" s="10" t="str">
        <f aca="false">IF(OR(G265="",G265="なし"),"―",IF(CH265="N","対象外",IF(AND(I265="",J265="",K265=""),"標報未入力",IF(CD265&gt;=設定!$B$4,"要確認","問題なし"))))</f>
        <v>標報未入力</v>
      </c>
      <c r="E265" s="24" t="str">
        <f aca="false">IF(OR(G265="",G265="なし",CE265="",CF265=0),"―",IF(CF265=CE265,"前月同額",IF(CE265=0,"―",IF(ABS(CF265/CE265-1)&gt;=設定!$B$5,"変動大 "&amp;TEXT(CF265/CE265-1,"+0%;-0%"),"〇"))))</f>
        <v>前月同額</v>
      </c>
      <c r="F265" s="10" t="str">
        <f aca="false">IF(OR(G265="",G265="なし"),"―",IF(CF265=0,"入金不要",IF(COUNT(Z265,AB265,AD265,AF265)=0,IF(AG265="○","手動確認","未入金"),IF(AND(N(Z265)=Y265,IF(AA265="",TRUE(),N(AB265)=AA265),IF(AC265="",TRUE(),N(AD265)=AC265),IF(AE265="",TRUE(),N(AF265)=AE265)),"一致","不一致"))))</f>
        <v>手動確認</v>
      </c>
      <c r="G265" s="25" t="s">
        <v>159</v>
      </c>
      <c r="H265" s="26"/>
      <c r="I265" s="27"/>
      <c r="J265" s="27"/>
      <c r="K265" s="27"/>
      <c r="L265" s="27" t="n">
        <v>148230</v>
      </c>
      <c r="M265" s="27" t="n">
        <v>12150</v>
      </c>
      <c r="N265" s="27" t="n">
        <v>148230</v>
      </c>
      <c r="O265" s="27" t="n">
        <v>12150</v>
      </c>
      <c r="P265" s="27" t="n">
        <v>140</v>
      </c>
      <c r="Q265" s="27" t="n">
        <v>87123</v>
      </c>
      <c r="R265" s="27" t="n">
        <v>87208</v>
      </c>
      <c r="S265" s="27" t="n">
        <v>10033</v>
      </c>
      <c r="T265" s="27" t="n">
        <v>10033</v>
      </c>
      <c r="U265" s="27" t="n">
        <v>1931</v>
      </c>
      <c r="V265" s="27" t="n">
        <v>1932</v>
      </c>
      <c r="W265" s="10" t="str">
        <f aca="false">IFERROR(INDEX(設定!$E$61:$E$106,MATCH(B265,設定!$B$61:$B$106,0)),"合算")</f>
        <v>合算</v>
      </c>
      <c r="X265" s="28"/>
      <c r="Y265" s="29" t="n">
        <f aca="false">IF(OR(G265="",G265="なし"),"",IF(W265="合算",CF265,IF(W265="掛金・負担金別",(AU265+AV265+AZ265+BB265+BD265),SUM(AU265:AY265))))</f>
        <v>519160</v>
      </c>
      <c r="Z265" s="27"/>
      <c r="AA265" s="29" t="str">
        <f aca="false">IF(OR(G265="",G265="なし"),"",IF(W265="掛金・負担金別",(AW265+AX265+AY265+BA265+BC265+BE265),IF(W265="経理区分別",AZ265+BA265,"")))</f>
        <v/>
      </c>
      <c r="AB265" s="27"/>
      <c r="AC265" s="29" t="str">
        <f aca="false">IF(OR(G265="",G265="なし"),"",IF(W265="経理区分別",BB265+BC265,""))</f>
        <v/>
      </c>
      <c r="AD265" s="27"/>
      <c r="AE265" s="29" t="str">
        <f aca="false">IF(OR(G265="",G265="なし"),"",IF(W265="経理区分別",BD265+BE265,""))</f>
        <v/>
      </c>
      <c r="AF265" s="27"/>
      <c r="AG265" s="26" t="s">
        <v>160</v>
      </c>
      <c r="AH265" s="26"/>
      <c r="AI265" s="30"/>
      <c r="AJ265" s="31"/>
      <c r="AK265" s="31"/>
      <c r="AL265" s="31"/>
      <c r="AM265" s="31"/>
      <c r="AN265" s="31"/>
      <c r="AO265" s="31"/>
      <c r="AP265" s="31"/>
      <c r="AQ265" s="31"/>
      <c r="AR265" s="31"/>
      <c r="AS265" s="31"/>
      <c r="AT265" s="31"/>
      <c r="AU265" s="31" t="n">
        <f aca="false">IF($G265="",AJ265,L265)</f>
        <v>148230</v>
      </c>
      <c r="AV265" s="31" t="n">
        <f aca="false">IF($G265="",AK265,M265)</f>
        <v>12150</v>
      </c>
      <c r="AW265" s="31" t="n">
        <f aca="false">IF($G265="",AL265,N265)</f>
        <v>148230</v>
      </c>
      <c r="AX265" s="31" t="n">
        <f aca="false">IF($G265="",AM265,O265)</f>
        <v>12150</v>
      </c>
      <c r="AY265" s="31" t="n">
        <f aca="false">IF($G265="",AN265,P265)</f>
        <v>140</v>
      </c>
      <c r="AZ265" s="31" t="n">
        <f aca="false">IF($G265="",AO265,Q265)</f>
        <v>87123</v>
      </c>
      <c r="BA265" s="31" t="n">
        <f aca="false">IF($G265="",AP265,R265)</f>
        <v>87208</v>
      </c>
      <c r="BB265" s="31" t="n">
        <f aca="false">IF($G265="",AQ265,S265)</f>
        <v>10033</v>
      </c>
      <c r="BC265" s="31" t="n">
        <f aca="false">IF($G265="",AR265,T265)</f>
        <v>10033</v>
      </c>
      <c r="BD265" s="31" t="n">
        <f aca="false">IF($G265="",AS265,U265)</f>
        <v>1931</v>
      </c>
      <c r="BE265" s="31" t="n">
        <f aca="false">IF($G265="",AT265,V265)</f>
        <v>1932</v>
      </c>
      <c r="BF265" s="31" t="n">
        <f aca="false">ROUNDDOWN(I265*設定!$B$10/1000,0)+ROUNDDOWN(I265*設定!$B$11/1000,0)</f>
        <v>0</v>
      </c>
      <c r="BG265" s="31" t="n">
        <f aca="false">ROUNDDOWN(I265*設定!$C$10/1000,0)+ROUNDDOWN(I265*設定!$C$11/1000,0)+ROUNDDOWN(I265*設定!$C$12/1000,0)</f>
        <v>0</v>
      </c>
      <c r="BH265" s="31" t="n">
        <f aca="false">ROUNDDOWN(J265*設定!$B$13/1000,0)</f>
        <v>0</v>
      </c>
      <c r="BI265" s="31" t="n">
        <f aca="false">ROUNDDOWN(J265*設定!$C$13/1000,0)</f>
        <v>0</v>
      </c>
      <c r="BJ265" s="31" t="n">
        <f aca="false">ROUNDDOWN(K265*設定!$B$14/1000,0)</f>
        <v>0</v>
      </c>
      <c r="BK265" s="31" t="n">
        <f aca="false">ROUNDDOWN(K265*設定!$C$14/1000,0)</f>
        <v>0</v>
      </c>
      <c r="BL265" s="31" t="n">
        <f aca="false">ROUNDDOWN(J265*設定!$B$15/1000,0)</f>
        <v>0</v>
      </c>
      <c r="BM265" s="31" t="n">
        <f aca="false">ROUNDDOWN(J265*設定!$C$15/1000,0)</f>
        <v>0</v>
      </c>
      <c r="BN265" s="31" t="n">
        <f aca="false">L265+M265</f>
        <v>160380</v>
      </c>
      <c r="BO265" s="31" t="n">
        <f aca="false">N265+O265+P265</f>
        <v>160520</v>
      </c>
      <c r="BP265" s="31" t="n">
        <f aca="false">Q265</f>
        <v>87123</v>
      </c>
      <c r="BQ265" s="31" t="n">
        <f aca="false">R265</f>
        <v>87208</v>
      </c>
      <c r="BR265" s="31" t="n">
        <f aca="false">S265</f>
        <v>10033</v>
      </c>
      <c r="BS265" s="31" t="n">
        <f aca="false">T265</f>
        <v>10033</v>
      </c>
      <c r="BT265" s="31" t="n">
        <f aca="false">U265</f>
        <v>1931</v>
      </c>
      <c r="BU265" s="31" t="n">
        <f aca="false">V265</f>
        <v>1932</v>
      </c>
      <c r="BV265" s="32" t="n">
        <f aca="false">IF(BF265=0,IF(BN265=0,0,1),(BN265-BF265)/BF265)</f>
        <v>1</v>
      </c>
      <c r="BW265" s="32" t="n">
        <f aca="false">IF(BG265=0,IF(BO265=0,0,1),(BO265-BG265)/BG265)</f>
        <v>1</v>
      </c>
      <c r="BX265" s="32" t="n">
        <f aca="false">IF(BH265=0,IF(BP265=0,0,1),(BP265-BH265)/BH265)</f>
        <v>1</v>
      </c>
      <c r="BY265" s="32" t="n">
        <f aca="false">IF(BI265=0,IF(BQ265=0,0,1),(BQ265-BI265)/BI265)</f>
        <v>1</v>
      </c>
      <c r="BZ265" s="32" t="n">
        <f aca="false">IF(BJ265=0,IF(BR265=0,0,1),(BR265-BJ265)/BJ265)</f>
        <v>1</v>
      </c>
      <c r="CA265" s="32" t="n">
        <f aca="false">IF(BK265=0,IF(BS265=0,0,1),(BS265-BK265)/BK265)</f>
        <v>1</v>
      </c>
      <c r="CB265" s="32" t="n">
        <f aca="false">IF(BL265=0,IF(BT265=0,0,1),(BT265-BL265)/BL265)</f>
        <v>1</v>
      </c>
      <c r="CC265" s="32" t="n">
        <f aca="false">IF(BM265=0,IF(BU265=0,0,1),(BU265-BM265)/BM265)</f>
        <v>1</v>
      </c>
      <c r="CD265" s="32" t="n">
        <f aca="false">MAX(MAX(BV265:CC265),-MIN(BV265:CC265))</f>
        <v>1</v>
      </c>
      <c r="CE265" s="31" t="n">
        <f aca="false">IF(CI265="","",SUMIFS($CF$7:$CF$696,$A$7:$A$696,CI265,$B$7:$B$696,B265))</f>
        <v>519160</v>
      </c>
      <c r="CF265" s="31" t="n">
        <f aca="false">SUM(AU265:BE265)</f>
        <v>519160</v>
      </c>
      <c r="CG265" s="33" t="str">
        <f aca="false">A265&amp;"|"&amp;B265</f>
        <v>2026-08 月例|県下水道公社</v>
      </c>
      <c r="CH265" s="34" t="str">
        <f aca="false">IFERROR(INDEX(設定!$D$61:$D$106,MATCH(B265,設定!$B$61:$B$106,0)),"Y")</f>
        <v>Y</v>
      </c>
      <c r="CI265" s="34" t="str">
        <f aca="false">IFERROR(INDEX(設定!$D$20:$D$34,MATCH(A265,設定!$A$20:$A$34,0))&amp;"","")</f>
        <v>2026-07 月例</v>
      </c>
    </row>
    <row r="266" customFormat="false" ht="26.85" hidden="true" customHeight="false" outlineLevel="0" collapsed="false">
      <c r="A266" s="22" t="s">
        <v>212</v>
      </c>
      <c r="B266" s="35" t="s">
        <v>190</v>
      </c>
      <c r="C266" s="10" t="str">
        <f aca="false">IF(G266="","未受領",IF(G266="なし","報告なし",IF(AH266="○","起票済",IF(OR(AG266="○",F266="一致",F266="入金不要"),"入金確認済","受領済"))))</f>
        <v>入金確認済</v>
      </c>
      <c r="D266" s="10" t="str">
        <f aca="false">IF(OR(G266="",G266="なし"),"―",IF(CH266="N","対象外",IF(AND(I266="",J266="",K266=""),"標報未入力",IF(CD266&gt;=設定!$B$4,"要確認","問題なし"))))</f>
        <v>標報未入力</v>
      </c>
      <c r="E266" s="24" t="str">
        <f aca="false">IF(OR(G266="",G266="なし",CE266="",CF266=0),"―",IF(CF266=CE266,"前月同額",IF(CE266=0,"―",IF(ABS(CF266/CE266-1)&gt;=設定!$B$5,"変動大 "&amp;TEXT(CF266/CE266-1,"+0%;-0%"),"〇"))))</f>
        <v>前月同額</v>
      </c>
      <c r="F266" s="10" t="str">
        <f aca="false">IF(OR(G266="",G266="なし"),"―",IF(CF266=0,"入金不要",IF(COUNT(Z266,AB266,AD266,AF266)=0,IF(AG266="○","手動確認","未入金"),IF(AND(N(Z266)=Y266,IF(AA266="",TRUE(),N(AB266)=AA266),IF(AC266="",TRUE(),N(AD266)=AC266),IF(AE266="",TRUE(),N(AF266)=AE266)),"一致","不一致"))))</f>
        <v>手動確認</v>
      </c>
      <c r="G266" s="25" t="s">
        <v>159</v>
      </c>
      <c r="H266" s="26"/>
      <c r="I266" s="27"/>
      <c r="J266" s="27"/>
      <c r="K266" s="27"/>
      <c r="L266" s="27"/>
      <c r="M266" s="27"/>
      <c r="N266" s="27" t="n">
        <v>455670</v>
      </c>
      <c r="O266" s="27" t="n">
        <v>37350</v>
      </c>
      <c r="P266" s="27" t="n">
        <v>432</v>
      </c>
      <c r="Q266" s="27"/>
      <c r="R266" s="27" t="n">
        <v>267855</v>
      </c>
      <c r="S266" s="27"/>
      <c r="T266" s="27" t="n">
        <v>21725</v>
      </c>
      <c r="U266" s="27"/>
      <c r="V266" s="27" t="n">
        <v>5934</v>
      </c>
      <c r="W266" s="10" t="str">
        <f aca="false">IFERROR(INDEX(設定!$E$61:$E$106,MATCH(B266,設定!$B$61:$B$106,0)),"合算")</f>
        <v>合算</v>
      </c>
      <c r="X266" s="28"/>
      <c r="Y266" s="29" t="n">
        <f aca="false">IF(OR(G266="",G266="なし"),"",IF(W266="合算",CF266,IF(W266="掛金・負担金別",(AU266+AV266+AZ266+BB266+BD266),SUM(AU266:AY266))))</f>
        <v>788966</v>
      </c>
      <c r="Z266" s="27"/>
      <c r="AA266" s="29" t="str">
        <f aca="false">IF(OR(G266="",G266="なし"),"",IF(W266="掛金・負担金別",(AW266+AX266+AY266+BA266+BC266+BE266),IF(W266="経理区分別",AZ266+BA266,"")))</f>
        <v/>
      </c>
      <c r="AB266" s="27"/>
      <c r="AC266" s="29" t="str">
        <f aca="false">IF(OR(G266="",G266="なし"),"",IF(W266="経理区分別",BB266+BC266,""))</f>
        <v/>
      </c>
      <c r="AD266" s="27"/>
      <c r="AE266" s="29" t="str">
        <f aca="false">IF(OR(G266="",G266="なし"),"",IF(W266="経理区分別",BD266+BE266,""))</f>
        <v/>
      </c>
      <c r="AF266" s="27"/>
      <c r="AG266" s="26" t="s">
        <v>160</v>
      </c>
      <c r="AH266" s="26"/>
      <c r="AI266" s="30"/>
      <c r="AJ266" s="31"/>
      <c r="AK266" s="31"/>
      <c r="AL266" s="31"/>
      <c r="AM266" s="31"/>
      <c r="AN266" s="31"/>
      <c r="AO266" s="31"/>
      <c r="AP266" s="31"/>
      <c r="AQ266" s="31"/>
      <c r="AR266" s="31"/>
      <c r="AS266" s="31"/>
      <c r="AT266" s="31"/>
      <c r="AU266" s="31" t="n">
        <f aca="false">IF($G266="",AJ266,L266)</f>
        <v>0</v>
      </c>
      <c r="AV266" s="31" t="n">
        <f aca="false">IF($G266="",AK266,M266)</f>
        <v>0</v>
      </c>
      <c r="AW266" s="31" t="n">
        <f aca="false">IF($G266="",AL266,N266)</f>
        <v>455670</v>
      </c>
      <c r="AX266" s="31" t="n">
        <f aca="false">IF($G266="",AM266,O266)</f>
        <v>37350</v>
      </c>
      <c r="AY266" s="31" t="n">
        <f aca="false">IF($G266="",AN266,P266)</f>
        <v>432</v>
      </c>
      <c r="AZ266" s="31" t="n">
        <f aca="false">IF($G266="",AO266,Q266)</f>
        <v>0</v>
      </c>
      <c r="BA266" s="31" t="n">
        <f aca="false">IF($G266="",AP266,R266)</f>
        <v>267855</v>
      </c>
      <c r="BB266" s="31" t="n">
        <f aca="false">IF($G266="",AQ266,S266)</f>
        <v>0</v>
      </c>
      <c r="BC266" s="31" t="n">
        <f aca="false">IF($G266="",AR266,T266)</f>
        <v>21725</v>
      </c>
      <c r="BD266" s="31" t="n">
        <f aca="false">IF($G266="",AS266,U266)</f>
        <v>0</v>
      </c>
      <c r="BE266" s="31" t="n">
        <f aca="false">IF($G266="",AT266,V266)</f>
        <v>5934</v>
      </c>
      <c r="BF266" s="31" t="n">
        <f aca="false">ROUNDDOWN(I266*設定!$B$10/1000,0)+ROUNDDOWN(I266*設定!$B$11/1000,0)</f>
        <v>0</v>
      </c>
      <c r="BG266" s="31" t="n">
        <f aca="false">ROUNDDOWN(I266*設定!$C$10/1000,0)+ROUNDDOWN(I266*設定!$C$11/1000,0)+ROUNDDOWN(I266*設定!$C$12/1000,0)</f>
        <v>0</v>
      </c>
      <c r="BH266" s="31" t="n">
        <f aca="false">ROUNDDOWN(J266*設定!$B$13/1000,0)</f>
        <v>0</v>
      </c>
      <c r="BI266" s="31" t="n">
        <f aca="false">ROUNDDOWN(J266*設定!$C$13/1000,0)</f>
        <v>0</v>
      </c>
      <c r="BJ266" s="31" t="n">
        <f aca="false">ROUNDDOWN(K266*設定!$B$14/1000,0)</f>
        <v>0</v>
      </c>
      <c r="BK266" s="31" t="n">
        <f aca="false">ROUNDDOWN(K266*設定!$C$14/1000,0)</f>
        <v>0</v>
      </c>
      <c r="BL266" s="31" t="n">
        <f aca="false">ROUNDDOWN(J266*設定!$B$15/1000,0)</f>
        <v>0</v>
      </c>
      <c r="BM266" s="31" t="n">
        <f aca="false">ROUNDDOWN(J266*設定!$C$15/1000,0)</f>
        <v>0</v>
      </c>
      <c r="BN266" s="31" t="n">
        <f aca="false">L266+M266</f>
        <v>0</v>
      </c>
      <c r="BO266" s="31" t="n">
        <f aca="false">N266+O266+P266</f>
        <v>493452</v>
      </c>
      <c r="BP266" s="31" t="n">
        <f aca="false">Q266</f>
        <v>0</v>
      </c>
      <c r="BQ266" s="31" t="n">
        <f aca="false">R266</f>
        <v>267855</v>
      </c>
      <c r="BR266" s="31" t="n">
        <f aca="false">S266</f>
        <v>0</v>
      </c>
      <c r="BS266" s="31" t="n">
        <f aca="false">T266</f>
        <v>21725</v>
      </c>
      <c r="BT266" s="31" t="n">
        <f aca="false">U266</f>
        <v>0</v>
      </c>
      <c r="BU266" s="31" t="n">
        <f aca="false">V266</f>
        <v>5934</v>
      </c>
      <c r="BV266" s="32" t="n">
        <f aca="false">IF(BF266=0,IF(BN266=0,0,1),(BN266-BF266)/BF266)</f>
        <v>0</v>
      </c>
      <c r="BW266" s="32" t="n">
        <f aca="false">IF(BG266=0,IF(BO266=0,0,1),(BO266-BG266)/BG266)</f>
        <v>1</v>
      </c>
      <c r="BX266" s="32" t="n">
        <f aca="false">IF(BH266=0,IF(BP266=0,0,1),(BP266-BH266)/BH266)</f>
        <v>0</v>
      </c>
      <c r="BY266" s="32" t="n">
        <f aca="false">IF(BI266=0,IF(BQ266=0,0,1),(BQ266-BI266)/BI266)</f>
        <v>1</v>
      </c>
      <c r="BZ266" s="32" t="n">
        <f aca="false">IF(BJ266=0,IF(BR266=0,0,1),(BR266-BJ266)/BJ266)</f>
        <v>0</v>
      </c>
      <c r="CA266" s="32" t="n">
        <f aca="false">IF(BK266=0,IF(BS266=0,0,1),(BS266-BK266)/BK266)</f>
        <v>1</v>
      </c>
      <c r="CB266" s="32" t="n">
        <f aca="false">IF(BL266=0,IF(BT266=0,0,1),(BT266-BL266)/BL266)</f>
        <v>0</v>
      </c>
      <c r="CC266" s="32" t="n">
        <f aca="false">IF(BM266=0,IF(BU266=0,0,1),(BU266-BM266)/BM266)</f>
        <v>1</v>
      </c>
      <c r="CD266" s="32" t="n">
        <f aca="false">MAX(MAX(BV266:CC266),-MIN(BV266:CC266))</f>
        <v>1</v>
      </c>
      <c r="CE266" s="31" t="n">
        <f aca="false">IF(CI266="","",SUMIFS($CF$7:$CF$696,$A$7:$A$696,CI266,$B$7:$B$696,B266))</f>
        <v>788966</v>
      </c>
      <c r="CF266" s="31" t="n">
        <f aca="false">SUM(AU266:BE266)</f>
        <v>788966</v>
      </c>
      <c r="CG266" s="36" t="str">
        <f aca="false">A266&amp;"|"&amp;B266</f>
        <v>2026-08 月例|バス協調・共創
プラットフォーム</v>
      </c>
      <c r="CH266" s="34" t="str">
        <f aca="false">IFERROR(INDEX(設定!$D$61:$D$106,MATCH(B266,設定!$B$61:$B$106,0)),"Y")</f>
        <v>Y</v>
      </c>
      <c r="CI266" s="34" t="str">
        <f aca="false">IFERROR(INDEX(設定!$D$20:$D$34,MATCH(A266,設定!$A$20:$A$34,0))&amp;"","")</f>
        <v>2026-07 月例</v>
      </c>
    </row>
    <row r="267" customFormat="false" ht="15" hidden="true" customHeight="false" outlineLevel="0" collapsed="false">
      <c r="A267" s="22" t="s">
        <v>212</v>
      </c>
      <c r="B267" s="23" t="s">
        <v>191</v>
      </c>
      <c r="C267" s="10" t="str">
        <f aca="false">IF(G267="","未受領",IF(G267="なし","報告なし",IF(AH267="○","起票済",IF(OR(AG267="○",F267="一致",F267="入金不要"),"入金確認済","受領済"))))</f>
        <v>入金確認済</v>
      </c>
      <c r="D267" s="10" t="str">
        <f aca="false">IF(OR(G267="",G267="なし"),"―",IF(CH267="N","対象外",IF(AND(I267="",J267="",K267=""),"標報未入力",IF(CD267&gt;=設定!$B$4,"要確認","問題なし"))))</f>
        <v>標報未入力</v>
      </c>
      <c r="E267" s="24" t="str">
        <f aca="false">IF(OR(G267="",G267="なし",CE267="",CF267=0),"―",IF(CF267=CE267,"前月同額",IF(CE267=0,"―",IF(ABS(CF267/CE267-1)&gt;=設定!$B$5,"変動大 "&amp;TEXT(CF267/CE267-1,"+0%;-0%"),"〇"))))</f>
        <v>前月同額</v>
      </c>
      <c r="F267" s="10" t="str">
        <f aca="false">IF(OR(G267="",G267="なし"),"―",IF(CF267=0,"入金不要",IF(COUNT(Z267,AB267,AD267,AF267)=0,IF(AG267="○","手動確認","未入金"),IF(AND(N(Z267)=Y267,IF(AA267="",TRUE(),N(AB267)=AA267),IF(AC267="",TRUE(),N(AD267)=AC267),IF(AE267="",TRUE(),N(AF267)=AE267)),"一致","不一致"))))</f>
        <v>手動確認</v>
      </c>
      <c r="G267" s="25" t="s">
        <v>159</v>
      </c>
      <c r="H267" s="26"/>
      <c r="I267" s="27"/>
      <c r="J267" s="27"/>
      <c r="K267" s="27"/>
      <c r="L267" s="27" t="n">
        <v>56730</v>
      </c>
      <c r="M267" s="27" t="n">
        <v>4650</v>
      </c>
      <c r="N267" s="27" t="n">
        <v>56730</v>
      </c>
      <c r="O267" s="27" t="n">
        <v>4650</v>
      </c>
      <c r="P267" s="27" t="n">
        <v>53</v>
      </c>
      <c r="Q267" s="27" t="n">
        <v>32153</v>
      </c>
      <c r="R267" s="27" t="n">
        <v>32184</v>
      </c>
      <c r="S267" s="27" t="n">
        <v>4898</v>
      </c>
      <c r="T267" s="27" t="n">
        <v>4898</v>
      </c>
      <c r="U267" s="27" t="n">
        <v>713</v>
      </c>
      <c r="V267" s="27" t="n">
        <v>713</v>
      </c>
      <c r="W267" s="10" t="str">
        <f aca="false">IFERROR(INDEX(設定!$E$61:$E$106,MATCH(B267,設定!$B$61:$B$106,0)),"合算")</f>
        <v>合算</v>
      </c>
      <c r="X267" s="28"/>
      <c r="Y267" s="29" t="n">
        <f aca="false">IF(OR(G267="",G267="なし"),"",IF(W267="合算",CF267,IF(W267="掛金・負担金別",(AU267+AV267+AZ267+BB267+BD267),SUM(AU267:AY267))))</f>
        <v>198372</v>
      </c>
      <c r="Z267" s="27"/>
      <c r="AA267" s="29" t="str">
        <f aca="false">IF(OR(G267="",G267="なし"),"",IF(W267="掛金・負担金別",(AW267+AX267+AY267+BA267+BC267+BE267),IF(W267="経理区分別",AZ267+BA267,"")))</f>
        <v/>
      </c>
      <c r="AB267" s="27"/>
      <c r="AC267" s="29" t="str">
        <f aca="false">IF(OR(G267="",G267="なし"),"",IF(W267="経理区分別",BB267+BC267,""))</f>
        <v/>
      </c>
      <c r="AD267" s="27"/>
      <c r="AE267" s="29" t="str">
        <f aca="false">IF(OR(G267="",G267="なし"),"",IF(W267="経理区分別",BD267+BE267,""))</f>
        <v/>
      </c>
      <c r="AF267" s="27"/>
      <c r="AG267" s="26" t="s">
        <v>160</v>
      </c>
      <c r="AH267" s="26"/>
      <c r="AI267" s="30"/>
      <c r="AJ267" s="31"/>
      <c r="AK267" s="31"/>
      <c r="AL267" s="31"/>
      <c r="AM267" s="31"/>
      <c r="AN267" s="31"/>
      <c r="AO267" s="31"/>
      <c r="AP267" s="31"/>
      <c r="AQ267" s="31"/>
      <c r="AR267" s="31"/>
      <c r="AS267" s="31"/>
      <c r="AT267" s="31"/>
      <c r="AU267" s="31" t="n">
        <f aca="false">IF($G267="",AJ267,L267)</f>
        <v>56730</v>
      </c>
      <c r="AV267" s="31" t="n">
        <f aca="false">IF($G267="",AK267,M267)</f>
        <v>4650</v>
      </c>
      <c r="AW267" s="31" t="n">
        <f aca="false">IF($G267="",AL267,N267)</f>
        <v>56730</v>
      </c>
      <c r="AX267" s="31" t="n">
        <f aca="false">IF($G267="",AM267,O267)</f>
        <v>4650</v>
      </c>
      <c r="AY267" s="31" t="n">
        <f aca="false">IF($G267="",AN267,P267)</f>
        <v>53</v>
      </c>
      <c r="AZ267" s="31" t="n">
        <f aca="false">IF($G267="",AO267,Q267)</f>
        <v>32153</v>
      </c>
      <c r="BA267" s="31" t="n">
        <f aca="false">IF($G267="",AP267,R267)</f>
        <v>32184</v>
      </c>
      <c r="BB267" s="31" t="n">
        <f aca="false">IF($G267="",AQ267,S267)</f>
        <v>4898</v>
      </c>
      <c r="BC267" s="31" t="n">
        <f aca="false">IF($G267="",AR267,T267)</f>
        <v>4898</v>
      </c>
      <c r="BD267" s="31" t="n">
        <f aca="false">IF($G267="",AS267,U267)</f>
        <v>713</v>
      </c>
      <c r="BE267" s="31" t="n">
        <f aca="false">IF($G267="",AT267,V267)</f>
        <v>713</v>
      </c>
      <c r="BF267" s="31" t="n">
        <f aca="false">ROUNDDOWN(I267*設定!$B$10/1000,0)+ROUNDDOWN(I267*設定!$B$11/1000,0)</f>
        <v>0</v>
      </c>
      <c r="BG267" s="31" t="n">
        <f aca="false">ROUNDDOWN(I267*設定!$C$10/1000,0)+ROUNDDOWN(I267*設定!$C$11/1000,0)+ROUNDDOWN(I267*設定!$C$12/1000,0)</f>
        <v>0</v>
      </c>
      <c r="BH267" s="31" t="n">
        <f aca="false">ROUNDDOWN(J267*設定!$B$13/1000,0)</f>
        <v>0</v>
      </c>
      <c r="BI267" s="31" t="n">
        <f aca="false">ROUNDDOWN(J267*設定!$C$13/1000,0)</f>
        <v>0</v>
      </c>
      <c r="BJ267" s="31" t="n">
        <f aca="false">ROUNDDOWN(K267*設定!$B$14/1000,0)</f>
        <v>0</v>
      </c>
      <c r="BK267" s="31" t="n">
        <f aca="false">ROUNDDOWN(K267*設定!$C$14/1000,0)</f>
        <v>0</v>
      </c>
      <c r="BL267" s="31" t="n">
        <f aca="false">ROUNDDOWN(J267*設定!$B$15/1000,0)</f>
        <v>0</v>
      </c>
      <c r="BM267" s="31" t="n">
        <f aca="false">ROUNDDOWN(J267*設定!$C$15/1000,0)</f>
        <v>0</v>
      </c>
      <c r="BN267" s="31" t="n">
        <f aca="false">L267+M267</f>
        <v>61380</v>
      </c>
      <c r="BO267" s="31" t="n">
        <f aca="false">N267+O267+P267</f>
        <v>61433</v>
      </c>
      <c r="BP267" s="31" t="n">
        <f aca="false">Q267</f>
        <v>32153</v>
      </c>
      <c r="BQ267" s="31" t="n">
        <f aca="false">R267</f>
        <v>32184</v>
      </c>
      <c r="BR267" s="31" t="n">
        <f aca="false">S267</f>
        <v>4898</v>
      </c>
      <c r="BS267" s="31" t="n">
        <f aca="false">T267</f>
        <v>4898</v>
      </c>
      <c r="BT267" s="31" t="n">
        <f aca="false">U267</f>
        <v>713</v>
      </c>
      <c r="BU267" s="31" t="n">
        <f aca="false">V267</f>
        <v>713</v>
      </c>
      <c r="BV267" s="32" t="n">
        <f aca="false">IF(BF267=0,IF(BN267=0,0,1),(BN267-BF267)/BF267)</f>
        <v>1</v>
      </c>
      <c r="BW267" s="32" t="n">
        <f aca="false">IF(BG267=0,IF(BO267=0,0,1),(BO267-BG267)/BG267)</f>
        <v>1</v>
      </c>
      <c r="BX267" s="32" t="n">
        <f aca="false">IF(BH267=0,IF(BP267=0,0,1),(BP267-BH267)/BH267)</f>
        <v>1</v>
      </c>
      <c r="BY267" s="32" t="n">
        <f aca="false">IF(BI267=0,IF(BQ267=0,0,1),(BQ267-BI267)/BI267)</f>
        <v>1</v>
      </c>
      <c r="BZ267" s="32" t="n">
        <f aca="false">IF(BJ267=0,IF(BR267=0,0,1),(BR267-BJ267)/BJ267)</f>
        <v>1</v>
      </c>
      <c r="CA267" s="32" t="n">
        <f aca="false">IF(BK267=0,IF(BS267=0,0,1),(BS267-BK267)/BK267)</f>
        <v>1</v>
      </c>
      <c r="CB267" s="32" t="n">
        <f aca="false">IF(BL267=0,IF(BT267=0,0,1),(BT267-BL267)/BL267)</f>
        <v>1</v>
      </c>
      <c r="CC267" s="32" t="n">
        <f aca="false">IF(BM267=0,IF(BU267=0,0,1),(BU267-BM267)/BM267)</f>
        <v>1</v>
      </c>
      <c r="CD267" s="32" t="n">
        <f aca="false">MAX(MAX(BV267:CC267),-MIN(BV267:CC267))</f>
        <v>1</v>
      </c>
      <c r="CE267" s="31" t="n">
        <f aca="false">IF(CI267="","",SUMIFS($CF$7:$CF$696,$A$7:$A$696,CI267,$B$7:$B$696,B267))</f>
        <v>198372</v>
      </c>
      <c r="CF267" s="31" t="n">
        <f aca="false">SUM(AU267:BE267)</f>
        <v>198372</v>
      </c>
      <c r="CG267" s="33" t="str">
        <f aca="false">A267&amp;"|"&amp;B267</f>
        <v>2026-08 月例|広島県市長会</v>
      </c>
      <c r="CH267" s="34" t="str">
        <f aca="false">IFERROR(INDEX(設定!$D$61:$D$106,MATCH(B267,設定!$B$61:$B$106,0)),"Y")</f>
        <v>Y</v>
      </c>
      <c r="CI267" s="34" t="str">
        <f aca="false">IFERROR(INDEX(設定!$D$20:$D$34,MATCH(A267,設定!$A$20:$A$34,0))&amp;"","")</f>
        <v>2026-07 月例</v>
      </c>
    </row>
    <row r="268" customFormat="false" ht="15" hidden="true" customHeight="false" outlineLevel="0" collapsed="false">
      <c r="A268" s="22" t="s">
        <v>212</v>
      </c>
      <c r="B268" s="23" t="s">
        <v>192</v>
      </c>
      <c r="C268" s="10" t="str">
        <f aca="false">IF(G268="","未受領",IF(G268="なし","報告なし",IF(AH268="○","起票済",IF(OR(AG268="○",F268="一致",F268="入金不要"),"入金確認済","受領済"))))</f>
        <v>入金確認済</v>
      </c>
      <c r="D268" s="10" t="str">
        <f aca="false">IF(OR(G268="",G268="なし"),"―",IF(CH268="N","対象外",IF(AND(I268="",J268="",K268=""),"標報未入力",IF(CD268&gt;=設定!$B$4,"要確認","問題なし"))))</f>
        <v>標報未入力</v>
      </c>
      <c r="E268" s="24" t="str">
        <f aca="false">IF(OR(G268="",G268="なし",CE268="",CF268=0),"―",IF(CF268=CE268,"前月同額",IF(CE268=0,"―",IF(ABS(CF268/CE268-1)&gt;=設定!$B$5,"変動大 "&amp;TEXT(CF268/CE268-1,"+0%;-0%"),"〇"))))</f>
        <v>前月同額</v>
      </c>
      <c r="F268" s="10" t="str">
        <f aca="false">IF(OR(G268="",G268="なし"),"―",IF(CF268=0,"入金不要",IF(COUNT(Z268,AB268,AD268,AF268)=0,IF(AG268="○","手動確認","未入金"),IF(AND(N(Z268)=Y268,IF(AA268="",TRUE(),N(AB268)=AA268),IF(AC268="",TRUE(),N(AD268)=AC268),IF(AE268="",TRUE(),N(AF268)=AE268)),"一致","不一致"))))</f>
        <v>手動確認</v>
      </c>
      <c r="G268" s="25" t="s">
        <v>159</v>
      </c>
      <c r="H268" s="26"/>
      <c r="I268" s="27"/>
      <c r="J268" s="27"/>
      <c r="K268" s="27"/>
      <c r="L268" s="27" t="n">
        <v>59475</v>
      </c>
      <c r="M268" s="27" t="n">
        <v>4875</v>
      </c>
      <c r="N268" s="27" t="n">
        <v>59475</v>
      </c>
      <c r="O268" s="27" t="n">
        <v>4875</v>
      </c>
      <c r="P268" s="27" t="n">
        <v>56</v>
      </c>
      <c r="Q268" s="27" t="n">
        <v>38895</v>
      </c>
      <c r="R268" s="27" t="n">
        <v>38932</v>
      </c>
      <c r="S268" s="27" t="n">
        <v>5925</v>
      </c>
      <c r="T268" s="27" t="n">
        <v>5925</v>
      </c>
      <c r="U268" s="27" t="n">
        <v>862</v>
      </c>
      <c r="V268" s="27" t="n">
        <v>862</v>
      </c>
      <c r="W268" s="10" t="str">
        <f aca="false">IFERROR(INDEX(設定!$E$61:$E$106,MATCH(B268,設定!$B$61:$B$106,0)),"合算")</f>
        <v>合算</v>
      </c>
      <c r="X268" s="28"/>
      <c r="Y268" s="29" t="n">
        <f aca="false">IF(OR(G268="",G268="なし"),"",IF(W268="合算",CF268,IF(W268="掛金・負担金別",(AU268+AV268+AZ268+BB268+BD268),SUM(AU268:AY268))))</f>
        <v>220157</v>
      </c>
      <c r="Z268" s="27"/>
      <c r="AA268" s="29" t="str">
        <f aca="false">IF(OR(G268="",G268="なし"),"",IF(W268="掛金・負担金別",(AW268+AX268+AY268+BA268+BC268+BE268),IF(W268="経理区分別",AZ268+BA268,"")))</f>
        <v/>
      </c>
      <c r="AB268" s="27"/>
      <c r="AC268" s="29" t="str">
        <f aca="false">IF(OR(G268="",G268="なし"),"",IF(W268="経理区分別",BB268+BC268,""))</f>
        <v/>
      </c>
      <c r="AD268" s="27"/>
      <c r="AE268" s="29" t="str">
        <f aca="false">IF(OR(G268="",G268="なし"),"",IF(W268="経理区分別",BD268+BE268,""))</f>
        <v/>
      </c>
      <c r="AF268" s="27"/>
      <c r="AG268" s="26" t="s">
        <v>160</v>
      </c>
      <c r="AH268" s="26"/>
      <c r="AI268" s="30"/>
      <c r="AJ268" s="31"/>
      <c r="AK268" s="31"/>
      <c r="AL268" s="31"/>
      <c r="AM268" s="31"/>
      <c r="AN268" s="31"/>
      <c r="AO268" s="31"/>
      <c r="AP268" s="31"/>
      <c r="AQ268" s="31"/>
      <c r="AR268" s="31"/>
      <c r="AS268" s="31"/>
      <c r="AT268" s="31"/>
      <c r="AU268" s="31" t="n">
        <f aca="false">IF($G268="",AJ268,L268)</f>
        <v>59475</v>
      </c>
      <c r="AV268" s="31" t="n">
        <f aca="false">IF($G268="",AK268,M268)</f>
        <v>4875</v>
      </c>
      <c r="AW268" s="31" t="n">
        <f aca="false">IF($G268="",AL268,N268)</f>
        <v>59475</v>
      </c>
      <c r="AX268" s="31" t="n">
        <f aca="false">IF($G268="",AM268,O268)</f>
        <v>4875</v>
      </c>
      <c r="AY268" s="31" t="n">
        <f aca="false">IF($G268="",AN268,P268)</f>
        <v>56</v>
      </c>
      <c r="AZ268" s="31" t="n">
        <f aca="false">IF($G268="",AO268,Q268)</f>
        <v>38895</v>
      </c>
      <c r="BA268" s="31" t="n">
        <f aca="false">IF($G268="",AP268,R268)</f>
        <v>38932</v>
      </c>
      <c r="BB268" s="31" t="n">
        <f aca="false">IF($G268="",AQ268,S268)</f>
        <v>5925</v>
      </c>
      <c r="BC268" s="31" t="n">
        <f aca="false">IF($G268="",AR268,T268)</f>
        <v>5925</v>
      </c>
      <c r="BD268" s="31" t="n">
        <f aca="false">IF($G268="",AS268,U268)</f>
        <v>862</v>
      </c>
      <c r="BE268" s="31" t="n">
        <f aca="false">IF($G268="",AT268,V268)</f>
        <v>862</v>
      </c>
      <c r="BF268" s="31" t="n">
        <f aca="false">ROUNDDOWN(I268*設定!$B$10/1000,0)+ROUNDDOWN(I268*設定!$B$11/1000,0)</f>
        <v>0</v>
      </c>
      <c r="BG268" s="31" t="n">
        <f aca="false">ROUNDDOWN(I268*設定!$C$10/1000,0)+ROUNDDOWN(I268*設定!$C$11/1000,0)+ROUNDDOWN(I268*設定!$C$12/1000,0)</f>
        <v>0</v>
      </c>
      <c r="BH268" s="31" t="n">
        <f aca="false">ROUNDDOWN(J268*設定!$B$13/1000,0)</f>
        <v>0</v>
      </c>
      <c r="BI268" s="31" t="n">
        <f aca="false">ROUNDDOWN(J268*設定!$C$13/1000,0)</f>
        <v>0</v>
      </c>
      <c r="BJ268" s="31" t="n">
        <f aca="false">ROUNDDOWN(K268*設定!$B$14/1000,0)</f>
        <v>0</v>
      </c>
      <c r="BK268" s="31" t="n">
        <f aca="false">ROUNDDOWN(K268*設定!$C$14/1000,0)</f>
        <v>0</v>
      </c>
      <c r="BL268" s="31" t="n">
        <f aca="false">ROUNDDOWN(J268*設定!$B$15/1000,0)</f>
        <v>0</v>
      </c>
      <c r="BM268" s="31" t="n">
        <f aca="false">ROUNDDOWN(J268*設定!$C$15/1000,0)</f>
        <v>0</v>
      </c>
      <c r="BN268" s="31" t="n">
        <f aca="false">L268+M268</f>
        <v>64350</v>
      </c>
      <c r="BO268" s="31" t="n">
        <f aca="false">N268+O268+P268</f>
        <v>64406</v>
      </c>
      <c r="BP268" s="31" t="n">
        <f aca="false">Q268</f>
        <v>38895</v>
      </c>
      <c r="BQ268" s="31" t="n">
        <f aca="false">R268</f>
        <v>38932</v>
      </c>
      <c r="BR268" s="31" t="n">
        <f aca="false">S268</f>
        <v>5925</v>
      </c>
      <c r="BS268" s="31" t="n">
        <f aca="false">T268</f>
        <v>5925</v>
      </c>
      <c r="BT268" s="31" t="n">
        <f aca="false">U268</f>
        <v>862</v>
      </c>
      <c r="BU268" s="31" t="n">
        <f aca="false">V268</f>
        <v>862</v>
      </c>
      <c r="BV268" s="32" t="n">
        <f aca="false">IF(BF268=0,IF(BN268=0,0,1),(BN268-BF268)/BF268)</f>
        <v>1</v>
      </c>
      <c r="BW268" s="32" t="n">
        <f aca="false">IF(BG268=0,IF(BO268=0,0,1),(BO268-BG268)/BG268)</f>
        <v>1</v>
      </c>
      <c r="BX268" s="32" t="n">
        <f aca="false">IF(BH268=0,IF(BP268=0,0,1),(BP268-BH268)/BH268)</f>
        <v>1</v>
      </c>
      <c r="BY268" s="32" t="n">
        <f aca="false">IF(BI268=0,IF(BQ268=0,0,1),(BQ268-BI268)/BI268)</f>
        <v>1</v>
      </c>
      <c r="BZ268" s="32" t="n">
        <f aca="false">IF(BJ268=0,IF(BR268=0,0,1),(BR268-BJ268)/BJ268)</f>
        <v>1</v>
      </c>
      <c r="CA268" s="32" t="n">
        <f aca="false">IF(BK268=0,IF(BS268=0,0,1),(BS268-BK268)/BK268)</f>
        <v>1</v>
      </c>
      <c r="CB268" s="32" t="n">
        <f aca="false">IF(BL268=0,IF(BT268=0,0,1),(BT268-BL268)/BL268)</f>
        <v>1</v>
      </c>
      <c r="CC268" s="32" t="n">
        <f aca="false">IF(BM268=0,IF(BU268=0,0,1),(BU268-BM268)/BM268)</f>
        <v>1</v>
      </c>
      <c r="CD268" s="32" t="n">
        <f aca="false">MAX(MAX(BV268:CC268),-MIN(BV268:CC268))</f>
        <v>1</v>
      </c>
      <c r="CE268" s="31" t="n">
        <f aca="false">IF(CI268="","",SUMIFS($CF$7:$CF$696,$A$7:$A$696,CI268,$B$7:$B$696,B268))</f>
        <v>220157</v>
      </c>
      <c r="CF268" s="31" t="n">
        <f aca="false">SUM(AU268:BE268)</f>
        <v>220157</v>
      </c>
      <c r="CG268" s="33" t="str">
        <f aca="false">A268&amp;"|"&amp;B268</f>
        <v>2026-08 月例|全国市町村研修財団</v>
      </c>
      <c r="CH268" s="34" t="str">
        <f aca="false">IFERROR(INDEX(設定!$D$61:$D$106,MATCH(B268,設定!$B$61:$B$106,0)),"Y")</f>
        <v>Y</v>
      </c>
      <c r="CI268" s="34" t="str">
        <f aca="false">IFERROR(INDEX(設定!$D$20:$D$34,MATCH(A268,設定!$A$20:$A$34,0))&amp;"","")</f>
        <v>2026-07 月例</v>
      </c>
    </row>
    <row r="269" customFormat="false" ht="15" hidden="true" customHeight="false" outlineLevel="0" collapsed="false">
      <c r="A269" s="22" t="s">
        <v>212</v>
      </c>
      <c r="B269" s="23" t="s">
        <v>193</v>
      </c>
      <c r="C269" s="10" t="str">
        <f aca="false">IF(G269="","未受領",IF(G269="なし","報告なし",IF(AH269="○","起票済",IF(OR(AG269="○",F269="一致",F269="入金不要"),"入金確認済","受領済"))))</f>
        <v>入金確認済</v>
      </c>
      <c r="D269" s="10" t="str">
        <f aca="false">IF(OR(G269="",G269="なし"),"―",IF(CH269="N","対象外",IF(AND(I269="",J269="",K269=""),"標報未入力",IF(CD269&gt;=設定!$B$4,"要確認","問題なし"))))</f>
        <v>標報未入力</v>
      </c>
      <c r="E269" s="24" t="str">
        <f aca="false">IF(OR(G269="",G269="なし",CE269="",CF269=0),"―",IF(CF269=CE269,"前月同額",IF(CE269=0,"―",IF(ABS(CF269/CE269-1)&gt;=設定!$B$5,"変動大 "&amp;TEXT(CF269/CE269-1,"+0%;-0%"),"〇"))))</f>
        <v>前月同額</v>
      </c>
      <c r="F269" s="10" t="str">
        <f aca="false">IF(OR(G269="",G269="なし"),"―",IF(CF269=0,"入金不要",IF(COUNT(Z269,AB269,AD269,AF269)=0,IF(AG269="○","手動確認","未入金"),IF(AND(N(Z269)=Y269,IF(AA269="",TRUE(),N(AB269)=AA269),IF(AC269="",TRUE(),N(AD269)=AC269),IF(AE269="",TRUE(),N(AF269)=AE269)),"一致","不一致"))))</f>
        <v>手動確認</v>
      </c>
      <c r="G269" s="25" t="s">
        <v>159</v>
      </c>
      <c r="H269" s="26"/>
      <c r="I269" s="27"/>
      <c r="J269" s="27"/>
      <c r="K269" s="27"/>
      <c r="L269" s="27" t="n">
        <v>45750</v>
      </c>
      <c r="M269" s="27" t="n">
        <v>3750</v>
      </c>
      <c r="N269" s="27" t="n">
        <v>45750</v>
      </c>
      <c r="O269" s="27" t="n">
        <v>3750</v>
      </c>
      <c r="P269" s="27" t="n">
        <v>43</v>
      </c>
      <c r="Q269" s="27" t="n">
        <v>25930</v>
      </c>
      <c r="R269" s="27" t="n">
        <v>25955</v>
      </c>
      <c r="S269" s="27" t="n">
        <v>0</v>
      </c>
      <c r="T269" s="27" t="n">
        <v>0</v>
      </c>
      <c r="U269" s="27" t="n">
        <v>575</v>
      </c>
      <c r="V269" s="27" t="n">
        <v>575</v>
      </c>
      <c r="W269" s="10" t="str">
        <f aca="false">IFERROR(INDEX(設定!$E$61:$E$106,MATCH(B269,設定!$B$61:$B$106,0)),"合算")</f>
        <v>合算</v>
      </c>
      <c r="X269" s="28"/>
      <c r="Y269" s="29" t="n">
        <f aca="false">IF(OR(G269="",G269="なし"),"",IF(W269="合算",CF269,IF(W269="掛金・負担金別",(AU269+AV269+AZ269+BB269+BD269),SUM(AU269:AY269))))</f>
        <v>152078</v>
      </c>
      <c r="Z269" s="27"/>
      <c r="AA269" s="29" t="str">
        <f aca="false">IF(OR(G269="",G269="なし"),"",IF(W269="掛金・負担金別",(AW269+AX269+AY269+BA269+BC269+BE269),IF(W269="経理区分別",AZ269+BA269,"")))</f>
        <v/>
      </c>
      <c r="AB269" s="27"/>
      <c r="AC269" s="29" t="str">
        <f aca="false">IF(OR(G269="",G269="なし"),"",IF(W269="経理区分別",BB269+BC269,""))</f>
        <v/>
      </c>
      <c r="AD269" s="27"/>
      <c r="AE269" s="29" t="str">
        <f aca="false">IF(OR(G269="",G269="なし"),"",IF(W269="経理区分別",BD269+BE269,""))</f>
        <v/>
      </c>
      <c r="AF269" s="27"/>
      <c r="AG269" s="26" t="s">
        <v>160</v>
      </c>
      <c r="AH269" s="26"/>
      <c r="AI269" s="30"/>
      <c r="AJ269" s="31"/>
      <c r="AK269" s="31"/>
      <c r="AL269" s="31"/>
      <c r="AM269" s="31"/>
      <c r="AN269" s="31"/>
      <c r="AO269" s="31"/>
      <c r="AP269" s="31"/>
      <c r="AQ269" s="31"/>
      <c r="AR269" s="31"/>
      <c r="AS269" s="31"/>
      <c r="AT269" s="31"/>
      <c r="AU269" s="31" t="n">
        <f aca="false">IF($G269="",AJ269,L269)</f>
        <v>45750</v>
      </c>
      <c r="AV269" s="31" t="n">
        <f aca="false">IF($G269="",AK269,M269)</f>
        <v>3750</v>
      </c>
      <c r="AW269" s="31" t="n">
        <f aca="false">IF($G269="",AL269,N269)</f>
        <v>45750</v>
      </c>
      <c r="AX269" s="31" t="n">
        <f aca="false">IF($G269="",AM269,O269)</f>
        <v>3750</v>
      </c>
      <c r="AY269" s="31" t="n">
        <f aca="false">IF($G269="",AN269,P269)</f>
        <v>43</v>
      </c>
      <c r="AZ269" s="31" t="n">
        <f aca="false">IF($G269="",AO269,Q269)</f>
        <v>25930</v>
      </c>
      <c r="BA269" s="31" t="n">
        <f aca="false">IF($G269="",AP269,R269)</f>
        <v>25955</v>
      </c>
      <c r="BB269" s="31" t="n">
        <f aca="false">IF($G269="",AQ269,S269)</f>
        <v>0</v>
      </c>
      <c r="BC269" s="31" t="n">
        <f aca="false">IF($G269="",AR269,T269)</f>
        <v>0</v>
      </c>
      <c r="BD269" s="31" t="n">
        <f aca="false">IF($G269="",AS269,U269)</f>
        <v>575</v>
      </c>
      <c r="BE269" s="31" t="n">
        <f aca="false">IF($G269="",AT269,V269)</f>
        <v>575</v>
      </c>
      <c r="BF269" s="31" t="n">
        <f aca="false">ROUNDDOWN(I269*設定!$B$10/1000,0)+ROUNDDOWN(I269*設定!$B$11/1000,0)</f>
        <v>0</v>
      </c>
      <c r="BG269" s="31" t="n">
        <f aca="false">ROUNDDOWN(I269*設定!$C$10/1000,0)+ROUNDDOWN(I269*設定!$C$11/1000,0)+ROUNDDOWN(I269*設定!$C$12/1000,0)</f>
        <v>0</v>
      </c>
      <c r="BH269" s="31" t="n">
        <f aca="false">ROUNDDOWN(J269*設定!$B$13/1000,0)</f>
        <v>0</v>
      </c>
      <c r="BI269" s="31" t="n">
        <f aca="false">ROUNDDOWN(J269*設定!$C$13/1000,0)</f>
        <v>0</v>
      </c>
      <c r="BJ269" s="31" t="n">
        <f aca="false">ROUNDDOWN(K269*設定!$B$14/1000,0)</f>
        <v>0</v>
      </c>
      <c r="BK269" s="31" t="n">
        <f aca="false">ROUNDDOWN(K269*設定!$C$14/1000,0)</f>
        <v>0</v>
      </c>
      <c r="BL269" s="31" t="n">
        <f aca="false">ROUNDDOWN(J269*設定!$B$15/1000,0)</f>
        <v>0</v>
      </c>
      <c r="BM269" s="31" t="n">
        <f aca="false">ROUNDDOWN(J269*設定!$C$15/1000,0)</f>
        <v>0</v>
      </c>
      <c r="BN269" s="31" t="n">
        <f aca="false">L269+M269</f>
        <v>49500</v>
      </c>
      <c r="BO269" s="31" t="n">
        <f aca="false">N269+O269+P269</f>
        <v>49543</v>
      </c>
      <c r="BP269" s="31" t="n">
        <f aca="false">Q269</f>
        <v>25930</v>
      </c>
      <c r="BQ269" s="31" t="n">
        <f aca="false">R269</f>
        <v>25955</v>
      </c>
      <c r="BR269" s="31" t="n">
        <f aca="false">S269</f>
        <v>0</v>
      </c>
      <c r="BS269" s="31" t="n">
        <f aca="false">T269</f>
        <v>0</v>
      </c>
      <c r="BT269" s="31" t="n">
        <f aca="false">U269</f>
        <v>575</v>
      </c>
      <c r="BU269" s="31" t="n">
        <f aca="false">V269</f>
        <v>575</v>
      </c>
      <c r="BV269" s="32" t="n">
        <f aca="false">IF(BF269=0,IF(BN269=0,0,1),(BN269-BF269)/BF269)</f>
        <v>1</v>
      </c>
      <c r="BW269" s="32" t="n">
        <f aca="false">IF(BG269=0,IF(BO269=0,0,1),(BO269-BG269)/BG269)</f>
        <v>1</v>
      </c>
      <c r="BX269" s="32" t="n">
        <f aca="false">IF(BH269=0,IF(BP269=0,0,1),(BP269-BH269)/BH269)</f>
        <v>1</v>
      </c>
      <c r="BY269" s="32" t="n">
        <f aca="false">IF(BI269=0,IF(BQ269=0,0,1),(BQ269-BI269)/BI269)</f>
        <v>1</v>
      </c>
      <c r="BZ269" s="32" t="n">
        <f aca="false">IF(BJ269=0,IF(BR269=0,0,1),(BR269-BJ269)/BJ269)</f>
        <v>0</v>
      </c>
      <c r="CA269" s="32" t="n">
        <f aca="false">IF(BK269=0,IF(BS269=0,0,1),(BS269-BK269)/BK269)</f>
        <v>0</v>
      </c>
      <c r="CB269" s="32" t="n">
        <f aca="false">IF(BL269=0,IF(BT269=0,0,1),(BT269-BL269)/BL269)</f>
        <v>1</v>
      </c>
      <c r="CC269" s="32" t="n">
        <f aca="false">IF(BM269=0,IF(BU269=0,0,1),(BU269-BM269)/BM269)</f>
        <v>1</v>
      </c>
      <c r="CD269" s="32" t="n">
        <f aca="false">MAX(MAX(BV269:CC269),-MIN(BV269:CC269))</f>
        <v>1</v>
      </c>
      <c r="CE269" s="31" t="n">
        <f aca="false">IF(CI269="","",SUMIFS($CF$7:$CF$696,$A$7:$A$696,CI269,$B$7:$B$696,B269))</f>
        <v>152078</v>
      </c>
      <c r="CF269" s="31" t="n">
        <f aca="false">SUM(AU269:BE269)</f>
        <v>152078</v>
      </c>
      <c r="CG269" s="33" t="str">
        <f aca="false">A269&amp;"|"&amp;B269</f>
        <v>2026-08 月例|都市再生機構</v>
      </c>
      <c r="CH269" s="34" t="str">
        <f aca="false">IFERROR(INDEX(設定!$D$61:$D$106,MATCH(B269,設定!$B$61:$B$106,0)),"Y")</f>
        <v>Y</v>
      </c>
      <c r="CI269" s="34" t="str">
        <f aca="false">IFERROR(INDEX(設定!$D$20:$D$34,MATCH(A269,設定!$A$20:$A$34,0))&amp;"","")</f>
        <v>2026-07 月例</v>
      </c>
    </row>
    <row r="270" customFormat="false" ht="15" hidden="true" customHeight="false" outlineLevel="0" collapsed="false">
      <c r="A270" s="22" t="s">
        <v>212</v>
      </c>
      <c r="B270" s="23" t="s">
        <v>194</v>
      </c>
      <c r="C270" s="10" t="str">
        <f aca="false">IF(G270="","未受領",IF(G270="なし","報告なし",IF(AH270="○","起票済",IF(OR(AG270="○",F270="一致",F270="入金不要"),"入金確認済","受領済"))))</f>
        <v>入金確認済</v>
      </c>
      <c r="D270" s="10" t="str">
        <f aca="false">IF(OR(G270="",G270="なし"),"―",IF(CH270="N","対象外",IF(AND(I270="",J270="",K270=""),"標報未入力",IF(CD270&gt;=設定!$B$4,"要確認","問題なし"))))</f>
        <v>標報未入力</v>
      </c>
      <c r="E270" s="24" t="str">
        <f aca="false">IF(OR(G270="",G270="なし",CE270="",CF270=0),"―",IF(CF270=CE270,"前月同額",IF(CE270=0,"―",IF(ABS(CF270/CE270-1)&gt;=設定!$B$5,"変動大 "&amp;TEXT(CF270/CE270-1,"+0%;-0%"),"〇"))))</f>
        <v>前月同額</v>
      </c>
      <c r="F270" s="10" t="str">
        <f aca="false">IF(OR(G270="",G270="なし"),"―",IF(CF270=0,"入金不要",IF(COUNT(Z270,AB270,AD270,AF270)=0,IF(AG270="○","手動確認","未入金"),IF(AND(N(Z270)=Y270,IF(AA270="",TRUE(),N(AB270)=AA270),IF(AC270="",TRUE(),N(AD270)=AC270),IF(AE270="",TRUE(),N(AF270)=AE270)),"一致","不一致"))))</f>
        <v>手動確認</v>
      </c>
      <c r="G270" s="25" t="s">
        <v>159</v>
      </c>
      <c r="H270" s="26"/>
      <c r="I270" s="27"/>
      <c r="J270" s="27"/>
      <c r="K270" s="27"/>
      <c r="L270" s="27" t="n">
        <v>1231590</v>
      </c>
      <c r="M270" s="27" t="n">
        <v>100950</v>
      </c>
      <c r="N270" s="27" t="n">
        <v>1231590</v>
      </c>
      <c r="O270" s="27" t="n">
        <v>100950</v>
      </c>
      <c r="P270" s="27" t="n">
        <v>1237</v>
      </c>
      <c r="Q270" s="27" t="n">
        <v>708914</v>
      </c>
      <c r="R270" s="27" t="n">
        <v>709649</v>
      </c>
      <c r="S270" s="27" t="n">
        <v>82002</v>
      </c>
      <c r="T270" s="27" t="n">
        <v>82002</v>
      </c>
      <c r="U270" s="27" t="n">
        <v>15716</v>
      </c>
      <c r="V270" s="27" t="n">
        <v>15720</v>
      </c>
      <c r="W270" s="10" t="str">
        <f aca="false">IFERROR(INDEX(設定!$E$61:$E$106,MATCH(B270,設定!$B$61:$B$106,0)),"合算")</f>
        <v>合算</v>
      </c>
      <c r="X270" s="28"/>
      <c r="Y270" s="29" t="n">
        <f aca="false">IF(OR(G270="",G270="なし"),"",IF(W270="合算",CF270,IF(W270="掛金・負担金別",(AU270+AV270+AZ270+BB270+BD270),SUM(AU270:AY270))))</f>
        <v>4280320</v>
      </c>
      <c r="Z270" s="27"/>
      <c r="AA270" s="29" t="str">
        <f aca="false">IF(OR(G270="",G270="なし"),"",IF(W270="掛金・負担金別",(AW270+AX270+AY270+BA270+BC270+BE270),IF(W270="経理区分別",AZ270+BA270,"")))</f>
        <v/>
      </c>
      <c r="AB270" s="27"/>
      <c r="AC270" s="29" t="str">
        <f aca="false">IF(OR(G270="",G270="なし"),"",IF(W270="経理区分別",BB270+BC270,""))</f>
        <v/>
      </c>
      <c r="AD270" s="27"/>
      <c r="AE270" s="29" t="str">
        <f aca="false">IF(OR(G270="",G270="なし"),"",IF(W270="経理区分別",BD270+BE270,""))</f>
        <v/>
      </c>
      <c r="AF270" s="27"/>
      <c r="AG270" s="26" t="s">
        <v>160</v>
      </c>
      <c r="AH270" s="26"/>
      <c r="AI270" s="30"/>
      <c r="AJ270" s="31"/>
      <c r="AK270" s="31"/>
      <c r="AL270" s="31"/>
      <c r="AM270" s="31"/>
      <c r="AN270" s="31"/>
      <c r="AO270" s="31"/>
      <c r="AP270" s="31"/>
      <c r="AQ270" s="31"/>
      <c r="AR270" s="31"/>
      <c r="AS270" s="31"/>
      <c r="AT270" s="31"/>
      <c r="AU270" s="31" t="n">
        <f aca="false">IF($G270="",AJ270,L270)</f>
        <v>1231590</v>
      </c>
      <c r="AV270" s="31" t="n">
        <f aca="false">IF($G270="",AK270,M270)</f>
        <v>100950</v>
      </c>
      <c r="AW270" s="31" t="n">
        <f aca="false">IF($G270="",AL270,N270)</f>
        <v>1231590</v>
      </c>
      <c r="AX270" s="31" t="n">
        <f aca="false">IF($G270="",AM270,O270)</f>
        <v>100950</v>
      </c>
      <c r="AY270" s="31" t="n">
        <f aca="false">IF($G270="",AN270,P270)</f>
        <v>1237</v>
      </c>
      <c r="AZ270" s="31" t="n">
        <f aca="false">IF($G270="",AO270,Q270)</f>
        <v>708914</v>
      </c>
      <c r="BA270" s="31" t="n">
        <f aca="false">IF($G270="",AP270,R270)</f>
        <v>709649</v>
      </c>
      <c r="BB270" s="31" t="n">
        <f aca="false">IF($G270="",AQ270,S270)</f>
        <v>82002</v>
      </c>
      <c r="BC270" s="31" t="n">
        <f aca="false">IF($G270="",AR270,T270)</f>
        <v>82002</v>
      </c>
      <c r="BD270" s="31" t="n">
        <f aca="false">IF($G270="",AS270,U270)</f>
        <v>15716</v>
      </c>
      <c r="BE270" s="31" t="n">
        <f aca="false">IF($G270="",AT270,V270)</f>
        <v>15720</v>
      </c>
      <c r="BF270" s="31" t="n">
        <f aca="false">ROUNDDOWN(I270*設定!$B$10/1000,0)+ROUNDDOWN(I270*設定!$B$11/1000,0)</f>
        <v>0</v>
      </c>
      <c r="BG270" s="31" t="n">
        <f aca="false">ROUNDDOWN(I270*設定!$C$10/1000,0)+ROUNDDOWN(I270*設定!$C$11/1000,0)+ROUNDDOWN(I270*設定!$C$12/1000,0)</f>
        <v>0</v>
      </c>
      <c r="BH270" s="31" t="n">
        <f aca="false">ROUNDDOWN(J270*設定!$B$13/1000,0)</f>
        <v>0</v>
      </c>
      <c r="BI270" s="31" t="n">
        <f aca="false">ROUNDDOWN(J270*設定!$C$13/1000,0)</f>
        <v>0</v>
      </c>
      <c r="BJ270" s="31" t="n">
        <f aca="false">ROUNDDOWN(K270*設定!$B$14/1000,0)</f>
        <v>0</v>
      </c>
      <c r="BK270" s="31" t="n">
        <f aca="false">ROUNDDOWN(K270*設定!$C$14/1000,0)</f>
        <v>0</v>
      </c>
      <c r="BL270" s="31" t="n">
        <f aca="false">ROUNDDOWN(J270*設定!$B$15/1000,0)</f>
        <v>0</v>
      </c>
      <c r="BM270" s="31" t="n">
        <f aca="false">ROUNDDOWN(J270*設定!$C$15/1000,0)</f>
        <v>0</v>
      </c>
      <c r="BN270" s="31" t="n">
        <f aca="false">L270+M270</f>
        <v>1332540</v>
      </c>
      <c r="BO270" s="31" t="n">
        <f aca="false">N270+O270+P270</f>
        <v>1333777</v>
      </c>
      <c r="BP270" s="31" t="n">
        <f aca="false">Q270</f>
        <v>708914</v>
      </c>
      <c r="BQ270" s="31" t="n">
        <f aca="false">R270</f>
        <v>709649</v>
      </c>
      <c r="BR270" s="31" t="n">
        <f aca="false">S270</f>
        <v>82002</v>
      </c>
      <c r="BS270" s="31" t="n">
        <f aca="false">T270</f>
        <v>82002</v>
      </c>
      <c r="BT270" s="31" t="n">
        <f aca="false">U270</f>
        <v>15716</v>
      </c>
      <c r="BU270" s="31" t="n">
        <f aca="false">V270</f>
        <v>15720</v>
      </c>
      <c r="BV270" s="32" t="n">
        <f aca="false">IF(BF270=0,IF(BN270=0,0,1),(BN270-BF270)/BF270)</f>
        <v>1</v>
      </c>
      <c r="BW270" s="32" t="n">
        <f aca="false">IF(BG270=0,IF(BO270=0,0,1),(BO270-BG270)/BG270)</f>
        <v>1</v>
      </c>
      <c r="BX270" s="32" t="n">
        <f aca="false">IF(BH270=0,IF(BP270=0,0,1),(BP270-BH270)/BH270)</f>
        <v>1</v>
      </c>
      <c r="BY270" s="32" t="n">
        <f aca="false">IF(BI270=0,IF(BQ270=0,0,1),(BQ270-BI270)/BI270)</f>
        <v>1</v>
      </c>
      <c r="BZ270" s="32" t="n">
        <f aca="false">IF(BJ270=0,IF(BR270=0,0,1),(BR270-BJ270)/BJ270)</f>
        <v>1</v>
      </c>
      <c r="CA270" s="32" t="n">
        <f aca="false">IF(BK270=0,IF(BS270=0,0,1),(BS270-BK270)/BK270)</f>
        <v>1</v>
      </c>
      <c r="CB270" s="32" t="n">
        <f aca="false">IF(BL270=0,IF(BT270=0,0,1),(BT270-BL270)/BL270)</f>
        <v>1</v>
      </c>
      <c r="CC270" s="32" t="n">
        <f aca="false">IF(BM270=0,IF(BU270=0,0,1),(BU270-BM270)/BM270)</f>
        <v>1</v>
      </c>
      <c r="CD270" s="32" t="n">
        <f aca="false">MAX(MAX(BV270:CC270),-MIN(BV270:CC270))</f>
        <v>1</v>
      </c>
      <c r="CE270" s="31" t="n">
        <f aca="false">IF(CI270="","",SUMIFS($CF$7:$CF$696,$A$7:$A$696,CI270,$B$7:$B$696,B270))</f>
        <v>4280320</v>
      </c>
      <c r="CF270" s="31" t="n">
        <f aca="false">SUM(AU270:BE270)</f>
        <v>4280320</v>
      </c>
      <c r="CG270" s="33" t="str">
        <f aca="false">A270&amp;"|"&amp;B270</f>
        <v>2026-08 月例|広島市立大学</v>
      </c>
      <c r="CH270" s="34" t="str">
        <f aca="false">IFERROR(INDEX(設定!$D$61:$D$106,MATCH(B270,設定!$B$61:$B$106,0)),"Y")</f>
        <v>Y</v>
      </c>
      <c r="CI270" s="34" t="str">
        <f aca="false">IFERROR(INDEX(設定!$D$20:$D$34,MATCH(A270,設定!$A$20:$A$34,0))&amp;"","")</f>
        <v>2026-07 月例</v>
      </c>
    </row>
    <row r="271" customFormat="false" ht="15" hidden="true" customHeight="false" outlineLevel="0" collapsed="false">
      <c r="A271" s="22" t="s">
        <v>212</v>
      </c>
      <c r="B271" s="23" t="s">
        <v>195</v>
      </c>
      <c r="C271" s="10" t="str">
        <f aca="false">IF(G271="","未受領",IF(G271="なし","報告なし",IF(AH271="○","起票済",IF(OR(AG271="○",F271="一致",F271="入金不要"),"入金確認済","受領済"))))</f>
        <v>入金確認済</v>
      </c>
      <c r="D271" s="10" t="str">
        <f aca="false">IF(OR(G271="",G271="なし"),"―",IF(CH271="N","対象外",IF(AND(I271="",J271="",K271=""),"標報未入力",IF(CD271&gt;=設定!$B$4,"要確認","問題なし"))))</f>
        <v>標報未入力</v>
      </c>
      <c r="E271" s="24" t="str">
        <f aca="false">IF(OR(G271="",G271="なし",CE271="",CF271=0),"―",IF(CF271=CE271,"前月同額",IF(CE271=0,"―",IF(ABS(CF271/CE271-1)&gt;=設定!$B$5,"変動大 "&amp;TEXT(CF271/CE271-1,"+0%;-0%"),"〇"))))</f>
        <v>〇</v>
      </c>
      <c r="F271" s="10" t="str">
        <f aca="false">IF(OR(G271="",G271="なし"),"―",IF(CF271=0,"入金不要",IF(COUNT(Z271,AB271,AD271,AF271)=0,IF(AG271="○","手動確認","未入金"),IF(AND(N(Z271)=Y271,IF(AA271="",TRUE(),N(AB271)=AA271),IF(AC271="",TRUE(),N(AD271)=AC271),IF(AE271="",TRUE(),N(AF271)=AE271)),"一致","不一致"))))</f>
        <v>手動確認</v>
      </c>
      <c r="G271" s="25" t="s">
        <v>159</v>
      </c>
      <c r="H271" s="26"/>
      <c r="I271" s="27"/>
      <c r="J271" s="27"/>
      <c r="K271" s="27"/>
      <c r="L271" s="27"/>
      <c r="M271" s="27"/>
      <c r="N271" s="27" t="n">
        <v>245220</v>
      </c>
      <c r="O271" s="27" t="n">
        <v>20100</v>
      </c>
      <c r="P271" s="27" t="n">
        <v>233</v>
      </c>
      <c r="Q271" s="27"/>
      <c r="R271" s="27" t="n">
        <v>142234</v>
      </c>
      <c r="S271" s="27"/>
      <c r="T271" s="27" t="n">
        <v>10507</v>
      </c>
      <c r="U271" s="27"/>
      <c r="V271" s="27" t="n">
        <v>3151</v>
      </c>
      <c r="W271" s="10" t="str">
        <f aca="false">IFERROR(INDEX(設定!$E$61:$E$106,MATCH(B271,設定!$B$61:$B$106,0)),"合算")</f>
        <v>合算</v>
      </c>
      <c r="X271" s="28"/>
      <c r="Y271" s="29" t="n">
        <f aca="false">IF(OR(G271="",G271="なし"),"",IF(W271="合算",CF271,IF(W271="掛金・負担金別",(AU271+AV271+AZ271+BB271+BD271),SUM(AU271:AY271))))</f>
        <v>421445</v>
      </c>
      <c r="Z271" s="27"/>
      <c r="AA271" s="29" t="str">
        <f aca="false">IF(OR(G271="",G271="なし"),"",IF(W271="掛金・負担金別",(AW271+AX271+AY271+BA271+BC271+BE271),IF(W271="経理区分別",AZ271+BA271,"")))</f>
        <v/>
      </c>
      <c r="AB271" s="27"/>
      <c r="AC271" s="29" t="str">
        <f aca="false">IF(OR(G271="",G271="なし"),"",IF(W271="経理区分別",BB271+BC271,""))</f>
        <v/>
      </c>
      <c r="AD271" s="27"/>
      <c r="AE271" s="29" t="str">
        <f aca="false">IF(OR(G271="",G271="なし"),"",IF(W271="経理区分別",BD271+BE271,""))</f>
        <v/>
      </c>
      <c r="AF271" s="27"/>
      <c r="AG271" s="26" t="s">
        <v>160</v>
      </c>
      <c r="AH271" s="26"/>
      <c r="AI271" s="30"/>
      <c r="AJ271" s="31"/>
      <c r="AK271" s="31"/>
      <c r="AL271" s="31"/>
      <c r="AM271" s="31"/>
      <c r="AN271" s="31"/>
      <c r="AO271" s="31"/>
      <c r="AP271" s="31"/>
      <c r="AQ271" s="31"/>
      <c r="AR271" s="31"/>
      <c r="AS271" s="31"/>
      <c r="AT271" s="31"/>
      <c r="AU271" s="31" t="n">
        <f aca="false">IF($G271="",AJ271,L271)</f>
        <v>0</v>
      </c>
      <c r="AV271" s="31" t="n">
        <f aca="false">IF($G271="",AK271,M271)</f>
        <v>0</v>
      </c>
      <c r="AW271" s="31" t="n">
        <f aca="false">IF($G271="",AL271,N271)</f>
        <v>245220</v>
      </c>
      <c r="AX271" s="31" t="n">
        <f aca="false">IF($G271="",AM271,O271)</f>
        <v>20100</v>
      </c>
      <c r="AY271" s="31" t="n">
        <f aca="false">IF($G271="",AN271,P271)</f>
        <v>233</v>
      </c>
      <c r="AZ271" s="31" t="n">
        <f aca="false">IF($G271="",AO271,Q271)</f>
        <v>0</v>
      </c>
      <c r="BA271" s="31" t="n">
        <f aca="false">IF($G271="",AP271,R271)</f>
        <v>142234</v>
      </c>
      <c r="BB271" s="31" t="n">
        <f aca="false">IF($G271="",AQ271,S271)</f>
        <v>0</v>
      </c>
      <c r="BC271" s="31" t="n">
        <f aca="false">IF($G271="",AR271,T271)</f>
        <v>10507</v>
      </c>
      <c r="BD271" s="31" t="n">
        <f aca="false">IF($G271="",AS271,U271)</f>
        <v>0</v>
      </c>
      <c r="BE271" s="31" t="n">
        <f aca="false">IF($G271="",AT271,V271)</f>
        <v>3151</v>
      </c>
      <c r="BF271" s="31" t="n">
        <f aca="false">ROUNDDOWN(I271*設定!$B$10/1000,0)+ROUNDDOWN(I271*設定!$B$11/1000,0)</f>
        <v>0</v>
      </c>
      <c r="BG271" s="31" t="n">
        <f aca="false">ROUNDDOWN(I271*設定!$C$10/1000,0)+ROUNDDOWN(I271*設定!$C$11/1000,0)+ROUNDDOWN(I271*設定!$C$12/1000,0)</f>
        <v>0</v>
      </c>
      <c r="BH271" s="31" t="n">
        <f aca="false">ROUNDDOWN(J271*設定!$B$13/1000,0)</f>
        <v>0</v>
      </c>
      <c r="BI271" s="31" t="n">
        <f aca="false">ROUNDDOWN(J271*設定!$C$13/1000,0)</f>
        <v>0</v>
      </c>
      <c r="BJ271" s="31" t="n">
        <f aca="false">ROUNDDOWN(K271*設定!$B$14/1000,0)</f>
        <v>0</v>
      </c>
      <c r="BK271" s="31" t="n">
        <f aca="false">ROUNDDOWN(K271*設定!$C$14/1000,0)</f>
        <v>0</v>
      </c>
      <c r="BL271" s="31" t="n">
        <f aca="false">ROUNDDOWN(J271*設定!$B$15/1000,0)</f>
        <v>0</v>
      </c>
      <c r="BM271" s="31" t="n">
        <f aca="false">ROUNDDOWN(J271*設定!$C$15/1000,0)</f>
        <v>0</v>
      </c>
      <c r="BN271" s="31" t="n">
        <f aca="false">L271+M271</f>
        <v>0</v>
      </c>
      <c r="BO271" s="31" t="n">
        <f aca="false">N271+O271+P271</f>
        <v>265553</v>
      </c>
      <c r="BP271" s="31" t="n">
        <f aca="false">Q271</f>
        <v>0</v>
      </c>
      <c r="BQ271" s="31" t="n">
        <f aca="false">R271</f>
        <v>142234</v>
      </c>
      <c r="BR271" s="31" t="n">
        <f aca="false">S271</f>
        <v>0</v>
      </c>
      <c r="BS271" s="31" t="n">
        <f aca="false">T271</f>
        <v>10507</v>
      </c>
      <c r="BT271" s="31" t="n">
        <f aca="false">U271</f>
        <v>0</v>
      </c>
      <c r="BU271" s="31" t="n">
        <f aca="false">V271</f>
        <v>3151</v>
      </c>
      <c r="BV271" s="32" t="n">
        <f aca="false">IF(BF271=0,IF(BN271=0,0,1),(BN271-BF271)/BF271)</f>
        <v>0</v>
      </c>
      <c r="BW271" s="32" t="n">
        <f aca="false">IF(BG271=0,IF(BO271=0,0,1),(BO271-BG271)/BG271)</f>
        <v>1</v>
      </c>
      <c r="BX271" s="32" t="n">
        <f aca="false">IF(BH271=0,IF(BP271=0,0,1),(BP271-BH271)/BH271)</f>
        <v>0</v>
      </c>
      <c r="BY271" s="32" t="n">
        <f aca="false">IF(BI271=0,IF(BQ271=0,0,1),(BQ271-BI271)/BI271)</f>
        <v>1</v>
      </c>
      <c r="BZ271" s="32" t="n">
        <f aca="false">IF(BJ271=0,IF(BR271=0,0,1),(BR271-BJ271)/BJ271)</f>
        <v>0</v>
      </c>
      <c r="CA271" s="32" t="n">
        <f aca="false">IF(BK271=0,IF(BS271=0,0,1),(BS271-BK271)/BK271)</f>
        <v>1</v>
      </c>
      <c r="CB271" s="32" t="n">
        <f aca="false">IF(BL271=0,IF(BT271=0,0,1),(BT271-BL271)/BL271)</f>
        <v>0</v>
      </c>
      <c r="CC271" s="32" t="n">
        <f aca="false">IF(BM271=0,IF(BU271=0,0,1),(BU271-BM271)/BM271)</f>
        <v>1</v>
      </c>
      <c r="CD271" s="32" t="n">
        <f aca="false">MAX(MAX(BV271:CC271),-MIN(BV271:CC271))</f>
        <v>1</v>
      </c>
      <c r="CE271" s="31" t="n">
        <f aca="false">IF(CI271="","",SUMIFS($CF$7:$CF$696,$A$7:$A$696,CI271,$B$7:$B$696,B271))</f>
        <v>439701</v>
      </c>
      <c r="CF271" s="31" t="n">
        <f aca="false">SUM(AU271:BE271)</f>
        <v>421445</v>
      </c>
      <c r="CG271" s="33" t="str">
        <f aca="false">A271&amp;"|"&amp;B271</f>
        <v>2026-08 月例|社会福祉協議会</v>
      </c>
      <c r="CH271" s="34" t="str">
        <f aca="false">IFERROR(INDEX(設定!$D$61:$D$106,MATCH(B271,設定!$B$61:$B$106,0)),"Y")</f>
        <v>Y</v>
      </c>
      <c r="CI271" s="34" t="str">
        <f aca="false">IFERROR(INDEX(設定!$D$20:$D$34,MATCH(A271,設定!$A$20:$A$34,0))&amp;"","")</f>
        <v>2026-07 月例</v>
      </c>
    </row>
    <row r="272" customFormat="false" ht="15" hidden="true" customHeight="false" outlineLevel="0" collapsed="false">
      <c r="A272" s="22" t="s">
        <v>212</v>
      </c>
      <c r="B272" s="23" t="s">
        <v>196</v>
      </c>
      <c r="C272" s="10" t="str">
        <f aca="false">IF(G272="","未受領",IF(G272="なし","報告なし",IF(AH272="○","起票済",IF(OR(AG272="○",F272="一致",F272="入金不要"),"入金確認済","受領済"))))</f>
        <v>入金確認済</v>
      </c>
      <c r="D272" s="10" t="str">
        <f aca="false">IF(OR(G272="",G272="なし"),"―",IF(CH272="N","対象外",IF(AND(I272="",J272="",K272=""),"標報未入力",IF(CD272&gt;=設定!$B$4,"要確認","問題なし"))))</f>
        <v>対象外</v>
      </c>
      <c r="E272" s="24" t="str">
        <f aca="false">IF(OR(G272="",G272="なし",CE272="",CF272=0),"―",IF(CF272=CE272,"前月同額",IF(CE272=0,"―",IF(ABS(CF272/CE272-1)&gt;=設定!$B$5,"変動大 "&amp;TEXT(CF272/CE272-1,"+0%;-0%"),"〇"))))</f>
        <v>〇</v>
      </c>
      <c r="F272" s="10" t="str">
        <f aca="false">IF(OR(G272="",G272="なし"),"―",IF(CF272=0,"入金不要",IF(COUNT(Z272,AB272,AD272,AF272)=0,IF(AG272="○","手動確認","未入金"),IF(AND(N(Z272)=Y272,IF(AA272="",TRUE(),N(AB272)=AA272),IF(AC272="",TRUE(),N(AD272)=AC272),IF(AE272="",TRUE(),N(AF272)=AE272)),"一致","不一致"))))</f>
        <v>手動確認</v>
      </c>
      <c r="G272" s="25" t="s">
        <v>159</v>
      </c>
      <c r="H272" s="26"/>
      <c r="I272" s="27"/>
      <c r="J272" s="27"/>
      <c r="K272" s="27"/>
      <c r="L272" s="27" t="n">
        <v>126418505</v>
      </c>
      <c r="M272" s="27" t="n">
        <v>10367948</v>
      </c>
      <c r="N272" s="27" t="n">
        <v>184607059</v>
      </c>
      <c r="O272" s="27" t="n">
        <v>10367948</v>
      </c>
      <c r="P272" s="27" t="n">
        <v>126507</v>
      </c>
      <c r="Q272" s="27" t="n">
        <v>94190280</v>
      </c>
      <c r="R272" s="27" t="n">
        <v>94296058</v>
      </c>
      <c r="S272" s="27" t="n">
        <v>8065234</v>
      </c>
      <c r="T272" s="27" t="n">
        <v>8065234</v>
      </c>
      <c r="U272" s="27" t="n">
        <v>2089205</v>
      </c>
      <c r="V272" s="27" t="n">
        <v>2089203</v>
      </c>
      <c r="W272" s="10" t="str">
        <f aca="false">IFERROR(INDEX(設定!$E$61:$E$106,MATCH(B272,設定!$B$61:$B$106,0)),"合算")</f>
        <v>合算</v>
      </c>
      <c r="X272" s="28"/>
      <c r="Y272" s="29" t="n">
        <f aca="false">IF(OR(G272="",G272="なし"),"",IF(W272="合算",CF272,IF(W272="掛金・負担金別",(AU272+AV272+AZ272+BB272+BD272),SUM(AU272:AY272))))</f>
        <v>540683181</v>
      </c>
      <c r="Z272" s="27"/>
      <c r="AA272" s="29" t="str">
        <f aca="false">IF(OR(G272="",G272="なし"),"",IF(W272="掛金・負担金別",(AW272+AX272+AY272+BA272+BC272+BE272),IF(W272="経理区分別",AZ272+BA272,"")))</f>
        <v/>
      </c>
      <c r="AB272" s="27"/>
      <c r="AC272" s="29" t="str">
        <f aca="false">IF(OR(G272="",G272="なし"),"",IF(W272="経理区分別",BB272+BC272,""))</f>
        <v/>
      </c>
      <c r="AD272" s="27"/>
      <c r="AE272" s="29" t="str">
        <f aca="false">IF(OR(G272="",G272="なし"),"",IF(W272="経理区分別",BD272+BE272,""))</f>
        <v/>
      </c>
      <c r="AF272" s="27"/>
      <c r="AG272" s="26" t="s">
        <v>160</v>
      </c>
      <c r="AH272" s="26"/>
      <c r="AI272" s="30"/>
      <c r="AJ272" s="31"/>
      <c r="AK272" s="31"/>
      <c r="AL272" s="31"/>
      <c r="AM272" s="31"/>
      <c r="AN272" s="31"/>
      <c r="AO272" s="31"/>
      <c r="AP272" s="31"/>
      <c r="AQ272" s="31"/>
      <c r="AR272" s="31"/>
      <c r="AS272" s="31"/>
      <c r="AT272" s="31"/>
      <c r="AU272" s="31" t="n">
        <f aca="false">IF($G272="",AJ272,L272)</f>
        <v>126418505</v>
      </c>
      <c r="AV272" s="31" t="n">
        <f aca="false">IF($G272="",AK272,M272)</f>
        <v>10367948</v>
      </c>
      <c r="AW272" s="31" t="n">
        <f aca="false">IF($G272="",AL272,N272)</f>
        <v>184607059</v>
      </c>
      <c r="AX272" s="31" t="n">
        <f aca="false">IF($G272="",AM272,O272)</f>
        <v>10367948</v>
      </c>
      <c r="AY272" s="31" t="n">
        <f aca="false">IF($G272="",AN272,P272)</f>
        <v>126507</v>
      </c>
      <c r="AZ272" s="31" t="n">
        <f aca="false">IF($G272="",AO272,Q272)</f>
        <v>94190280</v>
      </c>
      <c r="BA272" s="31" t="n">
        <f aca="false">IF($G272="",AP272,R272)</f>
        <v>94296058</v>
      </c>
      <c r="BB272" s="31" t="n">
        <f aca="false">IF($G272="",AQ272,S272)</f>
        <v>8065234</v>
      </c>
      <c r="BC272" s="31" t="n">
        <f aca="false">IF($G272="",AR272,T272)</f>
        <v>8065234</v>
      </c>
      <c r="BD272" s="31" t="n">
        <f aca="false">IF($G272="",AS272,U272)</f>
        <v>2089205</v>
      </c>
      <c r="BE272" s="31" t="n">
        <f aca="false">IF($G272="",AT272,V272)</f>
        <v>2089203</v>
      </c>
      <c r="BF272" s="31" t="n">
        <f aca="false">ROUNDDOWN(I272*設定!$B$10/1000,0)+ROUNDDOWN(I272*設定!$B$11/1000,0)</f>
        <v>0</v>
      </c>
      <c r="BG272" s="31" t="n">
        <f aca="false">ROUNDDOWN(I272*設定!$C$10/1000,0)+ROUNDDOWN(I272*設定!$C$11/1000,0)+ROUNDDOWN(I272*設定!$C$12/1000,0)</f>
        <v>0</v>
      </c>
      <c r="BH272" s="31" t="n">
        <f aca="false">ROUNDDOWN(J272*設定!$B$13/1000,0)</f>
        <v>0</v>
      </c>
      <c r="BI272" s="31" t="n">
        <f aca="false">ROUNDDOWN(J272*設定!$C$13/1000,0)</f>
        <v>0</v>
      </c>
      <c r="BJ272" s="31" t="n">
        <f aca="false">ROUNDDOWN(K272*設定!$B$14/1000,0)</f>
        <v>0</v>
      </c>
      <c r="BK272" s="31" t="n">
        <f aca="false">ROUNDDOWN(K272*設定!$C$14/1000,0)</f>
        <v>0</v>
      </c>
      <c r="BL272" s="31" t="n">
        <f aca="false">ROUNDDOWN(J272*設定!$B$15/1000,0)</f>
        <v>0</v>
      </c>
      <c r="BM272" s="31" t="n">
        <f aca="false">ROUNDDOWN(J272*設定!$C$15/1000,0)</f>
        <v>0</v>
      </c>
      <c r="BN272" s="31" t="n">
        <f aca="false">L272+M272</f>
        <v>136786453</v>
      </c>
      <c r="BO272" s="31" t="n">
        <f aca="false">N272+O272+P272</f>
        <v>195101514</v>
      </c>
      <c r="BP272" s="31" t="n">
        <f aca="false">Q272</f>
        <v>94190280</v>
      </c>
      <c r="BQ272" s="31" t="n">
        <f aca="false">R272</f>
        <v>94296058</v>
      </c>
      <c r="BR272" s="31" t="n">
        <f aca="false">S272</f>
        <v>8065234</v>
      </c>
      <c r="BS272" s="31" t="n">
        <f aca="false">T272</f>
        <v>8065234</v>
      </c>
      <c r="BT272" s="31" t="n">
        <f aca="false">U272</f>
        <v>2089205</v>
      </c>
      <c r="BU272" s="31" t="n">
        <f aca="false">V272</f>
        <v>2089203</v>
      </c>
      <c r="BV272" s="32" t="n">
        <f aca="false">IF(BF272=0,IF(BN272=0,0,1),(BN272-BF272)/BF272)</f>
        <v>1</v>
      </c>
      <c r="BW272" s="32" t="n">
        <f aca="false">IF(BG272=0,IF(BO272=0,0,1),(BO272-BG272)/BG272)</f>
        <v>1</v>
      </c>
      <c r="BX272" s="32" t="n">
        <f aca="false">IF(BH272=0,IF(BP272=0,0,1),(BP272-BH272)/BH272)</f>
        <v>1</v>
      </c>
      <c r="BY272" s="32" t="n">
        <f aca="false">IF(BI272=0,IF(BQ272=0,0,1),(BQ272-BI272)/BI272)</f>
        <v>1</v>
      </c>
      <c r="BZ272" s="32" t="n">
        <f aca="false">IF(BJ272=0,IF(BR272=0,0,1),(BR272-BJ272)/BJ272)</f>
        <v>1</v>
      </c>
      <c r="CA272" s="32" t="n">
        <f aca="false">IF(BK272=0,IF(BS272=0,0,1),(BS272-BK272)/BK272)</f>
        <v>1</v>
      </c>
      <c r="CB272" s="32" t="n">
        <f aca="false">IF(BL272=0,IF(BT272=0,0,1),(BT272-BL272)/BL272)</f>
        <v>1</v>
      </c>
      <c r="CC272" s="32" t="n">
        <f aca="false">IF(BM272=0,IF(BU272=0,0,1),(BU272-BM272)/BM272)</f>
        <v>1</v>
      </c>
      <c r="CD272" s="32" t="n">
        <f aca="false">MAX(MAX(BV272:CC272),-MIN(BV272:CC272))</f>
        <v>1</v>
      </c>
      <c r="CE272" s="31" t="n">
        <f aca="false">IF(CI272="","",SUMIFS($CF$7:$CF$696,$A$7:$A$696,CI272,$B$7:$B$696,B272))</f>
        <v>544308182</v>
      </c>
      <c r="CF272" s="31" t="n">
        <f aca="false">SUM(AU272:BE272)</f>
        <v>540683181</v>
      </c>
      <c r="CG272" s="33" t="str">
        <f aca="false">A272&amp;"|"&amp;B272</f>
        <v>2026-08 月例|市立病院機構</v>
      </c>
      <c r="CH272" s="34" t="str">
        <f aca="false">IFERROR(INDEX(設定!$D$61:$D$106,MATCH(B272,設定!$B$61:$B$106,0)),"Y")</f>
        <v>N</v>
      </c>
      <c r="CI272" s="34" t="str">
        <f aca="false">IFERROR(INDEX(設定!$D$20:$D$34,MATCH(A272,設定!$A$20:$A$34,0))&amp;"","")</f>
        <v>2026-07 月例</v>
      </c>
    </row>
    <row r="273" customFormat="false" ht="15" hidden="true" customHeight="false" outlineLevel="0" collapsed="false">
      <c r="A273" s="22" t="s">
        <v>212</v>
      </c>
      <c r="B273" s="23" t="s">
        <v>197</v>
      </c>
      <c r="C273" s="10" t="str">
        <f aca="false">IF(G273="","未受領",IF(G273="なし","報告なし",IF(AH273="○","起票済",IF(OR(AG273="○",F273="一致",F273="入金不要"),"入金確認済","受領済"))))</f>
        <v>入金確認済</v>
      </c>
      <c r="D273" s="10" t="str">
        <f aca="false">IF(OR(G273="",G273="なし"),"―",IF(CH273="N","対象外",IF(AND(I273="",J273="",K273=""),"標報未入力",IF(CD273&gt;=設定!$B$4,"要確認","問題なし"))))</f>
        <v>標報未入力</v>
      </c>
      <c r="E273" s="24" t="str">
        <f aca="false">IF(OR(G273="",G273="なし",CE273="",CF273=0),"―",IF(CF273=CE273,"前月同額",IF(CE273=0,"―",IF(ABS(CF273/CE273-1)&gt;=設定!$B$5,"変動大 "&amp;TEXT(CF273/CE273-1,"+0%;-0%"),"〇"))))</f>
        <v>前月同額</v>
      </c>
      <c r="F273" s="10" t="str">
        <f aca="false">IF(OR(G273="",G273="なし"),"―",IF(CF273=0,"入金不要",IF(COUNT(Z273,AB273,AD273,AF273)=0,IF(AG273="○","手動確認","未入金"),IF(AND(N(Z273)=Y273,IF(AA273="",TRUE(),N(AB273)=AA273),IF(AC273="",TRUE(),N(AD273)=AC273),IF(AE273="",TRUE(),N(AF273)=AE273)),"一致","不一致"))))</f>
        <v>手動確認</v>
      </c>
      <c r="G273" s="25" t="s">
        <v>159</v>
      </c>
      <c r="H273" s="26"/>
      <c r="I273" s="27"/>
      <c r="J273" s="27"/>
      <c r="K273" s="27"/>
      <c r="L273" s="27"/>
      <c r="M273" s="27"/>
      <c r="N273" s="27"/>
      <c r="O273" s="27"/>
      <c r="P273" s="27"/>
      <c r="Q273" s="27" t="n">
        <v>104755</v>
      </c>
      <c r="R273" s="27" t="n">
        <v>104857</v>
      </c>
      <c r="S273" s="27" t="n">
        <v>11060</v>
      </c>
      <c r="T273" s="27" t="n">
        <v>11060</v>
      </c>
      <c r="U273" s="27" t="n">
        <v>2321</v>
      </c>
      <c r="V273" s="27" t="n">
        <v>2322</v>
      </c>
      <c r="W273" s="10" t="str">
        <f aca="false">IFERROR(INDEX(設定!$E$61:$E$106,MATCH(B273,設定!$B$61:$B$106,0)),"合算")</f>
        <v>合算</v>
      </c>
      <c r="X273" s="28"/>
      <c r="Y273" s="29" t="n">
        <f aca="false">IF(OR(G273="",G273="なし"),"",IF(W273="合算",CF273,IF(W273="掛金・負担金別",(AU273+AV273+AZ273+BB273+BD273),SUM(AU273:AY273))))</f>
        <v>236375</v>
      </c>
      <c r="Z273" s="27"/>
      <c r="AA273" s="29" t="str">
        <f aca="false">IF(OR(G273="",G273="なし"),"",IF(W273="掛金・負担金別",(AW273+AX273+AY273+BA273+BC273+BE273),IF(W273="経理区分別",AZ273+BA273,"")))</f>
        <v/>
      </c>
      <c r="AB273" s="27"/>
      <c r="AC273" s="29" t="str">
        <f aca="false">IF(OR(G273="",G273="なし"),"",IF(W273="経理区分別",BB273+BC273,""))</f>
        <v/>
      </c>
      <c r="AD273" s="27"/>
      <c r="AE273" s="29" t="str">
        <f aca="false">IF(OR(G273="",G273="なし"),"",IF(W273="経理区分別",BD273+BE273,""))</f>
        <v/>
      </c>
      <c r="AF273" s="27"/>
      <c r="AG273" s="26" t="s">
        <v>160</v>
      </c>
      <c r="AH273" s="26"/>
      <c r="AI273" s="30"/>
      <c r="AJ273" s="31"/>
      <c r="AK273" s="31"/>
      <c r="AL273" s="31"/>
      <c r="AM273" s="31"/>
      <c r="AN273" s="31"/>
      <c r="AO273" s="31"/>
      <c r="AP273" s="31"/>
      <c r="AQ273" s="31"/>
      <c r="AR273" s="31"/>
      <c r="AS273" s="31"/>
      <c r="AT273" s="31"/>
      <c r="AU273" s="31" t="n">
        <f aca="false">IF($G273="",AJ273,L273)</f>
        <v>0</v>
      </c>
      <c r="AV273" s="31" t="n">
        <f aca="false">IF($G273="",AK273,M273)</f>
        <v>0</v>
      </c>
      <c r="AW273" s="31" t="n">
        <f aca="false">IF($G273="",AL273,N273)</f>
        <v>0</v>
      </c>
      <c r="AX273" s="31" t="n">
        <f aca="false">IF($G273="",AM273,O273)</f>
        <v>0</v>
      </c>
      <c r="AY273" s="31" t="n">
        <f aca="false">IF($G273="",AN273,P273)</f>
        <v>0</v>
      </c>
      <c r="AZ273" s="31" t="n">
        <f aca="false">IF($G273="",AO273,Q273)</f>
        <v>104755</v>
      </c>
      <c r="BA273" s="31" t="n">
        <f aca="false">IF($G273="",AP273,R273)</f>
        <v>104857</v>
      </c>
      <c r="BB273" s="31" t="n">
        <f aca="false">IF($G273="",AQ273,S273)</f>
        <v>11060</v>
      </c>
      <c r="BC273" s="31" t="n">
        <f aca="false">IF($G273="",AR273,T273)</f>
        <v>11060</v>
      </c>
      <c r="BD273" s="31" t="n">
        <f aca="false">IF($G273="",AS273,U273)</f>
        <v>2321</v>
      </c>
      <c r="BE273" s="31" t="n">
        <f aca="false">IF($G273="",AT273,V273)</f>
        <v>2322</v>
      </c>
      <c r="BF273" s="31" t="n">
        <f aca="false">ROUNDDOWN(I273*設定!$B$10/1000,0)+ROUNDDOWN(I273*設定!$B$11/1000,0)</f>
        <v>0</v>
      </c>
      <c r="BG273" s="31" t="n">
        <f aca="false">ROUNDDOWN(I273*設定!$C$10/1000,0)+ROUNDDOWN(I273*設定!$C$11/1000,0)+ROUNDDOWN(I273*設定!$C$12/1000,0)</f>
        <v>0</v>
      </c>
      <c r="BH273" s="31" t="n">
        <f aca="false">ROUNDDOWN(J273*設定!$B$13/1000,0)</f>
        <v>0</v>
      </c>
      <c r="BI273" s="31" t="n">
        <f aca="false">ROUNDDOWN(J273*設定!$C$13/1000,0)</f>
        <v>0</v>
      </c>
      <c r="BJ273" s="31" t="n">
        <f aca="false">ROUNDDOWN(K273*設定!$B$14/1000,0)</f>
        <v>0</v>
      </c>
      <c r="BK273" s="31" t="n">
        <f aca="false">ROUNDDOWN(K273*設定!$C$14/1000,0)</f>
        <v>0</v>
      </c>
      <c r="BL273" s="31" t="n">
        <f aca="false">ROUNDDOWN(J273*設定!$B$15/1000,0)</f>
        <v>0</v>
      </c>
      <c r="BM273" s="31" t="n">
        <f aca="false">ROUNDDOWN(J273*設定!$C$15/1000,0)</f>
        <v>0</v>
      </c>
      <c r="BN273" s="31" t="n">
        <f aca="false">L273+M273</f>
        <v>0</v>
      </c>
      <c r="BO273" s="31" t="n">
        <f aca="false">N273+O273+P273</f>
        <v>0</v>
      </c>
      <c r="BP273" s="31" t="n">
        <f aca="false">Q273</f>
        <v>104755</v>
      </c>
      <c r="BQ273" s="31" t="n">
        <f aca="false">R273</f>
        <v>104857</v>
      </c>
      <c r="BR273" s="31" t="n">
        <f aca="false">S273</f>
        <v>11060</v>
      </c>
      <c r="BS273" s="31" t="n">
        <f aca="false">T273</f>
        <v>11060</v>
      </c>
      <c r="BT273" s="31" t="n">
        <f aca="false">U273</f>
        <v>2321</v>
      </c>
      <c r="BU273" s="31" t="n">
        <f aca="false">V273</f>
        <v>2322</v>
      </c>
      <c r="BV273" s="32" t="n">
        <f aca="false">IF(BF273=0,IF(BN273=0,0,1),(BN273-BF273)/BF273)</f>
        <v>0</v>
      </c>
      <c r="BW273" s="32" t="n">
        <f aca="false">IF(BG273=0,IF(BO273=0,0,1),(BO273-BG273)/BG273)</f>
        <v>0</v>
      </c>
      <c r="BX273" s="32" t="n">
        <f aca="false">IF(BH273=0,IF(BP273=0,0,1),(BP273-BH273)/BH273)</f>
        <v>1</v>
      </c>
      <c r="BY273" s="32" t="n">
        <f aca="false">IF(BI273=0,IF(BQ273=0,0,1),(BQ273-BI273)/BI273)</f>
        <v>1</v>
      </c>
      <c r="BZ273" s="32" t="n">
        <f aca="false">IF(BJ273=0,IF(BR273=0,0,1),(BR273-BJ273)/BJ273)</f>
        <v>1</v>
      </c>
      <c r="CA273" s="32" t="n">
        <f aca="false">IF(BK273=0,IF(BS273=0,0,1),(BS273-BK273)/BK273)</f>
        <v>1</v>
      </c>
      <c r="CB273" s="32" t="n">
        <f aca="false">IF(BL273=0,IF(BT273=0,0,1),(BT273-BL273)/BL273)</f>
        <v>1</v>
      </c>
      <c r="CC273" s="32" t="n">
        <f aca="false">IF(BM273=0,IF(BU273=0,0,1),(BU273-BM273)/BM273)</f>
        <v>1</v>
      </c>
      <c r="CD273" s="32" t="n">
        <f aca="false">MAX(MAX(BV273:CC273),-MIN(BV273:CC273))</f>
        <v>1</v>
      </c>
      <c r="CE273" s="31" t="n">
        <f aca="false">IF(CI273="","",SUMIFS($CF$7:$CF$696,$A$7:$A$696,CI273,$B$7:$B$696,B273))</f>
        <v>236375</v>
      </c>
      <c r="CF273" s="31" t="n">
        <f aca="false">SUM(AU273:BE273)</f>
        <v>236375</v>
      </c>
      <c r="CG273" s="33" t="str">
        <f aca="false">A273&amp;"|"&amp;B273</f>
        <v>2026-08 月例|職員共済組合</v>
      </c>
      <c r="CH273" s="34" t="str">
        <f aca="false">IFERROR(INDEX(設定!$D$61:$D$106,MATCH(B273,設定!$B$61:$B$106,0)),"Y")</f>
        <v>Y</v>
      </c>
      <c r="CI273" s="34" t="str">
        <f aca="false">IFERROR(INDEX(設定!$D$20:$D$34,MATCH(A273,設定!$A$20:$A$34,0))&amp;"","")</f>
        <v>2026-07 月例</v>
      </c>
    </row>
    <row r="274" customFormat="false" ht="26.85" hidden="true" customHeight="false" outlineLevel="0" collapsed="false">
      <c r="A274" s="22" t="s">
        <v>212</v>
      </c>
      <c r="B274" s="35" t="s">
        <v>198</v>
      </c>
      <c r="C274" s="10" t="str">
        <f aca="false">IF(G274="","未受領",IF(G274="なし","報告なし",IF(AH274="○","起票済",IF(OR(AG274="○",F274="一致",F274="入金不要"),"入金確認済","受領済"))))</f>
        <v>報告なし</v>
      </c>
      <c r="D274" s="10" t="str">
        <f aca="false">IF(OR(G274="",G274="なし"),"―",IF(CH274="N","対象外",IF(AND(I274="",J274="",K274=""),"標報未入力",IF(CD274&gt;=設定!$B$4,"要確認","問題なし"))))</f>
        <v>―</v>
      </c>
      <c r="E274" s="24" t="str">
        <f aca="false">IF(OR(G274="",G274="なし",CE274="",CF274=0),"―",IF(CF274=CE274,"前月同額",IF(CE274=0,"―",IF(ABS(CF274/CE274-1)&gt;=設定!$B$5,"変動大 "&amp;TEXT(CF274/CE274-1,"+0%;-0%"),"〇"))))</f>
        <v>―</v>
      </c>
      <c r="F274" s="10" t="str">
        <f aca="false">IF(OR(G274="",G274="なし"),"―",IF(CF274=0,"入金不要",IF(COUNT(Z274,AB274,AD274,AF274)=0,IF(AG274="○","手動確認","未入金"),IF(AND(N(Z274)=Y274,IF(AA274="",TRUE(),N(AB274)=AA274),IF(AC274="",TRUE(),N(AD274)=AC274),IF(AE274="",TRUE(),N(AF274)=AE274)),"一致","不一致"))))</f>
        <v>―</v>
      </c>
      <c r="G274" s="25" t="s">
        <v>173</v>
      </c>
      <c r="H274" s="26"/>
      <c r="I274" s="27"/>
      <c r="J274" s="27"/>
      <c r="K274" s="27"/>
      <c r="L274" s="27"/>
      <c r="M274" s="27"/>
      <c r="N274" s="27"/>
      <c r="O274" s="27"/>
      <c r="P274" s="27"/>
      <c r="Q274" s="27"/>
      <c r="R274" s="27"/>
      <c r="S274" s="27"/>
      <c r="T274" s="27"/>
      <c r="U274" s="27"/>
      <c r="V274" s="27"/>
      <c r="W274" s="10" t="str">
        <f aca="false">IFERROR(INDEX(設定!$E$61:$E$106,MATCH(B274,設定!$B$61:$B$106,0)),"合算")</f>
        <v>合算</v>
      </c>
      <c r="X274" s="28"/>
      <c r="Y274" s="29" t="str">
        <f aca="false">IF(OR(G274="",G274="なし"),"",IF(W274="合算",CF274,IF(W274="掛金・負担金別",(AU274+AV274+AZ274+BB274+BD274),SUM(AU274:AY274))))</f>
        <v/>
      </c>
      <c r="Z274" s="27"/>
      <c r="AA274" s="29" t="str">
        <f aca="false">IF(OR(G274="",G274="なし"),"",IF(W274="掛金・負担金別",(AW274+AX274+AY274+BA274+BC274+BE274),IF(W274="経理区分別",AZ274+BA274,"")))</f>
        <v/>
      </c>
      <c r="AB274" s="27"/>
      <c r="AC274" s="29" t="str">
        <f aca="false">IF(OR(G274="",G274="なし"),"",IF(W274="経理区分別",BB274+BC274,""))</f>
        <v/>
      </c>
      <c r="AD274" s="27"/>
      <c r="AE274" s="29" t="str">
        <f aca="false">IF(OR(G274="",G274="なし"),"",IF(W274="経理区分別",BD274+BE274,""))</f>
        <v/>
      </c>
      <c r="AF274" s="27"/>
      <c r="AG274" s="26"/>
      <c r="AH274" s="26"/>
      <c r="AI274" s="30"/>
      <c r="AJ274" s="31"/>
      <c r="AK274" s="31"/>
      <c r="AL274" s="31"/>
      <c r="AM274" s="31"/>
      <c r="AN274" s="31"/>
      <c r="AO274" s="31"/>
      <c r="AP274" s="31"/>
      <c r="AQ274" s="31"/>
      <c r="AR274" s="31"/>
      <c r="AS274" s="31"/>
      <c r="AT274" s="31"/>
      <c r="AU274" s="31" t="n">
        <f aca="false">IF($G274="",AJ274,L274)</f>
        <v>0</v>
      </c>
      <c r="AV274" s="31" t="n">
        <f aca="false">IF($G274="",AK274,M274)</f>
        <v>0</v>
      </c>
      <c r="AW274" s="31" t="n">
        <f aca="false">IF($G274="",AL274,N274)</f>
        <v>0</v>
      </c>
      <c r="AX274" s="31" t="n">
        <f aca="false">IF($G274="",AM274,O274)</f>
        <v>0</v>
      </c>
      <c r="AY274" s="31" t="n">
        <f aca="false">IF($G274="",AN274,P274)</f>
        <v>0</v>
      </c>
      <c r="AZ274" s="31" t="n">
        <f aca="false">IF($G274="",AO274,Q274)</f>
        <v>0</v>
      </c>
      <c r="BA274" s="31" t="n">
        <f aca="false">IF($G274="",AP274,R274)</f>
        <v>0</v>
      </c>
      <c r="BB274" s="31" t="n">
        <f aca="false">IF($G274="",AQ274,S274)</f>
        <v>0</v>
      </c>
      <c r="BC274" s="31" t="n">
        <f aca="false">IF($G274="",AR274,T274)</f>
        <v>0</v>
      </c>
      <c r="BD274" s="31" t="n">
        <f aca="false">IF($G274="",AS274,U274)</f>
        <v>0</v>
      </c>
      <c r="BE274" s="31" t="n">
        <f aca="false">IF($G274="",AT274,V274)</f>
        <v>0</v>
      </c>
      <c r="BF274" s="31" t="n">
        <f aca="false">ROUNDDOWN(I274*設定!$B$10/1000,0)+ROUNDDOWN(I274*設定!$B$11/1000,0)</f>
        <v>0</v>
      </c>
      <c r="BG274" s="31" t="n">
        <f aca="false">ROUNDDOWN(I274*設定!$C$10/1000,0)+ROUNDDOWN(I274*設定!$C$11/1000,0)+ROUNDDOWN(I274*設定!$C$12/1000,0)</f>
        <v>0</v>
      </c>
      <c r="BH274" s="31" t="n">
        <f aca="false">ROUNDDOWN(J274*設定!$B$13/1000,0)</f>
        <v>0</v>
      </c>
      <c r="BI274" s="31" t="n">
        <f aca="false">ROUNDDOWN(J274*設定!$C$13/1000,0)</f>
        <v>0</v>
      </c>
      <c r="BJ274" s="31" t="n">
        <f aca="false">ROUNDDOWN(K274*設定!$B$14/1000,0)</f>
        <v>0</v>
      </c>
      <c r="BK274" s="31" t="n">
        <f aca="false">ROUNDDOWN(K274*設定!$C$14/1000,0)</f>
        <v>0</v>
      </c>
      <c r="BL274" s="31" t="n">
        <f aca="false">ROUNDDOWN(J274*設定!$B$15/1000,0)</f>
        <v>0</v>
      </c>
      <c r="BM274" s="31" t="n">
        <f aca="false">ROUNDDOWN(J274*設定!$C$15/1000,0)</f>
        <v>0</v>
      </c>
      <c r="BN274" s="31" t="n">
        <f aca="false">L274+M274</f>
        <v>0</v>
      </c>
      <c r="BO274" s="31" t="n">
        <f aca="false">N274+O274+P274</f>
        <v>0</v>
      </c>
      <c r="BP274" s="31" t="n">
        <f aca="false">Q274</f>
        <v>0</v>
      </c>
      <c r="BQ274" s="31" t="n">
        <f aca="false">R274</f>
        <v>0</v>
      </c>
      <c r="BR274" s="31" t="n">
        <f aca="false">S274</f>
        <v>0</v>
      </c>
      <c r="BS274" s="31" t="n">
        <f aca="false">T274</f>
        <v>0</v>
      </c>
      <c r="BT274" s="31" t="n">
        <f aca="false">U274</f>
        <v>0</v>
      </c>
      <c r="BU274" s="31" t="n">
        <f aca="false">V274</f>
        <v>0</v>
      </c>
      <c r="BV274" s="32" t="n">
        <f aca="false">IF(BF274=0,IF(BN274=0,0,1),(BN274-BF274)/BF274)</f>
        <v>0</v>
      </c>
      <c r="BW274" s="32" t="n">
        <f aca="false">IF(BG274=0,IF(BO274=0,0,1),(BO274-BG274)/BG274)</f>
        <v>0</v>
      </c>
      <c r="BX274" s="32" t="n">
        <f aca="false">IF(BH274=0,IF(BP274=0,0,1),(BP274-BH274)/BH274)</f>
        <v>0</v>
      </c>
      <c r="BY274" s="32" t="n">
        <f aca="false">IF(BI274=0,IF(BQ274=0,0,1),(BQ274-BI274)/BI274)</f>
        <v>0</v>
      </c>
      <c r="BZ274" s="32" t="n">
        <f aca="false">IF(BJ274=0,IF(BR274=0,0,1),(BR274-BJ274)/BJ274)</f>
        <v>0</v>
      </c>
      <c r="CA274" s="32" t="n">
        <f aca="false">IF(BK274=0,IF(BS274=0,0,1),(BS274-BK274)/BK274)</f>
        <v>0</v>
      </c>
      <c r="CB274" s="32" t="n">
        <f aca="false">IF(BL274=0,IF(BT274=0,0,1),(BT274-BL274)/BL274)</f>
        <v>0</v>
      </c>
      <c r="CC274" s="32" t="n">
        <f aca="false">IF(BM274=0,IF(BU274=0,0,1),(BU274-BM274)/BM274)</f>
        <v>0</v>
      </c>
      <c r="CD274" s="32" t="n">
        <f aca="false">MAX(MAX(BV274:CC274),-MIN(BV274:CC274))</f>
        <v>-0</v>
      </c>
      <c r="CE274" s="31" t="n">
        <f aca="false">IF(CI274="","",SUMIFS($CF$7:$CF$696,$A$7:$A$696,CI274,$B$7:$B$696,B274))</f>
        <v>0</v>
      </c>
      <c r="CF274" s="31" t="n">
        <f aca="false">SUM(AU274:BE274)</f>
        <v>0</v>
      </c>
      <c r="CG274" s="36" t="str">
        <f aca="false">A274&amp;"|"&amp;B274</f>
        <v>2026-08 月例|地方公共団体
情報システム機構</v>
      </c>
      <c r="CH274" s="34" t="str">
        <f aca="false">IFERROR(INDEX(設定!$D$61:$D$106,MATCH(B274,設定!$B$61:$B$106,0)),"Y")</f>
        <v>Y</v>
      </c>
      <c r="CI274" s="34" t="str">
        <f aca="false">IFERROR(INDEX(設定!$D$20:$D$34,MATCH(A274,設定!$A$20:$A$34,0))&amp;"","")</f>
        <v>2026-07 月例</v>
      </c>
    </row>
    <row r="275" customFormat="false" ht="15" hidden="true" customHeight="false" outlineLevel="0" collapsed="false">
      <c r="A275" s="22" t="s">
        <v>212</v>
      </c>
      <c r="B275" s="23" t="s">
        <v>199</v>
      </c>
      <c r="C275" s="10" t="str">
        <f aca="false">IF(G275="","未受領",IF(G275="なし","報告なし",IF(AH275="○","起票済",IF(OR(AG275="○",F275="一致",F275="入金不要"),"入金確認済","受領済"))))</f>
        <v>入金確認済</v>
      </c>
      <c r="D275" s="10" t="str">
        <f aca="false">IF(OR(G275="",G275="なし"),"―",IF(CH275="N","対象外",IF(AND(I275="",J275="",K275=""),"標報未入力",IF(CD275&gt;=設定!$B$4,"要確認","問題なし"))))</f>
        <v>標報未入力</v>
      </c>
      <c r="E275" s="24" t="str">
        <f aca="false">IF(OR(G275="",G275="なし",CE275="",CF275=0),"―",IF(CF275=CE275,"前月同額",IF(CE275=0,"―",IF(ABS(CF275/CE275-1)&gt;=設定!$B$5,"変動大 "&amp;TEXT(CF275/CE275-1,"+0%;-0%"),"〇"))))</f>
        <v>前月同額</v>
      </c>
      <c r="F275" s="10" t="str">
        <f aca="false">IF(OR(G275="",G275="なし"),"―",IF(CF275=0,"入金不要",IF(COUNT(Z275,AB275,AD275,AF275)=0,IF(AG275="○","手動確認","未入金"),IF(AND(N(Z275)=Y275,IF(AA275="",TRUE(),N(AB275)=AA275),IF(AC275="",TRUE(),N(AD275)=AC275),IF(AE275="",TRUE(),N(AF275)=AE275)),"一致","不一致"))))</f>
        <v>手動確認</v>
      </c>
      <c r="G275" s="25" t="s">
        <v>159</v>
      </c>
      <c r="H275" s="26"/>
      <c r="I275" s="27"/>
      <c r="J275" s="27"/>
      <c r="K275" s="27"/>
      <c r="L275" s="27" t="n">
        <v>118950</v>
      </c>
      <c r="M275" s="27" t="n">
        <v>9750</v>
      </c>
      <c r="N275" s="27" t="n">
        <v>118950</v>
      </c>
      <c r="O275" s="27" t="n">
        <v>9750</v>
      </c>
      <c r="P275" s="27" t="n">
        <v>112</v>
      </c>
      <c r="Q275" s="27" t="n">
        <v>84531</v>
      </c>
      <c r="R275" s="27" t="n">
        <v>84613</v>
      </c>
      <c r="S275" s="27" t="n">
        <v>12877</v>
      </c>
      <c r="T275" s="27" t="n">
        <v>12877</v>
      </c>
      <c r="U275" s="27" t="n">
        <v>1874</v>
      </c>
      <c r="V275" s="27" t="n">
        <v>1874</v>
      </c>
      <c r="W275" s="10" t="str">
        <f aca="false">IFERROR(INDEX(設定!$E$61:$E$106,MATCH(B275,設定!$B$61:$B$106,0)),"合算")</f>
        <v>合算</v>
      </c>
      <c r="X275" s="28"/>
      <c r="Y275" s="29" t="n">
        <f aca="false">IF(OR(G275="",G275="なし"),"",IF(W275="合算",CF275,IF(W275="掛金・負担金別",(AU275+AV275+AZ275+BB275+BD275),SUM(AU275:AY275))))</f>
        <v>456158</v>
      </c>
      <c r="Z275" s="27"/>
      <c r="AA275" s="29" t="str">
        <f aca="false">IF(OR(G275="",G275="なし"),"",IF(W275="掛金・負担金別",(AW275+AX275+AY275+BA275+BC275+BE275),IF(W275="経理区分別",AZ275+BA275,"")))</f>
        <v/>
      </c>
      <c r="AB275" s="27"/>
      <c r="AC275" s="29" t="str">
        <f aca="false">IF(OR(G275="",G275="なし"),"",IF(W275="経理区分別",BB275+BC275,""))</f>
        <v/>
      </c>
      <c r="AD275" s="27"/>
      <c r="AE275" s="29" t="str">
        <f aca="false">IF(OR(G275="",G275="なし"),"",IF(W275="経理区分別",BD275+BE275,""))</f>
        <v/>
      </c>
      <c r="AF275" s="27"/>
      <c r="AG275" s="26" t="s">
        <v>160</v>
      </c>
      <c r="AH275" s="26"/>
      <c r="AI275" s="30"/>
      <c r="AJ275" s="31"/>
      <c r="AK275" s="31"/>
      <c r="AL275" s="31"/>
      <c r="AM275" s="31"/>
      <c r="AN275" s="31"/>
      <c r="AO275" s="31"/>
      <c r="AP275" s="31"/>
      <c r="AQ275" s="31"/>
      <c r="AR275" s="31"/>
      <c r="AS275" s="31"/>
      <c r="AT275" s="31"/>
      <c r="AU275" s="31" t="n">
        <f aca="false">IF($G275="",AJ275,L275)</f>
        <v>118950</v>
      </c>
      <c r="AV275" s="31" t="n">
        <f aca="false">IF($G275="",AK275,M275)</f>
        <v>9750</v>
      </c>
      <c r="AW275" s="31" t="n">
        <f aca="false">IF($G275="",AL275,N275)</f>
        <v>118950</v>
      </c>
      <c r="AX275" s="31" t="n">
        <f aca="false">IF($G275="",AM275,O275)</f>
        <v>9750</v>
      </c>
      <c r="AY275" s="31" t="n">
        <f aca="false">IF($G275="",AN275,P275)</f>
        <v>112</v>
      </c>
      <c r="AZ275" s="31" t="n">
        <f aca="false">IF($G275="",AO275,Q275)</f>
        <v>84531</v>
      </c>
      <c r="BA275" s="31" t="n">
        <f aca="false">IF($G275="",AP275,R275)</f>
        <v>84613</v>
      </c>
      <c r="BB275" s="31" t="n">
        <f aca="false">IF($G275="",AQ275,S275)</f>
        <v>12877</v>
      </c>
      <c r="BC275" s="31" t="n">
        <f aca="false">IF($G275="",AR275,T275)</f>
        <v>12877</v>
      </c>
      <c r="BD275" s="31" t="n">
        <f aca="false">IF($G275="",AS275,U275)</f>
        <v>1874</v>
      </c>
      <c r="BE275" s="31" t="n">
        <f aca="false">IF($G275="",AT275,V275)</f>
        <v>1874</v>
      </c>
      <c r="BF275" s="31" t="n">
        <f aca="false">ROUNDDOWN(I275*設定!$B$10/1000,0)+ROUNDDOWN(I275*設定!$B$11/1000,0)</f>
        <v>0</v>
      </c>
      <c r="BG275" s="31" t="n">
        <f aca="false">ROUNDDOWN(I275*設定!$C$10/1000,0)+ROUNDDOWN(I275*設定!$C$11/1000,0)+ROUNDDOWN(I275*設定!$C$12/1000,0)</f>
        <v>0</v>
      </c>
      <c r="BH275" s="31" t="n">
        <f aca="false">ROUNDDOWN(J275*設定!$B$13/1000,0)</f>
        <v>0</v>
      </c>
      <c r="BI275" s="31" t="n">
        <f aca="false">ROUNDDOWN(J275*設定!$C$13/1000,0)</f>
        <v>0</v>
      </c>
      <c r="BJ275" s="31" t="n">
        <f aca="false">ROUNDDOWN(K275*設定!$B$14/1000,0)</f>
        <v>0</v>
      </c>
      <c r="BK275" s="31" t="n">
        <f aca="false">ROUNDDOWN(K275*設定!$C$14/1000,0)</f>
        <v>0</v>
      </c>
      <c r="BL275" s="31" t="n">
        <f aca="false">ROUNDDOWN(J275*設定!$B$15/1000,0)</f>
        <v>0</v>
      </c>
      <c r="BM275" s="31" t="n">
        <f aca="false">ROUNDDOWN(J275*設定!$C$15/1000,0)</f>
        <v>0</v>
      </c>
      <c r="BN275" s="31" t="n">
        <f aca="false">L275+M275</f>
        <v>128700</v>
      </c>
      <c r="BO275" s="31" t="n">
        <f aca="false">N275+O275+P275</f>
        <v>128812</v>
      </c>
      <c r="BP275" s="31" t="n">
        <f aca="false">Q275</f>
        <v>84531</v>
      </c>
      <c r="BQ275" s="31" t="n">
        <f aca="false">R275</f>
        <v>84613</v>
      </c>
      <c r="BR275" s="31" t="n">
        <f aca="false">S275</f>
        <v>12877</v>
      </c>
      <c r="BS275" s="31" t="n">
        <f aca="false">T275</f>
        <v>12877</v>
      </c>
      <c r="BT275" s="31" t="n">
        <f aca="false">U275</f>
        <v>1874</v>
      </c>
      <c r="BU275" s="31" t="n">
        <f aca="false">V275</f>
        <v>1874</v>
      </c>
      <c r="BV275" s="32" t="n">
        <f aca="false">IF(BF275=0,IF(BN275=0,0,1),(BN275-BF275)/BF275)</f>
        <v>1</v>
      </c>
      <c r="BW275" s="32" t="n">
        <f aca="false">IF(BG275=0,IF(BO275=0,0,1),(BO275-BG275)/BG275)</f>
        <v>1</v>
      </c>
      <c r="BX275" s="32" t="n">
        <f aca="false">IF(BH275=0,IF(BP275=0,0,1),(BP275-BH275)/BH275)</f>
        <v>1</v>
      </c>
      <c r="BY275" s="32" t="n">
        <f aca="false">IF(BI275=0,IF(BQ275=0,0,1),(BQ275-BI275)/BI275)</f>
        <v>1</v>
      </c>
      <c r="BZ275" s="32" t="n">
        <f aca="false">IF(BJ275=0,IF(BR275=0,0,1),(BR275-BJ275)/BJ275)</f>
        <v>1</v>
      </c>
      <c r="CA275" s="32" t="n">
        <f aca="false">IF(BK275=0,IF(BS275=0,0,1),(BS275-BK275)/BK275)</f>
        <v>1</v>
      </c>
      <c r="CB275" s="32" t="n">
        <f aca="false">IF(BL275=0,IF(BT275=0,0,1),(BT275-BL275)/BL275)</f>
        <v>1</v>
      </c>
      <c r="CC275" s="32" t="n">
        <f aca="false">IF(BM275=0,IF(BU275=0,0,1),(BU275-BM275)/BM275)</f>
        <v>1</v>
      </c>
      <c r="CD275" s="32" t="n">
        <f aca="false">MAX(MAX(BV275:CC275),-MIN(BV275:CC275))</f>
        <v>1</v>
      </c>
      <c r="CE275" s="31" t="n">
        <f aca="false">IF(CI275="","",SUMIFS($CF$7:$CF$696,$A$7:$A$696,CI275,$B$7:$B$696,B275))</f>
        <v>456158</v>
      </c>
      <c r="CF275" s="31" t="n">
        <f aca="false">SUM(AU275:BE275)</f>
        <v>456158</v>
      </c>
      <c r="CG275" s="33" t="str">
        <f aca="false">A275&amp;"|"&amp;B275</f>
        <v>2026-08 月例|全国市長会</v>
      </c>
      <c r="CH275" s="34" t="str">
        <f aca="false">IFERROR(INDEX(設定!$D$61:$D$106,MATCH(B275,設定!$B$61:$B$106,0)),"Y")</f>
        <v>Y</v>
      </c>
      <c r="CI275" s="34" t="str">
        <f aca="false">IFERROR(INDEX(設定!$D$20:$D$34,MATCH(A275,設定!$A$20:$A$34,0))&amp;"","")</f>
        <v>2026-07 月例</v>
      </c>
    </row>
    <row r="276" customFormat="false" ht="15" hidden="true" customHeight="false" outlineLevel="0" collapsed="false">
      <c r="A276" s="22" t="s">
        <v>212</v>
      </c>
      <c r="B276" s="23" t="s">
        <v>200</v>
      </c>
      <c r="C276" s="10" t="str">
        <f aca="false">IF(G276="","未受領",IF(G276="なし","報告なし",IF(AH276="○","起票済",IF(OR(AG276="○",F276="一致",F276="入金不要"),"入金確認済","受領済"))))</f>
        <v>入金確認済</v>
      </c>
      <c r="D276" s="10" t="str">
        <f aca="false">IF(OR(G276="",G276="なし"),"―",IF(CH276="N","対象外",IF(AND(I276="",J276="",K276=""),"標報未入力",IF(CD276&gt;=設定!$B$4,"要確認","問題なし"))))</f>
        <v>標報未入力</v>
      </c>
      <c r="E276" s="24" t="str">
        <f aca="false">IF(OR(G276="",G276="なし",CE276="",CF276=0),"―",IF(CF276=CE276,"前月同額",IF(CE276=0,"―",IF(ABS(CF276/CE276-1)&gt;=設定!$B$5,"変動大 "&amp;TEXT(CF276/CE276-1,"+0%;-0%"),"〇"))))</f>
        <v>前月同額</v>
      </c>
      <c r="F276" s="10" t="str">
        <f aca="false">IF(OR(G276="",G276="なし"),"―",IF(CF276=0,"入金不要",IF(COUNT(Z276,AB276,AD276,AF276)=0,IF(AG276="○","手動確認","未入金"),IF(AND(N(Z276)=Y276,IF(AA276="",TRUE(),N(AB276)=AA276),IF(AC276="",TRUE(),N(AD276)=AC276),IF(AE276="",TRUE(),N(AF276)=AE276)),"一致","不一致"))))</f>
        <v>手動確認</v>
      </c>
      <c r="G276" s="25" t="s">
        <v>159</v>
      </c>
      <c r="H276" s="26"/>
      <c r="I276" s="27"/>
      <c r="J276" s="27"/>
      <c r="K276" s="27"/>
      <c r="L276" s="27" t="n">
        <v>145485</v>
      </c>
      <c r="M276" s="27" t="n">
        <v>11925</v>
      </c>
      <c r="N276" s="27" t="n">
        <v>145485</v>
      </c>
      <c r="O276" s="27" t="n">
        <v>11925</v>
      </c>
      <c r="P276" s="27" t="n">
        <v>138</v>
      </c>
      <c r="Q276" s="27"/>
      <c r="R276" s="27"/>
      <c r="S276" s="27"/>
      <c r="T276" s="27"/>
      <c r="U276" s="27"/>
      <c r="V276" s="27"/>
      <c r="W276" s="10" t="str">
        <f aca="false">IFERROR(INDEX(設定!$E$61:$E$106,MATCH(B276,設定!$B$61:$B$106,0)),"合算")</f>
        <v>合算</v>
      </c>
      <c r="X276" s="28"/>
      <c r="Y276" s="29" t="n">
        <f aca="false">IF(OR(G276="",G276="なし"),"",IF(W276="合算",CF276,IF(W276="掛金・負担金別",(AU276+AV276+AZ276+BB276+BD276),SUM(AU276:AY276))))</f>
        <v>314958</v>
      </c>
      <c r="Z276" s="27"/>
      <c r="AA276" s="29" t="str">
        <f aca="false">IF(OR(G276="",G276="なし"),"",IF(W276="掛金・負担金別",(AW276+AX276+AY276+BA276+BC276+BE276),IF(W276="経理区分別",AZ276+BA276,"")))</f>
        <v/>
      </c>
      <c r="AB276" s="27"/>
      <c r="AC276" s="29" t="str">
        <f aca="false">IF(OR(G276="",G276="なし"),"",IF(W276="経理区分別",BB276+BC276,""))</f>
        <v/>
      </c>
      <c r="AD276" s="27"/>
      <c r="AE276" s="29" t="str">
        <f aca="false">IF(OR(G276="",G276="なし"),"",IF(W276="経理区分別",BD276+BE276,""))</f>
        <v/>
      </c>
      <c r="AF276" s="27"/>
      <c r="AG276" s="26" t="s">
        <v>160</v>
      </c>
      <c r="AH276" s="26"/>
      <c r="AI276" s="30"/>
      <c r="AJ276" s="31"/>
      <c r="AK276" s="31"/>
      <c r="AL276" s="31"/>
      <c r="AM276" s="31"/>
      <c r="AN276" s="31"/>
      <c r="AO276" s="31"/>
      <c r="AP276" s="31"/>
      <c r="AQ276" s="31"/>
      <c r="AR276" s="31"/>
      <c r="AS276" s="31"/>
      <c r="AT276" s="31"/>
      <c r="AU276" s="31" t="n">
        <f aca="false">IF($G276="",AJ276,L276)</f>
        <v>145485</v>
      </c>
      <c r="AV276" s="31" t="n">
        <f aca="false">IF($G276="",AK276,M276)</f>
        <v>11925</v>
      </c>
      <c r="AW276" s="31" t="n">
        <f aca="false">IF($G276="",AL276,N276)</f>
        <v>145485</v>
      </c>
      <c r="AX276" s="31" t="n">
        <f aca="false">IF($G276="",AM276,O276)</f>
        <v>11925</v>
      </c>
      <c r="AY276" s="31" t="n">
        <f aca="false">IF($G276="",AN276,P276)</f>
        <v>138</v>
      </c>
      <c r="AZ276" s="31" t="n">
        <f aca="false">IF($G276="",AO276,Q276)</f>
        <v>0</v>
      </c>
      <c r="BA276" s="31" t="n">
        <f aca="false">IF($G276="",AP276,R276)</f>
        <v>0</v>
      </c>
      <c r="BB276" s="31" t="n">
        <f aca="false">IF($G276="",AQ276,S276)</f>
        <v>0</v>
      </c>
      <c r="BC276" s="31" t="n">
        <f aca="false">IF($G276="",AR276,T276)</f>
        <v>0</v>
      </c>
      <c r="BD276" s="31" t="n">
        <f aca="false">IF($G276="",AS276,U276)</f>
        <v>0</v>
      </c>
      <c r="BE276" s="31" t="n">
        <f aca="false">IF($G276="",AT276,V276)</f>
        <v>0</v>
      </c>
      <c r="BF276" s="31" t="n">
        <f aca="false">ROUNDDOWN(I276*設定!$B$10/1000,0)+ROUNDDOWN(I276*設定!$B$11/1000,0)</f>
        <v>0</v>
      </c>
      <c r="BG276" s="31" t="n">
        <f aca="false">ROUNDDOWN(I276*設定!$C$10/1000,0)+ROUNDDOWN(I276*設定!$C$11/1000,0)+ROUNDDOWN(I276*設定!$C$12/1000,0)</f>
        <v>0</v>
      </c>
      <c r="BH276" s="31" t="n">
        <f aca="false">ROUNDDOWN(J276*設定!$B$13/1000,0)</f>
        <v>0</v>
      </c>
      <c r="BI276" s="31" t="n">
        <f aca="false">ROUNDDOWN(J276*設定!$C$13/1000,0)</f>
        <v>0</v>
      </c>
      <c r="BJ276" s="31" t="n">
        <f aca="false">ROUNDDOWN(K276*設定!$B$14/1000,0)</f>
        <v>0</v>
      </c>
      <c r="BK276" s="31" t="n">
        <f aca="false">ROUNDDOWN(K276*設定!$C$14/1000,0)</f>
        <v>0</v>
      </c>
      <c r="BL276" s="31" t="n">
        <f aca="false">ROUNDDOWN(J276*設定!$B$15/1000,0)</f>
        <v>0</v>
      </c>
      <c r="BM276" s="31" t="n">
        <f aca="false">ROUNDDOWN(J276*設定!$C$15/1000,0)</f>
        <v>0</v>
      </c>
      <c r="BN276" s="31" t="n">
        <f aca="false">L276+M276</f>
        <v>157410</v>
      </c>
      <c r="BO276" s="31" t="n">
        <f aca="false">N276+O276+P276</f>
        <v>157548</v>
      </c>
      <c r="BP276" s="31" t="n">
        <f aca="false">Q276</f>
        <v>0</v>
      </c>
      <c r="BQ276" s="31" t="n">
        <f aca="false">R276</f>
        <v>0</v>
      </c>
      <c r="BR276" s="31" t="n">
        <f aca="false">S276</f>
        <v>0</v>
      </c>
      <c r="BS276" s="31" t="n">
        <f aca="false">T276</f>
        <v>0</v>
      </c>
      <c r="BT276" s="31" t="n">
        <f aca="false">U276</f>
        <v>0</v>
      </c>
      <c r="BU276" s="31" t="n">
        <f aca="false">V276</f>
        <v>0</v>
      </c>
      <c r="BV276" s="32" t="n">
        <f aca="false">IF(BF276=0,IF(BN276=0,0,1),(BN276-BF276)/BF276)</f>
        <v>1</v>
      </c>
      <c r="BW276" s="32" t="n">
        <f aca="false">IF(BG276=0,IF(BO276=0,0,1),(BO276-BG276)/BG276)</f>
        <v>1</v>
      </c>
      <c r="BX276" s="32" t="n">
        <f aca="false">IF(BH276=0,IF(BP276=0,0,1),(BP276-BH276)/BH276)</f>
        <v>0</v>
      </c>
      <c r="BY276" s="32" t="n">
        <f aca="false">IF(BI276=0,IF(BQ276=0,0,1),(BQ276-BI276)/BI276)</f>
        <v>0</v>
      </c>
      <c r="BZ276" s="32" t="n">
        <f aca="false">IF(BJ276=0,IF(BR276=0,0,1),(BR276-BJ276)/BJ276)</f>
        <v>0</v>
      </c>
      <c r="CA276" s="32" t="n">
        <f aca="false">IF(BK276=0,IF(BS276=0,0,1),(BS276-BK276)/BK276)</f>
        <v>0</v>
      </c>
      <c r="CB276" s="32" t="n">
        <f aca="false">IF(BL276=0,IF(BT276=0,0,1),(BT276-BL276)/BL276)</f>
        <v>0</v>
      </c>
      <c r="CC276" s="32" t="n">
        <f aca="false">IF(BM276=0,IF(BU276=0,0,1),(BU276-BM276)/BM276)</f>
        <v>0</v>
      </c>
      <c r="CD276" s="32" t="n">
        <f aca="false">MAX(MAX(BV276:CC276),-MIN(BV276:CC276))</f>
        <v>1</v>
      </c>
      <c r="CE276" s="31" t="n">
        <f aca="false">IF(CI276="","",SUMIFS($CF$7:$CF$696,$A$7:$A$696,CI276,$B$7:$B$696,B276))</f>
        <v>314958</v>
      </c>
      <c r="CF276" s="31" t="n">
        <f aca="false">SUM(AU276:BE276)</f>
        <v>314958</v>
      </c>
      <c r="CG276" s="33" t="str">
        <f aca="false">A276&amp;"|"&amp;B276</f>
        <v>2026-08 月例|高速交通（株）</v>
      </c>
      <c r="CH276" s="34" t="str">
        <f aca="false">IFERROR(INDEX(設定!$D$61:$D$106,MATCH(B276,設定!$B$61:$B$106,0)),"Y")</f>
        <v>Y</v>
      </c>
      <c r="CI276" s="34" t="str">
        <f aca="false">IFERROR(INDEX(設定!$D$20:$D$34,MATCH(A276,設定!$A$20:$A$34,0))&amp;"","")</f>
        <v>2026-07 月例</v>
      </c>
    </row>
    <row r="277" customFormat="false" ht="15" hidden="true" customHeight="false" outlineLevel="0" collapsed="false">
      <c r="A277" s="22" t="s">
        <v>212</v>
      </c>
      <c r="B277" s="23" t="s">
        <v>201</v>
      </c>
      <c r="C277" s="10" t="str">
        <f aca="false">IF(G277="","未受領",IF(G277="なし","報告なし",IF(AH277="○","起票済",IF(OR(AG277="○",F277="一致",F277="入金不要"),"入金確認済","受領済"))))</f>
        <v>入金確認済</v>
      </c>
      <c r="D277" s="10" t="str">
        <f aca="false">IF(OR(G277="",G277="なし"),"―",IF(CH277="N","対象外",IF(AND(I277="",J277="",K277=""),"標報未入力",IF(CD277&gt;=設定!$B$4,"要確認","問題なし"))))</f>
        <v>標報未入力</v>
      </c>
      <c r="E277" s="24" t="str">
        <f aca="false">IF(OR(G277="",G277="なし",CE277="",CF277=0),"―",IF(CF277=CE277,"前月同額",IF(CE277=0,"―",IF(ABS(CF277/CE277-1)&gt;=設定!$B$5,"変動大 "&amp;TEXT(CF277/CE277-1,"+0%;-0%"),"〇"))))</f>
        <v>前月同額</v>
      </c>
      <c r="F277" s="10" t="str">
        <f aca="false">IF(OR(G277="",G277="なし"),"―",IF(CF277=0,"入金不要",IF(COUNT(Z277,AB277,AD277,AF277)=0,IF(AG277="○","手動確認","未入金"),IF(AND(N(Z277)=Y277,IF(AA277="",TRUE(),N(AB277)=AA277),IF(AC277="",TRUE(),N(AD277)=AC277),IF(AE277="",TRUE(),N(AF277)=AE277)),"一致","不一致"))))</f>
        <v>手動確認</v>
      </c>
      <c r="G277" s="25" t="s">
        <v>159</v>
      </c>
      <c r="H277" s="26"/>
      <c r="I277" s="27"/>
      <c r="J277" s="27"/>
      <c r="K277" s="27"/>
      <c r="L277" s="27" t="n">
        <v>53985</v>
      </c>
      <c r="M277" s="27" t="n">
        <v>4425</v>
      </c>
      <c r="N277" s="27" t="n">
        <v>53985</v>
      </c>
      <c r="O277" s="27" t="n">
        <v>4425</v>
      </c>
      <c r="P277" s="27" t="n">
        <v>51</v>
      </c>
      <c r="Q277" s="27"/>
      <c r="R277" s="27"/>
      <c r="S277" s="27"/>
      <c r="T277" s="27"/>
      <c r="U277" s="27"/>
      <c r="V277" s="27"/>
      <c r="W277" s="10" t="str">
        <f aca="false">IFERROR(INDEX(設定!$E$61:$E$106,MATCH(B277,設定!$B$61:$B$106,0)),"合算")</f>
        <v>合算</v>
      </c>
      <c r="X277" s="28"/>
      <c r="Y277" s="29" t="n">
        <f aca="false">IF(OR(G277="",G277="なし"),"",IF(W277="合算",CF277,IF(W277="掛金・負担金別",(AU277+AV277+AZ277+BB277+BD277),SUM(AU277:AY277))))</f>
        <v>116871</v>
      </c>
      <c r="Z277" s="27"/>
      <c r="AA277" s="29" t="str">
        <f aca="false">IF(OR(G277="",G277="なし"),"",IF(W277="掛金・負担金別",(AW277+AX277+AY277+BA277+BC277+BE277),IF(W277="経理区分別",AZ277+BA277,"")))</f>
        <v/>
      </c>
      <c r="AB277" s="27"/>
      <c r="AC277" s="29" t="str">
        <f aca="false">IF(OR(G277="",G277="なし"),"",IF(W277="経理区分別",BB277+BC277,""))</f>
        <v/>
      </c>
      <c r="AD277" s="27"/>
      <c r="AE277" s="29" t="str">
        <f aca="false">IF(OR(G277="",G277="なし"),"",IF(W277="経理区分別",BD277+BE277,""))</f>
        <v/>
      </c>
      <c r="AF277" s="27"/>
      <c r="AG277" s="26" t="s">
        <v>160</v>
      </c>
      <c r="AH277" s="26"/>
      <c r="AI277" s="30"/>
      <c r="AJ277" s="31"/>
      <c r="AK277" s="31"/>
      <c r="AL277" s="31"/>
      <c r="AM277" s="31"/>
      <c r="AN277" s="31"/>
      <c r="AO277" s="31"/>
      <c r="AP277" s="31"/>
      <c r="AQ277" s="31"/>
      <c r="AR277" s="31"/>
      <c r="AS277" s="31"/>
      <c r="AT277" s="31"/>
      <c r="AU277" s="31" t="n">
        <f aca="false">IF($G277="",AJ277,L277)</f>
        <v>53985</v>
      </c>
      <c r="AV277" s="31" t="n">
        <f aca="false">IF($G277="",AK277,M277)</f>
        <v>4425</v>
      </c>
      <c r="AW277" s="31" t="n">
        <f aca="false">IF($G277="",AL277,N277)</f>
        <v>53985</v>
      </c>
      <c r="AX277" s="31" t="n">
        <f aca="false">IF($G277="",AM277,O277)</f>
        <v>4425</v>
      </c>
      <c r="AY277" s="31" t="n">
        <f aca="false">IF($G277="",AN277,P277)</f>
        <v>51</v>
      </c>
      <c r="AZ277" s="31" t="n">
        <f aca="false">IF($G277="",AO277,Q277)</f>
        <v>0</v>
      </c>
      <c r="BA277" s="31" t="n">
        <f aca="false">IF($G277="",AP277,R277)</f>
        <v>0</v>
      </c>
      <c r="BB277" s="31" t="n">
        <f aca="false">IF($G277="",AQ277,S277)</f>
        <v>0</v>
      </c>
      <c r="BC277" s="31" t="n">
        <f aca="false">IF($G277="",AR277,T277)</f>
        <v>0</v>
      </c>
      <c r="BD277" s="31" t="n">
        <f aca="false">IF($G277="",AS277,U277)</f>
        <v>0</v>
      </c>
      <c r="BE277" s="31" t="n">
        <f aca="false">IF($G277="",AT277,V277)</f>
        <v>0</v>
      </c>
      <c r="BF277" s="31" t="n">
        <f aca="false">ROUNDDOWN(I277*設定!$B$10/1000,0)+ROUNDDOWN(I277*設定!$B$11/1000,0)</f>
        <v>0</v>
      </c>
      <c r="BG277" s="31" t="n">
        <f aca="false">ROUNDDOWN(I277*設定!$C$10/1000,0)+ROUNDDOWN(I277*設定!$C$11/1000,0)+ROUNDDOWN(I277*設定!$C$12/1000,0)</f>
        <v>0</v>
      </c>
      <c r="BH277" s="31" t="n">
        <f aca="false">ROUNDDOWN(J277*設定!$B$13/1000,0)</f>
        <v>0</v>
      </c>
      <c r="BI277" s="31" t="n">
        <f aca="false">ROUNDDOWN(J277*設定!$C$13/1000,0)</f>
        <v>0</v>
      </c>
      <c r="BJ277" s="31" t="n">
        <f aca="false">ROUNDDOWN(K277*設定!$B$14/1000,0)</f>
        <v>0</v>
      </c>
      <c r="BK277" s="31" t="n">
        <f aca="false">ROUNDDOWN(K277*設定!$C$14/1000,0)</f>
        <v>0</v>
      </c>
      <c r="BL277" s="31" t="n">
        <f aca="false">ROUNDDOWN(J277*設定!$B$15/1000,0)</f>
        <v>0</v>
      </c>
      <c r="BM277" s="31" t="n">
        <f aca="false">ROUNDDOWN(J277*設定!$C$15/1000,0)</f>
        <v>0</v>
      </c>
      <c r="BN277" s="31" t="n">
        <f aca="false">L277+M277</f>
        <v>58410</v>
      </c>
      <c r="BO277" s="31" t="n">
        <f aca="false">N277+O277+P277</f>
        <v>58461</v>
      </c>
      <c r="BP277" s="31" t="n">
        <f aca="false">Q277</f>
        <v>0</v>
      </c>
      <c r="BQ277" s="31" t="n">
        <f aca="false">R277</f>
        <v>0</v>
      </c>
      <c r="BR277" s="31" t="n">
        <f aca="false">S277</f>
        <v>0</v>
      </c>
      <c r="BS277" s="31" t="n">
        <f aca="false">T277</f>
        <v>0</v>
      </c>
      <c r="BT277" s="31" t="n">
        <f aca="false">U277</f>
        <v>0</v>
      </c>
      <c r="BU277" s="31" t="n">
        <f aca="false">V277</f>
        <v>0</v>
      </c>
      <c r="BV277" s="32" t="n">
        <f aca="false">IF(BF277=0,IF(BN277=0,0,1),(BN277-BF277)/BF277)</f>
        <v>1</v>
      </c>
      <c r="BW277" s="32" t="n">
        <f aca="false">IF(BG277=0,IF(BO277=0,0,1),(BO277-BG277)/BG277)</f>
        <v>1</v>
      </c>
      <c r="BX277" s="32" t="n">
        <f aca="false">IF(BH277=0,IF(BP277=0,0,1),(BP277-BH277)/BH277)</f>
        <v>0</v>
      </c>
      <c r="BY277" s="32" t="n">
        <f aca="false">IF(BI277=0,IF(BQ277=0,0,1),(BQ277-BI277)/BI277)</f>
        <v>0</v>
      </c>
      <c r="BZ277" s="32" t="n">
        <f aca="false">IF(BJ277=0,IF(BR277=0,0,1),(BR277-BJ277)/BJ277)</f>
        <v>0</v>
      </c>
      <c r="CA277" s="32" t="n">
        <f aca="false">IF(BK277=0,IF(BS277=0,0,1),(BS277-BK277)/BK277)</f>
        <v>0</v>
      </c>
      <c r="CB277" s="32" t="n">
        <f aca="false">IF(BL277=0,IF(BT277=0,0,1),(BT277-BL277)/BL277)</f>
        <v>0</v>
      </c>
      <c r="CC277" s="32" t="n">
        <f aca="false">IF(BM277=0,IF(BU277=0,0,1),(BU277-BM277)/BM277)</f>
        <v>0</v>
      </c>
      <c r="CD277" s="32" t="n">
        <f aca="false">MAX(MAX(BV277:CC277),-MIN(BV277:CC277))</f>
        <v>1</v>
      </c>
      <c r="CE277" s="31" t="n">
        <f aca="false">IF(CI277="","",SUMIFS($CF$7:$CF$696,$A$7:$A$696,CI277,$B$7:$B$696,B277))</f>
        <v>116871</v>
      </c>
      <c r="CF277" s="31" t="n">
        <f aca="false">SUM(AU277:BE277)</f>
        <v>116871</v>
      </c>
      <c r="CG277" s="33" t="str">
        <f aca="false">A277&amp;"|"&amp;B277</f>
        <v>2026-08 月例|広島駅南口開発（株）</v>
      </c>
      <c r="CH277" s="34" t="str">
        <f aca="false">IFERROR(INDEX(設定!$D$61:$D$106,MATCH(B277,設定!$B$61:$B$106,0)),"Y")</f>
        <v>Y</v>
      </c>
      <c r="CI277" s="34" t="str">
        <f aca="false">IFERROR(INDEX(設定!$D$20:$D$34,MATCH(A277,設定!$A$20:$A$34,0))&amp;"","")</f>
        <v>2026-07 月例</v>
      </c>
    </row>
    <row r="278" customFormat="false" ht="15" hidden="true" customHeight="false" outlineLevel="0" collapsed="false">
      <c r="A278" s="22" t="s">
        <v>212</v>
      </c>
      <c r="B278" s="23" t="s">
        <v>202</v>
      </c>
      <c r="C278" s="10" t="str">
        <f aca="false">IF(G278="","未受領",IF(G278="なし","報告なし",IF(AH278="○","起票済",IF(OR(AG278="○",F278="一致",F278="入金不要"),"入金確認済","受領済"))))</f>
        <v>入金確認済</v>
      </c>
      <c r="D278" s="10" t="str">
        <f aca="false">IF(OR(G278="",G278="なし"),"―",IF(CH278="N","対象外",IF(AND(I278="",J278="",K278=""),"標報未入力",IF(CD278&gt;=設定!$B$4,"要確認","問題なし"))))</f>
        <v>標報未入力</v>
      </c>
      <c r="E278" s="24" t="str">
        <f aca="false">IF(OR(G278="",G278="なし",CE278="",CF278=0),"―",IF(CF278=CE278,"前月同額",IF(CE278=0,"―",IF(ABS(CF278/CE278-1)&gt;=設定!$B$5,"変動大 "&amp;TEXT(CF278/CE278-1,"+0%;-0%"),"〇"))))</f>
        <v>〇</v>
      </c>
      <c r="F278" s="10" t="str">
        <f aca="false">IF(OR(G278="",G278="なし"),"―",IF(CF278=0,"入金不要",IF(COUNT(Z278,AB278,AD278,AF278)=0,IF(AG278="○","手動確認","未入金"),IF(AND(N(Z278)=Y278,IF(AA278="",TRUE(),N(AB278)=AA278),IF(AC278="",TRUE(),N(AD278)=AC278),IF(AE278="",TRUE(),N(AF278)=AE278)),"一致","不一致"))))</f>
        <v>手動確認</v>
      </c>
      <c r="G278" s="25" t="s">
        <v>159</v>
      </c>
      <c r="H278" s="26"/>
      <c r="I278" s="27"/>
      <c r="J278" s="27"/>
      <c r="K278" s="27"/>
      <c r="L278" s="27" t="n">
        <v>29280</v>
      </c>
      <c r="M278" s="27" t="n">
        <v>2400</v>
      </c>
      <c r="N278" s="27" t="n">
        <v>29280</v>
      </c>
      <c r="O278" s="27" t="n">
        <v>2400</v>
      </c>
      <c r="P278" s="27"/>
      <c r="Q278" s="27" t="n">
        <v>16595</v>
      </c>
      <c r="R278" s="27" t="n">
        <v>16611</v>
      </c>
      <c r="S278" s="27" t="n">
        <v>2528</v>
      </c>
      <c r="T278" s="27" t="n">
        <v>2528</v>
      </c>
      <c r="U278" s="27" t="n">
        <v>368</v>
      </c>
      <c r="V278" s="27" t="n">
        <v>368</v>
      </c>
      <c r="W278" s="10" t="str">
        <f aca="false">IFERROR(INDEX(設定!$E$61:$E$106,MATCH(B278,設定!$B$61:$B$106,0)),"合算")</f>
        <v>合算</v>
      </c>
      <c r="X278" s="28"/>
      <c r="Y278" s="29" t="n">
        <f aca="false">IF(OR(G278="",G278="なし"),"",IF(W278="合算",CF278,IF(W278="掛金・負担金別",(AU278+AV278+AZ278+BB278+BD278),SUM(AU278:AY278))))</f>
        <v>102358</v>
      </c>
      <c r="Z278" s="27"/>
      <c r="AA278" s="29" t="str">
        <f aca="false">IF(OR(G278="",G278="なし"),"",IF(W278="掛金・負担金別",(AW278+AX278+AY278+BA278+BC278+BE278),IF(W278="経理区分別",AZ278+BA278,"")))</f>
        <v/>
      </c>
      <c r="AB278" s="27"/>
      <c r="AC278" s="29" t="str">
        <f aca="false">IF(OR(G278="",G278="なし"),"",IF(W278="経理区分別",BB278+BC278,""))</f>
        <v/>
      </c>
      <c r="AD278" s="27"/>
      <c r="AE278" s="29" t="str">
        <f aca="false">IF(OR(G278="",G278="なし"),"",IF(W278="経理区分別",BD278+BE278,""))</f>
        <v/>
      </c>
      <c r="AF278" s="27"/>
      <c r="AG278" s="26" t="s">
        <v>160</v>
      </c>
      <c r="AH278" s="26"/>
      <c r="AI278" s="30"/>
      <c r="AJ278" s="31"/>
      <c r="AK278" s="31"/>
      <c r="AL278" s="31"/>
      <c r="AM278" s="31"/>
      <c r="AN278" s="31"/>
      <c r="AO278" s="31"/>
      <c r="AP278" s="31"/>
      <c r="AQ278" s="31"/>
      <c r="AR278" s="31"/>
      <c r="AS278" s="31"/>
      <c r="AT278" s="31"/>
      <c r="AU278" s="31" t="n">
        <f aca="false">IF($G278="",AJ278,L278)</f>
        <v>29280</v>
      </c>
      <c r="AV278" s="31" t="n">
        <f aca="false">IF($G278="",AK278,M278)</f>
        <v>2400</v>
      </c>
      <c r="AW278" s="31" t="n">
        <f aca="false">IF($G278="",AL278,N278)</f>
        <v>29280</v>
      </c>
      <c r="AX278" s="31" t="n">
        <f aca="false">IF($G278="",AM278,O278)</f>
        <v>2400</v>
      </c>
      <c r="AY278" s="31" t="n">
        <f aca="false">IF($G278="",AN278,P278)</f>
        <v>0</v>
      </c>
      <c r="AZ278" s="31" t="n">
        <f aca="false">IF($G278="",AO278,Q278)</f>
        <v>16595</v>
      </c>
      <c r="BA278" s="31" t="n">
        <f aca="false">IF($G278="",AP278,R278)</f>
        <v>16611</v>
      </c>
      <c r="BB278" s="31" t="n">
        <f aca="false">IF($G278="",AQ278,S278)</f>
        <v>2528</v>
      </c>
      <c r="BC278" s="31" t="n">
        <f aca="false">IF($G278="",AR278,T278)</f>
        <v>2528</v>
      </c>
      <c r="BD278" s="31" t="n">
        <f aca="false">IF($G278="",AS278,U278)</f>
        <v>368</v>
      </c>
      <c r="BE278" s="31" t="n">
        <f aca="false">IF($G278="",AT278,V278)</f>
        <v>368</v>
      </c>
      <c r="BF278" s="31" t="n">
        <f aca="false">ROUNDDOWN(I278*設定!$B$10/1000,0)+ROUNDDOWN(I278*設定!$B$11/1000,0)</f>
        <v>0</v>
      </c>
      <c r="BG278" s="31" t="n">
        <f aca="false">ROUNDDOWN(I278*設定!$C$10/1000,0)+ROUNDDOWN(I278*設定!$C$11/1000,0)+ROUNDDOWN(I278*設定!$C$12/1000,0)</f>
        <v>0</v>
      </c>
      <c r="BH278" s="31" t="n">
        <f aca="false">ROUNDDOWN(J278*設定!$B$13/1000,0)</f>
        <v>0</v>
      </c>
      <c r="BI278" s="31" t="n">
        <f aca="false">ROUNDDOWN(J278*設定!$C$13/1000,0)</f>
        <v>0</v>
      </c>
      <c r="BJ278" s="31" t="n">
        <f aca="false">ROUNDDOWN(K278*設定!$B$14/1000,0)</f>
        <v>0</v>
      </c>
      <c r="BK278" s="31" t="n">
        <f aca="false">ROUNDDOWN(K278*設定!$C$14/1000,0)</f>
        <v>0</v>
      </c>
      <c r="BL278" s="31" t="n">
        <f aca="false">ROUNDDOWN(J278*設定!$B$15/1000,0)</f>
        <v>0</v>
      </c>
      <c r="BM278" s="31" t="n">
        <f aca="false">ROUNDDOWN(J278*設定!$C$15/1000,0)</f>
        <v>0</v>
      </c>
      <c r="BN278" s="31" t="n">
        <f aca="false">L278+M278</f>
        <v>31680</v>
      </c>
      <c r="BO278" s="31" t="n">
        <f aca="false">N278+O278+P278</f>
        <v>31680</v>
      </c>
      <c r="BP278" s="31" t="n">
        <f aca="false">Q278</f>
        <v>16595</v>
      </c>
      <c r="BQ278" s="31" t="n">
        <f aca="false">R278</f>
        <v>16611</v>
      </c>
      <c r="BR278" s="31" t="n">
        <f aca="false">S278</f>
        <v>2528</v>
      </c>
      <c r="BS278" s="31" t="n">
        <f aca="false">T278</f>
        <v>2528</v>
      </c>
      <c r="BT278" s="31" t="n">
        <f aca="false">U278</f>
        <v>368</v>
      </c>
      <c r="BU278" s="31" t="n">
        <f aca="false">V278</f>
        <v>368</v>
      </c>
      <c r="BV278" s="32" t="n">
        <f aca="false">IF(BF278=0,IF(BN278=0,0,1),(BN278-BF278)/BF278)</f>
        <v>1</v>
      </c>
      <c r="BW278" s="32" t="n">
        <f aca="false">IF(BG278=0,IF(BO278=0,0,1),(BO278-BG278)/BG278)</f>
        <v>1</v>
      </c>
      <c r="BX278" s="32" t="n">
        <f aca="false">IF(BH278=0,IF(BP278=0,0,1),(BP278-BH278)/BH278)</f>
        <v>1</v>
      </c>
      <c r="BY278" s="32" t="n">
        <f aca="false">IF(BI278=0,IF(BQ278=0,0,1),(BQ278-BI278)/BI278)</f>
        <v>1</v>
      </c>
      <c r="BZ278" s="32" t="n">
        <f aca="false">IF(BJ278=0,IF(BR278=0,0,1),(BR278-BJ278)/BJ278)</f>
        <v>1</v>
      </c>
      <c r="CA278" s="32" t="n">
        <f aca="false">IF(BK278=0,IF(BS278=0,0,1),(BS278-BK278)/BK278)</f>
        <v>1</v>
      </c>
      <c r="CB278" s="32" t="n">
        <f aca="false">IF(BL278=0,IF(BT278=0,0,1),(BT278-BL278)/BL278)</f>
        <v>1</v>
      </c>
      <c r="CC278" s="32" t="n">
        <f aca="false">IF(BM278=0,IF(BU278=0,0,1),(BU278-BM278)/BM278)</f>
        <v>1</v>
      </c>
      <c r="CD278" s="32" t="n">
        <f aca="false">MAX(MAX(BV278:CC278),-MIN(BV278:CC278))</f>
        <v>1</v>
      </c>
      <c r="CE278" s="31" t="n">
        <f aca="false">IF(CI278="","",SUMIFS($CF$7:$CF$696,$A$7:$A$696,CI278,$B$7:$B$696,B278))</f>
        <v>101062</v>
      </c>
      <c r="CF278" s="31" t="n">
        <f aca="false">SUM(AU278:BE278)</f>
        <v>102358</v>
      </c>
      <c r="CG278" s="33" t="str">
        <f aca="false">A278&amp;"|"&amp;B278</f>
        <v>2026-08 月例|市職員労働組合</v>
      </c>
      <c r="CH278" s="34" t="str">
        <f aca="false">IFERROR(INDEX(設定!$D$61:$D$106,MATCH(B278,設定!$B$61:$B$106,0)),"Y")</f>
        <v>Y</v>
      </c>
      <c r="CI278" s="34" t="str">
        <f aca="false">IFERROR(INDEX(設定!$D$20:$D$34,MATCH(A278,設定!$A$20:$A$34,0))&amp;"","")</f>
        <v>2026-07 月例</v>
      </c>
    </row>
    <row r="279" customFormat="false" ht="15" hidden="true" customHeight="false" outlineLevel="0" collapsed="false">
      <c r="A279" s="22" t="s">
        <v>212</v>
      </c>
      <c r="B279" s="23" t="s">
        <v>203</v>
      </c>
      <c r="C279" s="10" t="str">
        <f aca="false">IF(G279="","未受領",IF(G279="なし","報告なし",IF(AH279="○","起票済",IF(OR(AG279="○",F279="一致",F279="入金不要"),"入金確認済","受領済"))))</f>
        <v>未受領</v>
      </c>
      <c r="D279" s="10" t="str">
        <f aca="false">IF(OR(G279="",G279="なし"),"―",IF(CH279="N","対象外",IF(AND(I279="",J279="",K279=""),"標報未入力",IF(CD279&gt;=設定!$B$4,"要確認","問題なし"))))</f>
        <v>―</v>
      </c>
      <c r="E279" s="24" t="str">
        <f aca="false">IF(OR(G279="",G279="なし",CE279="",CF279=0),"―",IF(CF279=CE279,"前月同額",IF(CE279=0,"―",IF(ABS(CF279/CE279-1)&gt;=設定!$B$5,"変動大 "&amp;TEXT(CF279/CE279-1,"+0%;-0%"),"〇"))))</f>
        <v>―</v>
      </c>
      <c r="F279" s="10" t="str">
        <f aca="false">IF(OR(G279="",G279="なし"),"―",IF(CF279=0,"入金不要",IF(COUNT(Z279,AB279,AD279,AF279)=0,IF(AG279="○","手動確認","未入金"),IF(AND(N(Z279)=Y279,IF(AA279="",TRUE(),N(AB279)=AA279),IF(AC279="",TRUE(),N(AD279)=AC279),IF(AE279="",TRUE(),N(AF279)=AE279)),"一致","不一致"))))</f>
        <v>―</v>
      </c>
      <c r="G279" s="25"/>
      <c r="H279" s="26"/>
      <c r="I279" s="27"/>
      <c r="J279" s="27"/>
      <c r="K279" s="27"/>
      <c r="L279" s="27"/>
      <c r="M279" s="27"/>
      <c r="N279" s="27"/>
      <c r="O279" s="27"/>
      <c r="P279" s="27"/>
      <c r="Q279" s="27"/>
      <c r="R279" s="27"/>
      <c r="S279" s="27"/>
      <c r="T279" s="27"/>
      <c r="U279" s="27"/>
      <c r="V279" s="27"/>
      <c r="W279" s="10" t="str">
        <f aca="false">IFERROR(INDEX(設定!$E$61:$E$106,MATCH(B279,設定!$B$61:$B$106,0)),"合算")</f>
        <v>合算</v>
      </c>
      <c r="X279" s="28"/>
      <c r="Y279" s="29" t="str">
        <f aca="false">IF(OR(G279="",G279="なし"),"",IF(W279="合算",CF279,IF(W279="掛金・負担金別",(AU279+AV279+AZ279+BB279+BD279),SUM(AU279:AY279))))</f>
        <v/>
      </c>
      <c r="Z279" s="27"/>
      <c r="AA279" s="29" t="str">
        <f aca="false">IF(OR(G279="",G279="なし"),"",IF(W279="掛金・負担金別",(AW279+AX279+AY279+BA279+BC279+BE279),IF(W279="経理区分別",AZ279+BA279,"")))</f>
        <v/>
      </c>
      <c r="AB279" s="27"/>
      <c r="AC279" s="29" t="str">
        <f aca="false">IF(OR(G279="",G279="なし"),"",IF(W279="経理区分別",BB279+BC279,""))</f>
        <v/>
      </c>
      <c r="AD279" s="27"/>
      <c r="AE279" s="29" t="str">
        <f aca="false">IF(OR(G279="",G279="なし"),"",IF(W279="経理区分別",BD279+BE279,""))</f>
        <v/>
      </c>
      <c r="AF279" s="27"/>
      <c r="AG279" s="26"/>
      <c r="AH279" s="26"/>
      <c r="AI279" s="30"/>
      <c r="AJ279" s="31" t="n">
        <v>0</v>
      </c>
      <c r="AK279" s="31" t="n">
        <v>0</v>
      </c>
      <c r="AL279" s="31" t="n">
        <v>0</v>
      </c>
      <c r="AM279" s="31" t="n">
        <v>0</v>
      </c>
      <c r="AN279" s="31"/>
      <c r="AO279" s="31" t="n">
        <v>0</v>
      </c>
      <c r="AP279" s="31" t="n">
        <v>0</v>
      </c>
      <c r="AQ279" s="31" t="n">
        <v>0</v>
      </c>
      <c r="AR279" s="31" t="n">
        <v>0</v>
      </c>
      <c r="AS279" s="31" t="n">
        <v>0</v>
      </c>
      <c r="AT279" s="31" t="n">
        <v>0</v>
      </c>
      <c r="AU279" s="31" t="n">
        <f aca="false">IF($G279="",AJ279,L279)</f>
        <v>0</v>
      </c>
      <c r="AV279" s="31" t="n">
        <f aca="false">IF($G279="",AK279,M279)</f>
        <v>0</v>
      </c>
      <c r="AW279" s="31" t="n">
        <f aca="false">IF($G279="",AL279,N279)</f>
        <v>0</v>
      </c>
      <c r="AX279" s="31" t="n">
        <f aca="false">IF($G279="",AM279,O279)</f>
        <v>0</v>
      </c>
      <c r="AY279" s="31" t="n">
        <f aca="false">IF($G279="",AN279,P279)</f>
        <v>0</v>
      </c>
      <c r="AZ279" s="31" t="n">
        <f aca="false">IF($G279="",AO279,Q279)</f>
        <v>0</v>
      </c>
      <c r="BA279" s="31" t="n">
        <f aca="false">IF($G279="",AP279,R279)</f>
        <v>0</v>
      </c>
      <c r="BB279" s="31" t="n">
        <f aca="false">IF($G279="",AQ279,S279)</f>
        <v>0</v>
      </c>
      <c r="BC279" s="31" t="n">
        <f aca="false">IF($G279="",AR279,T279)</f>
        <v>0</v>
      </c>
      <c r="BD279" s="31" t="n">
        <f aca="false">IF($G279="",AS279,U279)</f>
        <v>0</v>
      </c>
      <c r="BE279" s="31" t="n">
        <f aca="false">IF($G279="",AT279,V279)</f>
        <v>0</v>
      </c>
      <c r="BF279" s="31" t="n">
        <f aca="false">ROUNDDOWN(I279*設定!$B$10/1000,0)+ROUNDDOWN(I279*設定!$B$11/1000,0)</f>
        <v>0</v>
      </c>
      <c r="BG279" s="31" t="n">
        <f aca="false">ROUNDDOWN(I279*設定!$C$10/1000,0)+ROUNDDOWN(I279*設定!$C$11/1000,0)+ROUNDDOWN(I279*設定!$C$12/1000,0)</f>
        <v>0</v>
      </c>
      <c r="BH279" s="31" t="n">
        <f aca="false">ROUNDDOWN(J279*設定!$B$13/1000,0)</f>
        <v>0</v>
      </c>
      <c r="BI279" s="31" t="n">
        <f aca="false">ROUNDDOWN(J279*設定!$C$13/1000,0)</f>
        <v>0</v>
      </c>
      <c r="BJ279" s="31" t="n">
        <f aca="false">ROUNDDOWN(K279*設定!$B$14/1000,0)</f>
        <v>0</v>
      </c>
      <c r="BK279" s="31" t="n">
        <f aca="false">ROUNDDOWN(K279*設定!$C$14/1000,0)</f>
        <v>0</v>
      </c>
      <c r="BL279" s="31" t="n">
        <f aca="false">ROUNDDOWN(J279*設定!$B$15/1000,0)</f>
        <v>0</v>
      </c>
      <c r="BM279" s="31" t="n">
        <f aca="false">ROUNDDOWN(J279*設定!$C$15/1000,0)</f>
        <v>0</v>
      </c>
      <c r="BN279" s="31" t="n">
        <f aca="false">L279+M279</f>
        <v>0</v>
      </c>
      <c r="BO279" s="31" t="n">
        <f aca="false">N279+O279+P279</f>
        <v>0</v>
      </c>
      <c r="BP279" s="31" t="n">
        <f aca="false">Q279</f>
        <v>0</v>
      </c>
      <c r="BQ279" s="31" t="n">
        <f aca="false">R279</f>
        <v>0</v>
      </c>
      <c r="BR279" s="31" t="n">
        <f aca="false">S279</f>
        <v>0</v>
      </c>
      <c r="BS279" s="31" t="n">
        <f aca="false">T279</f>
        <v>0</v>
      </c>
      <c r="BT279" s="31" t="n">
        <f aca="false">U279</f>
        <v>0</v>
      </c>
      <c r="BU279" s="31" t="n">
        <f aca="false">V279</f>
        <v>0</v>
      </c>
      <c r="BV279" s="32" t="n">
        <f aca="false">IF(BF279=0,IF(BN279=0,0,1),(BN279-BF279)/BF279)</f>
        <v>0</v>
      </c>
      <c r="BW279" s="32" t="n">
        <f aca="false">IF(BG279=0,IF(BO279=0,0,1),(BO279-BG279)/BG279)</f>
        <v>0</v>
      </c>
      <c r="BX279" s="32" t="n">
        <f aca="false">IF(BH279=0,IF(BP279=0,0,1),(BP279-BH279)/BH279)</f>
        <v>0</v>
      </c>
      <c r="BY279" s="32" t="n">
        <f aca="false">IF(BI279=0,IF(BQ279=0,0,1),(BQ279-BI279)/BI279)</f>
        <v>0</v>
      </c>
      <c r="BZ279" s="32" t="n">
        <f aca="false">IF(BJ279=0,IF(BR279=0,0,1),(BR279-BJ279)/BJ279)</f>
        <v>0</v>
      </c>
      <c r="CA279" s="32" t="n">
        <f aca="false">IF(BK279=0,IF(BS279=0,0,1),(BS279-BK279)/BK279)</f>
        <v>0</v>
      </c>
      <c r="CB279" s="32" t="n">
        <f aca="false">IF(BL279=0,IF(BT279=0,0,1),(BT279-BL279)/BL279)</f>
        <v>0</v>
      </c>
      <c r="CC279" s="32" t="n">
        <f aca="false">IF(BM279=0,IF(BU279=0,0,1),(BU279-BM279)/BM279)</f>
        <v>0</v>
      </c>
      <c r="CD279" s="32" t="n">
        <f aca="false">MAX(MAX(BV279:CC279),-MIN(BV279:CC279))</f>
        <v>-0</v>
      </c>
      <c r="CE279" s="31" t="n">
        <f aca="false">IF(CI279="","",SUMIFS($CF$7:$CF$696,$A$7:$A$696,CI279,$B$7:$B$696,B279))</f>
        <v>0</v>
      </c>
      <c r="CF279" s="31" t="n">
        <f aca="false">SUM(AU279:BE279)</f>
        <v>0</v>
      </c>
      <c r="CG279" s="33" t="str">
        <f aca="false">A279&amp;"|"&amp;B279</f>
        <v>2026-08 月例|自治労労働組合</v>
      </c>
      <c r="CH279" s="34" t="str">
        <f aca="false">IFERROR(INDEX(設定!$D$61:$D$106,MATCH(B279,設定!$B$61:$B$106,0)),"Y")</f>
        <v>Y</v>
      </c>
      <c r="CI279" s="34" t="str">
        <f aca="false">IFERROR(INDEX(設定!$D$20:$D$34,MATCH(A279,設定!$A$20:$A$34,0))&amp;"","")</f>
        <v>2026-07 月例</v>
      </c>
    </row>
    <row r="280" customFormat="false" ht="15" hidden="true" customHeight="false" outlineLevel="0" collapsed="false">
      <c r="A280" s="22" t="s">
        <v>212</v>
      </c>
      <c r="B280" s="23" t="s">
        <v>204</v>
      </c>
      <c r="C280" s="10" t="str">
        <f aca="false">IF(G280="","未受領",IF(G280="なし","報告なし",IF(AH280="○","起票済",IF(OR(AG280="○",F280="一致",F280="入金不要"),"入金確認済","受領済"))))</f>
        <v>入金確認済</v>
      </c>
      <c r="D280" s="10" t="str">
        <f aca="false">IF(OR(G280="",G280="なし"),"―",IF(CH280="N","対象外",IF(AND(I280="",J280="",K280=""),"標報未入力",IF(CD280&gt;=設定!$B$4,"要確認","問題なし"))))</f>
        <v>標報未入力</v>
      </c>
      <c r="E280" s="24" t="str">
        <f aca="false">IF(OR(G280="",G280="なし",CE280="",CF280=0),"―",IF(CF280=CE280,"前月同額",IF(CE280=0,"―",IF(ABS(CF280/CE280-1)&gt;=設定!$B$5,"変動大 "&amp;TEXT(CF280/CE280-1,"+0%;-0%"),"〇"))))</f>
        <v>前月同額</v>
      </c>
      <c r="F280" s="10" t="str">
        <f aca="false">IF(OR(G280="",G280="なし"),"―",IF(CF280=0,"入金不要",IF(COUNT(Z280,AB280,AD280,AF280)=0,IF(AG280="○","手動確認","未入金"),IF(AND(N(Z280)=Y280,IF(AA280="",TRUE(),N(AB280)=AA280),IF(AC280="",TRUE(),N(AD280)=AC280),IF(AE280="",TRUE(),N(AF280)=AE280)),"一致","不一致"))))</f>
        <v>手動確認</v>
      </c>
      <c r="G280" s="25" t="s">
        <v>159</v>
      </c>
      <c r="H280" s="26"/>
      <c r="I280" s="27"/>
      <c r="J280" s="27"/>
      <c r="K280" s="27"/>
      <c r="L280" s="27" t="n">
        <v>27450</v>
      </c>
      <c r="M280" s="27" t="n">
        <v>2250</v>
      </c>
      <c r="N280" s="27" t="n">
        <v>27450</v>
      </c>
      <c r="O280" s="27" t="n">
        <v>2250</v>
      </c>
      <c r="P280" s="27"/>
      <c r="Q280" s="27" t="n">
        <v>31116</v>
      </c>
      <c r="R280" s="27" t="n">
        <v>31146</v>
      </c>
      <c r="S280" s="27" t="n">
        <v>2370</v>
      </c>
      <c r="T280" s="27" t="n">
        <v>2370</v>
      </c>
      <c r="U280" s="27" t="n">
        <v>690</v>
      </c>
      <c r="V280" s="27" t="n">
        <v>690</v>
      </c>
      <c r="W280" s="10" t="str">
        <f aca="false">IFERROR(INDEX(設定!$E$61:$E$106,MATCH(B280,設定!$B$61:$B$106,0)),"合算")</f>
        <v>合算</v>
      </c>
      <c r="X280" s="28"/>
      <c r="Y280" s="29" t="n">
        <f aca="false">IF(OR(G280="",G280="なし"),"",IF(W280="合算",CF280,IF(W280="掛金・負担金別",(AU280+AV280+AZ280+BB280+BD280),SUM(AU280:AY280))))</f>
        <v>127782</v>
      </c>
      <c r="Z280" s="27"/>
      <c r="AA280" s="29" t="str">
        <f aca="false">IF(OR(G280="",G280="なし"),"",IF(W280="掛金・負担金別",(AW280+AX280+AY280+BA280+BC280+BE280),IF(W280="経理区分別",AZ280+BA280,"")))</f>
        <v/>
      </c>
      <c r="AB280" s="27"/>
      <c r="AC280" s="29" t="str">
        <f aca="false">IF(OR(G280="",G280="なし"),"",IF(W280="経理区分別",BB280+BC280,""))</f>
        <v/>
      </c>
      <c r="AD280" s="27"/>
      <c r="AE280" s="29" t="str">
        <f aca="false">IF(OR(G280="",G280="なし"),"",IF(W280="経理区分別",BD280+BE280,""))</f>
        <v/>
      </c>
      <c r="AF280" s="27"/>
      <c r="AG280" s="26" t="s">
        <v>160</v>
      </c>
      <c r="AH280" s="26"/>
      <c r="AI280" s="30"/>
      <c r="AJ280" s="31"/>
      <c r="AK280" s="31"/>
      <c r="AL280" s="31"/>
      <c r="AM280" s="31"/>
      <c r="AN280" s="31"/>
      <c r="AO280" s="31"/>
      <c r="AP280" s="31"/>
      <c r="AQ280" s="31"/>
      <c r="AR280" s="31"/>
      <c r="AS280" s="31"/>
      <c r="AT280" s="31"/>
      <c r="AU280" s="31" t="n">
        <f aca="false">IF($G280="",AJ280,L280)</f>
        <v>27450</v>
      </c>
      <c r="AV280" s="31" t="n">
        <f aca="false">IF($G280="",AK280,M280)</f>
        <v>2250</v>
      </c>
      <c r="AW280" s="31" t="n">
        <f aca="false">IF($G280="",AL280,N280)</f>
        <v>27450</v>
      </c>
      <c r="AX280" s="31" t="n">
        <f aca="false">IF($G280="",AM280,O280)</f>
        <v>2250</v>
      </c>
      <c r="AY280" s="31" t="n">
        <f aca="false">IF($G280="",AN280,P280)</f>
        <v>0</v>
      </c>
      <c r="AZ280" s="31" t="n">
        <f aca="false">IF($G280="",AO280,Q280)</f>
        <v>31116</v>
      </c>
      <c r="BA280" s="31" t="n">
        <f aca="false">IF($G280="",AP280,R280)</f>
        <v>31146</v>
      </c>
      <c r="BB280" s="31" t="n">
        <f aca="false">IF($G280="",AQ280,S280)</f>
        <v>2370</v>
      </c>
      <c r="BC280" s="31" t="n">
        <f aca="false">IF($G280="",AR280,T280)</f>
        <v>2370</v>
      </c>
      <c r="BD280" s="31" t="n">
        <f aca="false">IF($G280="",AS280,U280)</f>
        <v>690</v>
      </c>
      <c r="BE280" s="31" t="n">
        <f aca="false">IF($G280="",AT280,V280)</f>
        <v>690</v>
      </c>
      <c r="BF280" s="31" t="n">
        <f aca="false">ROUNDDOWN(I280*設定!$B$10/1000,0)+ROUNDDOWN(I280*設定!$B$11/1000,0)</f>
        <v>0</v>
      </c>
      <c r="BG280" s="31" t="n">
        <f aca="false">ROUNDDOWN(I280*設定!$C$10/1000,0)+ROUNDDOWN(I280*設定!$C$11/1000,0)+ROUNDDOWN(I280*設定!$C$12/1000,0)</f>
        <v>0</v>
      </c>
      <c r="BH280" s="31" t="n">
        <f aca="false">ROUNDDOWN(J280*設定!$B$13/1000,0)</f>
        <v>0</v>
      </c>
      <c r="BI280" s="31" t="n">
        <f aca="false">ROUNDDOWN(J280*設定!$C$13/1000,0)</f>
        <v>0</v>
      </c>
      <c r="BJ280" s="31" t="n">
        <f aca="false">ROUNDDOWN(K280*設定!$B$14/1000,0)</f>
        <v>0</v>
      </c>
      <c r="BK280" s="31" t="n">
        <f aca="false">ROUNDDOWN(K280*設定!$C$14/1000,0)</f>
        <v>0</v>
      </c>
      <c r="BL280" s="31" t="n">
        <f aca="false">ROUNDDOWN(J280*設定!$B$15/1000,0)</f>
        <v>0</v>
      </c>
      <c r="BM280" s="31" t="n">
        <f aca="false">ROUNDDOWN(J280*設定!$C$15/1000,0)</f>
        <v>0</v>
      </c>
      <c r="BN280" s="31" t="n">
        <f aca="false">L280+M280</f>
        <v>29700</v>
      </c>
      <c r="BO280" s="31" t="n">
        <f aca="false">N280+O280+P280</f>
        <v>29700</v>
      </c>
      <c r="BP280" s="31" t="n">
        <f aca="false">Q280</f>
        <v>31116</v>
      </c>
      <c r="BQ280" s="31" t="n">
        <f aca="false">R280</f>
        <v>31146</v>
      </c>
      <c r="BR280" s="31" t="n">
        <f aca="false">S280</f>
        <v>2370</v>
      </c>
      <c r="BS280" s="31" t="n">
        <f aca="false">T280</f>
        <v>2370</v>
      </c>
      <c r="BT280" s="31" t="n">
        <f aca="false">U280</f>
        <v>690</v>
      </c>
      <c r="BU280" s="31" t="n">
        <f aca="false">V280</f>
        <v>690</v>
      </c>
      <c r="BV280" s="32" t="n">
        <f aca="false">IF(BF280=0,IF(BN280=0,0,1),(BN280-BF280)/BF280)</f>
        <v>1</v>
      </c>
      <c r="BW280" s="32" t="n">
        <f aca="false">IF(BG280=0,IF(BO280=0,0,1),(BO280-BG280)/BG280)</f>
        <v>1</v>
      </c>
      <c r="BX280" s="32" t="n">
        <f aca="false">IF(BH280=0,IF(BP280=0,0,1),(BP280-BH280)/BH280)</f>
        <v>1</v>
      </c>
      <c r="BY280" s="32" t="n">
        <f aca="false">IF(BI280=0,IF(BQ280=0,0,1),(BQ280-BI280)/BI280)</f>
        <v>1</v>
      </c>
      <c r="BZ280" s="32" t="n">
        <f aca="false">IF(BJ280=0,IF(BR280=0,0,1),(BR280-BJ280)/BJ280)</f>
        <v>1</v>
      </c>
      <c r="CA280" s="32" t="n">
        <f aca="false">IF(BK280=0,IF(BS280=0,0,1),(BS280-BK280)/BK280)</f>
        <v>1</v>
      </c>
      <c r="CB280" s="32" t="n">
        <f aca="false">IF(BL280=0,IF(BT280=0,0,1),(BT280-BL280)/BL280)</f>
        <v>1</v>
      </c>
      <c r="CC280" s="32" t="n">
        <f aca="false">IF(BM280=0,IF(BU280=0,0,1),(BU280-BM280)/BM280)</f>
        <v>1</v>
      </c>
      <c r="CD280" s="32" t="n">
        <f aca="false">MAX(MAX(BV280:CC280),-MIN(BV280:CC280))</f>
        <v>1</v>
      </c>
      <c r="CE280" s="31" t="n">
        <f aca="false">IF(CI280="","",SUMIFS($CF$7:$CF$696,$A$7:$A$696,CI280,$B$7:$B$696,B280))</f>
        <v>127782</v>
      </c>
      <c r="CF280" s="31" t="n">
        <f aca="false">SUM(AU280:BE280)</f>
        <v>127782</v>
      </c>
      <c r="CG280" s="33" t="str">
        <f aca="false">A280&amp;"|"&amp;B280</f>
        <v>2026-08 月例|病院労働組合</v>
      </c>
      <c r="CH280" s="34" t="str">
        <f aca="false">IFERROR(INDEX(設定!$D$61:$D$106,MATCH(B280,設定!$B$61:$B$106,0)),"Y")</f>
        <v>Y</v>
      </c>
      <c r="CI280" s="34" t="str">
        <f aca="false">IFERROR(INDEX(設定!$D$20:$D$34,MATCH(A280,設定!$A$20:$A$34,0))&amp;"","")</f>
        <v>2026-07 月例</v>
      </c>
    </row>
    <row r="281" customFormat="false" ht="15" hidden="true" customHeight="false" outlineLevel="0" collapsed="false">
      <c r="A281" s="22" t="s">
        <v>212</v>
      </c>
      <c r="B281" s="23" t="s">
        <v>205</v>
      </c>
      <c r="C281" s="10" t="str">
        <f aca="false">IF(G281="","未受領",IF(G281="なし","報告なし",IF(AH281="○","起票済",IF(OR(AG281="○",F281="一致",F281="入金不要"),"入金確認済","受領済"))))</f>
        <v>報告なし</v>
      </c>
      <c r="D281" s="10" t="str">
        <f aca="false">IF(OR(G281="",G281="なし"),"―",IF(CH281="N","対象外",IF(AND(I281="",J281="",K281=""),"標報未入力",IF(CD281&gt;=設定!$B$4,"要確認","問題なし"))))</f>
        <v>―</v>
      </c>
      <c r="E281" s="24" t="str">
        <f aca="false">IF(OR(G281="",G281="なし",CE281="",CF281=0),"―",IF(CF281=CE281,"前月同額",IF(CE281=0,"―",IF(ABS(CF281/CE281-1)&gt;=設定!$B$5,"変動大 "&amp;TEXT(CF281/CE281-1,"+0%;-0%"),"〇"))))</f>
        <v>―</v>
      </c>
      <c r="F281" s="10" t="str">
        <f aca="false">IF(OR(G281="",G281="なし"),"―",IF(CF281=0,"入金不要",IF(COUNT(Z281,AB281,AD281,AF281)=0,IF(AG281="○","手動確認","未入金"),IF(AND(N(Z281)=Y281,IF(AA281="",TRUE(),N(AB281)=AA281),IF(AC281="",TRUE(),N(AD281)=AC281),IF(AE281="",TRUE(),N(AF281)=AE281)),"一致","不一致"))))</f>
        <v>―</v>
      </c>
      <c r="G281" s="25" t="s">
        <v>173</v>
      </c>
      <c r="H281" s="26"/>
      <c r="I281" s="27"/>
      <c r="J281" s="27"/>
      <c r="K281" s="27"/>
      <c r="L281" s="27"/>
      <c r="M281" s="27"/>
      <c r="N281" s="27"/>
      <c r="O281" s="27"/>
      <c r="P281" s="27"/>
      <c r="Q281" s="27"/>
      <c r="R281" s="27"/>
      <c r="S281" s="27"/>
      <c r="T281" s="27"/>
      <c r="U281" s="27"/>
      <c r="V281" s="27"/>
      <c r="W281" s="10" t="str">
        <f aca="false">IFERROR(INDEX(設定!$E$61:$E$106,MATCH(B281,設定!$B$61:$B$106,0)),"合算")</f>
        <v>合算</v>
      </c>
      <c r="X281" s="28"/>
      <c r="Y281" s="29" t="str">
        <f aca="false">IF(OR(G281="",G281="なし"),"",IF(W281="合算",CF281,IF(W281="掛金・負担金別",(AU281+AV281+AZ281+BB281+BD281),SUM(AU281:AY281))))</f>
        <v/>
      </c>
      <c r="Z281" s="27"/>
      <c r="AA281" s="29" t="str">
        <f aca="false">IF(OR(G281="",G281="なし"),"",IF(W281="掛金・負担金別",(AW281+AX281+AY281+BA281+BC281+BE281),IF(W281="経理区分別",AZ281+BA281,"")))</f>
        <v/>
      </c>
      <c r="AB281" s="27"/>
      <c r="AC281" s="29" t="str">
        <f aca="false">IF(OR(G281="",G281="なし"),"",IF(W281="経理区分別",BB281+BC281,""))</f>
        <v/>
      </c>
      <c r="AD281" s="27"/>
      <c r="AE281" s="29" t="str">
        <f aca="false">IF(OR(G281="",G281="なし"),"",IF(W281="経理区分別",BD281+BE281,""))</f>
        <v/>
      </c>
      <c r="AF281" s="27"/>
      <c r="AG281" s="26"/>
      <c r="AH281" s="26"/>
      <c r="AI281" s="30"/>
      <c r="AJ281" s="31"/>
      <c r="AK281" s="31"/>
      <c r="AL281" s="31"/>
      <c r="AM281" s="31"/>
      <c r="AN281" s="31"/>
      <c r="AO281" s="31"/>
      <c r="AP281" s="31"/>
      <c r="AQ281" s="31"/>
      <c r="AR281" s="31"/>
      <c r="AS281" s="31"/>
      <c r="AT281" s="31"/>
      <c r="AU281" s="31" t="n">
        <f aca="false">IF($G281="",AJ281,L281)</f>
        <v>0</v>
      </c>
      <c r="AV281" s="31" t="n">
        <f aca="false">IF($G281="",AK281,M281)</f>
        <v>0</v>
      </c>
      <c r="AW281" s="31" t="n">
        <f aca="false">IF($G281="",AL281,N281)</f>
        <v>0</v>
      </c>
      <c r="AX281" s="31" t="n">
        <f aca="false">IF($G281="",AM281,O281)</f>
        <v>0</v>
      </c>
      <c r="AY281" s="31" t="n">
        <f aca="false">IF($G281="",AN281,P281)</f>
        <v>0</v>
      </c>
      <c r="AZ281" s="31" t="n">
        <f aca="false">IF($G281="",AO281,Q281)</f>
        <v>0</v>
      </c>
      <c r="BA281" s="31" t="n">
        <f aca="false">IF($G281="",AP281,R281)</f>
        <v>0</v>
      </c>
      <c r="BB281" s="31" t="n">
        <f aca="false">IF($G281="",AQ281,S281)</f>
        <v>0</v>
      </c>
      <c r="BC281" s="31" t="n">
        <f aca="false">IF($G281="",AR281,T281)</f>
        <v>0</v>
      </c>
      <c r="BD281" s="31" t="n">
        <f aca="false">IF($G281="",AS281,U281)</f>
        <v>0</v>
      </c>
      <c r="BE281" s="31" t="n">
        <f aca="false">IF($G281="",AT281,V281)</f>
        <v>0</v>
      </c>
      <c r="BF281" s="31" t="n">
        <f aca="false">ROUNDDOWN(I281*設定!$B$10/1000,0)+ROUNDDOWN(I281*設定!$B$11/1000,0)</f>
        <v>0</v>
      </c>
      <c r="BG281" s="31" t="n">
        <f aca="false">ROUNDDOWN(I281*設定!$C$10/1000,0)+ROUNDDOWN(I281*設定!$C$11/1000,0)+ROUNDDOWN(I281*設定!$C$12/1000,0)</f>
        <v>0</v>
      </c>
      <c r="BH281" s="31" t="n">
        <f aca="false">ROUNDDOWN(J281*設定!$B$13/1000,0)</f>
        <v>0</v>
      </c>
      <c r="BI281" s="31" t="n">
        <f aca="false">ROUNDDOWN(J281*設定!$C$13/1000,0)</f>
        <v>0</v>
      </c>
      <c r="BJ281" s="31" t="n">
        <f aca="false">ROUNDDOWN(K281*設定!$B$14/1000,0)</f>
        <v>0</v>
      </c>
      <c r="BK281" s="31" t="n">
        <f aca="false">ROUNDDOWN(K281*設定!$C$14/1000,0)</f>
        <v>0</v>
      </c>
      <c r="BL281" s="31" t="n">
        <f aca="false">ROUNDDOWN(J281*設定!$B$15/1000,0)</f>
        <v>0</v>
      </c>
      <c r="BM281" s="31" t="n">
        <f aca="false">ROUNDDOWN(J281*設定!$C$15/1000,0)</f>
        <v>0</v>
      </c>
      <c r="BN281" s="31" t="n">
        <f aca="false">L281+M281</f>
        <v>0</v>
      </c>
      <c r="BO281" s="31" t="n">
        <f aca="false">N281+O281+P281</f>
        <v>0</v>
      </c>
      <c r="BP281" s="31" t="n">
        <f aca="false">Q281</f>
        <v>0</v>
      </c>
      <c r="BQ281" s="31" t="n">
        <f aca="false">R281</f>
        <v>0</v>
      </c>
      <c r="BR281" s="31" t="n">
        <f aca="false">S281</f>
        <v>0</v>
      </c>
      <c r="BS281" s="31" t="n">
        <f aca="false">T281</f>
        <v>0</v>
      </c>
      <c r="BT281" s="31" t="n">
        <f aca="false">U281</f>
        <v>0</v>
      </c>
      <c r="BU281" s="31" t="n">
        <f aca="false">V281</f>
        <v>0</v>
      </c>
      <c r="BV281" s="32" t="n">
        <f aca="false">IF(BF281=0,IF(BN281=0,0,1),(BN281-BF281)/BF281)</f>
        <v>0</v>
      </c>
      <c r="BW281" s="32" t="n">
        <f aca="false">IF(BG281=0,IF(BO281=0,0,1),(BO281-BG281)/BG281)</f>
        <v>0</v>
      </c>
      <c r="BX281" s="32" t="n">
        <f aca="false">IF(BH281=0,IF(BP281=0,0,1),(BP281-BH281)/BH281)</f>
        <v>0</v>
      </c>
      <c r="BY281" s="32" t="n">
        <f aca="false">IF(BI281=0,IF(BQ281=0,0,1),(BQ281-BI281)/BI281)</f>
        <v>0</v>
      </c>
      <c r="BZ281" s="32" t="n">
        <f aca="false">IF(BJ281=0,IF(BR281=0,0,1),(BR281-BJ281)/BJ281)</f>
        <v>0</v>
      </c>
      <c r="CA281" s="32" t="n">
        <f aca="false">IF(BK281=0,IF(BS281=0,0,1),(BS281-BK281)/BK281)</f>
        <v>0</v>
      </c>
      <c r="CB281" s="32" t="n">
        <f aca="false">IF(BL281=0,IF(BT281=0,0,1),(BT281-BL281)/BL281)</f>
        <v>0</v>
      </c>
      <c r="CC281" s="32" t="n">
        <f aca="false">IF(BM281=0,IF(BU281=0,0,1),(BU281-BM281)/BM281)</f>
        <v>0</v>
      </c>
      <c r="CD281" s="32" t="n">
        <f aca="false">MAX(MAX(BV281:CC281),-MIN(BV281:CC281))</f>
        <v>-0</v>
      </c>
      <c r="CE281" s="31" t="n">
        <f aca="false">IF(CI281="","",SUMIFS($CF$7:$CF$696,$A$7:$A$696,CI281,$B$7:$B$696,B281))</f>
        <v>0</v>
      </c>
      <c r="CF281" s="31" t="n">
        <f aca="false">SUM(AU281:BE281)</f>
        <v>0</v>
      </c>
      <c r="CG281" s="33" t="str">
        <f aca="false">A281&amp;"|"&amp;B281</f>
        <v>2026-08 月例|水道労働組合</v>
      </c>
      <c r="CH281" s="34" t="str">
        <f aca="false">IFERROR(INDEX(設定!$D$61:$D$106,MATCH(B281,設定!$B$61:$B$106,0)),"Y")</f>
        <v>Y</v>
      </c>
      <c r="CI281" s="34" t="str">
        <f aca="false">IFERROR(INDEX(設定!$D$20:$D$34,MATCH(A281,設定!$A$20:$A$34,0))&amp;"","")</f>
        <v>2026-07 月例</v>
      </c>
    </row>
    <row r="282" customFormat="false" ht="15" hidden="true" customHeight="false" outlineLevel="0" collapsed="false">
      <c r="A282" s="22" t="s">
        <v>212</v>
      </c>
      <c r="B282" s="23" t="s">
        <v>206</v>
      </c>
      <c r="C282" s="10" t="str">
        <f aca="false">IF(G282="","未受領",IF(G282="なし","報告なし",IF(AH282="○","起票済",IF(OR(AG282="○",F282="一致",F282="入金不要"),"入金確認済","受領済"))))</f>
        <v>受領済</v>
      </c>
      <c r="D282" s="10" t="str">
        <f aca="false">IF(OR(G282="",G282="なし"),"―",IF(CH282="N","対象外",IF(AND(I282="",J282="",K282=""),"標報未入力",IF(CD282&gt;=設定!$B$4,"要確認","問題なし"))))</f>
        <v>対象外</v>
      </c>
      <c r="E282" s="24" t="str">
        <f aca="false">IF(OR(G282="",G282="なし",CE282="",CF282=0),"―",IF(CF282=CE282,"前月同額",IF(CE282=0,"―",IF(ABS(CF282/CE282-1)&gt;=設定!$B$5,"変動大 "&amp;TEXT(CF282/CE282-1,"+0%;-0%"),"〇"))))</f>
        <v>変動大 +46%</v>
      </c>
      <c r="F282" s="10" t="str">
        <f aca="false">IF(OR(G282="",G282="なし"),"―",IF(CF282=0,"入金不要",IF(COUNT(Z282,AB282,AD282,AF282)=0,IF(AG282="○","手動確認","未入金"),IF(AND(N(Z282)=Y282,IF(AA282="",TRUE(),N(AB282)=AA282),IF(AC282="",TRUE(),N(AD282)=AC282),IF(AE282="",TRUE(),N(AF282)=AE282)),"一致","不一致"))))</f>
        <v>未入金</v>
      </c>
      <c r="G282" s="25" t="s">
        <v>159</v>
      </c>
      <c r="H282" s="26"/>
      <c r="I282" s="27"/>
      <c r="J282" s="27"/>
      <c r="K282" s="27"/>
      <c r="L282" s="27"/>
      <c r="M282" s="27"/>
      <c r="N282" s="27"/>
      <c r="O282" s="27"/>
      <c r="P282" s="27"/>
      <c r="Q282" s="27" t="n">
        <v>3479204</v>
      </c>
      <c r="R282" s="27"/>
      <c r="S282" s="27" t="n">
        <v>95674</v>
      </c>
      <c r="T282" s="27"/>
      <c r="U282" s="27" t="n">
        <v>77141</v>
      </c>
      <c r="V282" s="27"/>
      <c r="W282" s="10" t="str">
        <f aca="false">IFERROR(INDEX(設定!$E$61:$E$106,MATCH(B282,設定!$B$61:$B$106,0)),"合算")</f>
        <v>合算</v>
      </c>
      <c r="X282" s="28"/>
      <c r="Y282" s="29" t="n">
        <f aca="false">IF(OR(G282="",G282="なし"),"",IF(W282="合算",CF282,IF(W282="掛金・負担金別",(AU282+AV282+AZ282+BB282+BD282),SUM(AU282:AY282))))</f>
        <v>3652019</v>
      </c>
      <c r="Z282" s="27"/>
      <c r="AA282" s="29" t="str">
        <f aca="false">IF(OR(G282="",G282="なし"),"",IF(W282="掛金・負担金別",(AW282+AX282+AY282+BA282+BC282+BE282),IF(W282="経理区分別",AZ282+BA282,"")))</f>
        <v/>
      </c>
      <c r="AB282" s="27"/>
      <c r="AC282" s="29" t="str">
        <f aca="false">IF(OR(G282="",G282="なし"),"",IF(W282="経理区分別",BB282+BC282,""))</f>
        <v/>
      </c>
      <c r="AD282" s="27"/>
      <c r="AE282" s="29" t="str">
        <f aca="false">IF(OR(G282="",G282="なし"),"",IF(W282="経理区分別",BD282+BE282,""))</f>
        <v/>
      </c>
      <c r="AF282" s="27"/>
      <c r="AG282" s="26"/>
      <c r="AH282" s="26"/>
      <c r="AI282" s="30"/>
      <c r="AJ282" s="31"/>
      <c r="AK282" s="31"/>
      <c r="AL282" s="31"/>
      <c r="AM282" s="31"/>
      <c r="AN282" s="31"/>
      <c r="AO282" s="31"/>
      <c r="AP282" s="31"/>
      <c r="AQ282" s="31"/>
      <c r="AR282" s="31"/>
      <c r="AS282" s="31"/>
      <c r="AT282" s="31"/>
      <c r="AU282" s="31" t="n">
        <f aca="false">IF($G282="",AJ282,L282)</f>
        <v>0</v>
      </c>
      <c r="AV282" s="31" t="n">
        <f aca="false">IF($G282="",AK282,M282)</f>
        <v>0</v>
      </c>
      <c r="AW282" s="31" t="n">
        <f aca="false">IF($G282="",AL282,N282)</f>
        <v>0</v>
      </c>
      <c r="AX282" s="31" t="n">
        <f aca="false">IF($G282="",AM282,O282)</f>
        <v>0</v>
      </c>
      <c r="AY282" s="31" t="n">
        <f aca="false">IF($G282="",AN282,P282)</f>
        <v>0</v>
      </c>
      <c r="AZ282" s="31" t="n">
        <f aca="false">IF($G282="",AO282,Q282)</f>
        <v>3479204</v>
      </c>
      <c r="BA282" s="31" t="n">
        <f aca="false">IF($G282="",AP282,R282)</f>
        <v>0</v>
      </c>
      <c r="BB282" s="31" t="n">
        <f aca="false">IF($G282="",AQ282,S282)</f>
        <v>95674</v>
      </c>
      <c r="BC282" s="31" t="n">
        <f aca="false">IF($G282="",AR282,T282)</f>
        <v>0</v>
      </c>
      <c r="BD282" s="31" t="n">
        <f aca="false">IF($G282="",AS282,U282)</f>
        <v>77141</v>
      </c>
      <c r="BE282" s="31" t="n">
        <f aca="false">IF($G282="",AT282,V282)</f>
        <v>0</v>
      </c>
      <c r="BF282" s="31" t="n">
        <f aca="false">ROUNDDOWN(I282*設定!$B$10/1000,0)+ROUNDDOWN(I282*設定!$B$11/1000,0)</f>
        <v>0</v>
      </c>
      <c r="BG282" s="31" t="n">
        <f aca="false">ROUNDDOWN(I282*設定!$C$10/1000,0)+ROUNDDOWN(I282*設定!$C$11/1000,0)+ROUNDDOWN(I282*設定!$C$12/1000,0)</f>
        <v>0</v>
      </c>
      <c r="BH282" s="31" t="n">
        <f aca="false">ROUNDDOWN(J282*設定!$B$13/1000,0)</f>
        <v>0</v>
      </c>
      <c r="BI282" s="31" t="n">
        <f aca="false">ROUNDDOWN(J282*設定!$C$13/1000,0)</f>
        <v>0</v>
      </c>
      <c r="BJ282" s="31" t="n">
        <f aca="false">ROUNDDOWN(K282*設定!$B$14/1000,0)</f>
        <v>0</v>
      </c>
      <c r="BK282" s="31" t="n">
        <f aca="false">ROUNDDOWN(K282*設定!$C$14/1000,0)</f>
        <v>0</v>
      </c>
      <c r="BL282" s="31" t="n">
        <f aca="false">ROUNDDOWN(J282*設定!$B$15/1000,0)</f>
        <v>0</v>
      </c>
      <c r="BM282" s="31" t="n">
        <f aca="false">ROUNDDOWN(J282*設定!$C$15/1000,0)</f>
        <v>0</v>
      </c>
      <c r="BN282" s="31" t="n">
        <f aca="false">L282+M282</f>
        <v>0</v>
      </c>
      <c r="BO282" s="31" t="n">
        <f aca="false">N282+O282+P282</f>
        <v>0</v>
      </c>
      <c r="BP282" s="31" t="n">
        <f aca="false">Q282</f>
        <v>3479204</v>
      </c>
      <c r="BQ282" s="31" t="n">
        <f aca="false">R282</f>
        <v>0</v>
      </c>
      <c r="BR282" s="31" t="n">
        <f aca="false">S282</f>
        <v>95674</v>
      </c>
      <c r="BS282" s="31" t="n">
        <f aca="false">T282</f>
        <v>0</v>
      </c>
      <c r="BT282" s="31" t="n">
        <f aca="false">U282</f>
        <v>77141</v>
      </c>
      <c r="BU282" s="31" t="n">
        <f aca="false">V282</f>
        <v>0</v>
      </c>
      <c r="BV282" s="32" t="n">
        <f aca="false">IF(BF282=0,IF(BN282=0,0,1),(BN282-BF282)/BF282)</f>
        <v>0</v>
      </c>
      <c r="BW282" s="32" t="n">
        <f aca="false">IF(BG282=0,IF(BO282=0,0,1),(BO282-BG282)/BG282)</f>
        <v>0</v>
      </c>
      <c r="BX282" s="32" t="n">
        <f aca="false">IF(BH282=0,IF(BP282=0,0,1),(BP282-BH282)/BH282)</f>
        <v>1</v>
      </c>
      <c r="BY282" s="32" t="n">
        <f aca="false">IF(BI282=0,IF(BQ282=0,0,1),(BQ282-BI282)/BI282)</f>
        <v>0</v>
      </c>
      <c r="BZ282" s="32" t="n">
        <f aca="false">IF(BJ282=0,IF(BR282=0,0,1),(BR282-BJ282)/BJ282)</f>
        <v>1</v>
      </c>
      <c r="CA282" s="32" t="n">
        <f aca="false">IF(BK282=0,IF(BS282=0,0,1),(BS282-BK282)/BK282)</f>
        <v>0</v>
      </c>
      <c r="CB282" s="32" t="n">
        <f aca="false">IF(BL282=0,IF(BT282=0,0,1),(BT282-BL282)/BL282)</f>
        <v>1</v>
      </c>
      <c r="CC282" s="32" t="n">
        <f aca="false">IF(BM282=0,IF(BU282=0,0,1),(BU282-BM282)/BM282)</f>
        <v>0</v>
      </c>
      <c r="CD282" s="32" t="n">
        <f aca="false">MAX(MAX(BV282:CC282),-MIN(BV282:CC282))</f>
        <v>1</v>
      </c>
      <c r="CE282" s="31" t="n">
        <f aca="false">IF(CI282="","",SUMIFS($CF$7:$CF$696,$A$7:$A$696,CI282,$B$7:$B$696,B282))</f>
        <v>2505242</v>
      </c>
      <c r="CF282" s="31" t="n">
        <f aca="false">SUM(AU282:BE282)</f>
        <v>3652019</v>
      </c>
      <c r="CG282" s="33" t="str">
        <f aca="false">A282&amp;"|"&amp;B282</f>
        <v>2026-08 月例|任意継続組合員</v>
      </c>
      <c r="CH282" s="34" t="str">
        <f aca="false">IFERROR(INDEX(設定!$D$61:$D$106,MATCH(B282,設定!$B$61:$B$106,0)),"Y")</f>
        <v>N</v>
      </c>
      <c r="CI282" s="34" t="str">
        <f aca="false">IFERROR(INDEX(設定!$D$20:$D$34,MATCH(A282,設定!$A$20:$A$34,0))&amp;"","")</f>
        <v>2026-07 月例</v>
      </c>
    </row>
    <row r="283" customFormat="false" ht="15" hidden="true" customHeight="false" outlineLevel="0" collapsed="false">
      <c r="A283" s="22" t="s">
        <v>213</v>
      </c>
      <c r="B283" s="23" t="s">
        <v>158</v>
      </c>
      <c r="C283" s="10" t="str">
        <f aca="false">IF(G283="","未受領",IF(G283="なし","報告なし",IF(AH283="○","起票済",IF(OR(AG283="○",F283="一致",F283="入金不要"),"入金確認済","受領済"))))</f>
        <v>入金確認済</v>
      </c>
      <c r="D283" s="10" t="str">
        <f aca="false">IF(OR(G283="",G283="なし"),"―",IF(CH283="N","対象外",IF(AND(I283="",J283="",K283=""),"標報未入力",IF(CD283&gt;=設定!$B$4,"要確認","問題なし"))))</f>
        <v>対象外</v>
      </c>
      <c r="E283" s="24" t="str">
        <f aca="false">IF(OR(G283="",G283="なし",CE283="",CF283=0),"―",IF(CF283=CE283,"前月同額",IF(CE283=0,"―",IF(ABS(CF283/CE283-1)&gt;=設定!$B$5,"変動大 "&amp;TEXT(CF283/CE283-1,"+0%;-0%"),"〇"))))</f>
        <v>〇</v>
      </c>
      <c r="F283" s="10" t="str">
        <f aca="false">IF(OR(G283="",G283="なし"),"―",IF(CF283=0,"入金不要",IF(COUNT(Z283,AB283,AD283,AF283)=0,IF(AG283="○","手動確認","未入金"),IF(AND(N(Z283)=Y283,IF(AA283="",TRUE(),N(AB283)=AA283),IF(AC283="",TRUE(),N(AD283)=AC283),IF(AE283="",TRUE(),N(AF283)=AE283)),"一致","不一致"))))</f>
        <v>手動確認</v>
      </c>
      <c r="G283" s="25" t="s">
        <v>159</v>
      </c>
      <c r="H283" s="26"/>
      <c r="I283" s="27"/>
      <c r="J283" s="27"/>
      <c r="K283" s="27"/>
      <c r="L283" s="27" t="n">
        <v>242937806</v>
      </c>
      <c r="M283" s="27" t="n">
        <v>19917809</v>
      </c>
      <c r="N283" s="27" t="n">
        <v>352845876</v>
      </c>
      <c r="O283" s="27" t="n">
        <v>19611961</v>
      </c>
      <c r="P283" s="27" t="n">
        <v>238649</v>
      </c>
      <c r="Q283" s="27" t="n">
        <v>177136759</v>
      </c>
      <c r="R283" s="27" t="n">
        <v>176452442</v>
      </c>
      <c r="S283" s="27" t="n">
        <v>16364403</v>
      </c>
      <c r="T283" s="27" t="n">
        <v>15937267</v>
      </c>
      <c r="U283" s="27" t="n">
        <v>3924905</v>
      </c>
      <c r="V283" s="27" t="n">
        <v>3843722</v>
      </c>
      <c r="W283" s="10" t="str">
        <f aca="false">IFERROR(INDEX(設定!$E$61:$E$106,MATCH(B283,設定!$B$61:$B$106,0)),"合算")</f>
        <v>合算</v>
      </c>
      <c r="X283" s="28"/>
      <c r="Y283" s="29" t="n">
        <f aca="false">IF(OR(G283="",G283="なし"),"",IF(W283="合算",CF283,IF(W283="掛金・負担金別",(AU283+AV283+AZ283+BB283+BD283),SUM(AU283:AY283))))</f>
        <v>1029211599</v>
      </c>
      <c r="Z283" s="27"/>
      <c r="AA283" s="29" t="str">
        <f aca="false">IF(OR(G283="",G283="なし"),"",IF(W283="掛金・負担金別",(AW283+AX283+AY283+BA283+BC283+BE283),IF(W283="経理区分別",AZ283+BA283,"")))</f>
        <v/>
      </c>
      <c r="AB283" s="27"/>
      <c r="AC283" s="29" t="str">
        <f aca="false">IF(OR(G283="",G283="なし"),"",IF(W283="経理区分別",BB283+BC283,""))</f>
        <v/>
      </c>
      <c r="AD283" s="27"/>
      <c r="AE283" s="29" t="str">
        <f aca="false">IF(OR(G283="",G283="なし"),"",IF(W283="経理区分別",BD283+BE283,""))</f>
        <v/>
      </c>
      <c r="AF283" s="27"/>
      <c r="AG283" s="26" t="s">
        <v>160</v>
      </c>
      <c r="AH283" s="26"/>
      <c r="AI283" s="30"/>
      <c r="AJ283" s="31"/>
      <c r="AK283" s="31"/>
      <c r="AL283" s="31"/>
      <c r="AM283" s="31"/>
      <c r="AN283" s="31"/>
      <c r="AO283" s="31"/>
      <c r="AP283" s="31"/>
      <c r="AQ283" s="31"/>
      <c r="AR283" s="31"/>
      <c r="AS283" s="31"/>
      <c r="AT283" s="31"/>
      <c r="AU283" s="31" t="n">
        <f aca="false">IF($G283="",AJ283,L283)</f>
        <v>242937806</v>
      </c>
      <c r="AV283" s="31" t="n">
        <f aca="false">IF($G283="",AK283,M283)</f>
        <v>19917809</v>
      </c>
      <c r="AW283" s="31" t="n">
        <f aca="false">IF($G283="",AL283,N283)</f>
        <v>352845876</v>
      </c>
      <c r="AX283" s="31" t="n">
        <f aca="false">IF($G283="",AM283,O283)</f>
        <v>19611961</v>
      </c>
      <c r="AY283" s="31" t="n">
        <f aca="false">IF($G283="",AN283,P283)</f>
        <v>238649</v>
      </c>
      <c r="AZ283" s="31" t="n">
        <f aca="false">IF($G283="",AO283,Q283)</f>
        <v>177136759</v>
      </c>
      <c r="BA283" s="31" t="n">
        <f aca="false">IF($G283="",AP283,R283)</f>
        <v>176452442</v>
      </c>
      <c r="BB283" s="31" t="n">
        <f aca="false">IF($G283="",AQ283,S283)</f>
        <v>16364403</v>
      </c>
      <c r="BC283" s="31" t="n">
        <f aca="false">IF($G283="",AR283,T283)</f>
        <v>15937267</v>
      </c>
      <c r="BD283" s="31" t="n">
        <f aca="false">IF($G283="",AS283,U283)</f>
        <v>3924905</v>
      </c>
      <c r="BE283" s="31" t="n">
        <f aca="false">IF($G283="",AT283,V283)</f>
        <v>3843722</v>
      </c>
      <c r="BF283" s="31" t="n">
        <f aca="false">ROUNDDOWN(I283*設定!$B$10/1000,0)+ROUNDDOWN(I283*設定!$B$11/1000,0)</f>
        <v>0</v>
      </c>
      <c r="BG283" s="31" t="n">
        <f aca="false">ROUNDDOWN(I283*設定!$C$10/1000,0)+ROUNDDOWN(I283*設定!$C$11/1000,0)+ROUNDDOWN(I283*設定!$C$12/1000,0)</f>
        <v>0</v>
      </c>
      <c r="BH283" s="31" t="n">
        <f aca="false">ROUNDDOWN(J283*設定!$B$13/1000,0)</f>
        <v>0</v>
      </c>
      <c r="BI283" s="31" t="n">
        <f aca="false">ROUNDDOWN(J283*設定!$C$13/1000,0)</f>
        <v>0</v>
      </c>
      <c r="BJ283" s="31" t="n">
        <f aca="false">ROUNDDOWN(K283*設定!$B$14/1000,0)</f>
        <v>0</v>
      </c>
      <c r="BK283" s="31" t="n">
        <f aca="false">ROUNDDOWN(K283*設定!$C$14/1000,0)</f>
        <v>0</v>
      </c>
      <c r="BL283" s="31" t="n">
        <f aca="false">ROUNDDOWN(J283*設定!$B$15/1000,0)</f>
        <v>0</v>
      </c>
      <c r="BM283" s="31" t="n">
        <f aca="false">ROUNDDOWN(J283*設定!$C$15/1000,0)</f>
        <v>0</v>
      </c>
      <c r="BN283" s="31" t="n">
        <f aca="false">L283+M283</f>
        <v>262855615</v>
      </c>
      <c r="BO283" s="31" t="n">
        <f aca="false">N283+O283+P283</f>
        <v>372696486</v>
      </c>
      <c r="BP283" s="31" t="n">
        <f aca="false">Q283</f>
        <v>177136759</v>
      </c>
      <c r="BQ283" s="31" t="n">
        <f aca="false">R283</f>
        <v>176452442</v>
      </c>
      <c r="BR283" s="31" t="n">
        <f aca="false">S283</f>
        <v>16364403</v>
      </c>
      <c r="BS283" s="31" t="n">
        <f aca="false">T283</f>
        <v>15937267</v>
      </c>
      <c r="BT283" s="31" t="n">
        <f aca="false">U283</f>
        <v>3924905</v>
      </c>
      <c r="BU283" s="31" t="n">
        <f aca="false">V283</f>
        <v>3843722</v>
      </c>
      <c r="BV283" s="32" t="n">
        <f aca="false">IF(BF283=0,IF(BN283=0,0,1),(BN283-BF283)/BF283)</f>
        <v>1</v>
      </c>
      <c r="BW283" s="32" t="n">
        <f aca="false">IF(BG283=0,IF(BO283=0,0,1),(BO283-BG283)/BG283)</f>
        <v>1</v>
      </c>
      <c r="BX283" s="32" t="n">
        <f aca="false">IF(BH283=0,IF(BP283=0,0,1),(BP283-BH283)/BH283)</f>
        <v>1</v>
      </c>
      <c r="BY283" s="32" t="n">
        <f aca="false">IF(BI283=0,IF(BQ283=0,0,1),(BQ283-BI283)/BI283)</f>
        <v>1</v>
      </c>
      <c r="BZ283" s="32" t="n">
        <f aca="false">IF(BJ283=0,IF(BR283=0,0,1),(BR283-BJ283)/BJ283)</f>
        <v>1</v>
      </c>
      <c r="CA283" s="32" t="n">
        <f aca="false">IF(BK283=0,IF(BS283=0,0,1),(BS283-BK283)/BK283)</f>
        <v>1</v>
      </c>
      <c r="CB283" s="32" t="n">
        <f aca="false">IF(BL283=0,IF(BT283=0,0,1),(BT283-BL283)/BL283)</f>
        <v>1</v>
      </c>
      <c r="CC283" s="32" t="n">
        <f aca="false">IF(BM283=0,IF(BU283=0,0,1),(BU283-BM283)/BM283)</f>
        <v>1</v>
      </c>
      <c r="CD283" s="32" t="n">
        <f aca="false">MAX(MAX(BV283:CC283),-MIN(BV283:CC283))</f>
        <v>1</v>
      </c>
      <c r="CE283" s="31" t="n">
        <f aca="false">IF(CI283="","",SUMIFS($CF$7:$CF$696,$A$7:$A$696,CI283,$B$7:$B$696,B283))</f>
        <v>1010825246</v>
      </c>
      <c r="CF283" s="31" t="n">
        <f aca="false">SUM(AU283:BE283)</f>
        <v>1029211599</v>
      </c>
      <c r="CG283" s="33" t="str">
        <f aca="false">A283&amp;"|"&amp;B283</f>
        <v>2026-09 月例|市長部局</v>
      </c>
      <c r="CH283" s="34" t="str">
        <f aca="false">IFERROR(INDEX(設定!$D$61:$D$106,MATCH(B283,設定!$B$61:$B$106,0)),"Y")</f>
        <v>N</v>
      </c>
      <c r="CI283" s="34" t="str">
        <f aca="false">IFERROR(INDEX(設定!$D$20:$D$34,MATCH(A283,設定!$A$20:$A$34,0))&amp;"","")</f>
        <v>2026-08 月例</v>
      </c>
    </row>
    <row r="284" customFormat="false" ht="15" hidden="true" customHeight="false" outlineLevel="0" collapsed="false">
      <c r="A284" s="22" t="s">
        <v>213</v>
      </c>
      <c r="B284" s="23" t="s">
        <v>161</v>
      </c>
      <c r="C284" s="10" t="str">
        <f aca="false">IF(G284="","未受領",IF(G284="なし","報告なし",IF(AH284="○","起票済",IF(OR(AG284="○",F284="一致",F284="入金不要"),"入金確認済","受領済"))))</f>
        <v>入金確認済</v>
      </c>
      <c r="D284" s="10" t="str">
        <f aca="false">IF(OR(G284="",G284="なし"),"―",IF(CH284="N","対象外",IF(AND(I284="",J284="",K284=""),"標報未入力",IF(CD284&gt;=設定!$B$4,"要確認","問題なし"))))</f>
        <v>標報未入力</v>
      </c>
      <c r="E284" s="24" t="str">
        <f aca="false">IF(OR(G284="",G284="なし",CE284="",CF284=0),"―",IF(CF284=CE284,"前月同額",IF(CE284=0,"―",IF(ABS(CF284/CE284-1)&gt;=設定!$B$5,"変動大 "&amp;TEXT(CF284/CE284-1,"+0%;-0%"),"〇"))))</f>
        <v>〇</v>
      </c>
      <c r="F284" s="10" t="str">
        <f aca="false">IF(OR(G284="",G284="なし"),"―",IF(CF284=0,"入金不要",IF(COUNT(Z284,AB284,AD284,AF284)=0,IF(AG284="○","手動確認","未入金"),IF(AND(N(Z284)=Y284,IF(AA284="",TRUE(),N(AB284)=AA284),IF(AC284="",TRUE(),N(AD284)=AC284),IF(AE284="",TRUE(),N(AF284)=AE284)),"一致","不一致"))))</f>
        <v>手動確認</v>
      </c>
      <c r="G284" s="25" t="s">
        <v>159</v>
      </c>
      <c r="H284" s="26"/>
      <c r="I284" s="27"/>
      <c r="J284" s="27"/>
      <c r="K284" s="27"/>
      <c r="L284" s="27" t="n">
        <v>16590780</v>
      </c>
      <c r="M284" s="27" t="n">
        <v>1359900</v>
      </c>
      <c r="N284" s="27" t="n">
        <v>23913219</v>
      </c>
      <c r="O284" s="27" t="n">
        <v>1356825</v>
      </c>
      <c r="P284" s="27" t="n">
        <v>16022</v>
      </c>
      <c r="Q284" s="27" t="n">
        <v>9734474</v>
      </c>
      <c r="R284" s="27" t="n">
        <v>9879856</v>
      </c>
      <c r="S284" s="27" t="n">
        <v>1041536</v>
      </c>
      <c r="T284" s="27" t="n">
        <v>1041536</v>
      </c>
      <c r="U284" s="27" t="n">
        <v>215781</v>
      </c>
      <c r="V284" s="27" t="n">
        <v>215393</v>
      </c>
      <c r="W284" s="10" t="str">
        <f aca="false">IFERROR(INDEX(設定!$E$61:$E$106,MATCH(B284,設定!$B$61:$B$106,0)),"合算")</f>
        <v>合算</v>
      </c>
      <c r="X284" s="28"/>
      <c r="Y284" s="29" t="n">
        <f aca="false">IF(OR(G284="",G284="なし"),"",IF(W284="合算",CF284,IF(W284="掛金・負担金別",(AU284+AV284+AZ284+BB284+BD284),SUM(AU284:AY284))))</f>
        <v>65365322</v>
      </c>
      <c r="Z284" s="27"/>
      <c r="AA284" s="29" t="str">
        <f aca="false">IF(OR(G284="",G284="なし"),"",IF(W284="掛金・負担金別",(AW284+AX284+AY284+BA284+BC284+BE284),IF(W284="経理区分別",AZ284+BA284,"")))</f>
        <v/>
      </c>
      <c r="AB284" s="27"/>
      <c r="AC284" s="29" t="str">
        <f aca="false">IF(OR(G284="",G284="なし"),"",IF(W284="経理区分別",BB284+BC284,""))</f>
        <v/>
      </c>
      <c r="AD284" s="27"/>
      <c r="AE284" s="29" t="str">
        <f aca="false">IF(OR(G284="",G284="なし"),"",IF(W284="経理区分別",BD284+BE284,""))</f>
        <v/>
      </c>
      <c r="AF284" s="27"/>
      <c r="AG284" s="26" t="s">
        <v>160</v>
      </c>
      <c r="AH284" s="26"/>
      <c r="AI284" s="30"/>
      <c r="AJ284" s="31"/>
      <c r="AK284" s="31"/>
      <c r="AL284" s="31"/>
      <c r="AM284" s="31"/>
      <c r="AN284" s="31"/>
      <c r="AO284" s="31"/>
      <c r="AP284" s="31"/>
      <c r="AQ284" s="31"/>
      <c r="AR284" s="31"/>
      <c r="AS284" s="31"/>
      <c r="AT284" s="31"/>
      <c r="AU284" s="31" t="n">
        <f aca="false">IF($G284="",AJ284,L284)</f>
        <v>16590780</v>
      </c>
      <c r="AV284" s="31" t="n">
        <f aca="false">IF($G284="",AK284,M284)</f>
        <v>1359900</v>
      </c>
      <c r="AW284" s="31" t="n">
        <f aca="false">IF($G284="",AL284,N284)</f>
        <v>23913219</v>
      </c>
      <c r="AX284" s="31" t="n">
        <f aca="false">IF($G284="",AM284,O284)</f>
        <v>1356825</v>
      </c>
      <c r="AY284" s="31" t="n">
        <f aca="false">IF($G284="",AN284,P284)</f>
        <v>16022</v>
      </c>
      <c r="AZ284" s="31" t="n">
        <f aca="false">IF($G284="",AO284,Q284)</f>
        <v>9734474</v>
      </c>
      <c r="BA284" s="31" t="n">
        <f aca="false">IF($G284="",AP284,R284)</f>
        <v>9879856</v>
      </c>
      <c r="BB284" s="31" t="n">
        <f aca="false">IF($G284="",AQ284,S284)</f>
        <v>1041536</v>
      </c>
      <c r="BC284" s="31" t="n">
        <f aca="false">IF($G284="",AR284,T284)</f>
        <v>1041536</v>
      </c>
      <c r="BD284" s="31" t="n">
        <f aca="false">IF($G284="",AS284,U284)</f>
        <v>215781</v>
      </c>
      <c r="BE284" s="31" t="n">
        <f aca="false">IF($G284="",AT284,V284)</f>
        <v>215393</v>
      </c>
      <c r="BF284" s="31" t="n">
        <f aca="false">ROUNDDOWN(I284*設定!$B$10/1000,0)+ROUNDDOWN(I284*設定!$B$11/1000,0)</f>
        <v>0</v>
      </c>
      <c r="BG284" s="31" t="n">
        <f aca="false">ROUNDDOWN(I284*設定!$C$10/1000,0)+ROUNDDOWN(I284*設定!$C$11/1000,0)+ROUNDDOWN(I284*設定!$C$12/1000,0)</f>
        <v>0</v>
      </c>
      <c r="BH284" s="31" t="n">
        <f aca="false">ROUNDDOWN(J284*設定!$B$13/1000,0)</f>
        <v>0</v>
      </c>
      <c r="BI284" s="31" t="n">
        <f aca="false">ROUNDDOWN(J284*設定!$C$13/1000,0)</f>
        <v>0</v>
      </c>
      <c r="BJ284" s="31" t="n">
        <f aca="false">ROUNDDOWN(K284*設定!$B$14/1000,0)</f>
        <v>0</v>
      </c>
      <c r="BK284" s="31" t="n">
        <f aca="false">ROUNDDOWN(K284*設定!$C$14/1000,0)</f>
        <v>0</v>
      </c>
      <c r="BL284" s="31" t="n">
        <f aca="false">ROUNDDOWN(J284*設定!$B$15/1000,0)</f>
        <v>0</v>
      </c>
      <c r="BM284" s="31" t="n">
        <f aca="false">ROUNDDOWN(J284*設定!$C$15/1000,0)</f>
        <v>0</v>
      </c>
      <c r="BN284" s="31" t="n">
        <f aca="false">L284+M284</f>
        <v>17950680</v>
      </c>
      <c r="BO284" s="31" t="n">
        <f aca="false">N284+O284+P284</f>
        <v>25286066</v>
      </c>
      <c r="BP284" s="31" t="n">
        <f aca="false">Q284</f>
        <v>9734474</v>
      </c>
      <c r="BQ284" s="31" t="n">
        <f aca="false">R284</f>
        <v>9879856</v>
      </c>
      <c r="BR284" s="31" t="n">
        <f aca="false">S284</f>
        <v>1041536</v>
      </c>
      <c r="BS284" s="31" t="n">
        <f aca="false">T284</f>
        <v>1041536</v>
      </c>
      <c r="BT284" s="31" t="n">
        <f aca="false">U284</f>
        <v>215781</v>
      </c>
      <c r="BU284" s="31" t="n">
        <f aca="false">V284</f>
        <v>215393</v>
      </c>
      <c r="BV284" s="32" t="n">
        <f aca="false">IF(BF284=0,IF(BN284=0,0,1),(BN284-BF284)/BF284)</f>
        <v>1</v>
      </c>
      <c r="BW284" s="32" t="n">
        <f aca="false">IF(BG284=0,IF(BO284=0,0,1),(BO284-BG284)/BG284)</f>
        <v>1</v>
      </c>
      <c r="BX284" s="32" t="n">
        <f aca="false">IF(BH284=0,IF(BP284=0,0,1),(BP284-BH284)/BH284)</f>
        <v>1</v>
      </c>
      <c r="BY284" s="32" t="n">
        <f aca="false">IF(BI284=0,IF(BQ284=0,0,1),(BQ284-BI284)/BI284)</f>
        <v>1</v>
      </c>
      <c r="BZ284" s="32" t="n">
        <f aca="false">IF(BJ284=0,IF(BR284=0,0,1),(BR284-BJ284)/BJ284)</f>
        <v>1</v>
      </c>
      <c r="CA284" s="32" t="n">
        <f aca="false">IF(BK284=0,IF(BS284=0,0,1),(BS284-BK284)/BK284)</f>
        <v>1</v>
      </c>
      <c r="CB284" s="32" t="n">
        <f aca="false">IF(BL284=0,IF(BT284=0,0,1),(BT284-BL284)/BL284)</f>
        <v>1</v>
      </c>
      <c r="CC284" s="32" t="n">
        <f aca="false">IF(BM284=0,IF(BU284=0,0,1),(BU284-BM284)/BM284)</f>
        <v>1</v>
      </c>
      <c r="CD284" s="32" t="n">
        <f aca="false">MAX(MAX(BV284:CC284),-MIN(BV284:CC284))</f>
        <v>1</v>
      </c>
      <c r="CE284" s="31" t="n">
        <f aca="false">IF(CI284="","",SUMIFS($CF$7:$CF$696,$A$7:$A$696,CI284,$B$7:$B$696,B284))</f>
        <v>65296471</v>
      </c>
      <c r="CF284" s="31" t="n">
        <f aca="false">SUM(AU284:BE284)</f>
        <v>65365322</v>
      </c>
      <c r="CG284" s="33" t="str">
        <f aca="false">A284&amp;"|"&amp;B284</f>
        <v>2026-09 月例|下水道局</v>
      </c>
      <c r="CH284" s="34" t="str">
        <f aca="false">IFERROR(INDEX(設定!$D$61:$D$106,MATCH(B284,設定!$B$61:$B$106,0)),"Y")</f>
        <v>Y</v>
      </c>
      <c r="CI284" s="34" t="str">
        <f aca="false">IFERROR(INDEX(設定!$D$20:$D$34,MATCH(A284,設定!$A$20:$A$34,0))&amp;"","")</f>
        <v>2026-08 月例</v>
      </c>
    </row>
    <row r="285" customFormat="false" ht="15" hidden="true" customHeight="false" outlineLevel="0" collapsed="false">
      <c r="A285" s="22" t="s">
        <v>213</v>
      </c>
      <c r="B285" s="23" t="s">
        <v>162</v>
      </c>
      <c r="C285" s="10" t="str">
        <f aca="false">IF(G285="","未受領",IF(G285="なし","報告なし",IF(AH285="○","起票済",IF(OR(AG285="○",F285="一致",F285="入金不要"),"入金確認済","受領済"))))</f>
        <v>入金確認済</v>
      </c>
      <c r="D285" s="10" t="str">
        <f aca="false">IF(OR(G285="",G285="なし"),"―",IF(CH285="N","対象外",IF(AND(I285="",J285="",K285=""),"標報未入力",IF(CD285&gt;=設定!$B$4,"要確認","問題なし"))))</f>
        <v>対象外</v>
      </c>
      <c r="E285" s="24" t="str">
        <f aca="false">IF(OR(G285="",G285="なし",CE285="",CF285=0),"―",IF(CF285=CE285,"前月同額",IF(CE285=0,"―",IF(ABS(CF285/CE285-1)&gt;=設定!$B$5,"変動大 "&amp;TEXT(CF285/CE285-1,"+0%;-0%"),"〇"))))</f>
        <v>〇</v>
      </c>
      <c r="F285" s="10" t="str">
        <f aca="false">IF(OR(G285="",G285="なし"),"―",IF(CF285=0,"入金不要",IF(COUNT(Z285,AB285,AD285,AF285)=0,IF(AG285="○","手動確認","未入金"),IF(AND(N(Z285)=Y285,IF(AA285="",TRUE(),N(AB285)=AA285),IF(AC285="",TRUE(),N(AD285)=AC285),IF(AE285="",TRUE(),N(AF285)=AE285)),"一致","不一致"))))</f>
        <v>手動確認</v>
      </c>
      <c r="G285" s="25" t="s">
        <v>159</v>
      </c>
      <c r="H285" s="26"/>
      <c r="I285" s="27"/>
      <c r="J285" s="27"/>
      <c r="K285" s="27"/>
      <c r="L285" s="27" t="n">
        <v>55206890</v>
      </c>
      <c r="M285" s="27" t="n">
        <v>4525154</v>
      </c>
      <c r="N285" s="27" t="n">
        <v>79528245</v>
      </c>
      <c r="O285" s="27" t="n">
        <v>4509405</v>
      </c>
      <c r="P285" s="27" t="n">
        <v>53102</v>
      </c>
      <c r="Q285" s="27" t="n">
        <v>31985730</v>
      </c>
      <c r="R285" s="27" t="n">
        <v>32423703</v>
      </c>
      <c r="S285" s="27" t="n">
        <v>2067746</v>
      </c>
      <c r="T285" s="27" t="n">
        <v>2054869</v>
      </c>
      <c r="U285" s="27" t="n">
        <v>709043</v>
      </c>
      <c r="V285" s="27" t="n">
        <v>706903</v>
      </c>
      <c r="W285" s="10" t="str">
        <f aca="false">IFERROR(INDEX(設定!$E$61:$E$106,MATCH(B285,設定!$B$61:$B$106,0)),"合算")</f>
        <v>合算</v>
      </c>
      <c r="X285" s="28"/>
      <c r="Y285" s="29" t="n">
        <f aca="false">IF(OR(G285="",G285="なし"),"",IF(W285="合算",CF285,IF(W285="掛金・負担金別",(AU285+AV285+AZ285+BB285+BD285),SUM(AU285:AY285))))</f>
        <v>213770790</v>
      </c>
      <c r="Z285" s="27"/>
      <c r="AA285" s="29" t="str">
        <f aca="false">IF(OR(G285="",G285="なし"),"",IF(W285="掛金・負担金別",(AW285+AX285+AY285+BA285+BC285+BE285),IF(W285="経理区分別",AZ285+BA285,"")))</f>
        <v/>
      </c>
      <c r="AB285" s="27"/>
      <c r="AC285" s="29" t="str">
        <f aca="false">IF(OR(G285="",G285="なし"),"",IF(W285="経理区分別",BB285+BC285,""))</f>
        <v/>
      </c>
      <c r="AD285" s="27"/>
      <c r="AE285" s="29" t="str">
        <f aca="false">IF(OR(G285="",G285="なし"),"",IF(W285="経理区分別",BD285+BE285,""))</f>
        <v/>
      </c>
      <c r="AF285" s="27"/>
      <c r="AG285" s="26" t="s">
        <v>160</v>
      </c>
      <c r="AH285" s="26"/>
      <c r="AI285" s="30"/>
      <c r="AJ285" s="31"/>
      <c r="AK285" s="31"/>
      <c r="AL285" s="31"/>
      <c r="AM285" s="31"/>
      <c r="AN285" s="31"/>
      <c r="AO285" s="31"/>
      <c r="AP285" s="31"/>
      <c r="AQ285" s="31"/>
      <c r="AR285" s="31"/>
      <c r="AS285" s="31"/>
      <c r="AT285" s="31"/>
      <c r="AU285" s="31" t="n">
        <f aca="false">IF($G285="",AJ285,L285)</f>
        <v>55206890</v>
      </c>
      <c r="AV285" s="31" t="n">
        <f aca="false">IF($G285="",AK285,M285)</f>
        <v>4525154</v>
      </c>
      <c r="AW285" s="31" t="n">
        <f aca="false">IF($G285="",AL285,N285)</f>
        <v>79528245</v>
      </c>
      <c r="AX285" s="31" t="n">
        <f aca="false">IF($G285="",AM285,O285)</f>
        <v>4509405</v>
      </c>
      <c r="AY285" s="31" t="n">
        <f aca="false">IF($G285="",AN285,P285)</f>
        <v>53102</v>
      </c>
      <c r="AZ285" s="31" t="n">
        <f aca="false">IF($G285="",AO285,Q285)</f>
        <v>31985730</v>
      </c>
      <c r="BA285" s="31" t="n">
        <f aca="false">IF($G285="",AP285,R285)</f>
        <v>32423703</v>
      </c>
      <c r="BB285" s="31" t="n">
        <f aca="false">IF($G285="",AQ285,S285)</f>
        <v>2067746</v>
      </c>
      <c r="BC285" s="31" t="n">
        <f aca="false">IF($G285="",AR285,T285)</f>
        <v>2054869</v>
      </c>
      <c r="BD285" s="31" t="n">
        <f aca="false">IF($G285="",AS285,U285)</f>
        <v>709043</v>
      </c>
      <c r="BE285" s="31" t="n">
        <f aca="false">IF($G285="",AT285,V285)</f>
        <v>706903</v>
      </c>
      <c r="BF285" s="31" t="n">
        <f aca="false">ROUNDDOWN(I285*設定!$B$10/1000,0)+ROUNDDOWN(I285*設定!$B$11/1000,0)</f>
        <v>0</v>
      </c>
      <c r="BG285" s="31" t="n">
        <f aca="false">ROUNDDOWN(I285*設定!$C$10/1000,0)+ROUNDDOWN(I285*設定!$C$11/1000,0)+ROUNDDOWN(I285*設定!$C$12/1000,0)</f>
        <v>0</v>
      </c>
      <c r="BH285" s="31" t="n">
        <f aca="false">ROUNDDOWN(J285*設定!$B$13/1000,0)</f>
        <v>0</v>
      </c>
      <c r="BI285" s="31" t="n">
        <f aca="false">ROUNDDOWN(J285*設定!$C$13/1000,0)</f>
        <v>0</v>
      </c>
      <c r="BJ285" s="31" t="n">
        <f aca="false">ROUNDDOWN(K285*設定!$B$14/1000,0)</f>
        <v>0</v>
      </c>
      <c r="BK285" s="31" t="n">
        <f aca="false">ROUNDDOWN(K285*設定!$C$14/1000,0)</f>
        <v>0</v>
      </c>
      <c r="BL285" s="31" t="n">
        <f aca="false">ROUNDDOWN(J285*設定!$B$15/1000,0)</f>
        <v>0</v>
      </c>
      <c r="BM285" s="31" t="n">
        <f aca="false">ROUNDDOWN(J285*設定!$C$15/1000,0)</f>
        <v>0</v>
      </c>
      <c r="BN285" s="31" t="n">
        <f aca="false">L285+M285</f>
        <v>59732044</v>
      </c>
      <c r="BO285" s="31" t="n">
        <f aca="false">N285+O285+P285</f>
        <v>84090752</v>
      </c>
      <c r="BP285" s="31" t="n">
        <f aca="false">Q285</f>
        <v>31985730</v>
      </c>
      <c r="BQ285" s="31" t="n">
        <f aca="false">R285</f>
        <v>32423703</v>
      </c>
      <c r="BR285" s="31" t="n">
        <f aca="false">S285</f>
        <v>2067746</v>
      </c>
      <c r="BS285" s="31" t="n">
        <f aca="false">T285</f>
        <v>2054869</v>
      </c>
      <c r="BT285" s="31" t="n">
        <f aca="false">U285</f>
        <v>709043</v>
      </c>
      <c r="BU285" s="31" t="n">
        <f aca="false">V285</f>
        <v>706903</v>
      </c>
      <c r="BV285" s="32" t="n">
        <f aca="false">IF(BF285=0,IF(BN285=0,0,1),(BN285-BF285)/BF285)</f>
        <v>1</v>
      </c>
      <c r="BW285" s="32" t="n">
        <f aca="false">IF(BG285=0,IF(BO285=0,0,1),(BO285-BG285)/BG285)</f>
        <v>1</v>
      </c>
      <c r="BX285" s="32" t="n">
        <f aca="false">IF(BH285=0,IF(BP285=0,0,1),(BP285-BH285)/BH285)</f>
        <v>1</v>
      </c>
      <c r="BY285" s="32" t="n">
        <f aca="false">IF(BI285=0,IF(BQ285=0,0,1),(BQ285-BI285)/BI285)</f>
        <v>1</v>
      </c>
      <c r="BZ285" s="32" t="n">
        <f aca="false">IF(BJ285=0,IF(BR285=0,0,1),(BR285-BJ285)/BJ285)</f>
        <v>1</v>
      </c>
      <c r="CA285" s="32" t="n">
        <f aca="false">IF(BK285=0,IF(BS285=0,0,1),(BS285-BK285)/BK285)</f>
        <v>1</v>
      </c>
      <c r="CB285" s="32" t="n">
        <f aca="false">IF(BL285=0,IF(BT285=0,0,1),(BT285-BL285)/BL285)</f>
        <v>1</v>
      </c>
      <c r="CC285" s="32" t="n">
        <f aca="false">IF(BM285=0,IF(BU285=0,0,1),(BU285-BM285)/BM285)</f>
        <v>1</v>
      </c>
      <c r="CD285" s="32" t="n">
        <f aca="false">MAX(MAX(BV285:CC285),-MIN(BV285:CC285))</f>
        <v>1</v>
      </c>
      <c r="CE285" s="31" t="n">
        <f aca="false">IF(CI285="","",SUMIFS($CF$7:$CF$696,$A$7:$A$696,CI285,$B$7:$B$696,B285))</f>
        <v>213889490</v>
      </c>
      <c r="CF285" s="31" t="n">
        <f aca="false">SUM(AU285:BE285)</f>
        <v>213770790</v>
      </c>
      <c r="CG285" s="33" t="str">
        <f aca="false">A285&amp;"|"&amp;B285</f>
        <v>2026-09 月例|消防局</v>
      </c>
      <c r="CH285" s="34" t="str">
        <f aca="false">IFERROR(INDEX(設定!$D$61:$D$106,MATCH(B285,設定!$B$61:$B$106,0)),"Y")</f>
        <v>N</v>
      </c>
      <c r="CI285" s="34" t="str">
        <f aca="false">IFERROR(INDEX(設定!$D$20:$D$34,MATCH(A285,設定!$A$20:$A$34,0))&amp;"","")</f>
        <v>2026-08 月例</v>
      </c>
    </row>
    <row r="286" customFormat="false" ht="15" hidden="true" customHeight="false" outlineLevel="0" collapsed="false">
      <c r="A286" s="22" t="s">
        <v>213</v>
      </c>
      <c r="B286" s="23" t="s">
        <v>163</v>
      </c>
      <c r="C286" s="10" t="str">
        <f aca="false">IF(G286="","未受領",IF(G286="なし","報告なし",IF(AH286="○","起票済",IF(OR(AG286="○",F286="一致",F286="入金不要"),"入金確認済","受領済"))))</f>
        <v>入金確認済</v>
      </c>
      <c r="D286" s="10" t="str">
        <f aca="false">IF(OR(G286="",G286="なし"),"―",IF(CH286="N","対象外",IF(AND(I286="",J286="",K286=""),"標報未入力",IF(CD286&gt;=設定!$B$4,"要確認","問題なし"))))</f>
        <v>標報未入力</v>
      </c>
      <c r="E286" s="24" t="str">
        <f aca="false">IF(OR(G286="",G286="なし",CE286="",CF286=0),"―",IF(CF286=CE286,"前月同額",IF(CE286=0,"―",IF(ABS(CF286/CE286-1)&gt;=設定!$B$5,"変動大 "&amp;TEXT(CF286/CE286-1,"+0%;-0%"),"〇"))))</f>
        <v>〇</v>
      </c>
      <c r="F286" s="10" t="str">
        <f aca="false">IF(OR(G286="",G286="なし"),"―",IF(CF286=0,"入金不要",IF(COUNT(Z286,AB286,AD286,AF286)=0,IF(AG286="○","手動確認","未入金"),IF(AND(N(Z286)=Y286,IF(AA286="",TRUE(),N(AB286)=AA286),IF(AC286="",TRUE(),N(AD286)=AC286),IF(AE286="",TRUE(),N(AF286)=AE286)),"一致","不一致"))))</f>
        <v>手動確認</v>
      </c>
      <c r="G286" s="25" t="s">
        <v>159</v>
      </c>
      <c r="H286" s="26"/>
      <c r="I286" s="27"/>
      <c r="J286" s="27"/>
      <c r="K286" s="27"/>
      <c r="L286" s="27" t="n">
        <v>1792485</v>
      </c>
      <c r="M286" s="27" t="n">
        <v>146925</v>
      </c>
      <c r="N286" s="27" t="n">
        <v>2583702</v>
      </c>
      <c r="O286" s="27" t="n">
        <v>146925</v>
      </c>
      <c r="P286" s="27" t="n">
        <v>1723</v>
      </c>
      <c r="Q286" s="27" t="n">
        <v>1025774</v>
      </c>
      <c r="R286" s="27" t="n">
        <v>1043208</v>
      </c>
      <c r="S286" s="27" t="n">
        <v>103016</v>
      </c>
      <c r="T286" s="27" t="n">
        <v>103016</v>
      </c>
      <c r="U286" s="27" t="n">
        <v>22741</v>
      </c>
      <c r="V286" s="27" t="n">
        <v>22747</v>
      </c>
      <c r="W286" s="10" t="str">
        <f aca="false">IFERROR(INDEX(設定!$E$61:$E$106,MATCH(B286,設定!$B$61:$B$106,0)),"合算")</f>
        <v>合算</v>
      </c>
      <c r="X286" s="28"/>
      <c r="Y286" s="29" t="n">
        <f aca="false">IF(OR(G286="",G286="なし"),"",IF(W286="合算",CF286,IF(W286="掛金・負担金別",(AU286+AV286+AZ286+BB286+BD286),SUM(AU286:AY286))))</f>
        <v>6992262</v>
      </c>
      <c r="Z286" s="27"/>
      <c r="AA286" s="29" t="str">
        <f aca="false">IF(OR(G286="",G286="なし"),"",IF(W286="掛金・負担金別",(AW286+AX286+AY286+BA286+BC286+BE286),IF(W286="経理区分別",AZ286+BA286,"")))</f>
        <v/>
      </c>
      <c r="AB286" s="27"/>
      <c r="AC286" s="29" t="str">
        <f aca="false">IF(OR(G286="",G286="なし"),"",IF(W286="経理区分別",BB286+BC286,""))</f>
        <v/>
      </c>
      <c r="AD286" s="27"/>
      <c r="AE286" s="29" t="str">
        <f aca="false">IF(OR(G286="",G286="なし"),"",IF(W286="経理区分別",BD286+BE286,""))</f>
        <v/>
      </c>
      <c r="AF286" s="27"/>
      <c r="AG286" s="26" t="s">
        <v>160</v>
      </c>
      <c r="AH286" s="26"/>
      <c r="AI286" s="30"/>
      <c r="AJ286" s="31"/>
      <c r="AK286" s="31"/>
      <c r="AL286" s="31"/>
      <c r="AM286" s="31"/>
      <c r="AN286" s="31"/>
      <c r="AO286" s="31"/>
      <c r="AP286" s="31"/>
      <c r="AQ286" s="31"/>
      <c r="AR286" s="31"/>
      <c r="AS286" s="31"/>
      <c r="AT286" s="31"/>
      <c r="AU286" s="31" t="n">
        <f aca="false">IF($G286="",AJ286,L286)</f>
        <v>1792485</v>
      </c>
      <c r="AV286" s="31" t="n">
        <f aca="false">IF($G286="",AK286,M286)</f>
        <v>146925</v>
      </c>
      <c r="AW286" s="31" t="n">
        <f aca="false">IF($G286="",AL286,N286)</f>
        <v>2583702</v>
      </c>
      <c r="AX286" s="31" t="n">
        <f aca="false">IF($G286="",AM286,O286)</f>
        <v>146925</v>
      </c>
      <c r="AY286" s="31" t="n">
        <f aca="false">IF($G286="",AN286,P286)</f>
        <v>1723</v>
      </c>
      <c r="AZ286" s="31" t="n">
        <f aca="false">IF($G286="",AO286,Q286)</f>
        <v>1025774</v>
      </c>
      <c r="BA286" s="31" t="n">
        <f aca="false">IF($G286="",AP286,R286)</f>
        <v>1043208</v>
      </c>
      <c r="BB286" s="31" t="n">
        <f aca="false">IF($G286="",AQ286,S286)</f>
        <v>103016</v>
      </c>
      <c r="BC286" s="31" t="n">
        <f aca="false">IF($G286="",AR286,T286)</f>
        <v>103016</v>
      </c>
      <c r="BD286" s="31" t="n">
        <f aca="false">IF($G286="",AS286,U286)</f>
        <v>22741</v>
      </c>
      <c r="BE286" s="31" t="n">
        <f aca="false">IF($G286="",AT286,V286)</f>
        <v>22747</v>
      </c>
      <c r="BF286" s="31" t="n">
        <f aca="false">ROUNDDOWN(I286*設定!$B$10/1000,0)+ROUNDDOWN(I286*設定!$B$11/1000,0)</f>
        <v>0</v>
      </c>
      <c r="BG286" s="31" t="n">
        <f aca="false">ROUNDDOWN(I286*設定!$C$10/1000,0)+ROUNDDOWN(I286*設定!$C$11/1000,0)+ROUNDDOWN(I286*設定!$C$12/1000,0)</f>
        <v>0</v>
      </c>
      <c r="BH286" s="31" t="n">
        <f aca="false">ROUNDDOWN(J286*設定!$B$13/1000,0)</f>
        <v>0</v>
      </c>
      <c r="BI286" s="31" t="n">
        <f aca="false">ROUNDDOWN(J286*設定!$C$13/1000,0)</f>
        <v>0</v>
      </c>
      <c r="BJ286" s="31" t="n">
        <f aca="false">ROUNDDOWN(K286*設定!$B$14/1000,0)</f>
        <v>0</v>
      </c>
      <c r="BK286" s="31" t="n">
        <f aca="false">ROUNDDOWN(K286*設定!$C$14/1000,0)</f>
        <v>0</v>
      </c>
      <c r="BL286" s="31" t="n">
        <f aca="false">ROUNDDOWN(J286*設定!$B$15/1000,0)</f>
        <v>0</v>
      </c>
      <c r="BM286" s="31" t="n">
        <f aca="false">ROUNDDOWN(J286*設定!$C$15/1000,0)</f>
        <v>0</v>
      </c>
      <c r="BN286" s="31" t="n">
        <f aca="false">L286+M286</f>
        <v>1939410</v>
      </c>
      <c r="BO286" s="31" t="n">
        <f aca="false">N286+O286+P286</f>
        <v>2732350</v>
      </c>
      <c r="BP286" s="31" t="n">
        <f aca="false">Q286</f>
        <v>1025774</v>
      </c>
      <c r="BQ286" s="31" t="n">
        <f aca="false">R286</f>
        <v>1043208</v>
      </c>
      <c r="BR286" s="31" t="n">
        <f aca="false">S286</f>
        <v>103016</v>
      </c>
      <c r="BS286" s="31" t="n">
        <f aca="false">T286</f>
        <v>103016</v>
      </c>
      <c r="BT286" s="31" t="n">
        <f aca="false">U286</f>
        <v>22741</v>
      </c>
      <c r="BU286" s="31" t="n">
        <f aca="false">V286</f>
        <v>22747</v>
      </c>
      <c r="BV286" s="32" t="n">
        <f aca="false">IF(BF286=0,IF(BN286=0,0,1),(BN286-BF286)/BF286)</f>
        <v>1</v>
      </c>
      <c r="BW286" s="32" t="n">
        <f aca="false">IF(BG286=0,IF(BO286=0,0,1),(BO286-BG286)/BG286)</f>
        <v>1</v>
      </c>
      <c r="BX286" s="32" t="n">
        <f aca="false">IF(BH286=0,IF(BP286=0,0,1),(BP286-BH286)/BH286)</f>
        <v>1</v>
      </c>
      <c r="BY286" s="32" t="n">
        <f aca="false">IF(BI286=0,IF(BQ286=0,0,1),(BQ286-BI286)/BI286)</f>
        <v>1</v>
      </c>
      <c r="BZ286" s="32" t="n">
        <f aca="false">IF(BJ286=0,IF(BR286=0,0,1),(BR286-BJ286)/BJ286)</f>
        <v>1</v>
      </c>
      <c r="CA286" s="32" t="n">
        <f aca="false">IF(BK286=0,IF(BS286=0,0,1),(BS286-BK286)/BK286)</f>
        <v>1</v>
      </c>
      <c r="CB286" s="32" t="n">
        <f aca="false">IF(BL286=0,IF(BT286=0,0,1),(BT286-BL286)/BL286)</f>
        <v>1</v>
      </c>
      <c r="CC286" s="32" t="n">
        <f aca="false">IF(BM286=0,IF(BU286=0,0,1),(BU286-BM286)/BM286)</f>
        <v>1</v>
      </c>
      <c r="CD286" s="32" t="n">
        <f aca="false">MAX(MAX(BV286:CC286),-MIN(BV286:CC286))</f>
        <v>1</v>
      </c>
      <c r="CE286" s="31" t="n">
        <f aca="false">IF(CI286="","",SUMIFS($CF$7:$CF$696,$A$7:$A$696,CI286,$B$7:$B$696,B286))</f>
        <v>7093426</v>
      </c>
      <c r="CF286" s="31" t="n">
        <f aca="false">SUM(AU286:BE286)</f>
        <v>6992262</v>
      </c>
      <c r="CG286" s="33" t="str">
        <f aca="false">A286&amp;"|"&amp;B286</f>
        <v>2026-09 月例|議会事務局</v>
      </c>
      <c r="CH286" s="34" t="str">
        <f aca="false">IFERROR(INDEX(設定!$D$61:$D$106,MATCH(B286,設定!$B$61:$B$106,0)),"Y")</f>
        <v>Y</v>
      </c>
      <c r="CI286" s="34" t="str">
        <f aca="false">IFERROR(INDEX(設定!$D$20:$D$34,MATCH(A286,設定!$A$20:$A$34,0))&amp;"","")</f>
        <v>2026-08 月例</v>
      </c>
    </row>
    <row r="287" customFormat="false" ht="15" hidden="true" customHeight="false" outlineLevel="0" collapsed="false">
      <c r="A287" s="22" t="s">
        <v>213</v>
      </c>
      <c r="B287" s="23" t="s">
        <v>164</v>
      </c>
      <c r="C287" s="10" t="str">
        <f aca="false">IF(G287="","未受領",IF(G287="なし","報告なし",IF(AH287="○","起票済",IF(OR(AG287="○",F287="一致",F287="入金不要"),"入金確認済","受領済"))))</f>
        <v>入金確認済</v>
      </c>
      <c r="D287" s="10" t="str">
        <f aca="false">IF(OR(G287="",G287="なし"),"―",IF(CH287="N","対象外",IF(AND(I287="",J287="",K287=""),"標報未入力",IF(CD287&gt;=設定!$B$4,"要確認","問題なし"))))</f>
        <v>対象外</v>
      </c>
      <c r="E287" s="24" t="str">
        <f aca="false">IF(OR(G287="",G287="なし",CE287="",CF287=0),"―",IF(CF287=CE287,"前月同額",IF(CE287=0,"―",IF(ABS(CF287/CE287-1)&gt;=設定!$B$5,"変動大 "&amp;TEXT(CF287/CE287-1,"+0%;-0%"),"〇"))))</f>
        <v>〇</v>
      </c>
      <c r="F287" s="10" t="str">
        <f aca="false">IF(OR(G287="",G287="なし"),"―",IF(CF287=0,"入金不要",IF(COUNT(Z287,AB287,AD287,AF287)=0,IF(AG287="○","手動確認","未入金"),IF(AND(N(Z287)=Y287,IF(AA287="",TRUE(),N(AB287)=AA287),IF(AC287="",TRUE(),N(AD287)=AC287),IF(AE287="",TRUE(),N(AF287)=AE287)),"一致","不一致"))))</f>
        <v>手動確認</v>
      </c>
      <c r="G287" s="25" t="s">
        <v>159</v>
      </c>
      <c r="H287" s="26"/>
      <c r="I287" s="27"/>
      <c r="J287" s="27"/>
      <c r="K287" s="27"/>
      <c r="L287" s="27" t="n">
        <v>24740685</v>
      </c>
      <c r="M287" s="27" t="n">
        <v>2027925</v>
      </c>
      <c r="N287" s="27" t="n">
        <v>35652138</v>
      </c>
      <c r="O287" s="27" t="n">
        <v>2027925</v>
      </c>
      <c r="P287" s="27" t="n">
        <v>23758</v>
      </c>
      <c r="Q287" s="27" t="n">
        <v>24442417</v>
      </c>
      <c r="R287" s="27" t="n">
        <v>24886462</v>
      </c>
      <c r="S287" s="27" t="n">
        <v>2870104</v>
      </c>
      <c r="T287" s="27" t="n">
        <v>2873699</v>
      </c>
      <c r="U287" s="27" t="n">
        <v>541422</v>
      </c>
      <c r="V287" s="27" t="n">
        <v>542621</v>
      </c>
      <c r="W287" s="10" t="str">
        <f aca="false">IFERROR(INDEX(設定!$E$61:$E$106,MATCH(B287,設定!$B$61:$B$106,0)),"合算")</f>
        <v>合算</v>
      </c>
      <c r="X287" s="28"/>
      <c r="Y287" s="29" t="n">
        <f aca="false">IF(OR(G287="",G287="なし"),"",IF(W287="合算",CF287,IF(W287="掛金・負担金別",(AU287+AV287+AZ287+BB287+BD287),SUM(AU287:AY287))))</f>
        <v>120629156</v>
      </c>
      <c r="Z287" s="27"/>
      <c r="AA287" s="29" t="str">
        <f aca="false">IF(OR(G287="",G287="なし"),"",IF(W287="掛金・負担金別",(AW287+AX287+AY287+BA287+BC287+BE287),IF(W287="経理区分別",AZ287+BA287,"")))</f>
        <v/>
      </c>
      <c r="AB287" s="27"/>
      <c r="AC287" s="29" t="str">
        <f aca="false">IF(OR(G287="",G287="なし"),"",IF(W287="経理区分別",BB287+BC287,""))</f>
        <v/>
      </c>
      <c r="AD287" s="27"/>
      <c r="AE287" s="29" t="str">
        <f aca="false">IF(OR(G287="",G287="なし"),"",IF(W287="経理区分別",BD287+BE287,""))</f>
        <v/>
      </c>
      <c r="AF287" s="27"/>
      <c r="AG287" s="26" t="s">
        <v>160</v>
      </c>
      <c r="AH287" s="26"/>
      <c r="AI287" s="30"/>
      <c r="AJ287" s="31"/>
      <c r="AK287" s="31"/>
      <c r="AL287" s="31"/>
      <c r="AM287" s="31"/>
      <c r="AN287" s="31"/>
      <c r="AO287" s="31"/>
      <c r="AP287" s="31"/>
      <c r="AQ287" s="31"/>
      <c r="AR287" s="31"/>
      <c r="AS287" s="31"/>
      <c r="AT287" s="31"/>
      <c r="AU287" s="31" t="n">
        <f aca="false">IF($G287="",AJ287,L287)</f>
        <v>24740685</v>
      </c>
      <c r="AV287" s="31" t="n">
        <f aca="false">IF($G287="",AK287,M287)</f>
        <v>2027925</v>
      </c>
      <c r="AW287" s="31" t="n">
        <f aca="false">IF($G287="",AL287,N287)</f>
        <v>35652138</v>
      </c>
      <c r="AX287" s="31" t="n">
        <f aca="false">IF($G287="",AM287,O287)</f>
        <v>2027925</v>
      </c>
      <c r="AY287" s="31" t="n">
        <f aca="false">IF($G287="",AN287,P287)</f>
        <v>23758</v>
      </c>
      <c r="AZ287" s="31" t="n">
        <f aca="false">IF($G287="",AO287,Q287)</f>
        <v>24442417</v>
      </c>
      <c r="BA287" s="31" t="n">
        <f aca="false">IF($G287="",AP287,R287)</f>
        <v>24886462</v>
      </c>
      <c r="BB287" s="31" t="n">
        <f aca="false">IF($G287="",AQ287,S287)</f>
        <v>2870104</v>
      </c>
      <c r="BC287" s="31" t="n">
        <f aca="false">IF($G287="",AR287,T287)</f>
        <v>2873699</v>
      </c>
      <c r="BD287" s="31" t="n">
        <f aca="false">IF($G287="",AS287,U287)</f>
        <v>541422</v>
      </c>
      <c r="BE287" s="31" t="n">
        <f aca="false">IF($G287="",AT287,V287)</f>
        <v>542621</v>
      </c>
      <c r="BF287" s="31" t="n">
        <f aca="false">ROUNDDOWN(I287*設定!$B$10/1000,0)+ROUNDDOWN(I287*設定!$B$11/1000,0)</f>
        <v>0</v>
      </c>
      <c r="BG287" s="31" t="n">
        <f aca="false">ROUNDDOWN(I287*設定!$C$10/1000,0)+ROUNDDOWN(I287*設定!$C$11/1000,0)+ROUNDDOWN(I287*設定!$C$12/1000,0)</f>
        <v>0</v>
      </c>
      <c r="BH287" s="31" t="n">
        <f aca="false">ROUNDDOWN(J287*設定!$B$13/1000,0)</f>
        <v>0</v>
      </c>
      <c r="BI287" s="31" t="n">
        <f aca="false">ROUNDDOWN(J287*設定!$C$13/1000,0)</f>
        <v>0</v>
      </c>
      <c r="BJ287" s="31" t="n">
        <f aca="false">ROUNDDOWN(K287*設定!$B$14/1000,0)</f>
        <v>0</v>
      </c>
      <c r="BK287" s="31" t="n">
        <f aca="false">ROUNDDOWN(K287*設定!$C$14/1000,0)</f>
        <v>0</v>
      </c>
      <c r="BL287" s="31" t="n">
        <f aca="false">ROUNDDOWN(J287*設定!$B$15/1000,0)</f>
        <v>0</v>
      </c>
      <c r="BM287" s="31" t="n">
        <f aca="false">ROUNDDOWN(J287*設定!$C$15/1000,0)</f>
        <v>0</v>
      </c>
      <c r="BN287" s="31" t="n">
        <f aca="false">L287+M287</f>
        <v>26768610</v>
      </c>
      <c r="BO287" s="31" t="n">
        <f aca="false">N287+O287+P287</f>
        <v>37703821</v>
      </c>
      <c r="BP287" s="31" t="n">
        <f aca="false">Q287</f>
        <v>24442417</v>
      </c>
      <c r="BQ287" s="31" t="n">
        <f aca="false">R287</f>
        <v>24886462</v>
      </c>
      <c r="BR287" s="31" t="n">
        <f aca="false">S287</f>
        <v>2870104</v>
      </c>
      <c r="BS287" s="31" t="n">
        <f aca="false">T287</f>
        <v>2873699</v>
      </c>
      <c r="BT287" s="31" t="n">
        <f aca="false">U287</f>
        <v>541422</v>
      </c>
      <c r="BU287" s="31" t="n">
        <f aca="false">V287</f>
        <v>542621</v>
      </c>
      <c r="BV287" s="32" t="n">
        <f aca="false">IF(BF287=0,IF(BN287=0,0,1),(BN287-BF287)/BF287)</f>
        <v>1</v>
      </c>
      <c r="BW287" s="32" t="n">
        <f aca="false">IF(BG287=0,IF(BO287=0,0,1),(BO287-BG287)/BG287)</f>
        <v>1</v>
      </c>
      <c r="BX287" s="32" t="n">
        <f aca="false">IF(BH287=0,IF(BP287=0,0,1),(BP287-BH287)/BH287)</f>
        <v>1</v>
      </c>
      <c r="BY287" s="32" t="n">
        <f aca="false">IF(BI287=0,IF(BQ287=0,0,1),(BQ287-BI287)/BI287)</f>
        <v>1</v>
      </c>
      <c r="BZ287" s="32" t="n">
        <f aca="false">IF(BJ287=0,IF(BR287=0,0,1),(BR287-BJ287)/BJ287)</f>
        <v>1</v>
      </c>
      <c r="CA287" s="32" t="n">
        <f aca="false">IF(BK287=0,IF(BS287=0,0,1),(BS287-BK287)/BK287)</f>
        <v>1</v>
      </c>
      <c r="CB287" s="32" t="n">
        <f aca="false">IF(BL287=0,IF(BT287=0,0,1),(BT287-BL287)/BL287)</f>
        <v>1</v>
      </c>
      <c r="CC287" s="32" t="n">
        <f aca="false">IF(BM287=0,IF(BU287=0,0,1),(BU287-BM287)/BM287)</f>
        <v>1</v>
      </c>
      <c r="CD287" s="32" t="n">
        <f aca="false">MAX(MAX(BV287:CC287),-MIN(BV287:CC287))</f>
        <v>1</v>
      </c>
      <c r="CE287" s="31" t="n">
        <f aca="false">IF(CI287="","",SUMIFS($CF$7:$CF$696,$A$7:$A$696,CI287,$B$7:$B$696,B287))</f>
        <v>118142534</v>
      </c>
      <c r="CF287" s="31" t="n">
        <f aca="false">SUM(AU287:BE287)</f>
        <v>120629156</v>
      </c>
      <c r="CG287" s="33" t="str">
        <f aca="false">A287&amp;"|"&amp;B287</f>
        <v>2026-09 月例|教育委員会（総務課）</v>
      </c>
      <c r="CH287" s="34" t="str">
        <f aca="false">IFERROR(INDEX(設定!$D$61:$D$106,MATCH(B287,設定!$B$61:$B$106,0)),"Y")</f>
        <v>N</v>
      </c>
      <c r="CI287" s="34" t="str">
        <f aca="false">IFERROR(INDEX(設定!$D$20:$D$34,MATCH(A287,設定!$A$20:$A$34,0))&amp;"","")</f>
        <v>2026-08 月例</v>
      </c>
    </row>
    <row r="288" customFormat="false" ht="15" hidden="true" customHeight="false" outlineLevel="0" collapsed="false">
      <c r="A288" s="22" t="s">
        <v>213</v>
      </c>
      <c r="B288" s="23" t="s">
        <v>165</v>
      </c>
      <c r="C288" s="10" t="str">
        <f aca="false">IF(G288="","未受領",IF(G288="なし","報告なし",IF(AH288="○","起票済",IF(OR(AG288="○",F288="一致",F288="入金不要"),"入金確認済","受領済"))))</f>
        <v>入金確認済</v>
      </c>
      <c r="D288" s="10" t="str">
        <f aca="false">IF(OR(G288="",G288="なし"),"―",IF(CH288="N","対象外",IF(AND(I288="",J288="",K288=""),"標報未入力",IF(CD288&gt;=設定!$B$4,"要確認","問題なし"))))</f>
        <v>標報未入力</v>
      </c>
      <c r="E288" s="24" t="str">
        <f aca="false">IF(OR(G288="",G288="なし",CE288="",CF288=0),"―",IF(CF288=CE288,"前月同額",IF(CE288=0,"―",IF(ABS(CF288/CE288-1)&gt;=設定!$B$5,"変動大 "&amp;TEXT(CF288/CE288-1,"+0%;-0%"),"〇"))))</f>
        <v>〇</v>
      </c>
      <c r="F288" s="10" t="str">
        <f aca="false">IF(OR(G288="",G288="なし"),"―",IF(CF288=0,"入金不要",IF(COUNT(Z288,AB288,AD288,AF288)=0,IF(AG288="○","手動確認","未入金"),IF(AND(N(Z288)=Y288,IF(AA288="",TRUE(),N(AB288)=AA288),IF(AC288="",TRUE(),N(AD288)=AC288),IF(AE288="",TRUE(),N(AF288)=AE288)),"一致","不一致"))))</f>
        <v>手動確認</v>
      </c>
      <c r="G288" s="25" t="s">
        <v>159</v>
      </c>
      <c r="H288" s="26"/>
      <c r="I288" s="27"/>
      <c r="J288" s="27"/>
      <c r="K288" s="27"/>
      <c r="L288" s="27" t="n">
        <v>250710</v>
      </c>
      <c r="M288" s="27" t="n">
        <v>20550</v>
      </c>
      <c r="N288" s="27" t="n">
        <v>360036</v>
      </c>
      <c r="O288" s="27" t="n">
        <v>20550</v>
      </c>
      <c r="P288" s="27" t="n">
        <v>238</v>
      </c>
      <c r="Q288" s="27" t="n">
        <v>162838</v>
      </c>
      <c r="R288" s="27" t="n">
        <v>165572</v>
      </c>
      <c r="S288" s="27" t="n">
        <v>15879</v>
      </c>
      <c r="T288" s="27" t="n">
        <v>15879</v>
      </c>
      <c r="U288" s="27" t="n">
        <v>3609</v>
      </c>
      <c r="V288" s="27" t="n">
        <v>3611</v>
      </c>
      <c r="W288" s="10" t="str">
        <f aca="false">IFERROR(INDEX(設定!$E$61:$E$106,MATCH(B288,設定!$B$61:$B$106,0)),"合算")</f>
        <v>合算</v>
      </c>
      <c r="X288" s="28"/>
      <c r="Y288" s="29" t="n">
        <f aca="false">IF(OR(G288="",G288="なし"),"",IF(W288="合算",CF288,IF(W288="掛金・負担金別",(AU288+AV288+AZ288+BB288+BD288),SUM(AU288:AY288))))</f>
        <v>1019472</v>
      </c>
      <c r="Z288" s="27"/>
      <c r="AA288" s="29" t="str">
        <f aca="false">IF(OR(G288="",G288="なし"),"",IF(W288="掛金・負担金別",(AW288+AX288+AY288+BA288+BC288+BE288),IF(W288="経理区分別",AZ288+BA288,"")))</f>
        <v/>
      </c>
      <c r="AB288" s="27"/>
      <c r="AC288" s="29" t="str">
        <f aca="false">IF(OR(G288="",G288="なし"),"",IF(W288="経理区分別",BB288+BC288,""))</f>
        <v/>
      </c>
      <c r="AD288" s="27"/>
      <c r="AE288" s="29" t="str">
        <f aca="false">IF(OR(G288="",G288="なし"),"",IF(W288="経理区分別",BD288+BE288,""))</f>
        <v/>
      </c>
      <c r="AF288" s="27"/>
      <c r="AG288" s="26" t="s">
        <v>160</v>
      </c>
      <c r="AH288" s="26"/>
      <c r="AI288" s="30"/>
      <c r="AJ288" s="31"/>
      <c r="AK288" s="31"/>
      <c r="AL288" s="31"/>
      <c r="AM288" s="31"/>
      <c r="AN288" s="31"/>
      <c r="AO288" s="31"/>
      <c r="AP288" s="31"/>
      <c r="AQ288" s="31"/>
      <c r="AR288" s="31"/>
      <c r="AS288" s="31"/>
      <c r="AT288" s="31"/>
      <c r="AU288" s="31" t="n">
        <f aca="false">IF($G288="",AJ288,L288)</f>
        <v>250710</v>
      </c>
      <c r="AV288" s="31" t="n">
        <f aca="false">IF($G288="",AK288,M288)</f>
        <v>20550</v>
      </c>
      <c r="AW288" s="31" t="n">
        <f aca="false">IF($G288="",AL288,N288)</f>
        <v>360036</v>
      </c>
      <c r="AX288" s="31" t="n">
        <f aca="false">IF($G288="",AM288,O288)</f>
        <v>20550</v>
      </c>
      <c r="AY288" s="31" t="n">
        <f aca="false">IF($G288="",AN288,P288)</f>
        <v>238</v>
      </c>
      <c r="AZ288" s="31" t="n">
        <f aca="false">IF($G288="",AO288,Q288)</f>
        <v>162838</v>
      </c>
      <c r="BA288" s="31" t="n">
        <f aca="false">IF($G288="",AP288,R288)</f>
        <v>165572</v>
      </c>
      <c r="BB288" s="31" t="n">
        <f aca="false">IF($G288="",AQ288,S288)</f>
        <v>15879</v>
      </c>
      <c r="BC288" s="31" t="n">
        <f aca="false">IF($G288="",AR288,T288)</f>
        <v>15879</v>
      </c>
      <c r="BD288" s="31" t="n">
        <f aca="false">IF($G288="",AS288,U288)</f>
        <v>3609</v>
      </c>
      <c r="BE288" s="31" t="n">
        <f aca="false">IF($G288="",AT288,V288)</f>
        <v>3611</v>
      </c>
      <c r="BF288" s="31" t="n">
        <f aca="false">ROUNDDOWN(I288*設定!$B$10/1000,0)+ROUNDDOWN(I288*設定!$B$11/1000,0)</f>
        <v>0</v>
      </c>
      <c r="BG288" s="31" t="n">
        <f aca="false">ROUNDDOWN(I288*設定!$C$10/1000,0)+ROUNDDOWN(I288*設定!$C$11/1000,0)+ROUNDDOWN(I288*設定!$C$12/1000,0)</f>
        <v>0</v>
      </c>
      <c r="BH288" s="31" t="n">
        <f aca="false">ROUNDDOWN(J288*設定!$B$13/1000,0)</f>
        <v>0</v>
      </c>
      <c r="BI288" s="31" t="n">
        <f aca="false">ROUNDDOWN(J288*設定!$C$13/1000,0)</f>
        <v>0</v>
      </c>
      <c r="BJ288" s="31" t="n">
        <f aca="false">ROUNDDOWN(K288*設定!$B$14/1000,0)</f>
        <v>0</v>
      </c>
      <c r="BK288" s="31" t="n">
        <f aca="false">ROUNDDOWN(K288*設定!$C$14/1000,0)</f>
        <v>0</v>
      </c>
      <c r="BL288" s="31" t="n">
        <f aca="false">ROUNDDOWN(J288*設定!$B$15/1000,0)</f>
        <v>0</v>
      </c>
      <c r="BM288" s="31" t="n">
        <f aca="false">ROUNDDOWN(J288*設定!$C$15/1000,0)</f>
        <v>0</v>
      </c>
      <c r="BN288" s="31" t="n">
        <f aca="false">L288+M288</f>
        <v>271260</v>
      </c>
      <c r="BO288" s="31" t="n">
        <f aca="false">N288+O288+P288</f>
        <v>380824</v>
      </c>
      <c r="BP288" s="31" t="n">
        <f aca="false">Q288</f>
        <v>162838</v>
      </c>
      <c r="BQ288" s="31" t="n">
        <f aca="false">R288</f>
        <v>165572</v>
      </c>
      <c r="BR288" s="31" t="n">
        <f aca="false">S288</f>
        <v>15879</v>
      </c>
      <c r="BS288" s="31" t="n">
        <f aca="false">T288</f>
        <v>15879</v>
      </c>
      <c r="BT288" s="31" t="n">
        <f aca="false">U288</f>
        <v>3609</v>
      </c>
      <c r="BU288" s="31" t="n">
        <f aca="false">V288</f>
        <v>3611</v>
      </c>
      <c r="BV288" s="32" t="n">
        <f aca="false">IF(BF288=0,IF(BN288=0,0,1),(BN288-BF288)/BF288)</f>
        <v>1</v>
      </c>
      <c r="BW288" s="32" t="n">
        <f aca="false">IF(BG288=0,IF(BO288=0,0,1),(BO288-BG288)/BG288)</f>
        <v>1</v>
      </c>
      <c r="BX288" s="32" t="n">
        <f aca="false">IF(BH288=0,IF(BP288=0,0,1),(BP288-BH288)/BH288)</f>
        <v>1</v>
      </c>
      <c r="BY288" s="32" t="n">
        <f aca="false">IF(BI288=0,IF(BQ288=0,0,1),(BQ288-BI288)/BI288)</f>
        <v>1</v>
      </c>
      <c r="BZ288" s="32" t="n">
        <f aca="false">IF(BJ288=0,IF(BR288=0,0,1),(BR288-BJ288)/BJ288)</f>
        <v>1</v>
      </c>
      <c r="CA288" s="32" t="n">
        <f aca="false">IF(BK288=0,IF(BS288=0,0,1),(BS288-BK288)/BK288)</f>
        <v>1</v>
      </c>
      <c r="CB288" s="32" t="n">
        <f aca="false">IF(BL288=0,IF(BT288=0,0,1),(BT288-BL288)/BL288)</f>
        <v>1</v>
      </c>
      <c r="CC288" s="32" t="n">
        <f aca="false">IF(BM288=0,IF(BU288=0,0,1),(BU288-BM288)/BM288)</f>
        <v>1</v>
      </c>
      <c r="CD288" s="32" t="n">
        <f aca="false">MAX(MAX(BV288:CC288),-MIN(BV288:CC288))</f>
        <v>1</v>
      </c>
      <c r="CE288" s="31" t="n">
        <f aca="false">IF(CI288="","",SUMIFS($CF$7:$CF$696,$A$7:$A$696,CI288,$B$7:$B$696,B288))</f>
        <v>1090667</v>
      </c>
      <c r="CF288" s="31" t="n">
        <f aca="false">SUM(AU288:BE288)</f>
        <v>1019472</v>
      </c>
      <c r="CG288" s="33" t="str">
        <f aca="false">A288&amp;"|"&amp;B288</f>
        <v>2026-09 月例|選挙管理委員会</v>
      </c>
      <c r="CH288" s="34" t="str">
        <f aca="false">IFERROR(INDEX(設定!$D$61:$D$106,MATCH(B288,設定!$B$61:$B$106,0)),"Y")</f>
        <v>Y</v>
      </c>
      <c r="CI288" s="34" t="str">
        <f aca="false">IFERROR(INDEX(設定!$D$20:$D$34,MATCH(A288,設定!$A$20:$A$34,0))&amp;"","")</f>
        <v>2026-08 月例</v>
      </c>
    </row>
    <row r="289" customFormat="false" ht="15" hidden="true" customHeight="false" outlineLevel="0" collapsed="false">
      <c r="A289" s="22" t="s">
        <v>213</v>
      </c>
      <c r="B289" s="23" t="s">
        <v>166</v>
      </c>
      <c r="C289" s="10" t="str">
        <f aca="false">IF(G289="","未受領",IF(G289="なし","報告なし",IF(AH289="○","起票済",IF(OR(AG289="○",F289="一致",F289="入金不要"),"入金確認済","受領済"))))</f>
        <v>入金確認済</v>
      </c>
      <c r="D289" s="10" t="str">
        <f aca="false">IF(OR(G289="",G289="なし"),"―",IF(CH289="N","対象外",IF(AND(I289="",J289="",K289=""),"標報未入力",IF(CD289&gt;=設定!$B$4,"要確認","問題なし"))))</f>
        <v>標報未入力</v>
      </c>
      <c r="E289" s="24" t="str">
        <f aca="false">IF(OR(G289="",G289="なし",CE289="",CF289=0),"―",IF(CF289=CE289,"前月同額",IF(CE289=0,"―",IF(ABS(CF289/CE289-1)&gt;=設定!$B$5,"変動大 "&amp;TEXT(CF289/CE289-1,"+0%;-0%"),"〇"))))</f>
        <v>〇</v>
      </c>
      <c r="F289" s="10" t="str">
        <f aca="false">IF(OR(G289="",G289="なし"),"―",IF(CF289=0,"入金不要",IF(COUNT(Z289,AB289,AD289,AF289)=0,IF(AG289="○","手動確認","未入金"),IF(AND(N(Z289)=Y289,IF(AA289="",TRUE(),N(AB289)=AA289),IF(AC289="",TRUE(),N(AD289)=AC289),IF(AE289="",TRUE(),N(AF289)=AE289)),"一致","不一致"))))</f>
        <v>手動確認</v>
      </c>
      <c r="G289" s="25" t="s">
        <v>159</v>
      </c>
      <c r="H289" s="26"/>
      <c r="I289" s="27"/>
      <c r="J289" s="27"/>
      <c r="K289" s="27"/>
      <c r="L289" s="27" t="n">
        <v>616710</v>
      </c>
      <c r="M289" s="27" t="n">
        <v>50550</v>
      </c>
      <c r="N289" s="27" t="n">
        <v>885636</v>
      </c>
      <c r="O289" s="27" t="n">
        <v>50550</v>
      </c>
      <c r="P289" s="27" t="n">
        <v>585</v>
      </c>
      <c r="Q289" s="27" t="n">
        <v>363015</v>
      </c>
      <c r="R289" s="27" t="n">
        <v>369109</v>
      </c>
      <c r="S289" s="27" t="n">
        <v>30257</v>
      </c>
      <c r="T289" s="27" t="n">
        <v>30257</v>
      </c>
      <c r="U289" s="27" t="n">
        <v>8048</v>
      </c>
      <c r="V289" s="27" t="n">
        <v>8050</v>
      </c>
      <c r="W289" s="10" t="str">
        <f aca="false">IFERROR(INDEX(設定!$E$61:$E$106,MATCH(B289,設定!$B$61:$B$106,0)),"合算")</f>
        <v>合算</v>
      </c>
      <c r="X289" s="28"/>
      <c r="Y289" s="29" t="n">
        <f aca="false">IF(OR(G289="",G289="なし"),"",IF(W289="合算",CF289,IF(W289="掛金・負担金別",(AU289+AV289+AZ289+BB289+BD289),SUM(AU289:AY289))))</f>
        <v>2412767</v>
      </c>
      <c r="Z289" s="27"/>
      <c r="AA289" s="29" t="str">
        <f aca="false">IF(OR(G289="",G289="なし"),"",IF(W289="掛金・負担金別",(AW289+AX289+AY289+BA289+BC289+BE289),IF(W289="経理区分別",AZ289+BA289,"")))</f>
        <v/>
      </c>
      <c r="AB289" s="27"/>
      <c r="AC289" s="29" t="str">
        <f aca="false">IF(OR(G289="",G289="なし"),"",IF(W289="経理区分別",BB289+BC289,""))</f>
        <v/>
      </c>
      <c r="AD289" s="27"/>
      <c r="AE289" s="29" t="str">
        <f aca="false">IF(OR(G289="",G289="なし"),"",IF(W289="経理区分別",BD289+BE289,""))</f>
        <v/>
      </c>
      <c r="AF289" s="27"/>
      <c r="AG289" s="26" t="s">
        <v>160</v>
      </c>
      <c r="AH289" s="26"/>
      <c r="AI289" s="30"/>
      <c r="AJ289" s="31"/>
      <c r="AK289" s="31"/>
      <c r="AL289" s="31"/>
      <c r="AM289" s="31"/>
      <c r="AN289" s="31"/>
      <c r="AO289" s="31"/>
      <c r="AP289" s="31"/>
      <c r="AQ289" s="31"/>
      <c r="AR289" s="31"/>
      <c r="AS289" s="31"/>
      <c r="AT289" s="31"/>
      <c r="AU289" s="31" t="n">
        <f aca="false">IF($G289="",AJ289,L289)</f>
        <v>616710</v>
      </c>
      <c r="AV289" s="31" t="n">
        <f aca="false">IF($G289="",AK289,M289)</f>
        <v>50550</v>
      </c>
      <c r="AW289" s="31" t="n">
        <f aca="false">IF($G289="",AL289,N289)</f>
        <v>885636</v>
      </c>
      <c r="AX289" s="31" t="n">
        <f aca="false">IF($G289="",AM289,O289)</f>
        <v>50550</v>
      </c>
      <c r="AY289" s="31" t="n">
        <f aca="false">IF($G289="",AN289,P289)</f>
        <v>585</v>
      </c>
      <c r="AZ289" s="31" t="n">
        <f aca="false">IF($G289="",AO289,Q289)</f>
        <v>363015</v>
      </c>
      <c r="BA289" s="31" t="n">
        <f aca="false">IF($G289="",AP289,R289)</f>
        <v>369109</v>
      </c>
      <c r="BB289" s="31" t="n">
        <f aca="false">IF($G289="",AQ289,S289)</f>
        <v>30257</v>
      </c>
      <c r="BC289" s="31" t="n">
        <f aca="false">IF($G289="",AR289,T289)</f>
        <v>30257</v>
      </c>
      <c r="BD289" s="31" t="n">
        <f aca="false">IF($G289="",AS289,U289)</f>
        <v>8048</v>
      </c>
      <c r="BE289" s="31" t="n">
        <f aca="false">IF($G289="",AT289,V289)</f>
        <v>8050</v>
      </c>
      <c r="BF289" s="31" t="n">
        <f aca="false">ROUNDDOWN(I289*設定!$B$10/1000,0)+ROUNDDOWN(I289*設定!$B$11/1000,0)</f>
        <v>0</v>
      </c>
      <c r="BG289" s="31" t="n">
        <f aca="false">ROUNDDOWN(I289*設定!$C$10/1000,0)+ROUNDDOWN(I289*設定!$C$11/1000,0)+ROUNDDOWN(I289*設定!$C$12/1000,0)</f>
        <v>0</v>
      </c>
      <c r="BH289" s="31" t="n">
        <f aca="false">ROUNDDOWN(J289*設定!$B$13/1000,0)</f>
        <v>0</v>
      </c>
      <c r="BI289" s="31" t="n">
        <f aca="false">ROUNDDOWN(J289*設定!$C$13/1000,0)</f>
        <v>0</v>
      </c>
      <c r="BJ289" s="31" t="n">
        <f aca="false">ROUNDDOWN(K289*設定!$B$14/1000,0)</f>
        <v>0</v>
      </c>
      <c r="BK289" s="31" t="n">
        <f aca="false">ROUNDDOWN(K289*設定!$C$14/1000,0)</f>
        <v>0</v>
      </c>
      <c r="BL289" s="31" t="n">
        <f aca="false">ROUNDDOWN(J289*設定!$B$15/1000,0)</f>
        <v>0</v>
      </c>
      <c r="BM289" s="31" t="n">
        <f aca="false">ROUNDDOWN(J289*設定!$C$15/1000,0)</f>
        <v>0</v>
      </c>
      <c r="BN289" s="31" t="n">
        <f aca="false">L289+M289</f>
        <v>667260</v>
      </c>
      <c r="BO289" s="31" t="n">
        <f aca="false">N289+O289+P289</f>
        <v>936771</v>
      </c>
      <c r="BP289" s="31" t="n">
        <f aca="false">Q289</f>
        <v>363015</v>
      </c>
      <c r="BQ289" s="31" t="n">
        <f aca="false">R289</f>
        <v>369109</v>
      </c>
      <c r="BR289" s="31" t="n">
        <f aca="false">S289</f>
        <v>30257</v>
      </c>
      <c r="BS289" s="31" t="n">
        <f aca="false">T289</f>
        <v>30257</v>
      </c>
      <c r="BT289" s="31" t="n">
        <f aca="false">U289</f>
        <v>8048</v>
      </c>
      <c r="BU289" s="31" t="n">
        <f aca="false">V289</f>
        <v>8050</v>
      </c>
      <c r="BV289" s="32" t="n">
        <f aca="false">IF(BF289=0,IF(BN289=0,0,1),(BN289-BF289)/BF289)</f>
        <v>1</v>
      </c>
      <c r="BW289" s="32" t="n">
        <f aca="false">IF(BG289=0,IF(BO289=0,0,1),(BO289-BG289)/BG289)</f>
        <v>1</v>
      </c>
      <c r="BX289" s="32" t="n">
        <f aca="false">IF(BH289=0,IF(BP289=0,0,1),(BP289-BH289)/BH289)</f>
        <v>1</v>
      </c>
      <c r="BY289" s="32" t="n">
        <f aca="false">IF(BI289=0,IF(BQ289=0,0,1),(BQ289-BI289)/BI289)</f>
        <v>1</v>
      </c>
      <c r="BZ289" s="32" t="n">
        <f aca="false">IF(BJ289=0,IF(BR289=0,0,1),(BR289-BJ289)/BJ289)</f>
        <v>1</v>
      </c>
      <c r="CA289" s="32" t="n">
        <f aca="false">IF(BK289=0,IF(BS289=0,0,1),(BS289-BK289)/BK289)</f>
        <v>1</v>
      </c>
      <c r="CB289" s="32" t="n">
        <f aca="false">IF(BL289=0,IF(BT289=0,0,1),(BT289-BL289)/BL289)</f>
        <v>1</v>
      </c>
      <c r="CC289" s="32" t="n">
        <f aca="false">IF(BM289=0,IF(BU289=0,0,1),(BU289-BM289)/BM289)</f>
        <v>1</v>
      </c>
      <c r="CD289" s="32" t="n">
        <f aca="false">MAX(MAX(BV289:CC289),-MIN(BV289:CC289))</f>
        <v>1</v>
      </c>
      <c r="CE289" s="31" t="n">
        <f aca="false">IF(CI289="","",SUMIFS($CF$7:$CF$696,$A$7:$A$696,CI289,$B$7:$B$696,B289))</f>
        <v>2419662</v>
      </c>
      <c r="CF289" s="31" t="n">
        <f aca="false">SUM(AU289:BE289)</f>
        <v>2412767</v>
      </c>
      <c r="CG289" s="33" t="str">
        <f aca="false">A289&amp;"|"&amp;B289</f>
        <v>2026-09 月例|人事委員会</v>
      </c>
      <c r="CH289" s="34" t="str">
        <f aca="false">IFERROR(INDEX(設定!$D$61:$D$106,MATCH(B289,設定!$B$61:$B$106,0)),"Y")</f>
        <v>Y</v>
      </c>
      <c r="CI289" s="34" t="str">
        <f aca="false">IFERROR(INDEX(設定!$D$20:$D$34,MATCH(A289,設定!$A$20:$A$34,0))&amp;"","")</f>
        <v>2026-08 月例</v>
      </c>
    </row>
    <row r="290" customFormat="false" ht="15" hidden="true" customHeight="false" outlineLevel="0" collapsed="false">
      <c r="A290" s="22" t="s">
        <v>213</v>
      </c>
      <c r="B290" s="23" t="s">
        <v>167</v>
      </c>
      <c r="C290" s="10" t="str">
        <f aca="false">IF(G290="","未受領",IF(G290="なし","報告なし",IF(AH290="○","起票済",IF(OR(AG290="○",F290="一致",F290="入金不要"),"入金確認済","受領済"))))</f>
        <v>入金確認済</v>
      </c>
      <c r="D290" s="10" t="str">
        <f aca="false">IF(OR(G290="",G290="なし"),"―",IF(CH290="N","対象外",IF(AND(I290="",J290="",K290=""),"標報未入力",IF(CD290&gt;=設定!$B$4,"要確認","問題なし"))))</f>
        <v>標報未入力</v>
      </c>
      <c r="E290" s="24" t="str">
        <f aca="false">IF(OR(G290="",G290="なし",CE290="",CF290=0),"―",IF(CF290=CE290,"前月同額",IF(CE290=0,"―",IF(ABS(CF290/CE290-1)&gt;=設定!$B$5,"変動大 "&amp;TEXT(CF290/CE290-1,"+0%;-0%"),"〇"))))</f>
        <v>〇</v>
      </c>
      <c r="F290" s="10" t="str">
        <f aca="false">IF(OR(G290="",G290="なし"),"―",IF(CF290=0,"入金不要",IF(COUNT(Z290,AB290,AD290,AF290)=0,IF(AG290="○","手動確認","未入金"),IF(AND(N(Z290)=Y290,IF(AA290="",TRUE(),N(AB290)=AA290),IF(AC290="",TRUE(),N(AD290)=AC290),IF(AE290="",TRUE(),N(AF290)=AE290)),"一致","不一致"))))</f>
        <v>手動確認</v>
      </c>
      <c r="G290" s="25" t="s">
        <v>159</v>
      </c>
      <c r="H290" s="26"/>
      <c r="I290" s="27"/>
      <c r="J290" s="27"/>
      <c r="K290" s="27"/>
      <c r="L290" s="27" t="n">
        <v>1305705</v>
      </c>
      <c r="M290" s="27" t="n">
        <v>107025</v>
      </c>
      <c r="N290" s="27" t="n">
        <v>1886250</v>
      </c>
      <c r="O290" s="27" t="n">
        <v>107025</v>
      </c>
      <c r="P290" s="27" t="n">
        <v>1263</v>
      </c>
      <c r="Q290" s="27" t="n">
        <v>760772</v>
      </c>
      <c r="R290" s="27" t="n">
        <v>773791</v>
      </c>
      <c r="S290" s="27" t="n">
        <v>106808</v>
      </c>
      <c r="T290" s="27" t="n">
        <v>106808</v>
      </c>
      <c r="U290" s="27" t="n">
        <v>16864</v>
      </c>
      <c r="V290" s="27" t="n">
        <v>16870</v>
      </c>
      <c r="W290" s="10" t="str">
        <f aca="false">IFERROR(INDEX(設定!$E$61:$E$106,MATCH(B290,設定!$B$61:$B$106,0)),"合算")</f>
        <v>合算</v>
      </c>
      <c r="X290" s="28"/>
      <c r="Y290" s="29" t="n">
        <f aca="false">IF(OR(G290="",G290="なし"),"",IF(W290="合算",CF290,IF(W290="掛金・負担金別",(AU290+AV290+AZ290+BB290+BD290),SUM(AU290:AY290))))</f>
        <v>5189181</v>
      </c>
      <c r="Z290" s="27"/>
      <c r="AA290" s="29" t="str">
        <f aca="false">IF(OR(G290="",G290="なし"),"",IF(W290="掛金・負担金別",(AW290+AX290+AY290+BA290+BC290+BE290),IF(W290="経理区分別",AZ290+BA290,"")))</f>
        <v/>
      </c>
      <c r="AB290" s="27"/>
      <c r="AC290" s="29" t="str">
        <f aca="false">IF(OR(G290="",G290="なし"),"",IF(W290="経理区分別",BB290+BC290,""))</f>
        <v/>
      </c>
      <c r="AD290" s="27"/>
      <c r="AE290" s="29" t="str">
        <f aca="false">IF(OR(G290="",G290="なし"),"",IF(W290="経理区分別",BD290+BE290,""))</f>
        <v/>
      </c>
      <c r="AF290" s="27"/>
      <c r="AG290" s="26" t="s">
        <v>160</v>
      </c>
      <c r="AH290" s="26"/>
      <c r="AI290" s="30"/>
      <c r="AJ290" s="31"/>
      <c r="AK290" s="31"/>
      <c r="AL290" s="31"/>
      <c r="AM290" s="31"/>
      <c r="AN290" s="31"/>
      <c r="AO290" s="31"/>
      <c r="AP290" s="31"/>
      <c r="AQ290" s="31"/>
      <c r="AR290" s="31"/>
      <c r="AS290" s="31"/>
      <c r="AT290" s="31"/>
      <c r="AU290" s="31" t="n">
        <f aca="false">IF($G290="",AJ290,L290)</f>
        <v>1305705</v>
      </c>
      <c r="AV290" s="31" t="n">
        <f aca="false">IF($G290="",AK290,M290)</f>
        <v>107025</v>
      </c>
      <c r="AW290" s="31" t="n">
        <f aca="false">IF($G290="",AL290,N290)</f>
        <v>1886250</v>
      </c>
      <c r="AX290" s="31" t="n">
        <f aca="false">IF($G290="",AM290,O290)</f>
        <v>107025</v>
      </c>
      <c r="AY290" s="31" t="n">
        <f aca="false">IF($G290="",AN290,P290)</f>
        <v>1263</v>
      </c>
      <c r="AZ290" s="31" t="n">
        <f aca="false">IF($G290="",AO290,Q290)</f>
        <v>760772</v>
      </c>
      <c r="BA290" s="31" t="n">
        <f aca="false">IF($G290="",AP290,R290)</f>
        <v>773791</v>
      </c>
      <c r="BB290" s="31" t="n">
        <f aca="false">IF($G290="",AQ290,S290)</f>
        <v>106808</v>
      </c>
      <c r="BC290" s="31" t="n">
        <f aca="false">IF($G290="",AR290,T290)</f>
        <v>106808</v>
      </c>
      <c r="BD290" s="31" t="n">
        <f aca="false">IF($G290="",AS290,U290)</f>
        <v>16864</v>
      </c>
      <c r="BE290" s="31" t="n">
        <f aca="false">IF($G290="",AT290,V290)</f>
        <v>16870</v>
      </c>
      <c r="BF290" s="31" t="n">
        <f aca="false">ROUNDDOWN(I290*設定!$B$10/1000,0)+ROUNDDOWN(I290*設定!$B$11/1000,0)</f>
        <v>0</v>
      </c>
      <c r="BG290" s="31" t="n">
        <f aca="false">ROUNDDOWN(I290*設定!$C$10/1000,0)+ROUNDDOWN(I290*設定!$C$11/1000,0)+ROUNDDOWN(I290*設定!$C$12/1000,0)</f>
        <v>0</v>
      </c>
      <c r="BH290" s="31" t="n">
        <f aca="false">ROUNDDOWN(J290*設定!$B$13/1000,0)</f>
        <v>0</v>
      </c>
      <c r="BI290" s="31" t="n">
        <f aca="false">ROUNDDOWN(J290*設定!$C$13/1000,0)</f>
        <v>0</v>
      </c>
      <c r="BJ290" s="31" t="n">
        <f aca="false">ROUNDDOWN(K290*設定!$B$14/1000,0)</f>
        <v>0</v>
      </c>
      <c r="BK290" s="31" t="n">
        <f aca="false">ROUNDDOWN(K290*設定!$C$14/1000,0)</f>
        <v>0</v>
      </c>
      <c r="BL290" s="31" t="n">
        <f aca="false">ROUNDDOWN(J290*設定!$B$15/1000,0)</f>
        <v>0</v>
      </c>
      <c r="BM290" s="31" t="n">
        <f aca="false">ROUNDDOWN(J290*設定!$C$15/1000,0)</f>
        <v>0</v>
      </c>
      <c r="BN290" s="31" t="n">
        <f aca="false">L290+M290</f>
        <v>1412730</v>
      </c>
      <c r="BO290" s="31" t="n">
        <f aca="false">N290+O290+P290</f>
        <v>1994538</v>
      </c>
      <c r="BP290" s="31" t="n">
        <f aca="false">Q290</f>
        <v>760772</v>
      </c>
      <c r="BQ290" s="31" t="n">
        <f aca="false">R290</f>
        <v>773791</v>
      </c>
      <c r="BR290" s="31" t="n">
        <f aca="false">S290</f>
        <v>106808</v>
      </c>
      <c r="BS290" s="31" t="n">
        <f aca="false">T290</f>
        <v>106808</v>
      </c>
      <c r="BT290" s="31" t="n">
        <f aca="false">U290</f>
        <v>16864</v>
      </c>
      <c r="BU290" s="31" t="n">
        <f aca="false">V290</f>
        <v>16870</v>
      </c>
      <c r="BV290" s="32" t="n">
        <f aca="false">IF(BF290=0,IF(BN290=0,0,1),(BN290-BF290)/BF290)</f>
        <v>1</v>
      </c>
      <c r="BW290" s="32" t="n">
        <f aca="false">IF(BG290=0,IF(BO290=0,0,1),(BO290-BG290)/BG290)</f>
        <v>1</v>
      </c>
      <c r="BX290" s="32" t="n">
        <f aca="false">IF(BH290=0,IF(BP290=0,0,1),(BP290-BH290)/BH290)</f>
        <v>1</v>
      </c>
      <c r="BY290" s="32" t="n">
        <f aca="false">IF(BI290=0,IF(BQ290=0,0,1),(BQ290-BI290)/BI290)</f>
        <v>1</v>
      </c>
      <c r="BZ290" s="32" t="n">
        <f aca="false">IF(BJ290=0,IF(BR290=0,0,1),(BR290-BJ290)/BJ290)</f>
        <v>1</v>
      </c>
      <c r="CA290" s="32" t="n">
        <f aca="false">IF(BK290=0,IF(BS290=0,0,1),(BS290-BK290)/BK290)</f>
        <v>1</v>
      </c>
      <c r="CB290" s="32" t="n">
        <f aca="false">IF(BL290=0,IF(BT290=0,0,1),(BT290-BL290)/BL290)</f>
        <v>1</v>
      </c>
      <c r="CC290" s="32" t="n">
        <f aca="false">IF(BM290=0,IF(BU290=0,0,1),(BU290-BM290)/BM290)</f>
        <v>1</v>
      </c>
      <c r="CD290" s="32" t="n">
        <f aca="false">MAX(MAX(BV290:CC290),-MIN(BV290:CC290))</f>
        <v>1</v>
      </c>
      <c r="CE290" s="31" t="n">
        <f aca="false">IF(CI290="","",SUMIFS($CF$7:$CF$696,$A$7:$A$696,CI290,$B$7:$B$696,B290))</f>
        <v>5235156</v>
      </c>
      <c r="CF290" s="31" t="n">
        <f aca="false">SUM(AU290:BE290)</f>
        <v>5189181</v>
      </c>
      <c r="CG290" s="33" t="str">
        <f aca="false">A290&amp;"|"&amp;B290</f>
        <v>2026-09 月例|監査事務局</v>
      </c>
      <c r="CH290" s="34" t="str">
        <f aca="false">IFERROR(INDEX(設定!$D$61:$D$106,MATCH(B290,設定!$B$61:$B$106,0)),"Y")</f>
        <v>Y</v>
      </c>
      <c r="CI290" s="34" t="str">
        <f aca="false">IFERROR(INDEX(設定!$D$20:$D$34,MATCH(A290,設定!$A$20:$A$34,0))&amp;"","")</f>
        <v>2026-08 月例</v>
      </c>
    </row>
    <row r="291" customFormat="false" ht="15" hidden="true" customHeight="false" outlineLevel="0" collapsed="false">
      <c r="A291" s="22" t="s">
        <v>213</v>
      </c>
      <c r="B291" s="23" t="s">
        <v>168</v>
      </c>
      <c r="C291" s="10" t="str">
        <f aca="false">IF(G291="","未受領",IF(G291="なし","報告なし",IF(AH291="○","起票済",IF(OR(AG291="○",F291="一致",F291="入金不要"),"入金確認済","受領済"))))</f>
        <v>入金確認済</v>
      </c>
      <c r="D291" s="10" t="str">
        <f aca="false">IF(OR(G291="",G291="なし"),"―",IF(CH291="N","対象外",IF(AND(I291="",J291="",K291=""),"標報未入力",IF(CD291&gt;=設定!$B$4,"要確認","問題なし"))))</f>
        <v>標報未入力</v>
      </c>
      <c r="E291" s="24" t="str">
        <f aca="false">IF(OR(G291="",G291="なし",CE291="",CF291=0),"―",IF(CF291=CE291,"前月同額",IF(CE291=0,"―",IF(ABS(CF291/CE291-1)&gt;=設定!$B$5,"変動大 "&amp;TEXT(CF291/CE291-1,"+0%;-0%"),"〇"))))</f>
        <v>〇</v>
      </c>
      <c r="F291" s="10" t="str">
        <f aca="false">IF(OR(G291="",G291="なし"),"―",IF(CF291=0,"入金不要",IF(COUNT(Z291,AB291,AD291,AF291)=0,IF(AG291="○","手動確認","未入金"),IF(AND(N(Z291)=Y291,IF(AA291="",TRUE(),N(AB291)=AA291),IF(AC291="",TRUE(),N(AD291)=AC291),IF(AE291="",TRUE(),N(AF291)=AE291)),"一致","不一致"))))</f>
        <v>手動確認</v>
      </c>
      <c r="G291" s="25" t="s">
        <v>159</v>
      </c>
      <c r="H291" s="26"/>
      <c r="I291" s="27"/>
      <c r="J291" s="27"/>
      <c r="K291" s="27"/>
      <c r="L291" s="27" t="n">
        <v>401685</v>
      </c>
      <c r="M291" s="27" t="n">
        <v>32925</v>
      </c>
      <c r="N291" s="27" t="n">
        <v>576846</v>
      </c>
      <c r="O291" s="27" t="n">
        <v>32925</v>
      </c>
      <c r="P291" s="27" t="n">
        <v>381</v>
      </c>
      <c r="Q291" s="27" t="n">
        <v>305452</v>
      </c>
      <c r="R291" s="27" t="n">
        <v>310579</v>
      </c>
      <c r="S291" s="27" t="n">
        <v>34286</v>
      </c>
      <c r="T291" s="27" t="n">
        <v>34286</v>
      </c>
      <c r="U291" s="27" t="n">
        <v>6770</v>
      </c>
      <c r="V291" s="27" t="n">
        <v>6773</v>
      </c>
      <c r="W291" s="10" t="str">
        <f aca="false">IFERROR(INDEX(設定!$E$61:$E$106,MATCH(B291,設定!$B$61:$B$106,0)),"合算")</f>
        <v>合算</v>
      </c>
      <c r="X291" s="28"/>
      <c r="Y291" s="29" t="n">
        <f aca="false">IF(OR(G291="",G291="なし"),"",IF(W291="合算",CF291,IF(W291="掛金・負担金別",(AU291+AV291+AZ291+BB291+BD291),SUM(AU291:AY291))))</f>
        <v>1742908</v>
      </c>
      <c r="Z291" s="27"/>
      <c r="AA291" s="29" t="str">
        <f aca="false">IF(OR(G291="",G291="なし"),"",IF(W291="掛金・負担金別",(AW291+AX291+AY291+BA291+BC291+BE291),IF(W291="経理区分別",AZ291+BA291,"")))</f>
        <v/>
      </c>
      <c r="AB291" s="27"/>
      <c r="AC291" s="29" t="str">
        <f aca="false">IF(OR(G291="",G291="なし"),"",IF(W291="経理区分別",BB291+BC291,""))</f>
        <v/>
      </c>
      <c r="AD291" s="27"/>
      <c r="AE291" s="29" t="str">
        <f aca="false">IF(OR(G291="",G291="なし"),"",IF(W291="経理区分別",BD291+BE291,""))</f>
        <v/>
      </c>
      <c r="AF291" s="27"/>
      <c r="AG291" s="26" t="s">
        <v>160</v>
      </c>
      <c r="AH291" s="26"/>
      <c r="AI291" s="30"/>
      <c r="AJ291" s="31"/>
      <c r="AK291" s="31"/>
      <c r="AL291" s="31"/>
      <c r="AM291" s="31"/>
      <c r="AN291" s="31"/>
      <c r="AO291" s="31"/>
      <c r="AP291" s="31"/>
      <c r="AQ291" s="31"/>
      <c r="AR291" s="31"/>
      <c r="AS291" s="31"/>
      <c r="AT291" s="31"/>
      <c r="AU291" s="31" t="n">
        <f aca="false">IF($G291="",AJ291,L291)</f>
        <v>401685</v>
      </c>
      <c r="AV291" s="31" t="n">
        <f aca="false">IF($G291="",AK291,M291)</f>
        <v>32925</v>
      </c>
      <c r="AW291" s="31" t="n">
        <f aca="false">IF($G291="",AL291,N291)</f>
        <v>576846</v>
      </c>
      <c r="AX291" s="31" t="n">
        <f aca="false">IF($G291="",AM291,O291)</f>
        <v>32925</v>
      </c>
      <c r="AY291" s="31" t="n">
        <f aca="false">IF($G291="",AN291,P291)</f>
        <v>381</v>
      </c>
      <c r="AZ291" s="31" t="n">
        <f aca="false">IF($G291="",AO291,Q291)</f>
        <v>305452</v>
      </c>
      <c r="BA291" s="31" t="n">
        <f aca="false">IF($G291="",AP291,R291)</f>
        <v>310579</v>
      </c>
      <c r="BB291" s="31" t="n">
        <f aca="false">IF($G291="",AQ291,S291)</f>
        <v>34286</v>
      </c>
      <c r="BC291" s="31" t="n">
        <f aca="false">IF($G291="",AR291,T291)</f>
        <v>34286</v>
      </c>
      <c r="BD291" s="31" t="n">
        <f aca="false">IF($G291="",AS291,U291)</f>
        <v>6770</v>
      </c>
      <c r="BE291" s="31" t="n">
        <f aca="false">IF($G291="",AT291,V291)</f>
        <v>6773</v>
      </c>
      <c r="BF291" s="31" t="n">
        <f aca="false">ROUNDDOWN(I291*設定!$B$10/1000,0)+ROUNDDOWN(I291*設定!$B$11/1000,0)</f>
        <v>0</v>
      </c>
      <c r="BG291" s="31" t="n">
        <f aca="false">ROUNDDOWN(I291*設定!$C$10/1000,0)+ROUNDDOWN(I291*設定!$C$11/1000,0)+ROUNDDOWN(I291*設定!$C$12/1000,0)</f>
        <v>0</v>
      </c>
      <c r="BH291" s="31" t="n">
        <f aca="false">ROUNDDOWN(J291*設定!$B$13/1000,0)</f>
        <v>0</v>
      </c>
      <c r="BI291" s="31" t="n">
        <f aca="false">ROUNDDOWN(J291*設定!$C$13/1000,0)</f>
        <v>0</v>
      </c>
      <c r="BJ291" s="31" t="n">
        <f aca="false">ROUNDDOWN(K291*設定!$B$14/1000,0)</f>
        <v>0</v>
      </c>
      <c r="BK291" s="31" t="n">
        <f aca="false">ROUNDDOWN(K291*設定!$C$14/1000,0)</f>
        <v>0</v>
      </c>
      <c r="BL291" s="31" t="n">
        <f aca="false">ROUNDDOWN(J291*設定!$B$15/1000,0)</f>
        <v>0</v>
      </c>
      <c r="BM291" s="31" t="n">
        <f aca="false">ROUNDDOWN(J291*設定!$C$15/1000,0)</f>
        <v>0</v>
      </c>
      <c r="BN291" s="31" t="n">
        <f aca="false">L291+M291</f>
        <v>434610</v>
      </c>
      <c r="BO291" s="31" t="n">
        <f aca="false">N291+O291+P291</f>
        <v>610152</v>
      </c>
      <c r="BP291" s="31" t="n">
        <f aca="false">Q291</f>
        <v>305452</v>
      </c>
      <c r="BQ291" s="31" t="n">
        <f aca="false">R291</f>
        <v>310579</v>
      </c>
      <c r="BR291" s="31" t="n">
        <f aca="false">S291</f>
        <v>34286</v>
      </c>
      <c r="BS291" s="31" t="n">
        <f aca="false">T291</f>
        <v>34286</v>
      </c>
      <c r="BT291" s="31" t="n">
        <f aca="false">U291</f>
        <v>6770</v>
      </c>
      <c r="BU291" s="31" t="n">
        <f aca="false">V291</f>
        <v>6773</v>
      </c>
      <c r="BV291" s="32" t="n">
        <f aca="false">IF(BF291=0,IF(BN291=0,0,1),(BN291-BF291)/BF291)</f>
        <v>1</v>
      </c>
      <c r="BW291" s="32" t="n">
        <f aca="false">IF(BG291=0,IF(BO291=0,0,1),(BO291-BG291)/BG291)</f>
        <v>1</v>
      </c>
      <c r="BX291" s="32" t="n">
        <f aca="false">IF(BH291=0,IF(BP291=0,0,1),(BP291-BH291)/BH291)</f>
        <v>1</v>
      </c>
      <c r="BY291" s="32" t="n">
        <f aca="false">IF(BI291=0,IF(BQ291=0,0,1),(BQ291-BI291)/BI291)</f>
        <v>1</v>
      </c>
      <c r="BZ291" s="32" t="n">
        <f aca="false">IF(BJ291=0,IF(BR291=0,0,1),(BR291-BJ291)/BJ291)</f>
        <v>1</v>
      </c>
      <c r="CA291" s="32" t="n">
        <f aca="false">IF(BK291=0,IF(BS291=0,0,1),(BS291-BK291)/BK291)</f>
        <v>1</v>
      </c>
      <c r="CB291" s="32" t="n">
        <f aca="false">IF(BL291=0,IF(BT291=0,0,1),(BT291-BL291)/BL291)</f>
        <v>1</v>
      </c>
      <c r="CC291" s="32" t="n">
        <f aca="false">IF(BM291=0,IF(BU291=0,0,1),(BU291-BM291)/BM291)</f>
        <v>1</v>
      </c>
      <c r="CD291" s="32" t="n">
        <f aca="false">MAX(MAX(BV291:CC291),-MIN(BV291:CC291))</f>
        <v>1</v>
      </c>
      <c r="CE291" s="31" t="n">
        <f aca="false">IF(CI291="","",SUMIFS($CF$7:$CF$696,$A$7:$A$696,CI291,$B$7:$B$696,B291))</f>
        <v>1713570</v>
      </c>
      <c r="CF291" s="31" t="n">
        <f aca="false">SUM(AU291:BE291)</f>
        <v>1742908</v>
      </c>
      <c r="CG291" s="33" t="str">
        <f aca="false">A291&amp;"|"&amp;B291</f>
        <v>2026-09 月例|農業委員会</v>
      </c>
      <c r="CH291" s="34" t="str">
        <f aca="false">IFERROR(INDEX(設定!$D$61:$D$106,MATCH(B291,設定!$B$61:$B$106,0)),"Y")</f>
        <v>Y</v>
      </c>
      <c r="CI291" s="34" t="str">
        <f aca="false">IFERROR(INDEX(設定!$D$20:$D$34,MATCH(A291,設定!$A$20:$A$34,0))&amp;"","")</f>
        <v>2026-08 月例</v>
      </c>
    </row>
    <row r="292" customFormat="false" ht="15" hidden="true" customHeight="false" outlineLevel="0" collapsed="false">
      <c r="A292" s="22" t="s">
        <v>213</v>
      </c>
      <c r="B292" s="23" t="s">
        <v>169</v>
      </c>
      <c r="C292" s="10" t="str">
        <f aca="false">IF(G292="","未受領",IF(G292="なし","報告なし",IF(AH292="○","起票済",IF(OR(AG292="○",F292="一致",F292="入金不要"),"入金確認済","受領済"))))</f>
        <v>入金確認済</v>
      </c>
      <c r="D292" s="10" t="str">
        <f aca="false">IF(OR(G292="",G292="なし"),"―",IF(CH292="N","対象外",IF(AND(I292="",J292="",K292=""),"標報未入力",IF(CD292&gt;=設定!$B$4,"要確認","問題なし"))))</f>
        <v>対象外</v>
      </c>
      <c r="E292" s="24" t="str">
        <f aca="false">IF(OR(G292="",G292="なし",CE292="",CF292=0),"―",IF(CF292=CE292,"前月同額",IF(CE292=0,"―",IF(ABS(CF292/CE292-1)&gt;=設定!$B$5,"変動大 "&amp;TEXT(CF292/CE292-1,"+0%;-0%"),"〇"))))</f>
        <v>〇</v>
      </c>
      <c r="F292" s="10" t="str">
        <f aca="false">IF(OR(G292="",G292="なし"),"―",IF(CF292=0,"入金不要",IF(COUNT(Z292,AB292,AD292,AF292)=0,IF(AG292="○","手動確認","未入金"),IF(AND(N(Z292)=Y292,IF(AA292="",TRUE(),N(AB292)=AA292),IF(AC292="",TRUE(),N(AD292)=AC292),IF(AE292="",TRUE(),N(AF292)=AE292)),"一致","不一致"))))</f>
        <v>手動確認</v>
      </c>
      <c r="G292" s="25" t="s">
        <v>159</v>
      </c>
      <c r="H292" s="26"/>
      <c r="I292" s="27"/>
      <c r="J292" s="27"/>
      <c r="K292" s="27"/>
      <c r="L292" s="27" t="n">
        <v>23100090</v>
      </c>
      <c r="M292" s="27" t="n">
        <v>1893450</v>
      </c>
      <c r="N292" s="27" t="n">
        <v>33230730</v>
      </c>
      <c r="O292" s="27" t="n">
        <v>1893450</v>
      </c>
      <c r="P292" s="27" t="n">
        <v>22229</v>
      </c>
      <c r="Q292" s="27" t="n">
        <v>13765012</v>
      </c>
      <c r="R292" s="27" t="n">
        <v>13995454</v>
      </c>
      <c r="S292" s="27" t="n">
        <v>1381939</v>
      </c>
      <c r="T292" s="27" t="n">
        <v>1381939</v>
      </c>
      <c r="U292" s="27" t="n">
        <v>305093</v>
      </c>
      <c r="V292" s="27" t="n">
        <v>305196</v>
      </c>
      <c r="W292" s="10" t="str">
        <f aca="false">IFERROR(INDEX(設定!$E$61:$E$106,MATCH(B292,設定!$B$61:$B$106,0)),"合算")</f>
        <v>合算</v>
      </c>
      <c r="X292" s="28"/>
      <c r="Y292" s="29" t="n">
        <f aca="false">IF(OR(G292="",G292="なし"),"",IF(W292="合算",CF292,IF(W292="掛金・負担金別",(AU292+AV292+AZ292+BB292+BD292),SUM(AU292:AY292))))</f>
        <v>91274582</v>
      </c>
      <c r="Z292" s="27"/>
      <c r="AA292" s="29" t="str">
        <f aca="false">IF(OR(G292="",G292="なし"),"",IF(W292="掛金・負担金別",(AW292+AX292+AY292+BA292+BC292+BE292),IF(W292="経理区分別",AZ292+BA292,"")))</f>
        <v/>
      </c>
      <c r="AB292" s="27"/>
      <c r="AC292" s="29" t="str">
        <f aca="false">IF(OR(G292="",G292="なし"),"",IF(W292="経理区分別",BB292+BC292,""))</f>
        <v/>
      </c>
      <c r="AD292" s="27"/>
      <c r="AE292" s="29" t="str">
        <f aca="false">IF(OR(G292="",G292="なし"),"",IF(W292="経理区分別",BD292+BE292,""))</f>
        <v/>
      </c>
      <c r="AF292" s="27"/>
      <c r="AG292" s="26" t="s">
        <v>160</v>
      </c>
      <c r="AH292" s="26"/>
      <c r="AI292" s="30"/>
      <c r="AJ292" s="31"/>
      <c r="AK292" s="31"/>
      <c r="AL292" s="31"/>
      <c r="AM292" s="31"/>
      <c r="AN292" s="31"/>
      <c r="AO292" s="31"/>
      <c r="AP292" s="31"/>
      <c r="AQ292" s="31"/>
      <c r="AR292" s="31"/>
      <c r="AS292" s="31"/>
      <c r="AT292" s="31"/>
      <c r="AU292" s="31" t="n">
        <f aca="false">IF($G292="",AJ292,L292)</f>
        <v>23100090</v>
      </c>
      <c r="AV292" s="31" t="n">
        <f aca="false">IF($G292="",AK292,M292)</f>
        <v>1893450</v>
      </c>
      <c r="AW292" s="31" t="n">
        <f aca="false">IF($G292="",AL292,N292)</f>
        <v>33230730</v>
      </c>
      <c r="AX292" s="31" t="n">
        <f aca="false">IF($G292="",AM292,O292)</f>
        <v>1893450</v>
      </c>
      <c r="AY292" s="31" t="n">
        <f aca="false">IF($G292="",AN292,P292)</f>
        <v>22229</v>
      </c>
      <c r="AZ292" s="31" t="n">
        <f aca="false">IF($G292="",AO292,Q292)</f>
        <v>13765012</v>
      </c>
      <c r="BA292" s="31" t="n">
        <f aca="false">IF($G292="",AP292,R292)</f>
        <v>13995454</v>
      </c>
      <c r="BB292" s="31" t="n">
        <f aca="false">IF($G292="",AQ292,S292)</f>
        <v>1381939</v>
      </c>
      <c r="BC292" s="31" t="n">
        <f aca="false">IF($G292="",AR292,T292)</f>
        <v>1381939</v>
      </c>
      <c r="BD292" s="31" t="n">
        <f aca="false">IF($G292="",AS292,U292)</f>
        <v>305093</v>
      </c>
      <c r="BE292" s="31" t="n">
        <f aca="false">IF($G292="",AT292,V292)</f>
        <v>305196</v>
      </c>
      <c r="BF292" s="31" t="n">
        <f aca="false">ROUNDDOWN(I292*設定!$B$10/1000,0)+ROUNDDOWN(I292*設定!$B$11/1000,0)</f>
        <v>0</v>
      </c>
      <c r="BG292" s="31" t="n">
        <f aca="false">ROUNDDOWN(I292*設定!$C$10/1000,0)+ROUNDDOWN(I292*設定!$C$11/1000,0)+ROUNDDOWN(I292*設定!$C$12/1000,0)</f>
        <v>0</v>
      </c>
      <c r="BH292" s="31" t="n">
        <f aca="false">ROUNDDOWN(J292*設定!$B$13/1000,0)</f>
        <v>0</v>
      </c>
      <c r="BI292" s="31" t="n">
        <f aca="false">ROUNDDOWN(J292*設定!$C$13/1000,0)</f>
        <v>0</v>
      </c>
      <c r="BJ292" s="31" t="n">
        <f aca="false">ROUNDDOWN(K292*設定!$B$14/1000,0)</f>
        <v>0</v>
      </c>
      <c r="BK292" s="31" t="n">
        <f aca="false">ROUNDDOWN(K292*設定!$C$14/1000,0)</f>
        <v>0</v>
      </c>
      <c r="BL292" s="31" t="n">
        <f aca="false">ROUNDDOWN(J292*設定!$B$15/1000,0)</f>
        <v>0</v>
      </c>
      <c r="BM292" s="31" t="n">
        <f aca="false">ROUNDDOWN(J292*設定!$C$15/1000,0)</f>
        <v>0</v>
      </c>
      <c r="BN292" s="31" t="n">
        <f aca="false">L292+M292</f>
        <v>24993540</v>
      </c>
      <c r="BO292" s="31" t="n">
        <f aca="false">N292+O292+P292</f>
        <v>35146409</v>
      </c>
      <c r="BP292" s="31" t="n">
        <f aca="false">Q292</f>
        <v>13765012</v>
      </c>
      <c r="BQ292" s="31" t="n">
        <f aca="false">R292</f>
        <v>13995454</v>
      </c>
      <c r="BR292" s="31" t="n">
        <f aca="false">S292</f>
        <v>1381939</v>
      </c>
      <c r="BS292" s="31" t="n">
        <f aca="false">T292</f>
        <v>1381939</v>
      </c>
      <c r="BT292" s="31" t="n">
        <f aca="false">U292</f>
        <v>305093</v>
      </c>
      <c r="BU292" s="31" t="n">
        <f aca="false">V292</f>
        <v>305196</v>
      </c>
      <c r="BV292" s="32" t="n">
        <f aca="false">IF(BF292=0,IF(BN292=0,0,1),(BN292-BF292)/BF292)</f>
        <v>1</v>
      </c>
      <c r="BW292" s="32" t="n">
        <f aca="false">IF(BG292=0,IF(BO292=0,0,1),(BO292-BG292)/BG292)</f>
        <v>1</v>
      </c>
      <c r="BX292" s="32" t="n">
        <f aca="false">IF(BH292=0,IF(BP292=0,0,1),(BP292-BH292)/BH292)</f>
        <v>1</v>
      </c>
      <c r="BY292" s="32" t="n">
        <f aca="false">IF(BI292=0,IF(BQ292=0,0,1),(BQ292-BI292)/BI292)</f>
        <v>1</v>
      </c>
      <c r="BZ292" s="32" t="n">
        <f aca="false">IF(BJ292=0,IF(BR292=0,0,1),(BR292-BJ292)/BJ292)</f>
        <v>1</v>
      </c>
      <c r="CA292" s="32" t="n">
        <f aca="false">IF(BK292=0,IF(BS292=0,0,1),(BS292-BK292)/BK292)</f>
        <v>1</v>
      </c>
      <c r="CB292" s="32" t="n">
        <f aca="false">IF(BL292=0,IF(BT292=0,0,1),(BT292-BL292)/BL292)</f>
        <v>1</v>
      </c>
      <c r="CC292" s="32" t="n">
        <f aca="false">IF(BM292=0,IF(BU292=0,0,1),(BU292-BM292)/BM292)</f>
        <v>1</v>
      </c>
      <c r="CD292" s="32" t="n">
        <f aca="false">MAX(MAX(BV292:CC292),-MIN(BV292:CC292))</f>
        <v>1</v>
      </c>
      <c r="CE292" s="31" t="n">
        <f aca="false">IF(CI292="","",SUMIFS($CF$7:$CF$696,$A$7:$A$696,CI292,$B$7:$B$696,B292))</f>
        <v>89661519</v>
      </c>
      <c r="CF292" s="31" t="n">
        <f aca="false">SUM(AU292:BE292)</f>
        <v>91274582</v>
      </c>
      <c r="CG292" s="33" t="str">
        <f aca="false">A292&amp;"|"&amp;B292</f>
        <v>2026-09 月例|水道局</v>
      </c>
      <c r="CH292" s="34" t="str">
        <f aca="false">IFERROR(INDEX(設定!$D$61:$D$106,MATCH(B292,設定!$B$61:$B$106,0)),"Y")</f>
        <v>N</v>
      </c>
      <c r="CI292" s="34" t="str">
        <f aca="false">IFERROR(INDEX(設定!$D$20:$D$34,MATCH(A292,設定!$A$20:$A$34,0))&amp;"","")</f>
        <v>2026-08 月例</v>
      </c>
    </row>
    <row r="293" customFormat="false" ht="15" hidden="true" customHeight="false" outlineLevel="0" collapsed="false">
      <c r="A293" s="22" t="s">
        <v>213</v>
      </c>
      <c r="B293" s="23" t="s">
        <v>170</v>
      </c>
      <c r="C293" s="10" t="str">
        <f aca="false">IF(G293="","未受領",IF(G293="なし","報告なし",IF(AH293="○","起票済",IF(OR(AG293="○",F293="一致",F293="入金不要"),"入金確認済","受領済"))))</f>
        <v>入金確認済</v>
      </c>
      <c r="D293" s="10" t="str">
        <f aca="false">IF(OR(G293="",G293="なし"),"―",IF(CH293="N","対象外",IF(AND(I293="",J293="",K293=""),"標報未入力",IF(CD293&gt;=設定!$B$4,"要確認","問題なし"))))</f>
        <v>標報未入力</v>
      </c>
      <c r="E293" s="24" t="str">
        <f aca="false">IF(OR(G293="",G293="なし",CE293="",CF293=0),"―",IF(CF293=CE293,"前月同額",IF(CE293=0,"―",IF(ABS(CF293/CE293-1)&gt;=設定!$B$5,"変動大 "&amp;TEXT(CF293/CE293-1,"+0%;-0%"),"〇"))))</f>
        <v>前月同額</v>
      </c>
      <c r="F293" s="10" t="str">
        <f aca="false">IF(OR(G293="",G293="なし"),"―",IF(CF293=0,"入金不要",IF(COUNT(Z293,AB293,AD293,AF293)=0,IF(AG293="○","手動確認","未入金"),IF(AND(N(Z293)=Y293,IF(AA293="",TRUE(),N(AB293)=AA293),IF(AC293="",TRUE(),N(AD293)=AC293),IF(AE293="",TRUE(),N(AF293)=AE293)),"一致","不一致"))))</f>
        <v>手動確認</v>
      </c>
      <c r="G293" s="25" t="s">
        <v>159</v>
      </c>
      <c r="H293" s="26"/>
      <c r="I293" s="27"/>
      <c r="J293" s="27"/>
      <c r="K293" s="27"/>
      <c r="L293" s="27" t="n">
        <v>48495</v>
      </c>
      <c r="M293" s="27" t="n">
        <v>3975</v>
      </c>
      <c r="N293" s="27" t="n">
        <v>69642</v>
      </c>
      <c r="O293" s="27" t="n">
        <v>3975</v>
      </c>
      <c r="P293" s="27" t="n">
        <v>46</v>
      </c>
      <c r="Q293" s="27" t="n">
        <v>27485</v>
      </c>
      <c r="R293" s="27" t="n">
        <v>27946</v>
      </c>
      <c r="S293" s="27" t="n">
        <v>4187</v>
      </c>
      <c r="T293" s="27" t="n">
        <v>4187</v>
      </c>
      <c r="U293" s="27" t="n">
        <v>609</v>
      </c>
      <c r="V293" s="27" t="n">
        <v>609</v>
      </c>
      <c r="W293" s="10" t="str">
        <f aca="false">IFERROR(INDEX(設定!$E$61:$E$106,MATCH(B293,設定!$B$61:$B$106,0)),"合算")</f>
        <v>合算</v>
      </c>
      <c r="X293" s="28"/>
      <c r="Y293" s="29" t="n">
        <f aca="false">IF(OR(G293="",G293="なし"),"",IF(W293="合算",CF293,IF(W293="掛金・負担金別",(AU293+AV293+AZ293+BB293+BD293),SUM(AU293:AY293))))</f>
        <v>191156</v>
      </c>
      <c r="Z293" s="27"/>
      <c r="AA293" s="29" t="str">
        <f aca="false">IF(OR(G293="",G293="なし"),"",IF(W293="掛金・負担金別",(AW293+AX293+AY293+BA293+BC293+BE293),IF(W293="経理区分別",AZ293+BA293,"")))</f>
        <v/>
      </c>
      <c r="AB293" s="27"/>
      <c r="AC293" s="29" t="str">
        <f aca="false">IF(OR(G293="",G293="なし"),"",IF(W293="経理区分別",BB293+BC293,""))</f>
        <v/>
      </c>
      <c r="AD293" s="27"/>
      <c r="AE293" s="29" t="str">
        <f aca="false">IF(OR(G293="",G293="なし"),"",IF(W293="経理区分別",BD293+BE293,""))</f>
        <v/>
      </c>
      <c r="AF293" s="27"/>
      <c r="AG293" s="26" t="s">
        <v>160</v>
      </c>
      <c r="AH293" s="26"/>
      <c r="AI293" s="30"/>
      <c r="AJ293" s="31"/>
      <c r="AK293" s="31"/>
      <c r="AL293" s="31"/>
      <c r="AM293" s="31"/>
      <c r="AN293" s="31"/>
      <c r="AO293" s="31"/>
      <c r="AP293" s="31"/>
      <c r="AQ293" s="31"/>
      <c r="AR293" s="31"/>
      <c r="AS293" s="31"/>
      <c r="AT293" s="31"/>
      <c r="AU293" s="31" t="n">
        <f aca="false">IF($G293="",AJ293,L293)</f>
        <v>48495</v>
      </c>
      <c r="AV293" s="31" t="n">
        <f aca="false">IF($G293="",AK293,M293)</f>
        <v>3975</v>
      </c>
      <c r="AW293" s="31" t="n">
        <f aca="false">IF($G293="",AL293,N293)</f>
        <v>69642</v>
      </c>
      <c r="AX293" s="31" t="n">
        <f aca="false">IF($G293="",AM293,O293)</f>
        <v>3975</v>
      </c>
      <c r="AY293" s="31" t="n">
        <f aca="false">IF($G293="",AN293,P293)</f>
        <v>46</v>
      </c>
      <c r="AZ293" s="31" t="n">
        <f aca="false">IF($G293="",AO293,Q293)</f>
        <v>27485</v>
      </c>
      <c r="BA293" s="31" t="n">
        <f aca="false">IF($G293="",AP293,R293)</f>
        <v>27946</v>
      </c>
      <c r="BB293" s="31" t="n">
        <f aca="false">IF($G293="",AQ293,S293)</f>
        <v>4187</v>
      </c>
      <c r="BC293" s="31" t="n">
        <f aca="false">IF($G293="",AR293,T293)</f>
        <v>4187</v>
      </c>
      <c r="BD293" s="31" t="n">
        <f aca="false">IF($G293="",AS293,U293)</f>
        <v>609</v>
      </c>
      <c r="BE293" s="31" t="n">
        <f aca="false">IF($G293="",AT293,V293)</f>
        <v>609</v>
      </c>
      <c r="BF293" s="31" t="n">
        <f aca="false">ROUNDDOWN(I293*設定!$B$10/1000,0)+ROUNDDOWN(I293*設定!$B$11/1000,0)</f>
        <v>0</v>
      </c>
      <c r="BG293" s="31" t="n">
        <f aca="false">ROUNDDOWN(I293*設定!$C$10/1000,0)+ROUNDDOWN(I293*設定!$C$11/1000,0)+ROUNDDOWN(I293*設定!$C$12/1000,0)</f>
        <v>0</v>
      </c>
      <c r="BH293" s="31" t="n">
        <f aca="false">ROUNDDOWN(J293*設定!$B$13/1000,0)</f>
        <v>0</v>
      </c>
      <c r="BI293" s="31" t="n">
        <f aca="false">ROUNDDOWN(J293*設定!$C$13/1000,0)</f>
        <v>0</v>
      </c>
      <c r="BJ293" s="31" t="n">
        <f aca="false">ROUNDDOWN(K293*設定!$B$14/1000,0)</f>
        <v>0</v>
      </c>
      <c r="BK293" s="31" t="n">
        <f aca="false">ROUNDDOWN(K293*設定!$C$14/1000,0)</f>
        <v>0</v>
      </c>
      <c r="BL293" s="31" t="n">
        <f aca="false">ROUNDDOWN(J293*設定!$B$15/1000,0)</f>
        <v>0</v>
      </c>
      <c r="BM293" s="31" t="n">
        <f aca="false">ROUNDDOWN(J293*設定!$C$15/1000,0)</f>
        <v>0</v>
      </c>
      <c r="BN293" s="31" t="n">
        <f aca="false">L293+M293</f>
        <v>52470</v>
      </c>
      <c r="BO293" s="31" t="n">
        <f aca="false">N293+O293+P293</f>
        <v>73663</v>
      </c>
      <c r="BP293" s="31" t="n">
        <f aca="false">Q293</f>
        <v>27485</v>
      </c>
      <c r="BQ293" s="31" t="n">
        <f aca="false">R293</f>
        <v>27946</v>
      </c>
      <c r="BR293" s="31" t="n">
        <f aca="false">S293</f>
        <v>4187</v>
      </c>
      <c r="BS293" s="31" t="n">
        <f aca="false">T293</f>
        <v>4187</v>
      </c>
      <c r="BT293" s="31" t="n">
        <f aca="false">U293</f>
        <v>609</v>
      </c>
      <c r="BU293" s="31" t="n">
        <f aca="false">V293</f>
        <v>609</v>
      </c>
      <c r="BV293" s="32" t="n">
        <f aca="false">IF(BF293=0,IF(BN293=0,0,1),(BN293-BF293)/BF293)</f>
        <v>1</v>
      </c>
      <c r="BW293" s="32" t="n">
        <f aca="false">IF(BG293=0,IF(BO293=0,0,1),(BO293-BG293)/BG293)</f>
        <v>1</v>
      </c>
      <c r="BX293" s="32" t="n">
        <f aca="false">IF(BH293=0,IF(BP293=0,0,1),(BP293-BH293)/BH293)</f>
        <v>1</v>
      </c>
      <c r="BY293" s="32" t="n">
        <f aca="false">IF(BI293=0,IF(BQ293=0,0,1),(BQ293-BI293)/BI293)</f>
        <v>1</v>
      </c>
      <c r="BZ293" s="32" t="n">
        <f aca="false">IF(BJ293=0,IF(BR293=0,0,1),(BR293-BJ293)/BJ293)</f>
        <v>1</v>
      </c>
      <c r="CA293" s="32" t="n">
        <f aca="false">IF(BK293=0,IF(BS293=0,0,1),(BS293-BK293)/BK293)</f>
        <v>1</v>
      </c>
      <c r="CB293" s="32" t="n">
        <f aca="false">IF(BL293=0,IF(BT293=0,0,1),(BT293-BL293)/BL293)</f>
        <v>1</v>
      </c>
      <c r="CC293" s="32" t="n">
        <f aca="false">IF(BM293=0,IF(BU293=0,0,1),(BU293-BM293)/BM293)</f>
        <v>1</v>
      </c>
      <c r="CD293" s="32" t="n">
        <f aca="false">MAX(MAX(BV293:CC293),-MIN(BV293:CC293))</f>
        <v>1</v>
      </c>
      <c r="CE293" s="31" t="n">
        <f aca="false">IF(CI293="","",SUMIFS($CF$7:$CF$696,$A$7:$A$696,CI293,$B$7:$B$696,B293))</f>
        <v>191156</v>
      </c>
      <c r="CF293" s="31" t="n">
        <f aca="false">SUM(AU293:BE293)</f>
        <v>191156</v>
      </c>
      <c r="CG293" s="33" t="str">
        <f aca="false">A293&amp;"|"&amp;B293</f>
        <v>2026-09 月例|医療政策課(安芸市民)</v>
      </c>
      <c r="CH293" s="34" t="str">
        <f aca="false">IFERROR(INDEX(設定!$D$61:$D$106,MATCH(B293,設定!$B$61:$B$106,0)),"Y")</f>
        <v>Y</v>
      </c>
      <c r="CI293" s="34" t="str">
        <f aca="false">IFERROR(INDEX(設定!$D$20:$D$34,MATCH(A293,設定!$A$20:$A$34,0))&amp;"","")</f>
        <v>2026-08 月例</v>
      </c>
    </row>
    <row r="294" customFormat="false" ht="15" hidden="true" customHeight="false" outlineLevel="0" collapsed="false">
      <c r="A294" s="22" t="s">
        <v>213</v>
      </c>
      <c r="B294" s="23" t="s">
        <v>171</v>
      </c>
      <c r="C294" s="10" t="str">
        <f aca="false">IF(G294="","未受領",IF(G294="なし","報告なし",IF(AH294="○","起票済",IF(OR(AG294="○",F294="一致",F294="入金不要"),"入金確認済","受領済"))))</f>
        <v>入金確認済</v>
      </c>
      <c r="D294" s="10" t="str">
        <f aca="false">IF(OR(G294="",G294="なし"),"―",IF(CH294="N","対象外",IF(AND(I294="",J294="",K294=""),"標報未入力",IF(CD294&gt;=設定!$B$4,"要確認","問題なし"))))</f>
        <v>標報未入力</v>
      </c>
      <c r="E294" s="24" t="str">
        <f aca="false">IF(OR(G294="",G294="なし",CE294="",CF294=0),"―",IF(CF294=CE294,"前月同額",IF(CE294=0,"―",IF(ABS(CF294/CE294-1)&gt;=設定!$B$5,"変動大 "&amp;TEXT(CF294/CE294-1,"+0%;-0%"),"〇"))))</f>
        <v>〇</v>
      </c>
      <c r="F294" s="10" t="str">
        <f aca="false">IF(OR(G294="",G294="なし"),"―",IF(CF294=0,"入金不要",IF(COUNT(Z294,AB294,AD294,AF294)=0,IF(AG294="○","手動確認","未入金"),IF(AND(N(Z294)=Y294,IF(AA294="",TRUE(),N(AB294)=AA294),IF(AC294="",TRUE(),N(AD294)=AC294),IF(AE294="",TRUE(),N(AF294)=AE294)),"一致","不一致"))))</f>
        <v>手動確認</v>
      </c>
      <c r="G294" s="25" t="s">
        <v>159</v>
      </c>
      <c r="H294" s="26"/>
      <c r="I294" s="27"/>
      <c r="J294" s="27"/>
      <c r="K294" s="27"/>
      <c r="L294" s="27" t="n">
        <v>0</v>
      </c>
      <c r="M294" s="27" t="n">
        <v>0</v>
      </c>
      <c r="N294" s="27"/>
      <c r="O294" s="27"/>
      <c r="P294" s="27" t="n">
        <v>0</v>
      </c>
      <c r="Q294" s="27" t="n">
        <v>261885</v>
      </c>
      <c r="R294" s="27" t="n">
        <v>266286</v>
      </c>
      <c r="S294" s="27" t="n">
        <v>10507</v>
      </c>
      <c r="T294" s="27" t="n">
        <v>10507</v>
      </c>
      <c r="U294" s="27" t="n">
        <v>5803</v>
      </c>
      <c r="V294" s="27" t="n">
        <v>5807</v>
      </c>
      <c r="W294" s="10" t="str">
        <f aca="false">IFERROR(INDEX(設定!$E$61:$E$106,MATCH(B294,設定!$B$61:$B$106,0)),"合算")</f>
        <v>合算</v>
      </c>
      <c r="X294" s="28"/>
      <c r="Y294" s="29" t="n">
        <f aca="false">IF(OR(G294="",G294="なし"),"",IF(W294="合算",CF294,IF(W294="掛金・負担金別",(AU294+AV294+AZ294+BB294+BD294),SUM(AU294:AY294))))</f>
        <v>560795</v>
      </c>
      <c r="Z294" s="27"/>
      <c r="AA294" s="29" t="str">
        <f aca="false">IF(OR(G294="",G294="なし"),"",IF(W294="掛金・負担金別",(AW294+AX294+AY294+BA294+BC294+BE294),IF(W294="経理区分別",AZ294+BA294,"")))</f>
        <v/>
      </c>
      <c r="AB294" s="27"/>
      <c r="AC294" s="29" t="str">
        <f aca="false">IF(OR(G294="",G294="なし"),"",IF(W294="経理区分別",BB294+BC294,""))</f>
        <v/>
      </c>
      <c r="AD294" s="27"/>
      <c r="AE294" s="29" t="str">
        <f aca="false">IF(OR(G294="",G294="なし"),"",IF(W294="経理区分別",BD294+BE294,""))</f>
        <v/>
      </c>
      <c r="AF294" s="27"/>
      <c r="AG294" s="26" t="s">
        <v>160</v>
      </c>
      <c r="AH294" s="26"/>
      <c r="AI294" s="30"/>
      <c r="AJ294" s="31"/>
      <c r="AK294" s="31"/>
      <c r="AL294" s="31"/>
      <c r="AM294" s="31"/>
      <c r="AN294" s="31"/>
      <c r="AO294" s="31"/>
      <c r="AP294" s="31"/>
      <c r="AQ294" s="31"/>
      <c r="AR294" s="31"/>
      <c r="AS294" s="31"/>
      <c r="AT294" s="31"/>
      <c r="AU294" s="31" t="n">
        <f aca="false">IF($G294="",AJ294,L294)</f>
        <v>0</v>
      </c>
      <c r="AV294" s="31" t="n">
        <f aca="false">IF($G294="",AK294,M294)</f>
        <v>0</v>
      </c>
      <c r="AW294" s="31" t="n">
        <f aca="false">IF($G294="",AL294,N294)</f>
        <v>0</v>
      </c>
      <c r="AX294" s="31" t="n">
        <f aca="false">IF($G294="",AM294,O294)</f>
        <v>0</v>
      </c>
      <c r="AY294" s="31" t="n">
        <f aca="false">IF($G294="",AN294,P294)</f>
        <v>0</v>
      </c>
      <c r="AZ294" s="31" t="n">
        <f aca="false">IF($G294="",AO294,Q294)</f>
        <v>261885</v>
      </c>
      <c r="BA294" s="31" t="n">
        <f aca="false">IF($G294="",AP294,R294)</f>
        <v>266286</v>
      </c>
      <c r="BB294" s="31" t="n">
        <f aca="false">IF($G294="",AQ294,S294)</f>
        <v>10507</v>
      </c>
      <c r="BC294" s="31" t="n">
        <f aca="false">IF($G294="",AR294,T294)</f>
        <v>10507</v>
      </c>
      <c r="BD294" s="31" t="n">
        <f aca="false">IF($G294="",AS294,U294)</f>
        <v>5803</v>
      </c>
      <c r="BE294" s="31" t="n">
        <f aca="false">IF($G294="",AT294,V294)</f>
        <v>5807</v>
      </c>
      <c r="BF294" s="31" t="n">
        <f aca="false">ROUNDDOWN(I294*設定!$B$10/1000,0)+ROUNDDOWN(I294*設定!$B$11/1000,0)</f>
        <v>0</v>
      </c>
      <c r="BG294" s="31" t="n">
        <f aca="false">ROUNDDOWN(I294*設定!$C$10/1000,0)+ROUNDDOWN(I294*設定!$C$11/1000,0)+ROUNDDOWN(I294*設定!$C$12/1000,0)</f>
        <v>0</v>
      </c>
      <c r="BH294" s="31" t="n">
        <f aca="false">ROUNDDOWN(J294*設定!$B$13/1000,0)</f>
        <v>0</v>
      </c>
      <c r="BI294" s="31" t="n">
        <f aca="false">ROUNDDOWN(J294*設定!$C$13/1000,0)</f>
        <v>0</v>
      </c>
      <c r="BJ294" s="31" t="n">
        <f aca="false">ROUNDDOWN(K294*設定!$B$14/1000,0)</f>
        <v>0</v>
      </c>
      <c r="BK294" s="31" t="n">
        <f aca="false">ROUNDDOWN(K294*設定!$C$14/1000,0)</f>
        <v>0</v>
      </c>
      <c r="BL294" s="31" t="n">
        <f aca="false">ROUNDDOWN(J294*設定!$B$15/1000,0)</f>
        <v>0</v>
      </c>
      <c r="BM294" s="31" t="n">
        <f aca="false">ROUNDDOWN(J294*設定!$C$15/1000,0)</f>
        <v>0</v>
      </c>
      <c r="BN294" s="31" t="n">
        <f aca="false">L294+M294</f>
        <v>0</v>
      </c>
      <c r="BO294" s="31" t="n">
        <f aca="false">N294+O294+P294</f>
        <v>0</v>
      </c>
      <c r="BP294" s="31" t="n">
        <f aca="false">Q294</f>
        <v>261885</v>
      </c>
      <c r="BQ294" s="31" t="n">
        <f aca="false">R294</f>
        <v>266286</v>
      </c>
      <c r="BR294" s="31" t="n">
        <f aca="false">S294</f>
        <v>10507</v>
      </c>
      <c r="BS294" s="31" t="n">
        <f aca="false">T294</f>
        <v>10507</v>
      </c>
      <c r="BT294" s="31" t="n">
        <f aca="false">U294</f>
        <v>5803</v>
      </c>
      <c r="BU294" s="31" t="n">
        <f aca="false">V294</f>
        <v>5807</v>
      </c>
      <c r="BV294" s="32" t="n">
        <f aca="false">IF(BF294=0,IF(BN294=0,0,1),(BN294-BF294)/BF294)</f>
        <v>0</v>
      </c>
      <c r="BW294" s="32" t="n">
        <f aca="false">IF(BG294=0,IF(BO294=0,0,1),(BO294-BG294)/BG294)</f>
        <v>0</v>
      </c>
      <c r="BX294" s="32" t="n">
        <f aca="false">IF(BH294=0,IF(BP294=0,0,1),(BP294-BH294)/BH294)</f>
        <v>1</v>
      </c>
      <c r="BY294" s="32" t="n">
        <f aca="false">IF(BI294=0,IF(BQ294=0,0,1),(BQ294-BI294)/BI294)</f>
        <v>1</v>
      </c>
      <c r="BZ294" s="32" t="n">
        <f aca="false">IF(BJ294=0,IF(BR294=0,0,1),(BR294-BJ294)/BJ294)</f>
        <v>1</v>
      </c>
      <c r="CA294" s="32" t="n">
        <f aca="false">IF(BK294=0,IF(BS294=0,0,1),(BS294-BK294)/BK294)</f>
        <v>1</v>
      </c>
      <c r="CB294" s="32" t="n">
        <f aca="false">IF(BL294=0,IF(BT294=0,0,1),(BT294-BL294)/BL294)</f>
        <v>1</v>
      </c>
      <c r="CC294" s="32" t="n">
        <f aca="false">IF(BM294=0,IF(BU294=0,0,1),(BU294-BM294)/BM294)</f>
        <v>1</v>
      </c>
      <c r="CD294" s="32" t="n">
        <f aca="false">MAX(MAX(BV294:CC294),-MIN(BV294:CC294))</f>
        <v>1</v>
      </c>
      <c r="CE294" s="31" t="n">
        <f aca="false">IF(CI294="","",SUMIFS($CF$7:$CF$696,$A$7:$A$696,CI294,$B$7:$B$696,B294))</f>
        <v>576669</v>
      </c>
      <c r="CF294" s="31" t="n">
        <f aca="false">SUM(AU294:BE294)</f>
        <v>560795</v>
      </c>
      <c r="CG294" s="33" t="str">
        <f aca="false">A294&amp;"|"&amp;B294</f>
        <v>2026-09 月例|教育委員会（教育給与課）</v>
      </c>
      <c r="CH294" s="34" t="str">
        <f aca="false">IFERROR(INDEX(設定!$D$61:$D$106,MATCH(B294,設定!$B$61:$B$106,0)),"Y")</f>
        <v>Y</v>
      </c>
      <c r="CI294" s="34" t="str">
        <f aca="false">IFERROR(INDEX(設定!$D$20:$D$34,MATCH(A294,設定!$A$20:$A$34,0))&amp;"","")</f>
        <v>2026-08 月例</v>
      </c>
    </row>
    <row r="295" customFormat="false" ht="15" hidden="true" customHeight="false" outlineLevel="0" collapsed="false">
      <c r="A295" s="22" t="s">
        <v>213</v>
      </c>
      <c r="B295" s="23" t="s">
        <v>172</v>
      </c>
      <c r="C295" s="10" t="str">
        <f aca="false">IF(G295="","未受領",IF(G295="なし","報告なし",IF(AH295="○","起票済",IF(OR(AG295="○",F295="一致",F295="入金不要"),"入金確認済","受領済"))))</f>
        <v>報告なし</v>
      </c>
      <c r="D295" s="10" t="str">
        <f aca="false">IF(OR(G295="",G295="なし"),"―",IF(CH295="N","対象外",IF(AND(I295="",J295="",K295=""),"標報未入力",IF(CD295&gt;=設定!$B$4,"要確認","問題なし"))))</f>
        <v>―</v>
      </c>
      <c r="E295" s="24" t="str">
        <f aca="false">IF(OR(G295="",G295="なし",CE295="",CF295=0),"―",IF(CF295=CE295,"前月同額",IF(CE295=0,"―",IF(ABS(CF295/CE295-1)&gt;=設定!$B$5,"変動大 "&amp;TEXT(CF295/CE295-1,"+0%;-0%"),"〇"))))</f>
        <v>―</v>
      </c>
      <c r="F295" s="10" t="str">
        <f aca="false">IF(OR(G295="",G295="なし"),"―",IF(CF295=0,"入金不要",IF(COUNT(Z295,AB295,AD295,AF295)=0,IF(AG295="○","手動確認","未入金"),IF(AND(N(Z295)=Y295,IF(AA295="",TRUE(),N(AB295)=AA295),IF(AC295="",TRUE(),N(AD295)=AC295),IF(AE295="",TRUE(),N(AF295)=AE295)),"一致","不一致"))))</f>
        <v>―</v>
      </c>
      <c r="G295" s="25" t="s">
        <v>173</v>
      </c>
      <c r="H295" s="26"/>
      <c r="I295" s="27"/>
      <c r="J295" s="27"/>
      <c r="K295" s="27"/>
      <c r="L295" s="27"/>
      <c r="M295" s="27"/>
      <c r="N295" s="27"/>
      <c r="O295" s="27"/>
      <c r="P295" s="27"/>
      <c r="Q295" s="27"/>
      <c r="R295" s="27"/>
      <c r="S295" s="27"/>
      <c r="T295" s="27"/>
      <c r="U295" s="27"/>
      <c r="V295" s="27"/>
      <c r="W295" s="10" t="str">
        <f aca="false">IFERROR(INDEX(設定!$E$61:$E$106,MATCH(B295,設定!$B$61:$B$106,0)),"合算")</f>
        <v>合算</v>
      </c>
      <c r="X295" s="28"/>
      <c r="Y295" s="29" t="str">
        <f aca="false">IF(OR(G295="",G295="なし"),"",IF(W295="合算",CF295,IF(W295="掛金・負担金別",(AU295+AV295+AZ295+BB295+BD295),SUM(AU295:AY295))))</f>
        <v/>
      </c>
      <c r="Z295" s="27"/>
      <c r="AA295" s="29" t="str">
        <f aca="false">IF(OR(G295="",G295="なし"),"",IF(W295="掛金・負担金別",(AW295+AX295+AY295+BA295+BC295+BE295),IF(W295="経理区分別",AZ295+BA295,"")))</f>
        <v/>
      </c>
      <c r="AB295" s="27"/>
      <c r="AC295" s="29" t="str">
        <f aca="false">IF(OR(G295="",G295="なし"),"",IF(W295="経理区分別",BB295+BC295,""))</f>
        <v/>
      </c>
      <c r="AD295" s="27"/>
      <c r="AE295" s="29" t="str">
        <f aca="false">IF(OR(G295="",G295="なし"),"",IF(W295="経理区分別",BD295+BE295,""))</f>
        <v/>
      </c>
      <c r="AF295" s="27"/>
      <c r="AG295" s="26"/>
      <c r="AH295" s="26"/>
      <c r="AI295" s="30"/>
      <c r="AJ295" s="31"/>
      <c r="AK295" s="31"/>
      <c r="AL295" s="31"/>
      <c r="AM295" s="31"/>
      <c r="AN295" s="31"/>
      <c r="AO295" s="31"/>
      <c r="AP295" s="31"/>
      <c r="AQ295" s="31"/>
      <c r="AR295" s="31"/>
      <c r="AS295" s="31"/>
      <c r="AT295" s="31"/>
      <c r="AU295" s="31" t="n">
        <f aca="false">IF($G295="",AJ295,L295)</f>
        <v>0</v>
      </c>
      <c r="AV295" s="31" t="n">
        <f aca="false">IF($G295="",AK295,M295)</f>
        <v>0</v>
      </c>
      <c r="AW295" s="31" t="n">
        <f aca="false">IF($G295="",AL295,N295)</f>
        <v>0</v>
      </c>
      <c r="AX295" s="31" t="n">
        <f aca="false">IF($G295="",AM295,O295)</f>
        <v>0</v>
      </c>
      <c r="AY295" s="31" t="n">
        <f aca="false">IF($G295="",AN295,P295)</f>
        <v>0</v>
      </c>
      <c r="AZ295" s="31" t="n">
        <f aca="false">IF($G295="",AO295,Q295)</f>
        <v>0</v>
      </c>
      <c r="BA295" s="31" t="n">
        <f aca="false">IF($G295="",AP295,R295)</f>
        <v>0</v>
      </c>
      <c r="BB295" s="31" t="n">
        <f aca="false">IF($G295="",AQ295,S295)</f>
        <v>0</v>
      </c>
      <c r="BC295" s="31" t="n">
        <f aca="false">IF($G295="",AR295,T295)</f>
        <v>0</v>
      </c>
      <c r="BD295" s="31" t="n">
        <f aca="false">IF($G295="",AS295,U295)</f>
        <v>0</v>
      </c>
      <c r="BE295" s="31" t="n">
        <f aca="false">IF($G295="",AT295,V295)</f>
        <v>0</v>
      </c>
      <c r="BF295" s="31" t="n">
        <f aca="false">ROUNDDOWN(I295*設定!$B$10/1000,0)+ROUNDDOWN(I295*設定!$B$11/1000,0)</f>
        <v>0</v>
      </c>
      <c r="BG295" s="31" t="n">
        <f aca="false">ROUNDDOWN(I295*設定!$C$10/1000,0)+ROUNDDOWN(I295*設定!$C$11/1000,0)+ROUNDDOWN(I295*設定!$C$12/1000,0)</f>
        <v>0</v>
      </c>
      <c r="BH295" s="31" t="n">
        <f aca="false">ROUNDDOWN(J295*設定!$B$13/1000,0)</f>
        <v>0</v>
      </c>
      <c r="BI295" s="31" t="n">
        <f aca="false">ROUNDDOWN(J295*設定!$C$13/1000,0)</f>
        <v>0</v>
      </c>
      <c r="BJ295" s="31" t="n">
        <f aca="false">ROUNDDOWN(K295*設定!$B$14/1000,0)</f>
        <v>0</v>
      </c>
      <c r="BK295" s="31" t="n">
        <f aca="false">ROUNDDOWN(K295*設定!$C$14/1000,0)</f>
        <v>0</v>
      </c>
      <c r="BL295" s="31" t="n">
        <f aca="false">ROUNDDOWN(J295*設定!$B$15/1000,0)</f>
        <v>0</v>
      </c>
      <c r="BM295" s="31" t="n">
        <f aca="false">ROUNDDOWN(J295*設定!$C$15/1000,0)</f>
        <v>0</v>
      </c>
      <c r="BN295" s="31" t="n">
        <f aca="false">L295+M295</f>
        <v>0</v>
      </c>
      <c r="BO295" s="31" t="n">
        <f aca="false">N295+O295+P295</f>
        <v>0</v>
      </c>
      <c r="BP295" s="31" t="n">
        <f aca="false">Q295</f>
        <v>0</v>
      </c>
      <c r="BQ295" s="31" t="n">
        <f aca="false">R295</f>
        <v>0</v>
      </c>
      <c r="BR295" s="31" t="n">
        <f aca="false">S295</f>
        <v>0</v>
      </c>
      <c r="BS295" s="31" t="n">
        <f aca="false">T295</f>
        <v>0</v>
      </c>
      <c r="BT295" s="31" t="n">
        <f aca="false">U295</f>
        <v>0</v>
      </c>
      <c r="BU295" s="31" t="n">
        <f aca="false">V295</f>
        <v>0</v>
      </c>
      <c r="BV295" s="32" t="n">
        <f aca="false">IF(BF295=0,IF(BN295=0,0,1),(BN295-BF295)/BF295)</f>
        <v>0</v>
      </c>
      <c r="BW295" s="32" t="n">
        <f aca="false">IF(BG295=0,IF(BO295=0,0,1),(BO295-BG295)/BG295)</f>
        <v>0</v>
      </c>
      <c r="BX295" s="32" t="n">
        <f aca="false">IF(BH295=0,IF(BP295=0,0,1),(BP295-BH295)/BH295)</f>
        <v>0</v>
      </c>
      <c r="BY295" s="32" t="n">
        <f aca="false">IF(BI295=0,IF(BQ295=0,0,1),(BQ295-BI295)/BI295)</f>
        <v>0</v>
      </c>
      <c r="BZ295" s="32" t="n">
        <f aca="false">IF(BJ295=0,IF(BR295=0,0,1),(BR295-BJ295)/BJ295)</f>
        <v>0</v>
      </c>
      <c r="CA295" s="32" t="n">
        <f aca="false">IF(BK295=0,IF(BS295=0,0,1),(BS295-BK295)/BK295)</f>
        <v>0</v>
      </c>
      <c r="CB295" s="32" t="n">
        <f aca="false">IF(BL295=0,IF(BT295=0,0,1),(BT295-BL295)/BL295)</f>
        <v>0</v>
      </c>
      <c r="CC295" s="32" t="n">
        <f aca="false">IF(BM295=0,IF(BU295=0,0,1),(BU295-BM295)/BM295)</f>
        <v>0</v>
      </c>
      <c r="CD295" s="32" t="n">
        <f aca="false">MAX(MAX(BV295:CC295),-MIN(BV295:CC295))</f>
        <v>-0</v>
      </c>
      <c r="CE295" s="31" t="n">
        <f aca="false">IF(CI295="","",SUMIFS($CF$7:$CF$696,$A$7:$A$696,CI295,$B$7:$B$696,B295))</f>
        <v>0</v>
      </c>
      <c r="CF295" s="31" t="n">
        <f aca="false">SUM(AU295:BE295)</f>
        <v>0</v>
      </c>
      <c r="CG295" s="33" t="str">
        <f aca="false">A295&amp;"|"&amp;B295</f>
        <v>2026-09 月例|地方税共同機構</v>
      </c>
      <c r="CH295" s="34" t="str">
        <f aca="false">IFERROR(INDEX(設定!$D$61:$D$106,MATCH(B295,設定!$B$61:$B$106,0)),"Y")</f>
        <v>Y</v>
      </c>
      <c r="CI295" s="34" t="str">
        <f aca="false">IFERROR(INDEX(設定!$D$20:$D$34,MATCH(A295,設定!$A$20:$A$34,0))&amp;"","")</f>
        <v>2026-08 月例</v>
      </c>
    </row>
    <row r="296" customFormat="false" ht="15" hidden="true" customHeight="false" outlineLevel="0" collapsed="false">
      <c r="A296" s="22" t="s">
        <v>213</v>
      </c>
      <c r="B296" s="23" t="s">
        <v>174</v>
      </c>
      <c r="C296" s="10" t="str">
        <f aca="false">IF(G296="","未受領",IF(G296="なし","報告なし",IF(AH296="○","起票済",IF(OR(AG296="○",F296="一致",F296="入金不要"),"入金確認済","受領済"))))</f>
        <v>入金確認済</v>
      </c>
      <c r="D296" s="10" t="str">
        <f aca="false">IF(OR(G296="",G296="なし"),"―",IF(CH296="N","対象外",IF(AND(I296="",J296="",K296=""),"標報未入力",IF(CD296&gt;=設定!$B$4,"要確認","問題なし"))))</f>
        <v>標報未入力</v>
      </c>
      <c r="E296" s="24" t="str">
        <f aca="false">IF(OR(G296="",G296="なし",CE296="",CF296=0),"―",IF(CF296=CE296,"前月同額",IF(CE296=0,"―",IF(ABS(CF296/CE296-1)&gt;=設定!$B$5,"変動大 "&amp;TEXT(CF296/CE296-1,"+0%;-0%"),"〇"))))</f>
        <v>〇</v>
      </c>
      <c r="F296" s="10" t="str">
        <f aca="false">IF(OR(G296="",G296="なし"),"―",IF(CF296=0,"入金不要",IF(COUNT(Z296,AB296,AD296,AF296)=0,IF(AG296="○","手動確認","未入金"),IF(AND(N(Z296)=Y296,IF(AA296="",TRUE(),N(AB296)=AA296),IF(AC296="",TRUE(),N(AD296)=AC296),IF(AE296="",TRUE(),N(AF296)=AE296)),"一致","不一致"))))</f>
        <v>手動確認</v>
      </c>
      <c r="G296" s="25" t="s">
        <v>159</v>
      </c>
      <c r="H296" s="26"/>
      <c r="I296" s="27"/>
      <c r="J296" s="27"/>
      <c r="K296" s="27"/>
      <c r="L296" s="27" t="n">
        <v>0</v>
      </c>
      <c r="M296" s="27" t="n">
        <v>0</v>
      </c>
      <c r="N296" s="27" t="n">
        <v>785070</v>
      </c>
      <c r="O296" s="27" t="n">
        <v>64350</v>
      </c>
      <c r="P296" s="27" t="n">
        <v>776</v>
      </c>
      <c r="Q296" s="27" t="n">
        <v>0</v>
      </c>
      <c r="R296" s="27" t="n">
        <v>446945</v>
      </c>
      <c r="S296" s="27" t="n">
        <v>0</v>
      </c>
      <c r="T296" s="27" t="n">
        <v>55616</v>
      </c>
      <c r="U296" s="27" t="n">
        <v>0</v>
      </c>
      <c r="V296" s="27" t="n">
        <v>9901</v>
      </c>
      <c r="W296" s="10" t="str">
        <f aca="false">IFERROR(INDEX(設定!$E$61:$E$106,MATCH(B296,設定!$B$61:$B$106,0)),"合算")</f>
        <v>合算</v>
      </c>
      <c r="X296" s="28"/>
      <c r="Y296" s="29" t="n">
        <f aca="false">IF(OR(G296="",G296="なし"),"",IF(W296="合算",CF296,IF(W296="掛金・負担金別",(AU296+AV296+AZ296+BB296+BD296),SUM(AU296:AY296))))</f>
        <v>1362658</v>
      </c>
      <c r="Z296" s="27"/>
      <c r="AA296" s="29" t="str">
        <f aca="false">IF(OR(G296="",G296="なし"),"",IF(W296="掛金・負担金別",(AW296+AX296+AY296+BA296+BC296+BE296),IF(W296="経理区分別",AZ296+BA296,"")))</f>
        <v/>
      </c>
      <c r="AB296" s="27"/>
      <c r="AC296" s="29" t="str">
        <f aca="false">IF(OR(G296="",G296="なし"),"",IF(W296="経理区分別",BB296+BC296,""))</f>
        <v/>
      </c>
      <c r="AD296" s="27"/>
      <c r="AE296" s="29" t="str">
        <f aca="false">IF(OR(G296="",G296="なし"),"",IF(W296="経理区分別",BD296+BE296,""))</f>
        <v/>
      </c>
      <c r="AF296" s="27"/>
      <c r="AG296" s="26" t="s">
        <v>160</v>
      </c>
      <c r="AH296" s="26"/>
      <c r="AI296" s="30"/>
      <c r="AJ296" s="31"/>
      <c r="AK296" s="31"/>
      <c r="AL296" s="31"/>
      <c r="AM296" s="31"/>
      <c r="AN296" s="31"/>
      <c r="AO296" s="31"/>
      <c r="AP296" s="31"/>
      <c r="AQ296" s="31"/>
      <c r="AR296" s="31"/>
      <c r="AS296" s="31"/>
      <c r="AT296" s="31"/>
      <c r="AU296" s="31" t="n">
        <f aca="false">IF($G296="",AJ296,L296)</f>
        <v>0</v>
      </c>
      <c r="AV296" s="31" t="n">
        <f aca="false">IF($G296="",AK296,M296)</f>
        <v>0</v>
      </c>
      <c r="AW296" s="31" t="n">
        <f aca="false">IF($G296="",AL296,N296)</f>
        <v>785070</v>
      </c>
      <c r="AX296" s="31" t="n">
        <f aca="false">IF($G296="",AM296,O296)</f>
        <v>64350</v>
      </c>
      <c r="AY296" s="31" t="n">
        <f aca="false">IF($G296="",AN296,P296)</f>
        <v>776</v>
      </c>
      <c r="AZ296" s="31" t="n">
        <f aca="false">IF($G296="",AO296,Q296)</f>
        <v>0</v>
      </c>
      <c r="BA296" s="31" t="n">
        <f aca="false">IF($G296="",AP296,R296)</f>
        <v>446945</v>
      </c>
      <c r="BB296" s="31" t="n">
        <f aca="false">IF($G296="",AQ296,S296)</f>
        <v>0</v>
      </c>
      <c r="BC296" s="31" t="n">
        <f aca="false">IF($G296="",AR296,T296)</f>
        <v>55616</v>
      </c>
      <c r="BD296" s="31" t="n">
        <f aca="false">IF($G296="",AS296,U296)</f>
        <v>0</v>
      </c>
      <c r="BE296" s="31" t="n">
        <f aca="false">IF($G296="",AT296,V296)</f>
        <v>9901</v>
      </c>
      <c r="BF296" s="31" t="n">
        <f aca="false">ROUNDDOWN(I296*設定!$B$10/1000,0)+ROUNDDOWN(I296*設定!$B$11/1000,0)</f>
        <v>0</v>
      </c>
      <c r="BG296" s="31" t="n">
        <f aca="false">ROUNDDOWN(I296*設定!$C$10/1000,0)+ROUNDDOWN(I296*設定!$C$11/1000,0)+ROUNDDOWN(I296*設定!$C$12/1000,0)</f>
        <v>0</v>
      </c>
      <c r="BH296" s="31" t="n">
        <f aca="false">ROUNDDOWN(J296*設定!$B$13/1000,0)</f>
        <v>0</v>
      </c>
      <c r="BI296" s="31" t="n">
        <f aca="false">ROUNDDOWN(J296*設定!$C$13/1000,0)</f>
        <v>0</v>
      </c>
      <c r="BJ296" s="31" t="n">
        <f aca="false">ROUNDDOWN(K296*設定!$B$14/1000,0)</f>
        <v>0</v>
      </c>
      <c r="BK296" s="31" t="n">
        <f aca="false">ROUNDDOWN(K296*設定!$C$14/1000,0)</f>
        <v>0</v>
      </c>
      <c r="BL296" s="31" t="n">
        <f aca="false">ROUNDDOWN(J296*設定!$B$15/1000,0)</f>
        <v>0</v>
      </c>
      <c r="BM296" s="31" t="n">
        <f aca="false">ROUNDDOWN(J296*設定!$C$15/1000,0)</f>
        <v>0</v>
      </c>
      <c r="BN296" s="31" t="n">
        <f aca="false">L296+M296</f>
        <v>0</v>
      </c>
      <c r="BO296" s="31" t="n">
        <f aca="false">N296+O296+P296</f>
        <v>850196</v>
      </c>
      <c r="BP296" s="31" t="n">
        <f aca="false">Q296</f>
        <v>0</v>
      </c>
      <c r="BQ296" s="31" t="n">
        <f aca="false">R296</f>
        <v>446945</v>
      </c>
      <c r="BR296" s="31" t="n">
        <f aca="false">S296</f>
        <v>0</v>
      </c>
      <c r="BS296" s="31" t="n">
        <f aca="false">T296</f>
        <v>55616</v>
      </c>
      <c r="BT296" s="31" t="n">
        <f aca="false">U296</f>
        <v>0</v>
      </c>
      <c r="BU296" s="31" t="n">
        <f aca="false">V296</f>
        <v>9901</v>
      </c>
      <c r="BV296" s="32" t="n">
        <f aca="false">IF(BF296=0,IF(BN296=0,0,1),(BN296-BF296)/BF296)</f>
        <v>0</v>
      </c>
      <c r="BW296" s="32" t="n">
        <f aca="false">IF(BG296=0,IF(BO296=0,0,1),(BO296-BG296)/BG296)</f>
        <v>1</v>
      </c>
      <c r="BX296" s="32" t="n">
        <f aca="false">IF(BH296=0,IF(BP296=0,0,1),(BP296-BH296)/BH296)</f>
        <v>0</v>
      </c>
      <c r="BY296" s="32" t="n">
        <f aca="false">IF(BI296=0,IF(BQ296=0,0,1),(BQ296-BI296)/BI296)</f>
        <v>1</v>
      </c>
      <c r="BZ296" s="32" t="n">
        <f aca="false">IF(BJ296=0,IF(BR296=0,0,1),(BR296-BJ296)/BJ296)</f>
        <v>0</v>
      </c>
      <c r="CA296" s="32" t="n">
        <f aca="false">IF(BK296=0,IF(BS296=0,0,1),(BS296-BK296)/BK296)</f>
        <v>1</v>
      </c>
      <c r="CB296" s="32" t="n">
        <f aca="false">IF(BL296=0,IF(BT296=0,0,1),(BT296-BL296)/BL296)</f>
        <v>0</v>
      </c>
      <c r="CC296" s="32" t="n">
        <f aca="false">IF(BM296=0,IF(BU296=0,0,1),(BU296-BM296)/BM296)</f>
        <v>1</v>
      </c>
      <c r="CD296" s="32" t="n">
        <f aca="false">MAX(MAX(BV296:CC296),-MIN(BV296:CC296))</f>
        <v>1</v>
      </c>
      <c r="CE296" s="31" t="n">
        <f aca="false">IF(CI296="","",SUMIFS($CF$7:$CF$696,$A$7:$A$696,CI296,$B$7:$B$696,B296))</f>
        <v>1348798</v>
      </c>
      <c r="CF296" s="31" t="n">
        <f aca="false">SUM(AU296:BE296)</f>
        <v>1362658</v>
      </c>
      <c r="CG296" s="33" t="str">
        <f aca="false">A296&amp;"|"&amp;B296</f>
        <v>2026-09 月例|平和文化センター</v>
      </c>
      <c r="CH296" s="34" t="str">
        <f aca="false">IFERROR(INDEX(設定!$D$61:$D$106,MATCH(B296,設定!$B$61:$B$106,0)),"Y")</f>
        <v>Y</v>
      </c>
      <c r="CI296" s="34" t="str">
        <f aca="false">IFERROR(INDEX(設定!$D$20:$D$34,MATCH(A296,設定!$A$20:$A$34,0))&amp;"","")</f>
        <v>2026-08 月例</v>
      </c>
    </row>
    <row r="297" customFormat="false" ht="15" hidden="true" customHeight="false" outlineLevel="0" collapsed="false">
      <c r="A297" s="22" t="s">
        <v>213</v>
      </c>
      <c r="B297" s="23" t="s">
        <v>175</v>
      </c>
      <c r="C297" s="10" t="str">
        <f aca="false">IF(G297="","未受領",IF(G297="なし","報告なし",IF(AH297="○","起票済",IF(OR(AG297="○",F297="一致",F297="入金不要"),"入金確認済","受領済"))))</f>
        <v>入金確認済</v>
      </c>
      <c r="D297" s="10" t="str">
        <f aca="false">IF(OR(G297="",G297="なし"),"―",IF(CH297="N","対象外",IF(AND(I297="",J297="",K297=""),"標報未入力",IF(CD297&gt;=設定!$B$4,"要確認","問題なし"))))</f>
        <v>標報未入力</v>
      </c>
      <c r="E297" s="24" t="str">
        <f aca="false">IF(OR(G297="",G297="なし",CE297="",CF297=0),"―",IF(CF297=CE297,"前月同額",IF(CE297=0,"―",IF(ABS(CF297/CE297-1)&gt;=設定!$B$5,"変動大 "&amp;TEXT(CF297/CE297-1,"+0%;-0%"),"〇"))))</f>
        <v>〇</v>
      </c>
      <c r="F297" s="10" t="str">
        <f aca="false">IF(OR(G297="",G297="なし"),"―",IF(CF297=0,"入金不要",IF(COUNT(Z297,AB297,AD297,AF297)=0,IF(AG297="○","手動確認","未入金"),IF(AND(N(Z297)=Y297,IF(AA297="",TRUE(),N(AB297)=AA297),IF(AC297="",TRUE(),N(AD297)=AC297),IF(AE297="",TRUE(),N(AF297)=AE297)),"一致","不一致"))))</f>
        <v>手動確認</v>
      </c>
      <c r="G297" s="25" t="s">
        <v>159</v>
      </c>
      <c r="H297" s="26"/>
      <c r="I297" s="27"/>
      <c r="J297" s="27"/>
      <c r="K297" s="27"/>
      <c r="L297" s="27"/>
      <c r="M297" s="27"/>
      <c r="N297" s="27" t="n">
        <v>2013915</v>
      </c>
      <c r="O297" s="27" t="n">
        <v>165075</v>
      </c>
      <c r="P297" s="27" t="n">
        <v>2074</v>
      </c>
      <c r="Q297" s="27"/>
      <c r="R297" s="27" t="n">
        <v>1295257</v>
      </c>
      <c r="S297" s="27"/>
      <c r="T297" s="27" t="n">
        <v>146861</v>
      </c>
      <c r="U297" s="27"/>
      <c r="V297" s="27" t="n">
        <v>28689</v>
      </c>
      <c r="W297" s="10" t="str">
        <f aca="false">IFERROR(INDEX(設定!$E$61:$E$106,MATCH(B297,設定!$B$61:$B$106,0)),"合算")</f>
        <v>合算</v>
      </c>
      <c r="X297" s="28"/>
      <c r="Y297" s="29" t="n">
        <f aca="false">IF(OR(G297="",G297="なし"),"",IF(W297="合算",CF297,IF(W297="掛金・負担金別",(AU297+AV297+AZ297+BB297+BD297),SUM(AU297:AY297))))</f>
        <v>3651871</v>
      </c>
      <c r="Z297" s="27"/>
      <c r="AA297" s="29" t="str">
        <f aca="false">IF(OR(G297="",G297="なし"),"",IF(W297="掛金・負担金別",(AW297+AX297+AY297+BA297+BC297+BE297),IF(W297="経理区分別",AZ297+BA297,"")))</f>
        <v/>
      </c>
      <c r="AB297" s="27"/>
      <c r="AC297" s="29" t="str">
        <f aca="false">IF(OR(G297="",G297="なし"),"",IF(W297="経理区分別",BB297+BC297,""))</f>
        <v/>
      </c>
      <c r="AD297" s="27"/>
      <c r="AE297" s="29" t="str">
        <f aca="false">IF(OR(G297="",G297="なし"),"",IF(W297="経理区分別",BD297+BE297,""))</f>
        <v/>
      </c>
      <c r="AF297" s="27"/>
      <c r="AG297" s="26" t="s">
        <v>160</v>
      </c>
      <c r="AH297" s="26"/>
      <c r="AI297" s="30"/>
      <c r="AJ297" s="31"/>
      <c r="AK297" s="31"/>
      <c r="AL297" s="31"/>
      <c r="AM297" s="31"/>
      <c r="AN297" s="31"/>
      <c r="AO297" s="31"/>
      <c r="AP297" s="31"/>
      <c r="AQ297" s="31"/>
      <c r="AR297" s="31"/>
      <c r="AS297" s="31"/>
      <c r="AT297" s="31"/>
      <c r="AU297" s="31" t="n">
        <f aca="false">IF($G297="",AJ297,L297)</f>
        <v>0</v>
      </c>
      <c r="AV297" s="31" t="n">
        <f aca="false">IF($G297="",AK297,M297)</f>
        <v>0</v>
      </c>
      <c r="AW297" s="31" t="n">
        <f aca="false">IF($G297="",AL297,N297)</f>
        <v>2013915</v>
      </c>
      <c r="AX297" s="31" t="n">
        <f aca="false">IF($G297="",AM297,O297)</f>
        <v>165075</v>
      </c>
      <c r="AY297" s="31" t="n">
        <f aca="false">IF($G297="",AN297,P297)</f>
        <v>2074</v>
      </c>
      <c r="AZ297" s="31" t="n">
        <f aca="false">IF($G297="",AO297,Q297)</f>
        <v>0</v>
      </c>
      <c r="BA297" s="31" t="n">
        <f aca="false">IF($G297="",AP297,R297)</f>
        <v>1295257</v>
      </c>
      <c r="BB297" s="31" t="n">
        <f aca="false">IF($G297="",AQ297,S297)</f>
        <v>0</v>
      </c>
      <c r="BC297" s="31" t="n">
        <f aca="false">IF($G297="",AR297,T297)</f>
        <v>146861</v>
      </c>
      <c r="BD297" s="31" t="n">
        <f aca="false">IF($G297="",AS297,U297)</f>
        <v>0</v>
      </c>
      <c r="BE297" s="31" t="n">
        <f aca="false">IF($G297="",AT297,V297)</f>
        <v>28689</v>
      </c>
      <c r="BF297" s="31" t="n">
        <f aca="false">ROUNDDOWN(I297*設定!$B$10/1000,0)+ROUNDDOWN(I297*設定!$B$11/1000,0)</f>
        <v>0</v>
      </c>
      <c r="BG297" s="31" t="n">
        <f aca="false">ROUNDDOWN(I297*設定!$C$10/1000,0)+ROUNDDOWN(I297*設定!$C$11/1000,0)+ROUNDDOWN(I297*設定!$C$12/1000,0)</f>
        <v>0</v>
      </c>
      <c r="BH297" s="31" t="n">
        <f aca="false">ROUNDDOWN(J297*設定!$B$13/1000,0)</f>
        <v>0</v>
      </c>
      <c r="BI297" s="31" t="n">
        <f aca="false">ROUNDDOWN(J297*設定!$C$13/1000,0)</f>
        <v>0</v>
      </c>
      <c r="BJ297" s="31" t="n">
        <f aca="false">ROUNDDOWN(K297*設定!$B$14/1000,0)</f>
        <v>0</v>
      </c>
      <c r="BK297" s="31" t="n">
        <f aca="false">ROUNDDOWN(K297*設定!$C$14/1000,0)</f>
        <v>0</v>
      </c>
      <c r="BL297" s="31" t="n">
        <f aca="false">ROUNDDOWN(J297*設定!$B$15/1000,0)</f>
        <v>0</v>
      </c>
      <c r="BM297" s="31" t="n">
        <f aca="false">ROUNDDOWN(J297*設定!$C$15/1000,0)</f>
        <v>0</v>
      </c>
      <c r="BN297" s="31" t="n">
        <f aca="false">L297+M297</f>
        <v>0</v>
      </c>
      <c r="BO297" s="31" t="n">
        <f aca="false">N297+O297+P297</f>
        <v>2181064</v>
      </c>
      <c r="BP297" s="31" t="n">
        <f aca="false">Q297</f>
        <v>0</v>
      </c>
      <c r="BQ297" s="31" t="n">
        <f aca="false">R297</f>
        <v>1295257</v>
      </c>
      <c r="BR297" s="31" t="n">
        <f aca="false">S297</f>
        <v>0</v>
      </c>
      <c r="BS297" s="31" t="n">
        <f aca="false">T297</f>
        <v>146861</v>
      </c>
      <c r="BT297" s="31" t="n">
        <f aca="false">U297</f>
        <v>0</v>
      </c>
      <c r="BU297" s="31" t="n">
        <f aca="false">V297</f>
        <v>28689</v>
      </c>
      <c r="BV297" s="32" t="n">
        <f aca="false">IF(BF297=0,IF(BN297=0,0,1),(BN297-BF297)/BF297)</f>
        <v>0</v>
      </c>
      <c r="BW297" s="32" t="n">
        <f aca="false">IF(BG297=0,IF(BO297=0,0,1),(BO297-BG297)/BG297)</f>
        <v>1</v>
      </c>
      <c r="BX297" s="32" t="n">
        <f aca="false">IF(BH297=0,IF(BP297=0,0,1),(BP297-BH297)/BH297)</f>
        <v>0</v>
      </c>
      <c r="BY297" s="32" t="n">
        <f aca="false">IF(BI297=0,IF(BQ297=0,0,1),(BQ297-BI297)/BI297)</f>
        <v>1</v>
      </c>
      <c r="BZ297" s="32" t="n">
        <f aca="false">IF(BJ297=0,IF(BR297=0,0,1),(BR297-BJ297)/BJ297)</f>
        <v>0</v>
      </c>
      <c r="CA297" s="32" t="n">
        <f aca="false">IF(BK297=0,IF(BS297=0,0,1),(BS297-BK297)/BK297)</f>
        <v>1</v>
      </c>
      <c r="CB297" s="32" t="n">
        <f aca="false">IF(BL297=0,IF(BT297=0,0,1),(BT297-BL297)/BL297)</f>
        <v>0</v>
      </c>
      <c r="CC297" s="32" t="n">
        <f aca="false">IF(BM297=0,IF(BU297=0,0,1),(BU297-BM297)/BM297)</f>
        <v>1</v>
      </c>
      <c r="CD297" s="32" t="n">
        <f aca="false">MAX(MAX(BV297:CC297),-MIN(BV297:CC297))</f>
        <v>1</v>
      </c>
      <c r="CE297" s="31" t="n">
        <f aca="false">IF(CI297="","",SUMIFS($CF$7:$CF$696,$A$7:$A$696,CI297,$B$7:$B$696,B297))</f>
        <v>3687477</v>
      </c>
      <c r="CF297" s="31" t="n">
        <f aca="false">SUM(AU297:BE297)</f>
        <v>3651871</v>
      </c>
      <c r="CG297" s="33" t="str">
        <f aca="false">A297&amp;"|"&amp;B297</f>
        <v>2026-09 月例|社会福祉事業団</v>
      </c>
      <c r="CH297" s="34" t="str">
        <f aca="false">IFERROR(INDEX(設定!$D$61:$D$106,MATCH(B297,設定!$B$61:$B$106,0)),"Y")</f>
        <v>Y</v>
      </c>
      <c r="CI297" s="34" t="str">
        <f aca="false">IFERROR(INDEX(設定!$D$20:$D$34,MATCH(A297,設定!$A$20:$A$34,0))&amp;"","")</f>
        <v>2026-08 月例</v>
      </c>
    </row>
    <row r="298" customFormat="false" ht="15" hidden="true" customHeight="false" outlineLevel="0" collapsed="false">
      <c r="A298" s="22" t="s">
        <v>213</v>
      </c>
      <c r="B298" s="23" t="s">
        <v>176</v>
      </c>
      <c r="C298" s="10" t="str">
        <f aca="false">IF(G298="","未受領",IF(G298="なし","報告なし",IF(AH298="○","起票済",IF(OR(AG298="○",F298="一致",F298="入金不要"),"入金確認済","受領済"))))</f>
        <v>入金確認済</v>
      </c>
      <c r="D298" s="10" t="str">
        <f aca="false">IF(OR(G298="",G298="なし"),"―",IF(CH298="N","対象外",IF(AND(I298="",J298="",K298=""),"標報未入力",IF(CD298&gt;=設定!$B$4,"要確認","問題なし"))))</f>
        <v>標報未入力</v>
      </c>
      <c r="E298" s="24" t="str">
        <f aca="false">IF(OR(G298="",G298="なし",CE298="",CF298=0),"―",IF(CF298=CE298,"前月同額",IF(CE298=0,"―",IF(ABS(CF298/CE298-1)&gt;=設定!$B$5,"変動大 "&amp;TEXT(CF298/CE298-1,"+0%;-0%"),"〇"))))</f>
        <v>〇</v>
      </c>
      <c r="F298" s="10" t="str">
        <f aca="false">IF(OR(G298="",G298="なし"),"―",IF(CF298=0,"入金不要",IF(COUNT(Z298,AB298,AD298,AF298)=0,IF(AG298="○","手動確認","未入金"),IF(AND(N(Z298)=Y298,IF(AA298="",TRUE(),N(AB298)=AA298),IF(AC298="",TRUE(),N(AD298)=AC298),IF(AE298="",TRUE(),N(AF298)=AE298)),"一致","不一致"))))</f>
        <v>手動確認</v>
      </c>
      <c r="G298" s="25" t="s">
        <v>159</v>
      </c>
      <c r="H298" s="26"/>
      <c r="I298" s="27"/>
      <c r="J298" s="27"/>
      <c r="K298" s="27"/>
      <c r="L298" s="27"/>
      <c r="M298" s="27"/>
      <c r="N298" s="27" t="n">
        <v>59475</v>
      </c>
      <c r="O298" s="27" t="n">
        <v>4875</v>
      </c>
      <c r="P298" s="27" t="n">
        <v>56</v>
      </c>
      <c r="Q298" s="27"/>
      <c r="R298" s="27" t="n">
        <v>33741</v>
      </c>
      <c r="S298" s="27"/>
      <c r="T298" s="27" t="n">
        <v>5135</v>
      </c>
      <c r="U298" s="27"/>
      <c r="V298" s="27" t="n">
        <v>747</v>
      </c>
      <c r="W298" s="10" t="str">
        <f aca="false">IFERROR(INDEX(設定!$E$61:$E$106,MATCH(B298,設定!$B$61:$B$106,0)),"合算")</f>
        <v>合算</v>
      </c>
      <c r="X298" s="28"/>
      <c r="Y298" s="29" t="n">
        <f aca="false">IF(OR(G298="",G298="なし"),"",IF(W298="合算",CF298,IF(W298="掛金・負担金別",(AU298+AV298+AZ298+BB298+BD298),SUM(AU298:AY298))))</f>
        <v>104029</v>
      </c>
      <c r="Z298" s="27"/>
      <c r="AA298" s="29" t="str">
        <f aca="false">IF(OR(G298="",G298="なし"),"",IF(W298="掛金・負担金別",(AW298+AX298+AY298+BA298+BC298+BE298),IF(W298="経理区分別",AZ298+BA298,"")))</f>
        <v/>
      </c>
      <c r="AB298" s="27"/>
      <c r="AC298" s="29" t="str">
        <f aca="false">IF(OR(G298="",G298="なし"),"",IF(W298="経理区分別",BB298+BC298,""))</f>
        <v/>
      </c>
      <c r="AD298" s="27"/>
      <c r="AE298" s="29" t="str">
        <f aca="false">IF(OR(G298="",G298="なし"),"",IF(W298="経理区分別",BD298+BE298,""))</f>
        <v/>
      </c>
      <c r="AF298" s="27"/>
      <c r="AG298" s="26" t="s">
        <v>160</v>
      </c>
      <c r="AH298" s="26"/>
      <c r="AI298" s="30"/>
      <c r="AJ298" s="31"/>
      <c r="AK298" s="31"/>
      <c r="AL298" s="31"/>
      <c r="AM298" s="31"/>
      <c r="AN298" s="31"/>
      <c r="AO298" s="31"/>
      <c r="AP298" s="31"/>
      <c r="AQ298" s="31"/>
      <c r="AR298" s="31"/>
      <c r="AS298" s="31"/>
      <c r="AT298" s="31"/>
      <c r="AU298" s="31" t="n">
        <f aca="false">IF($G298="",AJ298,L298)</f>
        <v>0</v>
      </c>
      <c r="AV298" s="31" t="n">
        <f aca="false">IF($G298="",AK298,M298)</f>
        <v>0</v>
      </c>
      <c r="AW298" s="31" t="n">
        <f aca="false">IF($G298="",AL298,N298)</f>
        <v>59475</v>
      </c>
      <c r="AX298" s="31" t="n">
        <f aca="false">IF($G298="",AM298,O298)</f>
        <v>4875</v>
      </c>
      <c r="AY298" s="31" t="n">
        <f aca="false">IF($G298="",AN298,P298)</f>
        <v>56</v>
      </c>
      <c r="AZ298" s="31" t="n">
        <f aca="false">IF($G298="",AO298,Q298)</f>
        <v>0</v>
      </c>
      <c r="BA298" s="31" t="n">
        <f aca="false">IF($G298="",AP298,R298)</f>
        <v>33741</v>
      </c>
      <c r="BB298" s="31" t="n">
        <f aca="false">IF($G298="",AQ298,S298)</f>
        <v>0</v>
      </c>
      <c r="BC298" s="31" t="n">
        <f aca="false">IF($G298="",AR298,T298)</f>
        <v>5135</v>
      </c>
      <c r="BD298" s="31" t="n">
        <f aca="false">IF($G298="",AS298,U298)</f>
        <v>0</v>
      </c>
      <c r="BE298" s="31" t="n">
        <f aca="false">IF($G298="",AT298,V298)</f>
        <v>747</v>
      </c>
      <c r="BF298" s="31" t="n">
        <f aca="false">ROUNDDOWN(I298*設定!$B$10/1000,0)+ROUNDDOWN(I298*設定!$B$11/1000,0)</f>
        <v>0</v>
      </c>
      <c r="BG298" s="31" t="n">
        <f aca="false">ROUNDDOWN(I298*設定!$C$10/1000,0)+ROUNDDOWN(I298*設定!$C$11/1000,0)+ROUNDDOWN(I298*設定!$C$12/1000,0)</f>
        <v>0</v>
      </c>
      <c r="BH298" s="31" t="n">
        <f aca="false">ROUNDDOWN(J298*設定!$B$13/1000,0)</f>
        <v>0</v>
      </c>
      <c r="BI298" s="31" t="n">
        <f aca="false">ROUNDDOWN(J298*設定!$C$13/1000,0)</f>
        <v>0</v>
      </c>
      <c r="BJ298" s="31" t="n">
        <f aca="false">ROUNDDOWN(K298*設定!$B$14/1000,0)</f>
        <v>0</v>
      </c>
      <c r="BK298" s="31" t="n">
        <f aca="false">ROUNDDOWN(K298*設定!$C$14/1000,0)</f>
        <v>0</v>
      </c>
      <c r="BL298" s="31" t="n">
        <f aca="false">ROUNDDOWN(J298*設定!$B$15/1000,0)</f>
        <v>0</v>
      </c>
      <c r="BM298" s="31" t="n">
        <f aca="false">ROUNDDOWN(J298*設定!$C$15/1000,0)</f>
        <v>0</v>
      </c>
      <c r="BN298" s="31" t="n">
        <f aca="false">L298+M298</f>
        <v>0</v>
      </c>
      <c r="BO298" s="31" t="n">
        <f aca="false">N298+O298+P298</f>
        <v>64406</v>
      </c>
      <c r="BP298" s="31" t="n">
        <f aca="false">Q298</f>
        <v>0</v>
      </c>
      <c r="BQ298" s="31" t="n">
        <f aca="false">R298</f>
        <v>33741</v>
      </c>
      <c r="BR298" s="31" t="n">
        <f aca="false">S298</f>
        <v>0</v>
      </c>
      <c r="BS298" s="31" t="n">
        <f aca="false">T298</f>
        <v>5135</v>
      </c>
      <c r="BT298" s="31" t="n">
        <f aca="false">U298</f>
        <v>0</v>
      </c>
      <c r="BU298" s="31" t="n">
        <f aca="false">V298</f>
        <v>747</v>
      </c>
      <c r="BV298" s="32" t="n">
        <f aca="false">IF(BF298=0,IF(BN298=0,0,1),(BN298-BF298)/BF298)</f>
        <v>0</v>
      </c>
      <c r="BW298" s="32" t="n">
        <f aca="false">IF(BG298=0,IF(BO298=0,0,1),(BO298-BG298)/BG298)</f>
        <v>1</v>
      </c>
      <c r="BX298" s="32" t="n">
        <f aca="false">IF(BH298=0,IF(BP298=0,0,1),(BP298-BH298)/BH298)</f>
        <v>0</v>
      </c>
      <c r="BY298" s="32" t="n">
        <f aca="false">IF(BI298=0,IF(BQ298=0,0,1),(BQ298-BI298)/BI298)</f>
        <v>1</v>
      </c>
      <c r="BZ298" s="32" t="n">
        <f aca="false">IF(BJ298=0,IF(BR298=0,0,1),(BR298-BJ298)/BJ298)</f>
        <v>0</v>
      </c>
      <c r="CA298" s="32" t="n">
        <f aca="false">IF(BK298=0,IF(BS298=0,0,1),(BS298-BK298)/BK298)</f>
        <v>1</v>
      </c>
      <c r="CB298" s="32" t="n">
        <f aca="false">IF(BL298=0,IF(BT298=0,0,1),(BT298-BL298)/BL298)</f>
        <v>0</v>
      </c>
      <c r="CC298" s="32" t="n">
        <f aca="false">IF(BM298=0,IF(BU298=0,0,1),(BU298-BM298)/BM298)</f>
        <v>1</v>
      </c>
      <c r="CD298" s="32" t="n">
        <f aca="false">MAX(MAX(BV298:CC298),-MIN(BV298:CC298))</f>
        <v>1</v>
      </c>
      <c r="CE298" s="31" t="n">
        <f aca="false">IF(CI298="","",SUMIFS($CF$7:$CF$696,$A$7:$A$696,CI298,$B$7:$B$696,B298))</f>
        <v>107687</v>
      </c>
      <c r="CF298" s="31" t="n">
        <f aca="false">SUM(AU298:BE298)</f>
        <v>104029</v>
      </c>
      <c r="CG298" s="33" t="str">
        <f aca="false">A298&amp;"|"&amp;B298</f>
        <v>2026-09 月例|原爆障害対策協議会</v>
      </c>
      <c r="CH298" s="34" t="str">
        <f aca="false">IFERROR(INDEX(設定!$D$61:$D$106,MATCH(B298,設定!$B$61:$B$106,0)),"Y")</f>
        <v>Y</v>
      </c>
      <c r="CI298" s="34" t="str">
        <f aca="false">IFERROR(INDEX(設定!$D$20:$D$34,MATCH(A298,設定!$A$20:$A$34,0))&amp;"","")</f>
        <v>2026-08 月例</v>
      </c>
    </row>
    <row r="299" customFormat="false" ht="15" hidden="true" customHeight="false" outlineLevel="0" collapsed="false">
      <c r="A299" s="22" t="s">
        <v>213</v>
      </c>
      <c r="B299" s="23" t="s">
        <v>177</v>
      </c>
      <c r="C299" s="10" t="str">
        <f aca="false">IF(G299="","未受領",IF(G299="なし","報告なし",IF(AH299="○","起票済",IF(OR(AG299="○",F299="一致",F299="入金不要"),"入金確認済","受領済"))))</f>
        <v>入金確認済</v>
      </c>
      <c r="D299" s="10" t="str">
        <f aca="false">IF(OR(G299="",G299="なし"),"―",IF(CH299="N","対象外",IF(AND(I299="",J299="",K299=""),"標報未入力",IF(CD299&gt;=設定!$B$4,"要確認","問題なし"))))</f>
        <v>標報未入力</v>
      </c>
      <c r="E299" s="24" t="str">
        <f aca="false">IF(OR(G299="",G299="なし",CE299="",CF299=0),"―",IF(CF299=CE299,"前月同額",IF(CE299=0,"―",IF(ABS(CF299/CE299-1)&gt;=設定!$B$5,"変動大 "&amp;TEXT(CF299/CE299-1,"+0%;-0%"),"〇"))))</f>
        <v>〇</v>
      </c>
      <c r="F299" s="10" t="str">
        <f aca="false">IF(OR(G299="",G299="なし"),"―",IF(CF299=0,"入金不要",IF(COUNT(Z299,AB299,AD299,AF299)=0,IF(AG299="○","手動確認","未入金"),IF(AND(N(Z299)=Y299,IF(AA299="",TRUE(),N(AB299)=AA299),IF(AC299="",TRUE(),N(AD299)=AC299),IF(AE299="",TRUE(),N(AF299)=AE299)),"一致","不一致"))))</f>
        <v>手動確認</v>
      </c>
      <c r="G299" s="25" t="s">
        <v>159</v>
      </c>
      <c r="H299" s="26"/>
      <c r="I299" s="27"/>
      <c r="J299" s="27"/>
      <c r="K299" s="27"/>
      <c r="L299" s="27"/>
      <c r="M299" s="27"/>
      <c r="N299" s="27" t="n">
        <v>368745</v>
      </c>
      <c r="O299" s="27" t="n">
        <v>30225</v>
      </c>
      <c r="P299" s="27" t="n">
        <v>395</v>
      </c>
      <c r="Q299" s="27"/>
      <c r="R299" s="27" t="n">
        <v>209223</v>
      </c>
      <c r="S299" s="27"/>
      <c r="T299" s="27" t="n">
        <v>26781</v>
      </c>
      <c r="U299" s="27"/>
      <c r="V299" s="27" t="n">
        <v>4634</v>
      </c>
      <c r="W299" s="10" t="str">
        <f aca="false">IFERROR(INDEX(設定!$E$61:$E$106,MATCH(B299,設定!$B$61:$B$106,0)),"合算")</f>
        <v>合算</v>
      </c>
      <c r="X299" s="28"/>
      <c r="Y299" s="29" t="n">
        <f aca="false">IF(OR(G299="",G299="なし"),"",IF(W299="合算",CF299,IF(W299="掛金・負担金別",(AU299+AV299+AZ299+BB299+BD299),SUM(AU299:AY299))))</f>
        <v>640003</v>
      </c>
      <c r="Z299" s="27"/>
      <c r="AA299" s="29" t="str">
        <f aca="false">IF(OR(G299="",G299="なし"),"",IF(W299="掛金・負担金別",(AW299+AX299+AY299+BA299+BC299+BE299),IF(W299="経理区分別",AZ299+BA299,"")))</f>
        <v/>
      </c>
      <c r="AB299" s="27"/>
      <c r="AC299" s="29" t="str">
        <f aca="false">IF(OR(G299="",G299="なし"),"",IF(W299="経理区分別",BB299+BC299,""))</f>
        <v/>
      </c>
      <c r="AD299" s="27"/>
      <c r="AE299" s="29" t="str">
        <f aca="false">IF(OR(G299="",G299="なし"),"",IF(W299="経理区分別",BD299+BE299,""))</f>
        <v/>
      </c>
      <c r="AF299" s="27"/>
      <c r="AG299" s="26" t="s">
        <v>160</v>
      </c>
      <c r="AH299" s="26"/>
      <c r="AI299" s="30"/>
      <c r="AJ299" s="31"/>
      <c r="AK299" s="31"/>
      <c r="AL299" s="31"/>
      <c r="AM299" s="31"/>
      <c r="AN299" s="31"/>
      <c r="AO299" s="31"/>
      <c r="AP299" s="31"/>
      <c r="AQ299" s="31"/>
      <c r="AR299" s="31"/>
      <c r="AS299" s="31"/>
      <c r="AT299" s="31"/>
      <c r="AU299" s="31" t="n">
        <f aca="false">IF($G299="",AJ299,L299)</f>
        <v>0</v>
      </c>
      <c r="AV299" s="31" t="n">
        <f aca="false">IF($G299="",AK299,M299)</f>
        <v>0</v>
      </c>
      <c r="AW299" s="31" t="n">
        <f aca="false">IF($G299="",AL299,N299)</f>
        <v>368745</v>
      </c>
      <c r="AX299" s="31" t="n">
        <f aca="false">IF($G299="",AM299,O299)</f>
        <v>30225</v>
      </c>
      <c r="AY299" s="31" t="n">
        <f aca="false">IF($G299="",AN299,P299)</f>
        <v>395</v>
      </c>
      <c r="AZ299" s="31" t="n">
        <f aca="false">IF($G299="",AO299,Q299)</f>
        <v>0</v>
      </c>
      <c r="BA299" s="31" t="n">
        <f aca="false">IF($G299="",AP299,R299)</f>
        <v>209223</v>
      </c>
      <c r="BB299" s="31" t="n">
        <f aca="false">IF($G299="",AQ299,S299)</f>
        <v>0</v>
      </c>
      <c r="BC299" s="31" t="n">
        <f aca="false">IF($G299="",AR299,T299)</f>
        <v>26781</v>
      </c>
      <c r="BD299" s="31" t="n">
        <f aca="false">IF($G299="",AS299,U299)</f>
        <v>0</v>
      </c>
      <c r="BE299" s="31" t="n">
        <f aca="false">IF($G299="",AT299,V299)</f>
        <v>4634</v>
      </c>
      <c r="BF299" s="31" t="n">
        <f aca="false">ROUNDDOWN(I299*設定!$B$10/1000,0)+ROUNDDOWN(I299*設定!$B$11/1000,0)</f>
        <v>0</v>
      </c>
      <c r="BG299" s="31" t="n">
        <f aca="false">ROUNDDOWN(I299*設定!$C$10/1000,0)+ROUNDDOWN(I299*設定!$C$11/1000,0)+ROUNDDOWN(I299*設定!$C$12/1000,0)</f>
        <v>0</v>
      </c>
      <c r="BH299" s="31" t="n">
        <f aca="false">ROUNDDOWN(J299*設定!$B$13/1000,0)</f>
        <v>0</v>
      </c>
      <c r="BI299" s="31" t="n">
        <f aca="false">ROUNDDOWN(J299*設定!$C$13/1000,0)</f>
        <v>0</v>
      </c>
      <c r="BJ299" s="31" t="n">
        <f aca="false">ROUNDDOWN(K299*設定!$B$14/1000,0)</f>
        <v>0</v>
      </c>
      <c r="BK299" s="31" t="n">
        <f aca="false">ROUNDDOWN(K299*設定!$C$14/1000,0)</f>
        <v>0</v>
      </c>
      <c r="BL299" s="31" t="n">
        <f aca="false">ROUNDDOWN(J299*設定!$B$15/1000,0)</f>
        <v>0</v>
      </c>
      <c r="BM299" s="31" t="n">
        <f aca="false">ROUNDDOWN(J299*設定!$C$15/1000,0)</f>
        <v>0</v>
      </c>
      <c r="BN299" s="31" t="n">
        <f aca="false">L299+M299</f>
        <v>0</v>
      </c>
      <c r="BO299" s="31" t="n">
        <f aca="false">N299+O299+P299</f>
        <v>399365</v>
      </c>
      <c r="BP299" s="31" t="n">
        <f aca="false">Q299</f>
        <v>0</v>
      </c>
      <c r="BQ299" s="31" t="n">
        <f aca="false">R299</f>
        <v>209223</v>
      </c>
      <c r="BR299" s="31" t="n">
        <f aca="false">S299</f>
        <v>0</v>
      </c>
      <c r="BS299" s="31" t="n">
        <f aca="false">T299</f>
        <v>26781</v>
      </c>
      <c r="BT299" s="31" t="n">
        <f aca="false">U299</f>
        <v>0</v>
      </c>
      <c r="BU299" s="31" t="n">
        <f aca="false">V299</f>
        <v>4634</v>
      </c>
      <c r="BV299" s="32" t="n">
        <f aca="false">IF(BF299=0,IF(BN299=0,0,1),(BN299-BF299)/BF299)</f>
        <v>0</v>
      </c>
      <c r="BW299" s="32" t="n">
        <f aca="false">IF(BG299=0,IF(BO299=0,0,1),(BO299-BG299)/BG299)</f>
        <v>1</v>
      </c>
      <c r="BX299" s="32" t="n">
        <f aca="false">IF(BH299=0,IF(BP299=0,0,1),(BP299-BH299)/BH299)</f>
        <v>0</v>
      </c>
      <c r="BY299" s="32" t="n">
        <f aca="false">IF(BI299=0,IF(BQ299=0,0,1),(BQ299-BI299)/BI299)</f>
        <v>1</v>
      </c>
      <c r="BZ299" s="32" t="n">
        <f aca="false">IF(BJ299=0,IF(BR299=0,0,1),(BR299-BJ299)/BJ299)</f>
        <v>0</v>
      </c>
      <c r="CA299" s="32" t="n">
        <f aca="false">IF(BK299=0,IF(BS299=0,0,1),(BS299-BK299)/BK299)</f>
        <v>1</v>
      </c>
      <c r="CB299" s="32" t="n">
        <f aca="false">IF(BL299=0,IF(BT299=0,0,1),(BT299-BL299)/BL299)</f>
        <v>0</v>
      </c>
      <c r="CC299" s="32" t="n">
        <f aca="false">IF(BM299=0,IF(BU299=0,0,1),(BU299-BM299)/BM299)</f>
        <v>1</v>
      </c>
      <c r="CD299" s="32" t="n">
        <f aca="false">MAX(MAX(BV299:CC299),-MIN(BV299:CC299))</f>
        <v>1</v>
      </c>
      <c r="CE299" s="31" t="n">
        <f aca="false">IF(CI299="","",SUMIFS($CF$7:$CF$696,$A$7:$A$696,CI299,$B$7:$B$696,B299))</f>
        <v>591360</v>
      </c>
      <c r="CF299" s="31" t="n">
        <f aca="false">SUM(AU299:BE299)</f>
        <v>640003</v>
      </c>
      <c r="CG299" s="33" t="str">
        <f aca="false">A299&amp;"|"&amp;B299</f>
        <v>2026-09 月例|産業振興センター</v>
      </c>
      <c r="CH299" s="34" t="str">
        <f aca="false">IFERROR(INDEX(設定!$D$61:$D$106,MATCH(B299,設定!$B$61:$B$106,0)),"Y")</f>
        <v>Y</v>
      </c>
      <c r="CI299" s="34" t="str">
        <f aca="false">IFERROR(INDEX(設定!$D$20:$D$34,MATCH(A299,設定!$A$20:$A$34,0))&amp;"","")</f>
        <v>2026-08 月例</v>
      </c>
    </row>
    <row r="300" customFormat="false" ht="15" hidden="true" customHeight="false" outlineLevel="0" collapsed="false">
      <c r="A300" s="22" t="s">
        <v>213</v>
      </c>
      <c r="B300" s="23" t="s">
        <v>178</v>
      </c>
      <c r="C300" s="10" t="str">
        <f aca="false">IF(G300="","未受領",IF(G300="なし","報告なし",IF(AH300="○","起票済",IF(OR(AG300="○",F300="一致",F300="入金不要"),"入金確認済","受領済"))))</f>
        <v>入金確認済</v>
      </c>
      <c r="D300" s="10" t="str">
        <f aca="false">IF(OR(G300="",G300="なし"),"―",IF(CH300="N","対象外",IF(AND(I300="",J300="",K300=""),"標報未入力",IF(CD300&gt;=設定!$B$4,"要確認","問題なし"))))</f>
        <v>標報未入力</v>
      </c>
      <c r="E300" s="24" t="str">
        <f aca="false">IF(OR(G300="",G300="なし",CE300="",CF300=0),"―",IF(CF300=CE300,"前月同額",IF(CE300=0,"―",IF(ABS(CF300/CE300-1)&gt;=設定!$B$5,"変動大 "&amp;TEXT(CF300/CE300-1,"+0%;-0%"),"〇"))))</f>
        <v>前月同額</v>
      </c>
      <c r="F300" s="10" t="str">
        <f aca="false">IF(OR(G300="",G300="なし"),"―",IF(CF300=0,"入金不要",IF(COUNT(Z300,AB300,AD300,AF300)=0,IF(AG300="○","手動確認","未入金"),IF(AND(N(Z300)=Y300,IF(AA300="",TRUE(),N(AB300)=AA300),IF(AC300="",TRUE(),N(AD300)=AC300),IF(AE300="",TRUE(),N(AF300)=AE300)),"一致","不一致"))))</f>
        <v>手動確認</v>
      </c>
      <c r="G300" s="25" t="s">
        <v>159</v>
      </c>
      <c r="H300" s="26"/>
      <c r="I300" s="27"/>
      <c r="J300" s="27"/>
      <c r="K300" s="27"/>
      <c r="L300" s="27"/>
      <c r="M300" s="27"/>
      <c r="N300" s="27" t="n">
        <v>45750</v>
      </c>
      <c r="O300" s="27" t="n">
        <v>3750</v>
      </c>
      <c r="P300" s="27" t="n">
        <v>43</v>
      </c>
      <c r="Q300" s="27"/>
      <c r="R300" s="27" t="n">
        <v>25955</v>
      </c>
      <c r="S300" s="27"/>
      <c r="T300" s="27" t="n">
        <v>3950</v>
      </c>
      <c r="U300" s="27"/>
      <c r="V300" s="27" t="n">
        <v>575</v>
      </c>
      <c r="W300" s="10" t="str">
        <f aca="false">IFERROR(INDEX(設定!$E$61:$E$106,MATCH(B300,設定!$B$61:$B$106,0)),"合算")</f>
        <v>合算</v>
      </c>
      <c r="X300" s="28"/>
      <c r="Y300" s="29" t="n">
        <f aca="false">IF(OR(G300="",G300="なし"),"",IF(W300="合算",CF300,IF(W300="掛金・負担金別",(AU300+AV300+AZ300+BB300+BD300),SUM(AU300:AY300))))</f>
        <v>80023</v>
      </c>
      <c r="Z300" s="27"/>
      <c r="AA300" s="29" t="str">
        <f aca="false">IF(OR(G300="",G300="なし"),"",IF(W300="掛金・負担金別",(AW300+AX300+AY300+BA300+BC300+BE300),IF(W300="経理区分別",AZ300+BA300,"")))</f>
        <v/>
      </c>
      <c r="AB300" s="27"/>
      <c r="AC300" s="29" t="str">
        <f aca="false">IF(OR(G300="",G300="なし"),"",IF(W300="経理区分別",BB300+BC300,""))</f>
        <v/>
      </c>
      <c r="AD300" s="27"/>
      <c r="AE300" s="29" t="str">
        <f aca="false">IF(OR(G300="",G300="なし"),"",IF(W300="経理区分別",BD300+BE300,""))</f>
        <v/>
      </c>
      <c r="AF300" s="27"/>
      <c r="AG300" s="26" t="s">
        <v>160</v>
      </c>
      <c r="AH300" s="26"/>
      <c r="AI300" s="30"/>
      <c r="AJ300" s="31"/>
      <c r="AK300" s="31"/>
      <c r="AL300" s="31"/>
      <c r="AM300" s="31"/>
      <c r="AN300" s="31"/>
      <c r="AO300" s="31"/>
      <c r="AP300" s="31"/>
      <c r="AQ300" s="31"/>
      <c r="AR300" s="31"/>
      <c r="AS300" s="31"/>
      <c r="AT300" s="31"/>
      <c r="AU300" s="31" t="n">
        <f aca="false">IF($G300="",AJ300,L300)</f>
        <v>0</v>
      </c>
      <c r="AV300" s="31" t="n">
        <f aca="false">IF($G300="",AK300,M300)</f>
        <v>0</v>
      </c>
      <c r="AW300" s="31" t="n">
        <f aca="false">IF($G300="",AL300,N300)</f>
        <v>45750</v>
      </c>
      <c r="AX300" s="31" t="n">
        <f aca="false">IF($G300="",AM300,O300)</f>
        <v>3750</v>
      </c>
      <c r="AY300" s="31" t="n">
        <f aca="false">IF($G300="",AN300,P300)</f>
        <v>43</v>
      </c>
      <c r="AZ300" s="31" t="n">
        <f aca="false">IF($G300="",AO300,Q300)</f>
        <v>0</v>
      </c>
      <c r="BA300" s="31" t="n">
        <f aca="false">IF($G300="",AP300,R300)</f>
        <v>25955</v>
      </c>
      <c r="BB300" s="31" t="n">
        <f aca="false">IF($G300="",AQ300,S300)</f>
        <v>0</v>
      </c>
      <c r="BC300" s="31" t="n">
        <f aca="false">IF($G300="",AR300,T300)</f>
        <v>3950</v>
      </c>
      <c r="BD300" s="31" t="n">
        <f aca="false">IF($G300="",AS300,U300)</f>
        <v>0</v>
      </c>
      <c r="BE300" s="31" t="n">
        <f aca="false">IF($G300="",AT300,V300)</f>
        <v>575</v>
      </c>
      <c r="BF300" s="31" t="n">
        <f aca="false">ROUNDDOWN(I300*設定!$B$10/1000,0)+ROUNDDOWN(I300*設定!$B$11/1000,0)</f>
        <v>0</v>
      </c>
      <c r="BG300" s="31" t="n">
        <f aca="false">ROUNDDOWN(I300*設定!$C$10/1000,0)+ROUNDDOWN(I300*設定!$C$11/1000,0)+ROUNDDOWN(I300*設定!$C$12/1000,0)</f>
        <v>0</v>
      </c>
      <c r="BH300" s="31" t="n">
        <f aca="false">ROUNDDOWN(J300*設定!$B$13/1000,0)</f>
        <v>0</v>
      </c>
      <c r="BI300" s="31" t="n">
        <f aca="false">ROUNDDOWN(J300*設定!$C$13/1000,0)</f>
        <v>0</v>
      </c>
      <c r="BJ300" s="31" t="n">
        <f aca="false">ROUNDDOWN(K300*設定!$B$14/1000,0)</f>
        <v>0</v>
      </c>
      <c r="BK300" s="31" t="n">
        <f aca="false">ROUNDDOWN(K300*設定!$C$14/1000,0)</f>
        <v>0</v>
      </c>
      <c r="BL300" s="31" t="n">
        <f aca="false">ROUNDDOWN(J300*設定!$B$15/1000,0)</f>
        <v>0</v>
      </c>
      <c r="BM300" s="31" t="n">
        <f aca="false">ROUNDDOWN(J300*設定!$C$15/1000,0)</f>
        <v>0</v>
      </c>
      <c r="BN300" s="31" t="n">
        <f aca="false">L300+M300</f>
        <v>0</v>
      </c>
      <c r="BO300" s="31" t="n">
        <f aca="false">N300+O300+P300</f>
        <v>49543</v>
      </c>
      <c r="BP300" s="31" t="n">
        <f aca="false">Q300</f>
        <v>0</v>
      </c>
      <c r="BQ300" s="31" t="n">
        <f aca="false">R300</f>
        <v>25955</v>
      </c>
      <c r="BR300" s="31" t="n">
        <f aca="false">S300</f>
        <v>0</v>
      </c>
      <c r="BS300" s="31" t="n">
        <f aca="false">T300</f>
        <v>3950</v>
      </c>
      <c r="BT300" s="31" t="n">
        <f aca="false">U300</f>
        <v>0</v>
      </c>
      <c r="BU300" s="31" t="n">
        <f aca="false">V300</f>
        <v>575</v>
      </c>
      <c r="BV300" s="32" t="n">
        <f aca="false">IF(BF300=0,IF(BN300=0,0,1),(BN300-BF300)/BF300)</f>
        <v>0</v>
      </c>
      <c r="BW300" s="32" t="n">
        <f aca="false">IF(BG300=0,IF(BO300=0,0,1),(BO300-BG300)/BG300)</f>
        <v>1</v>
      </c>
      <c r="BX300" s="32" t="n">
        <f aca="false">IF(BH300=0,IF(BP300=0,0,1),(BP300-BH300)/BH300)</f>
        <v>0</v>
      </c>
      <c r="BY300" s="32" t="n">
        <f aca="false">IF(BI300=0,IF(BQ300=0,0,1),(BQ300-BI300)/BI300)</f>
        <v>1</v>
      </c>
      <c r="BZ300" s="32" t="n">
        <f aca="false">IF(BJ300=0,IF(BR300=0,0,1),(BR300-BJ300)/BJ300)</f>
        <v>0</v>
      </c>
      <c r="CA300" s="32" t="n">
        <f aca="false">IF(BK300=0,IF(BS300=0,0,1),(BS300-BK300)/BK300)</f>
        <v>1</v>
      </c>
      <c r="CB300" s="32" t="n">
        <f aca="false">IF(BL300=0,IF(BT300=0,0,1),(BT300-BL300)/BL300)</f>
        <v>0</v>
      </c>
      <c r="CC300" s="32" t="n">
        <f aca="false">IF(BM300=0,IF(BU300=0,0,1),(BU300-BM300)/BM300)</f>
        <v>1</v>
      </c>
      <c r="CD300" s="32" t="n">
        <f aca="false">MAX(MAX(BV300:CC300),-MIN(BV300:CC300))</f>
        <v>1</v>
      </c>
      <c r="CE300" s="31" t="n">
        <f aca="false">IF(CI300="","",SUMIFS($CF$7:$CF$696,$A$7:$A$696,CI300,$B$7:$B$696,B300))</f>
        <v>80023</v>
      </c>
      <c r="CF300" s="31" t="n">
        <f aca="false">SUM(AU300:BE300)</f>
        <v>80023</v>
      </c>
      <c r="CG300" s="33" t="str">
        <f aca="false">A300&amp;"|"&amp;B300</f>
        <v>2026-09 月例|ひろしま産業振興</v>
      </c>
      <c r="CH300" s="34" t="str">
        <f aca="false">IFERROR(INDEX(設定!$D$61:$D$106,MATCH(B300,設定!$B$61:$B$106,0)),"Y")</f>
        <v>Y</v>
      </c>
      <c r="CI300" s="34" t="str">
        <f aca="false">IFERROR(INDEX(設定!$D$20:$D$34,MATCH(A300,設定!$A$20:$A$34,0))&amp;"","")</f>
        <v>2026-08 月例</v>
      </c>
    </row>
    <row r="301" customFormat="false" ht="15" hidden="true" customHeight="false" outlineLevel="0" collapsed="false">
      <c r="A301" s="22" t="s">
        <v>213</v>
      </c>
      <c r="B301" s="23" t="s">
        <v>179</v>
      </c>
      <c r="C301" s="10" t="str">
        <f aca="false">IF(G301="","未受領",IF(G301="なし","報告なし",IF(AH301="○","起票済",IF(OR(AG301="○",F301="一致",F301="入金不要"),"入金確認済","受領済"))))</f>
        <v>入金確認済</v>
      </c>
      <c r="D301" s="10" t="str">
        <f aca="false">IF(OR(G301="",G301="なし"),"―",IF(CH301="N","対象外",IF(AND(I301="",J301="",K301=""),"標報未入力",IF(CD301&gt;=設定!$B$4,"要確認","問題なし"))))</f>
        <v>標報未入力</v>
      </c>
      <c r="E301" s="24" t="str">
        <f aca="false">IF(OR(G301="",G301="なし",CE301="",CF301=0),"―",IF(CF301=CE301,"前月同額",IF(CE301=0,"―",IF(ABS(CF301/CE301-1)&gt;=設定!$B$5,"変動大 "&amp;TEXT(CF301/CE301-1,"+0%;-0%"),"〇"))))</f>
        <v>―</v>
      </c>
      <c r="F301" s="10" t="str">
        <f aca="false">IF(OR(G301="",G301="なし"),"―",IF(CF301=0,"入金不要",IF(COUNT(Z301,AB301,AD301,AF301)=0,IF(AG301="○","手動確認","未入金"),IF(AND(N(Z301)=Y301,IF(AA301="",TRUE(),N(AB301)=AA301),IF(AC301="",TRUE(),N(AD301)=AC301),IF(AE301="",TRUE(),N(AF301)=AE301)),"一致","不一致"))))</f>
        <v>入金不要</v>
      </c>
      <c r="G301" s="25" t="s">
        <v>159</v>
      </c>
      <c r="H301" s="26"/>
      <c r="I301" s="27"/>
      <c r="J301" s="27"/>
      <c r="K301" s="27"/>
      <c r="L301" s="27"/>
      <c r="M301" s="27"/>
      <c r="N301" s="27" t="n">
        <v>0</v>
      </c>
      <c r="O301" s="27" t="n">
        <v>0</v>
      </c>
      <c r="P301" s="27" t="n">
        <v>0</v>
      </c>
      <c r="Q301" s="27"/>
      <c r="R301" s="27" t="n">
        <v>0</v>
      </c>
      <c r="S301" s="27"/>
      <c r="T301" s="27" t="n">
        <v>0</v>
      </c>
      <c r="U301" s="27"/>
      <c r="V301" s="27" t="n">
        <v>0</v>
      </c>
      <c r="W301" s="10" t="str">
        <f aca="false">IFERROR(INDEX(設定!$E$61:$E$106,MATCH(B301,設定!$B$61:$B$106,0)),"合算")</f>
        <v>合算</v>
      </c>
      <c r="X301" s="28"/>
      <c r="Y301" s="29" t="n">
        <f aca="false">IF(OR(G301="",G301="なし"),"",IF(W301="合算",CF301,IF(W301="掛金・負担金別",(AU301+AV301+AZ301+BB301+BD301),SUM(AU301:AY301))))</f>
        <v>0</v>
      </c>
      <c r="Z301" s="27"/>
      <c r="AA301" s="29" t="str">
        <f aca="false">IF(OR(G301="",G301="なし"),"",IF(W301="掛金・負担金別",(AW301+AX301+AY301+BA301+BC301+BE301),IF(W301="経理区分別",AZ301+BA301,"")))</f>
        <v/>
      </c>
      <c r="AB301" s="27"/>
      <c r="AC301" s="29" t="str">
        <f aca="false">IF(OR(G301="",G301="なし"),"",IF(W301="経理区分別",BB301+BC301,""))</f>
        <v/>
      </c>
      <c r="AD301" s="27"/>
      <c r="AE301" s="29" t="str">
        <f aca="false">IF(OR(G301="",G301="なし"),"",IF(W301="経理区分別",BD301+BE301,""))</f>
        <v/>
      </c>
      <c r="AF301" s="27"/>
      <c r="AG301" s="26" t="s">
        <v>160</v>
      </c>
      <c r="AH301" s="26"/>
      <c r="AI301" s="30"/>
      <c r="AJ301" s="31"/>
      <c r="AK301" s="31"/>
      <c r="AL301" s="31"/>
      <c r="AM301" s="31"/>
      <c r="AN301" s="31"/>
      <c r="AO301" s="31"/>
      <c r="AP301" s="31"/>
      <c r="AQ301" s="31"/>
      <c r="AR301" s="31"/>
      <c r="AS301" s="31"/>
      <c r="AT301" s="31"/>
      <c r="AU301" s="31" t="n">
        <f aca="false">IF($G301="",AJ301,L301)</f>
        <v>0</v>
      </c>
      <c r="AV301" s="31" t="n">
        <f aca="false">IF($G301="",AK301,M301)</f>
        <v>0</v>
      </c>
      <c r="AW301" s="31" t="n">
        <f aca="false">IF($G301="",AL301,N301)</f>
        <v>0</v>
      </c>
      <c r="AX301" s="31" t="n">
        <f aca="false">IF($G301="",AM301,O301)</f>
        <v>0</v>
      </c>
      <c r="AY301" s="31" t="n">
        <f aca="false">IF($G301="",AN301,P301)</f>
        <v>0</v>
      </c>
      <c r="AZ301" s="31" t="n">
        <f aca="false">IF($G301="",AO301,Q301)</f>
        <v>0</v>
      </c>
      <c r="BA301" s="31" t="n">
        <f aca="false">IF($G301="",AP301,R301)</f>
        <v>0</v>
      </c>
      <c r="BB301" s="31" t="n">
        <f aca="false">IF($G301="",AQ301,S301)</f>
        <v>0</v>
      </c>
      <c r="BC301" s="31" t="n">
        <f aca="false">IF($G301="",AR301,T301)</f>
        <v>0</v>
      </c>
      <c r="BD301" s="31" t="n">
        <f aca="false">IF($G301="",AS301,U301)</f>
        <v>0</v>
      </c>
      <c r="BE301" s="31" t="n">
        <f aca="false">IF($G301="",AT301,V301)</f>
        <v>0</v>
      </c>
      <c r="BF301" s="31" t="n">
        <f aca="false">ROUNDDOWN(I301*設定!$B$10/1000,0)+ROUNDDOWN(I301*設定!$B$11/1000,0)</f>
        <v>0</v>
      </c>
      <c r="BG301" s="31" t="n">
        <f aca="false">ROUNDDOWN(I301*設定!$C$10/1000,0)+ROUNDDOWN(I301*設定!$C$11/1000,0)+ROUNDDOWN(I301*設定!$C$12/1000,0)</f>
        <v>0</v>
      </c>
      <c r="BH301" s="31" t="n">
        <f aca="false">ROUNDDOWN(J301*設定!$B$13/1000,0)</f>
        <v>0</v>
      </c>
      <c r="BI301" s="31" t="n">
        <f aca="false">ROUNDDOWN(J301*設定!$C$13/1000,0)</f>
        <v>0</v>
      </c>
      <c r="BJ301" s="31" t="n">
        <f aca="false">ROUNDDOWN(K301*設定!$B$14/1000,0)</f>
        <v>0</v>
      </c>
      <c r="BK301" s="31" t="n">
        <f aca="false">ROUNDDOWN(K301*設定!$C$14/1000,0)</f>
        <v>0</v>
      </c>
      <c r="BL301" s="31" t="n">
        <f aca="false">ROUNDDOWN(J301*設定!$B$15/1000,0)</f>
        <v>0</v>
      </c>
      <c r="BM301" s="31" t="n">
        <f aca="false">ROUNDDOWN(J301*設定!$C$15/1000,0)</f>
        <v>0</v>
      </c>
      <c r="BN301" s="31" t="n">
        <f aca="false">L301+M301</f>
        <v>0</v>
      </c>
      <c r="BO301" s="31" t="n">
        <f aca="false">N301+O301+P301</f>
        <v>0</v>
      </c>
      <c r="BP301" s="31" t="n">
        <f aca="false">Q301</f>
        <v>0</v>
      </c>
      <c r="BQ301" s="31" t="n">
        <f aca="false">R301</f>
        <v>0</v>
      </c>
      <c r="BR301" s="31" t="n">
        <f aca="false">S301</f>
        <v>0</v>
      </c>
      <c r="BS301" s="31" t="n">
        <f aca="false">T301</f>
        <v>0</v>
      </c>
      <c r="BT301" s="31" t="n">
        <f aca="false">U301</f>
        <v>0</v>
      </c>
      <c r="BU301" s="31" t="n">
        <f aca="false">V301</f>
        <v>0</v>
      </c>
      <c r="BV301" s="32" t="n">
        <f aca="false">IF(BF301=0,IF(BN301=0,0,1),(BN301-BF301)/BF301)</f>
        <v>0</v>
      </c>
      <c r="BW301" s="32" t="n">
        <f aca="false">IF(BG301=0,IF(BO301=0,0,1),(BO301-BG301)/BG301)</f>
        <v>0</v>
      </c>
      <c r="BX301" s="32" t="n">
        <f aca="false">IF(BH301=0,IF(BP301=0,0,1),(BP301-BH301)/BH301)</f>
        <v>0</v>
      </c>
      <c r="BY301" s="32" t="n">
        <f aca="false">IF(BI301=0,IF(BQ301=0,0,1),(BQ301-BI301)/BI301)</f>
        <v>0</v>
      </c>
      <c r="BZ301" s="32" t="n">
        <f aca="false">IF(BJ301=0,IF(BR301=0,0,1),(BR301-BJ301)/BJ301)</f>
        <v>0</v>
      </c>
      <c r="CA301" s="32" t="n">
        <f aca="false">IF(BK301=0,IF(BS301=0,0,1),(BS301-BK301)/BK301)</f>
        <v>0</v>
      </c>
      <c r="CB301" s="32" t="n">
        <f aca="false">IF(BL301=0,IF(BT301=0,0,1),(BT301-BL301)/BL301)</f>
        <v>0</v>
      </c>
      <c r="CC301" s="32" t="n">
        <f aca="false">IF(BM301=0,IF(BU301=0,0,1),(BU301-BM301)/BM301)</f>
        <v>0</v>
      </c>
      <c r="CD301" s="32" t="n">
        <f aca="false">MAX(MAX(BV301:CC301),-MIN(BV301:CC301))</f>
        <v>-0</v>
      </c>
      <c r="CE301" s="31" t="n">
        <f aca="false">IF(CI301="","",SUMIFS($CF$7:$CF$696,$A$7:$A$696,CI301,$B$7:$B$696,B301))</f>
        <v>0</v>
      </c>
      <c r="CF301" s="31" t="n">
        <f aca="false">SUM(AU301:BE301)</f>
        <v>0</v>
      </c>
      <c r="CG301" s="33" t="str">
        <f aca="false">A301&amp;"|"&amp;B301</f>
        <v>2026-09 月例|都市整備公社　市</v>
      </c>
      <c r="CH301" s="34" t="str">
        <f aca="false">IFERROR(INDEX(設定!$D$61:$D$106,MATCH(B301,設定!$B$61:$B$106,0)),"Y")</f>
        <v>Y</v>
      </c>
      <c r="CI301" s="34" t="str">
        <f aca="false">IFERROR(INDEX(設定!$D$20:$D$34,MATCH(A301,設定!$A$20:$A$34,0))&amp;"","")</f>
        <v>2026-08 月例</v>
      </c>
    </row>
    <row r="302" customFormat="false" ht="15" hidden="true" customHeight="false" outlineLevel="0" collapsed="false">
      <c r="A302" s="22" t="s">
        <v>213</v>
      </c>
      <c r="B302" s="23" t="s">
        <v>180</v>
      </c>
      <c r="C302" s="10" t="str">
        <f aca="false">IF(G302="","未受領",IF(G302="なし","報告なし",IF(AH302="○","起票済",IF(OR(AG302="○",F302="一致",F302="入金不要"),"入金確認済","受領済"))))</f>
        <v>入金確認済</v>
      </c>
      <c r="D302" s="10" t="str">
        <f aca="false">IF(OR(G302="",G302="なし"),"―",IF(CH302="N","対象外",IF(AND(I302="",J302="",K302=""),"標報未入力",IF(CD302&gt;=設定!$B$4,"要確認","問題なし"))))</f>
        <v>標報未入力</v>
      </c>
      <c r="E302" s="24" t="str">
        <f aca="false">IF(OR(G302="",G302="なし",CE302="",CF302=0),"―",IF(CF302=CE302,"前月同額",IF(CE302=0,"―",IF(ABS(CF302/CE302-1)&gt;=設定!$B$5,"変動大 "&amp;TEXT(CF302/CE302-1,"+0%;-0%"),"〇"))))</f>
        <v>〇</v>
      </c>
      <c r="F302" s="10" t="str">
        <f aca="false">IF(OR(G302="",G302="なし"),"―",IF(CF302=0,"入金不要",IF(COUNT(Z302,AB302,AD302,AF302)=0,IF(AG302="○","手動確認","未入金"),IF(AND(N(Z302)=Y302,IF(AA302="",TRUE(),N(AB302)=AA302),IF(AC302="",TRUE(),N(AD302)=AC302),IF(AE302="",TRUE(),N(AF302)=AE302)),"一致","不一致"))))</f>
        <v>手動確認</v>
      </c>
      <c r="G302" s="25" t="s">
        <v>159</v>
      </c>
      <c r="H302" s="26"/>
      <c r="I302" s="27"/>
      <c r="J302" s="27"/>
      <c r="K302" s="27"/>
      <c r="L302" s="27"/>
      <c r="M302" s="27"/>
      <c r="N302" s="27" t="n">
        <v>192150</v>
      </c>
      <c r="O302" s="27" t="n">
        <v>15750</v>
      </c>
      <c r="P302" s="27" t="n">
        <v>182</v>
      </c>
      <c r="Q302" s="27"/>
      <c r="R302" s="27" t="n">
        <v>109011</v>
      </c>
      <c r="S302" s="27"/>
      <c r="T302" s="27" t="n">
        <v>12877</v>
      </c>
      <c r="U302" s="27"/>
      <c r="V302" s="27" t="n">
        <v>2415</v>
      </c>
      <c r="W302" s="10" t="str">
        <f aca="false">IFERROR(INDEX(設定!$E$61:$E$106,MATCH(B302,設定!$B$61:$B$106,0)),"合算")</f>
        <v>合算</v>
      </c>
      <c r="X302" s="28"/>
      <c r="Y302" s="29" t="n">
        <f aca="false">IF(OR(G302="",G302="なし"),"",IF(W302="合算",CF302,IF(W302="掛金・負担金別",(AU302+AV302+AZ302+BB302+BD302),SUM(AU302:AY302))))</f>
        <v>332385</v>
      </c>
      <c r="Z302" s="27"/>
      <c r="AA302" s="29" t="str">
        <f aca="false">IF(OR(G302="",G302="なし"),"",IF(W302="掛金・負担金別",(AW302+AX302+AY302+BA302+BC302+BE302),IF(W302="経理区分別",AZ302+BA302,"")))</f>
        <v/>
      </c>
      <c r="AB302" s="27"/>
      <c r="AC302" s="29" t="str">
        <f aca="false">IF(OR(G302="",G302="なし"),"",IF(W302="経理区分別",BB302+BC302,""))</f>
        <v/>
      </c>
      <c r="AD302" s="27"/>
      <c r="AE302" s="29" t="str">
        <f aca="false">IF(OR(G302="",G302="なし"),"",IF(W302="経理区分別",BD302+BE302,""))</f>
        <v/>
      </c>
      <c r="AF302" s="27"/>
      <c r="AG302" s="26" t="s">
        <v>160</v>
      </c>
      <c r="AH302" s="26"/>
      <c r="AI302" s="30"/>
      <c r="AJ302" s="31"/>
      <c r="AK302" s="31"/>
      <c r="AL302" s="31"/>
      <c r="AM302" s="31"/>
      <c r="AN302" s="31"/>
      <c r="AO302" s="31"/>
      <c r="AP302" s="31"/>
      <c r="AQ302" s="31"/>
      <c r="AR302" s="31"/>
      <c r="AS302" s="31"/>
      <c r="AT302" s="31"/>
      <c r="AU302" s="31" t="n">
        <f aca="false">IF($G302="",AJ302,L302)</f>
        <v>0</v>
      </c>
      <c r="AV302" s="31" t="n">
        <f aca="false">IF($G302="",AK302,M302)</f>
        <v>0</v>
      </c>
      <c r="AW302" s="31" t="n">
        <f aca="false">IF($G302="",AL302,N302)</f>
        <v>192150</v>
      </c>
      <c r="AX302" s="31" t="n">
        <f aca="false">IF($G302="",AM302,O302)</f>
        <v>15750</v>
      </c>
      <c r="AY302" s="31" t="n">
        <f aca="false">IF($G302="",AN302,P302)</f>
        <v>182</v>
      </c>
      <c r="AZ302" s="31" t="n">
        <f aca="false">IF($G302="",AO302,Q302)</f>
        <v>0</v>
      </c>
      <c r="BA302" s="31" t="n">
        <f aca="false">IF($G302="",AP302,R302)</f>
        <v>109011</v>
      </c>
      <c r="BB302" s="31" t="n">
        <f aca="false">IF($G302="",AQ302,S302)</f>
        <v>0</v>
      </c>
      <c r="BC302" s="31" t="n">
        <f aca="false">IF($G302="",AR302,T302)</f>
        <v>12877</v>
      </c>
      <c r="BD302" s="31" t="n">
        <f aca="false">IF($G302="",AS302,U302)</f>
        <v>0</v>
      </c>
      <c r="BE302" s="31" t="n">
        <f aca="false">IF($G302="",AT302,V302)</f>
        <v>2415</v>
      </c>
      <c r="BF302" s="31" t="n">
        <f aca="false">ROUNDDOWN(I302*設定!$B$10/1000,0)+ROUNDDOWN(I302*設定!$B$11/1000,0)</f>
        <v>0</v>
      </c>
      <c r="BG302" s="31" t="n">
        <f aca="false">ROUNDDOWN(I302*設定!$C$10/1000,0)+ROUNDDOWN(I302*設定!$C$11/1000,0)+ROUNDDOWN(I302*設定!$C$12/1000,0)</f>
        <v>0</v>
      </c>
      <c r="BH302" s="31" t="n">
        <f aca="false">ROUNDDOWN(J302*設定!$B$13/1000,0)</f>
        <v>0</v>
      </c>
      <c r="BI302" s="31" t="n">
        <f aca="false">ROUNDDOWN(J302*設定!$C$13/1000,0)</f>
        <v>0</v>
      </c>
      <c r="BJ302" s="31" t="n">
        <f aca="false">ROUNDDOWN(K302*設定!$B$14/1000,0)</f>
        <v>0</v>
      </c>
      <c r="BK302" s="31" t="n">
        <f aca="false">ROUNDDOWN(K302*設定!$C$14/1000,0)</f>
        <v>0</v>
      </c>
      <c r="BL302" s="31" t="n">
        <f aca="false">ROUNDDOWN(J302*設定!$B$15/1000,0)</f>
        <v>0</v>
      </c>
      <c r="BM302" s="31" t="n">
        <f aca="false">ROUNDDOWN(J302*設定!$C$15/1000,0)</f>
        <v>0</v>
      </c>
      <c r="BN302" s="31" t="n">
        <f aca="false">L302+M302</f>
        <v>0</v>
      </c>
      <c r="BO302" s="31" t="n">
        <f aca="false">N302+O302+P302</f>
        <v>208082</v>
      </c>
      <c r="BP302" s="31" t="n">
        <f aca="false">Q302</f>
        <v>0</v>
      </c>
      <c r="BQ302" s="31" t="n">
        <f aca="false">R302</f>
        <v>109011</v>
      </c>
      <c r="BR302" s="31" t="n">
        <f aca="false">S302</f>
        <v>0</v>
      </c>
      <c r="BS302" s="31" t="n">
        <f aca="false">T302</f>
        <v>12877</v>
      </c>
      <c r="BT302" s="31" t="n">
        <f aca="false">U302</f>
        <v>0</v>
      </c>
      <c r="BU302" s="31" t="n">
        <f aca="false">V302</f>
        <v>2415</v>
      </c>
      <c r="BV302" s="32" t="n">
        <f aca="false">IF(BF302=0,IF(BN302=0,0,1),(BN302-BF302)/BF302)</f>
        <v>0</v>
      </c>
      <c r="BW302" s="32" t="n">
        <f aca="false">IF(BG302=0,IF(BO302=0,0,1),(BO302-BG302)/BG302)</f>
        <v>1</v>
      </c>
      <c r="BX302" s="32" t="n">
        <f aca="false">IF(BH302=0,IF(BP302=0,0,1),(BP302-BH302)/BH302)</f>
        <v>0</v>
      </c>
      <c r="BY302" s="32" t="n">
        <f aca="false">IF(BI302=0,IF(BQ302=0,0,1),(BQ302-BI302)/BI302)</f>
        <v>1</v>
      </c>
      <c r="BZ302" s="32" t="n">
        <f aca="false">IF(BJ302=0,IF(BR302=0,0,1),(BR302-BJ302)/BJ302)</f>
        <v>0</v>
      </c>
      <c r="CA302" s="32" t="n">
        <f aca="false">IF(BK302=0,IF(BS302=0,0,1),(BS302-BK302)/BK302)</f>
        <v>1</v>
      </c>
      <c r="CB302" s="32" t="n">
        <f aca="false">IF(BL302=0,IF(BT302=0,0,1),(BT302-BL302)/BL302)</f>
        <v>0</v>
      </c>
      <c r="CC302" s="32" t="n">
        <f aca="false">IF(BM302=0,IF(BU302=0,0,1),(BU302-BM302)/BM302)</f>
        <v>1</v>
      </c>
      <c r="CD302" s="32" t="n">
        <f aca="false">MAX(MAX(BV302:CC302),-MIN(BV302:CC302))</f>
        <v>1</v>
      </c>
      <c r="CE302" s="31" t="n">
        <f aca="false">IF(CI302="","",SUMIFS($CF$7:$CF$696,$A$7:$A$696,CI302,$B$7:$B$696,B302))</f>
        <v>333985</v>
      </c>
      <c r="CF302" s="31" t="n">
        <f aca="false">SUM(AU302:BE302)</f>
        <v>332385</v>
      </c>
      <c r="CG302" s="33" t="str">
        <f aca="false">A302&amp;"|"&amp;B302</f>
        <v>2026-09 月例|都市整備公社　消防</v>
      </c>
      <c r="CH302" s="34" t="str">
        <f aca="false">IFERROR(INDEX(設定!$D$61:$D$106,MATCH(B302,設定!$B$61:$B$106,0)),"Y")</f>
        <v>Y</v>
      </c>
      <c r="CI302" s="34" t="str">
        <f aca="false">IFERROR(INDEX(設定!$D$20:$D$34,MATCH(A302,設定!$A$20:$A$34,0))&amp;"","")</f>
        <v>2026-08 月例</v>
      </c>
    </row>
    <row r="303" customFormat="false" ht="15" hidden="true" customHeight="false" outlineLevel="0" collapsed="false">
      <c r="A303" s="22" t="s">
        <v>213</v>
      </c>
      <c r="B303" s="23" t="s">
        <v>181</v>
      </c>
      <c r="C303" s="10" t="str">
        <f aca="false">IF(G303="","未受領",IF(G303="なし","報告なし",IF(AH303="○","起票済",IF(OR(AG303="○",F303="一致",F303="入金不要"),"入金確認済","受領済"))))</f>
        <v>入金確認済</v>
      </c>
      <c r="D303" s="10" t="str">
        <f aca="false">IF(OR(G303="",G303="なし"),"―",IF(CH303="N","対象外",IF(AND(I303="",J303="",K303=""),"標報未入力",IF(CD303&gt;=設定!$B$4,"要確認","問題なし"))))</f>
        <v>標報未入力</v>
      </c>
      <c r="E303" s="24" t="str">
        <f aca="false">IF(OR(G303="",G303="なし",CE303="",CF303=0),"―",IF(CF303=CE303,"前月同額",IF(CE303=0,"―",IF(ABS(CF303/CE303-1)&gt;=設定!$B$5,"変動大 "&amp;TEXT(CF303/CE303-1,"+0%;-0%"),"〇"))))</f>
        <v>〇</v>
      </c>
      <c r="F303" s="10" t="str">
        <f aca="false">IF(OR(G303="",G303="なし"),"―",IF(CF303=0,"入金不要",IF(COUNT(Z303,AB303,AD303,AF303)=0,IF(AG303="○","手動確認","未入金"),IF(AND(N(Z303)=Y303,IF(AA303="",TRUE(),N(AB303)=AA303),IF(AC303="",TRUE(),N(AD303)=AC303),IF(AE303="",TRUE(),N(AF303)=AE303)),"一致","不一致"))))</f>
        <v>手動確認</v>
      </c>
      <c r="G303" s="25" t="s">
        <v>159</v>
      </c>
      <c r="H303" s="26"/>
      <c r="I303" s="27"/>
      <c r="J303" s="27"/>
      <c r="K303" s="27"/>
      <c r="L303" s="27" t="n">
        <v>247050</v>
      </c>
      <c r="M303" s="27" t="n">
        <v>20250</v>
      </c>
      <c r="N303" s="27" t="n">
        <v>247050</v>
      </c>
      <c r="O303" s="27" t="n">
        <v>20250</v>
      </c>
      <c r="P303" s="27" t="n">
        <v>234</v>
      </c>
      <c r="Q303" s="27" t="n">
        <v>140021</v>
      </c>
      <c r="R303" s="27" t="n">
        <v>140157</v>
      </c>
      <c r="S303" s="27" t="n">
        <v>10270</v>
      </c>
      <c r="T303" s="27" t="n">
        <v>10270</v>
      </c>
      <c r="U303" s="27" t="n">
        <v>3104</v>
      </c>
      <c r="V303" s="27" t="n">
        <v>3105</v>
      </c>
      <c r="W303" s="10" t="str">
        <f aca="false">IFERROR(INDEX(設定!$E$61:$E$106,MATCH(B303,設定!$B$61:$B$106,0)),"合算")</f>
        <v>合算</v>
      </c>
      <c r="X303" s="28"/>
      <c r="Y303" s="29" t="n">
        <f aca="false">IF(OR(G303="",G303="なし"),"",IF(W303="合算",CF303,IF(W303="掛金・負担金別",(AU303+AV303+AZ303+BB303+BD303),SUM(AU303:AY303))))</f>
        <v>841761</v>
      </c>
      <c r="Z303" s="27"/>
      <c r="AA303" s="29" t="str">
        <f aca="false">IF(OR(G303="",G303="なし"),"",IF(W303="掛金・負担金別",(AW303+AX303+AY303+BA303+BC303+BE303),IF(W303="経理区分別",AZ303+BA303,"")))</f>
        <v/>
      </c>
      <c r="AB303" s="27"/>
      <c r="AC303" s="29" t="str">
        <f aca="false">IF(OR(G303="",G303="なし"),"",IF(W303="経理区分別",BB303+BC303,""))</f>
        <v/>
      </c>
      <c r="AD303" s="27"/>
      <c r="AE303" s="29" t="str">
        <f aca="false">IF(OR(G303="",G303="なし"),"",IF(W303="経理区分別",BD303+BE303,""))</f>
        <v/>
      </c>
      <c r="AF303" s="27"/>
      <c r="AG303" s="26" t="s">
        <v>160</v>
      </c>
      <c r="AH303" s="26"/>
      <c r="AI303" s="30"/>
      <c r="AJ303" s="31"/>
      <c r="AK303" s="31"/>
      <c r="AL303" s="31"/>
      <c r="AM303" s="31"/>
      <c r="AN303" s="31"/>
      <c r="AO303" s="31"/>
      <c r="AP303" s="31"/>
      <c r="AQ303" s="31"/>
      <c r="AR303" s="31"/>
      <c r="AS303" s="31"/>
      <c r="AT303" s="31"/>
      <c r="AU303" s="31" t="n">
        <f aca="false">IF($G303="",AJ303,L303)</f>
        <v>247050</v>
      </c>
      <c r="AV303" s="31" t="n">
        <f aca="false">IF($G303="",AK303,M303)</f>
        <v>20250</v>
      </c>
      <c r="AW303" s="31" t="n">
        <f aca="false">IF($G303="",AL303,N303)</f>
        <v>247050</v>
      </c>
      <c r="AX303" s="31" t="n">
        <f aca="false">IF($G303="",AM303,O303)</f>
        <v>20250</v>
      </c>
      <c r="AY303" s="31" t="n">
        <f aca="false">IF($G303="",AN303,P303)</f>
        <v>234</v>
      </c>
      <c r="AZ303" s="31" t="n">
        <f aca="false">IF($G303="",AO303,Q303)</f>
        <v>140021</v>
      </c>
      <c r="BA303" s="31" t="n">
        <f aca="false">IF($G303="",AP303,R303)</f>
        <v>140157</v>
      </c>
      <c r="BB303" s="31" t="n">
        <f aca="false">IF($G303="",AQ303,S303)</f>
        <v>10270</v>
      </c>
      <c r="BC303" s="31" t="n">
        <f aca="false">IF($G303="",AR303,T303)</f>
        <v>10270</v>
      </c>
      <c r="BD303" s="31" t="n">
        <f aca="false">IF($G303="",AS303,U303)</f>
        <v>3104</v>
      </c>
      <c r="BE303" s="31" t="n">
        <f aca="false">IF($G303="",AT303,V303)</f>
        <v>3105</v>
      </c>
      <c r="BF303" s="31" t="n">
        <f aca="false">ROUNDDOWN(I303*設定!$B$10/1000,0)+ROUNDDOWN(I303*設定!$B$11/1000,0)</f>
        <v>0</v>
      </c>
      <c r="BG303" s="31" t="n">
        <f aca="false">ROUNDDOWN(I303*設定!$C$10/1000,0)+ROUNDDOWN(I303*設定!$C$11/1000,0)+ROUNDDOWN(I303*設定!$C$12/1000,0)</f>
        <v>0</v>
      </c>
      <c r="BH303" s="31" t="n">
        <f aca="false">ROUNDDOWN(J303*設定!$B$13/1000,0)</f>
        <v>0</v>
      </c>
      <c r="BI303" s="31" t="n">
        <f aca="false">ROUNDDOWN(J303*設定!$C$13/1000,0)</f>
        <v>0</v>
      </c>
      <c r="BJ303" s="31" t="n">
        <f aca="false">ROUNDDOWN(K303*設定!$B$14/1000,0)</f>
        <v>0</v>
      </c>
      <c r="BK303" s="31" t="n">
        <f aca="false">ROUNDDOWN(K303*設定!$C$14/1000,0)</f>
        <v>0</v>
      </c>
      <c r="BL303" s="31" t="n">
        <f aca="false">ROUNDDOWN(J303*設定!$B$15/1000,0)</f>
        <v>0</v>
      </c>
      <c r="BM303" s="31" t="n">
        <f aca="false">ROUNDDOWN(J303*設定!$C$15/1000,0)</f>
        <v>0</v>
      </c>
      <c r="BN303" s="31" t="n">
        <f aca="false">L303+M303</f>
        <v>267300</v>
      </c>
      <c r="BO303" s="31" t="n">
        <f aca="false">N303+O303+P303</f>
        <v>267534</v>
      </c>
      <c r="BP303" s="31" t="n">
        <f aca="false">Q303</f>
        <v>140021</v>
      </c>
      <c r="BQ303" s="31" t="n">
        <f aca="false">R303</f>
        <v>140157</v>
      </c>
      <c r="BR303" s="31" t="n">
        <f aca="false">S303</f>
        <v>10270</v>
      </c>
      <c r="BS303" s="31" t="n">
        <f aca="false">T303</f>
        <v>10270</v>
      </c>
      <c r="BT303" s="31" t="n">
        <f aca="false">U303</f>
        <v>3104</v>
      </c>
      <c r="BU303" s="31" t="n">
        <f aca="false">V303</f>
        <v>3105</v>
      </c>
      <c r="BV303" s="32" t="n">
        <f aca="false">IF(BF303=0,IF(BN303=0,0,1),(BN303-BF303)/BF303)</f>
        <v>1</v>
      </c>
      <c r="BW303" s="32" t="n">
        <f aca="false">IF(BG303=0,IF(BO303=0,0,1),(BO303-BG303)/BG303)</f>
        <v>1</v>
      </c>
      <c r="BX303" s="32" t="n">
        <f aca="false">IF(BH303=0,IF(BP303=0,0,1),(BP303-BH303)/BH303)</f>
        <v>1</v>
      </c>
      <c r="BY303" s="32" t="n">
        <f aca="false">IF(BI303=0,IF(BQ303=0,0,1),(BQ303-BI303)/BI303)</f>
        <v>1</v>
      </c>
      <c r="BZ303" s="32" t="n">
        <f aca="false">IF(BJ303=0,IF(BR303=0,0,1),(BR303-BJ303)/BJ303)</f>
        <v>1</v>
      </c>
      <c r="CA303" s="32" t="n">
        <f aca="false">IF(BK303=0,IF(BS303=0,0,1),(BS303-BK303)/BK303)</f>
        <v>1</v>
      </c>
      <c r="CB303" s="32" t="n">
        <f aca="false">IF(BL303=0,IF(BT303=0,0,1),(BT303-BL303)/BL303)</f>
        <v>1</v>
      </c>
      <c r="CC303" s="32" t="n">
        <f aca="false">IF(BM303=0,IF(BU303=0,0,1),(BU303-BM303)/BM303)</f>
        <v>1</v>
      </c>
      <c r="CD303" s="32" t="n">
        <f aca="false">MAX(MAX(BV303:CC303),-MIN(BV303:CC303))</f>
        <v>1</v>
      </c>
      <c r="CE303" s="31" t="n">
        <f aca="false">IF(CI303="","",SUMIFS($CF$7:$CF$696,$A$7:$A$696,CI303,$B$7:$B$696,B303))</f>
        <v>830822</v>
      </c>
      <c r="CF303" s="31" t="n">
        <f aca="false">SUM(AU303:BE303)</f>
        <v>841761</v>
      </c>
      <c r="CG303" s="33" t="str">
        <f aca="false">A303&amp;"|"&amp;B303</f>
        <v>2026-09 月例|日本下水道事業団</v>
      </c>
      <c r="CH303" s="34" t="str">
        <f aca="false">IFERROR(INDEX(設定!$D$61:$D$106,MATCH(B303,設定!$B$61:$B$106,0)),"Y")</f>
        <v>Y</v>
      </c>
      <c r="CI303" s="34" t="str">
        <f aca="false">IFERROR(INDEX(設定!$D$20:$D$34,MATCH(A303,設定!$A$20:$A$34,0))&amp;"","")</f>
        <v>2026-08 月例</v>
      </c>
    </row>
    <row r="304" customFormat="false" ht="15" hidden="true" customHeight="false" outlineLevel="0" collapsed="false">
      <c r="A304" s="22" t="s">
        <v>213</v>
      </c>
      <c r="B304" s="23" t="s">
        <v>182</v>
      </c>
      <c r="C304" s="10" t="str">
        <f aca="false">IF(G304="","未受領",IF(G304="なし","報告なし",IF(AH304="○","起票済",IF(OR(AG304="○",F304="一致",F304="入金不要"),"入金確認済","受領済"))))</f>
        <v>入金確認済</v>
      </c>
      <c r="D304" s="10" t="str">
        <f aca="false">IF(OR(G304="",G304="なし"),"―",IF(CH304="N","対象外",IF(AND(I304="",J304="",K304=""),"標報未入力",IF(CD304&gt;=設定!$B$4,"要確認","問題なし"))))</f>
        <v>標報未入力</v>
      </c>
      <c r="E304" s="24" t="str">
        <f aca="false">IF(OR(G304="",G304="なし",CE304="",CF304=0),"―",IF(CF304=CE304,"前月同額",IF(CE304=0,"―",IF(ABS(CF304/CE304-1)&gt;=設定!$B$5,"変動大 "&amp;TEXT(CF304/CE304-1,"+0%;-0%"),"〇"))))</f>
        <v>〇</v>
      </c>
      <c r="F304" s="10" t="str">
        <f aca="false">IF(OR(G304="",G304="なし"),"―",IF(CF304=0,"入金不要",IF(COUNT(Z304,AB304,AD304,AF304)=0,IF(AG304="○","手動確認","未入金"),IF(AND(N(Z304)=Y304,IF(AA304="",TRUE(),N(AB304)=AA304),IF(AC304="",TRUE(),N(AD304)=AC304),IF(AE304="",TRUE(),N(AF304)=AE304)),"一致","不一致"))))</f>
        <v>手動確認</v>
      </c>
      <c r="G304" s="25" t="s">
        <v>159</v>
      </c>
      <c r="H304" s="26"/>
      <c r="I304" s="27"/>
      <c r="J304" s="27"/>
      <c r="K304" s="27"/>
      <c r="L304" s="27" t="n">
        <v>43005</v>
      </c>
      <c r="M304" s="27" t="n">
        <v>3525</v>
      </c>
      <c r="N304" s="27" t="n">
        <v>43005</v>
      </c>
      <c r="O304" s="27" t="n">
        <v>3525</v>
      </c>
      <c r="P304" s="27" t="n">
        <v>40</v>
      </c>
      <c r="Q304" s="27" t="n">
        <v>24374</v>
      </c>
      <c r="R304" s="27" t="n">
        <v>24397</v>
      </c>
      <c r="S304" s="27" t="n">
        <v>0</v>
      </c>
      <c r="T304" s="27" t="n">
        <v>0</v>
      </c>
      <c r="U304" s="27" t="n">
        <v>540</v>
      </c>
      <c r="V304" s="27" t="n">
        <v>540</v>
      </c>
      <c r="W304" s="10" t="str">
        <f aca="false">IFERROR(INDEX(設定!$E$61:$E$106,MATCH(B304,設定!$B$61:$B$106,0)),"合算")</f>
        <v>合算</v>
      </c>
      <c r="X304" s="28"/>
      <c r="Y304" s="29" t="n">
        <f aca="false">IF(OR(G304="",G304="なし"),"",IF(W304="合算",CF304,IF(W304="掛金・負担金別",(AU304+AV304+AZ304+BB304+BD304),SUM(AU304:AY304))))</f>
        <v>142951</v>
      </c>
      <c r="Z304" s="27"/>
      <c r="AA304" s="29" t="str">
        <f aca="false">IF(OR(G304="",G304="なし"),"",IF(W304="掛金・負担金別",(AW304+AX304+AY304+BA304+BC304+BE304),IF(W304="経理区分別",AZ304+BA304,"")))</f>
        <v/>
      </c>
      <c r="AB304" s="27"/>
      <c r="AC304" s="29" t="str">
        <f aca="false">IF(OR(G304="",G304="なし"),"",IF(W304="経理区分別",BB304+BC304,""))</f>
        <v/>
      </c>
      <c r="AD304" s="27"/>
      <c r="AE304" s="29" t="str">
        <f aca="false">IF(OR(G304="",G304="なし"),"",IF(W304="経理区分別",BD304+BE304,""))</f>
        <v/>
      </c>
      <c r="AF304" s="27"/>
      <c r="AG304" s="26" t="s">
        <v>160</v>
      </c>
      <c r="AH304" s="26"/>
      <c r="AI304" s="30"/>
      <c r="AJ304" s="31"/>
      <c r="AK304" s="31"/>
      <c r="AL304" s="31"/>
      <c r="AM304" s="31"/>
      <c r="AN304" s="31"/>
      <c r="AO304" s="31"/>
      <c r="AP304" s="31"/>
      <c r="AQ304" s="31"/>
      <c r="AR304" s="31"/>
      <c r="AS304" s="31"/>
      <c r="AT304" s="31"/>
      <c r="AU304" s="31" t="n">
        <f aca="false">IF($G304="",AJ304,L304)</f>
        <v>43005</v>
      </c>
      <c r="AV304" s="31" t="n">
        <f aca="false">IF($G304="",AK304,M304)</f>
        <v>3525</v>
      </c>
      <c r="AW304" s="31" t="n">
        <f aca="false">IF($G304="",AL304,N304)</f>
        <v>43005</v>
      </c>
      <c r="AX304" s="31" t="n">
        <f aca="false">IF($G304="",AM304,O304)</f>
        <v>3525</v>
      </c>
      <c r="AY304" s="31" t="n">
        <f aca="false">IF($G304="",AN304,P304)</f>
        <v>40</v>
      </c>
      <c r="AZ304" s="31" t="n">
        <f aca="false">IF($G304="",AO304,Q304)</f>
        <v>24374</v>
      </c>
      <c r="BA304" s="31" t="n">
        <f aca="false">IF($G304="",AP304,R304)</f>
        <v>24397</v>
      </c>
      <c r="BB304" s="31" t="n">
        <f aca="false">IF($G304="",AQ304,S304)</f>
        <v>0</v>
      </c>
      <c r="BC304" s="31" t="n">
        <f aca="false">IF($G304="",AR304,T304)</f>
        <v>0</v>
      </c>
      <c r="BD304" s="31" t="n">
        <f aca="false">IF($G304="",AS304,U304)</f>
        <v>540</v>
      </c>
      <c r="BE304" s="31" t="n">
        <f aca="false">IF($G304="",AT304,V304)</f>
        <v>540</v>
      </c>
      <c r="BF304" s="31" t="n">
        <f aca="false">ROUNDDOWN(I304*設定!$B$10/1000,0)+ROUNDDOWN(I304*設定!$B$11/1000,0)</f>
        <v>0</v>
      </c>
      <c r="BG304" s="31" t="n">
        <f aca="false">ROUNDDOWN(I304*設定!$C$10/1000,0)+ROUNDDOWN(I304*設定!$C$11/1000,0)+ROUNDDOWN(I304*設定!$C$12/1000,0)</f>
        <v>0</v>
      </c>
      <c r="BH304" s="31" t="n">
        <f aca="false">ROUNDDOWN(J304*設定!$B$13/1000,0)</f>
        <v>0</v>
      </c>
      <c r="BI304" s="31" t="n">
        <f aca="false">ROUNDDOWN(J304*設定!$C$13/1000,0)</f>
        <v>0</v>
      </c>
      <c r="BJ304" s="31" t="n">
        <f aca="false">ROUNDDOWN(K304*設定!$B$14/1000,0)</f>
        <v>0</v>
      </c>
      <c r="BK304" s="31" t="n">
        <f aca="false">ROUNDDOWN(K304*設定!$C$14/1000,0)</f>
        <v>0</v>
      </c>
      <c r="BL304" s="31" t="n">
        <f aca="false">ROUNDDOWN(J304*設定!$B$15/1000,0)</f>
        <v>0</v>
      </c>
      <c r="BM304" s="31" t="n">
        <f aca="false">ROUNDDOWN(J304*設定!$C$15/1000,0)</f>
        <v>0</v>
      </c>
      <c r="BN304" s="31" t="n">
        <f aca="false">L304+M304</f>
        <v>46530</v>
      </c>
      <c r="BO304" s="31" t="n">
        <f aca="false">N304+O304+P304</f>
        <v>46570</v>
      </c>
      <c r="BP304" s="31" t="n">
        <f aca="false">Q304</f>
        <v>24374</v>
      </c>
      <c r="BQ304" s="31" t="n">
        <f aca="false">R304</f>
        <v>24397</v>
      </c>
      <c r="BR304" s="31" t="n">
        <f aca="false">S304</f>
        <v>0</v>
      </c>
      <c r="BS304" s="31" t="n">
        <f aca="false">T304</f>
        <v>0</v>
      </c>
      <c r="BT304" s="31" t="n">
        <f aca="false">U304</f>
        <v>540</v>
      </c>
      <c r="BU304" s="31" t="n">
        <f aca="false">V304</f>
        <v>540</v>
      </c>
      <c r="BV304" s="32" t="n">
        <f aca="false">IF(BF304=0,IF(BN304=0,0,1),(BN304-BF304)/BF304)</f>
        <v>1</v>
      </c>
      <c r="BW304" s="32" t="n">
        <f aca="false">IF(BG304=0,IF(BO304=0,0,1),(BO304-BG304)/BG304)</f>
        <v>1</v>
      </c>
      <c r="BX304" s="32" t="n">
        <f aca="false">IF(BH304=0,IF(BP304=0,0,1),(BP304-BH304)/BH304)</f>
        <v>1</v>
      </c>
      <c r="BY304" s="32" t="n">
        <f aca="false">IF(BI304=0,IF(BQ304=0,0,1),(BQ304-BI304)/BI304)</f>
        <v>1</v>
      </c>
      <c r="BZ304" s="32" t="n">
        <f aca="false">IF(BJ304=0,IF(BR304=0,0,1),(BR304-BJ304)/BJ304)</f>
        <v>0</v>
      </c>
      <c r="CA304" s="32" t="n">
        <f aca="false">IF(BK304=0,IF(BS304=0,0,1),(BS304-BK304)/BK304)</f>
        <v>0</v>
      </c>
      <c r="CB304" s="32" t="n">
        <f aca="false">IF(BL304=0,IF(BT304=0,0,1),(BT304-BL304)/BL304)</f>
        <v>1</v>
      </c>
      <c r="CC304" s="32" t="n">
        <f aca="false">IF(BM304=0,IF(BU304=0,0,1),(BU304-BM304)/BM304)</f>
        <v>1</v>
      </c>
      <c r="CD304" s="32" t="n">
        <f aca="false">MAX(MAX(BV304:CC304),-MIN(BV304:CC304))</f>
        <v>1</v>
      </c>
      <c r="CE304" s="31" t="n">
        <f aca="false">IF(CI304="","",SUMIFS($CF$7:$CF$696,$A$7:$A$696,CI304,$B$7:$B$696,B304))</f>
        <v>133828</v>
      </c>
      <c r="CF304" s="31" t="n">
        <f aca="false">SUM(AU304:BE304)</f>
        <v>142951</v>
      </c>
      <c r="CG304" s="33" t="str">
        <f aca="false">A304&amp;"|"&amp;B304</f>
        <v>2026-09 月例|地方公務員災害補償基金本部</v>
      </c>
      <c r="CH304" s="34" t="str">
        <f aca="false">IFERROR(INDEX(設定!$D$61:$D$106,MATCH(B304,設定!$B$61:$B$106,0)),"Y")</f>
        <v>Y</v>
      </c>
      <c r="CI304" s="34" t="str">
        <f aca="false">IFERROR(INDEX(設定!$D$20:$D$34,MATCH(A304,設定!$A$20:$A$34,0))&amp;"","")</f>
        <v>2026-08 月例</v>
      </c>
    </row>
    <row r="305" customFormat="false" ht="15" hidden="true" customHeight="false" outlineLevel="0" collapsed="false">
      <c r="A305" s="22" t="s">
        <v>213</v>
      </c>
      <c r="B305" s="23" t="s">
        <v>183</v>
      </c>
      <c r="C305" s="10" t="str">
        <f aca="false">IF(G305="","未受領",IF(G305="なし","報告なし",IF(AH305="○","起票済",IF(OR(AG305="○",F305="一致",F305="入金不要"),"入金確認済","受領済"))))</f>
        <v>入金確認済</v>
      </c>
      <c r="D305" s="10" t="str">
        <f aca="false">IF(OR(G305="",G305="なし"),"―",IF(CH305="N","対象外",IF(AND(I305="",J305="",K305=""),"標報未入力",IF(CD305&gt;=設定!$B$4,"要確認","問題なし"))))</f>
        <v>標報未入力</v>
      </c>
      <c r="E305" s="24" t="str">
        <f aca="false">IF(OR(G305="",G305="なし",CE305="",CF305=0),"―",IF(CF305=CE305,"前月同額",IF(CE305=0,"―",IF(ABS(CF305/CE305-1)&gt;=設定!$B$5,"変動大 "&amp;TEXT(CF305/CE305-1,"+0%;-0%"),"〇"))))</f>
        <v>〇</v>
      </c>
      <c r="F305" s="10" t="str">
        <f aca="false">IF(OR(G305="",G305="なし"),"―",IF(CF305=0,"入金不要",IF(COUNT(Z305,AB305,AD305,AF305)=0,IF(AG305="○","手動確認","未入金"),IF(AND(N(Z305)=Y305,IF(AA305="",TRUE(),N(AB305)=AA305),IF(AC305="",TRUE(),N(AD305)=AC305),IF(AE305="",TRUE(),N(AF305)=AE305)),"一致","不一致"))))</f>
        <v>手動確認</v>
      </c>
      <c r="G305" s="25" t="s">
        <v>159</v>
      </c>
      <c r="H305" s="26"/>
      <c r="I305" s="27"/>
      <c r="J305" s="27"/>
      <c r="K305" s="27"/>
      <c r="L305" s="27" t="n">
        <v>107970</v>
      </c>
      <c r="M305" s="27" t="n">
        <v>8850</v>
      </c>
      <c r="N305" s="27" t="n">
        <v>107970</v>
      </c>
      <c r="O305" s="27" t="n">
        <v>8850</v>
      </c>
      <c r="P305" s="27" t="n">
        <v>102</v>
      </c>
      <c r="Q305" s="27" t="n">
        <v>61194</v>
      </c>
      <c r="R305" s="27" t="n">
        <v>61253</v>
      </c>
      <c r="S305" s="27" t="n">
        <v>9322</v>
      </c>
      <c r="T305" s="27" t="n">
        <v>9322</v>
      </c>
      <c r="U305" s="27" t="n">
        <v>1357</v>
      </c>
      <c r="V305" s="27" t="n">
        <v>1357</v>
      </c>
      <c r="W305" s="10" t="str">
        <f aca="false">IFERROR(INDEX(設定!$E$61:$E$106,MATCH(B305,設定!$B$61:$B$106,0)),"合算")</f>
        <v>合算</v>
      </c>
      <c r="X305" s="28"/>
      <c r="Y305" s="29" t="n">
        <f aca="false">IF(OR(G305="",G305="なし"),"",IF(W305="合算",CF305,IF(W305="掛金・負担金別",(AU305+AV305+AZ305+BB305+BD305),SUM(AU305:AY305))))</f>
        <v>377547</v>
      </c>
      <c r="Z305" s="27"/>
      <c r="AA305" s="29" t="str">
        <f aca="false">IF(OR(G305="",G305="なし"),"",IF(W305="掛金・負担金別",(AW305+AX305+AY305+BA305+BC305+BE305),IF(W305="経理区分別",AZ305+BA305,"")))</f>
        <v/>
      </c>
      <c r="AB305" s="27"/>
      <c r="AC305" s="29" t="str">
        <f aca="false">IF(OR(G305="",G305="なし"),"",IF(W305="経理区分別",BB305+BC305,""))</f>
        <v/>
      </c>
      <c r="AD305" s="27"/>
      <c r="AE305" s="29" t="str">
        <f aca="false">IF(OR(G305="",G305="なし"),"",IF(W305="経理区分別",BD305+BE305,""))</f>
        <v/>
      </c>
      <c r="AF305" s="27"/>
      <c r="AG305" s="26" t="s">
        <v>160</v>
      </c>
      <c r="AH305" s="26"/>
      <c r="AI305" s="30"/>
      <c r="AJ305" s="31"/>
      <c r="AK305" s="31"/>
      <c r="AL305" s="31"/>
      <c r="AM305" s="31"/>
      <c r="AN305" s="31"/>
      <c r="AO305" s="31"/>
      <c r="AP305" s="31"/>
      <c r="AQ305" s="31"/>
      <c r="AR305" s="31"/>
      <c r="AS305" s="31"/>
      <c r="AT305" s="31"/>
      <c r="AU305" s="31" t="n">
        <f aca="false">IF($G305="",AJ305,L305)</f>
        <v>107970</v>
      </c>
      <c r="AV305" s="31" t="n">
        <f aca="false">IF($G305="",AK305,M305)</f>
        <v>8850</v>
      </c>
      <c r="AW305" s="31" t="n">
        <f aca="false">IF($G305="",AL305,N305)</f>
        <v>107970</v>
      </c>
      <c r="AX305" s="31" t="n">
        <f aca="false">IF($G305="",AM305,O305)</f>
        <v>8850</v>
      </c>
      <c r="AY305" s="31" t="n">
        <f aca="false">IF($G305="",AN305,P305)</f>
        <v>102</v>
      </c>
      <c r="AZ305" s="31" t="n">
        <f aca="false">IF($G305="",AO305,Q305)</f>
        <v>61194</v>
      </c>
      <c r="BA305" s="31" t="n">
        <f aca="false">IF($G305="",AP305,R305)</f>
        <v>61253</v>
      </c>
      <c r="BB305" s="31" t="n">
        <f aca="false">IF($G305="",AQ305,S305)</f>
        <v>9322</v>
      </c>
      <c r="BC305" s="31" t="n">
        <f aca="false">IF($G305="",AR305,T305)</f>
        <v>9322</v>
      </c>
      <c r="BD305" s="31" t="n">
        <f aca="false">IF($G305="",AS305,U305)</f>
        <v>1357</v>
      </c>
      <c r="BE305" s="31" t="n">
        <f aca="false">IF($G305="",AT305,V305)</f>
        <v>1357</v>
      </c>
      <c r="BF305" s="31" t="n">
        <f aca="false">ROUNDDOWN(I305*設定!$B$10/1000,0)+ROUNDDOWN(I305*設定!$B$11/1000,0)</f>
        <v>0</v>
      </c>
      <c r="BG305" s="31" t="n">
        <f aca="false">ROUNDDOWN(I305*設定!$C$10/1000,0)+ROUNDDOWN(I305*設定!$C$11/1000,0)+ROUNDDOWN(I305*設定!$C$12/1000,0)</f>
        <v>0</v>
      </c>
      <c r="BH305" s="31" t="n">
        <f aca="false">ROUNDDOWN(J305*設定!$B$13/1000,0)</f>
        <v>0</v>
      </c>
      <c r="BI305" s="31" t="n">
        <f aca="false">ROUNDDOWN(J305*設定!$C$13/1000,0)</f>
        <v>0</v>
      </c>
      <c r="BJ305" s="31" t="n">
        <f aca="false">ROUNDDOWN(K305*設定!$B$14/1000,0)</f>
        <v>0</v>
      </c>
      <c r="BK305" s="31" t="n">
        <f aca="false">ROUNDDOWN(K305*設定!$C$14/1000,0)</f>
        <v>0</v>
      </c>
      <c r="BL305" s="31" t="n">
        <f aca="false">ROUNDDOWN(J305*設定!$B$15/1000,0)</f>
        <v>0</v>
      </c>
      <c r="BM305" s="31" t="n">
        <f aca="false">ROUNDDOWN(J305*設定!$C$15/1000,0)</f>
        <v>0</v>
      </c>
      <c r="BN305" s="31" t="n">
        <f aca="false">L305+M305</f>
        <v>116820</v>
      </c>
      <c r="BO305" s="31" t="n">
        <f aca="false">N305+O305+P305</f>
        <v>116922</v>
      </c>
      <c r="BP305" s="31" t="n">
        <f aca="false">Q305</f>
        <v>61194</v>
      </c>
      <c r="BQ305" s="31" t="n">
        <f aca="false">R305</f>
        <v>61253</v>
      </c>
      <c r="BR305" s="31" t="n">
        <f aca="false">S305</f>
        <v>9322</v>
      </c>
      <c r="BS305" s="31" t="n">
        <f aca="false">T305</f>
        <v>9322</v>
      </c>
      <c r="BT305" s="31" t="n">
        <f aca="false">U305</f>
        <v>1357</v>
      </c>
      <c r="BU305" s="31" t="n">
        <f aca="false">V305</f>
        <v>1357</v>
      </c>
      <c r="BV305" s="32" t="n">
        <f aca="false">IF(BF305=0,IF(BN305=0,0,1),(BN305-BF305)/BF305)</f>
        <v>1</v>
      </c>
      <c r="BW305" s="32" t="n">
        <f aca="false">IF(BG305=0,IF(BO305=0,0,1),(BO305-BG305)/BG305)</f>
        <v>1</v>
      </c>
      <c r="BX305" s="32" t="n">
        <f aca="false">IF(BH305=0,IF(BP305=0,0,1),(BP305-BH305)/BH305)</f>
        <v>1</v>
      </c>
      <c r="BY305" s="32" t="n">
        <f aca="false">IF(BI305=0,IF(BQ305=0,0,1),(BQ305-BI305)/BI305)</f>
        <v>1</v>
      </c>
      <c r="BZ305" s="32" t="n">
        <f aca="false">IF(BJ305=0,IF(BR305=0,0,1),(BR305-BJ305)/BJ305)</f>
        <v>1</v>
      </c>
      <c r="CA305" s="32" t="n">
        <f aca="false">IF(BK305=0,IF(BS305=0,0,1),(BS305-BK305)/BK305)</f>
        <v>1</v>
      </c>
      <c r="CB305" s="32" t="n">
        <f aca="false">IF(BL305=0,IF(BT305=0,0,1),(BT305-BL305)/BL305)</f>
        <v>1</v>
      </c>
      <c r="CC305" s="32" t="n">
        <f aca="false">IF(BM305=0,IF(BU305=0,0,1),(BU305-BM305)/BM305)</f>
        <v>1</v>
      </c>
      <c r="CD305" s="32" t="n">
        <f aca="false">MAX(MAX(BV305:CC305),-MIN(BV305:CC305))</f>
        <v>1</v>
      </c>
      <c r="CE305" s="31" t="n">
        <f aca="false">IF(CI305="","",SUMIFS($CF$7:$CF$696,$A$7:$A$696,CI305,$B$7:$B$696,B305))</f>
        <v>377546</v>
      </c>
      <c r="CF305" s="31" t="n">
        <f aca="false">SUM(AU305:BE305)</f>
        <v>377547</v>
      </c>
      <c r="CG305" s="33" t="str">
        <f aca="false">A305&amp;"|"&amp;B305</f>
        <v>2026-09 月例|救急振興財団</v>
      </c>
      <c r="CH305" s="34" t="str">
        <f aca="false">IFERROR(INDEX(設定!$D$61:$D$106,MATCH(B305,設定!$B$61:$B$106,0)),"Y")</f>
        <v>Y</v>
      </c>
      <c r="CI305" s="34" t="str">
        <f aca="false">IFERROR(INDEX(設定!$D$20:$D$34,MATCH(A305,設定!$A$20:$A$34,0))&amp;"","")</f>
        <v>2026-08 月例</v>
      </c>
    </row>
    <row r="306" customFormat="false" ht="15" hidden="true" customHeight="false" outlineLevel="0" collapsed="false">
      <c r="A306" s="22" t="s">
        <v>213</v>
      </c>
      <c r="B306" s="23" t="s">
        <v>184</v>
      </c>
      <c r="C306" s="10" t="str">
        <f aca="false">IF(G306="","未受領",IF(G306="なし","報告なし",IF(AH306="○","起票済",IF(OR(AG306="○",F306="一致",F306="入金不要"),"入金確認済","受領済"))))</f>
        <v>入金確認済</v>
      </c>
      <c r="D306" s="10" t="str">
        <f aca="false">IF(OR(G306="",G306="なし"),"―",IF(CH306="N","対象外",IF(AND(I306="",J306="",K306=""),"標報未入力",IF(CD306&gt;=設定!$B$4,"要確認","問題なし"))))</f>
        <v>標報未入力</v>
      </c>
      <c r="E306" s="24" t="str">
        <f aca="false">IF(OR(G306="",G306="なし",CE306="",CF306=0),"―",IF(CF306=CE306,"前月同額",IF(CE306=0,"―",IF(ABS(CF306/CE306-1)&gt;=設定!$B$5,"変動大 "&amp;TEXT(CF306/CE306-1,"+0%;-0%"),"〇"))))</f>
        <v>〇</v>
      </c>
      <c r="F306" s="10" t="str">
        <f aca="false">IF(OR(G306="",G306="なし"),"―",IF(CF306=0,"入金不要",IF(COUNT(Z306,AB306,AD306,AF306)=0,IF(AG306="○","手動確認","未入金"),IF(AND(N(Z306)=Y306,IF(AA306="",TRUE(),N(AB306)=AA306),IF(AC306="",TRUE(),N(AD306)=AC306),IF(AE306="",TRUE(),N(AF306)=AE306)),"一致","不一致"))))</f>
        <v>手動確認</v>
      </c>
      <c r="G306" s="25" t="s">
        <v>159</v>
      </c>
      <c r="H306" s="26"/>
      <c r="I306" s="27"/>
      <c r="J306" s="27"/>
      <c r="K306" s="27"/>
      <c r="L306" s="27" t="n">
        <v>816180</v>
      </c>
      <c r="M306" s="27" t="n">
        <v>66900</v>
      </c>
      <c r="N306" s="27" t="n">
        <v>816180</v>
      </c>
      <c r="O306" s="27" t="n">
        <v>66900</v>
      </c>
      <c r="P306" s="27" t="n">
        <v>775</v>
      </c>
      <c r="Q306" s="27" t="n">
        <v>462583</v>
      </c>
      <c r="R306" s="27" t="n">
        <v>463037</v>
      </c>
      <c r="S306" s="27" t="n">
        <v>40527</v>
      </c>
      <c r="T306" s="27" t="n">
        <v>40527</v>
      </c>
      <c r="U306" s="27" t="n">
        <v>10254</v>
      </c>
      <c r="V306" s="27" t="n">
        <v>10258</v>
      </c>
      <c r="W306" s="10" t="str">
        <f aca="false">IFERROR(INDEX(設定!$E$61:$E$106,MATCH(B306,設定!$B$61:$B$106,0)),"合算")</f>
        <v>合算</v>
      </c>
      <c r="X306" s="28"/>
      <c r="Y306" s="29" t="n">
        <f aca="false">IF(OR(G306="",G306="なし"),"",IF(W306="合算",CF306,IF(W306="掛金・負担金別",(AU306+AV306+AZ306+BB306+BD306),SUM(AU306:AY306))))</f>
        <v>2794121</v>
      </c>
      <c r="Z306" s="27"/>
      <c r="AA306" s="29" t="str">
        <f aca="false">IF(OR(G306="",G306="なし"),"",IF(W306="掛金・負担金別",(AW306+AX306+AY306+BA306+BC306+BE306),IF(W306="経理区分別",AZ306+BA306,"")))</f>
        <v/>
      </c>
      <c r="AB306" s="27"/>
      <c r="AC306" s="29" t="str">
        <f aca="false">IF(OR(G306="",G306="なし"),"",IF(W306="経理区分別",BB306+BC306,""))</f>
        <v/>
      </c>
      <c r="AD306" s="27"/>
      <c r="AE306" s="29" t="str">
        <f aca="false">IF(OR(G306="",G306="なし"),"",IF(W306="経理区分別",BD306+BE306,""))</f>
        <v/>
      </c>
      <c r="AF306" s="27"/>
      <c r="AG306" s="26" t="s">
        <v>160</v>
      </c>
      <c r="AH306" s="26"/>
      <c r="AI306" s="30"/>
      <c r="AJ306" s="31"/>
      <c r="AK306" s="31"/>
      <c r="AL306" s="31"/>
      <c r="AM306" s="31"/>
      <c r="AN306" s="31"/>
      <c r="AO306" s="31"/>
      <c r="AP306" s="31"/>
      <c r="AQ306" s="31"/>
      <c r="AR306" s="31"/>
      <c r="AS306" s="31"/>
      <c r="AT306" s="31"/>
      <c r="AU306" s="31" t="n">
        <f aca="false">IF($G306="",AJ306,L306)</f>
        <v>816180</v>
      </c>
      <c r="AV306" s="31" t="n">
        <f aca="false">IF($G306="",AK306,M306)</f>
        <v>66900</v>
      </c>
      <c r="AW306" s="31" t="n">
        <f aca="false">IF($G306="",AL306,N306)</f>
        <v>816180</v>
      </c>
      <c r="AX306" s="31" t="n">
        <f aca="false">IF($G306="",AM306,O306)</f>
        <v>66900</v>
      </c>
      <c r="AY306" s="31" t="n">
        <f aca="false">IF($G306="",AN306,P306)</f>
        <v>775</v>
      </c>
      <c r="AZ306" s="31" t="n">
        <f aca="false">IF($G306="",AO306,Q306)</f>
        <v>462583</v>
      </c>
      <c r="BA306" s="31" t="n">
        <f aca="false">IF($G306="",AP306,R306)</f>
        <v>463037</v>
      </c>
      <c r="BB306" s="31" t="n">
        <f aca="false">IF($G306="",AQ306,S306)</f>
        <v>40527</v>
      </c>
      <c r="BC306" s="31" t="n">
        <f aca="false">IF($G306="",AR306,T306)</f>
        <v>40527</v>
      </c>
      <c r="BD306" s="31" t="n">
        <f aca="false">IF($G306="",AS306,U306)</f>
        <v>10254</v>
      </c>
      <c r="BE306" s="31" t="n">
        <f aca="false">IF($G306="",AT306,V306)</f>
        <v>10258</v>
      </c>
      <c r="BF306" s="31" t="n">
        <f aca="false">ROUNDDOWN(I306*設定!$B$10/1000,0)+ROUNDDOWN(I306*設定!$B$11/1000,0)</f>
        <v>0</v>
      </c>
      <c r="BG306" s="31" t="n">
        <f aca="false">ROUNDDOWN(I306*設定!$C$10/1000,0)+ROUNDDOWN(I306*設定!$C$11/1000,0)+ROUNDDOWN(I306*設定!$C$12/1000,0)</f>
        <v>0</v>
      </c>
      <c r="BH306" s="31" t="n">
        <f aca="false">ROUNDDOWN(J306*設定!$B$13/1000,0)</f>
        <v>0</v>
      </c>
      <c r="BI306" s="31" t="n">
        <f aca="false">ROUNDDOWN(J306*設定!$C$13/1000,0)</f>
        <v>0</v>
      </c>
      <c r="BJ306" s="31" t="n">
        <f aca="false">ROUNDDOWN(K306*設定!$B$14/1000,0)</f>
        <v>0</v>
      </c>
      <c r="BK306" s="31" t="n">
        <f aca="false">ROUNDDOWN(K306*設定!$C$14/1000,0)</f>
        <v>0</v>
      </c>
      <c r="BL306" s="31" t="n">
        <f aca="false">ROUNDDOWN(J306*設定!$B$15/1000,0)</f>
        <v>0</v>
      </c>
      <c r="BM306" s="31" t="n">
        <f aca="false">ROUNDDOWN(J306*設定!$C$15/1000,0)</f>
        <v>0</v>
      </c>
      <c r="BN306" s="31" t="n">
        <f aca="false">L306+M306</f>
        <v>883080</v>
      </c>
      <c r="BO306" s="31" t="n">
        <f aca="false">N306+O306+P306</f>
        <v>883855</v>
      </c>
      <c r="BP306" s="31" t="n">
        <f aca="false">Q306</f>
        <v>462583</v>
      </c>
      <c r="BQ306" s="31" t="n">
        <f aca="false">R306</f>
        <v>463037</v>
      </c>
      <c r="BR306" s="31" t="n">
        <f aca="false">S306</f>
        <v>40527</v>
      </c>
      <c r="BS306" s="31" t="n">
        <f aca="false">T306</f>
        <v>40527</v>
      </c>
      <c r="BT306" s="31" t="n">
        <f aca="false">U306</f>
        <v>10254</v>
      </c>
      <c r="BU306" s="31" t="n">
        <f aca="false">V306</f>
        <v>10258</v>
      </c>
      <c r="BV306" s="32" t="n">
        <f aca="false">IF(BF306=0,IF(BN306=0,0,1),(BN306-BF306)/BF306)</f>
        <v>1</v>
      </c>
      <c r="BW306" s="32" t="n">
        <f aca="false">IF(BG306=0,IF(BO306=0,0,1),(BO306-BG306)/BG306)</f>
        <v>1</v>
      </c>
      <c r="BX306" s="32" t="n">
        <f aca="false">IF(BH306=0,IF(BP306=0,0,1),(BP306-BH306)/BH306)</f>
        <v>1</v>
      </c>
      <c r="BY306" s="32" t="n">
        <f aca="false">IF(BI306=0,IF(BQ306=0,0,1),(BQ306-BI306)/BI306)</f>
        <v>1</v>
      </c>
      <c r="BZ306" s="32" t="n">
        <f aca="false">IF(BJ306=0,IF(BR306=0,0,1),(BR306-BJ306)/BJ306)</f>
        <v>1</v>
      </c>
      <c r="CA306" s="32" t="n">
        <f aca="false">IF(BK306=0,IF(BS306=0,0,1),(BS306-BK306)/BK306)</f>
        <v>1</v>
      </c>
      <c r="CB306" s="32" t="n">
        <f aca="false">IF(BL306=0,IF(BT306=0,0,1),(BT306-BL306)/BL306)</f>
        <v>1</v>
      </c>
      <c r="CC306" s="32" t="n">
        <f aca="false">IF(BM306=0,IF(BU306=0,0,1),(BU306-BM306)/BM306)</f>
        <v>1</v>
      </c>
      <c r="CD306" s="32" t="n">
        <f aca="false">MAX(MAX(BV306:CC306),-MIN(BV306:CC306))</f>
        <v>1</v>
      </c>
      <c r="CE306" s="31" t="n">
        <f aca="false">IF(CI306="","",SUMIFS($CF$7:$CF$696,$A$7:$A$696,CI306,$B$7:$B$696,B306))</f>
        <v>2716661</v>
      </c>
      <c r="CF306" s="31" t="n">
        <f aca="false">SUM(AU306:BE306)</f>
        <v>2794121</v>
      </c>
      <c r="CG306" s="33" t="str">
        <f aca="false">A306&amp;"|"&amp;B306</f>
        <v>2026-09 月例|高速道路公社</v>
      </c>
      <c r="CH306" s="34" t="str">
        <f aca="false">IFERROR(INDEX(設定!$D$61:$D$106,MATCH(B306,設定!$B$61:$B$106,0)),"Y")</f>
        <v>Y</v>
      </c>
      <c r="CI306" s="34" t="str">
        <f aca="false">IFERROR(INDEX(設定!$D$20:$D$34,MATCH(A306,設定!$A$20:$A$34,0))&amp;"","")</f>
        <v>2026-08 月例</v>
      </c>
    </row>
    <row r="307" customFormat="false" ht="15" hidden="true" customHeight="false" outlineLevel="0" collapsed="false">
      <c r="A307" s="22" t="s">
        <v>213</v>
      </c>
      <c r="B307" s="23" t="s">
        <v>185</v>
      </c>
      <c r="C307" s="10" t="str">
        <f aca="false">IF(G307="","未受領",IF(G307="なし","報告なし",IF(AH307="○","起票済",IF(OR(AG307="○",F307="一致",F307="入金不要"),"入金確認済","受領済"))))</f>
        <v>入金確認済</v>
      </c>
      <c r="D307" s="10" t="str">
        <f aca="false">IF(OR(G307="",G307="なし"),"―",IF(CH307="N","対象外",IF(AND(I307="",J307="",K307=""),"標報未入力",IF(CD307&gt;=設定!$B$4,"要確認","問題なし"))))</f>
        <v>標報未入力</v>
      </c>
      <c r="E307" s="24" t="str">
        <f aca="false">IF(OR(G307="",G307="なし",CE307="",CF307=0),"―",IF(CF307=CE307,"前月同額",IF(CE307=0,"―",IF(ABS(CF307/CE307-1)&gt;=設定!$B$5,"変動大 "&amp;TEXT(CF307/CE307-1,"+0%;-0%"),"〇"))))</f>
        <v>〇</v>
      </c>
      <c r="F307" s="10" t="str">
        <f aca="false">IF(OR(G307="",G307="なし"),"―",IF(CF307=0,"入金不要",IF(COUNT(Z307,AB307,AD307,AF307)=0,IF(AG307="○","手動確認","未入金"),IF(AND(N(Z307)=Y307,IF(AA307="",TRUE(),N(AB307)=AA307),IF(AC307="",TRUE(),N(AD307)=AC307),IF(AE307="",TRUE(),N(AF307)=AE307)),"一致","不一致"))))</f>
        <v>手動確認</v>
      </c>
      <c r="G307" s="25" t="s">
        <v>159</v>
      </c>
      <c r="H307" s="26"/>
      <c r="I307" s="27"/>
      <c r="J307" s="27"/>
      <c r="K307" s="27"/>
      <c r="L307" s="27"/>
      <c r="M307" s="27"/>
      <c r="N307" s="27" t="n">
        <v>570960</v>
      </c>
      <c r="O307" s="27" t="n">
        <v>46800</v>
      </c>
      <c r="P307" s="27" t="n">
        <v>567</v>
      </c>
      <c r="Q307" s="27"/>
      <c r="R307" s="27" t="n">
        <v>323933</v>
      </c>
      <c r="S307" s="27"/>
      <c r="T307" s="27" t="n">
        <v>26781</v>
      </c>
      <c r="U307" s="27"/>
      <c r="V307" s="27" t="n">
        <v>7176</v>
      </c>
      <c r="W307" s="10" t="str">
        <f aca="false">IFERROR(INDEX(設定!$E$61:$E$106,MATCH(B307,設定!$B$61:$B$106,0)),"合算")</f>
        <v>合算</v>
      </c>
      <c r="X307" s="28"/>
      <c r="Y307" s="29" t="n">
        <f aca="false">IF(OR(G307="",G307="なし"),"",IF(W307="合算",CF307,IF(W307="掛金・負担金別",(AU307+AV307+AZ307+BB307+BD307),SUM(AU307:AY307))))</f>
        <v>976217</v>
      </c>
      <c r="Z307" s="27"/>
      <c r="AA307" s="29" t="str">
        <f aca="false">IF(OR(G307="",G307="なし"),"",IF(W307="掛金・負担金別",(AW307+AX307+AY307+BA307+BC307+BE307),IF(W307="経理区分別",AZ307+BA307,"")))</f>
        <v/>
      </c>
      <c r="AB307" s="27"/>
      <c r="AC307" s="29" t="str">
        <f aca="false">IF(OR(G307="",G307="なし"),"",IF(W307="経理区分別",BB307+BC307,""))</f>
        <v/>
      </c>
      <c r="AD307" s="27"/>
      <c r="AE307" s="29" t="str">
        <f aca="false">IF(OR(G307="",G307="なし"),"",IF(W307="経理区分別",BD307+BE307,""))</f>
        <v/>
      </c>
      <c r="AF307" s="27"/>
      <c r="AG307" s="26" t="s">
        <v>160</v>
      </c>
      <c r="AH307" s="26"/>
      <c r="AI307" s="30"/>
      <c r="AJ307" s="31"/>
      <c r="AK307" s="31"/>
      <c r="AL307" s="31"/>
      <c r="AM307" s="31"/>
      <c r="AN307" s="31"/>
      <c r="AO307" s="31"/>
      <c r="AP307" s="31"/>
      <c r="AQ307" s="31"/>
      <c r="AR307" s="31"/>
      <c r="AS307" s="31"/>
      <c r="AT307" s="31"/>
      <c r="AU307" s="31" t="n">
        <f aca="false">IF($G307="",AJ307,L307)</f>
        <v>0</v>
      </c>
      <c r="AV307" s="31" t="n">
        <f aca="false">IF($G307="",AK307,M307)</f>
        <v>0</v>
      </c>
      <c r="AW307" s="31" t="n">
        <f aca="false">IF($G307="",AL307,N307)</f>
        <v>570960</v>
      </c>
      <c r="AX307" s="31" t="n">
        <f aca="false">IF($G307="",AM307,O307)</f>
        <v>46800</v>
      </c>
      <c r="AY307" s="31" t="n">
        <f aca="false">IF($G307="",AN307,P307)</f>
        <v>567</v>
      </c>
      <c r="AZ307" s="31" t="n">
        <f aca="false">IF($G307="",AO307,Q307)</f>
        <v>0</v>
      </c>
      <c r="BA307" s="31" t="n">
        <f aca="false">IF($G307="",AP307,R307)</f>
        <v>323933</v>
      </c>
      <c r="BB307" s="31" t="n">
        <f aca="false">IF($G307="",AQ307,S307)</f>
        <v>0</v>
      </c>
      <c r="BC307" s="31" t="n">
        <f aca="false">IF($G307="",AR307,T307)</f>
        <v>26781</v>
      </c>
      <c r="BD307" s="31" t="n">
        <f aca="false">IF($G307="",AS307,U307)</f>
        <v>0</v>
      </c>
      <c r="BE307" s="31" t="n">
        <f aca="false">IF($G307="",AT307,V307)</f>
        <v>7176</v>
      </c>
      <c r="BF307" s="31" t="n">
        <f aca="false">ROUNDDOWN(I307*設定!$B$10/1000,0)+ROUNDDOWN(I307*設定!$B$11/1000,0)</f>
        <v>0</v>
      </c>
      <c r="BG307" s="31" t="n">
        <f aca="false">ROUNDDOWN(I307*設定!$C$10/1000,0)+ROUNDDOWN(I307*設定!$C$11/1000,0)+ROUNDDOWN(I307*設定!$C$12/1000,0)</f>
        <v>0</v>
      </c>
      <c r="BH307" s="31" t="n">
        <f aca="false">ROUNDDOWN(J307*設定!$B$13/1000,0)</f>
        <v>0</v>
      </c>
      <c r="BI307" s="31" t="n">
        <f aca="false">ROUNDDOWN(J307*設定!$C$13/1000,0)</f>
        <v>0</v>
      </c>
      <c r="BJ307" s="31" t="n">
        <f aca="false">ROUNDDOWN(K307*設定!$B$14/1000,0)</f>
        <v>0</v>
      </c>
      <c r="BK307" s="31" t="n">
        <f aca="false">ROUNDDOWN(K307*設定!$C$14/1000,0)</f>
        <v>0</v>
      </c>
      <c r="BL307" s="31" t="n">
        <f aca="false">ROUNDDOWN(J307*設定!$B$15/1000,0)</f>
        <v>0</v>
      </c>
      <c r="BM307" s="31" t="n">
        <f aca="false">ROUNDDOWN(J307*設定!$C$15/1000,0)</f>
        <v>0</v>
      </c>
      <c r="BN307" s="31" t="n">
        <f aca="false">L307+M307</f>
        <v>0</v>
      </c>
      <c r="BO307" s="31" t="n">
        <f aca="false">N307+O307+P307</f>
        <v>618327</v>
      </c>
      <c r="BP307" s="31" t="n">
        <f aca="false">Q307</f>
        <v>0</v>
      </c>
      <c r="BQ307" s="31" t="n">
        <f aca="false">R307</f>
        <v>323933</v>
      </c>
      <c r="BR307" s="31" t="n">
        <f aca="false">S307</f>
        <v>0</v>
      </c>
      <c r="BS307" s="31" t="n">
        <f aca="false">T307</f>
        <v>26781</v>
      </c>
      <c r="BT307" s="31" t="n">
        <f aca="false">U307</f>
        <v>0</v>
      </c>
      <c r="BU307" s="31" t="n">
        <f aca="false">V307</f>
        <v>7176</v>
      </c>
      <c r="BV307" s="32" t="n">
        <f aca="false">IF(BF307=0,IF(BN307=0,0,1),(BN307-BF307)/BF307)</f>
        <v>0</v>
      </c>
      <c r="BW307" s="32" t="n">
        <f aca="false">IF(BG307=0,IF(BO307=0,0,1),(BO307-BG307)/BG307)</f>
        <v>1</v>
      </c>
      <c r="BX307" s="32" t="n">
        <f aca="false">IF(BH307=0,IF(BP307=0,0,1),(BP307-BH307)/BH307)</f>
        <v>0</v>
      </c>
      <c r="BY307" s="32" t="n">
        <f aca="false">IF(BI307=0,IF(BQ307=0,0,1),(BQ307-BI307)/BI307)</f>
        <v>1</v>
      </c>
      <c r="BZ307" s="32" t="n">
        <f aca="false">IF(BJ307=0,IF(BR307=0,0,1),(BR307-BJ307)/BJ307)</f>
        <v>0</v>
      </c>
      <c r="CA307" s="32" t="n">
        <f aca="false">IF(BK307=0,IF(BS307=0,0,1),(BS307-BK307)/BK307)</f>
        <v>1</v>
      </c>
      <c r="CB307" s="32" t="n">
        <f aca="false">IF(BL307=0,IF(BT307=0,0,1),(BT307-BL307)/BL307)</f>
        <v>0</v>
      </c>
      <c r="CC307" s="32" t="n">
        <f aca="false">IF(BM307=0,IF(BU307=0,0,1),(BU307-BM307)/BM307)</f>
        <v>1</v>
      </c>
      <c r="CD307" s="32" t="n">
        <f aca="false">MAX(MAX(BV307:CC307),-MIN(BV307:CC307))</f>
        <v>1</v>
      </c>
      <c r="CE307" s="31" t="n">
        <f aca="false">IF(CI307="","",SUMIFS($CF$7:$CF$696,$A$7:$A$696,CI307,$B$7:$B$696,B307))</f>
        <v>997417</v>
      </c>
      <c r="CF307" s="31" t="n">
        <f aca="false">SUM(AU307:BE307)</f>
        <v>976217</v>
      </c>
      <c r="CG307" s="33" t="str">
        <f aca="false">A307&amp;"|"&amp;B307</f>
        <v>2026-09 月例|農林水産振興センタ</v>
      </c>
      <c r="CH307" s="34" t="str">
        <f aca="false">IFERROR(INDEX(設定!$D$61:$D$106,MATCH(B307,設定!$B$61:$B$106,0)),"Y")</f>
        <v>Y</v>
      </c>
      <c r="CI307" s="34" t="str">
        <f aca="false">IFERROR(INDEX(設定!$D$20:$D$34,MATCH(A307,設定!$A$20:$A$34,0))&amp;"","")</f>
        <v>2026-08 月例</v>
      </c>
    </row>
    <row r="308" customFormat="false" ht="15" hidden="true" customHeight="false" outlineLevel="0" collapsed="false">
      <c r="A308" s="22" t="s">
        <v>213</v>
      </c>
      <c r="B308" s="23" t="s">
        <v>186</v>
      </c>
      <c r="C308" s="10" t="str">
        <f aca="false">IF(G308="","未受領",IF(G308="なし","報告なし",IF(AH308="○","起票済",IF(OR(AG308="○",F308="一致",F308="入金不要"),"入金確認済","受領済"))))</f>
        <v>入金確認済</v>
      </c>
      <c r="D308" s="10" t="str">
        <f aca="false">IF(OR(G308="",G308="なし"),"―",IF(CH308="N","対象外",IF(AND(I308="",J308="",K308=""),"標報未入力",IF(CD308&gt;=設定!$B$4,"要確認","問題なし"))))</f>
        <v>標報未入力</v>
      </c>
      <c r="E308" s="24" t="str">
        <f aca="false">IF(OR(G308="",G308="なし",CE308="",CF308=0),"―",IF(CF308=CE308,"前月同額",IF(CE308=0,"―",IF(ABS(CF308/CE308-1)&gt;=設定!$B$5,"変動大 "&amp;TEXT(CF308/CE308-1,"+0%;-0%"),"〇"))))</f>
        <v>〇</v>
      </c>
      <c r="F308" s="10" t="str">
        <f aca="false">IF(OR(G308="",G308="なし"),"―",IF(CF308=0,"入金不要",IF(COUNT(Z308,AB308,AD308,AF308)=0,IF(AG308="○","手動確認","未入金"),IF(AND(N(Z308)=Y308,IF(AA308="",TRUE(),N(AB308)=AA308),IF(AC308="",TRUE(),N(AD308)=AC308),IF(AE308="",TRUE(),N(AF308)=AE308)),"一致","不一致"))))</f>
        <v>手動確認</v>
      </c>
      <c r="G308" s="25" t="s">
        <v>159</v>
      </c>
      <c r="H308" s="26"/>
      <c r="I308" s="27"/>
      <c r="J308" s="27"/>
      <c r="K308" s="27"/>
      <c r="L308" s="27"/>
      <c r="M308" s="27"/>
      <c r="N308" s="27" t="n">
        <v>1051335</v>
      </c>
      <c r="O308" s="27" t="n">
        <v>86175</v>
      </c>
      <c r="P308" s="27" t="n">
        <v>996</v>
      </c>
      <c r="Q308" s="27"/>
      <c r="R308" s="27" t="n">
        <v>598000</v>
      </c>
      <c r="S308" s="27"/>
      <c r="T308" s="27" t="n">
        <v>85636</v>
      </c>
      <c r="U308" s="27"/>
      <c r="V308" s="27" t="n">
        <v>13247</v>
      </c>
      <c r="W308" s="10" t="str">
        <f aca="false">IFERROR(INDEX(設定!$E$61:$E$106,MATCH(B308,設定!$B$61:$B$106,0)),"合算")</f>
        <v>合算</v>
      </c>
      <c r="X308" s="28"/>
      <c r="Y308" s="29" t="n">
        <f aca="false">IF(OR(G308="",G308="なし"),"",IF(W308="合算",CF308,IF(W308="掛金・負担金別",(AU308+AV308+AZ308+BB308+BD308),SUM(AU308:AY308))))</f>
        <v>1835389</v>
      </c>
      <c r="Z308" s="27"/>
      <c r="AA308" s="29" t="str">
        <f aca="false">IF(OR(G308="",G308="なし"),"",IF(W308="掛金・負担金別",(AW308+AX308+AY308+BA308+BC308+BE308),IF(W308="経理区分別",AZ308+BA308,"")))</f>
        <v/>
      </c>
      <c r="AB308" s="27"/>
      <c r="AC308" s="29" t="str">
        <f aca="false">IF(OR(G308="",G308="なし"),"",IF(W308="経理区分別",BB308+BC308,""))</f>
        <v/>
      </c>
      <c r="AD308" s="27"/>
      <c r="AE308" s="29" t="str">
        <f aca="false">IF(OR(G308="",G308="なし"),"",IF(W308="経理区分別",BD308+BE308,""))</f>
        <v/>
      </c>
      <c r="AF308" s="27"/>
      <c r="AG308" s="26" t="s">
        <v>160</v>
      </c>
      <c r="AH308" s="26"/>
      <c r="AI308" s="30"/>
      <c r="AJ308" s="31"/>
      <c r="AK308" s="31"/>
      <c r="AL308" s="31"/>
      <c r="AM308" s="31"/>
      <c r="AN308" s="31"/>
      <c r="AO308" s="31"/>
      <c r="AP308" s="31"/>
      <c r="AQ308" s="31"/>
      <c r="AR308" s="31"/>
      <c r="AS308" s="31"/>
      <c r="AT308" s="31"/>
      <c r="AU308" s="31" t="n">
        <f aca="false">IF($G308="",AJ308,L308)</f>
        <v>0</v>
      </c>
      <c r="AV308" s="31" t="n">
        <f aca="false">IF($G308="",AK308,M308)</f>
        <v>0</v>
      </c>
      <c r="AW308" s="31" t="n">
        <f aca="false">IF($G308="",AL308,N308)</f>
        <v>1051335</v>
      </c>
      <c r="AX308" s="31" t="n">
        <f aca="false">IF($G308="",AM308,O308)</f>
        <v>86175</v>
      </c>
      <c r="AY308" s="31" t="n">
        <f aca="false">IF($G308="",AN308,P308)</f>
        <v>996</v>
      </c>
      <c r="AZ308" s="31" t="n">
        <f aca="false">IF($G308="",AO308,Q308)</f>
        <v>0</v>
      </c>
      <c r="BA308" s="31" t="n">
        <f aca="false">IF($G308="",AP308,R308)</f>
        <v>598000</v>
      </c>
      <c r="BB308" s="31" t="n">
        <f aca="false">IF($G308="",AQ308,S308)</f>
        <v>0</v>
      </c>
      <c r="BC308" s="31" t="n">
        <f aca="false">IF($G308="",AR308,T308)</f>
        <v>85636</v>
      </c>
      <c r="BD308" s="31" t="n">
        <f aca="false">IF($G308="",AS308,U308)</f>
        <v>0</v>
      </c>
      <c r="BE308" s="31" t="n">
        <f aca="false">IF($G308="",AT308,V308)</f>
        <v>13247</v>
      </c>
      <c r="BF308" s="31" t="n">
        <f aca="false">ROUNDDOWN(I308*設定!$B$10/1000,0)+ROUNDDOWN(I308*設定!$B$11/1000,0)</f>
        <v>0</v>
      </c>
      <c r="BG308" s="31" t="n">
        <f aca="false">ROUNDDOWN(I308*設定!$C$10/1000,0)+ROUNDDOWN(I308*設定!$C$11/1000,0)+ROUNDDOWN(I308*設定!$C$12/1000,0)</f>
        <v>0</v>
      </c>
      <c r="BH308" s="31" t="n">
        <f aca="false">ROUNDDOWN(J308*設定!$B$13/1000,0)</f>
        <v>0</v>
      </c>
      <c r="BI308" s="31" t="n">
        <f aca="false">ROUNDDOWN(J308*設定!$C$13/1000,0)</f>
        <v>0</v>
      </c>
      <c r="BJ308" s="31" t="n">
        <f aca="false">ROUNDDOWN(K308*設定!$B$14/1000,0)</f>
        <v>0</v>
      </c>
      <c r="BK308" s="31" t="n">
        <f aca="false">ROUNDDOWN(K308*設定!$C$14/1000,0)</f>
        <v>0</v>
      </c>
      <c r="BL308" s="31" t="n">
        <f aca="false">ROUNDDOWN(J308*設定!$B$15/1000,0)</f>
        <v>0</v>
      </c>
      <c r="BM308" s="31" t="n">
        <f aca="false">ROUNDDOWN(J308*設定!$C$15/1000,0)</f>
        <v>0</v>
      </c>
      <c r="BN308" s="31" t="n">
        <f aca="false">L308+M308</f>
        <v>0</v>
      </c>
      <c r="BO308" s="31" t="n">
        <f aca="false">N308+O308+P308</f>
        <v>1138506</v>
      </c>
      <c r="BP308" s="31" t="n">
        <f aca="false">Q308</f>
        <v>0</v>
      </c>
      <c r="BQ308" s="31" t="n">
        <f aca="false">R308</f>
        <v>598000</v>
      </c>
      <c r="BR308" s="31" t="n">
        <f aca="false">S308</f>
        <v>0</v>
      </c>
      <c r="BS308" s="31" t="n">
        <f aca="false">T308</f>
        <v>85636</v>
      </c>
      <c r="BT308" s="31" t="n">
        <f aca="false">U308</f>
        <v>0</v>
      </c>
      <c r="BU308" s="31" t="n">
        <f aca="false">V308</f>
        <v>13247</v>
      </c>
      <c r="BV308" s="32" t="n">
        <f aca="false">IF(BF308=0,IF(BN308=0,0,1),(BN308-BF308)/BF308)</f>
        <v>0</v>
      </c>
      <c r="BW308" s="32" t="n">
        <f aca="false">IF(BG308=0,IF(BO308=0,0,1),(BO308-BG308)/BG308)</f>
        <v>1</v>
      </c>
      <c r="BX308" s="32" t="n">
        <f aca="false">IF(BH308=0,IF(BP308=0,0,1),(BP308-BH308)/BH308)</f>
        <v>0</v>
      </c>
      <c r="BY308" s="32" t="n">
        <f aca="false">IF(BI308=0,IF(BQ308=0,0,1),(BQ308-BI308)/BI308)</f>
        <v>1</v>
      </c>
      <c r="BZ308" s="32" t="n">
        <f aca="false">IF(BJ308=0,IF(BR308=0,0,1),(BR308-BJ308)/BJ308)</f>
        <v>0</v>
      </c>
      <c r="CA308" s="32" t="n">
        <f aca="false">IF(BK308=0,IF(BS308=0,0,1),(BS308-BK308)/BK308)</f>
        <v>1</v>
      </c>
      <c r="CB308" s="32" t="n">
        <f aca="false">IF(BL308=0,IF(BT308=0,0,1),(BT308-BL308)/BL308)</f>
        <v>0</v>
      </c>
      <c r="CC308" s="32" t="n">
        <f aca="false">IF(BM308=0,IF(BU308=0,0,1),(BU308-BM308)/BM308)</f>
        <v>1</v>
      </c>
      <c r="CD308" s="32" t="n">
        <f aca="false">MAX(MAX(BV308:CC308),-MIN(BV308:CC308))</f>
        <v>1</v>
      </c>
      <c r="CE308" s="31" t="n">
        <f aca="false">IF(CI308="","",SUMIFS($CF$7:$CF$696,$A$7:$A$696,CI308,$B$7:$B$696,B308))</f>
        <v>1842552</v>
      </c>
      <c r="CF308" s="31" t="n">
        <f aca="false">SUM(AU308:BE308)</f>
        <v>1835389</v>
      </c>
      <c r="CG308" s="33" t="str">
        <f aca="false">A308&amp;"|"&amp;B308</f>
        <v>2026-09 月例|文化財団　市長部局</v>
      </c>
      <c r="CH308" s="34" t="str">
        <f aca="false">IFERROR(INDEX(設定!$D$61:$D$106,MATCH(B308,設定!$B$61:$B$106,0)),"Y")</f>
        <v>Y</v>
      </c>
      <c r="CI308" s="34" t="str">
        <f aca="false">IFERROR(INDEX(設定!$D$20:$D$34,MATCH(A308,設定!$A$20:$A$34,0))&amp;"","")</f>
        <v>2026-08 月例</v>
      </c>
    </row>
    <row r="309" customFormat="false" ht="15" hidden="true" customHeight="false" outlineLevel="0" collapsed="false">
      <c r="A309" s="22" t="s">
        <v>213</v>
      </c>
      <c r="B309" s="23" t="s">
        <v>187</v>
      </c>
      <c r="C309" s="10" t="str">
        <f aca="false">IF(G309="","未受領",IF(G309="なし","報告なし",IF(AH309="○","起票済",IF(OR(AG309="○",F309="一致",F309="入金不要"),"入金確認済","受領済"))))</f>
        <v>入金確認済</v>
      </c>
      <c r="D309" s="10" t="str">
        <f aca="false">IF(OR(G309="",G309="なし"),"―",IF(CH309="N","対象外",IF(AND(I309="",J309="",K309=""),"標報未入力",IF(CD309&gt;=設定!$B$4,"要確認","問題なし"))))</f>
        <v>標報未入力</v>
      </c>
      <c r="E309" s="24" t="str">
        <f aca="false">IF(OR(G309="",G309="なし",CE309="",CF309=0),"―",IF(CF309=CE309,"前月同額",IF(CE309=0,"―",IF(ABS(CF309/CE309-1)&gt;=設定!$B$5,"変動大 "&amp;TEXT(CF309/CE309-1,"+0%;-0%"),"〇"))))</f>
        <v>―</v>
      </c>
      <c r="F309" s="10" t="str">
        <f aca="false">IF(OR(G309="",G309="なし"),"―",IF(CF309=0,"入金不要",IF(COUNT(Z309,AB309,AD309,AF309)=0,IF(AG309="○","手動確認","未入金"),IF(AND(N(Z309)=Y309,IF(AA309="",TRUE(),N(AB309)=AA309),IF(AC309="",TRUE(),N(AD309)=AC309),IF(AE309="",TRUE(),N(AF309)=AE309)),"一致","不一致"))))</f>
        <v>入金不要</v>
      </c>
      <c r="G309" s="25" t="s">
        <v>159</v>
      </c>
      <c r="H309" s="26"/>
      <c r="I309" s="27"/>
      <c r="J309" s="27"/>
      <c r="K309" s="27"/>
      <c r="L309" s="27"/>
      <c r="M309" s="27"/>
      <c r="N309" s="27" t="n">
        <v>0</v>
      </c>
      <c r="O309" s="27" t="n">
        <v>0</v>
      </c>
      <c r="P309" s="27" t="n">
        <v>0</v>
      </c>
      <c r="Q309" s="27"/>
      <c r="R309" s="27" t="n">
        <v>0</v>
      </c>
      <c r="S309" s="27"/>
      <c r="T309" s="27" t="n">
        <v>0</v>
      </c>
      <c r="U309" s="27"/>
      <c r="V309" s="27" t="n">
        <v>0</v>
      </c>
      <c r="W309" s="10" t="str">
        <f aca="false">IFERROR(INDEX(設定!$E$61:$E$106,MATCH(B309,設定!$B$61:$B$106,0)),"合算")</f>
        <v>合算</v>
      </c>
      <c r="X309" s="28"/>
      <c r="Y309" s="29" t="n">
        <f aca="false">IF(OR(G309="",G309="なし"),"",IF(W309="合算",CF309,IF(W309="掛金・負担金別",(AU309+AV309+AZ309+BB309+BD309),SUM(AU309:AY309))))</f>
        <v>0</v>
      </c>
      <c r="Z309" s="27"/>
      <c r="AA309" s="29" t="str">
        <f aca="false">IF(OR(G309="",G309="なし"),"",IF(W309="掛金・負担金別",(AW309+AX309+AY309+BA309+BC309+BE309),IF(W309="経理区分別",AZ309+BA309,"")))</f>
        <v/>
      </c>
      <c r="AB309" s="27"/>
      <c r="AC309" s="29" t="str">
        <f aca="false">IF(OR(G309="",G309="なし"),"",IF(W309="経理区分別",BB309+BC309,""))</f>
        <v/>
      </c>
      <c r="AD309" s="27"/>
      <c r="AE309" s="29" t="str">
        <f aca="false">IF(OR(G309="",G309="なし"),"",IF(W309="経理区分別",BD309+BE309,""))</f>
        <v/>
      </c>
      <c r="AF309" s="27"/>
      <c r="AG309" s="26" t="s">
        <v>160</v>
      </c>
      <c r="AH309" s="26"/>
      <c r="AI309" s="30"/>
      <c r="AJ309" s="31"/>
      <c r="AK309" s="31"/>
      <c r="AL309" s="31"/>
      <c r="AM309" s="31"/>
      <c r="AN309" s="31"/>
      <c r="AO309" s="31"/>
      <c r="AP309" s="31"/>
      <c r="AQ309" s="31"/>
      <c r="AR309" s="31"/>
      <c r="AS309" s="31"/>
      <c r="AT309" s="31"/>
      <c r="AU309" s="31" t="n">
        <f aca="false">IF($G309="",AJ309,L309)</f>
        <v>0</v>
      </c>
      <c r="AV309" s="31" t="n">
        <f aca="false">IF($G309="",AK309,M309)</f>
        <v>0</v>
      </c>
      <c r="AW309" s="31" t="n">
        <f aca="false">IF($G309="",AL309,N309)</f>
        <v>0</v>
      </c>
      <c r="AX309" s="31" t="n">
        <f aca="false">IF($G309="",AM309,O309)</f>
        <v>0</v>
      </c>
      <c r="AY309" s="31" t="n">
        <f aca="false">IF($G309="",AN309,P309)</f>
        <v>0</v>
      </c>
      <c r="AZ309" s="31" t="n">
        <f aca="false">IF($G309="",AO309,Q309)</f>
        <v>0</v>
      </c>
      <c r="BA309" s="31" t="n">
        <f aca="false">IF($G309="",AP309,R309)</f>
        <v>0</v>
      </c>
      <c r="BB309" s="31" t="n">
        <f aca="false">IF($G309="",AQ309,S309)</f>
        <v>0</v>
      </c>
      <c r="BC309" s="31" t="n">
        <f aca="false">IF($G309="",AR309,T309)</f>
        <v>0</v>
      </c>
      <c r="BD309" s="31" t="n">
        <f aca="false">IF($G309="",AS309,U309)</f>
        <v>0</v>
      </c>
      <c r="BE309" s="31" t="n">
        <f aca="false">IF($G309="",AT309,V309)</f>
        <v>0</v>
      </c>
      <c r="BF309" s="31" t="n">
        <f aca="false">ROUNDDOWN(I309*設定!$B$10/1000,0)+ROUNDDOWN(I309*設定!$B$11/1000,0)</f>
        <v>0</v>
      </c>
      <c r="BG309" s="31" t="n">
        <f aca="false">ROUNDDOWN(I309*設定!$C$10/1000,0)+ROUNDDOWN(I309*設定!$C$11/1000,0)+ROUNDDOWN(I309*設定!$C$12/1000,0)</f>
        <v>0</v>
      </c>
      <c r="BH309" s="31" t="n">
        <f aca="false">ROUNDDOWN(J309*設定!$B$13/1000,0)</f>
        <v>0</v>
      </c>
      <c r="BI309" s="31" t="n">
        <f aca="false">ROUNDDOWN(J309*設定!$C$13/1000,0)</f>
        <v>0</v>
      </c>
      <c r="BJ309" s="31" t="n">
        <f aca="false">ROUNDDOWN(K309*設定!$B$14/1000,0)</f>
        <v>0</v>
      </c>
      <c r="BK309" s="31" t="n">
        <f aca="false">ROUNDDOWN(K309*設定!$C$14/1000,0)</f>
        <v>0</v>
      </c>
      <c r="BL309" s="31" t="n">
        <f aca="false">ROUNDDOWN(J309*設定!$B$15/1000,0)</f>
        <v>0</v>
      </c>
      <c r="BM309" s="31" t="n">
        <f aca="false">ROUNDDOWN(J309*設定!$C$15/1000,0)</f>
        <v>0</v>
      </c>
      <c r="BN309" s="31" t="n">
        <f aca="false">L309+M309</f>
        <v>0</v>
      </c>
      <c r="BO309" s="31" t="n">
        <f aca="false">N309+O309+P309</f>
        <v>0</v>
      </c>
      <c r="BP309" s="31" t="n">
        <f aca="false">Q309</f>
        <v>0</v>
      </c>
      <c r="BQ309" s="31" t="n">
        <f aca="false">R309</f>
        <v>0</v>
      </c>
      <c r="BR309" s="31" t="n">
        <f aca="false">S309</f>
        <v>0</v>
      </c>
      <c r="BS309" s="31" t="n">
        <f aca="false">T309</f>
        <v>0</v>
      </c>
      <c r="BT309" s="31" t="n">
        <f aca="false">U309</f>
        <v>0</v>
      </c>
      <c r="BU309" s="31" t="n">
        <f aca="false">V309</f>
        <v>0</v>
      </c>
      <c r="BV309" s="32" t="n">
        <f aca="false">IF(BF309=0,IF(BN309=0,0,1),(BN309-BF309)/BF309)</f>
        <v>0</v>
      </c>
      <c r="BW309" s="32" t="n">
        <f aca="false">IF(BG309=0,IF(BO309=0,0,1),(BO309-BG309)/BG309)</f>
        <v>0</v>
      </c>
      <c r="BX309" s="32" t="n">
        <f aca="false">IF(BH309=0,IF(BP309=0,0,1),(BP309-BH309)/BH309)</f>
        <v>0</v>
      </c>
      <c r="BY309" s="32" t="n">
        <f aca="false">IF(BI309=0,IF(BQ309=0,0,1),(BQ309-BI309)/BI309)</f>
        <v>0</v>
      </c>
      <c r="BZ309" s="32" t="n">
        <f aca="false">IF(BJ309=0,IF(BR309=0,0,1),(BR309-BJ309)/BJ309)</f>
        <v>0</v>
      </c>
      <c r="CA309" s="32" t="n">
        <f aca="false">IF(BK309=0,IF(BS309=0,0,1),(BS309-BK309)/BK309)</f>
        <v>0</v>
      </c>
      <c r="CB309" s="32" t="n">
        <f aca="false">IF(BL309=0,IF(BT309=0,0,1),(BT309-BL309)/BL309)</f>
        <v>0</v>
      </c>
      <c r="CC309" s="32" t="n">
        <f aca="false">IF(BM309=0,IF(BU309=0,0,1),(BU309-BM309)/BM309)</f>
        <v>0</v>
      </c>
      <c r="CD309" s="32" t="n">
        <f aca="false">MAX(MAX(BV309:CC309),-MIN(BV309:CC309))</f>
        <v>-0</v>
      </c>
      <c r="CE309" s="31" t="n">
        <f aca="false">IF(CI309="","",SUMIFS($CF$7:$CF$696,$A$7:$A$696,CI309,$B$7:$B$696,B309))</f>
        <v>0</v>
      </c>
      <c r="CF309" s="31" t="n">
        <f aca="false">SUM(AU309:BE309)</f>
        <v>0</v>
      </c>
      <c r="CG309" s="33" t="str">
        <f aca="false">A309&amp;"|"&amp;B309</f>
        <v>2026-09 月例|文化財団　教育委員会</v>
      </c>
      <c r="CH309" s="34" t="str">
        <f aca="false">IFERROR(INDEX(設定!$D$61:$D$106,MATCH(B309,設定!$B$61:$B$106,0)),"Y")</f>
        <v>Y</v>
      </c>
      <c r="CI309" s="34" t="str">
        <f aca="false">IFERROR(INDEX(設定!$D$20:$D$34,MATCH(A309,設定!$A$20:$A$34,0))&amp;"","")</f>
        <v>2026-08 月例</v>
      </c>
    </row>
    <row r="310" customFormat="false" ht="15" hidden="true" customHeight="false" outlineLevel="0" collapsed="false">
      <c r="A310" s="22" t="s">
        <v>213</v>
      </c>
      <c r="B310" s="23" t="s">
        <v>188</v>
      </c>
      <c r="C310" s="10" t="str">
        <f aca="false">IF(G310="","未受領",IF(G310="なし","報告なし",IF(AH310="○","起票済",IF(OR(AG310="○",F310="一致",F310="入金不要"),"入金確認済","受領済"))))</f>
        <v>入金確認済</v>
      </c>
      <c r="D310" s="10" t="str">
        <f aca="false">IF(OR(G310="",G310="なし"),"―",IF(CH310="N","対象外",IF(AND(I310="",J310="",K310=""),"標報未入力",IF(CD310&gt;=設定!$B$4,"要確認","問題なし"))))</f>
        <v>標報未入力</v>
      </c>
      <c r="E310" s="24" t="str">
        <f aca="false">IF(OR(G310="",G310="なし",CE310="",CF310=0),"―",IF(CF310=CE310,"前月同額",IF(CE310=0,"―",IF(ABS(CF310/CE310-1)&gt;=設定!$B$5,"変動大 "&amp;TEXT(CF310/CE310-1,"+0%;-0%"),"〇"))))</f>
        <v>〇</v>
      </c>
      <c r="F310" s="10" t="str">
        <f aca="false">IF(OR(G310="",G310="なし"),"―",IF(CF310=0,"入金不要",IF(COUNT(Z310,AB310,AD310,AF310)=0,IF(AG310="○","手動確認","未入金"),IF(AND(N(Z310)=Y310,IF(AA310="",TRUE(),N(AB310)=AA310),IF(AC310="",TRUE(),N(AD310)=AC310),IF(AE310="",TRUE(),N(AF310)=AE310)),"一致","不一致"))))</f>
        <v>手動確認</v>
      </c>
      <c r="G310" s="25" t="s">
        <v>159</v>
      </c>
      <c r="H310" s="26"/>
      <c r="I310" s="27"/>
      <c r="J310" s="27"/>
      <c r="K310" s="27"/>
      <c r="L310" s="27"/>
      <c r="M310" s="27"/>
      <c r="N310" s="27" t="n">
        <v>412665</v>
      </c>
      <c r="O310" s="27" t="n">
        <v>33825</v>
      </c>
      <c r="P310" s="27" t="n">
        <v>389</v>
      </c>
      <c r="Q310" s="27"/>
      <c r="R310" s="27" t="n">
        <v>234113</v>
      </c>
      <c r="S310" s="27"/>
      <c r="T310" s="27" t="n">
        <v>35629</v>
      </c>
      <c r="U310" s="27"/>
      <c r="V310" s="27" t="n">
        <v>5186</v>
      </c>
      <c r="W310" s="10" t="str">
        <f aca="false">IFERROR(INDEX(設定!$E$61:$E$106,MATCH(B310,設定!$B$61:$B$106,0)),"合算")</f>
        <v>合算</v>
      </c>
      <c r="X310" s="28"/>
      <c r="Y310" s="29" t="n">
        <f aca="false">IF(OR(G310="",G310="なし"),"",IF(W310="合算",CF310,IF(W310="掛金・負担金別",(AU310+AV310+AZ310+BB310+BD310),SUM(AU310:AY310))))</f>
        <v>721807</v>
      </c>
      <c r="Z310" s="27"/>
      <c r="AA310" s="29" t="str">
        <f aca="false">IF(OR(G310="",G310="なし"),"",IF(W310="掛金・負担金別",(AW310+AX310+AY310+BA310+BC310+BE310),IF(W310="経理区分別",AZ310+BA310,"")))</f>
        <v/>
      </c>
      <c r="AB310" s="27"/>
      <c r="AC310" s="29" t="str">
        <f aca="false">IF(OR(G310="",G310="なし"),"",IF(W310="経理区分別",BB310+BC310,""))</f>
        <v/>
      </c>
      <c r="AD310" s="27"/>
      <c r="AE310" s="29" t="str">
        <f aca="false">IF(OR(G310="",G310="なし"),"",IF(W310="経理区分別",BD310+BE310,""))</f>
        <v/>
      </c>
      <c r="AF310" s="27"/>
      <c r="AG310" s="26" t="s">
        <v>160</v>
      </c>
      <c r="AH310" s="26"/>
      <c r="AI310" s="30"/>
      <c r="AJ310" s="31"/>
      <c r="AK310" s="31"/>
      <c r="AL310" s="31"/>
      <c r="AM310" s="31"/>
      <c r="AN310" s="31"/>
      <c r="AO310" s="31"/>
      <c r="AP310" s="31"/>
      <c r="AQ310" s="31"/>
      <c r="AR310" s="31"/>
      <c r="AS310" s="31"/>
      <c r="AT310" s="31"/>
      <c r="AU310" s="31" t="n">
        <f aca="false">IF($G310="",AJ310,L310)</f>
        <v>0</v>
      </c>
      <c r="AV310" s="31" t="n">
        <f aca="false">IF($G310="",AK310,M310)</f>
        <v>0</v>
      </c>
      <c r="AW310" s="31" t="n">
        <f aca="false">IF($G310="",AL310,N310)</f>
        <v>412665</v>
      </c>
      <c r="AX310" s="31" t="n">
        <f aca="false">IF($G310="",AM310,O310)</f>
        <v>33825</v>
      </c>
      <c r="AY310" s="31" t="n">
        <f aca="false">IF($G310="",AN310,P310)</f>
        <v>389</v>
      </c>
      <c r="AZ310" s="31" t="n">
        <f aca="false">IF($G310="",AO310,Q310)</f>
        <v>0</v>
      </c>
      <c r="BA310" s="31" t="n">
        <f aca="false">IF($G310="",AP310,R310)</f>
        <v>234113</v>
      </c>
      <c r="BB310" s="31" t="n">
        <f aca="false">IF($G310="",AQ310,S310)</f>
        <v>0</v>
      </c>
      <c r="BC310" s="31" t="n">
        <f aca="false">IF($G310="",AR310,T310)</f>
        <v>35629</v>
      </c>
      <c r="BD310" s="31" t="n">
        <f aca="false">IF($G310="",AS310,U310)</f>
        <v>0</v>
      </c>
      <c r="BE310" s="31" t="n">
        <f aca="false">IF($G310="",AT310,V310)</f>
        <v>5186</v>
      </c>
      <c r="BF310" s="31" t="n">
        <f aca="false">ROUNDDOWN(I310*設定!$B$10/1000,0)+ROUNDDOWN(I310*設定!$B$11/1000,0)</f>
        <v>0</v>
      </c>
      <c r="BG310" s="31" t="n">
        <f aca="false">ROUNDDOWN(I310*設定!$C$10/1000,0)+ROUNDDOWN(I310*設定!$C$11/1000,0)+ROUNDDOWN(I310*設定!$C$12/1000,0)</f>
        <v>0</v>
      </c>
      <c r="BH310" s="31" t="n">
        <f aca="false">ROUNDDOWN(J310*設定!$B$13/1000,0)</f>
        <v>0</v>
      </c>
      <c r="BI310" s="31" t="n">
        <f aca="false">ROUNDDOWN(J310*設定!$C$13/1000,0)</f>
        <v>0</v>
      </c>
      <c r="BJ310" s="31" t="n">
        <f aca="false">ROUNDDOWN(K310*設定!$B$14/1000,0)</f>
        <v>0</v>
      </c>
      <c r="BK310" s="31" t="n">
        <f aca="false">ROUNDDOWN(K310*設定!$C$14/1000,0)</f>
        <v>0</v>
      </c>
      <c r="BL310" s="31" t="n">
        <f aca="false">ROUNDDOWN(J310*設定!$B$15/1000,0)</f>
        <v>0</v>
      </c>
      <c r="BM310" s="31" t="n">
        <f aca="false">ROUNDDOWN(J310*設定!$C$15/1000,0)</f>
        <v>0</v>
      </c>
      <c r="BN310" s="31" t="n">
        <f aca="false">L310+M310</f>
        <v>0</v>
      </c>
      <c r="BO310" s="31" t="n">
        <f aca="false">N310+O310+P310</f>
        <v>446879</v>
      </c>
      <c r="BP310" s="31" t="n">
        <f aca="false">Q310</f>
        <v>0</v>
      </c>
      <c r="BQ310" s="31" t="n">
        <f aca="false">R310</f>
        <v>234113</v>
      </c>
      <c r="BR310" s="31" t="n">
        <f aca="false">S310</f>
        <v>0</v>
      </c>
      <c r="BS310" s="31" t="n">
        <f aca="false">T310</f>
        <v>35629</v>
      </c>
      <c r="BT310" s="31" t="n">
        <f aca="false">U310</f>
        <v>0</v>
      </c>
      <c r="BU310" s="31" t="n">
        <f aca="false">V310</f>
        <v>5186</v>
      </c>
      <c r="BV310" s="32" t="n">
        <f aca="false">IF(BF310=0,IF(BN310=0,0,1),(BN310-BF310)/BF310)</f>
        <v>0</v>
      </c>
      <c r="BW310" s="32" t="n">
        <f aca="false">IF(BG310=0,IF(BO310=0,0,1),(BO310-BG310)/BG310)</f>
        <v>1</v>
      </c>
      <c r="BX310" s="32" t="n">
        <f aca="false">IF(BH310=0,IF(BP310=0,0,1),(BP310-BH310)/BH310)</f>
        <v>0</v>
      </c>
      <c r="BY310" s="32" t="n">
        <f aca="false">IF(BI310=0,IF(BQ310=0,0,1),(BQ310-BI310)/BI310)</f>
        <v>1</v>
      </c>
      <c r="BZ310" s="32" t="n">
        <f aca="false">IF(BJ310=0,IF(BR310=0,0,1),(BR310-BJ310)/BJ310)</f>
        <v>0</v>
      </c>
      <c r="CA310" s="32" t="n">
        <f aca="false">IF(BK310=0,IF(BS310=0,0,1),(BS310-BK310)/BK310)</f>
        <v>1</v>
      </c>
      <c r="CB310" s="32" t="n">
        <f aca="false">IF(BL310=0,IF(BT310=0,0,1),(BT310-BL310)/BL310)</f>
        <v>0</v>
      </c>
      <c r="CC310" s="32" t="n">
        <f aca="false">IF(BM310=0,IF(BU310=0,0,1),(BU310-BM310)/BM310)</f>
        <v>1</v>
      </c>
      <c r="CD310" s="32" t="n">
        <f aca="false">MAX(MAX(BV310:CC310),-MIN(BV310:CC310))</f>
        <v>1</v>
      </c>
      <c r="CE310" s="31" t="n">
        <f aca="false">IF(CI310="","",SUMIFS($CF$7:$CF$696,$A$7:$A$696,CI310,$B$7:$B$696,B310))</f>
        <v>709003</v>
      </c>
      <c r="CF310" s="31" t="n">
        <f aca="false">SUM(AU310:BE310)</f>
        <v>721807</v>
      </c>
      <c r="CG310" s="33" t="str">
        <f aca="false">A310&amp;"|"&amp;B310</f>
        <v>2026-09 月例|みどり生きもの協会</v>
      </c>
      <c r="CH310" s="34" t="str">
        <f aca="false">IFERROR(INDEX(設定!$D$61:$D$106,MATCH(B310,設定!$B$61:$B$106,0)),"Y")</f>
        <v>Y</v>
      </c>
      <c r="CI310" s="34" t="str">
        <f aca="false">IFERROR(INDEX(設定!$D$20:$D$34,MATCH(A310,設定!$A$20:$A$34,0))&amp;"","")</f>
        <v>2026-08 月例</v>
      </c>
    </row>
    <row r="311" customFormat="false" ht="15" hidden="true" customHeight="false" outlineLevel="0" collapsed="false">
      <c r="A311" s="22" t="s">
        <v>213</v>
      </c>
      <c r="B311" s="23" t="s">
        <v>189</v>
      </c>
      <c r="C311" s="10" t="str">
        <f aca="false">IF(G311="","未受領",IF(G311="なし","報告なし",IF(AH311="○","起票済",IF(OR(AG311="○",F311="一致",F311="入金不要"),"入金確認済","受領済"))))</f>
        <v>入金確認済</v>
      </c>
      <c r="D311" s="10" t="str">
        <f aca="false">IF(OR(G311="",G311="なし"),"―",IF(CH311="N","対象外",IF(AND(I311="",J311="",K311=""),"標報未入力",IF(CD311&gt;=設定!$B$4,"要確認","問題なし"))))</f>
        <v>標報未入力</v>
      </c>
      <c r="E311" s="24" t="str">
        <f aca="false">IF(OR(G311="",G311="なし",CE311="",CF311=0),"―",IF(CF311=CE311,"前月同額",IF(CE311=0,"―",IF(ABS(CF311/CE311-1)&gt;=設定!$B$5,"変動大 "&amp;TEXT(CF311/CE311-1,"+0%;-0%"),"〇"))))</f>
        <v>〇</v>
      </c>
      <c r="F311" s="10" t="str">
        <f aca="false">IF(OR(G311="",G311="なし"),"―",IF(CF311=0,"入金不要",IF(COUNT(Z311,AB311,AD311,AF311)=0,IF(AG311="○","手動確認","未入金"),IF(AND(N(Z311)=Y311,IF(AA311="",TRUE(),N(AB311)=AA311),IF(AC311="",TRUE(),N(AD311)=AC311),IF(AE311="",TRUE(),N(AF311)=AE311)),"一致","不一致"))))</f>
        <v>手動確認</v>
      </c>
      <c r="G311" s="25" t="s">
        <v>159</v>
      </c>
      <c r="H311" s="26"/>
      <c r="I311" s="27"/>
      <c r="J311" s="27"/>
      <c r="K311" s="27"/>
      <c r="L311" s="27" t="n">
        <v>148230</v>
      </c>
      <c r="M311" s="27" t="n">
        <v>12150</v>
      </c>
      <c r="N311" s="27" t="n">
        <v>148230</v>
      </c>
      <c r="O311" s="27" t="n">
        <v>12150</v>
      </c>
      <c r="P311" s="27" t="n">
        <v>140</v>
      </c>
      <c r="Q311" s="27" t="n">
        <v>84012</v>
      </c>
      <c r="R311" s="27" t="n">
        <v>84094</v>
      </c>
      <c r="S311" s="27" t="n">
        <v>9322</v>
      </c>
      <c r="T311" s="27" t="n">
        <v>9322</v>
      </c>
      <c r="U311" s="27" t="n">
        <v>1862</v>
      </c>
      <c r="V311" s="27" t="n">
        <v>1863</v>
      </c>
      <c r="W311" s="10" t="str">
        <f aca="false">IFERROR(INDEX(設定!$E$61:$E$106,MATCH(B311,設定!$B$61:$B$106,0)),"合算")</f>
        <v>合算</v>
      </c>
      <c r="X311" s="28"/>
      <c r="Y311" s="29" t="n">
        <f aca="false">IF(OR(G311="",G311="なし"),"",IF(W311="合算",CF311,IF(W311="掛金・負担金別",(AU311+AV311+AZ311+BB311+BD311),SUM(AU311:AY311))))</f>
        <v>511375</v>
      </c>
      <c r="Z311" s="27"/>
      <c r="AA311" s="29" t="str">
        <f aca="false">IF(OR(G311="",G311="なし"),"",IF(W311="掛金・負担金別",(AW311+AX311+AY311+BA311+BC311+BE311),IF(W311="経理区分別",AZ311+BA311,"")))</f>
        <v/>
      </c>
      <c r="AB311" s="27"/>
      <c r="AC311" s="29" t="str">
        <f aca="false">IF(OR(G311="",G311="なし"),"",IF(W311="経理区分別",BB311+BC311,""))</f>
        <v/>
      </c>
      <c r="AD311" s="27"/>
      <c r="AE311" s="29" t="str">
        <f aca="false">IF(OR(G311="",G311="なし"),"",IF(W311="経理区分別",BD311+BE311,""))</f>
        <v/>
      </c>
      <c r="AF311" s="27"/>
      <c r="AG311" s="26" t="s">
        <v>160</v>
      </c>
      <c r="AH311" s="26"/>
      <c r="AI311" s="30"/>
      <c r="AJ311" s="31"/>
      <c r="AK311" s="31"/>
      <c r="AL311" s="31"/>
      <c r="AM311" s="31"/>
      <c r="AN311" s="31"/>
      <c r="AO311" s="31"/>
      <c r="AP311" s="31"/>
      <c r="AQ311" s="31"/>
      <c r="AR311" s="31"/>
      <c r="AS311" s="31"/>
      <c r="AT311" s="31"/>
      <c r="AU311" s="31" t="n">
        <f aca="false">IF($G311="",AJ311,L311)</f>
        <v>148230</v>
      </c>
      <c r="AV311" s="31" t="n">
        <f aca="false">IF($G311="",AK311,M311)</f>
        <v>12150</v>
      </c>
      <c r="AW311" s="31" t="n">
        <f aca="false">IF($G311="",AL311,N311)</f>
        <v>148230</v>
      </c>
      <c r="AX311" s="31" t="n">
        <f aca="false">IF($G311="",AM311,O311)</f>
        <v>12150</v>
      </c>
      <c r="AY311" s="31" t="n">
        <f aca="false">IF($G311="",AN311,P311)</f>
        <v>140</v>
      </c>
      <c r="AZ311" s="31" t="n">
        <f aca="false">IF($G311="",AO311,Q311)</f>
        <v>84012</v>
      </c>
      <c r="BA311" s="31" t="n">
        <f aca="false">IF($G311="",AP311,R311)</f>
        <v>84094</v>
      </c>
      <c r="BB311" s="31" t="n">
        <f aca="false">IF($G311="",AQ311,S311)</f>
        <v>9322</v>
      </c>
      <c r="BC311" s="31" t="n">
        <f aca="false">IF($G311="",AR311,T311)</f>
        <v>9322</v>
      </c>
      <c r="BD311" s="31" t="n">
        <f aca="false">IF($G311="",AS311,U311)</f>
        <v>1862</v>
      </c>
      <c r="BE311" s="31" t="n">
        <f aca="false">IF($G311="",AT311,V311)</f>
        <v>1863</v>
      </c>
      <c r="BF311" s="31" t="n">
        <f aca="false">ROUNDDOWN(I311*設定!$B$10/1000,0)+ROUNDDOWN(I311*設定!$B$11/1000,0)</f>
        <v>0</v>
      </c>
      <c r="BG311" s="31" t="n">
        <f aca="false">ROUNDDOWN(I311*設定!$C$10/1000,0)+ROUNDDOWN(I311*設定!$C$11/1000,0)+ROUNDDOWN(I311*設定!$C$12/1000,0)</f>
        <v>0</v>
      </c>
      <c r="BH311" s="31" t="n">
        <f aca="false">ROUNDDOWN(J311*設定!$B$13/1000,0)</f>
        <v>0</v>
      </c>
      <c r="BI311" s="31" t="n">
        <f aca="false">ROUNDDOWN(J311*設定!$C$13/1000,0)</f>
        <v>0</v>
      </c>
      <c r="BJ311" s="31" t="n">
        <f aca="false">ROUNDDOWN(K311*設定!$B$14/1000,0)</f>
        <v>0</v>
      </c>
      <c r="BK311" s="31" t="n">
        <f aca="false">ROUNDDOWN(K311*設定!$C$14/1000,0)</f>
        <v>0</v>
      </c>
      <c r="BL311" s="31" t="n">
        <f aca="false">ROUNDDOWN(J311*設定!$B$15/1000,0)</f>
        <v>0</v>
      </c>
      <c r="BM311" s="31" t="n">
        <f aca="false">ROUNDDOWN(J311*設定!$C$15/1000,0)</f>
        <v>0</v>
      </c>
      <c r="BN311" s="31" t="n">
        <f aca="false">L311+M311</f>
        <v>160380</v>
      </c>
      <c r="BO311" s="31" t="n">
        <f aca="false">N311+O311+P311</f>
        <v>160520</v>
      </c>
      <c r="BP311" s="31" t="n">
        <f aca="false">Q311</f>
        <v>84012</v>
      </c>
      <c r="BQ311" s="31" t="n">
        <f aca="false">R311</f>
        <v>84094</v>
      </c>
      <c r="BR311" s="31" t="n">
        <f aca="false">S311</f>
        <v>9322</v>
      </c>
      <c r="BS311" s="31" t="n">
        <f aca="false">T311</f>
        <v>9322</v>
      </c>
      <c r="BT311" s="31" t="n">
        <f aca="false">U311</f>
        <v>1862</v>
      </c>
      <c r="BU311" s="31" t="n">
        <f aca="false">V311</f>
        <v>1863</v>
      </c>
      <c r="BV311" s="32" t="n">
        <f aca="false">IF(BF311=0,IF(BN311=0,0,1),(BN311-BF311)/BF311)</f>
        <v>1</v>
      </c>
      <c r="BW311" s="32" t="n">
        <f aca="false">IF(BG311=0,IF(BO311=0,0,1),(BO311-BG311)/BG311)</f>
        <v>1</v>
      </c>
      <c r="BX311" s="32" t="n">
        <f aca="false">IF(BH311=0,IF(BP311=0,0,1),(BP311-BH311)/BH311)</f>
        <v>1</v>
      </c>
      <c r="BY311" s="32" t="n">
        <f aca="false">IF(BI311=0,IF(BQ311=0,0,1),(BQ311-BI311)/BI311)</f>
        <v>1</v>
      </c>
      <c r="BZ311" s="32" t="n">
        <f aca="false">IF(BJ311=0,IF(BR311=0,0,1),(BR311-BJ311)/BJ311)</f>
        <v>1</v>
      </c>
      <c r="CA311" s="32" t="n">
        <f aca="false">IF(BK311=0,IF(BS311=0,0,1),(BS311-BK311)/BK311)</f>
        <v>1</v>
      </c>
      <c r="CB311" s="32" t="n">
        <f aca="false">IF(BL311=0,IF(BT311=0,0,1),(BT311-BL311)/BL311)</f>
        <v>1</v>
      </c>
      <c r="CC311" s="32" t="n">
        <f aca="false">IF(BM311=0,IF(BU311=0,0,1),(BU311-BM311)/BM311)</f>
        <v>1</v>
      </c>
      <c r="CD311" s="32" t="n">
        <f aca="false">MAX(MAX(BV311:CC311),-MIN(BV311:CC311))</f>
        <v>1</v>
      </c>
      <c r="CE311" s="31" t="n">
        <f aca="false">IF(CI311="","",SUMIFS($CF$7:$CF$696,$A$7:$A$696,CI311,$B$7:$B$696,B311))</f>
        <v>519160</v>
      </c>
      <c r="CF311" s="31" t="n">
        <f aca="false">SUM(AU311:BE311)</f>
        <v>511375</v>
      </c>
      <c r="CG311" s="33" t="str">
        <f aca="false">A311&amp;"|"&amp;B311</f>
        <v>2026-09 月例|県下水道公社</v>
      </c>
      <c r="CH311" s="34" t="str">
        <f aca="false">IFERROR(INDEX(設定!$D$61:$D$106,MATCH(B311,設定!$B$61:$B$106,0)),"Y")</f>
        <v>Y</v>
      </c>
      <c r="CI311" s="34" t="str">
        <f aca="false">IFERROR(INDEX(設定!$D$20:$D$34,MATCH(A311,設定!$A$20:$A$34,0))&amp;"","")</f>
        <v>2026-08 月例</v>
      </c>
    </row>
    <row r="312" customFormat="false" ht="26.85" hidden="true" customHeight="false" outlineLevel="0" collapsed="false">
      <c r="A312" s="22" t="s">
        <v>213</v>
      </c>
      <c r="B312" s="35" t="s">
        <v>208</v>
      </c>
      <c r="C312" s="10" t="str">
        <f aca="false">IF(G312="","未受領",IF(G312="なし","報告なし",IF(AH312="○","起票済",IF(OR(AG312="○",F312="一致",F312="入金不要"),"入金確認済","受領済"))))</f>
        <v>入金確認済</v>
      </c>
      <c r="D312" s="10" t="str">
        <f aca="false">IF(OR(G312="",G312="なし"),"―",IF(CH312="N","対象外",IF(AND(I312="",J312="",K312=""),"標報未入力",IF(CD312&gt;=設定!$B$4,"要確認","問題なし"))))</f>
        <v>標報未入力</v>
      </c>
      <c r="E312" s="24" t="str">
        <f aca="false">IF(OR(G312="",G312="なし",CE312="",CF312=0),"―",IF(CF312=CE312,"前月同額",IF(CE312=0,"―",IF(ABS(CF312/CE312-1)&gt;=設定!$B$5,"変動大 "&amp;TEXT(CF312/CE312-1,"+0%;-0%"),"〇"))))</f>
        <v>〇</v>
      </c>
      <c r="F312" s="10" t="str">
        <f aca="false">IF(OR(G312="",G312="なし"),"―",IF(CF312=0,"入金不要",IF(COUNT(Z312,AB312,AD312,AF312)=0,IF(AG312="○","手動確認","未入金"),IF(AND(N(Z312)=Y312,IF(AA312="",TRUE(),N(AB312)=AA312),IF(AC312="",TRUE(),N(AD312)=AC312),IF(AE312="",TRUE(),N(AF312)=AE312)),"一致","不一致"))))</f>
        <v>手動確認</v>
      </c>
      <c r="G312" s="25" t="s">
        <v>159</v>
      </c>
      <c r="H312" s="26"/>
      <c r="I312" s="27"/>
      <c r="J312" s="27"/>
      <c r="K312" s="27"/>
      <c r="L312" s="27"/>
      <c r="M312" s="27"/>
      <c r="N312" s="27" t="n">
        <v>444690</v>
      </c>
      <c r="O312" s="27" t="n">
        <v>36450</v>
      </c>
      <c r="P312" s="27" t="n">
        <v>422</v>
      </c>
      <c r="Q312" s="27"/>
      <c r="R312" s="27" t="n">
        <v>261626</v>
      </c>
      <c r="S312" s="27"/>
      <c r="T312" s="27" t="n">
        <v>21251</v>
      </c>
      <c r="U312" s="27"/>
      <c r="V312" s="27" t="n">
        <v>5796</v>
      </c>
      <c r="W312" s="10" t="str">
        <f aca="false">IFERROR(INDEX(設定!$E$61:$E$106,MATCH(B312,設定!$B$61:$B$106,0)),"合算")</f>
        <v>合算</v>
      </c>
      <c r="X312" s="28"/>
      <c r="Y312" s="29" t="n">
        <f aca="false">IF(OR(G312="",G312="なし"),"",IF(W312="合算",CF312,IF(W312="掛金・負担金別",(AU312+AV312+AZ312+BB312+BD312),SUM(AU312:AY312))))</f>
        <v>770235</v>
      </c>
      <c r="Z312" s="27"/>
      <c r="AA312" s="29" t="str">
        <f aca="false">IF(OR(G312="",G312="なし"),"",IF(W312="掛金・負担金別",(AW312+AX312+AY312+BA312+BC312+BE312),IF(W312="経理区分別",AZ312+BA312,"")))</f>
        <v/>
      </c>
      <c r="AB312" s="27"/>
      <c r="AC312" s="29" t="str">
        <f aca="false">IF(OR(G312="",G312="なし"),"",IF(W312="経理区分別",BB312+BC312,""))</f>
        <v/>
      </c>
      <c r="AD312" s="27"/>
      <c r="AE312" s="29" t="str">
        <f aca="false">IF(OR(G312="",G312="なし"),"",IF(W312="経理区分別",BD312+BE312,""))</f>
        <v/>
      </c>
      <c r="AF312" s="27"/>
      <c r="AG312" s="26" t="s">
        <v>160</v>
      </c>
      <c r="AH312" s="26"/>
      <c r="AI312" s="30"/>
      <c r="AJ312" s="31"/>
      <c r="AK312" s="31"/>
      <c r="AL312" s="31"/>
      <c r="AM312" s="31"/>
      <c r="AN312" s="31"/>
      <c r="AO312" s="31"/>
      <c r="AP312" s="31"/>
      <c r="AQ312" s="31"/>
      <c r="AR312" s="31"/>
      <c r="AS312" s="31"/>
      <c r="AT312" s="31"/>
      <c r="AU312" s="31" t="n">
        <f aca="false">IF($G312="",AJ312,L312)</f>
        <v>0</v>
      </c>
      <c r="AV312" s="31" t="n">
        <f aca="false">IF($G312="",AK312,M312)</f>
        <v>0</v>
      </c>
      <c r="AW312" s="31" t="n">
        <f aca="false">IF($G312="",AL312,N312)</f>
        <v>444690</v>
      </c>
      <c r="AX312" s="31" t="n">
        <f aca="false">IF($G312="",AM312,O312)</f>
        <v>36450</v>
      </c>
      <c r="AY312" s="31" t="n">
        <f aca="false">IF($G312="",AN312,P312)</f>
        <v>422</v>
      </c>
      <c r="AZ312" s="31" t="n">
        <f aca="false">IF($G312="",AO312,Q312)</f>
        <v>0</v>
      </c>
      <c r="BA312" s="31" t="n">
        <f aca="false">IF($G312="",AP312,R312)</f>
        <v>261626</v>
      </c>
      <c r="BB312" s="31" t="n">
        <f aca="false">IF($G312="",AQ312,S312)</f>
        <v>0</v>
      </c>
      <c r="BC312" s="31" t="n">
        <f aca="false">IF($G312="",AR312,T312)</f>
        <v>21251</v>
      </c>
      <c r="BD312" s="31" t="n">
        <f aca="false">IF($G312="",AS312,U312)</f>
        <v>0</v>
      </c>
      <c r="BE312" s="31" t="n">
        <f aca="false">IF($G312="",AT312,V312)</f>
        <v>5796</v>
      </c>
      <c r="BF312" s="31" t="n">
        <f aca="false">ROUNDDOWN(I312*設定!$B$10/1000,0)+ROUNDDOWN(I312*設定!$B$11/1000,0)</f>
        <v>0</v>
      </c>
      <c r="BG312" s="31" t="n">
        <f aca="false">ROUNDDOWN(I312*設定!$C$10/1000,0)+ROUNDDOWN(I312*設定!$C$11/1000,0)+ROUNDDOWN(I312*設定!$C$12/1000,0)</f>
        <v>0</v>
      </c>
      <c r="BH312" s="31" t="n">
        <f aca="false">ROUNDDOWN(J312*設定!$B$13/1000,0)</f>
        <v>0</v>
      </c>
      <c r="BI312" s="31" t="n">
        <f aca="false">ROUNDDOWN(J312*設定!$C$13/1000,0)</f>
        <v>0</v>
      </c>
      <c r="BJ312" s="31" t="n">
        <f aca="false">ROUNDDOWN(K312*設定!$B$14/1000,0)</f>
        <v>0</v>
      </c>
      <c r="BK312" s="31" t="n">
        <f aca="false">ROUNDDOWN(K312*設定!$C$14/1000,0)</f>
        <v>0</v>
      </c>
      <c r="BL312" s="31" t="n">
        <f aca="false">ROUNDDOWN(J312*設定!$B$15/1000,0)</f>
        <v>0</v>
      </c>
      <c r="BM312" s="31" t="n">
        <f aca="false">ROUNDDOWN(J312*設定!$C$15/1000,0)</f>
        <v>0</v>
      </c>
      <c r="BN312" s="31" t="n">
        <f aca="false">L312+M312</f>
        <v>0</v>
      </c>
      <c r="BO312" s="31" t="n">
        <f aca="false">N312+O312+P312</f>
        <v>481562</v>
      </c>
      <c r="BP312" s="31" t="n">
        <f aca="false">Q312</f>
        <v>0</v>
      </c>
      <c r="BQ312" s="31" t="n">
        <f aca="false">R312</f>
        <v>261626</v>
      </c>
      <c r="BR312" s="31" t="n">
        <f aca="false">S312</f>
        <v>0</v>
      </c>
      <c r="BS312" s="31" t="n">
        <f aca="false">T312</f>
        <v>21251</v>
      </c>
      <c r="BT312" s="31" t="n">
        <f aca="false">U312</f>
        <v>0</v>
      </c>
      <c r="BU312" s="31" t="n">
        <f aca="false">V312</f>
        <v>5796</v>
      </c>
      <c r="BV312" s="32" t="n">
        <f aca="false">IF(BF312=0,IF(BN312=0,0,1),(BN312-BF312)/BF312)</f>
        <v>0</v>
      </c>
      <c r="BW312" s="32" t="n">
        <f aca="false">IF(BG312=0,IF(BO312=0,0,1),(BO312-BG312)/BG312)</f>
        <v>1</v>
      </c>
      <c r="BX312" s="32" t="n">
        <f aca="false">IF(BH312=0,IF(BP312=0,0,1),(BP312-BH312)/BH312)</f>
        <v>0</v>
      </c>
      <c r="BY312" s="32" t="n">
        <f aca="false">IF(BI312=0,IF(BQ312=0,0,1),(BQ312-BI312)/BI312)</f>
        <v>1</v>
      </c>
      <c r="BZ312" s="32" t="n">
        <f aca="false">IF(BJ312=0,IF(BR312=0,0,1),(BR312-BJ312)/BJ312)</f>
        <v>0</v>
      </c>
      <c r="CA312" s="32" t="n">
        <f aca="false">IF(BK312=0,IF(BS312=0,0,1),(BS312-BK312)/BK312)</f>
        <v>1</v>
      </c>
      <c r="CB312" s="32" t="n">
        <f aca="false">IF(BL312=0,IF(BT312=0,0,1),(BT312-BL312)/BL312)</f>
        <v>0</v>
      </c>
      <c r="CC312" s="32" t="n">
        <f aca="false">IF(BM312=0,IF(BU312=0,0,1),(BU312-BM312)/BM312)</f>
        <v>1</v>
      </c>
      <c r="CD312" s="32" t="n">
        <f aca="false">MAX(MAX(BV312:CC312),-MIN(BV312:CC312))</f>
        <v>1</v>
      </c>
      <c r="CE312" s="31" t="n">
        <f aca="false">IF(CI312="","",SUMIFS($CF$7:$CF$696,$A$7:$A$696,CI312,$B$7:$B$696,B312))</f>
        <v>788966</v>
      </c>
      <c r="CF312" s="31" t="n">
        <f aca="false">SUM(AU312:BE312)</f>
        <v>770235</v>
      </c>
      <c r="CG312" s="36" t="str">
        <f aca="false">A312&amp;"|"&amp;B312</f>
        <v>2026-09 月例|バス協調・共創
プラットフォーム</v>
      </c>
      <c r="CH312" s="34" t="str">
        <f aca="false">IFERROR(INDEX(設定!$D$61:$D$106,MATCH(B312,設定!$B$61:$B$106,0)),"Y")</f>
        <v>Y</v>
      </c>
      <c r="CI312" s="34" t="str">
        <f aca="false">IFERROR(INDEX(設定!$D$20:$D$34,MATCH(A312,設定!$A$20:$A$34,0))&amp;"","")</f>
        <v>2026-08 月例</v>
      </c>
    </row>
    <row r="313" customFormat="false" ht="15" hidden="true" customHeight="false" outlineLevel="0" collapsed="false">
      <c r="A313" s="22" t="s">
        <v>213</v>
      </c>
      <c r="B313" s="23" t="s">
        <v>191</v>
      </c>
      <c r="C313" s="10" t="str">
        <f aca="false">IF(G313="","未受領",IF(G313="なし","報告なし",IF(AH313="○","起票済",IF(OR(AG313="○",F313="一致",F313="入金不要"),"入金確認済","受領済"))))</f>
        <v>入金確認済</v>
      </c>
      <c r="D313" s="10" t="str">
        <f aca="false">IF(OR(G313="",G313="なし"),"―",IF(CH313="N","対象外",IF(AND(I313="",J313="",K313=""),"標報未入力",IF(CD313&gt;=設定!$B$4,"要確認","問題なし"))))</f>
        <v>標報未入力</v>
      </c>
      <c r="E313" s="24" t="str">
        <f aca="false">IF(OR(G313="",G313="なし",CE313="",CF313=0),"―",IF(CF313=CE313,"前月同額",IF(CE313=0,"―",IF(ABS(CF313/CE313-1)&gt;=設定!$B$5,"変動大 "&amp;TEXT(CF313/CE313-1,"+0%;-0%"),"〇"))))</f>
        <v>〇</v>
      </c>
      <c r="F313" s="10" t="str">
        <f aca="false">IF(OR(G313="",G313="なし"),"―",IF(CF313=0,"入金不要",IF(COUNT(Z313,AB313,AD313,AF313)=0,IF(AG313="○","手動確認","未入金"),IF(AND(N(Z313)=Y313,IF(AA313="",TRUE(),N(AB313)=AA313),IF(AC313="",TRUE(),N(AD313)=AC313),IF(AE313="",TRUE(),N(AF313)=AE313)),"一致","不一致"))))</f>
        <v>手動確認</v>
      </c>
      <c r="G313" s="25" t="s">
        <v>159</v>
      </c>
      <c r="H313" s="26"/>
      <c r="I313" s="27"/>
      <c r="J313" s="27"/>
      <c r="K313" s="27"/>
      <c r="L313" s="27" t="n">
        <v>53985</v>
      </c>
      <c r="M313" s="27" t="n">
        <v>4425</v>
      </c>
      <c r="N313" s="27" t="n">
        <v>53985</v>
      </c>
      <c r="O313" s="27" t="n">
        <v>4425</v>
      </c>
      <c r="P313" s="27" t="n">
        <v>51</v>
      </c>
      <c r="Q313" s="27" t="n">
        <v>30597</v>
      </c>
      <c r="R313" s="27" t="n">
        <v>30626</v>
      </c>
      <c r="S313" s="27" t="n">
        <v>4661</v>
      </c>
      <c r="T313" s="27" t="n">
        <v>4661</v>
      </c>
      <c r="U313" s="27" t="n">
        <v>678</v>
      </c>
      <c r="V313" s="27" t="n">
        <v>678</v>
      </c>
      <c r="W313" s="10" t="str">
        <f aca="false">IFERROR(INDEX(設定!$E$61:$E$106,MATCH(B313,設定!$B$61:$B$106,0)),"合算")</f>
        <v>合算</v>
      </c>
      <c r="X313" s="28"/>
      <c r="Y313" s="29" t="n">
        <f aca="false">IF(OR(G313="",G313="なし"),"",IF(W313="合算",CF313,IF(W313="掛金・負担金別",(AU313+AV313+AZ313+BB313+BD313),SUM(AU313:AY313))))</f>
        <v>188772</v>
      </c>
      <c r="Z313" s="27"/>
      <c r="AA313" s="29" t="str">
        <f aca="false">IF(OR(G313="",G313="なし"),"",IF(W313="掛金・負担金別",(AW313+AX313+AY313+BA313+BC313+BE313),IF(W313="経理区分別",AZ313+BA313,"")))</f>
        <v/>
      </c>
      <c r="AB313" s="27"/>
      <c r="AC313" s="29" t="str">
        <f aca="false">IF(OR(G313="",G313="なし"),"",IF(W313="経理区分別",BB313+BC313,""))</f>
        <v/>
      </c>
      <c r="AD313" s="27"/>
      <c r="AE313" s="29" t="str">
        <f aca="false">IF(OR(G313="",G313="なし"),"",IF(W313="経理区分別",BD313+BE313,""))</f>
        <v/>
      </c>
      <c r="AF313" s="27"/>
      <c r="AG313" s="26" t="s">
        <v>160</v>
      </c>
      <c r="AH313" s="26"/>
      <c r="AI313" s="30"/>
      <c r="AJ313" s="31"/>
      <c r="AK313" s="31"/>
      <c r="AL313" s="31"/>
      <c r="AM313" s="31"/>
      <c r="AN313" s="31"/>
      <c r="AO313" s="31"/>
      <c r="AP313" s="31"/>
      <c r="AQ313" s="31"/>
      <c r="AR313" s="31"/>
      <c r="AS313" s="31"/>
      <c r="AT313" s="31"/>
      <c r="AU313" s="31" t="n">
        <f aca="false">IF($G313="",AJ313,L313)</f>
        <v>53985</v>
      </c>
      <c r="AV313" s="31" t="n">
        <f aca="false">IF($G313="",AK313,M313)</f>
        <v>4425</v>
      </c>
      <c r="AW313" s="31" t="n">
        <f aca="false">IF($G313="",AL313,N313)</f>
        <v>53985</v>
      </c>
      <c r="AX313" s="31" t="n">
        <f aca="false">IF($G313="",AM313,O313)</f>
        <v>4425</v>
      </c>
      <c r="AY313" s="31" t="n">
        <f aca="false">IF($G313="",AN313,P313)</f>
        <v>51</v>
      </c>
      <c r="AZ313" s="31" t="n">
        <f aca="false">IF($G313="",AO313,Q313)</f>
        <v>30597</v>
      </c>
      <c r="BA313" s="31" t="n">
        <f aca="false">IF($G313="",AP313,R313)</f>
        <v>30626</v>
      </c>
      <c r="BB313" s="31" t="n">
        <f aca="false">IF($G313="",AQ313,S313)</f>
        <v>4661</v>
      </c>
      <c r="BC313" s="31" t="n">
        <f aca="false">IF($G313="",AR313,T313)</f>
        <v>4661</v>
      </c>
      <c r="BD313" s="31" t="n">
        <f aca="false">IF($G313="",AS313,U313)</f>
        <v>678</v>
      </c>
      <c r="BE313" s="31" t="n">
        <f aca="false">IF($G313="",AT313,V313)</f>
        <v>678</v>
      </c>
      <c r="BF313" s="31" t="n">
        <f aca="false">ROUNDDOWN(I313*設定!$B$10/1000,0)+ROUNDDOWN(I313*設定!$B$11/1000,0)</f>
        <v>0</v>
      </c>
      <c r="BG313" s="31" t="n">
        <f aca="false">ROUNDDOWN(I313*設定!$C$10/1000,0)+ROUNDDOWN(I313*設定!$C$11/1000,0)+ROUNDDOWN(I313*設定!$C$12/1000,0)</f>
        <v>0</v>
      </c>
      <c r="BH313" s="31" t="n">
        <f aca="false">ROUNDDOWN(J313*設定!$B$13/1000,0)</f>
        <v>0</v>
      </c>
      <c r="BI313" s="31" t="n">
        <f aca="false">ROUNDDOWN(J313*設定!$C$13/1000,0)</f>
        <v>0</v>
      </c>
      <c r="BJ313" s="31" t="n">
        <f aca="false">ROUNDDOWN(K313*設定!$B$14/1000,0)</f>
        <v>0</v>
      </c>
      <c r="BK313" s="31" t="n">
        <f aca="false">ROUNDDOWN(K313*設定!$C$14/1000,0)</f>
        <v>0</v>
      </c>
      <c r="BL313" s="31" t="n">
        <f aca="false">ROUNDDOWN(J313*設定!$B$15/1000,0)</f>
        <v>0</v>
      </c>
      <c r="BM313" s="31" t="n">
        <f aca="false">ROUNDDOWN(J313*設定!$C$15/1000,0)</f>
        <v>0</v>
      </c>
      <c r="BN313" s="31" t="n">
        <f aca="false">L313+M313</f>
        <v>58410</v>
      </c>
      <c r="BO313" s="31" t="n">
        <f aca="false">N313+O313+P313</f>
        <v>58461</v>
      </c>
      <c r="BP313" s="31" t="n">
        <f aca="false">Q313</f>
        <v>30597</v>
      </c>
      <c r="BQ313" s="31" t="n">
        <f aca="false">R313</f>
        <v>30626</v>
      </c>
      <c r="BR313" s="31" t="n">
        <f aca="false">S313</f>
        <v>4661</v>
      </c>
      <c r="BS313" s="31" t="n">
        <f aca="false">T313</f>
        <v>4661</v>
      </c>
      <c r="BT313" s="31" t="n">
        <f aca="false">U313</f>
        <v>678</v>
      </c>
      <c r="BU313" s="31" t="n">
        <f aca="false">V313</f>
        <v>678</v>
      </c>
      <c r="BV313" s="32" t="n">
        <f aca="false">IF(BF313=0,IF(BN313=0,0,1),(BN313-BF313)/BF313)</f>
        <v>1</v>
      </c>
      <c r="BW313" s="32" t="n">
        <f aca="false">IF(BG313=0,IF(BO313=0,0,1),(BO313-BG313)/BG313)</f>
        <v>1</v>
      </c>
      <c r="BX313" s="32" t="n">
        <f aca="false">IF(BH313=0,IF(BP313=0,0,1),(BP313-BH313)/BH313)</f>
        <v>1</v>
      </c>
      <c r="BY313" s="32" t="n">
        <f aca="false">IF(BI313=0,IF(BQ313=0,0,1),(BQ313-BI313)/BI313)</f>
        <v>1</v>
      </c>
      <c r="BZ313" s="32" t="n">
        <f aca="false">IF(BJ313=0,IF(BR313=0,0,1),(BR313-BJ313)/BJ313)</f>
        <v>1</v>
      </c>
      <c r="CA313" s="32" t="n">
        <f aca="false">IF(BK313=0,IF(BS313=0,0,1),(BS313-BK313)/BK313)</f>
        <v>1</v>
      </c>
      <c r="CB313" s="32" t="n">
        <f aca="false">IF(BL313=0,IF(BT313=0,0,1),(BT313-BL313)/BL313)</f>
        <v>1</v>
      </c>
      <c r="CC313" s="32" t="n">
        <f aca="false">IF(BM313=0,IF(BU313=0,0,1),(BU313-BM313)/BM313)</f>
        <v>1</v>
      </c>
      <c r="CD313" s="32" t="n">
        <f aca="false">MAX(MAX(BV313:CC313),-MIN(BV313:CC313))</f>
        <v>1</v>
      </c>
      <c r="CE313" s="31" t="n">
        <f aca="false">IF(CI313="","",SUMIFS($CF$7:$CF$696,$A$7:$A$696,CI313,$B$7:$B$696,B313))</f>
        <v>198372</v>
      </c>
      <c r="CF313" s="31" t="n">
        <f aca="false">SUM(AU313:BE313)</f>
        <v>188772</v>
      </c>
      <c r="CG313" s="33" t="str">
        <f aca="false">A313&amp;"|"&amp;B313</f>
        <v>2026-09 月例|広島県市長会</v>
      </c>
      <c r="CH313" s="34" t="str">
        <f aca="false">IFERROR(INDEX(設定!$D$61:$D$106,MATCH(B313,設定!$B$61:$B$106,0)),"Y")</f>
        <v>Y</v>
      </c>
      <c r="CI313" s="34" t="str">
        <f aca="false">IFERROR(INDEX(設定!$D$20:$D$34,MATCH(A313,設定!$A$20:$A$34,0))&amp;"","")</f>
        <v>2026-08 月例</v>
      </c>
    </row>
    <row r="314" customFormat="false" ht="15" hidden="true" customHeight="false" outlineLevel="0" collapsed="false">
      <c r="A314" s="22" t="s">
        <v>213</v>
      </c>
      <c r="B314" s="23" t="s">
        <v>192</v>
      </c>
      <c r="C314" s="10" t="str">
        <f aca="false">IF(G314="","未受領",IF(G314="なし","報告なし",IF(AH314="○","起票済",IF(OR(AG314="○",F314="一致",F314="入金不要"),"入金確認済","受領済"))))</f>
        <v>入金確認済</v>
      </c>
      <c r="D314" s="10" t="str">
        <f aca="false">IF(OR(G314="",G314="なし"),"―",IF(CH314="N","対象外",IF(AND(I314="",J314="",K314=""),"標報未入力",IF(CD314&gt;=設定!$B$4,"要確認","問題なし"))))</f>
        <v>標報未入力</v>
      </c>
      <c r="E314" s="24" t="str">
        <f aca="false">IF(OR(G314="",G314="なし",CE314="",CF314=0),"―",IF(CF314=CE314,"前月同額",IF(CE314=0,"―",IF(ABS(CF314/CE314-1)&gt;=設定!$B$5,"変動大 "&amp;TEXT(CF314/CE314-1,"+0%;-0%"),"〇"))))</f>
        <v>〇</v>
      </c>
      <c r="F314" s="10" t="str">
        <f aca="false">IF(OR(G314="",G314="なし"),"―",IF(CF314=0,"入金不要",IF(COUNT(Z314,AB314,AD314,AF314)=0,IF(AG314="○","手動確認","未入金"),IF(AND(N(Z314)=Y314,IF(AA314="",TRUE(),N(AB314)=AA314),IF(AC314="",TRUE(),N(AD314)=AC314),IF(AE314="",TRUE(),N(AF314)=AE314)),"一致","不一致"))))</f>
        <v>手動確認</v>
      </c>
      <c r="G314" s="25" t="s">
        <v>159</v>
      </c>
      <c r="H314" s="26"/>
      <c r="I314" s="27"/>
      <c r="J314" s="27"/>
      <c r="K314" s="27"/>
      <c r="L314" s="27" t="n">
        <v>59475</v>
      </c>
      <c r="M314" s="27" t="n">
        <v>4875</v>
      </c>
      <c r="N314" s="27" t="n">
        <v>59475</v>
      </c>
      <c r="O314" s="27" t="n">
        <v>4875</v>
      </c>
      <c r="P314" s="27" t="n">
        <v>56</v>
      </c>
      <c r="Q314" s="27" t="n">
        <v>36820</v>
      </c>
      <c r="R314" s="27" t="n">
        <v>36856</v>
      </c>
      <c r="S314" s="27" t="n">
        <v>5609</v>
      </c>
      <c r="T314" s="27" t="n">
        <v>5609</v>
      </c>
      <c r="U314" s="27" t="n">
        <v>816</v>
      </c>
      <c r="V314" s="27" t="n">
        <v>816</v>
      </c>
      <c r="W314" s="10" t="str">
        <f aca="false">IFERROR(INDEX(設定!$E$61:$E$106,MATCH(B314,設定!$B$61:$B$106,0)),"合算")</f>
        <v>合算</v>
      </c>
      <c r="X314" s="28"/>
      <c r="Y314" s="29" t="n">
        <f aca="false">IF(OR(G314="",G314="なし"),"",IF(W314="合算",CF314,IF(W314="掛金・負担金別",(AU314+AV314+AZ314+BB314+BD314),SUM(AU314:AY314))))</f>
        <v>215282</v>
      </c>
      <c r="Z314" s="27"/>
      <c r="AA314" s="29" t="str">
        <f aca="false">IF(OR(G314="",G314="なし"),"",IF(W314="掛金・負担金別",(AW314+AX314+AY314+BA314+BC314+BE314),IF(W314="経理区分別",AZ314+BA314,"")))</f>
        <v/>
      </c>
      <c r="AB314" s="27"/>
      <c r="AC314" s="29" t="str">
        <f aca="false">IF(OR(G314="",G314="なし"),"",IF(W314="経理区分別",BB314+BC314,""))</f>
        <v/>
      </c>
      <c r="AD314" s="27"/>
      <c r="AE314" s="29" t="str">
        <f aca="false">IF(OR(G314="",G314="なし"),"",IF(W314="経理区分別",BD314+BE314,""))</f>
        <v/>
      </c>
      <c r="AF314" s="27"/>
      <c r="AG314" s="26" t="s">
        <v>160</v>
      </c>
      <c r="AH314" s="26"/>
      <c r="AI314" s="30"/>
      <c r="AJ314" s="31"/>
      <c r="AK314" s="31"/>
      <c r="AL314" s="31"/>
      <c r="AM314" s="31"/>
      <c r="AN314" s="31"/>
      <c r="AO314" s="31"/>
      <c r="AP314" s="31"/>
      <c r="AQ314" s="31"/>
      <c r="AR314" s="31"/>
      <c r="AS314" s="31"/>
      <c r="AT314" s="31"/>
      <c r="AU314" s="31" t="n">
        <f aca="false">IF($G314="",AJ314,L314)</f>
        <v>59475</v>
      </c>
      <c r="AV314" s="31" t="n">
        <f aca="false">IF($G314="",AK314,M314)</f>
        <v>4875</v>
      </c>
      <c r="AW314" s="31" t="n">
        <f aca="false">IF($G314="",AL314,N314)</f>
        <v>59475</v>
      </c>
      <c r="AX314" s="31" t="n">
        <f aca="false">IF($G314="",AM314,O314)</f>
        <v>4875</v>
      </c>
      <c r="AY314" s="31" t="n">
        <f aca="false">IF($G314="",AN314,P314)</f>
        <v>56</v>
      </c>
      <c r="AZ314" s="31" t="n">
        <f aca="false">IF($G314="",AO314,Q314)</f>
        <v>36820</v>
      </c>
      <c r="BA314" s="31" t="n">
        <f aca="false">IF($G314="",AP314,R314)</f>
        <v>36856</v>
      </c>
      <c r="BB314" s="31" t="n">
        <f aca="false">IF($G314="",AQ314,S314)</f>
        <v>5609</v>
      </c>
      <c r="BC314" s="31" t="n">
        <f aca="false">IF($G314="",AR314,T314)</f>
        <v>5609</v>
      </c>
      <c r="BD314" s="31" t="n">
        <f aca="false">IF($G314="",AS314,U314)</f>
        <v>816</v>
      </c>
      <c r="BE314" s="31" t="n">
        <f aca="false">IF($G314="",AT314,V314)</f>
        <v>816</v>
      </c>
      <c r="BF314" s="31" t="n">
        <f aca="false">ROUNDDOWN(I314*設定!$B$10/1000,0)+ROUNDDOWN(I314*設定!$B$11/1000,0)</f>
        <v>0</v>
      </c>
      <c r="BG314" s="31" t="n">
        <f aca="false">ROUNDDOWN(I314*設定!$C$10/1000,0)+ROUNDDOWN(I314*設定!$C$11/1000,0)+ROUNDDOWN(I314*設定!$C$12/1000,0)</f>
        <v>0</v>
      </c>
      <c r="BH314" s="31" t="n">
        <f aca="false">ROUNDDOWN(J314*設定!$B$13/1000,0)</f>
        <v>0</v>
      </c>
      <c r="BI314" s="31" t="n">
        <f aca="false">ROUNDDOWN(J314*設定!$C$13/1000,0)</f>
        <v>0</v>
      </c>
      <c r="BJ314" s="31" t="n">
        <f aca="false">ROUNDDOWN(K314*設定!$B$14/1000,0)</f>
        <v>0</v>
      </c>
      <c r="BK314" s="31" t="n">
        <f aca="false">ROUNDDOWN(K314*設定!$C$14/1000,0)</f>
        <v>0</v>
      </c>
      <c r="BL314" s="31" t="n">
        <f aca="false">ROUNDDOWN(J314*設定!$B$15/1000,0)</f>
        <v>0</v>
      </c>
      <c r="BM314" s="31" t="n">
        <f aca="false">ROUNDDOWN(J314*設定!$C$15/1000,0)</f>
        <v>0</v>
      </c>
      <c r="BN314" s="31" t="n">
        <f aca="false">L314+M314</f>
        <v>64350</v>
      </c>
      <c r="BO314" s="31" t="n">
        <f aca="false">N314+O314+P314</f>
        <v>64406</v>
      </c>
      <c r="BP314" s="31" t="n">
        <f aca="false">Q314</f>
        <v>36820</v>
      </c>
      <c r="BQ314" s="31" t="n">
        <f aca="false">R314</f>
        <v>36856</v>
      </c>
      <c r="BR314" s="31" t="n">
        <f aca="false">S314</f>
        <v>5609</v>
      </c>
      <c r="BS314" s="31" t="n">
        <f aca="false">T314</f>
        <v>5609</v>
      </c>
      <c r="BT314" s="31" t="n">
        <f aca="false">U314</f>
        <v>816</v>
      </c>
      <c r="BU314" s="31" t="n">
        <f aca="false">V314</f>
        <v>816</v>
      </c>
      <c r="BV314" s="32" t="n">
        <f aca="false">IF(BF314=0,IF(BN314=0,0,1),(BN314-BF314)/BF314)</f>
        <v>1</v>
      </c>
      <c r="BW314" s="32" t="n">
        <f aca="false">IF(BG314=0,IF(BO314=0,0,1),(BO314-BG314)/BG314)</f>
        <v>1</v>
      </c>
      <c r="BX314" s="32" t="n">
        <f aca="false">IF(BH314=0,IF(BP314=0,0,1),(BP314-BH314)/BH314)</f>
        <v>1</v>
      </c>
      <c r="BY314" s="32" t="n">
        <f aca="false">IF(BI314=0,IF(BQ314=0,0,1),(BQ314-BI314)/BI314)</f>
        <v>1</v>
      </c>
      <c r="BZ314" s="32" t="n">
        <f aca="false">IF(BJ314=0,IF(BR314=0,0,1),(BR314-BJ314)/BJ314)</f>
        <v>1</v>
      </c>
      <c r="CA314" s="32" t="n">
        <f aca="false">IF(BK314=0,IF(BS314=0,0,1),(BS314-BK314)/BK314)</f>
        <v>1</v>
      </c>
      <c r="CB314" s="32" t="n">
        <f aca="false">IF(BL314=0,IF(BT314=0,0,1),(BT314-BL314)/BL314)</f>
        <v>1</v>
      </c>
      <c r="CC314" s="32" t="n">
        <f aca="false">IF(BM314=0,IF(BU314=0,0,1),(BU314-BM314)/BM314)</f>
        <v>1</v>
      </c>
      <c r="CD314" s="32" t="n">
        <f aca="false">MAX(MAX(BV314:CC314),-MIN(BV314:CC314))</f>
        <v>1</v>
      </c>
      <c r="CE314" s="31" t="n">
        <f aca="false">IF(CI314="","",SUMIFS($CF$7:$CF$696,$A$7:$A$696,CI314,$B$7:$B$696,B314))</f>
        <v>220157</v>
      </c>
      <c r="CF314" s="31" t="n">
        <f aca="false">SUM(AU314:BE314)</f>
        <v>215282</v>
      </c>
      <c r="CG314" s="33" t="str">
        <f aca="false">A314&amp;"|"&amp;B314</f>
        <v>2026-09 月例|全国市町村研修財団</v>
      </c>
      <c r="CH314" s="34" t="str">
        <f aca="false">IFERROR(INDEX(設定!$D$61:$D$106,MATCH(B314,設定!$B$61:$B$106,0)),"Y")</f>
        <v>Y</v>
      </c>
      <c r="CI314" s="34" t="str">
        <f aca="false">IFERROR(INDEX(設定!$D$20:$D$34,MATCH(A314,設定!$A$20:$A$34,0))&amp;"","")</f>
        <v>2026-08 月例</v>
      </c>
    </row>
    <row r="315" customFormat="false" ht="15" hidden="true" customHeight="false" outlineLevel="0" collapsed="false">
      <c r="A315" s="22" t="s">
        <v>213</v>
      </c>
      <c r="B315" s="23" t="s">
        <v>193</v>
      </c>
      <c r="C315" s="10" t="str">
        <f aca="false">IF(G315="","未受領",IF(G315="なし","報告なし",IF(AH315="○","起票済",IF(OR(AG315="○",F315="一致",F315="入金不要"),"入金確認済","受領済"))))</f>
        <v>入金確認済</v>
      </c>
      <c r="D315" s="10" t="str">
        <f aca="false">IF(OR(G315="",G315="なし"),"―",IF(CH315="N","対象外",IF(AND(I315="",J315="",K315=""),"標報未入力",IF(CD315&gt;=設定!$B$4,"要確認","問題なし"))))</f>
        <v>標報未入力</v>
      </c>
      <c r="E315" s="24" t="str">
        <f aca="false">IF(OR(G315="",G315="なし",CE315="",CF315=0),"―",IF(CF315=CE315,"前月同額",IF(CE315=0,"―",IF(ABS(CF315/CE315-1)&gt;=設定!$B$5,"変動大 "&amp;TEXT(CF315/CE315-1,"+0%;-0%"),"〇"))))</f>
        <v>前月同額</v>
      </c>
      <c r="F315" s="10" t="str">
        <f aca="false">IF(OR(G315="",G315="なし"),"―",IF(CF315=0,"入金不要",IF(COUNT(Z315,AB315,AD315,AF315)=0,IF(AG315="○","手動確認","未入金"),IF(AND(N(Z315)=Y315,IF(AA315="",TRUE(),N(AB315)=AA315),IF(AC315="",TRUE(),N(AD315)=AC315),IF(AE315="",TRUE(),N(AF315)=AE315)),"一致","不一致"))))</f>
        <v>手動確認</v>
      </c>
      <c r="G315" s="25" t="s">
        <v>159</v>
      </c>
      <c r="H315" s="26"/>
      <c r="I315" s="27"/>
      <c r="J315" s="27"/>
      <c r="K315" s="27"/>
      <c r="L315" s="27" t="n">
        <v>45750</v>
      </c>
      <c r="M315" s="27" t="n">
        <v>3750</v>
      </c>
      <c r="N315" s="27" t="n">
        <v>45750</v>
      </c>
      <c r="O315" s="27" t="n">
        <v>3750</v>
      </c>
      <c r="P315" s="27" t="n">
        <v>43</v>
      </c>
      <c r="Q315" s="27" t="n">
        <v>25930</v>
      </c>
      <c r="R315" s="27" t="n">
        <v>25955</v>
      </c>
      <c r="S315" s="27" t="n">
        <v>0</v>
      </c>
      <c r="T315" s="27" t="n">
        <v>0</v>
      </c>
      <c r="U315" s="27" t="n">
        <v>575</v>
      </c>
      <c r="V315" s="27" t="n">
        <v>575</v>
      </c>
      <c r="W315" s="10" t="str">
        <f aca="false">IFERROR(INDEX(設定!$E$61:$E$106,MATCH(B315,設定!$B$61:$B$106,0)),"合算")</f>
        <v>合算</v>
      </c>
      <c r="X315" s="28"/>
      <c r="Y315" s="29" t="n">
        <f aca="false">IF(OR(G315="",G315="なし"),"",IF(W315="合算",CF315,IF(W315="掛金・負担金別",(AU315+AV315+AZ315+BB315+BD315),SUM(AU315:AY315))))</f>
        <v>152078</v>
      </c>
      <c r="Z315" s="27"/>
      <c r="AA315" s="29" t="str">
        <f aca="false">IF(OR(G315="",G315="なし"),"",IF(W315="掛金・負担金別",(AW315+AX315+AY315+BA315+BC315+BE315),IF(W315="経理区分別",AZ315+BA315,"")))</f>
        <v/>
      </c>
      <c r="AB315" s="27"/>
      <c r="AC315" s="29" t="str">
        <f aca="false">IF(OR(G315="",G315="なし"),"",IF(W315="経理区分別",BB315+BC315,""))</f>
        <v/>
      </c>
      <c r="AD315" s="27"/>
      <c r="AE315" s="29" t="str">
        <f aca="false">IF(OR(G315="",G315="なし"),"",IF(W315="経理区分別",BD315+BE315,""))</f>
        <v/>
      </c>
      <c r="AF315" s="27"/>
      <c r="AG315" s="26" t="s">
        <v>160</v>
      </c>
      <c r="AH315" s="26"/>
      <c r="AI315" s="30"/>
      <c r="AJ315" s="31"/>
      <c r="AK315" s="31"/>
      <c r="AL315" s="31"/>
      <c r="AM315" s="31"/>
      <c r="AN315" s="31"/>
      <c r="AO315" s="31"/>
      <c r="AP315" s="31"/>
      <c r="AQ315" s="31"/>
      <c r="AR315" s="31"/>
      <c r="AS315" s="31"/>
      <c r="AT315" s="31"/>
      <c r="AU315" s="31" t="n">
        <f aca="false">IF($G315="",AJ315,L315)</f>
        <v>45750</v>
      </c>
      <c r="AV315" s="31" t="n">
        <f aca="false">IF($G315="",AK315,M315)</f>
        <v>3750</v>
      </c>
      <c r="AW315" s="31" t="n">
        <f aca="false">IF($G315="",AL315,N315)</f>
        <v>45750</v>
      </c>
      <c r="AX315" s="31" t="n">
        <f aca="false">IF($G315="",AM315,O315)</f>
        <v>3750</v>
      </c>
      <c r="AY315" s="31" t="n">
        <f aca="false">IF($G315="",AN315,P315)</f>
        <v>43</v>
      </c>
      <c r="AZ315" s="31" t="n">
        <f aca="false">IF($G315="",AO315,Q315)</f>
        <v>25930</v>
      </c>
      <c r="BA315" s="31" t="n">
        <f aca="false">IF($G315="",AP315,R315)</f>
        <v>25955</v>
      </c>
      <c r="BB315" s="31" t="n">
        <f aca="false">IF($G315="",AQ315,S315)</f>
        <v>0</v>
      </c>
      <c r="BC315" s="31" t="n">
        <f aca="false">IF($G315="",AR315,T315)</f>
        <v>0</v>
      </c>
      <c r="BD315" s="31" t="n">
        <f aca="false">IF($G315="",AS315,U315)</f>
        <v>575</v>
      </c>
      <c r="BE315" s="31" t="n">
        <f aca="false">IF($G315="",AT315,V315)</f>
        <v>575</v>
      </c>
      <c r="BF315" s="31" t="n">
        <f aca="false">ROUNDDOWN(I315*設定!$B$10/1000,0)+ROUNDDOWN(I315*設定!$B$11/1000,0)</f>
        <v>0</v>
      </c>
      <c r="BG315" s="31" t="n">
        <f aca="false">ROUNDDOWN(I315*設定!$C$10/1000,0)+ROUNDDOWN(I315*設定!$C$11/1000,0)+ROUNDDOWN(I315*設定!$C$12/1000,0)</f>
        <v>0</v>
      </c>
      <c r="BH315" s="31" t="n">
        <f aca="false">ROUNDDOWN(J315*設定!$B$13/1000,0)</f>
        <v>0</v>
      </c>
      <c r="BI315" s="31" t="n">
        <f aca="false">ROUNDDOWN(J315*設定!$C$13/1000,0)</f>
        <v>0</v>
      </c>
      <c r="BJ315" s="31" t="n">
        <f aca="false">ROUNDDOWN(K315*設定!$B$14/1000,0)</f>
        <v>0</v>
      </c>
      <c r="BK315" s="31" t="n">
        <f aca="false">ROUNDDOWN(K315*設定!$C$14/1000,0)</f>
        <v>0</v>
      </c>
      <c r="BL315" s="31" t="n">
        <f aca="false">ROUNDDOWN(J315*設定!$B$15/1000,0)</f>
        <v>0</v>
      </c>
      <c r="BM315" s="31" t="n">
        <f aca="false">ROUNDDOWN(J315*設定!$C$15/1000,0)</f>
        <v>0</v>
      </c>
      <c r="BN315" s="31" t="n">
        <f aca="false">L315+M315</f>
        <v>49500</v>
      </c>
      <c r="BO315" s="31" t="n">
        <f aca="false">N315+O315+P315</f>
        <v>49543</v>
      </c>
      <c r="BP315" s="31" t="n">
        <f aca="false">Q315</f>
        <v>25930</v>
      </c>
      <c r="BQ315" s="31" t="n">
        <f aca="false">R315</f>
        <v>25955</v>
      </c>
      <c r="BR315" s="31" t="n">
        <f aca="false">S315</f>
        <v>0</v>
      </c>
      <c r="BS315" s="31" t="n">
        <f aca="false">T315</f>
        <v>0</v>
      </c>
      <c r="BT315" s="31" t="n">
        <f aca="false">U315</f>
        <v>575</v>
      </c>
      <c r="BU315" s="31" t="n">
        <f aca="false">V315</f>
        <v>575</v>
      </c>
      <c r="BV315" s="32" t="n">
        <f aca="false">IF(BF315=0,IF(BN315=0,0,1),(BN315-BF315)/BF315)</f>
        <v>1</v>
      </c>
      <c r="BW315" s="32" t="n">
        <f aca="false">IF(BG315=0,IF(BO315=0,0,1),(BO315-BG315)/BG315)</f>
        <v>1</v>
      </c>
      <c r="BX315" s="32" t="n">
        <f aca="false">IF(BH315=0,IF(BP315=0,0,1),(BP315-BH315)/BH315)</f>
        <v>1</v>
      </c>
      <c r="BY315" s="32" t="n">
        <f aca="false">IF(BI315=0,IF(BQ315=0,0,1),(BQ315-BI315)/BI315)</f>
        <v>1</v>
      </c>
      <c r="BZ315" s="32" t="n">
        <f aca="false">IF(BJ315=0,IF(BR315=0,0,1),(BR315-BJ315)/BJ315)</f>
        <v>0</v>
      </c>
      <c r="CA315" s="32" t="n">
        <f aca="false">IF(BK315=0,IF(BS315=0,0,1),(BS315-BK315)/BK315)</f>
        <v>0</v>
      </c>
      <c r="CB315" s="32" t="n">
        <f aca="false">IF(BL315=0,IF(BT315=0,0,1),(BT315-BL315)/BL315)</f>
        <v>1</v>
      </c>
      <c r="CC315" s="32" t="n">
        <f aca="false">IF(BM315=0,IF(BU315=0,0,1),(BU315-BM315)/BM315)</f>
        <v>1</v>
      </c>
      <c r="CD315" s="32" t="n">
        <f aca="false">MAX(MAX(BV315:CC315),-MIN(BV315:CC315))</f>
        <v>1</v>
      </c>
      <c r="CE315" s="31" t="n">
        <f aca="false">IF(CI315="","",SUMIFS($CF$7:$CF$696,$A$7:$A$696,CI315,$B$7:$B$696,B315))</f>
        <v>152078</v>
      </c>
      <c r="CF315" s="31" t="n">
        <f aca="false">SUM(AU315:BE315)</f>
        <v>152078</v>
      </c>
      <c r="CG315" s="33" t="str">
        <f aca="false">A315&amp;"|"&amp;B315</f>
        <v>2026-09 月例|都市再生機構</v>
      </c>
      <c r="CH315" s="34" t="str">
        <f aca="false">IFERROR(INDEX(設定!$D$61:$D$106,MATCH(B315,設定!$B$61:$B$106,0)),"Y")</f>
        <v>Y</v>
      </c>
      <c r="CI315" s="34" t="str">
        <f aca="false">IFERROR(INDEX(設定!$D$20:$D$34,MATCH(A315,設定!$A$20:$A$34,0))&amp;"","")</f>
        <v>2026-08 月例</v>
      </c>
    </row>
    <row r="316" customFormat="false" ht="15" hidden="true" customHeight="false" outlineLevel="0" collapsed="false">
      <c r="A316" s="22" t="s">
        <v>213</v>
      </c>
      <c r="B316" s="23" t="s">
        <v>194</v>
      </c>
      <c r="C316" s="10" t="str">
        <f aca="false">IF(G316="","未受領",IF(G316="なし","報告なし",IF(AH316="○","起票済",IF(OR(AG316="○",F316="一致",F316="入金不要"),"入金確認済","受領済"))))</f>
        <v>入金確認済</v>
      </c>
      <c r="D316" s="10" t="str">
        <f aca="false">IF(OR(G316="",G316="なし"),"―",IF(CH316="N","対象外",IF(AND(I316="",J316="",K316=""),"標報未入力",IF(CD316&gt;=設定!$B$4,"要確認","問題なし"))))</f>
        <v>標報未入力</v>
      </c>
      <c r="E316" s="24" t="str">
        <f aca="false">IF(OR(G316="",G316="なし",CE316="",CF316=0),"―",IF(CF316=CE316,"前月同額",IF(CE316=0,"―",IF(ABS(CF316/CE316-1)&gt;=設定!$B$5,"変動大 "&amp;TEXT(CF316/CE316-1,"+0%;-0%"),"〇"))))</f>
        <v>〇</v>
      </c>
      <c r="F316" s="10" t="str">
        <f aca="false">IF(OR(G316="",G316="なし"),"―",IF(CF316=0,"入金不要",IF(COUNT(Z316,AB316,AD316,AF316)=0,IF(AG316="○","手動確認","未入金"),IF(AND(N(Z316)=Y316,IF(AA316="",TRUE(),N(AB316)=AA316),IF(AC316="",TRUE(),N(AD316)=AC316),IF(AE316="",TRUE(),N(AF316)=AE316)),"一致","不一致"))))</f>
        <v>手動確認</v>
      </c>
      <c r="G316" s="25" t="s">
        <v>159</v>
      </c>
      <c r="H316" s="26"/>
      <c r="I316" s="27"/>
      <c r="J316" s="27"/>
      <c r="K316" s="27"/>
      <c r="L316" s="27" t="n">
        <v>1236165</v>
      </c>
      <c r="M316" s="27" t="n">
        <v>101325</v>
      </c>
      <c r="N316" s="27" t="n">
        <v>1236165</v>
      </c>
      <c r="O316" s="27" t="n">
        <v>101325</v>
      </c>
      <c r="P316" s="27" t="n">
        <v>1241</v>
      </c>
      <c r="Q316" s="27" t="n">
        <v>702171</v>
      </c>
      <c r="R316" s="27" t="n">
        <v>702901</v>
      </c>
      <c r="S316" s="27" t="n">
        <v>80185</v>
      </c>
      <c r="T316" s="27" t="n">
        <v>80185</v>
      </c>
      <c r="U316" s="27" t="n">
        <v>15566</v>
      </c>
      <c r="V316" s="27" t="n">
        <v>15571</v>
      </c>
      <c r="W316" s="10" t="str">
        <f aca="false">IFERROR(INDEX(設定!$E$61:$E$106,MATCH(B316,設定!$B$61:$B$106,0)),"合算")</f>
        <v>合算</v>
      </c>
      <c r="X316" s="28"/>
      <c r="Y316" s="29" t="n">
        <f aca="false">IF(OR(G316="",G316="なし"),"",IF(W316="合算",CF316,IF(W316="掛金・負担金別",(AU316+AV316+AZ316+BB316+BD316),SUM(AU316:AY316))))</f>
        <v>4272800</v>
      </c>
      <c r="Z316" s="27"/>
      <c r="AA316" s="29" t="str">
        <f aca="false">IF(OR(G316="",G316="なし"),"",IF(W316="掛金・負担金別",(AW316+AX316+AY316+BA316+BC316+BE316),IF(W316="経理区分別",AZ316+BA316,"")))</f>
        <v/>
      </c>
      <c r="AB316" s="27"/>
      <c r="AC316" s="29" t="str">
        <f aca="false">IF(OR(G316="",G316="なし"),"",IF(W316="経理区分別",BB316+BC316,""))</f>
        <v/>
      </c>
      <c r="AD316" s="27"/>
      <c r="AE316" s="29" t="str">
        <f aca="false">IF(OR(G316="",G316="なし"),"",IF(W316="経理区分別",BD316+BE316,""))</f>
        <v/>
      </c>
      <c r="AF316" s="27"/>
      <c r="AG316" s="26" t="s">
        <v>160</v>
      </c>
      <c r="AH316" s="26"/>
      <c r="AI316" s="30"/>
      <c r="AJ316" s="31"/>
      <c r="AK316" s="31"/>
      <c r="AL316" s="31"/>
      <c r="AM316" s="31"/>
      <c r="AN316" s="31"/>
      <c r="AO316" s="31"/>
      <c r="AP316" s="31"/>
      <c r="AQ316" s="31"/>
      <c r="AR316" s="31"/>
      <c r="AS316" s="31"/>
      <c r="AT316" s="31"/>
      <c r="AU316" s="31" t="n">
        <f aca="false">IF($G316="",AJ316,L316)</f>
        <v>1236165</v>
      </c>
      <c r="AV316" s="31" t="n">
        <f aca="false">IF($G316="",AK316,M316)</f>
        <v>101325</v>
      </c>
      <c r="AW316" s="31" t="n">
        <f aca="false">IF($G316="",AL316,N316)</f>
        <v>1236165</v>
      </c>
      <c r="AX316" s="31" t="n">
        <f aca="false">IF($G316="",AM316,O316)</f>
        <v>101325</v>
      </c>
      <c r="AY316" s="31" t="n">
        <f aca="false">IF($G316="",AN316,P316)</f>
        <v>1241</v>
      </c>
      <c r="AZ316" s="31" t="n">
        <f aca="false">IF($G316="",AO316,Q316)</f>
        <v>702171</v>
      </c>
      <c r="BA316" s="31" t="n">
        <f aca="false">IF($G316="",AP316,R316)</f>
        <v>702901</v>
      </c>
      <c r="BB316" s="31" t="n">
        <f aca="false">IF($G316="",AQ316,S316)</f>
        <v>80185</v>
      </c>
      <c r="BC316" s="31" t="n">
        <f aca="false">IF($G316="",AR316,T316)</f>
        <v>80185</v>
      </c>
      <c r="BD316" s="31" t="n">
        <f aca="false">IF($G316="",AS316,U316)</f>
        <v>15566</v>
      </c>
      <c r="BE316" s="31" t="n">
        <f aca="false">IF($G316="",AT316,V316)</f>
        <v>15571</v>
      </c>
      <c r="BF316" s="31" t="n">
        <f aca="false">ROUNDDOWN(I316*設定!$B$10/1000,0)+ROUNDDOWN(I316*設定!$B$11/1000,0)</f>
        <v>0</v>
      </c>
      <c r="BG316" s="31" t="n">
        <f aca="false">ROUNDDOWN(I316*設定!$C$10/1000,0)+ROUNDDOWN(I316*設定!$C$11/1000,0)+ROUNDDOWN(I316*設定!$C$12/1000,0)</f>
        <v>0</v>
      </c>
      <c r="BH316" s="31" t="n">
        <f aca="false">ROUNDDOWN(J316*設定!$B$13/1000,0)</f>
        <v>0</v>
      </c>
      <c r="BI316" s="31" t="n">
        <f aca="false">ROUNDDOWN(J316*設定!$C$13/1000,0)</f>
        <v>0</v>
      </c>
      <c r="BJ316" s="31" t="n">
        <f aca="false">ROUNDDOWN(K316*設定!$B$14/1000,0)</f>
        <v>0</v>
      </c>
      <c r="BK316" s="31" t="n">
        <f aca="false">ROUNDDOWN(K316*設定!$C$14/1000,0)</f>
        <v>0</v>
      </c>
      <c r="BL316" s="31" t="n">
        <f aca="false">ROUNDDOWN(J316*設定!$B$15/1000,0)</f>
        <v>0</v>
      </c>
      <c r="BM316" s="31" t="n">
        <f aca="false">ROUNDDOWN(J316*設定!$C$15/1000,0)</f>
        <v>0</v>
      </c>
      <c r="BN316" s="31" t="n">
        <f aca="false">L316+M316</f>
        <v>1337490</v>
      </c>
      <c r="BO316" s="31" t="n">
        <f aca="false">N316+O316+P316</f>
        <v>1338731</v>
      </c>
      <c r="BP316" s="31" t="n">
        <f aca="false">Q316</f>
        <v>702171</v>
      </c>
      <c r="BQ316" s="31" t="n">
        <f aca="false">R316</f>
        <v>702901</v>
      </c>
      <c r="BR316" s="31" t="n">
        <f aca="false">S316</f>
        <v>80185</v>
      </c>
      <c r="BS316" s="31" t="n">
        <f aca="false">T316</f>
        <v>80185</v>
      </c>
      <c r="BT316" s="31" t="n">
        <f aca="false">U316</f>
        <v>15566</v>
      </c>
      <c r="BU316" s="31" t="n">
        <f aca="false">V316</f>
        <v>15571</v>
      </c>
      <c r="BV316" s="32" t="n">
        <f aca="false">IF(BF316=0,IF(BN316=0,0,1),(BN316-BF316)/BF316)</f>
        <v>1</v>
      </c>
      <c r="BW316" s="32" t="n">
        <f aca="false">IF(BG316=0,IF(BO316=0,0,1),(BO316-BG316)/BG316)</f>
        <v>1</v>
      </c>
      <c r="BX316" s="32" t="n">
        <f aca="false">IF(BH316=0,IF(BP316=0,0,1),(BP316-BH316)/BH316)</f>
        <v>1</v>
      </c>
      <c r="BY316" s="32" t="n">
        <f aca="false">IF(BI316=0,IF(BQ316=0,0,1),(BQ316-BI316)/BI316)</f>
        <v>1</v>
      </c>
      <c r="BZ316" s="32" t="n">
        <f aca="false">IF(BJ316=0,IF(BR316=0,0,1),(BR316-BJ316)/BJ316)</f>
        <v>1</v>
      </c>
      <c r="CA316" s="32" t="n">
        <f aca="false">IF(BK316=0,IF(BS316=0,0,1),(BS316-BK316)/BK316)</f>
        <v>1</v>
      </c>
      <c r="CB316" s="32" t="n">
        <f aca="false">IF(BL316=0,IF(BT316=0,0,1),(BT316-BL316)/BL316)</f>
        <v>1</v>
      </c>
      <c r="CC316" s="32" t="n">
        <f aca="false">IF(BM316=0,IF(BU316=0,0,1),(BU316-BM316)/BM316)</f>
        <v>1</v>
      </c>
      <c r="CD316" s="32" t="n">
        <f aca="false">MAX(MAX(BV316:CC316),-MIN(BV316:CC316))</f>
        <v>1</v>
      </c>
      <c r="CE316" s="31" t="n">
        <f aca="false">IF(CI316="","",SUMIFS($CF$7:$CF$696,$A$7:$A$696,CI316,$B$7:$B$696,B316))</f>
        <v>4280320</v>
      </c>
      <c r="CF316" s="31" t="n">
        <f aca="false">SUM(AU316:BE316)</f>
        <v>4272800</v>
      </c>
      <c r="CG316" s="33" t="str">
        <f aca="false">A316&amp;"|"&amp;B316</f>
        <v>2026-09 月例|広島市立大学</v>
      </c>
      <c r="CH316" s="34" t="str">
        <f aca="false">IFERROR(INDEX(設定!$D$61:$D$106,MATCH(B316,設定!$B$61:$B$106,0)),"Y")</f>
        <v>Y</v>
      </c>
      <c r="CI316" s="34" t="str">
        <f aca="false">IFERROR(INDEX(設定!$D$20:$D$34,MATCH(A316,設定!$A$20:$A$34,0))&amp;"","")</f>
        <v>2026-08 月例</v>
      </c>
    </row>
    <row r="317" customFormat="false" ht="15" hidden="true" customHeight="false" outlineLevel="0" collapsed="false">
      <c r="A317" s="22" t="s">
        <v>213</v>
      </c>
      <c r="B317" s="23" t="s">
        <v>195</v>
      </c>
      <c r="C317" s="10" t="str">
        <f aca="false">IF(G317="","未受領",IF(G317="なし","報告なし",IF(AH317="○","起票済",IF(OR(AG317="○",F317="一致",F317="入金不要"),"入金確認済","受領済"))))</f>
        <v>入金確認済</v>
      </c>
      <c r="D317" s="10" t="str">
        <f aca="false">IF(OR(G317="",G317="なし"),"―",IF(CH317="N","対象外",IF(AND(I317="",J317="",K317=""),"標報未入力",IF(CD317&gt;=設定!$B$4,"要確認","問題なし"))))</f>
        <v>標報未入力</v>
      </c>
      <c r="E317" s="24" t="str">
        <f aca="false">IF(OR(G317="",G317="なし",CE317="",CF317=0),"―",IF(CF317=CE317,"前月同額",IF(CE317=0,"―",IF(ABS(CF317/CE317-1)&gt;=設定!$B$5,"変動大 "&amp;TEXT(CF317/CE317-1,"+0%;-0%"),"〇"))))</f>
        <v>〇</v>
      </c>
      <c r="F317" s="10" t="str">
        <f aca="false">IF(OR(G317="",G317="なし"),"―",IF(CF317=0,"入金不要",IF(COUNT(Z317,AB317,AD317,AF317)=0,IF(AG317="○","手動確認","未入金"),IF(AND(N(Z317)=Y317,IF(AA317="",TRUE(),N(AB317)=AA317),IF(AC317="",TRUE(),N(AD317)=AC317),IF(AE317="",TRUE(),N(AF317)=AE317)),"一致","不一致"))))</f>
        <v>手動確認</v>
      </c>
      <c r="G317" s="25" t="s">
        <v>159</v>
      </c>
      <c r="H317" s="26"/>
      <c r="I317" s="27"/>
      <c r="J317" s="27"/>
      <c r="K317" s="27"/>
      <c r="L317" s="27"/>
      <c r="M317" s="27"/>
      <c r="N317" s="27" t="n">
        <v>256200</v>
      </c>
      <c r="O317" s="27" t="n">
        <v>21000</v>
      </c>
      <c r="P317" s="27" t="n">
        <v>243</v>
      </c>
      <c r="Q317" s="27"/>
      <c r="R317" s="27" t="n">
        <v>152096</v>
      </c>
      <c r="S317" s="27"/>
      <c r="T317" s="27" t="n">
        <v>11297</v>
      </c>
      <c r="U317" s="27"/>
      <c r="V317" s="27" t="n">
        <v>3369</v>
      </c>
      <c r="W317" s="10" t="str">
        <f aca="false">IFERROR(INDEX(設定!$E$61:$E$106,MATCH(B317,設定!$B$61:$B$106,0)),"合算")</f>
        <v>合算</v>
      </c>
      <c r="X317" s="28"/>
      <c r="Y317" s="29" t="n">
        <f aca="false">IF(OR(G317="",G317="なし"),"",IF(W317="合算",CF317,IF(W317="掛金・負担金別",(AU317+AV317+AZ317+BB317+BD317),SUM(AU317:AY317))))</f>
        <v>444205</v>
      </c>
      <c r="Z317" s="27"/>
      <c r="AA317" s="29" t="str">
        <f aca="false">IF(OR(G317="",G317="なし"),"",IF(W317="掛金・負担金別",(AW317+AX317+AY317+BA317+BC317+BE317),IF(W317="経理区分別",AZ317+BA317,"")))</f>
        <v/>
      </c>
      <c r="AB317" s="27"/>
      <c r="AC317" s="29" t="str">
        <f aca="false">IF(OR(G317="",G317="なし"),"",IF(W317="経理区分別",BB317+BC317,""))</f>
        <v/>
      </c>
      <c r="AD317" s="27"/>
      <c r="AE317" s="29" t="str">
        <f aca="false">IF(OR(G317="",G317="なし"),"",IF(W317="経理区分別",BD317+BE317,""))</f>
        <v/>
      </c>
      <c r="AF317" s="27"/>
      <c r="AG317" s="26" t="s">
        <v>160</v>
      </c>
      <c r="AH317" s="26"/>
      <c r="AI317" s="30"/>
      <c r="AJ317" s="31"/>
      <c r="AK317" s="31"/>
      <c r="AL317" s="31"/>
      <c r="AM317" s="31"/>
      <c r="AN317" s="31"/>
      <c r="AO317" s="31"/>
      <c r="AP317" s="31"/>
      <c r="AQ317" s="31"/>
      <c r="AR317" s="31"/>
      <c r="AS317" s="31"/>
      <c r="AT317" s="31"/>
      <c r="AU317" s="31" t="n">
        <f aca="false">IF($G317="",AJ317,L317)</f>
        <v>0</v>
      </c>
      <c r="AV317" s="31" t="n">
        <f aca="false">IF($G317="",AK317,M317)</f>
        <v>0</v>
      </c>
      <c r="AW317" s="31" t="n">
        <f aca="false">IF($G317="",AL317,N317)</f>
        <v>256200</v>
      </c>
      <c r="AX317" s="31" t="n">
        <f aca="false">IF($G317="",AM317,O317)</f>
        <v>21000</v>
      </c>
      <c r="AY317" s="31" t="n">
        <f aca="false">IF($G317="",AN317,P317)</f>
        <v>243</v>
      </c>
      <c r="AZ317" s="31" t="n">
        <f aca="false">IF($G317="",AO317,Q317)</f>
        <v>0</v>
      </c>
      <c r="BA317" s="31" t="n">
        <f aca="false">IF($G317="",AP317,R317)</f>
        <v>152096</v>
      </c>
      <c r="BB317" s="31" t="n">
        <f aca="false">IF($G317="",AQ317,S317)</f>
        <v>0</v>
      </c>
      <c r="BC317" s="31" t="n">
        <f aca="false">IF($G317="",AR317,T317)</f>
        <v>11297</v>
      </c>
      <c r="BD317" s="31" t="n">
        <f aca="false">IF($G317="",AS317,U317)</f>
        <v>0</v>
      </c>
      <c r="BE317" s="31" t="n">
        <f aca="false">IF($G317="",AT317,V317)</f>
        <v>3369</v>
      </c>
      <c r="BF317" s="31" t="n">
        <f aca="false">ROUNDDOWN(I317*設定!$B$10/1000,0)+ROUNDDOWN(I317*設定!$B$11/1000,0)</f>
        <v>0</v>
      </c>
      <c r="BG317" s="31" t="n">
        <f aca="false">ROUNDDOWN(I317*設定!$C$10/1000,0)+ROUNDDOWN(I317*設定!$C$11/1000,0)+ROUNDDOWN(I317*設定!$C$12/1000,0)</f>
        <v>0</v>
      </c>
      <c r="BH317" s="31" t="n">
        <f aca="false">ROUNDDOWN(J317*設定!$B$13/1000,0)</f>
        <v>0</v>
      </c>
      <c r="BI317" s="31" t="n">
        <f aca="false">ROUNDDOWN(J317*設定!$C$13/1000,0)</f>
        <v>0</v>
      </c>
      <c r="BJ317" s="31" t="n">
        <f aca="false">ROUNDDOWN(K317*設定!$B$14/1000,0)</f>
        <v>0</v>
      </c>
      <c r="BK317" s="31" t="n">
        <f aca="false">ROUNDDOWN(K317*設定!$C$14/1000,0)</f>
        <v>0</v>
      </c>
      <c r="BL317" s="31" t="n">
        <f aca="false">ROUNDDOWN(J317*設定!$B$15/1000,0)</f>
        <v>0</v>
      </c>
      <c r="BM317" s="31" t="n">
        <f aca="false">ROUNDDOWN(J317*設定!$C$15/1000,0)</f>
        <v>0</v>
      </c>
      <c r="BN317" s="31" t="n">
        <f aca="false">L317+M317</f>
        <v>0</v>
      </c>
      <c r="BO317" s="31" t="n">
        <f aca="false">N317+O317+P317</f>
        <v>277443</v>
      </c>
      <c r="BP317" s="31" t="n">
        <f aca="false">Q317</f>
        <v>0</v>
      </c>
      <c r="BQ317" s="31" t="n">
        <f aca="false">R317</f>
        <v>152096</v>
      </c>
      <c r="BR317" s="31" t="n">
        <f aca="false">S317</f>
        <v>0</v>
      </c>
      <c r="BS317" s="31" t="n">
        <f aca="false">T317</f>
        <v>11297</v>
      </c>
      <c r="BT317" s="31" t="n">
        <f aca="false">U317</f>
        <v>0</v>
      </c>
      <c r="BU317" s="31" t="n">
        <f aca="false">V317</f>
        <v>3369</v>
      </c>
      <c r="BV317" s="32" t="n">
        <f aca="false">IF(BF317=0,IF(BN317=0,0,1),(BN317-BF317)/BF317)</f>
        <v>0</v>
      </c>
      <c r="BW317" s="32" t="n">
        <f aca="false">IF(BG317=0,IF(BO317=0,0,1),(BO317-BG317)/BG317)</f>
        <v>1</v>
      </c>
      <c r="BX317" s="32" t="n">
        <f aca="false">IF(BH317=0,IF(BP317=0,0,1),(BP317-BH317)/BH317)</f>
        <v>0</v>
      </c>
      <c r="BY317" s="32" t="n">
        <f aca="false">IF(BI317=0,IF(BQ317=0,0,1),(BQ317-BI317)/BI317)</f>
        <v>1</v>
      </c>
      <c r="BZ317" s="32" t="n">
        <f aca="false">IF(BJ317=0,IF(BR317=0,0,1),(BR317-BJ317)/BJ317)</f>
        <v>0</v>
      </c>
      <c r="CA317" s="32" t="n">
        <f aca="false">IF(BK317=0,IF(BS317=0,0,1),(BS317-BK317)/BK317)</f>
        <v>1</v>
      </c>
      <c r="CB317" s="32" t="n">
        <f aca="false">IF(BL317=0,IF(BT317=0,0,1),(BT317-BL317)/BL317)</f>
        <v>0</v>
      </c>
      <c r="CC317" s="32" t="n">
        <f aca="false">IF(BM317=0,IF(BU317=0,0,1),(BU317-BM317)/BM317)</f>
        <v>1</v>
      </c>
      <c r="CD317" s="32" t="n">
        <f aca="false">MAX(MAX(BV317:CC317),-MIN(BV317:CC317))</f>
        <v>1</v>
      </c>
      <c r="CE317" s="31" t="n">
        <f aca="false">IF(CI317="","",SUMIFS($CF$7:$CF$696,$A$7:$A$696,CI317,$B$7:$B$696,B317))</f>
        <v>421445</v>
      </c>
      <c r="CF317" s="31" t="n">
        <f aca="false">SUM(AU317:BE317)</f>
        <v>444205</v>
      </c>
      <c r="CG317" s="33" t="str">
        <f aca="false">A317&amp;"|"&amp;B317</f>
        <v>2026-09 月例|社会福祉協議会</v>
      </c>
      <c r="CH317" s="34" t="str">
        <f aca="false">IFERROR(INDEX(設定!$D$61:$D$106,MATCH(B317,設定!$B$61:$B$106,0)),"Y")</f>
        <v>Y</v>
      </c>
      <c r="CI317" s="34" t="str">
        <f aca="false">IFERROR(INDEX(設定!$D$20:$D$34,MATCH(A317,設定!$A$20:$A$34,0))&amp;"","")</f>
        <v>2026-08 月例</v>
      </c>
    </row>
    <row r="318" customFormat="false" ht="15" hidden="true" customHeight="false" outlineLevel="0" collapsed="false">
      <c r="A318" s="22" t="s">
        <v>213</v>
      </c>
      <c r="B318" s="23" t="s">
        <v>196</v>
      </c>
      <c r="C318" s="10" t="str">
        <f aca="false">IF(G318="","未受領",IF(G318="なし","報告なし",IF(AH318="○","起票済",IF(OR(AG318="○",F318="一致",F318="入金不要"),"入金確認済","受領済"))))</f>
        <v>入金確認済</v>
      </c>
      <c r="D318" s="10" t="str">
        <f aca="false">IF(OR(G318="",G318="なし"),"―",IF(CH318="N","対象外",IF(AND(I318="",J318="",K318=""),"標報未入力",IF(CD318&gt;=設定!$B$4,"要確認","問題なし"))))</f>
        <v>対象外</v>
      </c>
      <c r="E318" s="24" t="str">
        <f aca="false">IF(OR(G318="",G318="なし",CE318="",CF318=0),"―",IF(CF318=CE318,"前月同額",IF(CE318=0,"―",IF(ABS(CF318/CE318-1)&gt;=設定!$B$5,"変動大 "&amp;TEXT(CF318/CE318-1,"+0%;-0%"),"〇"))))</f>
        <v>〇</v>
      </c>
      <c r="F318" s="10" t="str">
        <f aca="false">IF(OR(G318="",G318="なし"),"―",IF(CF318=0,"入金不要",IF(COUNT(Z318,AB318,AD318,AF318)=0,IF(AG318="○","手動確認","未入金"),IF(AND(N(Z318)=Y318,IF(AA318="",TRUE(),N(AB318)=AA318),IF(AC318="",TRUE(),N(AD318)=AC318),IF(AE318="",TRUE(),N(AF318)=AE318)),"一致","不一致"))))</f>
        <v>手動確認</v>
      </c>
      <c r="G318" s="25" t="s">
        <v>159</v>
      </c>
      <c r="H318" s="26"/>
      <c r="I318" s="27"/>
      <c r="J318" s="27"/>
      <c r="K318" s="27"/>
      <c r="L318" s="27" t="n">
        <v>128122523</v>
      </c>
      <c r="M318" s="27" t="n">
        <v>10458518</v>
      </c>
      <c r="N318" s="27" t="n">
        <v>186990337</v>
      </c>
      <c r="O318" s="27" t="n">
        <v>10458518</v>
      </c>
      <c r="P318" s="27" t="n">
        <v>128050</v>
      </c>
      <c r="Q318" s="27" t="n">
        <v>93939323</v>
      </c>
      <c r="R318" s="27" t="n">
        <v>94044383</v>
      </c>
      <c r="S318" s="27" t="n">
        <v>8077450</v>
      </c>
      <c r="T318" s="27" t="n">
        <v>8077450</v>
      </c>
      <c r="U318" s="27" t="n">
        <v>2082320</v>
      </c>
      <c r="V318" s="27" t="n">
        <v>2082319</v>
      </c>
      <c r="W318" s="10" t="str">
        <f aca="false">IFERROR(INDEX(設定!$E$61:$E$106,MATCH(B318,設定!$B$61:$B$106,0)),"合算")</f>
        <v>合算</v>
      </c>
      <c r="X318" s="28"/>
      <c r="Y318" s="29" t="n">
        <f aca="false">IF(OR(G318="",G318="なし"),"",IF(W318="合算",CF318,IF(W318="掛金・負担金別",(AU318+AV318+AZ318+BB318+BD318),SUM(AU318:AY318))))</f>
        <v>544461191</v>
      </c>
      <c r="Z318" s="27"/>
      <c r="AA318" s="29" t="str">
        <f aca="false">IF(OR(G318="",G318="なし"),"",IF(W318="掛金・負担金別",(AW318+AX318+AY318+BA318+BC318+BE318),IF(W318="経理区分別",AZ318+BA318,"")))</f>
        <v/>
      </c>
      <c r="AB318" s="27"/>
      <c r="AC318" s="29" t="str">
        <f aca="false">IF(OR(G318="",G318="なし"),"",IF(W318="経理区分別",BB318+BC318,""))</f>
        <v/>
      </c>
      <c r="AD318" s="27"/>
      <c r="AE318" s="29" t="str">
        <f aca="false">IF(OR(G318="",G318="なし"),"",IF(W318="経理区分別",BD318+BE318,""))</f>
        <v/>
      </c>
      <c r="AF318" s="27"/>
      <c r="AG318" s="26" t="s">
        <v>160</v>
      </c>
      <c r="AH318" s="26"/>
      <c r="AI318" s="30"/>
      <c r="AJ318" s="31"/>
      <c r="AK318" s="31"/>
      <c r="AL318" s="31"/>
      <c r="AM318" s="31"/>
      <c r="AN318" s="31"/>
      <c r="AO318" s="31"/>
      <c r="AP318" s="31"/>
      <c r="AQ318" s="31"/>
      <c r="AR318" s="31"/>
      <c r="AS318" s="31"/>
      <c r="AT318" s="31"/>
      <c r="AU318" s="31" t="n">
        <f aca="false">IF($G318="",AJ318,L318)</f>
        <v>128122523</v>
      </c>
      <c r="AV318" s="31" t="n">
        <f aca="false">IF($G318="",AK318,M318)</f>
        <v>10458518</v>
      </c>
      <c r="AW318" s="31" t="n">
        <f aca="false">IF($G318="",AL318,N318)</f>
        <v>186990337</v>
      </c>
      <c r="AX318" s="31" t="n">
        <f aca="false">IF($G318="",AM318,O318)</f>
        <v>10458518</v>
      </c>
      <c r="AY318" s="31" t="n">
        <f aca="false">IF($G318="",AN318,P318)</f>
        <v>128050</v>
      </c>
      <c r="AZ318" s="31" t="n">
        <f aca="false">IF($G318="",AO318,Q318)</f>
        <v>93939323</v>
      </c>
      <c r="BA318" s="31" t="n">
        <f aca="false">IF($G318="",AP318,R318)</f>
        <v>94044383</v>
      </c>
      <c r="BB318" s="31" t="n">
        <f aca="false">IF($G318="",AQ318,S318)</f>
        <v>8077450</v>
      </c>
      <c r="BC318" s="31" t="n">
        <f aca="false">IF($G318="",AR318,T318)</f>
        <v>8077450</v>
      </c>
      <c r="BD318" s="31" t="n">
        <f aca="false">IF($G318="",AS318,U318)</f>
        <v>2082320</v>
      </c>
      <c r="BE318" s="31" t="n">
        <f aca="false">IF($G318="",AT318,V318)</f>
        <v>2082319</v>
      </c>
      <c r="BF318" s="31" t="n">
        <f aca="false">ROUNDDOWN(I318*設定!$B$10/1000,0)+ROUNDDOWN(I318*設定!$B$11/1000,0)</f>
        <v>0</v>
      </c>
      <c r="BG318" s="31" t="n">
        <f aca="false">ROUNDDOWN(I318*設定!$C$10/1000,0)+ROUNDDOWN(I318*設定!$C$11/1000,0)+ROUNDDOWN(I318*設定!$C$12/1000,0)</f>
        <v>0</v>
      </c>
      <c r="BH318" s="31" t="n">
        <f aca="false">ROUNDDOWN(J318*設定!$B$13/1000,0)</f>
        <v>0</v>
      </c>
      <c r="BI318" s="31" t="n">
        <f aca="false">ROUNDDOWN(J318*設定!$C$13/1000,0)</f>
        <v>0</v>
      </c>
      <c r="BJ318" s="31" t="n">
        <f aca="false">ROUNDDOWN(K318*設定!$B$14/1000,0)</f>
        <v>0</v>
      </c>
      <c r="BK318" s="31" t="n">
        <f aca="false">ROUNDDOWN(K318*設定!$C$14/1000,0)</f>
        <v>0</v>
      </c>
      <c r="BL318" s="31" t="n">
        <f aca="false">ROUNDDOWN(J318*設定!$B$15/1000,0)</f>
        <v>0</v>
      </c>
      <c r="BM318" s="31" t="n">
        <f aca="false">ROUNDDOWN(J318*設定!$C$15/1000,0)</f>
        <v>0</v>
      </c>
      <c r="BN318" s="31" t="n">
        <f aca="false">L318+M318</f>
        <v>138581041</v>
      </c>
      <c r="BO318" s="31" t="n">
        <f aca="false">N318+O318+P318</f>
        <v>197576905</v>
      </c>
      <c r="BP318" s="31" t="n">
        <f aca="false">Q318</f>
        <v>93939323</v>
      </c>
      <c r="BQ318" s="31" t="n">
        <f aca="false">R318</f>
        <v>94044383</v>
      </c>
      <c r="BR318" s="31" t="n">
        <f aca="false">S318</f>
        <v>8077450</v>
      </c>
      <c r="BS318" s="31" t="n">
        <f aca="false">T318</f>
        <v>8077450</v>
      </c>
      <c r="BT318" s="31" t="n">
        <f aca="false">U318</f>
        <v>2082320</v>
      </c>
      <c r="BU318" s="31" t="n">
        <f aca="false">V318</f>
        <v>2082319</v>
      </c>
      <c r="BV318" s="32" t="n">
        <f aca="false">IF(BF318=0,IF(BN318=0,0,1),(BN318-BF318)/BF318)</f>
        <v>1</v>
      </c>
      <c r="BW318" s="32" t="n">
        <f aca="false">IF(BG318=0,IF(BO318=0,0,1),(BO318-BG318)/BG318)</f>
        <v>1</v>
      </c>
      <c r="BX318" s="32" t="n">
        <f aca="false">IF(BH318=0,IF(BP318=0,0,1),(BP318-BH318)/BH318)</f>
        <v>1</v>
      </c>
      <c r="BY318" s="32" t="n">
        <f aca="false">IF(BI318=0,IF(BQ318=0,0,1),(BQ318-BI318)/BI318)</f>
        <v>1</v>
      </c>
      <c r="BZ318" s="32" t="n">
        <f aca="false">IF(BJ318=0,IF(BR318=0,0,1),(BR318-BJ318)/BJ318)</f>
        <v>1</v>
      </c>
      <c r="CA318" s="32" t="n">
        <f aca="false">IF(BK318=0,IF(BS318=0,0,1),(BS318-BK318)/BK318)</f>
        <v>1</v>
      </c>
      <c r="CB318" s="32" t="n">
        <f aca="false">IF(BL318=0,IF(BT318=0,0,1),(BT318-BL318)/BL318)</f>
        <v>1</v>
      </c>
      <c r="CC318" s="32" t="n">
        <f aca="false">IF(BM318=0,IF(BU318=0,0,1),(BU318-BM318)/BM318)</f>
        <v>1</v>
      </c>
      <c r="CD318" s="32" t="n">
        <f aca="false">MAX(MAX(BV318:CC318),-MIN(BV318:CC318))</f>
        <v>1</v>
      </c>
      <c r="CE318" s="31" t="n">
        <f aca="false">IF(CI318="","",SUMIFS($CF$7:$CF$696,$A$7:$A$696,CI318,$B$7:$B$696,B318))</f>
        <v>540683181</v>
      </c>
      <c r="CF318" s="31" t="n">
        <f aca="false">SUM(AU318:BE318)</f>
        <v>544461191</v>
      </c>
      <c r="CG318" s="33" t="str">
        <f aca="false">A318&amp;"|"&amp;B318</f>
        <v>2026-09 月例|市立病院機構</v>
      </c>
      <c r="CH318" s="34" t="str">
        <f aca="false">IFERROR(INDEX(設定!$D$61:$D$106,MATCH(B318,設定!$B$61:$B$106,0)),"Y")</f>
        <v>N</v>
      </c>
      <c r="CI318" s="34" t="str">
        <f aca="false">IFERROR(INDEX(設定!$D$20:$D$34,MATCH(A318,設定!$A$20:$A$34,0))&amp;"","")</f>
        <v>2026-08 月例</v>
      </c>
    </row>
    <row r="319" customFormat="false" ht="15" hidden="true" customHeight="false" outlineLevel="0" collapsed="false">
      <c r="A319" s="22" t="s">
        <v>213</v>
      </c>
      <c r="B319" s="23" t="s">
        <v>197</v>
      </c>
      <c r="C319" s="10" t="str">
        <f aca="false">IF(G319="","未受領",IF(G319="なし","報告なし",IF(AH319="○","起票済",IF(OR(AG319="○",F319="一致",F319="入金不要"),"入金確認済","受領済"))))</f>
        <v>入金確認済</v>
      </c>
      <c r="D319" s="10" t="str">
        <f aca="false">IF(OR(G319="",G319="なし"),"―",IF(CH319="N","対象外",IF(AND(I319="",J319="",K319=""),"標報未入力",IF(CD319&gt;=設定!$B$4,"要確認","問題なし"))))</f>
        <v>標報未入力</v>
      </c>
      <c r="E319" s="24" t="str">
        <f aca="false">IF(OR(G319="",G319="なし",CE319="",CF319=0),"―",IF(CF319=CE319,"前月同額",IF(CE319=0,"―",IF(ABS(CF319/CE319-1)&gt;=設定!$B$5,"変動大 "&amp;TEXT(CF319/CE319-1,"+0%;-0%"),"〇"))))</f>
        <v>〇</v>
      </c>
      <c r="F319" s="10" t="str">
        <f aca="false">IF(OR(G319="",G319="なし"),"―",IF(CF319=0,"入金不要",IF(COUNT(Z319,AB319,AD319,AF319)=0,IF(AG319="○","手動確認","未入金"),IF(AND(N(Z319)=Y319,IF(AA319="",TRUE(),N(AB319)=AA319),IF(AC319="",TRUE(),N(AD319)=AC319),IF(AE319="",TRUE(),N(AF319)=AE319)),"一致","不一致"))))</f>
        <v>手動確認</v>
      </c>
      <c r="G319" s="25" t="s">
        <v>159</v>
      </c>
      <c r="H319" s="26"/>
      <c r="I319" s="27"/>
      <c r="J319" s="27"/>
      <c r="K319" s="27"/>
      <c r="L319" s="27"/>
      <c r="M319" s="27"/>
      <c r="N319" s="27"/>
      <c r="O319" s="27"/>
      <c r="P319" s="27"/>
      <c r="Q319" s="27" t="n">
        <v>104236</v>
      </c>
      <c r="R319" s="27" t="n">
        <v>104338</v>
      </c>
      <c r="S319" s="27" t="n">
        <v>11218</v>
      </c>
      <c r="T319" s="27" t="n">
        <v>11218</v>
      </c>
      <c r="U319" s="27" t="n">
        <v>2309</v>
      </c>
      <c r="V319" s="27" t="n">
        <v>2311</v>
      </c>
      <c r="W319" s="10" t="str">
        <f aca="false">IFERROR(INDEX(設定!$E$61:$E$106,MATCH(B319,設定!$B$61:$B$106,0)),"合算")</f>
        <v>合算</v>
      </c>
      <c r="X319" s="28"/>
      <c r="Y319" s="29" t="n">
        <f aca="false">IF(OR(G319="",G319="なし"),"",IF(W319="合算",CF319,IF(W319="掛金・負担金別",(AU319+AV319+AZ319+BB319+BD319),SUM(AU319:AY319))))</f>
        <v>235630</v>
      </c>
      <c r="Z319" s="27"/>
      <c r="AA319" s="29" t="str">
        <f aca="false">IF(OR(G319="",G319="なし"),"",IF(W319="掛金・負担金別",(AW319+AX319+AY319+BA319+BC319+BE319),IF(W319="経理区分別",AZ319+BA319,"")))</f>
        <v/>
      </c>
      <c r="AB319" s="27"/>
      <c r="AC319" s="29" t="str">
        <f aca="false">IF(OR(G319="",G319="なし"),"",IF(W319="経理区分別",BB319+BC319,""))</f>
        <v/>
      </c>
      <c r="AD319" s="27"/>
      <c r="AE319" s="29" t="str">
        <f aca="false">IF(OR(G319="",G319="なし"),"",IF(W319="経理区分別",BD319+BE319,""))</f>
        <v/>
      </c>
      <c r="AF319" s="27"/>
      <c r="AG319" s="26" t="s">
        <v>160</v>
      </c>
      <c r="AH319" s="26"/>
      <c r="AI319" s="30"/>
      <c r="AJ319" s="31"/>
      <c r="AK319" s="31"/>
      <c r="AL319" s="31"/>
      <c r="AM319" s="31"/>
      <c r="AN319" s="31"/>
      <c r="AO319" s="31"/>
      <c r="AP319" s="31"/>
      <c r="AQ319" s="31"/>
      <c r="AR319" s="31"/>
      <c r="AS319" s="31"/>
      <c r="AT319" s="31"/>
      <c r="AU319" s="31" t="n">
        <f aca="false">IF($G319="",AJ319,L319)</f>
        <v>0</v>
      </c>
      <c r="AV319" s="31" t="n">
        <f aca="false">IF($G319="",AK319,M319)</f>
        <v>0</v>
      </c>
      <c r="AW319" s="31" t="n">
        <f aca="false">IF($G319="",AL319,N319)</f>
        <v>0</v>
      </c>
      <c r="AX319" s="31" t="n">
        <f aca="false">IF($G319="",AM319,O319)</f>
        <v>0</v>
      </c>
      <c r="AY319" s="31" t="n">
        <f aca="false">IF($G319="",AN319,P319)</f>
        <v>0</v>
      </c>
      <c r="AZ319" s="31" t="n">
        <f aca="false">IF($G319="",AO319,Q319)</f>
        <v>104236</v>
      </c>
      <c r="BA319" s="31" t="n">
        <f aca="false">IF($G319="",AP319,R319)</f>
        <v>104338</v>
      </c>
      <c r="BB319" s="31" t="n">
        <f aca="false">IF($G319="",AQ319,S319)</f>
        <v>11218</v>
      </c>
      <c r="BC319" s="31" t="n">
        <f aca="false">IF($G319="",AR319,T319)</f>
        <v>11218</v>
      </c>
      <c r="BD319" s="31" t="n">
        <f aca="false">IF($G319="",AS319,U319)</f>
        <v>2309</v>
      </c>
      <c r="BE319" s="31" t="n">
        <f aca="false">IF($G319="",AT319,V319)</f>
        <v>2311</v>
      </c>
      <c r="BF319" s="31" t="n">
        <f aca="false">ROUNDDOWN(I319*設定!$B$10/1000,0)+ROUNDDOWN(I319*設定!$B$11/1000,0)</f>
        <v>0</v>
      </c>
      <c r="BG319" s="31" t="n">
        <f aca="false">ROUNDDOWN(I319*設定!$C$10/1000,0)+ROUNDDOWN(I319*設定!$C$11/1000,0)+ROUNDDOWN(I319*設定!$C$12/1000,0)</f>
        <v>0</v>
      </c>
      <c r="BH319" s="31" t="n">
        <f aca="false">ROUNDDOWN(J319*設定!$B$13/1000,0)</f>
        <v>0</v>
      </c>
      <c r="BI319" s="31" t="n">
        <f aca="false">ROUNDDOWN(J319*設定!$C$13/1000,0)</f>
        <v>0</v>
      </c>
      <c r="BJ319" s="31" t="n">
        <f aca="false">ROUNDDOWN(K319*設定!$B$14/1000,0)</f>
        <v>0</v>
      </c>
      <c r="BK319" s="31" t="n">
        <f aca="false">ROUNDDOWN(K319*設定!$C$14/1000,0)</f>
        <v>0</v>
      </c>
      <c r="BL319" s="31" t="n">
        <f aca="false">ROUNDDOWN(J319*設定!$B$15/1000,0)</f>
        <v>0</v>
      </c>
      <c r="BM319" s="31" t="n">
        <f aca="false">ROUNDDOWN(J319*設定!$C$15/1000,0)</f>
        <v>0</v>
      </c>
      <c r="BN319" s="31" t="n">
        <f aca="false">L319+M319</f>
        <v>0</v>
      </c>
      <c r="BO319" s="31" t="n">
        <f aca="false">N319+O319+P319</f>
        <v>0</v>
      </c>
      <c r="BP319" s="31" t="n">
        <f aca="false">Q319</f>
        <v>104236</v>
      </c>
      <c r="BQ319" s="31" t="n">
        <f aca="false">R319</f>
        <v>104338</v>
      </c>
      <c r="BR319" s="31" t="n">
        <f aca="false">S319</f>
        <v>11218</v>
      </c>
      <c r="BS319" s="31" t="n">
        <f aca="false">T319</f>
        <v>11218</v>
      </c>
      <c r="BT319" s="31" t="n">
        <f aca="false">U319</f>
        <v>2309</v>
      </c>
      <c r="BU319" s="31" t="n">
        <f aca="false">V319</f>
        <v>2311</v>
      </c>
      <c r="BV319" s="32" t="n">
        <f aca="false">IF(BF319=0,IF(BN319=0,0,1),(BN319-BF319)/BF319)</f>
        <v>0</v>
      </c>
      <c r="BW319" s="32" t="n">
        <f aca="false">IF(BG319=0,IF(BO319=0,0,1),(BO319-BG319)/BG319)</f>
        <v>0</v>
      </c>
      <c r="BX319" s="32" t="n">
        <f aca="false">IF(BH319=0,IF(BP319=0,0,1),(BP319-BH319)/BH319)</f>
        <v>1</v>
      </c>
      <c r="BY319" s="32" t="n">
        <f aca="false">IF(BI319=0,IF(BQ319=0,0,1),(BQ319-BI319)/BI319)</f>
        <v>1</v>
      </c>
      <c r="BZ319" s="32" t="n">
        <f aca="false">IF(BJ319=0,IF(BR319=0,0,1),(BR319-BJ319)/BJ319)</f>
        <v>1</v>
      </c>
      <c r="CA319" s="32" t="n">
        <f aca="false">IF(BK319=0,IF(BS319=0,0,1),(BS319-BK319)/BK319)</f>
        <v>1</v>
      </c>
      <c r="CB319" s="32" t="n">
        <f aca="false">IF(BL319=0,IF(BT319=0,0,1),(BT319-BL319)/BL319)</f>
        <v>1</v>
      </c>
      <c r="CC319" s="32" t="n">
        <f aca="false">IF(BM319=0,IF(BU319=0,0,1),(BU319-BM319)/BM319)</f>
        <v>1</v>
      </c>
      <c r="CD319" s="32" t="n">
        <f aca="false">MAX(MAX(BV319:CC319),-MIN(BV319:CC319))</f>
        <v>1</v>
      </c>
      <c r="CE319" s="31" t="n">
        <f aca="false">IF(CI319="","",SUMIFS($CF$7:$CF$696,$A$7:$A$696,CI319,$B$7:$B$696,B319))</f>
        <v>236375</v>
      </c>
      <c r="CF319" s="31" t="n">
        <f aca="false">SUM(AU319:BE319)</f>
        <v>235630</v>
      </c>
      <c r="CG319" s="33" t="str">
        <f aca="false">A319&amp;"|"&amp;B319</f>
        <v>2026-09 月例|職員共済組合</v>
      </c>
      <c r="CH319" s="34" t="str">
        <f aca="false">IFERROR(INDEX(設定!$D$61:$D$106,MATCH(B319,設定!$B$61:$B$106,0)),"Y")</f>
        <v>Y</v>
      </c>
      <c r="CI319" s="34" t="str">
        <f aca="false">IFERROR(INDEX(設定!$D$20:$D$34,MATCH(A319,設定!$A$20:$A$34,0))&amp;"","")</f>
        <v>2026-08 月例</v>
      </c>
    </row>
    <row r="320" customFormat="false" ht="26.85" hidden="true" customHeight="false" outlineLevel="0" collapsed="false">
      <c r="A320" s="22" t="s">
        <v>213</v>
      </c>
      <c r="B320" s="35" t="s">
        <v>198</v>
      </c>
      <c r="C320" s="10" t="str">
        <f aca="false">IF(G320="","未受領",IF(G320="なし","報告なし",IF(AH320="○","起票済",IF(OR(AG320="○",F320="一致",F320="入金不要"),"入金確認済","受領済"))))</f>
        <v>報告なし</v>
      </c>
      <c r="D320" s="10" t="str">
        <f aca="false">IF(OR(G320="",G320="なし"),"―",IF(CH320="N","対象外",IF(AND(I320="",J320="",K320=""),"標報未入力",IF(CD320&gt;=設定!$B$4,"要確認","問題なし"))))</f>
        <v>―</v>
      </c>
      <c r="E320" s="24" t="str">
        <f aca="false">IF(OR(G320="",G320="なし",CE320="",CF320=0),"―",IF(CF320=CE320,"前月同額",IF(CE320=0,"―",IF(ABS(CF320/CE320-1)&gt;=設定!$B$5,"変動大 "&amp;TEXT(CF320/CE320-1,"+0%;-0%"),"〇"))))</f>
        <v>―</v>
      </c>
      <c r="F320" s="10" t="str">
        <f aca="false">IF(OR(G320="",G320="なし"),"―",IF(CF320=0,"入金不要",IF(COUNT(Z320,AB320,AD320,AF320)=0,IF(AG320="○","手動確認","未入金"),IF(AND(N(Z320)=Y320,IF(AA320="",TRUE(),N(AB320)=AA320),IF(AC320="",TRUE(),N(AD320)=AC320),IF(AE320="",TRUE(),N(AF320)=AE320)),"一致","不一致"))))</f>
        <v>―</v>
      </c>
      <c r="G320" s="25" t="s">
        <v>173</v>
      </c>
      <c r="H320" s="26"/>
      <c r="I320" s="27"/>
      <c r="J320" s="27"/>
      <c r="K320" s="27"/>
      <c r="L320" s="27"/>
      <c r="M320" s="27"/>
      <c r="N320" s="27"/>
      <c r="O320" s="27"/>
      <c r="P320" s="27"/>
      <c r="Q320" s="27"/>
      <c r="R320" s="27"/>
      <c r="S320" s="27"/>
      <c r="T320" s="27"/>
      <c r="U320" s="27"/>
      <c r="V320" s="27"/>
      <c r="W320" s="10" t="str">
        <f aca="false">IFERROR(INDEX(設定!$E$61:$E$106,MATCH(B320,設定!$B$61:$B$106,0)),"合算")</f>
        <v>合算</v>
      </c>
      <c r="X320" s="28"/>
      <c r="Y320" s="29" t="str">
        <f aca="false">IF(OR(G320="",G320="なし"),"",IF(W320="合算",CF320,IF(W320="掛金・負担金別",(AU320+AV320+AZ320+BB320+BD320),SUM(AU320:AY320))))</f>
        <v/>
      </c>
      <c r="Z320" s="27"/>
      <c r="AA320" s="29" t="str">
        <f aca="false">IF(OR(G320="",G320="なし"),"",IF(W320="掛金・負担金別",(AW320+AX320+AY320+BA320+BC320+BE320),IF(W320="経理区分別",AZ320+BA320,"")))</f>
        <v/>
      </c>
      <c r="AB320" s="27"/>
      <c r="AC320" s="29" t="str">
        <f aca="false">IF(OR(G320="",G320="なし"),"",IF(W320="経理区分別",BB320+BC320,""))</f>
        <v/>
      </c>
      <c r="AD320" s="27"/>
      <c r="AE320" s="29" t="str">
        <f aca="false">IF(OR(G320="",G320="なし"),"",IF(W320="経理区分別",BD320+BE320,""))</f>
        <v/>
      </c>
      <c r="AF320" s="27"/>
      <c r="AG320" s="26"/>
      <c r="AH320" s="26"/>
      <c r="AI320" s="30"/>
      <c r="AJ320" s="31"/>
      <c r="AK320" s="31"/>
      <c r="AL320" s="31"/>
      <c r="AM320" s="31"/>
      <c r="AN320" s="31"/>
      <c r="AO320" s="31"/>
      <c r="AP320" s="31"/>
      <c r="AQ320" s="31"/>
      <c r="AR320" s="31"/>
      <c r="AS320" s="31"/>
      <c r="AT320" s="31"/>
      <c r="AU320" s="31" t="n">
        <f aca="false">IF($G320="",AJ320,L320)</f>
        <v>0</v>
      </c>
      <c r="AV320" s="31" t="n">
        <f aca="false">IF($G320="",AK320,M320)</f>
        <v>0</v>
      </c>
      <c r="AW320" s="31" t="n">
        <f aca="false">IF($G320="",AL320,N320)</f>
        <v>0</v>
      </c>
      <c r="AX320" s="31" t="n">
        <f aca="false">IF($G320="",AM320,O320)</f>
        <v>0</v>
      </c>
      <c r="AY320" s="31" t="n">
        <f aca="false">IF($G320="",AN320,P320)</f>
        <v>0</v>
      </c>
      <c r="AZ320" s="31" t="n">
        <f aca="false">IF($G320="",AO320,Q320)</f>
        <v>0</v>
      </c>
      <c r="BA320" s="31" t="n">
        <f aca="false">IF($G320="",AP320,R320)</f>
        <v>0</v>
      </c>
      <c r="BB320" s="31" t="n">
        <f aca="false">IF($G320="",AQ320,S320)</f>
        <v>0</v>
      </c>
      <c r="BC320" s="31" t="n">
        <f aca="false">IF($G320="",AR320,T320)</f>
        <v>0</v>
      </c>
      <c r="BD320" s="31" t="n">
        <f aca="false">IF($G320="",AS320,U320)</f>
        <v>0</v>
      </c>
      <c r="BE320" s="31" t="n">
        <f aca="false">IF($G320="",AT320,V320)</f>
        <v>0</v>
      </c>
      <c r="BF320" s="31" t="n">
        <f aca="false">ROUNDDOWN(I320*設定!$B$10/1000,0)+ROUNDDOWN(I320*設定!$B$11/1000,0)</f>
        <v>0</v>
      </c>
      <c r="BG320" s="31" t="n">
        <f aca="false">ROUNDDOWN(I320*設定!$C$10/1000,0)+ROUNDDOWN(I320*設定!$C$11/1000,0)+ROUNDDOWN(I320*設定!$C$12/1000,0)</f>
        <v>0</v>
      </c>
      <c r="BH320" s="31" t="n">
        <f aca="false">ROUNDDOWN(J320*設定!$B$13/1000,0)</f>
        <v>0</v>
      </c>
      <c r="BI320" s="31" t="n">
        <f aca="false">ROUNDDOWN(J320*設定!$C$13/1000,0)</f>
        <v>0</v>
      </c>
      <c r="BJ320" s="31" t="n">
        <f aca="false">ROUNDDOWN(K320*設定!$B$14/1000,0)</f>
        <v>0</v>
      </c>
      <c r="BK320" s="31" t="n">
        <f aca="false">ROUNDDOWN(K320*設定!$C$14/1000,0)</f>
        <v>0</v>
      </c>
      <c r="BL320" s="31" t="n">
        <f aca="false">ROUNDDOWN(J320*設定!$B$15/1000,0)</f>
        <v>0</v>
      </c>
      <c r="BM320" s="31" t="n">
        <f aca="false">ROUNDDOWN(J320*設定!$C$15/1000,0)</f>
        <v>0</v>
      </c>
      <c r="BN320" s="31" t="n">
        <f aca="false">L320+M320</f>
        <v>0</v>
      </c>
      <c r="BO320" s="31" t="n">
        <f aca="false">N320+O320+P320</f>
        <v>0</v>
      </c>
      <c r="BP320" s="31" t="n">
        <f aca="false">Q320</f>
        <v>0</v>
      </c>
      <c r="BQ320" s="31" t="n">
        <f aca="false">R320</f>
        <v>0</v>
      </c>
      <c r="BR320" s="31" t="n">
        <f aca="false">S320</f>
        <v>0</v>
      </c>
      <c r="BS320" s="31" t="n">
        <f aca="false">T320</f>
        <v>0</v>
      </c>
      <c r="BT320" s="31" t="n">
        <f aca="false">U320</f>
        <v>0</v>
      </c>
      <c r="BU320" s="31" t="n">
        <f aca="false">V320</f>
        <v>0</v>
      </c>
      <c r="BV320" s="32" t="n">
        <f aca="false">IF(BF320=0,IF(BN320=0,0,1),(BN320-BF320)/BF320)</f>
        <v>0</v>
      </c>
      <c r="BW320" s="32" t="n">
        <f aca="false">IF(BG320=0,IF(BO320=0,0,1),(BO320-BG320)/BG320)</f>
        <v>0</v>
      </c>
      <c r="BX320" s="32" t="n">
        <f aca="false">IF(BH320=0,IF(BP320=0,0,1),(BP320-BH320)/BH320)</f>
        <v>0</v>
      </c>
      <c r="BY320" s="32" t="n">
        <f aca="false">IF(BI320=0,IF(BQ320=0,0,1),(BQ320-BI320)/BI320)</f>
        <v>0</v>
      </c>
      <c r="BZ320" s="32" t="n">
        <f aca="false">IF(BJ320=0,IF(BR320=0,0,1),(BR320-BJ320)/BJ320)</f>
        <v>0</v>
      </c>
      <c r="CA320" s="32" t="n">
        <f aca="false">IF(BK320=0,IF(BS320=0,0,1),(BS320-BK320)/BK320)</f>
        <v>0</v>
      </c>
      <c r="CB320" s="32" t="n">
        <f aca="false">IF(BL320=0,IF(BT320=0,0,1),(BT320-BL320)/BL320)</f>
        <v>0</v>
      </c>
      <c r="CC320" s="32" t="n">
        <f aca="false">IF(BM320=0,IF(BU320=0,0,1),(BU320-BM320)/BM320)</f>
        <v>0</v>
      </c>
      <c r="CD320" s="32" t="n">
        <f aca="false">MAX(MAX(BV320:CC320),-MIN(BV320:CC320))</f>
        <v>-0</v>
      </c>
      <c r="CE320" s="31" t="n">
        <f aca="false">IF(CI320="","",SUMIFS($CF$7:$CF$696,$A$7:$A$696,CI320,$B$7:$B$696,B320))</f>
        <v>0</v>
      </c>
      <c r="CF320" s="31" t="n">
        <f aca="false">SUM(AU320:BE320)</f>
        <v>0</v>
      </c>
      <c r="CG320" s="36" t="str">
        <f aca="false">A320&amp;"|"&amp;B320</f>
        <v>2026-09 月例|地方公共団体
情報システム機構</v>
      </c>
      <c r="CH320" s="34" t="str">
        <f aca="false">IFERROR(INDEX(設定!$D$61:$D$106,MATCH(B320,設定!$B$61:$B$106,0)),"Y")</f>
        <v>Y</v>
      </c>
      <c r="CI320" s="34" t="str">
        <f aca="false">IFERROR(INDEX(設定!$D$20:$D$34,MATCH(A320,設定!$A$20:$A$34,0))&amp;"","")</f>
        <v>2026-08 月例</v>
      </c>
    </row>
    <row r="321" customFormat="false" ht="15" hidden="true" customHeight="false" outlineLevel="0" collapsed="false">
      <c r="A321" s="22" t="s">
        <v>213</v>
      </c>
      <c r="B321" s="23" t="s">
        <v>199</v>
      </c>
      <c r="C321" s="10" t="str">
        <f aca="false">IF(G321="","未受領",IF(G321="なし","報告なし",IF(AH321="○","起票済",IF(OR(AG321="○",F321="一致",F321="入金不要"),"入金確認済","受領済"))))</f>
        <v>入金確認済</v>
      </c>
      <c r="D321" s="10" t="str">
        <f aca="false">IF(OR(G321="",G321="なし"),"―",IF(CH321="N","対象外",IF(AND(I321="",J321="",K321=""),"標報未入力",IF(CD321&gt;=設定!$B$4,"要確認","問題なし"))))</f>
        <v>標報未入力</v>
      </c>
      <c r="E321" s="24" t="str">
        <f aca="false">IF(OR(G321="",G321="なし",CE321="",CF321=0),"―",IF(CF321=CE321,"前月同額",IF(CE321=0,"―",IF(ABS(CF321/CE321-1)&gt;=設定!$B$5,"変動大 "&amp;TEXT(CF321/CE321-1,"+0%;-0%"),"〇"))))</f>
        <v>〇</v>
      </c>
      <c r="F321" s="10" t="str">
        <f aca="false">IF(OR(G321="",G321="なし"),"―",IF(CF321=0,"入金不要",IF(COUNT(Z321,AB321,AD321,AF321)=0,IF(AG321="○","手動確認","未入金"),IF(AND(N(Z321)=Y321,IF(AA321="",TRUE(),N(AB321)=AA321),IF(AC321="",TRUE(),N(AD321)=AC321),IF(AE321="",TRUE(),N(AF321)=AE321)),"一致","不一致"))))</f>
        <v>手動確認</v>
      </c>
      <c r="G321" s="25" t="s">
        <v>159</v>
      </c>
      <c r="H321" s="26"/>
      <c r="I321" s="27"/>
      <c r="J321" s="27"/>
      <c r="K321" s="27"/>
      <c r="L321" s="27" t="n">
        <v>118950</v>
      </c>
      <c r="M321" s="27" t="n">
        <v>9750</v>
      </c>
      <c r="N321" s="27" t="n">
        <v>118950</v>
      </c>
      <c r="O321" s="27" t="n">
        <v>9750</v>
      </c>
      <c r="P321" s="27" t="n">
        <v>112</v>
      </c>
      <c r="Q321" s="27" t="n">
        <v>86605</v>
      </c>
      <c r="R321" s="27" t="n">
        <v>86689</v>
      </c>
      <c r="S321" s="27" t="n">
        <v>13193</v>
      </c>
      <c r="T321" s="27" t="n">
        <v>13193</v>
      </c>
      <c r="U321" s="27" t="n">
        <v>1920</v>
      </c>
      <c r="V321" s="27" t="n">
        <v>1920</v>
      </c>
      <c r="W321" s="10" t="str">
        <f aca="false">IFERROR(INDEX(設定!$E$61:$E$106,MATCH(B321,設定!$B$61:$B$106,0)),"合算")</f>
        <v>合算</v>
      </c>
      <c r="X321" s="28"/>
      <c r="Y321" s="29" t="n">
        <f aca="false">IF(OR(G321="",G321="なし"),"",IF(W321="合算",CF321,IF(W321="掛金・負担金別",(AU321+AV321+AZ321+BB321+BD321),SUM(AU321:AY321))))</f>
        <v>461032</v>
      </c>
      <c r="Z321" s="27"/>
      <c r="AA321" s="29" t="str">
        <f aca="false">IF(OR(G321="",G321="なし"),"",IF(W321="掛金・負担金別",(AW321+AX321+AY321+BA321+BC321+BE321),IF(W321="経理区分別",AZ321+BA321,"")))</f>
        <v/>
      </c>
      <c r="AB321" s="27"/>
      <c r="AC321" s="29" t="str">
        <f aca="false">IF(OR(G321="",G321="なし"),"",IF(W321="経理区分別",BB321+BC321,""))</f>
        <v/>
      </c>
      <c r="AD321" s="27"/>
      <c r="AE321" s="29" t="str">
        <f aca="false">IF(OR(G321="",G321="なし"),"",IF(W321="経理区分別",BD321+BE321,""))</f>
        <v/>
      </c>
      <c r="AF321" s="27"/>
      <c r="AG321" s="26" t="s">
        <v>160</v>
      </c>
      <c r="AH321" s="26"/>
      <c r="AI321" s="30"/>
      <c r="AJ321" s="31"/>
      <c r="AK321" s="31"/>
      <c r="AL321" s="31"/>
      <c r="AM321" s="31"/>
      <c r="AN321" s="31"/>
      <c r="AO321" s="31"/>
      <c r="AP321" s="31"/>
      <c r="AQ321" s="31"/>
      <c r="AR321" s="31"/>
      <c r="AS321" s="31"/>
      <c r="AT321" s="31"/>
      <c r="AU321" s="31" t="n">
        <f aca="false">IF($G321="",AJ321,L321)</f>
        <v>118950</v>
      </c>
      <c r="AV321" s="31" t="n">
        <f aca="false">IF($G321="",AK321,M321)</f>
        <v>9750</v>
      </c>
      <c r="AW321" s="31" t="n">
        <f aca="false">IF($G321="",AL321,N321)</f>
        <v>118950</v>
      </c>
      <c r="AX321" s="31" t="n">
        <f aca="false">IF($G321="",AM321,O321)</f>
        <v>9750</v>
      </c>
      <c r="AY321" s="31" t="n">
        <f aca="false">IF($G321="",AN321,P321)</f>
        <v>112</v>
      </c>
      <c r="AZ321" s="31" t="n">
        <f aca="false">IF($G321="",AO321,Q321)</f>
        <v>86605</v>
      </c>
      <c r="BA321" s="31" t="n">
        <f aca="false">IF($G321="",AP321,R321)</f>
        <v>86689</v>
      </c>
      <c r="BB321" s="31" t="n">
        <f aca="false">IF($G321="",AQ321,S321)</f>
        <v>13193</v>
      </c>
      <c r="BC321" s="31" t="n">
        <f aca="false">IF($G321="",AR321,T321)</f>
        <v>13193</v>
      </c>
      <c r="BD321" s="31" t="n">
        <f aca="false">IF($G321="",AS321,U321)</f>
        <v>1920</v>
      </c>
      <c r="BE321" s="31" t="n">
        <f aca="false">IF($G321="",AT321,V321)</f>
        <v>1920</v>
      </c>
      <c r="BF321" s="31" t="n">
        <f aca="false">ROUNDDOWN(I321*設定!$B$10/1000,0)+ROUNDDOWN(I321*設定!$B$11/1000,0)</f>
        <v>0</v>
      </c>
      <c r="BG321" s="31" t="n">
        <f aca="false">ROUNDDOWN(I321*設定!$C$10/1000,0)+ROUNDDOWN(I321*設定!$C$11/1000,0)+ROUNDDOWN(I321*設定!$C$12/1000,0)</f>
        <v>0</v>
      </c>
      <c r="BH321" s="31" t="n">
        <f aca="false">ROUNDDOWN(J321*設定!$B$13/1000,0)</f>
        <v>0</v>
      </c>
      <c r="BI321" s="31" t="n">
        <f aca="false">ROUNDDOWN(J321*設定!$C$13/1000,0)</f>
        <v>0</v>
      </c>
      <c r="BJ321" s="31" t="n">
        <f aca="false">ROUNDDOWN(K321*設定!$B$14/1000,0)</f>
        <v>0</v>
      </c>
      <c r="BK321" s="31" t="n">
        <f aca="false">ROUNDDOWN(K321*設定!$C$14/1000,0)</f>
        <v>0</v>
      </c>
      <c r="BL321" s="31" t="n">
        <f aca="false">ROUNDDOWN(J321*設定!$B$15/1000,0)</f>
        <v>0</v>
      </c>
      <c r="BM321" s="31" t="n">
        <f aca="false">ROUNDDOWN(J321*設定!$C$15/1000,0)</f>
        <v>0</v>
      </c>
      <c r="BN321" s="31" t="n">
        <f aca="false">L321+M321</f>
        <v>128700</v>
      </c>
      <c r="BO321" s="31" t="n">
        <f aca="false">N321+O321+P321</f>
        <v>128812</v>
      </c>
      <c r="BP321" s="31" t="n">
        <f aca="false">Q321</f>
        <v>86605</v>
      </c>
      <c r="BQ321" s="31" t="n">
        <f aca="false">R321</f>
        <v>86689</v>
      </c>
      <c r="BR321" s="31" t="n">
        <f aca="false">S321</f>
        <v>13193</v>
      </c>
      <c r="BS321" s="31" t="n">
        <f aca="false">T321</f>
        <v>13193</v>
      </c>
      <c r="BT321" s="31" t="n">
        <f aca="false">U321</f>
        <v>1920</v>
      </c>
      <c r="BU321" s="31" t="n">
        <f aca="false">V321</f>
        <v>1920</v>
      </c>
      <c r="BV321" s="32" t="n">
        <f aca="false">IF(BF321=0,IF(BN321=0,0,1),(BN321-BF321)/BF321)</f>
        <v>1</v>
      </c>
      <c r="BW321" s="32" t="n">
        <f aca="false">IF(BG321=0,IF(BO321=0,0,1),(BO321-BG321)/BG321)</f>
        <v>1</v>
      </c>
      <c r="BX321" s="32" t="n">
        <f aca="false">IF(BH321=0,IF(BP321=0,0,1),(BP321-BH321)/BH321)</f>
        <v>1</v>
      </c>
      <c r="BY321" s="32" t="n">
        <f aca="false">IF(BI321=0,IF(BQ321=0,0,1),(BQ321-BI321)/BI321)</f>
        <v>1</v>
      </c>
      <c r="BZ321" s="32" t="n">
        <f aca="false">IF(BJ321=0,IF(BR321=0,0,1),(BR321-BJ321)/BJ321)</f>
        <v>1</v>
      </c>
      <c r="CA321" s="32" t="n">
        <f aca="false">IF(BK321=0,IF(BS321=0,0,1),(BS321-BK321)/BK321)</f>
        <v>1</v>
      </c>
      <c r="CB321" s="32" t="n">
        <f aca="false">IF(BL321=0,IF(BT321=0,0,1),(BT321-BL321)/BL321)</f>
        <v>1</v>
      </c>
      <c r="CC321" s="32" t="n">
        <f aca="false">IF(BM321=0,IF(BU321=0,0,1),(BU321-BM321)/BM321)</f>
        <v>1</v>
      </c>
      <c r="CD321" s="32" t="n">
        <f aca="false">MAX(MAX(BV321:CC321),-MIN(BV321:CC321))</f>
        <v>1</v>
      </c>
      <c r="CE321" s="31" t="n">
        <f aca="false">IF(CI321="","",SUMIFS($CF$7:$CF$696,$A$7:$A$696,CI321,$B$7:$B$696,B321))</f>
        <v>456158</v>
      </c>
      <c r="CF321" s="31" t="n">
        <f aca="false">SUM(AU321:BE321)</f>
        <v>461032</v>
      </c>
      <c r="CG321" s="33" t="str">
        <f aca="false">A321&amp;"|"&amp;B321</f>
        <v>2026-09 月例|全国市長会</v>
      </c>
      <c r="CH321" s="34" t="str">
        <f aca="false">IFERROR(INDEX(設定!$D$61:$D$106,MATCH(B321,設定!$B$61:$B$106,0)),"Y")</f>
        <v>Y</v>
      </c>
      <c r="CI321" s="34" t="str">
        <f aca="false">IFERROR(INDEX(設定!$D$20:$D$34,MATCH(A321,設定!$A$20:$A$34,0))&amp;"","")</f>
        <v>2026-08 月例</v>
      </c>
    </row>
    <row r="322" customFormat="false" ht="15" hidden="true" customHeight="false" outlineLevel="0" collapsed="false">
      <c r="A322" s="22" t="s">
        <v>213</v>
      </c>
      <c r="B322" s="23" t="s">
        <v>200</v>
      </c>
      <c r="C322" s="10" t="str">
        <f aca="false">IF(G322="","未受領",IF(G322="なし","報告なし",IF(AH322="○","起票済",IF(OR(AG322="○",F322="一致",F322="入金不要"),"入金確認済","受領済"))))</f>
        <v>入金確認済</v>
      </c>
      <c r="D322" s="10" t="str">
        <f aca="false">IF(OR(G322="",G322="なし"),"―",IF(CH322="N","対象外",IF(AND(I322="",J322="",K322=""),"標報未入力",IF(CD322&gt;=設定!$B$4,"要確認","問題なし"))))</f>
        <v>標報未入力</v>
      </c>
      <c r="E322" s="24" t="str">
        <f aca="false">IF(OR(G322="",G322="なし",CE322="",CF322=0),"―",IF(CF322=CE322,"前月同額",IF(CE322=0,"―",IF(ABS(CF322/CE322-1)&gt;=設定!$B$5,"変動大 "&amp;TEXT(CF322/CE322-1,"+0%;-0%"),"〇"))))</f>
        <v>〇</v>
      </c>
      <c r="F322" s="10" t="str">
        <f aca="false">IF(OR(G322="",G322="なし"),"―",IF(CF322=0,"入金不要",IF(COUNT(Z322,AB322,AD322,AF322)=0,IF(AG322="○","手動確認","未入金"),IF(AND(N(Z322)=Y322,IF(AA322="",TRUE(),N(AB322)=AA322),IF(AC322="",TRUE(),N(AD322)=AC322),IF(AE322="",TRUE(),N(AF322)=AE322)),"一致","不一致"))))</f>
        <v>手動確認</v>
      </c>
      <c r="G322" s="25" t="s">
        <v>159</v>
      </c>
      <c r="H322" s="26"/>
      <c r="I322" s="27"/>
      <c r="J322" s="27"/>
      <c r="K322" s="27"/>
      <c r="L322" s="27" t="n">
        <v>142740</v>
      </c>
      <c r="M322" s="27" t="n">
        <v>11700</v>
      </c>
      <c r="N322" s="27" t="n">
        <v>142740</v>
      </c>
      <c r="O322" s="27" t="n">
        <v>11700</v>
      </c>
      <c r="P322" s="27" t="n">
        <v>135</v>
      </c>
      <c r="Q322" s="27"/>
      <c r="R322" s="27"/>
      <c r="S322" s="27"/>
      <c r="T322" s="27"/>
      <c r="U322" s="27"/>
      <c r="V322" s="27"/>
      <c r="W322" s="10" t="str">
        <f aca="false">IFERROR(INDEX(設定!$E$61:$E$106,MATCH(B322,設定!$B$61:$B$106,0)),"合算")</f>
        <v>合算</v>
      </c>
      <c r="X322" s="28"/>
      <c r="Y322" s="29" t="n">
        <f aca="false">IF(OR(G322="",G322="なし"),"",IF(W322="合算",CF322,IF(W322="掛金・負担金別",(AU322+AV322+AZ322+BB322+BD322),SUM(AU322:AY322))))</f>
        <v>309015</v>
      </c>
      <c r="Z322" s="27"/>
      <c r="AA322" s="29" t="str">
        <f aca="false">IF(OR(G322="",G322="なし"),"",IF(W322="掛金・負担金別",(AW322+AX322+AY322+BA322+BC322+BE322),IF(W322="経理区分別",AZ322+BA322,"")))</f>
        <v/>
      </c>
      <c r="AB322" s="27"/>
      <c r="AC322" s="29" t="str">
        <f aca="false">IF(OR(G322="",G322="なし"),"",IF(W322="経理区分別",BB322+BC322,""))</f>
        <v/>
      </c>
      <c r="AD322" s="27"/>
      <c r="AE322" s="29" t="str">
        <f aca="false">IF(OR(G322="",G322="なし"),"",IF(W322="経理区分別",BD322+BE322,""))</f>
        <v/>
      </c>
      <c r="AF322" s="27"/>
      <c r="AG322" s="26" t="s">
        <v>160</v>
      </c>
      <c r="AH322" s="26"/>
      <c r="AI322" s="30"/>
      <c r="AJ322" s="31"/>
      <c r="AK322" s="31"/>
      <c r="AL322" s="31"/>
      <c r="AM322" s="31"/>
      <c r="AN322" s="31"/>
      <c r="AO322" s="31"/>
      <c r="AP322" s="31"/>
      <c r="AQ322" s="31"/>
      <c r="AR322" s="31"/>
      <c r="AS322" s="31"/>
      <c r="AT322" s="31"/>
      <c r="AU322" s="31" t="n">
        <f aca="false">IF($G322="",AJ322,L322)</f>
        <v>142740</v>
      </c>
      <c r="AV322" s="31" t="n">
        <f aca="false">IF($G322="",AK322,M322)</f>
        <v>11700</v>
      </c>
      <c r="AW322" s="31" t="n">
        <f aca="false">IF($G322="",AL322,N322)</f>
        <v>142740</v>
      </c>
      <c r="AX322" s="31" t="n">
        <f aca="false">IF($G322="",AM322,O322)</f>
        <v>11700</v>
      </c>
      <c r="AY322" s="31" t="n">
        <f aca="false">IF($G322="",AN322,P322)</f>
        <v>135</v>
      </c>
      <c r="AZ322" s="31" t="n">
        <f aca="false">IF($G322="",AO322,Q322)</f>
        <v>0</v>
      </c>
      <c r="BA322" s="31" t="n">
        <f aca="false">IF($G322="",AP322,R322)</f>
        <v>0</v>
      </c>
      <c r="BB322" s="31" t="n">
        <f aca="false">IF($G322="",AQ322,S322)</f>
        <v>0</v>
      </c>
      <c r="BC322" s="31" t="n">
        <f aca="false">IF($G322="",AR322,T322)</f>
        <v>0</v>
      </c>
      <c r="BD322" s="31" t="n">
        <f aca="false">IF($G322="",AS322,U322)</f>
        <v>0</v>
      </c>
      <c r="BE322" s="31" t="n">
        <f aca="false">IF($G322="",AT322,V322)</f>
        <v>0</v>
      </c>
      <c r="BF322" s="31" t="n">
        <f aca="false">ROUNDDOWN(I322*設定!$B$10/1000,0)+ROUNDDOWN(I322*設定!$B$11/1000,0)</f>
        <v>0</v>
      </c>
      <c r="BG322" s="31" t="n">
        <f aca="false">ROUNDDOWN(I322*設定!$C$10/1000,0)+ROUNDDOWN(I322*設定!$C$11/1000,0)+ROUNDDOWN(I322*設定!$C$12/1000,0)</f>
        <v>0</v>
      </c>
      <c r="BH322" s="31" t="n">
        <f aca="false">ROUNDDOWN(J322*設定!$B$13/1000,0)</f>
        <v>0</v>
      </c>
      <c r="BI322" s="31" t="n">
        <f aca="false">ROUNDDOWN(J322*設定!$C$13/1000,0)</f>
        <v>0</v>
      </c>
      <c r="BJ322" s="31" t="n">
        <f aca="false">ROUNDDOWN(K322*設定!$B$14/1000,0)</f>
        <v>0</v>
      </c>
      <c r="BK322" s="31" t="n">
        <f aca="false">ROUNDDOWN(K322*設定!$C$14/1000,0)</f>
        <v>0</v>
      </c>
      <c r="BL322" s="31" t="n">
        <f aca="false">ROUNDDOWN(J322*設定!$B$15/1000,0)</f>
        <v>0</v>
      </c>
      <c r="BM322" s="31" t="n">
        <f aca="false">ROUNDDOWN(J322*設定!$C$15/1000,0)</f>
        <v>0</v>
      </c>
      <c r="BN322" s="31" t="n">
        <f aca="false">L322+M322</f>
        <v>154440</v>
      </c>
      <c r="BO322" s="31" t="n">
        <f aca="false">N322+O322+P322</f>
        <v>154575</v>
      </c>
      <c r="BP322" s="31" t="n">
        <f aca="false">Q322</f>
        <v>0</v>
      </c>
      <c r="BQ322" s="31" t="n">
        <f aca="false">R322</f>
        <v>0</v>
      </c>
      <c r="BR322" s="31" t="n">
        <f aca="false">S322</f>
        <v>0</v>
      </c>
      <c r="BS322" s="31" t="n">
        <f aca="false">T322</f>
        <v>0</v>
      </c>
      <c r="BT322" s="31" t="n">
        <f aca="false">U322</f>
        <v>0</v>
      </c>
      <c r="BU322" s="31" t="n">
        <f aca="false">V322</f>
        <v>0</v>
      </c>
      <c r="BV322" s="32" t="n">
        <f aca="false">IF(BF322=0,IF(BN322=0,0,1),(BN322-BF322)/BF322)</f>
        <v>1</v>
      </c>
      <c r="BW322" s="32" t="n">
        <f aca="false">IF(BG322=0,IF(BO322=0,0,1),(BO322-BG322)/BG322)</f>
        <v>1</v>
      </c>
      <c r="BX322" s="32" t="n">
        <f aca="false">IF(BH322=0,IF(BP322=0,0,1),(BP322-BH322)/BH322)</f>
        <v>0</v>
      </c>
      <c r="BY322" s="32" t="n">
        <f aca="false">IF(BI322=0,IF(BQ322=0,0,1),(BQ322-BI322)/BI322)</f>
        <v>0</v>
      </c>
      <c r="BZ322" s="32" t="n">
        <f aca="false">IF(BJ322=0,IF(BR322=0,0,1),(BR322-BJ322)/BJ322)</f>
        <v>0</v>
      </c>
      <c r="CA322" s="32" t="n">
        <f aca="false">IF(BK322=0,IF(BS322=0,0,1),(BS322-BK322)/BK322)</f>
        <v>0</v>
      </c>
      <c r="CB322" s="32" t="n">
        <f aca="false">IF(BL322=0,IF(BT322=0,0,1),(BT322-BL322)/BL322)</f>
        <v>0</v>
      </c>
      <c r="CC322" s="32" t="n">
        <f aca="false">IF(BM322=0,IF(BU322=0,0,1),(BU322-BM322)/BM322)</f>
        <v>0</v>
      </c>
      <c r="CD322" s="32" t="n">
        <f aca="false">MAX(MAX(BV322:CC322),-MIN(BV322:CC322))</f>
        <v>1</v>
      </c>
      <c r="CE322" s="31" t="n">
        <f aca="false">IF(CI322="","",SUMIFS($CF$7:$CF$696,$A$7:$A$696,CI322,$B$7:$B$696,B322))</f>
        <v>314958</v>
      </c>
      <c r="CF322" s="31" t="n">
        <f aca="false">SUM(AU322:BE322)</f>
        <v>309015</v>
      </c>
      <c r="CG322" s="33" t="str">
        <f aca="false">A322&amp;"|"&amp;B322</f>
        <v>2026-09 月例|高速交通（株）</v>
      </c>
      <c r="CH322" s="34" t="str">
        <f aca="false">IFERROR(INDEX(設定!$D$61:$D$106,MATCH(B322,設定!$B$61:$B$106,0)),"Y")</f>
        <v>Y</v>
      </c>
      <c r="CI322" s="34" t="str">
        <f aca="false">IFERROR(INDEX(設定!$D$20:$D$34,MATCH(A322,設定!$A$20:$A$34,0))&amp;"","")</f>
        <v>2026-08 月例</v>
      </c>
    </row>
    <row r="323" customFormat="false" ht="15" hidden="true" customHeight="false" outlineLevel="0" collapsed="false">
      <c r="A323" s="22" t="s">
        <v>213</v>
      </c>
      <c r="B323" s="23" t="s">
        <v>201</v>
      </c>
      <c r="C323" s="10" t="str">
        <f aca="false">IF(G323="","未受領",IF(G323="なし","報告なし",IF(AH323="○","起票済",IF(OR(AG323="○",F323="一致",F323="入金不要"),"入金確認済","受領済"))))</f>
        <v>入金確認済</v>
      </c>
      <c r="D323" s="10" t="str">
        <f aca="false">IF(OR(G323="",G323="なし"),"―",IF(CH323="N","対象外",IF(AND(I323="",J323="",K323=""),"標報未入力",IF(CD323&gt;=設定!$B$4,"要確認","問題なし"))))</f>
        <v>標報未入力</v>
      </c>
      <c r="E323" s="24" t="str">
        <f aca="false">IF(OR(G323="",G323="なし",CE323="",CF323=0),"―",IF(CF323=CE323,"前月同額",IF(CE323=0,"―",IF(ABS(CF323/CE323-1)&gt;=設定!$B$5,"変動大 "&amp;TEXT(CF323/CE323-1,"+0%;-0%"),"〇"))))</f>
        <v>前月同額</v>
      </c>
      <c r="F323" s="10" t="str">
        <f aca="false">IF(OR(G323="",G323="なし"),"―",IF(CF323=0,"入金不要",IF(COUNT(Z323,AB323,AD323,AF323)=0,IF(AG323="○","手動確認","未入金"),IF(AND(N(Z323)=Y323,IF(AA323="",TRUE(),N(AB323)=AA323),IF(AC323="",TRUE(),N(AD323)=AC323),IF(AE323="",TRUE(),N(AF323)=AE323)),"一致","不一致"))))</f>
        <v>手動確認</v>
      </c>
      <c r="G323" s="25" t="s">
        <v>159</v>
      </c>
      <c r="H323" s="26"/>
      <c r="I323" s="27"/>
      <c r="J323" s="27"/>
      <c r="K323" s="27"/>
      <c r="L323" s="27" t="n">
        <v>53985</v>
      </c>
      <c r="M323" s="27" t="n">
        <v>4425</v>
      </c>
      <c r="N323" s="27" t="n">
        <v>53985</v>
      </c>
      <c r="O323" s="27" t="n">
        <v>4425</v>
      </c>
      <c r="P323" s="27" t="n">
        <v>51</v>
      </c>
      <c r="Q323" s="27"/>
      <c r="R323" s="27"/>
      <c r="S323" s="27"/>
      <c r="T323" s="27"/>
      <c r="U323" s="27"/>
      <c r="V323" s="27"/>
      <c r="W323" s="10" t="str">
        <f aca="false">IFERROR(INDEX(設定!$E$61:$E$106,MATCH(B323,設定!$B$61:$B$106,0)),"合算")</f>
        <v>合算</v>
      </c>
      <c r="X323" s="28"/>
      <c r="Y323" s="29" t="n">
        <f aca="false">IF(OR(G323="",G323="なし"),"",IF(W323="合算",CF323,IF(W323="掛金・負担金別",(AU323+AV323+AZ323+BB323+BD323),SUM(AU323:AY323))))</f>
        <v>116871</v>
      </c>
      <c r="Z323" s="27"/>
      <c r="AA323" s="29" t="str">
        <f aca="false">IF(OR(G323="",G323="なし"),"",IF(W323="掛金・負担金別",(AW323+AX323+AY323+BA323+BC323+BE323),IF(W323="経理区分別",AZ323+BA323,"")))</f>
        <v/>
      </c>
      <c r="AB323" s="27"/>
      <c r="AC323" s="29" t="str">
        <f aca="false">IF(OR(G323="",G323="なし"),"",IF(W323="経理区分別",BB323+BC323,""))</f>
        <v/>
      </c>
      <c r="AD323" s="27"/>
      <c r="AE323" s="29" t="str">
        <f aca="false">IF(OR(G323="",G323="なし"),"",IF(W323="経理区分別",BD323+BE323,""))</f>
        <v/>
      </c>
      <c r="AF323" s="27"/>
      <c r="AG323" s="26" t="s">
        <v>160</v>
      </c>
      <c r="AH323" s="26"/>
      <c r="AI323" s="30"/>
      <c r="AJ323" s="31"/>
      <c r="AK323" s="31"/>
      <c r="AL323" s="31"/>
      <c r="AM323" s="31"/>
      <c r="AN323" s="31"/>
      <c r="AO323" s="31"/>
      <c r="AP323" s="31"/>
      <c r="AQ323" s="31"/>
      <c r="AR323" s="31"/>
      <c r="AS323" s="31"/>
      <c r="AT323" s="31"/>
      <c r="AU323" s="31" t="n">
        <f aca="false">IF($G323="",AJ323,L323)</f>
        <v>53985</v>
      </c>
      <c r="AV323" s="31" t="n">
        <f aca="false">IF($G323="",AK323,M323)</f>
        <v>4425</v>
      </c>
      <c r="AW323" s="31" t="n">
        <f aca="false">IF($G323="",AL323,N323)</f>
        <v>53985</v>
      </c>
      <c r="AX323" s="31" t="n">
        <f aca="false">IF($G323="",AM323,O323)</f>
        <v>4425</v>
      </c>
      <c r="AY323" s="31" t="n">
        <f aca="false">IF($G323="",AN323,P323)</f>
        <v>51</v>
      </c>
      <c r="AZ323" s="31" t="n">
        <f aca="false">IF($G323="",AO323,Q323)</f>
        <v>0</v>
      </c>
      <c r="BA323" s="31" t="n">
        <f aca="false">IF($G323="",AP323,R323)</f>
        <v>0</v>
      </c>
      <c r="BB323" s="31" t="n">
        <f aca="false">IF($G323="",AQ323,S323)</f>
        <v>0</v>
      </c>
      <c r="BC323" s="31" t="n">
        <f aca="false">IF($G323="",AR323,T323)</f>
        <v>0</v>
      </c>
      <c r="BD323" s="31" t="n">
        <f aca="false">IF($G323="",AS323,U323)</f>
        <v>0</v>
      </c>
      <c r="BE323" s="31" t="n">
        <f aca="false">IF($G323="",AT323,V323)</f>
        <v>0</v>
      </c>
      <c r="BF323" s="31" t="n">
        <f aca="false">ROUNDDOWN(I323*設定!$B$10/1000,0)+ROUNDDOWN(I323*設定!$B$11/1000,0)</f>
        <v>0</v>
      </c>
      <c r="BG323" s="31" t="n">
        <f aca="false">ROUNDDOWN(I323*設定!$C$10/1000,0)+ROUNDDOWN(I323*設定!$C$11/1000,0)+ROUNDDOWN(I323*設定!$C$12/1000,0)</f>
        <v>0</v>
      </c>
      <c r="BH323" s="31" t="n">
        <f aca="false">ROUNDDOWN(J323*設定!$B$13/1000,0)</f>
        <v>0</v>
      </c>
      <c r="BI323" s="31" t="n">
        <f aca="false">ROUNDDOWN(J323*設定!$C$13/1000,0)</f>
        <v>0</v>
      </c>
      <c r="BJ323" s="31" t="n">
        <f aca="false">ROUNDDOWN(K323*設定!$B$14/1000,0)</f>
        <v>0</v>
      </c>
      <c r="BK323" s="31" t="n">
        <f aca="false">ROUNDDOWN(K323*設定!$C$14/1000,0)</f>
        <v>0</v>
      </c>
      <c r="BL323" s="31" t="n">
        <f aca="false">ROUNDDOWN(J323*設定!$B$15/1000,0)</f>
        <v>0</v>
      </c>
      <c r="BM323" s="31" t="n">
        <f aca="false">ROUNDDOWN(J323*設定!$C$15/1000,0)</f>
        <v>0</v>
      </c>
      <c r="BN323" s="31" t="n">
        <f aca="false">L323+M323</f>
        <v>58410</v>
      </c>
      <c r="BO323" s="31" t="n">
        <f aca="false">N323+O323+P323</f>
        <v>58461</v>
      </c>
      <c r="BP323" s="31" t="n">
        <f aca="false">Q323</f>
        <v>0</v>
      </c>
      <c r="BQ323" s="31" t="n">
        <f aca="false">R323</f>
        <v>0</v>
      </c>
      <c r="BR323" s="31" t="n">
        <f aca="false">S323</f>
        <v>0</v>
      </c>
      <c r="BS323" s="31" t="n">
        <f aca="false">T323</f>
        <v>0</v>
      </c>
      <c r="BT323" s="31" t="n">
        <f aca="false">U323</f>
        <v>0</v>
      </c>
      <c r="BU323" s="31" t="n">
        <f aca="false">V323</f>
        <v>0</v>
      </c>
      <c r="BV323" s="32" t="n">
        <f aca="false">IF(BF323=0,IF(BN323=0,0,1),(BN323-BF323)/BF323)</f>
        <v>1</v>
      </c>
      <c r="BW323" s="32" t="n">
        <f aca="false">IF(BG323=0,IF(BO323=0,0,1),(BO323-BG323)/BG323)</f>
        <v>1</v>
      </c>
      <c r="BX323" s="32" t="n">
        <f aca="false">IF(BH323=0,IF(BP323=0,0,1),(BP323-BH323)/BH323)</f>
        <v>0</v>
      </c>
      <c r="BY323" s="32" t="n">
        <f aca="false">IF(BI323=0,IF(BQ323=0,0,1),(BQ323-BI323)/BI323)</f>
        <v>0</v>
      </c>
      <c r="BZ323" s="32" t="n">
        <f aca="false">IF(BJ323=0,IF(BR323=0,0,1),(BR323-BJ323)/BJ323)</f>
        <v>0</v>
      </c>
      <c r="CA323" s="32" t="n">
        <f aca="false">IF(BK323=0,IF(BS323=0,0,1),(BS323-BK323)/BK323)</f>
        <v>0</v>
      </c>
      <c r="CB323" s="32" t="n">
        <f aca="false">IF(BL323=0,IF(BT323=0,0,1),(BT323-BL323)/BL323)</f>
        <v>0</v>
      </c>
      <c r="CC323" s="32" t="n">
        <f aca="false">IF(BM323=0,IF(BU323=0,0,1),(BU323-BM323)/BM323)</f>
        <v>0</v>
      </c>
      <c r="CD323" s="32" t="n">
        <f aca="false">MAX(MAX(BV323:CC323),-MIN(BV323:CC323))</f>
        <v>1</v>
      </c>
      <c r="CE323" s="31" t="n">
        <f aca="false">IF(CI323="","",SUMIFS($CF$7:$CF$696,$A$7:$A$696,CI323,$B$7:$B$696,B323))</f>
        <v>116871</v>
      </c>
      <c r="CF323" s="31" t="n">
        <f aca="false">SUM(AU323:BE323)</f>
        <v>116871</v>
      </c>
      <c r="CG323" s="33" t="str">
        <f aca="false">A323&amp;"|"&amp;B323</f>
        <v>2026-09 月例|広島駅南口開発（株）</v>
      </c>
      <c r="CH323" s="34" t="str">
        <f aca="false">IFERROR(INDEX(設定!$D$61:$D$106,MATCH(B323,設定!$B$61:$B$106,0)),"Y")</f>
        <v>Y</v>
      </c>
      <c r="CI323" s="34" t="str">
        <f aca="false">IFERROR(INDEX(設定!$D$20:$D$34,MATCH(A323,設定!$A$20:$A$34,0))&amp;"","")</f>
        <v>2026-08 月例</v>
      </c>
    </row>
    <row r="324" customFormat="false" ht="15" hidden="true" customHeight="false" outlineLevel="0" collapsed="false">
      <c r="A324" s="22" t="s">
        <v>213</v>
      </c>
      <c r="B324" s="23" t="s">
        <v>202</v>
      </c>
      <c r="C324" s="10" t="str">
        <f aca="false">IF(G324="","未受領",IF(G324="なし","報告なし",IF(AH324="○","起票済",IF(OR(AG324="○",F324="一致",F324="入金不要"),"入金確認済","受領済"))))</f>
        <v>入金確認済</v>
      </c>
      <c r="D324" s="10" t="str">
        <f aca="false">IF(OR(G324="",G324="なし"),"―",IF(CH324="N","対象外",IF(AND(I324="",J324="",K324=""),"標報未入力",IF(CD324&gt;=設定!$B$4,"要確認","問題なし"))))</f>
        <v>標報未入力</v>
      </c>
      <c r="E324" s="24" t="str">
        <f aca="false">IF(OR(G324="",G324="なし",CE324="",CF324=0),"―",IF(CF324=CE324,"前月同額",IF(CE324=0,"―",IF(ABS(CF324/CE324-1)&gt;=設定!$B$5,"変動大 "&amp;TEXT(CF324/CE324-1,"+0%;-0%"),"〇"))))</f>
        <v>〇</v>
      </c>
      <c r="F324" s="10" t="str">
        <f aca="false">IF(OR(G324="",G324="なし"),"―",IF(CF324=0,"入金不要",IF(COUNT(Z324,AB324,AD324,AF324)=0,IF(AG324="○","手動確認","未入金"),IF(AND(N(Z324)=Y324,IF(AA324="",TRUE(),N(AB324)=AA324),IF(AC324="",TRUE(),N(AD324)=AC324),IF(AE324="",TRUE(),N(AF324)=AE324)),"一致","不一致"))))</f>
        <v>手動確認</v>
      </c>
      <c r="G324" s="25" t="s">
        <v>159</v>
      </c>
      <c r="H324" s="26"/>
      <c r="I324" s="27"/>
      <c r="J324" s="27"/>
      <c r="K324" s="27"/>
      <c r="L324" s="27" t="n">
        <v>31110</v>
      </c>
      <c r="M324" s="27" t="n">
        <v>2550</v>
      </c>
      <c r="N324" s="27" t="n">
        <v>31110</v>
      </c>
      <c r="O324" s="27" t="n">
        <v>2550</v>
      </c>
      <c r="P324" s="27"/>
      <c r="Q324" s="27" t="n">
        <v>17632</v>
      </c>
      <c r="R324" s="27" t="n">
        <v>17649</v>
      </c>
      <c r="S324" s="27" t="n">
        <v>2686</v>
      </c>
      <c r="T324" s="27" t="n">
        <v>2686</v>
      </c>
      <c r="U324" s="27" t="n">
        <v>391</v>
      </c>
      <c r="V324" s="27" t="n">
        <v>391</v>
      </c>
      <c r="W324" s="10" t="str">
        <f aca="false">IFERROR(INDEX(設定!$E$61:$E$106,MATCH(B324,設定!$B$61:$B$106,0)),"合算")</f>
        <v>合算</v>
      </c>
      <c r="X324" s="28"/>
      <c r="Y324" s="29" t="n">
        <f aca="false">IF(OR(G324="",G324="なし"),"",IF(W324="合算",CF324,IF(W324="掛金・負担金別",(AU324+AV324+AZ324+BB324+BD324),SUM(AU324:AY324))))</f>
        <v>108755</v>
      </c>
      <c r="Z324" s="27"/>
      <c r="AA324" s="29" t="str">
        <f aca="false">IF(OR(G324="",G324="なし"),"",IF(W324="掛金・負担金別",(AW324+AX324+AY324+BA324+BC324+BE324),IF(W324="経理区分別",AZ324+BA324,"")))</f>
        <v/>
      </c>
      <c r="AB324" s="27"/>
      <c r="AC324" s="29" t="str">
        <f aca="false">IF(OR(G324="",G324="なし"),"",IF(W324="経理区分別",BB324+BC324,""))</f>
        <v/>
      </c>
      <c r="AD324" s="27"/>
      <c r="AE324" s="29" t="str">
        <f aca="false">IF(OR(G324="",G324="なし"),"",IF(W324="経理区分別",BD324+BE324,""))</f>
        <v/>
      </c>
      <c r="AF324" s="27"/>
      <c r="AG324" s="26" t="s">
        <v>160</v>
      </c>
      <c r="AH324" s="26"/>
      <c r="AI324" s="30"/>
      <c r="AJ324" s="31"/>
      <c r="AK324" s="31"/>
      <c r="AL324" s="31"/>
      <c r="AM324" s="31"/>
      <c r="AN324" s="31"/>
      <c r="AO324" s="31"/>
      <c r="AP324" s="31"/>
      <c r="AQ324" s="31"/>
      <c r="AR324" s="31"/>
      <c r="AS324" s="31"/>
      <c r="AT324" s="31"/>
      <c r="AU324" s="31" t="n">
        <f aca="false">IF($G324="",AJ324,L324)</f>
        <v>31110</v>
      </c>
      <c r="AV324" s="31" t="n">
        <f aca="false">IF($G324="",AK324,M324)</f>
        <v>2550</v>
      </c>
      <c r="AW324" s="31" t="n">
        <f aca="false">IF($G324="",AL324,N324)</f>
        <v>31110</v>
      </c>
      <c r="AX324" s="31" t="n">
        <f aca="false">IF($G324="",AM324,O324)</f>
        <v>2550</v>
      </c>
      <c r="AY324" s="31" t="n">
        <f aca="false">IF($G324="",AN324,P324)</f>
        <v>0</v>
      </c>
      <c r="AZ324" s="31" t="n">
        <f aca="false">IF($G324="",AO324,Q324)</f>
        <v>17632</v>
      </c>
      <c r="BA324" s="31" t="n">
        <f aca="false">IF($G324="",AP324,R324)</f>
        <v>17649</v>
      </c>
      <c r="BB324" s="31" t="n">
        <f aca="false">IF($G324="",AQ324,S324)</f>
        <v>2686</v>
      </c>
      <c r="BC324" s="31" t="n">
        <f aca="false">IF($G324="",AR324,T324)</f>
        <v>2686</v>
      </c>
      <c r="BD324" s="31" t="n">
        <f aca="false">IF($G324="",AS324,U324)</f>
        <v>391</v>
      </c>
      <c r="BE324" s="31" t="n">
        <f aca="false">IF($G324="",AT324,V324)</f>
        <v>391</v>
      </c>
      <c r="BF324" s="31" t="n">
        <f aca="false">ROUNDDOWN(I324*設定!$B$10/1000,0)+ROUNDDOWN(I324*設定!$B$11/1000,0)</f>
        <v>0</v>
      </c>
      <c r="BG324" s="31" t="n">
        <f aca="false">ROUNDDOWN(I324*設定!$C$10/1000,0)+ROUNDDOWN(I324*設定!$C$11/1000,0)+ROUNDDOWN(I324*設定!$C$12/1000,0)</f>
        <v>0</v>
      </c>
      <c r="BH324" s="31" t="n">
        <f aca="false">ROUNDDOWN(J324*設定!$B$13/1000,0)</f>
        <v>0</v>
      </c>
      <c r="BI324" s="31" t="n">
        <f aca="false">ROUNDDOWN(J324*設定!$C$13/1000,0)</f>
        <v>0</v>
      </c>
      <c r="BJ324" s="31" t="n">
        <f aca="false">ROUNDDOWN(K324*設定!$B$14/1000,0)</f>
        <v>0</v>
      </c>
      <c r="BK324" s="31" t="n">
        <f aca="false">ROUNDDOWN(K324*設定!$C$14/1000,0)</f>
        <v>0</v>
      </c>
      <c r="BL324" s="31" t="n">
        <f aca="false">ROUNDDOWN(J324*設定!$B$15/1000,0)</f>
        <v>0</v>
      </c>
      <c r="BM324" s="31" t="n">
        <f aca="false">ROUNDDOWN(J324*設定!$C$15/1000,0)</f>
        <v>0</v>
      </c>
      <c r="BN324" s="31" t="n">
        <f aca="false">L324+M324</f>
        <v>33660</v>
      </c>
      <c r="BO324" s="31" t="n">
        <f aca="false">N324+O324+P324</f>
        <v>33660</v>
      </c>
      <c r="BP324" s="31" t="n">
        <f aca="false">Q324</f>
        <v>17632</v>
      </c>
      <c r="BQ324" s="31" t="n">
        <f aca="false">R324</f>
        <v>17649</v>
      </c>
      <c r="BR324" s="31" t="n">
        <f aca="false">S324</f>
        <v>2686</v>
      </c>
      <c r="BS324" s="31" t="n">
        <f aca="false">T324</f>
        <v>2686</v>
      </c>
      <c r="BT324" s="31" t="n">
        <f aca="false">U324</f>
        <v>391</v>
      </c>
      <c r="BU324" s="31" t="n">
        <f aca="false">V324</f>
        <v>391</v>
      </c>
      <c r="BV324" s="32" t="n">
        <f aca="false">IF(BF324=0,IF(BN324=0,0,1),(BN324-BF324)/BF324)</f>
        <v>1</v>
      </c>
      <c r="BW324" s="32" t="n">
        <f aca="false">IF(BG324=0,IF(BO324=0,0,1),(BO324-BG324)/BG324)</f>
        <v>1</v>
      </c>
      <c r="BX324" s="32" t="n">
        <f aca="false">IF(BH324=0,IF(BP324=0,0,1),(BP324-BH324)/BH324)</f>
        <v>1</v>
      </c>
      <c r="BY324" s="32" t="n">
        <f aca="false">IF(BI324=0,IF(BQ324=0,0,1),(BQ324-BI324)/BI324)</f>
        <v>1</v>
      </c>
      <c r="BZ324" s="32" t="n">
        <f aca="false">IF(BJ324=0,IF(BR324=0,0,1),(BR324-BJ324)/BJ324)</f>
        <v>1</v>
      </c>
      <c r="CA324" s="32" t="n">
        <f aca="false">IF(BK324=0,IF(BS324=0,0,1),(BS324-BK324)/BK324)</f>
        <v>1</v>
      </c>
      <c r="CB324" s="32" t="n">
        <f aca="false">IF(BL324=0,IF(BT324=0,0,1),(BT324-BL324)/BL324)</f>
        <v>1</v>
      </c>
      <c r="CC324" s="32" t="n">
        <f aca="false">IF(BM324=0,IF(BU324=0,0,1),(BU324-BM324)/BM324)</f>
        <v>1</v>
      </c>
      <c r="CD324" s="32" t="n">
        <f aca="false">MAX(MAX(BV324:CC324),-MIN(BV324:CC324))</f>
        <v>1</v>
      </c>
      <c r="CE324" s="31" t="n">
        <f aca="false">IF(CI324="","",SUMIFS($CF$7:$CF$696,$A$7:$A$696,CI324,$B$7:$B$696,B324))</f>
        <v>102358</v>
      </c>
      <c r="CF324" s="31" t="n">
        <f aca="false">SUM(AU324:BE324)</f>
        <v>108755</v>
      </c>
      <c r="CG324" s="33" t="str">
        <f aca="false">A324&amp;"|"&amp;B324</f>
        <v>2026-09 月例|市職員労働組合</v>
      </c>
      <c r="CH324" s="34" t="str">
        <f aca="false">IFERROR(INDEX(設定!$D$61:$D$106,MATCH(B324,設定!$B$61:$B$106,0)),"Y")</f>
        <v>Y</v>
      </c>
      <c r="CI324" s="34" t="str">
        <f aca="false">IFERROR(INDEX(設定!$D$20:$D$34,MATCH(A324,設定!$A$20:$A$34,0))&amp;"","")</f>
        <v>2026-08 月例</v>
      </c>
    </row>
    <row r="325" customFormat="false" ht="15" hidden="true" customHeight="false" outlineLevel="0" collapsed="false">
      <c r="A325" s="22" t="s">
        <v>213</v>
      </c>
      <c r="B325" s="23" t="s">
        <v>203</v>
      </c>
      <c r="C325" s="10" t="str">
        <f aca="false">IF(G325="","未受領",IF(G325="なし","報告なし",IF(AH325="○","起票済",IF(OR(AG325="○",F325="一致",F325="入金不要"),"入金確認済","受領済"))))</f>
        <v>未受領</v>
      </c>
      <c r="D325" s="10" t="str">
        <f aca="false">IF(OR(G325="",G325="なし"),"―",IF(CH325="N","対象外",IF(AND(I325="",J325="",K325=""),"標報未入力",IF(CD325&gt;=設定!$B$4,"要確認","問題なし"))))</f>
        <v>―</v>
      </c>
      <c r="E325" s="24" t="str">
        <f aca="false">IF(OR(G325="",G325="なし",CE325="",CF325=0),"―",IF(CF325=CE325,"前月同額",IF(CE325=0,"―",IF(ABS(CF325/CE325-1)&gt;=設定!$B$5,"変動大 "&amp;TEXT(CF325/CE325-1,"+0%;-0%"),"〇"))))</f>
        <v>―</v>
      </c>
      <c r="F325" s="10" t="str">
        <f aca="false">IF(OR(G325="",G325="なし"),"―",IF(CF325=0,"入金不要",IF(COUNT(Z325,AB325,AD325,AF325)=0,IF(AG325="○","手動確認","未入金"),IF(AND(N(Z325)=Y325,IF(AA325="",TRUE(),N(AB325)=AA325),IF(AC325="",TRUE(),N(AD325)=AC325),IF(AE325="",TRUE(),N(AF325)=AE325)),"一致","不一致"))))</f>
        <v>―</v>
      </c>
      <c r="G325" s="25"/>
      <c r="H325" s="26"/>
      <c r="I325" s="27"/>
      <c r="J325" s="27"/>
      <c r="K325" s="27"/>
      <c r="L325" s="27"/>
      <c r="M325" s="27"/>
      <c r="N325" s="27"/>
      <c r="O325" s="27"/>
      <c r="P325" s="27"/>
      <c r="Q325" s="27"/>
      <c r="R325" s="27"/>
      <c r="S325" s="27"/>
      <c r="T325" s="27"/>
      <c r="U325" s="27"/>
      <c r="V325" s="27"/>
      <c r="W325" s="10" t="str">
        <f aca="false">IFERROR(INDEX(設定!$E$61:$E$106,MATCH(B325,設定!$B$61:$B$106,0)),"合算")</f>
        <v>合算</v>
      </c>
      <c r="X325" s="28"/>
      <c r="Y325" s="29" t="str">
        <f aca="false">IF(OR(G325="",G325="なし"),"",IF(W325="合算",CF325,IF(W325="掛金・負担金別",(AU325+AV325+AZ325+BB325+BD325),SUM(AU325:AY325))))</f>
        <v/>
      </c>
      <c r="Z325" s="27"/>
      <c r="AA325" s="29" t="str">
        <f aca="false">IF(OR(G325="",G325="なし"),"",IF(W325="掛金・負担金別",(AW325+AX325+AY325+BA325+BC325+BE325),IF(W325="経理区分別",AZ325+BA325,"")))</f>
        <v/>
      </c>
      <c r="AB325" s="27"/>
      <c r="AC325" s="29" t="str">
        <f aca="false">IF(OR(G325="",G325="なし"),"",IF(W325="経理区分別",BB325+BC325,""))</f>
        <v/>
      </c>
      <c r="AD325" s="27"/>
      <c r="AE325" s="29" t="str">
        <f aca="false">IF(OR(G325="",G325="なし"),"",IF(W325="経理区分別",BD325+BE325,""))</f>
        <v/>
      </c>
      <c r="AF325" s="27"/>
      <c r="AG325" s="26"/>
      <c r="AH325" s="26"/>
      <c r="AI325" s="30"/>
      <c r="AJ325" s="31" t="n">
        <v>0</v>
      </c>
      <c r="AK325" s="31" t="n">
        <v>0</v>
      </c>
      <c r="AL325" s="31" t="n">
        <v>0</v>
      </c>
      <c r="AM325" s="31" t="n">
        <v>0</v>
      </c>
      <c r="AN325" s="31"/>
      <c r="AO325" s="31" t="n">
        <v>0</v>
      </c>
      <c r="AP325" s="31" t="n">
        <v>0</v>
      </c>
      <c r="AQ325" s="31" t="n">
        <v>0</v>
      </c>
      <c r="AR325" s="31" t="n">
        <v>0</v>
      </c>
      <c r="AS325" s="31" t="n">
        <v>0</v>
      </c>
      <c r="AT325" s="31" t="n">
        <v>0</v>
      </c>
      <c r="AU325" s="31" t="n">
        <f aca="false">IF($G325="",AJ325,L325)</f>
        <v>0</v>
      </c>
      <c r="AV325" s="31" t="n">
        <f aca="false">IF($G325="",AK325,M325)</f>
        <v>0</v>
      </c>
      <c r="AW325" s="31" t="n">
        <f aca="false">IF($G325="",AL325,N325)</f>
        <v>0</v>
      </c>
      <c r="AX325" s="31" t="n">
        <f aca="false">IF($G325="",AM325,O325)</f>
        <v>0</v>
      </c>
      <c r="AY325" s="31" t="n">
        <f aca="false">IF($G325="",AN325,P325)</f>
        <v>0</v>
      </c>
      <c r="AZ325" s="31" t="n">
        <f aca="false">IF($G325="",AO325,Q325)</f>
        <v>0</v>
      </c>
      <c r="BA325" s="31" t="n">
        <f aca="false">IF($G325="",AP325,R325)</f>
        <v>0</v>
      </c>
      <c r="BB325" s="31" t="n">
        <f aca="false">IF($G325="",AQ325,S325)</f>
        <v>0</v>
      </c>
      <c r="BC325" s="31" t="n">
        <f aca="false">IF($G325="",AR325,T325)</f>
        <v>0</v>
      </c>
      <c r="BD325" s="31" t="n">
        <f aca="false">IF($G325="",AS325,U325)</f>
        <v>0</v>
      </c>
      <c r="BE325" s="31" t="n">
        <f aca="false">IF($G325="",AT325,V325)</f>
        <v>0</v>
      </c>
      <c r="BF325" s="31" t="n">
        <f aca="false">ROUNDDOWN(I325*設定!$B$10/1000,0)+ROUNDDOWN(I325*設定!$B$11/1000,0)</f>
        <v>0</v>
      </c>
      <c r="BG325" s="31" t="n">
        <f aca="false">ROUNDDOWN(I325*設定!$C$10/1000,0)+ROUNDDOWN(I325*設定!$C$11/1000,0)+ROUNDDOWN(I325*設定!$C$12/1000,0)</f>
        <v>0</v>
      </c>
      <c r="BH325" s="31" t="n">
        <f aca="false">ROUNDDOWN(J325*設定!$B$13/1000,0)</f>
        <v>0</v>
      </c>
      <c r="BI325" s="31" t="n">
        <f aca="false">ROUNDDOWN(J325*設定!$C$13/1000,0)</f>
        <v>0</v>
      </c>
      <c r="BJ325" s="31" t="n">
        <f aca="false">ROUNDDOWN(K325*設定!$B$14/1000,0)</f>
        <v>0</v>
      </c>
      <c r="BK325" s="31" t="n">
        <f aca="false">ROUNDDOWN(K325*設定!$C$14/1000,0)</f>
        <v>0</v>
      </c>
      <c r="BL325" s="31" t="n">
        <f aca="false">ROUNDDOWN(J325*設定!$B$15/1000,0)</f>
        <v>0</v>
      </c>
      <c r="BM325" s="31" t="n">
        <f aca="false">ROUNDDOWN(J325*設定!$C$15/1000,0)</f>
        <v>0</v>
      </c>
      <c r="BN325" s="31" t="n">
        <f aca="false">L325+M325</f>
        <v>0</v>
      </c>
      <c r="BO325" s="31" t="n">
        <f aca="false">N325+O325+P325</f>
        <v>0</v>
      </c>
      <c r="BP325" s="31" t="n">
        <f aca="false">Q325</f>
        <v>0</v>
      </c>
      <c r="BQ325" s="31" t="n">
        <f aca="false">R325</f>
        <v>0</v>
      </c>
      <c r="BR325" s="31" t="n">
        <f aca="false">S325</f>
        <v>0</v>
      </c>
      <c r="BS325" s="31" t="n">
        <f aca="false">T325</f>
        <v>0</v>
      </c>
      <c r="BT325" s="31" t="n">
        <f aca="false">U325</f>
        <v>0</v>
      </c>
      <c r="BU325" s="31" t="n">
        <f aca="false">V325</f>
        <v>0</v>
      </c>
      <c r="BV325" s="32" t="n">
        <f aca="false">IF(BF325=0,IF(BN325=0,0,1),(BN325-BF325)/BF325)</f>
        <v>0</v>
      </c>
      <c r="BW325" s="32" t="n">
        <f aca="false">IF(BG325=0,IF(BO325=0,0,1),(BO325-BG325)/BG325)</f>
        <v>0</v>
      </c>
      <c r="BX325" s="32" t="n">
        <f aca="false">IF(BH325=0,IF(BP325=0,0,1),(BP325-BH325)/BH325)</f>
        <v>0</v>
      </c>
      <c r="BY325" s="32" t="n">
        <f aca="false">IF(BI325=0,IF(BQ325=0,0,1),(BQ325-BI325)/BI325)</f>
        <v>0</v>
      </c>
      <c r="BZ325" s="32" t="n">
        <f aca="false">IF(BJ325=0,IF(BR325=0,0,1),(BR325-BJ325)/BJ325)</f>
        <v>0</v>
      </c>
      <c r="CA325" s="32" t="n">
        <f aca="false">IF(BK325=0,IF(BS325=0,0,1),(BS325-BK325)/BK325)</f>
        <v>0</v>
      </c>
      <c r="CB325" s="32" t="n">
        <f aca="false">IF(BL325=0,IF(BT325=0,0,1),(BT325-BL325)/BL325)</f>
        <v>0</v>
      </c>
      <c r="CC325" s="32" t="n">
        <f aca="false">IF(BM325=0,IF(BU325=0,0,1),(BU325-BM325)/BM325)</f>
        <v>0</v>
      </c>
      <c r="CD325" s="32" t="n">
        <f aca="false">MAX(MAX(BV325:CC325),-MIN(BV325:CC325))</f>
        <v>-0</v>
      </c>
      <c r="CE325" s="31" t="n">
        <f aca="false">IF(CI325="","",SUMIFS($CF$7:$CF$696,$A$7:$A$696,CI325,$B$7:$B$696,B325))</f>
        <v>0</v>
      </c>
      <c r="CF325" s="31" t="n">
        <f aca="false">SUM(AU325:BE325)</f>
        <v>0</v>
      </c>
      <c r="CG325" s="33" t="str">
        <f aca="false">A325&amp;"|"&amp;B325</f>
        <v>2026-09 月例|自治労労働組合</v>
      </c>
      <c r="CH325" s="34" t="str">
        <f aca="false">IFERROR(INDEX(設定!$D$61:$D$106,MATCH(B325,設定!$B$61:$B$106,0)),"Y")</f>
        <v>Y</v>
      </c>
      <c r="CI325" s="34" t="str">
        <f aca="false">IFERROR(INDEX(設定!$D$20:$D$34,MATCH(A325,設定!$A$20:$A$34,0))&amp;"","")</f>
        <v>2026-08 月例</v>
      </c>
    </row>
    <row r="326" customFormat="false" ht="15" hidden="true" customHeight="false" outlineLevel="0" collapsed="false">
      <c r="A326" s="22" t="s">
        <v>213</v>
      </c>
      <c r="B326" s="23" t="s">
        <v>204</v>
      </c>
      <c r="C326" s="10" t="str">
        <f aca="false">IF(G326="","未受領",IF(G326="なし","報告なし",IF(AH326="○","起票済",IF(OR(AG326="○",F326="一致",F326="入金不要"),"入金確認済","受領済"))))</f>
        <v>入金確認済</v>
      </c>
      <c r="D326" s="10" t="str">
        <f aca="false">IF(OR(G326="",G326="なし"),"―",IF(CH326="N","対象外",IF(AND(I326="",J326="",K326=""),"標報未入力",IF(CD326&gt;=設定!$B$4,"要確認","問題なし"))))</f>
        <v>標報未入力</v>
      </c>
      <c r="E326" s="24" t="str">
        <f aca="false">IF(OR(G326="",G326="なし",CE326="",CF326=0),"―",IF(CF326=CE326,"前月同額",IF(CE326=0,"―",IF(ABS(CF326/CE326-1)&gt;=設定!$B$5,"変動大 "&amp;TEXT(CF326/CE326-1,"+0%;-0%"),"〇"))))</f>
        <v>〇</v>
      </c>
      <c r="F326" s="10" t="str">
        <f aca="false">IF(OR(G326="",G326="なし"),"―",IF(CF326=0,"入金不要",IF(COUNT(Z326,AB326,AD326,AF326)=0,IF(AG326="○","手動確認","未入金"),IF(AND(N(Z326)=Y326,IF(AA326="",TRUE(),N(AB326)=AA326),IF(AC326="",TRUE(),N(AD326)=AC326),IF(AE326="",TRUE(),N(AF326)=AE326)),"一致","不一致"))))</f>
        <v>手動確認</v>
      </c>
      <c r="G326" s="25" t="s">
        <v>159</v>
      </c>
      <c r="H326" s="26"/>
      <c r="I326" s="27"/>
      <c r="J326" s="27"/>
      <c r="K326" s="27"/>
      <c r="L326" s="27" t="n">
        <v>29280</v>
      </c>
      <c r="M326" s="27" t="n">
        <v>2400</v>
      </c>
      <c r="N326" s="27" t="n">
        <v>29280</v>
      </c>
      <c r="O326" s="27" t="n">
        <v>2400</v>
      </c>
      <c r="P326" s="27"/>
      <c r="Q326" s="27" t="n">
        <v>32153</v>
      </c>
      <c r="R326" s="27" t="n">
        <v>32184</v>
      </c>
      <c r="S326" s="27" t="n">
        <v>2370</v>
      </c>
      <c r="T326" s="27" t="n">
        <v>2370</v>
      </c>
      <c r="U326" s="27" t="n">
        <v>713</v>
      </c>
      <c r="V326" s="27" t="n">
        <v>713</v>
      </c>
      <c r="W326" s="10" t="str">
        <f aca="false">IFERROR(INDEX(設定!$E$61:$E$106,MATCH(B326,設定!$B$61:$B$106,0)),"合算")</f>
        <v>合算</v>
      </c>
      <c r="X326" s="28"/>
      <c r="Y326" s="29" t="n">
        <f aca="false">IF(OR(G326="",G326="なし"),"",IF(W326="合算",CF326,IF(W326="掛金・負担金別",(AU326+AV326+AZ326+BB326+BD326),SUM(AU326:AY326))))</f>
        <v>133863</v>
      </c>
      <c r="Z326" s="27"/>
      <c r="AA326" s="29" t="str">
        <f aca="false">IF(OR(G326="",G326="なし"),"",IF(W326="掛金・負担金別",(AW326+AX326+AY326+BA326+BC326+BE326),IF(W326="経理区分別",AZ326+BA326,"")))</f>
        <v/>
      </c>
      <c r="AB326" s="27"/>
      <c r="AC326" s="29" t="str">
        <f aca="false">IF(OR(G326="",G326="なし"),"",IF(W326="経理区分別",BB326+BC326,""))</f>
        <v/>
      </c>
      <c r="AD326" s="27"/>
      <c r="AE326" s="29" t="str">
        <f aca="false">IF(OR(G326="",G326="なし"),"",IF(W326="経理区分別",BD326+BE326,""))</f>
        <v/>
      </c>
      <c r="AF326" s="27"/>
      <c r="AG326" s="26" t="s">
        <v>160</v>
      </c>
      <c r="AH326" s="26"/>
      <c r="AI326" s="30"/>
      <c r="AJ326" s="31"/>
      <c r="AK326" s="31"/>
      <c r="AL326" s="31"/>
      <c r="AM326" s="31"/>
      <c r="AN326" s="31"/>
      <c r="AO326" s="31"/>
      <c r="AP326" s="31"/>
      <c r="AQ326" s="31"/>
      <c r="AR326" s="31"/>
      <c r="AS326" s="31"/>
      <c r="AT326" s="31"/>
      <c r="AU326" s="31" t="n">
        <f aca="false">IF($G326="",AJ326,L326)</f>
        <v>29280</v>
      </c>
      <c r="AV326" s="31" t="n">
        <f aca="false">IF($G326="",AK326,M326)</f>
        <v>2400</v>
      </c>
      <c r="AW326" s="31" t="n">
        <f aca="false">IF($G326="",AL326,N326)</f>
        <v>29280</v>
      </c>
      <c r="AX326" s="31" t="n">
        <f aca="false">IF($G326="",AM326,O326)</f>
        <v>2400</v>
      </c>
      <c r="AY326" s="31" t="n">
        <f aca="false">IF($G326="",AN326,P326)</f>
        <v>0</v>
      </c>
      <c r="AZ326" s="31" t="n">
        <f aca="false">IF($G326="",AO326,Q326)</f>
        <v>32153</v>
      </c>
      <c r="BA326" s="31" t="n">
        <f aca="false">IF($G326="",AP326,R326)</f>
        <v>32184</v>
      </c>
      <c r="BB326" s="31" t="n">
        <f aca="false">IF($G326="",AQ326,S326)</f>
        <v>2370</v>
      </c>
      <c r="BC326" s="31" t="n">
        <f aca="false">IF($G326="",AR326,T326)</f>
        <v>2370</v>
      </c>
      <c r="BD326" s="31" t="n">
        <f aca="false">IF($G326="",AS326,U326)</f>
        <v>713</v>
      </c>
      <c r="BE326" s="31" t="n">
        <f aca="false">IF($G326="",AT326,V326)</f>
        <v>713</v>
      </c>
      <c r="BF326" s="31" t="n">
        <f aca="false">ROUNDDOWN(I326*設定!$B$10/1000,0)+ROUNDDOWN(I326*設定!$B$11/1000,0)</f>
        <v>0</v>
      </c>
      <c r="BG326" s="31" t="n">
        <f aca="false">ROUNDDOWN(I326*設定!$C$10/1000,0)+ROUNDDOWN(I326*設定!$C$11/1000,0)+ROUNDDOWN(I326*設定!$C$12/1000,0)</f>
        <v>0</v>
      </c>
      <c r="BH326" s="31" t="n">
        <f aca="false">ROUNDDOWN(J326*設定!$B$13/1000,0)</f>
        <v>0</v>
      </c>
      <c r="BI326" s="31" t="n">
        <f aca="false">ROUNDDOWN(J326*設定!$C$13/1000,0)</f>
        <v>0</v>
      </c>
      <c r="BJ326" s="31" t="n">
        <f aca="false">ROUNDDOWN(K326*設定!$B$14/1000,0)</f>
        <v>0</v>
      </c>
      <c r="BK326" s="31" t="n">
        <f aca="false">ROUNDDOWN(K326*設定!$C$14/1000,0)</f>
        <v>0</v>
      </c>
      <c r="BL326" s="31" t="n">
        <f aca="false">ROUNDDOWN(J326*設定!$B$15/1000,0)</f>
        <v>0</v>
      </c>
      <c r="BM326" s="31" t="n">
        <f aca="false">ROUNDDOWN(J326*設定!$C$15/1000,0)</f>
        <v>0</v>
      </c>
      <c r="BN326" s="31" t="n">
        <f aca="false">L326+M326</f>
        <v>31680</v>
      </c>
      <c r="BO326" s="31" t="n">
        <f aca="false">N326+O326+P326</f>
        <v>31680</v>
      </c>
      <c r="BP326" s="31" t="n">
        <f aca="false">Q326</f>
        <v>32153</v>
      </c>
      <c r="BQ326" s="31" t="n">
        <f aca="false">R326</f>
        <v>32184</v>
      </c>
      <c r="BR326" s="31" t="n">
        <f aca="false">S326</f>
        <v>2370</v>
      </c>
      <c r="BS326" s="31" t="n">
        <f aca="false">T326</f>
        <v>2370</v>
      </c>
      <c r="BT326" s="31" t="n">
        <f aca="false">U326</f>
        <v>713</v>
      </c>
      <c r="BU326" s="31" t="n">
        <f aca="false">V326</f>
        <v>713</v>
      </c>
      <c r="BV326" s="32" t="n">
        <f aca="false">IF(BF326=0,IF(BN326=0,0,1),(BN326-BF326)/BF326)</f>
        <v>1</v>
      </c>
      <c r="BW326" s="32" t="n">
        <f aca="false">IF(BG326=0,IF(BO326=0,0,1),(BO326-BG326)/BG326)</f>
        <v>1</v>
      </c>
      <c r="BX326" s="32" t="n">
        <f aca="false">IF(BH326=0,IF(BP326=0,0,1),(BP326-BH326)/BH326)</f>
        <v>1</v>
      </c>
      <c r="BY326" s="32" t="n">
        <f aca="false">IF(BI326=0,IF(BQ326=0,0,1),(BQ326-BI326)/BI326)</f>
        <v>1</v>
      </c>
      <c r="BZ326" s="32" t="n">
        <f aca="false">IF(BJ326=0,IF(BR326=0,0,1),(BR326-BJ326)/BJ326)</f>
        <v>1</v>
      </c>
      <c r="CA326" s="32" t="n">
        <f aca="false">IF(BK326=0,IF(BS326=0,0,1),(BS326-BK326)/BK326)</f>
        <v>1</v>
      </c>
      <c r="CB326" s="32" t="n">
        <f aca="false">IF(BL326=0,IF(BT326=0,0,1),(BT326-BL326)/BL326)</f>
        <v>1</v>
      </c>
      <c r="CC326" s="32" t="n">
        <f aca="false">IF(BM326=0,IF(BU326=0,0,1),(BU326-BM326)/BM326)</f>
        <v>1</v>
      </c>
      <c r="CD326" s="32" t="n">
        <f aca="false">MAX(MAX(BV326:CC326),-MIN(BV326:CC326))</f>
        <v>1</v>
      </c>
      <c r="CE326" s="31" t="n">
        <f aca="false">IF(CI326="","",SUMIFS($CF$7:$CF$696,$A$7:$A$696,CI326,$B$7:$B$696,B326))</f>
        <v>127782</v>
      </c>
      <c r="CF326" s="31" t="n">
        <f aca="false">SUM(AU326:BE326)</f>
        <v>133863</v>
      </c>
      <c r="CG326" s="33" t="str">
        <f aca="false">A326&amp;"|"&amp;B326</f>
        <v>2026-09 月例|病院労働組合</v>
      </c>
      <c r="CH326" s="34" t="str">
        <f aca="false">IFERROR(INDEX(設定!$D$61:$D$106,MATCH(B326,設定!$B$61:$B$106,0)),"Y")</f>
        <v>Y</v>
      </c>
      <c r="CI326" s="34" t="str">
        <f aca="false">IFERROR(INDEX(設定!$D$20:$D$34,MATCH(A326,設定!$A$20:$A$34,0))&amp;"","")</f>
        <v>2026-08 月例</v>
      </c>
    </row>
    <row r="327" customFormat="false" ht="15" hidden="true" customHeight="false" outlineLevel="0" collapsed="false">
      <c r="A327" s="22" t="s">
        <v>213</v>
      </c>
      <c r="B327" s="23" t="s">
        <v>205</v>
      </c>
      <c r="C327" s="10" t="str">
        <f aca="false">IF(G327="","未受領",IF(G327="なし","報告なし",IF(AH327="○","起票済",IF(OR(AG327="○",F327="一致",F327="入金不要"),"入金確認済","受領済"))))</f>
        <v>報告なし</v>
      </c>
      <c r="D327" s="10" t="str">
        <f aca="false">IF(OR(G327="",G327="なし"),"―",IF(CH327="N","対象外",IF(AND(I327="",J327="",K327=""),"標報未入力",IF(CD327&gt;=設定!$B$4,"要確認","問題なし"))))</f>
        <v>―</v>
      </c>
      <c r="E327" s="24" t="str">
        <f aca="false">IF(OR(G327="",G327="なし",CE327="",CF327=0),"―",IF(CF327=CE327,"前月同額",IF(CE327=0,"―",IF(ABS(CF327/CE327-1)&gt;=設定!$B$5,"変動大 "&amp;TEXT(CF327/CE327-1,"+0%;-0%"),"〇"))))</f>
        <v>―</v>
      </c>
      <c r="F327" s="10" t="str">
        <f aca="false">IF(OR(G327="",G327="なし"),"―",IF(CF327=0,"入金不要",IF(COUNT(Z327,AB327,AD327,AF327)=0,IF(AG327="○","手動確認","未入金"),IF(AND(N(Z327)=Y327,IF(AA327="",TRUE(),N(AB327)=AA327),IF(AC327="",TRUE(),N(AD327)=AC327),IF(AE327="",TRUE(),N(AF327)=AE327)),"一致","不一致"))))</f>
        <v>―</v>
      </c>
      <c r="G327" s="25" t="s">
        <v>173</v>
      </c>
      <c r="H327" s="26"/>
      <c r="I327" s="27"/>
      <c r="J327" s="27"/>
      <c r="K327" s="27"/>
      <c r="L327" s="27"/>
      <c r="M327" s="27"/>
      <c r="N327" s="27"/>
      <c r="O327" s="27"/>
      <c r="P327" s="27"/>
      <c r="Q327" s="27"/>
      <c r="R327" s="27"/>
      <c r="S327" s="27"/>
      <c r="T327" s="27"/>
      <c r="U327" s="27"/>
      <c r="V327" s="27"/>
      <c r="W327" s="10" t="str">
        <f aca="false">IFERROR(INDEX(設定!$E$61:$E$106,MATCH(B327,設定!$B$61:$B$106,0)),"合算")</f>
        <v>合算</v>
      </c>
      <c r="X327" s="28"/>
      <c r="Y327" s="29" t="str">
        <f aca="false">IF(OR(G327="",G327="なし"),"",IF(W327="合算",CF327,IF(W327="掛金・負担金別",(AU327+AV327+AZ327+BB327+BD327),SUM(AU327:AY327))))</f>
        <v/>
      </c>
      <c r="Z327" s="27"/>
      <c r="AA327" s="29" t="str">
        <f aca="false">IF(OR(G327="",G327="なし"),"",IF(W327="掛金・負担金別",(AW327+AX327+AY327+BA327+BC327+BE327),IF(W327="経理区分別",AZ327+BA327,"")))</f>
        <v/>
      </c>
      <c r="AB327" s="27"/>
      <c r="AC327" s="29" t="str">
        <f aca="false">IF(OR(G327="",G327="なし"),"",IF(W327="経理区分別",BB327+BC327,""))</f>
        <v/>
      </c>
      <c r="AD327" s="27"/>
      <c r="AE327" s="29" t="str">
        <f aca="false">IF(OR(G327="",G327="なし"),"",IF(W327="経理区分別",BD327+BE327,""))</f>
        <v/>
      </c>
      <c r="AF327" s="27"/>
      <c r="AG327" s="26"/>
      <c r="AH327" s="26"/>
      <c r="AI327" s="30"/>
      <c r="AJ327" s="31"/>
      <c r="AK327" s="31"/>
      <c r="AL327" s="31"/>
      <c r="AM327" s="31"/>
      <c r="AN327" s="31"/>
      <c r="AO327" s="31"/>
      <c r="AP327" s="31"/>
      <c r="AQ327" s="31"/>
      <c r="AR327" s="31"/>
      <c r="AS327" s="31"/>
      <c r="AT327" s="31"/>
      <c r="AU327" s="31" t="n">
        <f aca="false">IF($G327="",AJ327,L327)</f>
        <v>0</v>
      </c>
      <c r="AV327" s="31" t="n">
        <f aca="false">IF($G327="",AK327,M327)</f>
        <v>0</v>
      </c>
      <c r="AW327" s="31" t="n">
        <f aca="false">IF($G327="",AL327,N327)</f>
        <v>0</v>
      </c>
      <c r="AX327" s="31" t="n">
        <f aca="false">IF($G327="",AM327,O327)</f>
        <v>0</v>
      </c>
      <c r="AY327" s="31" t="n">
        <f aca="false">IF($G327="",AN327,P327)</f>
        <v>0</v>
      </c>
      <c r="AZ327" s="31" t="n">
        <f aca="false">IF($G327="",AO327,Q327)</f>
        <v>0</v>
      </c>
      <c r="BA327" s="31" t="n">
        <f aca="false">IF($G327="",AP327,R327)</f>
        <v>0</v>
      </c>
      <c r="BB327" s="31" t="n">
        <f aca="false">IF($G327="",AQ327,S327)</f>
        <v>0</v>
      </c>
      <c r="BC327" s="31" t="n">
        <f aca="false">IF($G327="",AR327,T327)</f>
        <v>0</v>
      </c>
      <c r="BD327" s="31" t="n">
        <f aca="false">IF($G327="",AS327,U327)</f>
        <v>0</v>
      </c>
      <c r="BE327" s="31" t="n">
        <f aca="false">IF($G327="",AT327,V327)</f>
        <v>0</v>
      </c>
      <c r="BF327" s="31" t="n">
        <f aca="false">ROUNDDOWN(I327*設定!$B$10/1000,0)+ROUNDDOWN(I327*設定!$B$11/1000,0)</f>
        <v>0</v>
      </c>
      <c r="BG327" s="31" t="n">
        <f aca="false">ROUNDDOWN(I327*設定!$C$10/1000,0)+ROUNDDOWN(I327*設定!$C$11/1000,0)+ROUNDDOWN(I327*設定!$C$12/1000,0)</f>
        <v>0</v>
      </c>
      <c r="BH327" s="31" t="n">
        <f aca="false">ROUNDDOWN(J327*設定!$B$13/1000,0)</f>
        <v>0</v>
      </c>
      <c r="BI327" s="31" t="n">
        <f aca="false">ROUNDDOWN(J327*設定!$C$13/1000,0)</f>
        <v>0</v>
      </c>
      <c r="BJ327" s="31" t="n">
        <f aca="false">ROUNDDOWN(K327*設定!$B$14/1000,0)</f>
        <v>0</v>
      </c>
      <c r="BK327" s="31" t="n">
        <f aca="false">ROUNDDOWN(K327*設定!$C$14/1000,0)</f>
        <v>0</v>
      </c>
      <c r="BL327" s="31" t="n">
        <f aca="false">ROUNDDOWN(J327*設定!$B$15/1000,0)</f>
        <v>0</v>
      </c>
      <c r="BM327" s="31" t="n">
        <f aca="false">ROUNDDOWN(J327*設定!$C$15/1000,0)</f>
        <v>0</v>
      </c>
      <c r="BN327" s="31" t="n">
        <f aca="false">L327+M327</f>
        <v>0</v>
      </c>
      <c r="BO327" s="31" t="n">
        <f aca="false">N327+O327+P327</f>
        <v>0</v>
      </c>
      <c r="BP327" s="31" t="n">
        <f aca="false">Q327</f>
        <v>0</v>
      </c>
      <c r="BQ327" s="31" t="n">
        <f aca="false">R327</f>
        <v>0</v>
      </c>
      <c r="BR327" s="31" t="n">
        <f aca="false">S327</f>
        <v>0</v>
      </c>
      <c r="BS327" s="31" t="n">
        <f aca="false">T327</f>
        <v>0</v>
      </c>
      <c r="BT327" s="31" t="n">
        <f aca="false">U327</f>
        <v>0</v>
      </c>
      <c r="BU327" s="31" t="n">
        <f aca="false">V327</f>
        <v>0</v>
      </c>
      <c r="BV327" s="32" t="n">
        <f aca="false">IF(BF327=0,IF(BN327=0,0,1),(BN327-BF327)/BF327)</f>
        <v>0</v>
      </c>
      <c r="BW327" s="32" t="n">
        <f aca="false">IF(BG327=0,IF(BO327=0,0,1),(BO327-BG327)/BG327)</f>
        <v>0</v>
      </c>
      <c r="BX327" s="32" t="n">
        <f aca="false">IF(BH327=0,IF(BP327=0,0,1),(BP327-BH327)/BH327)</f>
        <v>0</v>
      </c>
      <c r="BY327" s="32" t="n">
        <f aca="false">IF(BI327=0,IF(BQ327=0,0,1),(BQ327-BI327)/BI327)</f>
        <v>0</v>
      </c>
      <c r="BZ327" s="32" t="n">
        <f aca="false">IF(BJ327=0,IF(BR327=0,0,1),(BR327-BJ327)/BJ327)</f>
        <v>0</v>
      </c>
      <c r="CA327" s="32" t="n">
        <f aca="false">IF(BK327=0,IF(BS327=0,0,1),(BS327-BK327)/BK327)</f>
        <v>0</v>
      </c>
      <c r="CB327" s="32" t="n">
        <f aca="false">IF(BL327=0,IF(BT327=0,0,1),(BT327-BL327)/BL327)</f>
        <v>0</v>
      </c>
      <c r="CC327" s="32" t="n">
        <f aca="false">IF(BM327=0,IF(BU327=0,0,1),(BU327-BM327)/BM327)</f>
        <v>0</v>
      </c>
      <c r="CD327" s="32" t="n">
        <f aca="false">MAX(MAX(BV327:CC327),-MIN(BV327:CC327))</f>
        <v>-0</v>
      </c>
      <c r="CE327" s="31" t="n">
        <f aca="false">IF(CI327="","",SUMIFS($CF$7:$CF$696,$A$7:$A$696,CI327,$B$7:$B$696,B327))</f>
        <v>0</v>
      </c>
      <c r="CF327" s="31" t="n">
        <f aca="false">SUM(AU327:BE327)</f>
        <v>0</v>
      </c>
      <c r="CG327" s="33" t="str">
        <f aca="false">A327&amp;"|"&amp;B327</f>
        <v>2026-09 月例|水道労働組合</v>
      </c>
      <c r="CH327" s="34" t="str">
        <f aca="false">IFERROR(INDEX(設定!$D$61:$D$106,MATCH(B327,設定!$B$61:$B$106,0)),"Y")</f>
        <v>Y</v>
      </c>
      <c r="CI327" s="34" t="str">
        <f aca="false">IFERROR(INDEX(設定!$D$20:$D$34,MATCH(A327,設定!$A$20:$A$34,0))&amp;"","")</f>
        <v>2026-08 月例</v>
      </c>
    </row>
    <row r="328" customFormat="false" ht="15" hidden="true" customHeight="false" outlineLevel="0" collapsed="false">
      <c r="A328" s="22" t="s">
        <v>213</v>
      </c>
      <c r="B328" s="23" t="s">
        <v>206</v>
      </c>
      <c r="C328" s="10" t="str">
        <f aca="false">IF(G328="","未受領",IF(G328="なし","報告なし",IF(AH328="○","起票済",IF(OR(AG328="○",F328="一致",F328="入金不要"),"入金確認済","受領済"))))</f>
        <v>受領済</v>
      </c>
      <c r="D328" s="10" t="str">
        <f aca="false">IF(OR(G328="",G328="なし"),"―",IF(CH328="N","対象外",IF(AND(I328="",J328="",K328=""),"標報未入力",IF(CD328&gt;=設定!$B$4,"要確認","問題なし"))))</f>
        <v>対象外</v>
      </c>
      <c r="E328" s="24" t="str">
        <f aca="false">IF(OR(G328="",G328="なし",CE328="",CF328=0),"―",IF(CF328=CE328,"前月同額",IF(CE328=0,"―",IF(ABS(CF328/CE328-1)&gt;=設定!$B$5,"変動大 "&amp;TEXT(CF328/CE328-1,"+0%;-0%"),"〇"))))</f>
        <v>変動大 +102%</v>
      </c>
      <c r="F328" s="10" t="str">
        <f aca="false">IF(OR(G328="",G328="なし"),"―",IF(CF328=0,"入金不要",IF(COUNT(Z328,AB328,AD328,AF328)=0,IF(AG328="○","手動確認","未入金"),IF(AND(N(Z328)=Y328,IF(AA328="",TRUE(),N(AB328)=AA328),IF(AC328="",TRUE(),N(AD328)=AC328),IF(AE328="",TRUE(),N(AF328)=AE328)),"一致","不一致"))))</f>
        <v>未入金</v>
      </c>
      <c r="G328" s="25" t="s">
        <v>159</v>
      </c>
      <c r="H328" s="26"/>
      <c r="I328" s="27"/>
      <c r="J328" s="27"/>
      <c r="K328" s="27"/>
      <c r="L328" s="27"/>
      <c r="M328" s="27"/>
      <c r="N328" s="27"/>
      <c r="O328" s="27"/>
      <c r="P328" s="27"/>
      <c r="Q328" s="27" t="n">
        <v>6877798</v>
      </c>
      <c r="R328" s="27"/>
      <c r="S328" s="27" t="n">
        <v>345917</v>
      </c>
      <c r="T328" s="27"/>
      <c r="U328" s="27" t="n">
        <v>152502</v>
      </c>
      <c r="V328" s="27"/>
      <c r="W328" s="10" t="str">
        <f aca="false">IFERROR(INDEX(設定!$E$61:$E$106,MATCH(B328,設定!$B$61:$B$106,0)),"合算")</f>
        <v>合算</v>
      </c>
      <c r="X328" s="28"/>
      <c r="Y328" s="29" t="n">
        <f aca="false">IF(OR(G328="",G328="なし"),"",IF(W328="合算",CF328,IF(W328="掛金・負担金別",(AU328+AV328+AZ328+BB328+BD328),SUM(AU328:AY328))))</f>
        <v>7376217</v>
      </c>
      <c r="Z328" s="27"/>
      <c r="AA328" s="29" t="str">
        <f aca="false">IF(OR(G328="",G328="なし"),"",IF(W328="掛金・負担金別",(AW328+AX328+AY328+BA328+BC328+BE328),IF(W328="経理区分別",AZ328+BA328,"")))</f>
        <v/>
      </c>
      <c r="AB328" s="27"/>
      <c r="AC328" s="29" t="str">
        <f aca="false">IF(OR(G328="",G328="なし"),"",IF(W328="経理区分別",BB328+BC328,""))</f>
        <v/>
      </c>
      <c r="AD328" s="27"/>
      <c r="AE328" s="29" t="str">
        <f aca="false">IF(OR(G328="",G328="なし"),"",IF(W328="経理区分別",BD328+BE328,""))</f>
        <v/>
      </c>
      <c r="AF328" s="27"/>
      <c r="AG328" s="26"/>
      <c r="AH328" s="26"/>
      <c r="AI328" s="30"/>
      <c r="AJ328" s="31"/>
      <c r="AK328" s="31"/>
      <c r="AL328" s="31"/>
      <c r="AM328" s="31"/>
      <c r="AN328" s="31"/>
      <c r="AO328" s="31"/>
      <c r="AP328" s="31"/>
      <c r="AQ328" s="31"/>
      <c r="AR328" s="31"/>
      <c r="AS328" s="31"/>
      <c r="AT328" s="31"/>
      <c r="AU328" s="31" t="n">
        <f aca="false">IF($G328="",AJ328,L328)</f>
        <v>0</v>
      </c>
      <c r="AV328" s="31" t="n">
        <f aca="false">IF($G328="",AK328,M328)</f>
        <v>0</v>
      </c>
      <c r="AW328" s="31" t="n">
        <f aca="false">IF($G328="",AL328,N328)</f>
        <v>0</v>
      </c>
      <c r="AX328" s="31" t="n">
        <f aca="false">IF($G328="",AM328,O328)</f>
        <v>0</v>
      </c>
      <c r="AY328" s="31" t="n">
        <f aca="false">IF($G328="",AN328,P328)</f>
        <v>0</v>
      </c>
      <c r="AZ328" s="31" t="n">
        <f aca="false">IF($G328="",AO328,Q328)</f>
        <v>6877798</v>
      </c>
      <c r="BA328" s="31" t="n">
        <f aca="false">IF($G328="",AP328,R328)</f>
        <v>0</v>
      </c>
      <c r="BB328" s="31" t="n">
        <f aca="false">IF($G328="",AQ328,S328)</f>
        <v>345917</v>
      </c>
      <c r="BC328" s="31" t="n">
        <f aca="false">IF($G328="",AR328,T328)</f>
        <v>0</v>
      </c>
      <c r="BD328" s="31" t="n">
        <f aca="false">IF($G328="",AS328,U328)</f>
        <v>152502</v>
      </c>
      <c r="BE328" s="31" t="n">
        <f aca="false">IF($G328="",AT328,V328)</f>
        <v>0</v>
      </c>
      <c r="BF328" s="31" t="n">
        <f aca="false">ROUNDDOWN(I328*設定!$B$10/1000,0)+ROUNDDOWN(I328*設定!$B$11/1000,0)</f>
        <v>0</v>
      </c>
      <c r="BG328" s="31" t="n">
        <f aca="false">ROUNDDOWN(I328*設定!$C$10/1000,0)+ROUNDDOWN(I328*設定!$C$11/1000,0)+ROUNDDOWN(I328*設定!$C$12/1000,0)</f>
        <v>0</v>
      </c>
      <c r="BH328" s="31" t="n">
        <f aca="false">ROUNDDOWN(J328*設定!$B$13/1000,0)</f>
        <v>0</v>
      </c>
      <c r="BI328" s="31" t="n">
        <f aca="false">ROUNDDOWN(J328*設定!$C$13/1000,0)</f>
        <v>0</v>
      </c>
      <c r="BJ328" s="31" t="n">
        <f aca="false">ROUNDDOWN(K328*設定!$B$14/1000,0)</f>
        <v>0</v>
      </c>
      <c r="BK328" s="31" t="n">
        <f aca="false">ROUNDDOWN(K328*設定!$C$14/1000,0)</f>
        <v>0</v>
      </c>
      <c r="BL328" s="31" t="n">
        <f aca="false">ROUNDDOWN(J328*設定!$B$15/1000,0)</f>
        <v>0</v>
      </c>
      <c r="BM328" s="31" t="n">
        <f aca="false">ROUNDDOWN(J328*設定!$C$15/1000,0)</f>
        <v>0</v>
      </c>
      <c r="BN328" s="31" t="n">
        <f aca="false">L328+M328</f>
        <v>0</v>
      </c>
      <c r="BO328" s="31" t="n">
        <f aca="false">N328+O328+P328</f>
        <v>0</v>
      </c>
      <c r="BP328" s="31" t="n">
        <f aca="false">Q328</f>
        <v>6877798</v>
      </c>
      <c r="BQ328" s="31" t="n">
        <f aca="false">R328</f>
        <v>0</v>
      </c>
      <c r="BR328" s="31" t="n">
        <f aca="false">S328</f>
        <v>345917</v>
      </c>
      <c r="BS328" s="31" t="n">
        <f aca="false">T328</f>
        <v>0</v>
      </c>
      <c r="BT328" s="31" t="n">
        <f aca="false">U328</f>
        <v>152502</v>
      </c>
      <c r="BU328" s="31" t="n">
        <f aca="false">V328</f>
        <v>0</v>
      </c>
      <c r="BV328" s="32" t="n">
        <f aca="false">IF(BF328=0,IF(BN328=0,0,1),(BN328-BF328)/BF328)</f>
        <v>0</v>
      </c>
      <c r="BW328" s="32" t="n">
        <f aca="false">IF(BG328=0,IF(BO328=0,0,1),(BO328-BG328)/BG328)</f>
        <v>0</v>
      </c>
      <c r="BX328" s="32" t="n">
        <f aca="false">IF(BH328=0,IF(BP328=0,0,1),(BP328-BH328)/BH328)</f>
        <v>1</v>
      </c>
      <c r="BY328" s="32" t="n">
        <f aca="false">IF(BI328=0,IF(BQ328=0,0,1),(BQ328-BI328)/BI328)</f>
        <v>0</v>
      </c>
      <c r="BZ328" s="32" t="n">
        <f aca="false">IF(BJ328=0,IF(BR328=0,0,1),(BR328-BJ328)/BJ328)</f>
        <v>1</v>
      </c>
      <c r="CA328" s="32" t="n">
        <f aca="false">IF(BK328=0,IF(BS328=0,0,1),(BS328-BK328)/BK328)</f>
        <v>0</v>
      </c>
      <c r="CB328" s="32" t="n">
        <f aca="false">IF(BL328=0,IF(BT328=0,0,1),(BT328-BL328)/BL328)</f>
        <v>1</v>
      </c>
      <c r="CC328" s="32" t="n">
        <f aca="false">IF(BM328=0,IF(BU328=0,0,1),(BU328-BM328)/BM328)</f>
        <v>0</v>
      </c>
      <c r="CD328" s="32" t="n">
        <f aca="false">MAX(MAX(BV328:CC328),-MIN(BV328:CC328))</f>
        <v>1</v>
      </c>
      <c r="CE328" s="31" t="n">
        <f aca="false">IF(CI328="","",SUMIFS($CF$7:$CF$696,$A$7:$A$696,CI328,$B$7:$B$696,B328))</f>
        <v>3652019</v>
      </c>
      <c r="CF328" s="31" t="n">
        <f aca="false">SUM(AU328:BE328)</f>
        <v>7376217</v>
      </c>
      <c r="CG328" s="33" t="str">
        <f aca="false">A328&amp;"|"&amp;B328</f>
        <v>2026-09 月例|任意継続組合員</v>
      </c>
      <c r="CH328" s="34" t="str">
        <f aca="false">IFERROR(INDEX(設定!$D$61:$D$106,MATCH(B328,設定!$B$61:$B$106,0)),"Y")</f>
        <v>N</v>
      </c>
      <c r="CI328" s="34" t="str">
        <f aca="false">IFERROR(INDEX(設定!$D$20:$D$34,MATCH(A328,設定!$A$20:$A$34,0))&amp;"","")</f>
        <v>2026-08 月例</v>
      </c>
    </row>
    <row r="329" customFormat="false" ht="15" hidden="false" customHeight="false" outlineLevel="0" collapsed="false">
      <c r="A329" s="22" t="s">
        <v>214</v>
      </c>
      <c r="B329" s="23" t="s">
        <v>158</v>
      </c>
      <c r="C329" s="10" t="str">
        <f aca="false">IF(G329="","未受領",IF(G329="なし","報告なし",IF(AH329="○","起票済",IF(OR(AG329="○",F329="一致",F329="入金不要"),"入金確認済","受領済"))))</f>
        <v>未受領</v>
      </c>
      <c r="D329" s="10" t="str">
        <f aca="false">IF(OR(G329="",G329="なし"),"―",IF(CH329="N","対象外",IF(AND(I329="",J329="",K329=""),"標報未入力",IF(CD329&gt;=設定!$B$4,"要確認","問題なし"))))</f>
        <v>―</v>
      </c>
      <c r="E329" s="24" t="str">
        <f aca="false">IF(OR(G329="",G329="なし",CE329="",CF329=0),"―",IF(CF329=CE329,"前月同額",IF(CE329=0,"―",IF(ABS(CF329/CE329-1)&gt;=設定!$B$5,"変動大 "&amp;TEXT(CF329/CE329-1,"+0%;-0%"),"〇"))))</f>
        <v>―</v>
      </c>
      <c r="F329" s="10" t="str">
        <f aca="false">IF(OR(G329="",G329="なし"),"―",IF(CF329=0,"入金不要",IF(COUNT(Z329,AB329,AD329,AF329)=0,IF(AG329="○","手動確認","未入金"),IF(AND(N(Z329)=Y329,IF(AA329="",TRUE(),N(AB329)=AA329),IF(AC329="",TRUE(),N(AD329)=AC329),IF(AE329="",TRUE(),N(AF329)=AE329)),"一致","不一致"))))</f>
        <v>―</v>
      </c>
      <c r="G329" s="25"/>
      <c r="H329" s="26"/>
      <c r="I329" s="27"/>
      <c r="J329" s="27"/>
      <c r="K329" s="27"/>
      <c r="L329" s="27"/>
      <c r="M329" s="27"/>
      <c r="N329" s="27"/>
      <c r="O329" s="27"/>
      <c r="P329" s="27"/>
      <c r="Q329" s="27"/>
      <c r="R329" s="27"/>
      <c r="S329" s="27"/>
      <c r="T329" s="27"/>
      <c r="U329" s="27"/>
      <c r="V329" s="27"/>
      <c r="W329" s="10" t="str">
        <f aca="false">IFERROR(INDEX(設定!$E$61:$E$106,MATCH(B329,設定!$B$61:$B$106,0)),"合算")</f>
        <v>合算</v>
      </c>
      <c r="X329" s="28"/>
      <c r="Y329" s="29" t="str">
        <f aca="false">IF(OR(G329="",G329="なし"),"",IF(W329="合算",CF329,IF(W329="掛金・負担金別",(AU329+AV329+AZ329+BB329+BD329),SUM(AU329:AY329))))</f>
        <v/>
      </c>
      <c r="Z329" s="27"/>
      <c r="AA329" s="29" t="str">
        <f aca="false">IF(OR(G329="",G329="なし"),"",IF(W329="掛金・負担金別",(AW329+AX329+AY329+BA329+BC329+BE329),IF(W329="経理区分別",AZ329+BA329,"")))</f>
        <v/>
      </c>
      <c r="AB329" s="27"/>
      <c r="AC329" s="29" t="str">
        <f aca="false">IF(OR(G329="",G329="なし"),"",IF(W329="経理区分別",BB329+BC329,""))</f>
        <v/>
      </c>
      <c r="AD329" s="27"/>
      <c r="AE329" s="29" t="str">
        <f aca="false">IF(OR(G329="",G329="なし"),"",IF(W329="経理区分別",BD329+BE329,""))</f>
        <v/>
      </c>
      <c r="AF329" s="27"/>
      <c r="AG329" s="26"/>
      <c r="AH329" s="26"/>
      <c r="AI329" s="30"/>
      <c r="AJ329" s="31" t="n">
        <v>233913712</v>
      </c>
      <c r="AK329" s="31" t="n">
        <v>19178131</v>
      </c>
      <c r="AL329" s="31" t="n">
        <v>339986672</v>
      </c>
      <c r="AM329" s="31" t="n">
        <v>18646418</v>
      </c>
      <c r="AN329" s="31" t="n">
        <v>245153</v>
      </c>
      <c r="AO329" s="31" t="n">
        <v>180562030</v>
      </c>
      <c r="AP329" s="31" t="n">
        <v>179918563</v>
      </c>
      <c r="AQ329" s="31" t="n">
        <v>15720292</v>
      </c>
      <c r="AR329" s="31" t="n">
        <v>15284428</v>
      </c>
      <c r="AS329" s="31" t="n">
        <v>1</v>
      </c>
      <c r="AT329" s="31" t="n">
        <v>1</v>
      </c>
      <c r="AU329" s="31" t="n">
        <f aca="false">IF($G329="",AJ329,L329)</f>
        <v>233913712</v>
      </c>
      <c r="AV329" s="31" t="n">
        <f aca="false">IF($G329="",AK329,M329)</f>
        <v>19178131</v>
      </c>
      <c r="AW329" s="31" t="n">
        <f aca="false">IF($G329="",AL329,N329)</f>
        <v>339986672</v>
      </c>
      <c r="AX329" s="31" t="n">
        <f aca="false">IF($G329="",AM329,O329)</f>
        <v>18646418</v>
      </c>
      <c r="AY329" s="31" t="n">
        <f aca="false">IF($G329="",AN329,P329)</f>
        <v>245153</v>
      </c>
      <c r="AZ329" s="31" t="n">
        <f aca="false">IF($G329="",AO329,Q329)</f>
        <v>180562030</v>
      </c>
      <c r="BA329" s="31" t="n">
        <f aca="false">IF($G329="",AP329,R329)</f>
        <v>179918563</v>
      </c>
      <c r="BB329" s="31" t="n">
        <f aca="false">IF($G329="",AQ329,S329)</f>
        <v>15720292</v>
      </c>
      <c r="BC329" s="31" t="n">
        <f aca="false">IF($G329="",AR329,T329)</f>
        <v>15284428</v>
      </c>
      <c r="BD329" s="31" t="n">
        <f aca="false">IF($G329="",AS329,U329)</f>
        <v>1</v>
      </c>
      <c r="BE329" s="31" t="n">
        <f aca="false">IF($G329="",AT329,V329)</f>
        <v>1</v>
      </c>
      <c r="BF329" s="31" t="n">
        <f aca="false">ROUNDDOWN(I329*設定!$B$10/1000,0)+ROUNDDOWN(I329*設定!$B$11/1000,0)</f>
        <v>0</v>
      </c>
      <c r="BG329" s="31" t="n">
        <f aca="false">ROUNDDOWN(I329*設定!$C$10/1000,0)+ROUNDDOWN(I329*設定!$C$11/1000,0)+ROUNDDOWN(I329*設定!$C$12/1000,0)</f>
        <v>0</v>
      </c>
      <c r="BH329" s="31" t="n">
        <f aca="false">ROUNDDOWN(J329*設定!$B$13/1000,0)</f>
        <v>0</v>
      </c>
      <c r="BI329" s="31" t="n">
        <f aca="false">ROUNDDOWN(J329*設定!$C$13/1000,0)</f>
        <v>0</v>
      </c>
      <c r="BJ329" s="31" t="n">
        <f aca="false">ROUNDDOWN(K329*設定!$B$14/1000,0)</f>
        <v>0</v>
      </c>
      <c r="BK329" s="31" t="n">
        <f aca="false">ROUNDDOWN(K329*設定!$C$14/1000,0)</f>
        <v>0</v>
      </c>
      <c r="BL329" s="31" t="n">
        <f aca="false">ROUNDDOWN(J329*設定!$B$15/1000,0)</f>
        <v>0</v>
      </c>
      <c r="BM329" s="31" t="n">
        <f aca="false">ROUNDDOWN(J329*設定!$C$15/1000,0)</f>
        <v>0</v>
      </c>
      <c r="BN329" s="31" t="n">
        <f aca="false">L329+M329</f>
        <v>0</v>
      </c>
      <c r="BO329" s="31" t="n">
        <f aca="false">N329+O329+P329</f>
        <v>0</v>
      </c>
      <c r="BP329" s="31" t="n">
        <f aca="false">Q329</f>
        <v>0</v>
      </c>
      <c r="BQ329" s="31" t="n">
        <f aca="false">R329</f>
        <v>0</v>
      </c>
      <c r="BR329" s="31" t="n">
        <f aca="false">S329</f>
        <v>0</v>
      </c>
      <c r="BS329" s="31" t="n">
        <f aca="false">T329</f>
        <v>0</v>
      </c>
      <c r="BT329" s="31" t="n">
        <f aca="false">U329</f>
        <v>0</v>
      </c>
      <c r="BU329" s="31" t="n">
        <f aca="false">V329</f>
        <v>0</v>
      </c>
      <c r="BV329" s="32" t="n">
        <f aca="false">IF(BF329=0,IF(BN329=0,0,1),(BN329-BF329)/BF329)</f>
        <v>0</v>
      </c>
      <c r="BW329" s="32" t="n">
        <f aca="false">IF(BG329=0,IF(BO329=0,0,1),(BO329-BG329)/BG329)</f>
        <v>0</v>
      </c>
      <c r="BX329" s="32" t="n">
        <f aca="false">IF(BH329=0,IF(BP329=0,0,1),(BP329-BH329)/BH329)</f>
        <v>0</v>
      </c>
      <c r="BY329" s="32" t="n">
        <f aca="false">IF(BI329=0,IF(BQ329=0,0,1),(BQ329-BI329)/BI329)</f>
        <v>0</v>
      </c>
      <c r="BZ329" s="32" t="n">
        <f aca="false">IF(BJ329=0,IF(BR329=0,0,1),(BR329-BJ329)/BJ329)</f>
        <v>0</v>
      </c>
      <c r="CA329" s="32" t="n">
        <f aca="false">IF(BK329=0,IF(BS329=0,0,1),(BS329-BK329)/BK329)</f>
        <v>0</v>
      </c>
      <c r="CB329" s="32" t="n">
        <f aca="false">IF(BL329=0,IF(BT329=0,0,1),(BT329-BL329)/BL329)</f>
        <v>0</v>
      </c>
      <c r="CC329" s="32" t="n">
        <f aca="false">IF(BM329=0,IF(BU329=0,0,1),(BU329-BM329)/BM329)</f>
        <v>0</v>
      </c>
      <c r="CD329" s="32" t="n">
        <f aca="false">MAX(MAX(BV329:CC329),-MIN(BV329:CC329))</f>
        <v>-0</v>
      </c>
      <c r="CE329" s="31" t="n">
        <f aca="false">IF(CI329="","",SUMIFS($CF$7:$CF$696,$A$7:$A$696,CI329,$B$7:$B$696,B329))</f>
        <v>1029211599</v>
      </c>
      <c r="CF329" s="31" t="n">
        <f aca="false">SUM(AU329:BE329)</f>
        <v>1003455401</v>
      </c>
      <c r="CG329" s="33" t="str">
        <f aca="false">A329&amp;"|"&amp;B329</f>
        <v>2026-10 月例|市長部局</v>
      </c>
      <c r="CH329" s="34" t="str">
        <f aca="false">IFERROR(INDEX(設定!$D$61:$D$106,MATCH(B329,設定!$B$61:$B$106,0)),"Y")</f>
        <v>N</v>
      </c>
      <c r="CI329" s="34" t="str">
        <f aca="false">IFERROR(INDEX(設定!$D$20:$D$34,MATCH(A329,設定!$A$20:$A$34,0))&amp;"","")</f>
        <v>2026-09 月例</v>
      </c>
    </row>
    <row r="330" customFormat="false" ht="15" hidden="false" customHeight="false" outlineLevel="0" collapsed="false">
      <c r="A330" s="22" t="s">
        <v>214</v>
      </c>
      <c r="B330" s="23" t="s">
        <v>161</v>
      </c>
      <c r="C330" s="10" t="str">
        <f aca="false">IF(G330="","未受領",IF(G330="なし","報告なし",IF(AH330="○","起票済",IF(OR(AG330="○",F330="一致",F330="入金不要"),"入金確認済","受領済"))))</f>
        <v>未受領</v>
      </c>
      <c r="D330" s="10" t="str">
        <f aca="false">IF(OR(G330="",G330="なし"),"―",IF(CH330="N","対象外",IF(AND(I330="",J330="",K330=""),"標報未入力",IF(CD330&gt;=設定!$B$4,"要確認","問題なし"))))</f>
        <v>―</v>
      </c>
      <c r="E330" s="24" t="str">
        <f aca="false">IF(OR(G330="",G330="なし",CE330="",CF330=0),"―",IF(CF330=CE330,"前月同額",IF(CE330=0,"―",IF(ABS(CF330/CE330-1)&gt;=設定!$B$5,"変動大 "&amp;TEXT(CF330/CE330-1,"+0%;-0%"),"〇"))))</f>
        <v>―</v>
      </c>
      <c r="F330" s="10" t="str">
        <f aca="false">IF(OR(G330="",G330="なし"),"―",IF(CF330=0,"入金不要",IF(COUNT(Z330,AB330,AD330,AF330)=0,IF(AG330="○","手動確認","未入金"),IF(AND(N(Z330)=Y330,IF(AA330="",TRUE(),N(AB330)=AA330),IF(AC330="",TRUE(),N(AD330)=AC330),IF(AE330="",TRUE(),N(AF330)=AE330)),"一致","不一致"))))</f>
        <v>―</v>
      </c>
      <c r="G330" s="25"/>
      <c r="H330" s="26"/>
      <c r="I330" s="27"/>
      <c r="J330" s="27"/>
      <c r="K330" s="27"/>
      <c r="L330" s="27"/>
      <c r="M330" s="27"/>
      <c r="N330" s="27"/>
      <c r="O330" s="27"/>
      <c r="P330" s="27"/>
      <c r="Q330" s="27"/>
      <c r="R330" s="27"/>
      <c r="S330" s="27"/>
      <c r="T330" s="27"/>
      <c r="U330" s="27"/>
      <c r="V330" s="27"/>
      <c r="W330" s="10" t="str">
        <f aca="false">IFERROR(INDEX(設定!$E$61:$E$106,MATCH(B330,設定!$B$61:$B$106,0)),"合算")</f>
        <v>合算</v>
      </c>
      <c r="X330" s="28"/>
      <c r="Y330" s="29" t="str">
        <f aca="false">IF(OR(G330="",G330="なし"),"",IF(W330="合算",CF330,IF(W330="掛金・負担金別",(AU330+AV330+AZ330+BB330+BD330),SUM(AU330:AY330))))</f>
        <v/>
      </c>
      <c r="Z330" s="27"/>
      <c r="AA330" s="29" t="str">
        <f aca="false">IF(OR(G330="",G330="なし"),"",IF(W330="掛金・負担金別",(AW330+AX330+AY330+BA330+BC330+BE330),IF(W330="経理区分別",AZ330+BA330,"")))</f>
        <v/>
      </c>
      <c r="AB330" s="27"/>
      <c r="AC330" s="29" t="str">
        <f aca="false">IF(OR(G330="",G330="なし"),"",IF(W330="経理区分別",BB330+BC330,""))</f>
        <v/>
      </c>
      <c r="AD330" s="27"/>
      <c r="AE330" s="29" t="str">
        <f aca="false">IF(OR(G330="",G330="なし"),"",IF(W330="経理区分別",BD330+BE330,""))</f>
        <v/>
      </c>
      <c r="AF330" s="27"/>
      <c r="AG330" s="26"/>
      <c r="AH330" s="26"/>
      <c r="AI330" s="30"/>
      <c r="AJ330" s="31" t="n">
        <v>16602675</v>
      </c>
      <c r="AK330" s="31" t="n">
        <v>1360875</v>
      </c>
      <c r="AL330" s="31" t="n">
        <v>24157652</v>
      </c>
      <c r="AM330" s="31" t="n">
        <v>1359399</v>
      </c>
      <c r="AN330" s="31" t="n">
        <v>17126</v>
      </c>
      <c r="AO330" s="31" t="n">
        <v>10398568</v>
      </c>
      <c r="AP330" s="31" t="n">
        <v>10572334</v>
      </c>
      <c r="AQ330" s="31" t="n">
        <v>1038485</v>
      </c>
      <c r="AR330" s="31" t="n">
        <v>1038485</v>
      </c>
      <c r="AS330" s="31" t="n">
        <v>1</v>
      </c>
      <c r="AT330" s="31" t="n">
        <v>1</v>
      </c>
      <c r="AU330" s="31" t="n">
        <f aca="false">IF($G330="",AJ330,L330)</f>
        <v>16602675</v>
      </c>
      <c r="AV330" s="31" t="n">
        <f aca="false">IF($G330="",AK330,M330)</f>
        <v>1360875</v>
      </c>
      <c r="AW330" s="31" t="n">
        <f aca="false">IF($G330="",AL330,N330)</f>
        <v>24157652</v>
      </c>
      <c r="AX330" s="31" t="n">
        <f aca="false">IF($G330="",AM330,O330)</f>
        <v>1359399</v>
      </c>
      <c r="AY330" s="31" t="n">
        <f aca="false">IF($G330="",AN330,P330)</f>
        <v>17126</v>
      </c>
      <c r="AZ330" s="31" t="n">
        <f aca="false">IF($G330="",AO330,Q330)</f>
        <v>10398568</v>
      </c>
      <c r="BA330" s="31" t="n">
        <f aca="false">IF($G330="",AP330,R330)</f>
        <v>10572334</v>
      </c>
      <c r="BB330" s="31" t="n">
        <f aca="false">IF($G330="",AQ330,S330)</f>
        <v>1038485</v>
      </c>
      <c r="BC330" s="31" t="n">
        <f aca="false">IF($G330="",AR330,T330)</f>
        <v>1038485</v>
      </c>
      <c r="BD330" s="31" t="n">
        <f aca="false">IF($G330="",AS330,U330)</f>
        <v>1</v>
      </c>
      <c r="BE330" s="31" t="n">
        <f aca="false">IF($G330="",AT330,V330)</f>
        <v>1</v>
      </c>
      <c r="BF330" s="31" t="n">
        <f aca="false">ROUNDDOWN(I330*設定!$B$10/1000,0)+ROUNDDOWN(I330*設定!$B$11/1000,0)</f>
        <v>0</v>
      </c>
      <c r="BG330" s="31" t="n">
        <f aca="false">ROUNDDOWN(I330*設定!$C$10/1000,0)+ROUNDDOWN(I330*設定!$C$11/1000,0)+ROUNDDOWN(I330*設定!$C$12/1000,0)</f>
        <v>0</v>
      </c>
      <c r="BH330" s="31" t="n">
        <f aca="false">ROUNDDOWN(J330*設定!$B$13/1000,0)</f>
        <v>0</v>
      </c>
      <c r="BI330" s="31" t="n">
        <f aca="false">ROUNDDOWN(J330*設定!$C$13/1000,0)</f>
        <v>0</v>
      </c>
      <c r="BJ330" s="31" t="n">
        <f aca="false">ROUNDDOWN(K330*設定!$B$14/1000,0)</f>
        <v>0</v>
      </c>
      <c r="BK330" s="31" t="n">
        <f aca="false">ROUNDDOWN(K330*設定!$C$14/1000,0)</f>
        <v>0</v>
      </c>
      <c r="BL330" s="31" t="n">
        <f aca="false">ROUNDDOWN(J330*設定!$B$15/1000,0)</f>
        <v>0</v>
      </c>
      <c r="BM330" s="31" t="n">
        <f aca="false">ROUNDDOWN(J330*設定!$C$15/1000,0)</f>
        <v>0</v>
      </c>
      <c r="BN330" s="31" t="n">
        <f aca="false">L330+M330</f>
        <v>0</v>
      </c>
      <c r="BO330" s="31" t="n">
        <f aca="false">N330+O330+P330</f>
        <v>0</v>
      </c>
      <c r="BP330" s="31" t="n">
        <f aca="false">Q330</f>
        <v>0</v>
      </c>
      <c r="BQ330" s="31" t="n">
        <f aca="false">R330</f>
        <v>0</v>
      </c>
      <c r="BR330" s="31" t="n">
        <f aca="false">S330</f>
        <v>0</v>
      </c>
      <c r="BS330" s="31" t="n">
        <f aca="false">T330</f>
        <v>0</v>
      </c>
      <c r="BT330" s="31" t="n">
        <f aca="false">U330</f>
        <v>0</v>
      </c>
      <c r="BU330" s="31" t="n">
        <f aca="false">V330</f>
        <v>0</v>
      </c>
      <c r="BV330" s="32" t="n">
        <f aca="false">IF(BF330=0,IF(BN330=0,0,1),(BN330-BF330)/BF330)</f>
        <v>0</v>
      </c>
      <c r="BW330" s="32" t="n">
        <f aca="false">IF(BG330=0,IF(BO330=0,0,1),(BO330-BG330)/BG330)</f>
        <v>0</v>
      </c>
      <c r="BX330" s="32" t="n">
        <f aca="false">IF(BH330=0,IF(BP330=0,0,1),(BP330-BH330)/BH330)</f>
        <v>0</v>
      </c>
      <c r="BY330" s="32" t="n">
        <f aca="false">IF(BI330=0,IF(BQ330=0,0,1),(BQ330-BI330)/BI330)</f>
        <v>0</v>
      </c>
      <c r="BZ330" s="32" t="n">
        <f aca="false">IF(BJ330=0,IF(BR330=0,0,1),(BR330-BJ330)/BJ330)</f>
        <v>0</v>
      </c>
      <c r="CA330" s="32" t="n">
        <f aca="false">IF(BK330=0,IF(BS330=0,0,1),(BS330-BK330)/BK330)</f>
        <v>0</v>
      </c>
      <c r="CB330" s="32" t="n">
        <f aca="false">IF(BL330=0,IF(BT330=0,0,1),(BT330-BL330)/BL330)</f>
        <v>0</v>
      </c>
      <c r="CC330" s="32" t="n">
        <f aca="false">IF(BM330=0,IF(BU330=0,0,1),(BU330-BM330)/BM330)</f>
        <v>0</v>
      </c>
      <c r="CD330" s="32" t="n">
        <f aca="false">MAX(MAX(BV330:CC330),-MIN(BV330:CC330))</f>
        <v>-0</v>
      </c>
      <c r="CE330" s="31" t="n">
        <f aca="false">IF(CI330="","",SUMIFS($CF$7:$CF$696,$A$7:$A$696,CI330,$B$7:$B$696,B330))</f>
        <v>65365322</v>
      </c>
      <c r="CF330" s="31" t="n">
        <f aca="false">SUM(AU330:BE330)</f>
        <v>66545601</v>
      </c>
      <c r="CG330" s="33" t="str">
        <f aca="false">A330&amp;"|"&amp;B330</f>
        <v>2026-10 月例|下水道局</v>
      </c>
      <c r="CH330" s="34" t="str">
        <f aca="false">IFERROR(INDEX(設定!$D$61:$D$106,MATCH(B330,設定!$B$61:$B$106,0)),"Y")</f>
        <v>Y</v>
      </c>
      <c r="CI330" s="34" t="str">
        <f aca="false">IFERROR(INDEX(設定!$D$20:$D$34,MATCH(A330,設定!$A$20:$A$34,0))&amp;"","")</f>
        <v>2026-09 月例</v>
      </c>
    </row>
    <row r="331" customFormat="false" ht="15" hidden="false" customHeight="false" outlineLevel="0" collapsed="false">
      <c r="A331" s="22" t="s">
        <v>214</v>
      </c>
      <c r="B331" s="23" t="s">
        <v>162</v>
      </c>
      <c r="C331" s="10" t="str">
        <f aca="false">IF(G331="","未受領",IF(G331="なし","報告なし",IF(AH331="○","起票済",IF(OR(AG331="○",F331="一致",F331="入金不要"),"入金確認済","受領済"))))</f>
        <v>未受領</v>
      </c>
      <c r="D331" s="10" t="str">
        <f aca="false">IF(OR(G331="",G331="なし"),"―",IF(CH331="N","対象外",IF(AND(I331="",J331="",K331=""),"標報未入力",IF(CD331&gt;=設定!$B$4,"要確認","問題なし"))))</f>
        <v>―</v>
      </c>
      <c r="E331" s="24" t="str">
        <f aca="false">IF(OR(G331="",G331="なし",CE331="",CF331=0),"―",IF(CF331=CE331,"前月同額",IF(CE331=0,"―",IF(ABS(CF331/CE331-1)&gt;=設定!$B$5,"変動大 "&amp;TEXT(CF331/CE331-1,"+0%;-0%"),"〇"))))</f>
        <v>―</v>
      </c>
      <c r="F331" s="10" t="str">
        <f aca="false">IF(OR(G331="",G331="なし"),"―",IF(CF331=0,"入金不要",IF(COUNT(Z331,AB331,AD331,AF331)=0,IF(AG331="○","手動確認","未入金"),IF(AND(N(Z331)=Y331,IF(AA331="",TRUE(),N(AB331)=AA331),IF(AC331="",TRUE(),N(AD331)=AC331),IF(AE331="",TRUE(),N(AF331)=AE331)),"一致","不一致"))))</f>
        <v>―</v>
      </c>
      <c r="G331" s="25"/>
      <c r="H331" s="26"/>
      <c r="I331" s="27"/>
      <c r="J331" s="27"/>
      <c r="K331" s="27"/>
      <c r="L331" s="27"/>
      <c r="M331" s="27"/>
      <c r="N331" s="27"/>
      <c r="O331" s="27"/>
      <c r="P331" s="27"/>
      <c r="Q331" s="27"/>
      <c r="R331" s="27"/>
      <c r="S331" s="27"/>
      <c r="T331" s="27"/>
      <c r="U331" s="27"/>
      <c r="V331" s="27"/>
      <c r="W331" s="10" t="str">
        <f aca="false">IFERROR(INDEX(設定!$E$61:$E$106,MATCH(B331,設定!$B$61:$B$106,0)),"合算")</f>
        <v>合算</v>
      </c>
      <c r="X331" s="28"/>
      <c r="Y331" s="29" t="str">
        <f aca="false">IF(OR(G331="",G331="なし"),"",IF(W331="合算",CF331,IF(W331="掛金・負担金別",(AU331+AV331+AZ331+BB331+BD331),SUM(AU331:AY331))))</f>
        <v/>
      </c>
      <c r="Z331" s="27"/>
      <c r="AA331" s="29" t="str">
        <f aca="false">IF(OR(G331="",G331="なし"),"",IF(W331="掛金・負担金別",(AW331+AX331+AY331+BA331+BC331+BE331),IF(W331="経理区分別",AZ331+BA331,"")))</f>
        <v/>
      </c>
      <c r="AB331" s="27"/>
      <c r="AC331" s="29" t="str">
        <f aca="false">IF(OR(G331="",G331="なし"),"",IF(W331="経理区分別",BB331+BC331,""))</f>
        <v/>
      </c>
      <c r="AD331" s="27"/>
      <c r="AE331" s="29" t="str">
        <f aca="false">IF(OR(G331="",G331="なし"),"",IF(W331="経理区分別",BD331+BE331,""))</f>
        <v/>
      </c>
      <c r="AF331" s="27"/>
      <c r="AG331" s="26"/>
      <c r="AH331" s="26"/>
      <c r="AI331" s="30"/>
      <c r="AJ331" s="31" t="n">
        <v>53818470</v>
      </c>
      <c r="AK331" s="31" t="n">
        <v>4405650</v>
      </c>
      <c r="AL331" s="31" t="n">
        <v>78389280</v>
      </c>
      <c r="AM331" s="31" t="n">
        <v>4404675</v>
      </c>
      <c r="AN331" s="31" t="n">
        <v>55545</v>
      </c>
      <c r="AO331" s="31" t="n">
        <v>33023349</v>
      </c>
      <c r="AP331" s="31" t="n">
        <v>33605263</v>
      </c>
      <c r="AQ331" s="31" t="n">
        <v>1962484</v>
      </c>
      <c r="AR331" s="31" t="n">
        <v>1955455</v>
      </c>
      <c r="AS331" s="31" t="n">
        <v>1</v>
      </c>
      <c r="AT331" s="31" t="n">
        <v>1</v>
      </c>
      <c r="AU331" s="31" t="n">
        <f aca="false">IF($G331="",AJ331,L331)</f>
        <v>53818470</v>
      </c>
      <c r="AV331" s="31" t="n">
        <f aca="false">IF($G331="",AK331,M331)</f>
        <v>4405650</v>
      </c>
      <c r="AW331" s="31" t="n">
        <f aca="false">IF($G331="",AL331,N331)</f>
        <v>78389280</v>
      </c>
      <c r="AX331" s="31" t="n">
        <f aca="false">IF($G331="",AM331,O331)</f>
        <v>4404675</v>
      </c>
      <c r="AY331" s="31" t="n">
        <f aca="false">IF($G331="",AN331,P331)</f>
        <v>55545</v>
      </c>
      <c r="AZ331" s="31" t="n">
        <f aca="false">IF($G331="",AO331,Q331)</f>
        <v>33023349</v>
      </c>
      <c r="BA331" s="31" t="n">
        <f aca="false">IF($G331="",AP331,R331)</f>
        <v>33605263</v>
      </c>
      <c r="BB331" s="31" t="n">
        <f aca="false">IF($G331="",AQ331,S331)</f>
        <v>1962484</v>
      </c>
      <c r="BC331" s="31" t="n">
        <f aca="false">IF($G331="",AR331,T331)</f>
        <v>1955455</v>
      </c>
      <c r="BD331" s="31" t="n">
        <f aca="false">IF($G331="",AS331,U331)</f>
        <v>1</v>
      </c>
      <c r="BE331" s="31" t="n">
        <f aca="false">IF($G331="",AT331,V331)</f>
        <v>1</v>
      </c>
      <c r="BF331" s="31" t="n">
        <f aca="false">ROUNDDOWN(I331*設定!$B$10/1000,0)+ROUNDDOWN(I331*設定!$B$11/1000,0)</f>
        <v>0</v>
      </c>
      <c r="BG331" s="31" t="n">
        <f aca="false">ROUNDDOWN(I331*設定!$C$10/1000,0)+ROUNDDOWN(I331*設定!$C$11/1000,0)+ROUNDDOWN(I331*設定!$C$12/1000,0)</f>
        <v>0</v>
      </c>
      <c r="BH331" s="31" t="n">
        <f aca="false">ROUNDDOWN(J331*設定!$B$13/1000,0)</f>
        <v>0</v>
      </c>
      <c r="BI331" s="31" t="n">
        <f aca="false">ROUNDDOWN(J331*設定!$C$13/1000,0)</f>
        <v>0</v>
      </c>
      <c r="BJ331" s="31" t="n">
        <f aca="false">ROUNDDOWN(K331*設定!$B$14/1000,0)</f>
        <v>0</v>
      </c>
      <c r="BK331" s="31" t="n">
        <f aca="false">ROUNDDOWN(K331*設定!$C$14/1000,0)</f>
        <v>0</v>
      </c>
      <c r="BL331" s="31" t="n">
        <f aca="false">ROUNDDOWN(J331*設定!$B$15/1000,0)</f>
        <v>0</v>
      </c>
      <c r="BM331" s="31" t="n">
        <f aca="false">ROUNDDOWN(J331*設定!$C$15/1000,0)</f>
        <v>0</v>
      </c>
      <c r="BN331" s="31" t="n">
        <f aca="false">L331+M331</f>
        <v>0</v>
      </c>
      <c r="BO331" s="31" t="n">
        <f aca="false">N331+O331+P331</f>
        <v>0</v>
      </c>
      <c r="BP331" s="31" t="n">
        <f aca="false">Q331</f>
        <v>0</v>
      </c>
      <c r="BQ331" s="31" t="n">
        <f aca="false">R331</f>
        <v>0</v>
      </c>
      <c r="BR331" s="31" t="n">
        <f aca="false">S331</f>
        <v>0</v>
      </c>
      <c r="BS331" s="31" t="n">
        <f aca="false">T331</f>
        <v>0</v>
      </c>
      <c r="BT331" s="31" t="n">
        <f aca="false">U331</f>
        <v>0</v>
      </c>
      <c r="BU331" s="31" t="n">
        <f aca="false">V331</f>
        <v>0</v>
      </c>
      <c r="BV331" s="32" t="n">
        <f aca="false">IF(BF331=0,IF(BN331=0,0,1),(BN331-BF331)/BF331)</f>
        <v>0</v>
      </c>
      <c r="BW331" s="32" t="n">
        <f aca="false">IF(BG331=0,IF(BO331=0,0,1),(BO331-BG331)/BG331)</f>
        <v>0</v>
      </c>
      <c r="BX331" s="32" t="n">
        <f aca="false">IF(BH331=0,IF(BP331=0,0,1),(BP331-BH331)/BH331)</f>
        <v>0</v>
      </c>
      <c r="BY331" s="32" t="n">
        <f aca="false">IF(BI331=0,IF(BQ331=0,0,1),(BQ331-BI331)/BI331)</f>
        <v>0</v>
      </c>
      <c r="BZ331" s="32" t="n">
        <f aca="false">IF(BJ331=0,IF(BR331=0,0,1),(BR331-BJ331)/BJ331)</f>
        <v>0</v>
      </c>
      <c r="CA331" s="32" t="n">
        <f aca="false">IF(BK331=0,IF(BS331=0,0,1),(BS331-BK331)/BK331)</f>
        <v>0</v>
      </c>
      <c r="CB331" s="32" t="n">
        <f aca="false">IF(BL331=0,IF(BT331=0,0,1),(BT331-BL331)/BL331)</f>
        <v>0</v>
      </c>
      <c r="CC331" s="32" t="n">
        <f aca="false">IF(BM331=0,IF(BU331=0,0,1),(BU331-BM331)/BM331)</f>
        <v>0</v>
      </c>
      <c r="CD331" s="32" t="n">
        <f aca="false">MAX(MAX(BV331:CC331),-MIN(BV331:CC331))</f>
        <v>-0</v>
      </c>
      <c r="CE331" s="31" t="n">
        <f aca="false">IF(CI331="","",SUMIFS($CF$7:$CF$696,$A$7:$A$696,CI331,$B$7:$B$696,B331))</f>
        <v>213770790</v>
      </c>
      <c r="CF331" s="31" t="n">
        <f aca="false">SUM(AU331:BE331)</f>
        <v>211620173</v>
      </c>
      <c r="CG331" s="33" t="str">
        <f aca="false">A331&amp;"|"&amp;B331</f>
        <v>2026-10 月例|消防局</v>
      </c>
      <c r="CH331" s="34" t="str">
        <f aca="false">IFERROR(INDEX(設定!$D$61:$D$106,MATCH(B331,設定!$B$61:$B$106,0)),"Y")</f>
        <v>N</v>
      </c>
      <c r="CI331" s="34" t="str">
        <f aca="false">IFERROR(INDEX(設定!$D$20:$D$34,MATCH(A331,設定!$A$20:$A$34,0))&amp;"","")</f>
        <v>2026-09 月例</v>
      </c>
    </row>
    <row r="332" customFormat="false" ht="15" hidden="false" customHeight="false" outlineLevel="0" collapsed="false">
      <c r="A332" s="22" t="s">
        <v>214</v>
      </c>
      <c r="B332" s="23" t="s">
        <v>163</v>
      </c>
      <c r="C332" s="10" t="str">
        <f aca="false">IF(G332="","未受領",IF(G332="なし","報告なし",IF(AH332="○","起票済",IF(OR(AG332="○",F332="一致",F332="入金不要"),"入金確認済","受領済"))))</f>
        <v>未受領</v>
      </c>
      <c r="D332" s="10" t="str">
        <f aca="false">IF(OR(G332="",G332="なし"),"―",IF(CH332="N","対象外",IF(AND(I332="",J332="",K332=""),"標報未入力",IF(CD332&gt;=設定!$B$4,"要確認","問題なし"))))</f>
        <v>―</v>
      </c>
      <c r="E332" s="24" t="str">
        <f aca="false">IF(OR(G332="",G332="なし",CE332="",CF332=0),"―",IF(CF332=CE332,"前月同額",IF(CE332=0,"―",IF(ABS(CF332/CE332-1)&gt;=設定!$B$5,"変動大 "&amp;TEXT(CF332/CE332-1,"+0%;-0%"),"〇"))))</f>
        <v>―</v>
      </c>
      <c r="F332" s="10" t="str">
        <f aca="false">IF(OR(G332="",G332="なし"),"―",IF(CF332=0,"入金不要",IF(COUNT(Z332,AB332,AD332,AF332)=0,IF(AG332="○","手動確認","未入金"),IF(AND(N(Z332)=Y332,IF(AA332="",TRUE(),N(AB332)=AA332),IF(AC332="",TRUE(),N(AD332)=AC332),IF(AE332="",TRUE(),N(AF332)=AE332)),"一致","不一致"))))</f>
        <v>―</v>
      </c>
      <c r="G332" s="25"/>
      <c r="H332" s="26"/>
      <c r="I332" s="27"/>
      <c r="J332" s="27"/>
      <c r="K332" s="27"/>
      <c r="L332" s="27"/>
      <c r="M332" s="27"/>
      <c r="N332" s="27"/>
      <c r="O332" s="27"/>
      <c r="P332" s="27"/>
      <c r="Q332" s="27"/>
      <c r="R332" s="27"/>
      <c r="S332" s="27"/>
      <c r="T332" s="27"/>
      <c r="U332" s="27"/>
      <c r="V332" s="27"/>
      <c r="W332" s="10" t="str">
        <f aca="false">IFERROR(INDEX(設定!$E$61:$E$106,MATCH(B332,設定!$B$61:$B$106,0)),"合算")</f>
        <v>合算</v>
      </c>
      <c r="X332" s="28"/>
      <c r="Y332" s="29" t="str">
        <f aca="false">IF(OR(G332="",G332="なし"),"",IF(W332="合算",CF332,IF(W332="掛金・負担金別",(AU332+AV332+AZ332+BB332+BD332),SUM(AU332:AY332))))</f>
        <v/>
      </c>
      <c r="Z332" s="27"/>
      <c r="AA332" s="29" t="str">
        <f aca="false">IF(OR(G332="",G332="なし"),"",IF(W332="掛金・負担金別",(AW332+AX332+AY332+BA332+BC332+BE332),IF(W332="経理区分別",AZ332+BA332,"")))</f>
        <v/>
      </c>
      <c r="AB332" s="27"/>
      <c r="AC332" s="29" t="str">
        <f aca="false">IF(OR(G332="",G332="なし"),"",IF(W332="経理区分別",BB332+BC332,""))</f>
        <v/>
      </c>
      <c r="AD332" s="27"/>
      <c r="AE332" s="29" t="str">
        <f aca="false">IF(OR(G332="",G332="なし"),"",IF(W332="経理区分別",BD332+BE332,""))</f>
        <v/>
      </c>
      <c r="AF332" s="27"/>
      <c r="AG332" s="26"/>
      <c r="AH332" s="26"/>
      <c r="AI332" s="30"/>
      <c r="AJ332" s="31" t="n">
        <v>1740330</v>
      </c>
      <c r="AK332" s="31" t="n">
        <v>142650</v>
      </c>
      <c r="AL332" s="31" t="n">
        <v>2539620</v>
      </c>
      <c r="AM332" s="31" t="n">
        <v>142650</v>
      </c>
      <c r="AN332" s="31" t="n">
        <v>1808</v>
      </c>
      <c r="AO332" s="31" t="n">
        <v>1055074</v>
      </c>
      <c r="AP332" s="31" t="n">
        <v>1073929</v>
      </c>
      <c r="AQ332" s="31" t="n">
        <v>96696</v>
      </c>
      <c r="AR332" s="31" t="n">
        <v>96696</v>
      </c>
      <c r="AS332" s="31" t="n">
        <v>1</v>
      </c>
      <c r="AT332" s="31" t="n">
        <v>1</v>
      </c>
      <c r="AU332" s="31" t="n">
        <f aca="false">IF($G332="",AJ332,L332)</f>
        <v>1740330</v>
      </c>
      <c r="AV332" s="31" t="n">
        <f aca="false">IF($G332="",AK332,M332)</f>
        <v>142650</v>
      </c>
      <c r="AW332" s="31" t="n">
        <f aca="false">IF($G332="",AL332,N332)</f>
        <v>2539620</v>
      </c>
      <c r="AX332" s="31" t="n">
        <f aca="false">IF($G332="",AM332,O332)</f>
        <v>142650</v>
      </c>
      <c r="AY332" s="31" t="n">
        <f aca="false">IF($G332="",AN332,P332)</f>
        <v>1808</v>
      </c>
      <c r="AZ332" s="31" t="n">
        <f aca="false">IF($G332="",AO332,Q332)</f>
        <v>1055074</v>
      </c>
      <c r="BA332" s="31" t="n">
        <f aca="false">IF($G332="",AP332,R332)</f>
        <v>1073929</v>
      </c>
      <c r="BB332" s="31" t="n">
        <f aca="false">IF($G332="",AQ332,S332)</f>
        <v>96696</v>
      </c>
      <c r="BC332" s="31" t="n">
        <f aca="false">IF($G332="",AR332,T332)</f>
        <v>96696</v>
      </c>
      <c r="BD332" s="31" t="n">
        <f aca="false">IF($G332="",AS332,U332)</f>
        <v>1</v>
      </c>
      <c r="BE332" s="31" t="n">
        <f aca="false">IF($G332="",AT332,V332)</f>
        <v>1</v>
      </c>
      <c r="BF332" s="31" t="n">
        <f aca="false">ROUNDDOWN(I332*設定!$B$10/1000,0)+ROUNDDOWN(I332*設定!$B$11/1000,0)</f>
        <v>0</v>
      </c>
      <c r="BG332" s="31" t="n">
        <f aca="false">ROUNDDOWN(I332*設定!$C$10/1000,0)+ROUNDDOWN(I332*設定!$C$11/1000,0)+ROUNDDOWN(I332*設定!$C$12/1000,0)</f>
        <v>0</v>
      </c>
      <c r="BH332" s="31" t="n">
        <f aca="false">ROUNDDOWN(J332*設定!$B$13/1000,0)</f>
        <v>0</v>
      </c>
      <c r="BI332" s="31" t="n">
        <f aca="false">ROUNDDOWN(J332*設定!$C$13/1000,0)</f>
        <v>0</v>
      </c>
      <c r="BJ332" s="31" t="n">
        <f aca="false">ROUNDDOWN(K332*設定!$B$14/1000,0)</f>
        <v>0</v>
      </c>
      <c r="BK332" s="31" t="n">
        <f aca="false">ROUNDDOWN(K332*設定!$C$14/1000,0)</f>
        <v>0</v>
      </c>
      <c r="BL332" s="31" t="n">
        <f aca="false">ROUNDDOWN(J332*設定!$B$15/1000,0)</f>
        <v>0</v>
      </c>
      <c r="BM332" s="31" t="n">
        <f aca="false">ROUNDDOWN(J332*設定!$C$15/1000,0)</f>
        <v>0</v>
      </c>
      <c r="BN332" s="31" t="n">
        <f aca="false">L332+M332</f>
        <v>0</v>
      </c>
      <c r="BO332" s="31" t="n">
        <f aca="false">N332+O332+P332</f>
        <v>0</v>
      </c>
      <c r="BP332" s="31" t="n">
        <f aca="false">Q332</f>
        <v>0</v>
      </c>
      <c r="BQ332" s="31" t="n">
        <f aca="false">R332</f>
        <v>0</v>
      </c>
      <c r="BR332" s="31" t="n">
        <f aca="false">S332</f>
        <v>0</v>
      </c>
      <c r="BS332" s="31" t="n">
        <f aca="false">T332</f>
        <v>0</v>
      </c>
      <c r="BT332" s="31" t="n">
        <f aca="false">U332</f>
        <v>0</v>
      </c>
      <c r="BU332" s="31" t="n">
        <f aca="false">V332</f>
        <v>0</v>
      </c>
      <c r="BV332" s="32" t="n">
        <f aca="false">IF(BF332=0,IF(BN332=0,0,1),(BN332-BF332)/BF332)</f>
        <v>0</v>
      </c>
      <c r="BW332" s="32" t="n">
        <f aca="false">IF(BG332=0,IF(BO332=0,0,1),(BO332-BG332)/BG332)</f>
        <v>0</v>
      </c>
      <c r="BX332" s="32" t="n">
        <f aca="false">IF(BH332=0,IF(BP332=0,0,1),(BP332-BH332)/BH332)</f>
        <v>0</v>
      </c>
      <c r="BY332" s="32" t="n">
        <f aca="false">IF(BI332=0,IF(BQ332=0,0,1),(BQ332-BI332)/BI332)</f>
        <v>0</v>
      </c>
      <c r="BZ332" s="32" t="n">
        <f aca="false">IF(BJ332=0,IF(BR332=0,0,1),(BR332-BJ332)/BJ332)</f>
        <v>0</v>
      </c>
      <c r="CA332" s="32" t="n">
        <f aca="false">IF(BK332=0,IF(BS332=0,0,1),(BS332-BK332)/BK332)</f>
        <v>0</v>
      </c>
      <c r="CB332" s="32" t="n">
        <f aca="false">IF(BL332=0,IF(BT332=0,0,1),(BT332-BL332)/BL332)</f>
        <v>0</v>
      </c>
      <c r="CC332" s="32" t="n">
        <f aca="false">IF(BM332=0,IF(BU332=0,0,1),(BU332-BM332)/BM332)</f>
        <v>0</v>
      </c>
      <c r="CD332" s="32" t="n">
        <f aca="false">MAX(MAX(BV332:CC332),-MIN(BV332:CC332))</f>
        <v>-0</v>
      </c>
      <c r="CE332" s="31" t="n">
        <f aca="false">IF(CI332="","",SUMIFS($CF$7:$CF$696,$A$7:$A$696,CI332,$B$7:$B$696,B332))</f>
        <v>6992262</v>
      </c>
      <c r="CF332" s="31" t="n">
        <f aca="false">SUM(AU332:BE332)</f>
        <v>6889455</v>
      </c>
      <c r="CG332" s="33" t="str">
        <f aca="false">A332&amp;"|"&amp;B332</f>
        <v>2026-10 月例|議会事務局</v>
      </c>
      <c r="CH332" s="34" t="str">
        <f aca="false">IFERROR(INDEX(設定!$D$61:$D$106,MATCH(B332,設定!$B$61:$B$106,0)),"Y")</f>
        <v>Y</v>
      </c>
      <c r="CI332" s="34" t="str">
        <f aca="false">IFERROR(INDEX(設定!$D$20:$D$34,MATCH(A332,設定!$A$20:$A$34,0))&amp;"","")</f>
        <v>2026-09 月例</v>
      </c>
    </row>
    <row r="333" customFormat="false" ht="15" hidden="false" customHeight="false" outlineLevel="0" collapsed="false">
      <c r="A333" s="22" t="s">
        <v>214</v>
      </c>
      <c r="B333" s="23" t="s">
        <v>164</v>
      </c>
      <c r="C333" s="10" t="str">
        <f aca="false">IF(G333="","未受領",IF(G333="なし","報告なし",IF(AH333="○","起票済",IF(OR(AG333="○",F333="一致",F333="入金不要"),"入金確認済","受領済"))))</f>
        <v>未受領</v>
      </c>
      <c r="D333" s="10" t="str">
        <f aca="false">IF(OR(G333="",G333="なし"),"―",IF(CH333="N","対象外",IF(AND(I333="",J333="",K333=""),"標報未入力",IF(CD333&gt;=設定!$B$4,"要確認","問題なし"))))</f>
        <v>―</v>
      </c>
      <c r="E333" s="24" t="str">
        <f aca="false">IF(OR(G333="",G333="なし",CE333="",CF333=0),"―",IF(CF333=CE333,"前月同額",IF(CE333=0,"―",IF(ABS(CF333/CE333-1)&gt;=設定!$B$5,"変動大 "&amp;TEXT(CF333/CE333-1,"+0%;-0%"),"〇"))))</f>
        <v>―</v>
      </c>
      <c r="F333" s="10" t="str">
        <f aca="false">IF(OR(G333="",G333="なし"),"―",IF(CF333=0,"入金不要",IF(COUNT(Z333,AB333,AD333,AF333)=0,IF(AG333="○","手動確認","未入金"),IF(AND(N(Z333)=Y333,IF(AA333="",TRUE(),N(AB333)=AA333),IF(AC333="",TRUE(),N(AD333)=AC333),IF(AE333="",TRUE(),N(AF333)=AE333)),"一致","不一致"))))</f>
        <v>―</v>
      </c>
      <c r="G333" s="25"/>
      <c r="H333" s="26"/>
      <c r="I333" s="27"/>
      <c r="J333" s="27"/>
      <c r="K333" s="27"/>
      <c r="L333" s="27"/>
      <c r="M333" s="27"/>
      <c r="N333" s="27"/>
      <c r="O333" s="27"/>
      <c r="P333" s="27"/>
      <c r="Q333" s="27"/>
      <c r="R333" s="27"/>
      <c r="S333" s="27"/>
      <c r="T333" s="27"/>
      <c r="U333" s="27"/>
      <c r="V333" s="27"/>
      <c r="W333" s="10" t="str">
        <f aca="false">IFERROR(INDEX(設定!$E$61:$E$106,MATCH(B333,設定!$B$61:$B$106,0)),"合算")</f>
        <v>合算</v>
      </c>
      <c r="X333" s="28"/>
      <c r="Y333" s="29" t="str">
        <f aca="false">IF(OR(G333="",G333="なし"),"",IF(W333="合算",CF333,IF(W333="掛金・負担金別",(AU333+AV333+AZ333+BB333+BD333),SUM(AU333:AY333))))</f>
        <v/>
      </c>
      <c r="Z333" s="27"/>
      <c r="AA333" s="29" t="str">
        <f aca="false">IF(OR(G333="",G333="なし"),"",IF(W333="掛金・負担金別",(AW333+AX333+AY333+BA333+BC333+BE333),IF(W333="経理区分別",AZ333+BA333,"")))</f>
        <v/>
      </c>
      <c r="AB333" s="27"/>
      <c r="AC333" s="29" t="str">
        <f aca="false">IF(OR(G333="",G333="なし"),"",IF(W333="経理区分別",BB333+BC333,""))</f>
        <v/>
      </c>
      <c r="AD333" s="27"/>
      <c r="AE333" s="29" t="str">
        <f aca="false">IF(OR(G333="",G333="なし"),"",IF(W333="経理区分別",BD333+BE333,""))</f>
        <v/>
      </c>
      <c r="AF333" s="27"/>
      <c r="AG333" s="26"/>
      <c r="AH333" s="26"/>
      <c r="AI333" s="30"/>
      <c r="AJ333" s="31" t="n">
        <v>24178326</v>
      </c>
      <c r="AK333" s="31" t="n">
        <v>1981830</v>
      </c>
      <c r="AL333" s="31" t="n">
        <v>35265535</v>
      </c>
      <c r="AM333" s="31" t="n">
        <v>1982550</v>
      </c>
      <c r="AN333" s="31" t="n">
        <v>25061</v>
      </c>
      <c r="AO333" s="31" t="n">
        <v>25754073</v>
      </c>
      <c r="AP333" s="31" t="n">
        <v>26235747</v>
      </c>
      <c r="AQ333" s="31" t="n">
        <v>2801103</v>
      </c>
      <c r="AR333" s="31" t="n">
        <v>2793876</v>
      </c>
      <c r="AS333" s="31" t="n">
        <v>1</v>
      </c>
      <c r="AT333" s="31" t="n">
        <v>1</v>
      </c>
      <c r="AU333" s="31" t="n">
        <f aca="false">IF($G333="",AJ333,L333)</f>
        <v>24178326</v>
      </c>
      <c r="AV333" s="31" t="n">
        <f aca="false">IF($G333="",AK333,M333)</f>
        <v>1981830</v>
      </c>
      <c r="AW333" s="31" t="n">
        <f aca="false">IF($G333="",AL333,N333)</f>
        <v>35265535</v>
      </c>
      <c r="AX333" s="31" t="n">
        <f aca="false">IF($G333="",AM333,O333)</f>
        <v>1982550</v>
      </c>
      <c r="AY333" s="31" t="n">
        <f aca="false">IF($G333="",AN333,P333)</f>
        <v>25061</v>
      </c>
      <c r="AZ333" s="31" t="n">
        <f aca="false">IF($G333="",AO333,Q333)</f>
        <v>25754073</v>
      </c>
      <c r="BA333" s="31" t="n">
        <f aca="false">IF($G333="",AP333,R333)</f>
        <v>26235747</v>
      </c>
      <c r="BB333" s="31" t="n">
        <f aca="false">IF($G333="",AQ333,S333)</f>
        <v>2801103</v>
      </c>
      <c r="BC333" s="31" t="n">
        <f aca="false">IF($G333="",AR333,T333)</f>
        <v>2793876</v>
      </c>
      <c r="BD333" s="31" t="n">
        <f aca="false">IF($G333="",AS333,U333)</f>
        <v>1</v>
      </c>
      <c r="BE333" s="31" t="n">
        <f aca="false">IF($G333="",AT333,V333)</f>
        <v>1</v>
      </c>
      <c r="BF333" s="31" t="n">
        <f aca="false">ROUNDDOWN(I333*設定!$B$10/1000,0)+ROUNDDOWN(I333*設定!$B$11/1000,0)</f>
        <v>0</v>
      </c>
      <c r="BG333" s="31" t="n">
        <f aca="false">ROUNDDOWN(I333*設定!$C$10/1000,0)+ROUNDDOWN(I333*設定!$C$11/1000,0)+ROUNDDOWN(I333*設定!$C$12/1000,0)</f>
        <v>0</v>
      </c>
      <c r="BH333" s="31" t="n">
        <f aca="false">ROUNDDOWN(J333*設定!$B$13/1000,0)</f>
        <v>0</v>
      </c>
      <c r="BI333" s="31" t="n">
        <f aca="false">ROUNDDOWN(J333*設定!$C$13/1000,0)</f>
        <v>0</v>
      </c>
      <c r="BJ333" s="31" t="n">
        <f aca="false">ROUNDDOWN(K333*設定!$B$14/1000,0)</f>
        <v>0</v>
      </c>
      <c r="BK333" s="31" t="n">
        <f aca="false">ROUNDDOWN(K333*設定!$C$14/1000,0)</f>
        <v>0</v>
      </c>
      <c r="BL333" s="31" t="n">
        <f aca="false">ROUNDDOWN(J333*設定!$B$15/1000,0)</f>
        <v>0</v>
      </c>
      <c r="BM333" s="31" t="n">
        <f aca="false">ROUNDDOWN(J333*設定!$C$15/1000,0)</f>
        <v>0</v>
      </c>
      <c r="BN333" s="31" t="n">
        <f aca="false">L333+M333</f>
        <v>0</v>
      </c>
      <c r="BO333" s="31" t="n">
        <f aca="false">N333+O333+P333</f>
        <v>0</v>
      </c>
      <c r="BP333" s="31" t="n">
        <f aca="false">Q333</f>
        <v>0</v>
      </c>
      <c r="BQ333" s="31" t="n">
        <f aca="false">R333</f>
        <v>0</v>
      </c>
      <c r="BR333" s="31" t="n">
        <f aca="false">S333</f>
        <v>0</v>
      </c>
      <c r="BS333" s="31" t="n">
        <f aca="false">T333</f>
        <v>0</v>
      </c>
      <c r="BT333" s="31" t="n">
        <f aca="false">U333</f>
        <v>0</v>
      </c>
      <c r="BU333" s="31" t="n">
        <f aca="false">V333</f>
        <v>0</v>
      </c>
      <c r="BV333" s="32" t="n">
        <f aca="false">IF(BF333=0,IF(BN333=0,0,1),(BN333-BF333)/BF333)</f>
        <v>0</v>
      </c>
      <c r="BW333" s="32" t="n">
        <f aca="false">IF(BG333=0,IF(BO333=0,0,1),(BO333-BG333)/BG333)</f>
        <v>0</v>
      </c>
      <c r="BX333" s="32" t="n">
        <f aca="false">IF(BH333=0,IF(BP333=0,0,1),(BP333-BH333)/BH333)</f>
        <v>0</v>
      </c>
      <c r="BY333" s="32" t="n">
        <f aca="false">IF(BI333=0,IF(BQ333=0,0,1),(BQ333-BI333)/BI333)</f>
        <v>0</v>
      </c>
      <c r="BZ333" s="32" t="n">
        <f aca="false">IF(BJ333=0,IF(BR333=0,0,1),(BR333-BJ333)/BJ333)</f>
        <v>0</v>
      </c>
      <c r="CA333" s="32" t="n">
        <f aca="false">IF(BK333=0,IF(BS333=0,0,1),(BS333-BK333)/BK333)</f>
        <v>0</v>
      </c>
      <c r="CB333" s="32" t="n">
        <f aca="false">IF(BL333=0,IF(BT333=0,0,1),(BT333-BL333)/BL333)</f>
        <v>0</v>
      </c>
      <c r="CC333" s="32" t="n">
        <f aca="false">IF(BM333=0,IF(BU333=0,0,1),(BU333-BM333)/BM333)</f>
        <v>0</v>
      </c>
      <c r="CD333" s="32" t="n">
        <f aca="false">MAX(MAX(BV333:CC333),-MIN(BV333:CC333))</f>
        <v>-0</v>
      </c>
      <c r="CE333" s="31" t="n">
        <f aca="false">IF(CI333="","",SUMIFS($CF$7:$CF$696,$A$7:$A$696,CI333,$B$7:$B$696,B333))</f>
        <v>120629156</v>
      </c>
      <c r="CF333" s="31" t="n">
        <f aca="false">SUM(AU333:BE333)</f>
        <v>121018103</v>
      </c>
      <c r="CG333" s="33" t="str">
        <f aca="false">A333&amp;"|"&amp;B333</f>
        <v>2026-10 月例|教育委員会（総務課）</v>
      </c>
      <c r="CH333" s="34" t="str">
        <f aca="false">IFERROR(INDEX(設定!$D$61:$D$106,MATCH(B333,設定!$B$61:$B$106,0)),"Y")</f>
        <v>N</v>
      </c>
      <c r="CI333" s="34" t="str">
        <f aca="false">IFERROR(INDEX(設定!$D$20:$D$34,MATCH(A333,設定!$A$20:$A$34,0))&amp;"","")</f>
        <v>2026-09 月例</v>
      </c>
    </row>
    <row r="334" customFormat="false" ht="15" hidden="false" customHeight="false" outlineLevel="0" collapsed="false">
      <c r="A334" s="22" t="s">
        <v>214</v>
      </c>
      <c r="B334" s="23" t="s">
        <v>165</v>
      </c>
      <c r="C334" s="10" t="str">
        <f aca="false">IF(G334="","未受領",IF(G334="なし","報告なし",IF(AH334="○","起票済",IF(OR(AG334="○",F334="一致",F334="入金不要"),"入金確認済","受領済"))))</f>
        <v>未受領</v>
      </c>
      <c r="D334" s="10" t="str">
        <f aca="false">IF(OR(G334="",G334="なし"),"―",IF(CH334="N","対象外",IF(AND(I334="",J334="",K334=""),"標報未入力",IF(CD334&gt;=設定!$B$4,"要確認","問題なし"))))</f>
        <v>―</v>
      </c>
      <c r="E334" s="24" t="str">
        <f aca="false">IF(OR(G334="",G334="なし",CE334="",CF334=0),"―",IF(CF334=CE334,"前月同額",IF(CE334=0,"―",IF(ABS(CF334/CE334-1)&gt;=設定!$B$5,"変動大 "&amp;TEXT(CF334/CE334-1,"+0%;-0%"),"〇"))))</f>
        <v>―</v>
      </c>
      <c r="F334" s="10" t="str">
        <f aca="false">IF(OR(G334="",G334="なし"),"―",IF(CF334=0,"入金不要",IF(COUNT(Z334,AB334,AD334,AF334)=0,IF(AG334="○","手動確認","未入金"),IF(AND(N(Z334)=Y334,IF(AA334="",TRUE(),N(AB334)=AA334),IF(AC334="",TRUE(),N(AD334)=AC334),IF(AE334="",TRUE(),N(AF334)=AE334)),"一致","不一致"))))</f>
        <v>―</v>
      </c>
      <c r="G334" s="25"/>
      <c r="H334" s="26"/>
      <c r="I334" s="27"/>
      <c r="J334" s="27"/>
      <c r="K334" s="27"/>
      <c r="L334" s="27"/>
      <c r="M334" s="27"/>
      <c r="N334" s="27"/>
      <c r="O334" s="27"/>
      <c r="P334" s="27"/>
      <c r="Q334" s="27"/>
      <c r="R334" s="27"/>
      <c r="S334" s="27"/>
      <c r="T334" s="27"/>
      <c r="U334" s="27"/>
      <c r="V334" s="27"/>
      <c r="W334" s="10" t="str">
        <f aca="false">IFERROR(INDEX(設定!$E$61:$E$106,MATCH(B334,設定!$B$61:$B$106,0)),"合算")</f>
        <v>合算</v>
      </c>
      <c r="X334" s="28"/>
      <c r="Y334" s="29" t="str">
        <f aca="false">IF(OR(G334="",G334="なし"),"",IF(W334="合算",CF334,IF(W334="掛金・負担金別",(AU334+AV334+AZ334+BB334+BD334),SUM(AU334:AY334))))</f>
        <v/>
      </c>
      <c r="Z334" s="27"/>
      <c r="AA334" s="29" t="str">
        <f aca="false">IF(OR(G334="",G334="なし"),"",IF(W334="掛金・負担金別",(AW334+AX334+AY334+BA334+BC334+BE334),IF(W334="経理区分別",AZ334+BA334,"")))</f>
        <v/>
      </c>
      <c r="AB334" s="27"/>
      <c r="AC334" s="29" t="str">
        <f aca="false">IF(OR(G334="",G334="なし"),"",IF(W334="経理区分別",BB334+BC334,""))</f>
        <v/>
      </c>
      <c r="AD334" s="27"/>
      <c r="AE334" s="29" t="str">
        <f aca="false">IF(OR(G334="",G334="なし"),"",IF(W334="経理区分別",BD334+BE334,""))</f>
        <v/>
      </c>
      <c r="AF334" s="27"/>
      <c r="AG334" s="26"/>
      <c r="AH334" s="26"/>
      <c r="AI334" s="30"/>
      <c r="AJ334" s="31" t="n">
        <v>280905</v>
      </c>
      <c r="AK334" s="31" t="n">
        <v>23025</v>
      </c>
      <c r="AL334" s="31" t="n">
        <v>408310</v>
      </c>
      <c r="AM334" s="31" t="n">
        <v>23025</v>
      </c>
      <c r="AN334" s="31" t="n">
        <v>288</v>
      </c>
      <c r="AO334" s="31" t="n">
        <v>190331</v>
      </c>
      <c r="AP334" s="31" t="n">
        <v>216641</v>
      </c>
      <c r="AQ334" s="31" t="n">
        <v>15326</v>
      </c>
      <c r="AR334" s="31" t="n">
        <v>18565</v>
      </c>
      <c r="AS334" s="31" t="n">
        <v>1</v>
      </c>
      <c r="AT334" s="31" t="n">
        <v>1</v>
      </c>
      <c r="AU334" s="31" t="n">
        <f aca="false">IF($G334="",AJ334,L334)</f>
        <v>280905</v>
      </c>
      <c r="AV334" s="31" t="n">
        <f aca="false">IF($G334="",AK334,M334)</f>
        <v>23025</v>
      </c>
      <c r="AW334" s="31" t="n">
        <f aca="false">IF($G334="",AL334,N334)</f>
        <v>408310</v>
      </c>
      <c r="AX334" s="31" t="n">
        <f aca="false">IF($G334="",AM334,O334)</f>
        <v>23025</v>
      </c>
      <c r="AY334" s="31" t="n">
        <f aca="false">IF($G334="",AN334,P334)</f>
        <v>288</v>
      </c>
      <c r="AZ334" s="31" t="n">
        <f aca="false">IF($G334="",AO334,Q334)</f>
        <v>190331</v>
      </c>
      <c r="BA334" s="31" t="n">
        <f aca="false">IF($G334="",AP334,R334)</f>
        <v>216641</v>
      </c>
      <c r="BB334" s="31" t="n">
        <f aca="false">IF($G334="",AQ334,S334)</f>
        <v>15326</v>
      </c>
      <c r="BC334" s="31" t="n">
        <f aca="false">IF($G334="",AR334,T334)</f>
        <v>18565</v>
      </c>
      <c r="BD334" s="31" t="n">
        <f aca="false">IF($G334="",AS334,U334)</f>
        <v>1</v>
      </c>
      <c r="BE334" s="31" t="n">
        <f aca="false">IF($G334="",AT334,V334)</f>
        <v>1</v>
      </c>
      <c r="BF334" s="31" t="n">
        <f aca="false">ROUNDDOWN(I334*設定!$B$10/1000,0)+ROUNDDOWN(I334*設定!$B$11/1000,0)</f>
        <v>0</v>
      </c>
      <c r="BG334" s="31" t="n">
        <f aca="false">ROUNDDOWN(I334*設定!$C$10/1000,0)+ROUNDDOWN(I334*設定!$C$11/1000,0)+ROUNDDOWN(I334*設定!$C$12/1000,0)</f>
        <v>0</v>
      </c>
      <c r="BH334" s="31" t="n">
        <f aca="false">ROUNDDOWN(J334*設定!$B$13/1000,0)</f>
        <v>0</v>
      </c>
      <c r="BI334" s="31" t="n">
        <f aca="false">ROUNDDOWN(J334*設定!$C$13/1000,0)</f>
        <v>0</v>
      </c>
      <c r="BJ334" s="31" t="n">
        <f aca="false">ROUNDDOWN(K334*設定!$B$14/1000,0)</f>
        <v>0</v>
      </c>
      <c r="BK334" s="31" t="n">
        <f aca="false">ROUNDDOWN(K334*設定!$C$14/1000,0)</f>
        <v>0</v>
      </c>
      <c r="BL334" s="31" t="n">
        <f aca="false">ROUNDDOWN(J334*設定!$B$15/1000,0)</f>
        <v>0</v>
      </c>
      <c r="BM334" s="31" t="n">
        <f aca="false">ROUNDDOWN(J334*設定!$C$15/1000,0)</f>
        <v>0</v>
      </c>
      <c r="BN334" s="31" t="n">
        <f aca="false">L334+M334</f>
        <v>0</v>
      </c>
      <c r="BO334" s="31" t="n">
        <f aca="false">N334+O334+P334</f>
        <v>0</v>
      </c>
      <c r="BP334" s="31" t="n">
        <f aca="false">Q334</f>
        <v>0</v>
      </c>
      <c r="BQ334" s="31" t="n">
        <f aca="false">R334</f>
        <v>0</v>
      </c>
      <c r="BR334" s="31" t="n">
        <f aca="false">S334</f>
        <v>0</v>
      </c>
      <c r="BS334" s="31" t="n">
        <f aca="false">T334</f>
        <v>0</v>
      </c>
      <c r="BT334" s="31" t="n">
        <f aca="false">U334</f>
        <v>0</v>
      </c>
      <c r="BU334" s="31" t="n">
        <f aca="false">V334</f>
        <v>0</v>
      </c>
      <c r="BV334" s="32" t="n">
        <f aca="false">IF(BF334=0,IF(BN334=0,0,1),(BN334-BF334)/BF334)</f>
        <v>0</v>
      </c>
      <c r="BW334" s="32" t="n">
        <f aca="false">IF(BG334=0,IF(BO334=0,0,1),(BO334-BG334)/BG334)</f>
        <v>0</v>
      </c>
      <c r="BX334" s="32" t="n">
        <f aca="false">IF(BH334=0,IF(BP334=0,0,1),(BP334-BH334)/BH334)</f>
        <v>0</v>
      </c>
      <c r="BY334" s="32" t="n">
        <f aca="false">IF(BI334=0,IF(BQ334=0,0,1),(BQ334-BI334)/BI334)</f>
        <v>0</v>
      </c>
      <c r="BZ334" s="32" t="n">
        <f aca="false">IF(BJ334=0,IF(BR334=0,0,1),(BR334-BJ334)/BJ334)</f>
        <v>0</v>
      </c>
      <c r="CA334" s="32" t="n">
        <f aca="false">IF(BK334=0,IF(BS334=0,0,1),(BS334-BK334)/BK334)</f>
        <v>0</v>
      </c>
      <c r="CB334" s="32" t="n">
        <f aca="false">IF(BL334=0,IF(BT334=0,0,1),(BT334-BL334)/BL334)</f>
        <v>0</v>
      </c>
      <c r="CC334" s="32" t="n">
        <f aca="false">IF(BM334=0,IF(BU334=0,0,1),(BU334-BM334)/BM334)</f>
        <v>0</v>
      </c>
      <c r="CD334" s="32" t="n">
        <f aca="false">MAX(MAX(BV334:CC334),-MIN(BV334:CC334))</f>
        <v>-0</v>
      </c>
      <c r="CE334" s="31" t="n">
        <f aca="false">IF(CI334="","",SUMIFS($CF$7:$CF$696,$A$7:$A$696,CI334,$B$7:$B$696,B334))</f>
        <v>1019472</v>
      </c>
      <c r="CF334" s="31" t="n">
        <f aca="false">SUM(AU334:BE334)</f>
        <v>1176418</v>
      </c>
      <c r="CG334" s="33" t="str">
        <f aca="false">A334&amp;"|"&amp;B334</f>
        <v>2026-10 月例|選挙管理委員会</v>
      </c>
      <c r="CH334" s="34" t="str">
        <f aca="false">IFERROR(INDEX(設定!$D$61:$D$106,MATCH(B334,設定!$B$61:$B$106,0)),"Y")</f>
        <v>Y</v>
      </c>
      <c r="CI334" s="34" t="str">
        <f aca="false">IFERROR(INDEX(設定!$D$20:$D$34,MATCH(A334,設定!$A$20:$A$34,0))&amp;"","")</f>
        <v>2026-09 月例</v>
      </c>
    </row>
    <row r="335" customFormat="false" ht="15" hidden="false" customHeight="false" outlineLevel="0" collapsed="false">
      <c r="A335" s="22" t="s">
        <v>214</v>
      </c>
      <c r="B335" s="23" t="s">
        <v>166</v>
      </c>
      <c r="C335" s="10" t="str">
        <f aca="false">IF(G335="","未受領",IF(G335="なし","報告なし",IF(AH335="○","起票済",IF(OR(AG335="○",F335="一致",F335="入金不要"),"入金確認済","受領済"))))</f>
        <v>未受領</v>
      </c>
      <c r="D335" s="10" t="str">
        <f aca="false">IF(OR(G335="",G335="なし"),"―",IF(CH335="N","対象外",IF(AND(I335="",J335="",K335=""),"標報未入力",IF(CD335&gt;=設定!$B$4,"要確認","問題なし"))))</f>
        <v>―</v>
      </c>
      <c r="E335" s="24" t="str">
        <f aca="false">IF(OR(G335="",G335="なし",CE335="",CF335=0),"―",IF(CF335=CE335,"前月同額",IF(CE335=0,"―",IF(ABS(CF335/CE335-1)&gt;=設定!$B$5,"変動大 "&amp;TEXT(CF335/CE335-1,"+0%;-0%"),"〇"))))</f>
        <v>―</v>
      </c>
      <c r="F335" s="10" t="str">
        <f aca="false">IF(OR(G335="",G335="なし"),"―",IF(CF335=0,"入金不要",IF(COUNT(Z335,AB335,AD335,AF335)=0,IF(AG335="○","手動確認","未入金"),IF(AND(N(Z335)=Y335,IF(AA335="",TRUE(),N(AB335)=AA335),IF(AC335="",TRUE(),N(AD335)=AC335),IF(AE335="",TRUE(),N(AF335)=AE335)),"一致","不一致"))))</f>
        <v>―</v>
      </c>
      <c r="G335" s="25"/>
      <c r="H335" s="26"/>
      <c r="I335" s="27"/>
      <c r="J335" s="27"/>
      <c r="K335" s="27"/>
      <c r="L335" s="27"/>
      <c r="M335" s="27"/>
      <c r="N335" s="27"/>
      <c r="O335" s="27"/>
      <c r="P335" s="27"/>
      <c r="Q335" s="27"/>
      <c r="R335" s="27"/>
      <c r="S335" s="27"/>
      <c r="T335" s="27"/>
      <c r="U335" s="27"/>
      <c r="V335" s="27"/>
      <c r="W335" s="10" t="str">
        <f aca="false">IFERROR(INDEX(設定!$E$61:$E$106,MATCH(B335,設定!$B$61:$B$106,0)),"合算")</f>
        <v>合算</v>
      </c>
      <c r="X335" s="28"/>
      <c r="Y335" s="29" t="str">
        <f aca="false">IF(OR(G335="",G335="なし"),"",IF(W335="合算",CF335,IF(W335="掛金・負担金別",(AU335+AV335+AZ335+BB335+BD335),SUM(AU335:AY335))))</f>
        <v/>
      </c>
      <c r="Z335" s="27"/>
      <c r="AA335" s="29" t="str">
        <f aca="false">IF(OR(G335="",G335="なし"),"",IF(W335="掛金・負担金別",(AW335+AX335+AY335+BA335+BC335+BE335),IF(W335="経理区分別",AZ335+BA335,"")))</f>
        <v/>
      </c>
      <c r="AB335" s="27"/>
      <c r="AC335" s="29" t="str">
        <f aca="false">IF(OR(G335="",G335="なし"),"",IF(W335="経理区分別",BB335+BC335,""))</f>
        <v/>
      </c>
      <c r="AD335" s="27"/>
      <c r="AE335" s="29" t="str">
        <f aca="false">IF(OR(G335="",G335="なし"),"",IF(W335="経理区分別",BD335+BE335,""))</f>
        <v/>
      </c>
      <c r="AF335" s="27"/>
      <c r="AG335" s="26"/>
      <c r="AH335" s="26"/>
      <c r="AI335" s="30"/>
      <c r="AJ335" s="31" t="n">
        <v>561810</v>
      </c>
      <c r="AK335" s="31" t="n">
        <v>46050</v>
      </c>
      <c r="AL335" s="31" t="n">
        <v>816620</v>
      </c>
      <c r="AM335" s="31" t="n">
        <v>46050</v>
      </c>
      <c r="AN335" s="31" t="n">
        <v>576</v>
      </c>
      <c r="AO335" s="31" t="n">
        <v>351070</v>
      </c>
      <c r="AP335" s="31" t="n">
        <v>357264</v>
      </c>
      <c r="AQ335" s="31" t="n">
        <v>33353</v>
      </c>
      <c r="AR335" s="31" t="n">
        <v>33353</v>
      </c>
      <c r="AS335" s="31" t="n">
        <v>1</v>
      </c>
      <c r="AT335" s="31" t="n">
        <v>1</v>
      </c>
      <c r="AU335" s="31" t="n">
        <f aca="false">IF($G335="",AJ335,L335)</f>
        <v>561810</v>
      </c>
      <c r="AV335" s="31" t="n">
        <f aca="false">IF($G335="",AK335,M335)</f>
        <v>46050</v>
      </c>
      <c r="AW335" s="31" t="n">
        <f aca="false">IF($G335="",AL335,N335)</f>
        <v>816620</v>
      </c>
      <c r="AX335" s="31" t="n">
        <f aca="false">IF($G335="",AM335,O335)</f>
        <v>46050</v>
      </c>
      <c r="AY335" s="31" t="n">
        <f aca="false">IF($G335="",AN335,P335)</f>
        <v>576</v>
      </c>
      <c r="AZ335" s="31" t="n">
        <f aca="false">IF($G335="",AO335,Q335)</f>
        <v>351070</v>
      </c>
      <c r="BA335" s="31" t="n">
        <f aca="false">IF($G335="",AP335,R335)</f>
        <v>357264</v>
      </c>
      <c r="BB335" s="31" t="n">
        <f aca="false">IF($G335="",AQ335,S335)</f>
        <v>33353</v>
      </c>
      <c r="BC335" s="31" t="n">
        <f aca="false">IF($G335="",AR335,T335)</f>
        <v>33353</v>
      </c>
      <c r="BD335" s="31" t="n">
        <f aca="false">IF($G335="",AS335,U335)</f>
        <v>1</v>
      </c>
      <c r="BE335" s="31" t="n">
        <f aca="false">IF($G335="",AT335,V335)</f>
        <v>1</v>
      </c>
      <c r="BF335" s="31" t="n">
        <f aca="false">ROUNDDOWN(I335*設定!$B$10/1000,0)+ROUNDDOWN(I335*設定!$B$11/1000,0)</f>
        <v>0</v>
      </c>
      <c r="BG335" s="31" t="n">
        <f aca="false">ROUNDDOWN(I335*設定!$C$10/1000,0)+ROUNDDOWN(I335*設定!$C$11/1000,0)+ROUNDDOWN(I335*設定!$C$12/1000,0)</f>
        <v>0</v>
      </c>
      <c r="BH335" s="31" t="n">
        <f aca="false">ROUNDDOWN(J335*設定!$B$13/1000,0)</f>
        <v>0</v>
      </c>
      <c r="BI335" s="31" t="n">
        <f aca="false">ROUNDDOWN(J335*設定!$C$13/1000,0)</f>
        <v>0</v>
      </c>
      <c r="BJ335" s="31" t="n">
        <f aca="false">ROUNDDOWN(K335*設定!$B$14/1000,0)</f>
        <v>0</v>
      </c>
      <c r="BK335" s="31" t="n">
        <f aca="false">ROUNDDOWN(K335*設定!$C$14/1000,0)</f>
        <v>0</v>
      </c>
      <c r="BL335" s="31" t="n">
        <f aca="false">ROUNDDOWN(J335*設定!$B$15/1000,0)</f>
        <v>0</v>
      </c>
      <c r="BM335" s="31" t="n">
        <f aca="false">ROUNDDOWN(J335*設定!$C$15/1000,0)</f>
        <v>0</v>
      </c>
      <c r="BN335" s="31" t="n">
        <f aca="false">L335+M335</f>
        <v>0</v>
      </c>
      <c r="BO335" s="31" t="n">
        <f aca="false">N335+O335+P335</f>
        <v>0</v>
      </c>
      <c r="BP335" s="31" t="n">
        <f aca="false">Q335</f>
        <v>0</v>
      </c>
      <c r="BQ335" s="31" t="n">
        <f aca="false">R335</f>
        <v>0</v>
      </c>
      <c r="BR335" s="31" t="n">
        <f aca="false">S335</f>
        <v>0</v>
      </c>
      <c r="BS335" s="31" t="n">
        <f aca="false">T335</f>
        <v>0</v>
      </c>
      <c r="BT335" s="31" t="n">
        <f aca="false">U335</f>
        <v>0</v>
      </c>
      <c r="BU335" s="31" t="n">
        <f aca="false">V335</f>
        <v>0</v>
      </c>
      <c r="BV335" s="32" t="n">
        <f aca="false">IF(BF335=0,IF(BN335=0,0,1),(BN335-BF335)/BF335)</f>
        <v>0</v>
      </c>
      <c r="BW335" s="32" t="n">
        <f aca="false">IF(BG335=0,IF(BO335=0,0,1),(BO335-BG335)/BG335)</f>
        <v>0</v>
      </c>
      <c r="BX335" s="32" t="n">
        <f aca="false">IF(BH335=0,IF(BP335=0,0,1),(BP335-BH335)/BH335)</f>
        <v>0</v>
      </c>
      <c r="BY335" s="32" t="n">
        <f aca="false">IF(BI335=0,IF(BQ335=0,0,1),(BQ335-BI335)/BI335)</f>
        <v>0</v>
      </c>
      <c r="BZ335" s="32" t="n">
        <f aca="false">IF(BJ335=0,IF(BR335=0,0,1),(BR335-BJ335)/BJ335)</f>
        <v>0</v>
      </c>
      <c r="CA335" s="32" t="n">
        <f aca="false">IF(BK335=0,IF(BS335=0,0,1),(BS335-BK335)/BK335)</f>
        <v>0</v>
      </c>
      <c r="CB335" s="32" t="n">
        <f aca="false">IF(BL335=0,IF(BT335=0,0,1),(BT335-BL335)/BL335)</f>
        <v>0</v>
      </c>
      <c r="CC335" s="32" t="n">
        <f aca="false">IF(BM335=0,IF(BU335=0,0,1),(BU335-BM335)/BM335)</f>
        <v>0</v>
      </c>
      <c r="CD335" s="32" t="n">
        <f aca="false">MAX(MAX(BV335:CC335),-MIN(BV335:CC335))</f>
        <v>-0</v>
      </c>
      <c r="CE335" s="31" t="n">
        <f aca="false">IF(CI335="","",SUMIFS($CF$7:$CF$696,$A$7:$A$696,CI335,$B$7:$B$696,B335))</f>
        <v>2412767</v>
      </c>
      <c r="CF335" s="31" t="n">
        <f aca="false">SUM(AU335:BE335)</f>
        <v>2246148</v>
      </c>
      <c r="CG335" s="33" t="str">
        <f aca="false">A335&amp;"|"&amp;B335</f>
        <v>2026-10 月例|人事委員会</v>
      </c>
      <c r="CH335" s="34" t="str">
        <f aca="false">IFERROR(INDEX(設定!$D$61:$D$106,MATCH(B335,設定!$B$61:$B$106,0)),"Y")</f>
        <v>Y</v>
      </c>
      <c r="CI335" s="34" t="str">
        <f aca="false">IFERROR(INDEX(設定!$D$20:$D$34,MATCH(A335,設定!$A$20:$A$34,0))&amp;"","")</f>
        <v>2026-09 月例</v>
      </c>
    </row>
    <row r="336" customFormat="false" ht="15" hidden="false" customHeight="false" outlineLevel="0" collapsed="false">
      <c r="A336" s="22" t="s">
        <v>214</v>
      </c>
      <c r="B336" s="23" t="s">
        <v>167</v>
      </c>
      <c r="C336" s="10" t="str">
        <f aca="false">IF(G336="","未受領",IF(G336="なし","報告なし",IF(AH336="○","起票済",IF(OR(AG336="○",F336="一致",F336="入金不要"),"入金確認済","受領済"))))</f>
        <v>未受領</v>
      </c>
      <c r="D336" s="10" t="str">
        <f aca="false">IF(OR(G336="",G336="なし"),"―",IF(CH336="N","対象外",IF(AND(I336="",J336="",K336=""),"標報未入力",IF(CD336&gt;=設定!$B$4,"要確認","問題なし"))))</f>
        <v>―</v>
      </c>
      <c r="E336" s="24" t="str">
        <f aca="false">IF(OR(G336="",G336="なし",CE336="",CF336=0),"―",IF(CF336=CE336,"前月同額",IF(CE336=0,"―",IF(ABS(CF336/CE336-1)&gt;=設定!$B$5,"変動大 "&amp;TEXT(CF336/CE336-1,"+0%;-0%"),"〇"))))</f>
        <v>―</v>
      </c>
      <c r="F336" s="10" t="str">
        <f aca="false">IF(OR(G336="",G336="なし"),"―",IF(CF336=0,"入金不要",IF(COUNT(Z336,AB336,AD336,AF336)=0,IF(AG336="○","手動確認","未入金"),IF(AND(N(Z336)=Y336,IF(AA336="",TRUE(),N(AB336)=AA336),IF(AC336="",TRUE(),N(AD336)=AC336),IF(AE336="",TRUE(),N(AF336)=AE336)),"一致","不一致"))))</f>
        <v>―</v>
      </c>
      <c r="G336" s="25"/>
      <c r="H336" s="26"/>
      <c r="I336" s="27"/>
      <c r="J336" s="27"/>
      <c r="K336" s="27"/>
      <c r="L336" s="27"/>
      <c r="M336" s="27"/>
      <c r="N336" s="27"/>
      <c r="O336" s="27"/>
      <c r="P336" s="27"/>
      <c r="Q336" s="27"/>
      <c r="R336" s="27"/>
      <c r="S336" s="27"/>
      <c r="T336" s="27"/>
      <c r="U336" s="27"/>
      <c r="V336" s="27"/>
      <c r="W336" s="10" t="str">
        <f aca="false">IFERROR(INDEX(設定!$E$61:$E$106,MATCH(B336,設定!$B$61:$B$106,0)),"合算")</f>
        <v>合算</v>
      </c>
      <c r="X336" s="28"/>
      <c r="Y336" s="29" t="str">
        <f aca="false">IF(OR(G336="",G336="なし"),"",IF(W336="合算",CF336,IF(W336="掛金・負担金別",(AU336+AV336+AZ336+BB336+BD336),SUM(AU336:AY336))))</f>
        <v/>
      </c>
      <c r="Z336" s="27"/>
      <c r="AA336" s="29" t="str">
        <f aca="false">IF(OR(G336="",G336="なし"),"",IF(W336="掛金・負担金別",(AW336+AX336+AY336+BA336+BC336+BE336),IF(W336="経理区分別",AZ336+BA336,"")))</f>
        <v/>
      </c>
      <c r="AB336" s="27"/>
      <c r="AC336" s="29" t="str">
        <f aca="false">IF(OR(G336="",G336="なし"),"",IF(W336="経理区分別",BB336+BC336,""))</f>
        <v/>
      </c>
      <c r="AD336" s="27"/>
      <c r="AE336" s="29" t="str">
        <f aca="false">IF(OR(G336="",G336="なし"),"",IF(W336="経理区分別",BD336+BE336,""))</f>
        <v/>
      </c>
      <c r="AF336" s="27"/>
      <c r="AG336" s="26"/>
      <c r="AH336" s="26"/>
      <c r="AI336" s="30"/>
      <c r="AJ336" s="31" t="n">
        <v>1344135</v>
      </c>
      <c r="AK336" s="31" t="n">
        <v>110175</v>
      </c>
      <c r="AL336" s="31" t="n">
        <v>1965390</v>
      </c>
      <c r="AM336" s="31" t="n">
        <v>110175</v>
      </c>
      <c r="AN336" s="31" t="n">
        <v>1405</v>
      </c>
      <c r="AO336" s="31" t="n">
        <v>836690</v>
      </c>
      <c r="AP336" s="31" t="n">
        <v>851727</v>
      </c>
      <c r="AQ336" s="31" t="n">
        <v>108309</v>
      </c>
      <c r="AR336" s="31" t="n">
        <v>108309</v>
      </c>
      <c r="AS336" s="31" t="n">
        <v>1</v>
      </c>
      <c r="AT336" s="31" t="n">
        <v>1</v>
      </c>
      <c r="AU336" s="31" t="n">
        <f aca="false">IF($G336="",AJ336,L336)</f>
        <v>1344135</v>
      </c>
      <c r="AV336" s="31" t="n">
        <f aca="false">IF($G336="",AK336,M336)</f>
        <v>110175</v>
      </c>
      <c r="AW336" s="31" t="n">
        <f aca="false">IF($G336="",AL336,N336)</f>
        <v>1965390</v>
      </c>
      <c r="AX336" s="31" t="n">
        <f aca="false">IF($G336="",AM336,O336)</f>
        <v>110175</v>
      </c>
      <c r="AY336" s="31" t="n">
        <f aca="false">IF($G336="",AN336,P336)</f>
        <v>1405</v>
      </c>
      <c r="AZ336" s="31" t="n">
        <f aca="false">IF($G336="",AO336,Q336)</f>
        <v>836690</v>
      </c>
      <c r="BA336" s="31" t="n">
        <f aca="false">IF($G336="",AP336,R336)</f>
        <v>851727</v>
      </c>
      <c r="BB336" s="31" t="n">
        <f aca="false">IF($G336="",AQ336,S336)</f>
        <v>108309</v>
      </c>
      <c r="BC336" s="31" t="n">
        <f aca="false">IF($G336="",AR336,T336)</f>
        <v>108309</v>
      </c>
      <c r="BD336" s="31" t="n">
        <f aca="false">IF($G336="",AS336,U336)</f>
        <v>1</v>
      </c>
      <c r="BE336" s="31" t="n">
        <f aca="false">IF($G336="",AT336,V336)</f>
        <v>1</v>
      </c>
      <c r="BF336" s="31" t="n">
        <f aca="false">ROUNDDOWN(I336*設定!$B$10/1000,0)+ROUNDDOWN(I336*設定!$B$11/1000,0)</f>
        <v>0</v>
      </c>
      <c r="BG336" s="31" t="n">
        <f aca="false">ROUNDDOWN(I336*設定!$C$10/1000,0)+ROUNDDOWN(I336*設定!$C$11/1000,0)+ROUNDDOWN(I336*設定!$C$12/1000,0)</f>
        <v>0</v>
      </c>
      <c r="BH336" s="31" t="n">
        <f aca="false">ROUNDDOWN(J336*設定!$B$13/1000,0)</f>
        <v>0</v>
      </c>
      <c r="BI336" s="31" t="n">
        <f aca="false">ROUNDDOWN(J336*設定!$C$13/1000,0)</f>
        <v>0</v>
      </c>
      <c r="BJ336" s="31" t="n">
        <f aca="false">ROUNDDOWN(K336*設定!$B$14/1000,0)</f>
        <v>0</v>
      </c>
      <c r="BK336" s="31" t="n">
        <f aca="false">ROUNDDOWN(K336*設定!$C$14/1000,0)</f>
        <v>0</v>
      </c>
      <c r="BL336" s="31" t="n">
        <f aca="false">ROUNDDOWN(J336*設定!$B$15/1000,0)</f>
        <v>0</v>
      </c>
      <c r="BM336" s="31" t="n">
        <f aca="false">ROUNDDOWN(J336*設定!$C$15/1000,0)</f>
        <v>0</v>
      </c>
      <c r="BN336" s="31" t="n">
        <f aca="false">L336+M336</f>
        <v>0</v>
      </c>
      <c r="BO336" s="31" t="n">
        <f aca="false">N336+O336+P336</f>
        <v>0</v>
      </c>
      <c r="BP336" s="31" t="n">
        <f aca="false">Q336</f>
        <v>0</v>
      </c>
      <c r="BQ336" s="31" t="n">
        <f aca="false">R336</f>
        <v>0</v>
      </c>
      <c r="BR336" s="31" t="n">
        <f aca="false">S336</f>
        <v>0</v>
      </c>
      <c r="BS336" s="31" t="n">
        <f aca="false">T336</f>
        <v>0</v>
      </c>
      <c r="BT336" s="31" t="n">
        <f aca="false">U336</f>
        <v>0</v>
      </c>
      <c r="BU336" s="31" t="n">
        <f aca="false">V336</f>
        <v>0</v>
      </c>
      <c r="BV336" s="32" t="n">
        <f aca="false">IF(BF336=0,IF(BN336=0,0,1),(BN336-BF336)/BF336)</f>
        <v>0</v>
      </c>
      <c r="BW336" s="32" t="n">
        <f aca="false">IF(BG336=0,IF(BO336=0,0,1),(BO336-BG336)/BG336)</f>
        <v>0</v>
      </c>
      <c r="BX336" s="32" t="n">
        <f aca="false">IF(BH336=0,IF(BP336=0,0,1),(BP336-BH336)/BH336)</f>
        <v>0</v>
      </c>
      <c r="BY336" s="32" t="n">
        <f aca="false">IF(BI336=0,IF(BQ336=0,0,1),(BQ336-BI336)/BI336)</f>
        <v>0</v>
      </c>
      <c r="BZ336" s="32" t="n">
        <f aca="false">IF(BJ336=0,IF(BR336=0,0,1),(BR336-BJ336)/BJ336)</f>
        <v>0</v>
      </c>
      <c r="CA336" s="32" t="n">
        <f aca="false">IF(BK336=0,IF(BS336=0,0,1),(BS336-BK336)/BK336)</f>
        <v>0</v>
      </c>
      <c r="CB336" s="32" t="n">
        <f aca="false">IF(BL336=0,IF(BT336=0,0,1),(BT336-BL336)/BL336)</f>
        <v>0</v>
      </c>
      <c r="CC336" s="32" t="n">
        <f aca="false">IF(BM336=0,IF(BU336=0,0,1),(BU336-BM336)/BM336)</f>
        <v>0</v>
      </c>
      <c r="CD336" s="32" t="n">
        <f aca="false">MAX(MAX(BV336:CC336),-MIN(BV336:CC336))</f>
        <v>-0</v>
      </c>
      <c r="CE336" s="31" t="n">
        <f aca="false">IF(CI336="","",SUMIFS($CF$7:$CF$696,$A$7:$A$696,CI336,$B$7:$B$696,B336))</f>
        <v>5189181</v>
      </c>
      <c r="CF336" s="31" t="n">
        <f aca="false">SUM(AU336:BE336)</f>
        <v>5436317</v>
      </c>
      <c r="CG336" s="33" t="str">
        <f aca="false">A336&amp;"|"&amp;B336</f>
        <v>2026-10 月例|監査事務局</v>
      </c>
      <c r="CH336" s="34" t="str">
        <f aca="false">IFERROR(INDEX(設定!$D$61:$D$106,MATCH(B336,設定!$B$61:$B$106,0)),"Y")</f>
        <v>Y</v>
      </c>
      <c r="CI336" s="34" t="str">
        <f aca="false">IFERROR(INDEX(設定!$D$20:$D$34,MATCH(A336,設定!$A$20:$A$34,0))&amp;"","")</f>
        <v>2026-09 月例</v>
      </c>
    </row>
    <row r="337" customFormat="false" ht="15" hidden="false" customHeight="false" outlineLevel="0" collapsed="false">
      <c r="A337" s="22" t="s">
        <v>214</v>
      </c>
      <c r="B337" s="23" t="s">
        <v>168</v>
      </c>
      <c r="C337" s="10" t="str">
        <f aca="false">IF(G337="","未受領",IF(G337="なし","報告なし",IF(AH337="○","起票済",IF(OR(AG337="○",F337="一致",F337="入金不要"),"入金確認済","受領済"))))</f>
        <v>未受領</v>
      </c>
      <c r="D337" s="10" t="str">
        <f aca="false">IF(OR(G337="",G337="なし"),"―",IF(CH337="N","対象外",IF(AND(I337="",J337="",K337=""),"標報未入力",IF(CD337&gt;=設定!$B$4,"要確認","問題なし"))))</f>
        <v>―</v>
      </c>
      <c r="E337" s="24" t="str">
        <f aca="false">IF(OR(G337="",G337="なし",CE337="",CF337=0),"―",IF(CF337=CE337,"前月同額",IF(CE337=0,"―",IF(ABS(CF337/CE337-1)&gt;=設定!$B$5,"変動大 "&amp;TEXT(CF337/CE337-1,"+0%;-0%"),"〇"))))</f>
        <v>―</v>
      </c>
      <c r="F337" s="10" t="str">
        <f aca="false">IF(OR(G337="",G337="なし"),"―",IF(CF337=0,"入金不要",IF(COUNT(Z337,AB337,AD337,AF337)=0,IF(AG337="○","手動確認","未入金"),IF(AND(N(Z337)=Y337,IF(AA337="",TRUE(),N(AB337)=AA337),IF(AC337="",TRUE(),N(AD337)=AC337),IF(AE337="",TRUE(),N(AF337)=AE337)),"一致","不一致"))))</f>
        <v>―</v>
      </c>
      <c r="G337" s="25"/>
      <c r="H337" s="26"/>
      <c r="I337" s="27"/>
      <c r="J337" s="27"/>
      <c r="K337" s="27"/>
      <c r="L337" s="27"/>
      <c r="M337" s="27"/>
      <c r="N337" s="27"/>
      <c r="O337" s="27"/>
      <c r="P337" s="27"/>
      <c r="Q337" s="27"/>
      <c r="R337" s="27"/>
      <c r="S337" s="27"/>
      <c r="T337" s="27"/>
      <c r="U337" s="27"/>
      <c r="V337" s="27"/>
      <c r="W337" s="10" t="str">
        <f aca="false">IFERROR(INDEX(設定!$E$61:$E$106,MATCH(B337,設定!$B$61:$B$106,0)),"合算")</f>
        <v>合算</v>
      </c>
      <c r="X337" s="28"/>
      <c r="Y337" s="29" t="str">
        <f aca="false">IF(OR(G337="",G337="なし"),"",IF(W337="合算",CF337,IF(W337="掛金・負担金別",(AU337+AV337+AZ337+BB337+BD337),SUM(AU337:AY337))))</f>
        <v/>
      </c>
      <c r="Z337" s="27"/>
      <c r="AA337" s="29" t="str">
        <f aca="false">IF(OR(G337="",G337="なし"),"",IF(W337="掛金・負担金別",(AW337+AX337+AY337+BA337+BC337+BE337),IF(W337="経理区分別",AZ337+BA337,"")))</f>
        <v/>
      </c>
      <c r="AB337" s="27"/>
      <c r="AC337" s="29" t="str">
        <f aca="false">IF(OR(G337="",G337="なし"),"",IF(W337="経理区分別",BB337+BC337,""))</f>
        <v/>
      </c>
      <c r="AD337" s="27"/>
      <c r="AE337" s="29" t="str">
        <f aca="false">IF(OR(G337="",G337="なし"),"",IF(W337="経理区分別",BD337+BE337,""))</f>
        <v/>
      </c>
      <c r="AF337" s="27"/>
      <c r="AG337" s="26"/>
      <c r="AH337" s="26"/>
      <c r="AI337" s="30"/>
      <c r="AJ337" s="31" t="n">
        <v>382470</v>
      </c>
      <c r="AK337" s="31" t="n">
        <v>31350</v>
      </c>
      <c r="AL337" s="31" t="n">
        <v>555940</v>
      </c>
      <c r="AM337" s="31" t="n">
        <v>31350</v>
      </c>
      <c r="AN337" s="31" t="n">
        <v>392</v>
      </c>
      <c r="AO337" s="31" t="n">
        <v>308930</v>
      </c>
      <c r="AP337" s="31" t="n">
        <v>314382</v>
      </c>
      <c r="AQ337" s="31" t="n">
        <v>34410</v>
      </c>
      <c r="AR337" s="31" t="n">
        <v>34412</v>
      </c>
      <c r="AS337" s="31" t="n">
        <v>1</v>
      </c>
      <c r="AT337" s="31" t="n">
        <v>1</v>
      </c>
      <c r="AU337" s="31" t="n">
        <f aca="false">IF($G337="",AJ337,L337)</f>
        <v>382470</v>
      </c>
      <c r="AV337" s="31" t="n">
        <f aca="false">IF($G337="",AK337,M337)</f>
        <v>31350</v>
      </c>
      <c r="AW337" s="31" t="n">
        <f aca="false">IF($G337="",AL337,N337)</f>
        <v>555940</v>
      </c>
      <c r="AX337" s="31" t="n">
        <f aca="false">IF($G337="",AM337,O337)</f>
        <v>31350</v>
      </c>
      <c r="AY337" s="31" t="n">
        <f aca="false">IF($G337="",AN337,P337)</f>
        <v>392</v>
      </c>
      <c r="AZ337" s="31" t="n">
        <f aca="false">IF($G337="",AO337,Q337)</f>
        <v>308930</v>
      </c>
      <c r="BA337" s="31" t="n">
        <f aca="false">IF($G337="",AP337,R337)</f>
        <v>314382</v>
      </c>
      <c r="BB337" s="31" t="n">
        <f aca="false">IF($G337="",AQ337,S337)</f>
        <v>34410</v>
      </c>
      <c r="BC337" s="31" t="n">
        <f aca="false">IF($G337="",AR337,T337)</f>
        <v>34412</v>
      </c>
      <c r="BD337" s="31" t="n">
        <f aca="false">IF($G337="",AS337,U337)</f>
        <v>1</v>
      </c>
      <c r="BE337" s="31" t="n">
        <f aca="false">IF($G337="",AT337,V337)</f>
        <v>1</v>
      </c>
      <c r="BF337" s="31" t="n">
        <f aca="false">ROUNDDOWN(I337*設定!$B$10/1000,0)+ROUNDDOWN(I337*設定!$B$11/1000,0)</f>
        <v>0</v>
      </c>
      <c r="BG337" s="31" t="n">
        <f aca="false">ROUNDDOWN(I337*設定!$C$10/1000,0)+ROUNDDOWN(I337*設定!$C$11/1000,0)+ROUNDDOWN(I337*設定!$C$12/1000,0)</f>
        <v>0</v>
      </c>
      <c r="BH337" s="31" t="n">
        <f aca="false">ROUNDDOWN(J337*設定!$B$13/1000,0)</f>
        <v>0</v>
      </c>
      <c r="BI337" s="31" t="n">
        <f aca="false">ROUNDDOWN(J337*設定!$C$13/1000,0)</f>
        <v>0</v>
      </c>
      <c r="BJ337" s="31" t="n">
        <f aca="false">ROUNDDOWN(K337*設定!$B$14/1000,0)</f>
        <v>0</v>
      </c>
      <c r="BK337" s="31" t="n">
        <f aca="false">ROUNDDOWN(K337*設定!$C$14/1000,0)</f>
        <v>0</v>
      </c>
      <c r="BL337" s="31" t="n">
        <f aca="false">ROUNDDOWN(J337*設定!$B$15/1000,0)</f>
        <v>0</v>
      </c>
      <c r="BM337" s="31" t="n">
        <f aca="false">ROUNDDOWN(J337*設定!$C$15/1000,0)</f>
        <v>0</v>
      </c>
      <c r="BN337" s="31" t="n">
        <f aca="false">L337+M337</f>
        <v>0</v>
      </c>
      <c r="BO337" s="31" t="n">
        <f aca="false">N337+O337+P337</f>
        <v>0</v>
      </c>
      <c r="BP337" s="31" t="n">
        <f aca="false">Q337</f>
        <v>0</v>
      </c>
      <c r="BQ337" s="31" t="n">
        <f aca="false">R337</f>
        <v>0</v>
      </c>
      <c r="BR337" s="31" t="n">
        <f aca="false">S337</f>
        <v>0</v>
      </c>
      <c r="BS337" s="31" t="n">
        <f aca="false">T337</f>
        <v>0</v>
      </c>
      <c r="BT337" s="31" t="n">
        <f aca="false">U337</f>
        <v>0</v>
      </c>
      <c r="BU337" s="31" t="n">
        <f aca="false">V337</f>
        <v>0</v>
      </c>
      <c r="BV337" s="32" t="n">
        <f aca="false">IF(BF337=0,IF(BN337=0,0,1),(BN337-BF337)/BF337)</f>
        <v>0</v>
      </c>
      <c r="BW337" s="32" t="n">
        <f aca="false">IF(BG337=0,IF(BO337=0,0,1),(BO337-BG337)/BG337)</f>
        <v>0</v>
      </c>
      <c r="BX337" s="32" t="n">
        <f aca="false">IF(BH337=0,IF(BP337=0,0,1),(BP337-BH337)/BH337)</f>
        <v>0</v>
      </c>
      <c r="BY337" s="32" t="n">
        <f aca="false">IF(BI337=0,IF(BQ337=0,0,1),(BQ337-BI337)/BI337)</f>
        <v>0</v>
      </c>
      <c r="BZ337" s="32" t="n">
        <f aca="false">IF(BJ337=0,IF(BR337=0,0,1),(BR337-BJ337)/BJ337)</f>
        <v>0</v>
      </c>
      <c r="CA337" s="32" t="n">
        <f aca="false">IF(BK337=0,IF(BS337=0,0,1),(BS337-BK337)/BK337)</f>
        <v>0</v>
      </c>
      <c r="CB337" s="32" t="n">
        <f aca="false">IF(BL337=0,IF(BT337=0,0,1),(BT337-BL337)/BL337)</f>
        <v>0</v>
      </c>
      <c r="CC337" s="32" t="n">
        <f aca="false">IF(BM337=0,IF(BU337=0,0,1),(BU337-BM337)/BM337)</f>
        <v>0</v>
      </c>
      <c r="CD337" s="32" t="n">
        <f aca="false">MAX(MAX(BV337:CC337),-MIN(BV337:CC337))</f>
        <v>-0</v>
      </c>
      <c r="CE337" s="31" t="n">
        <f aca="false">IF(CI337="","",SUMIFS($CF$7:$CF$696,$A$7:$A$696,CI337,$B$7:$B$696,B337))</f>
        <v>1742908</v>
      </c>
      <c r="CF337" s="31" t="n">
        <f aca="false">SUM(AU337:BE337)</f>
        <v>1693638</v>
      </c>
      <c r="CG337" s="33" t="str">
        <f aca="false">A337&amp;"|"&amp;B337</f>
        <v>2026-10 月例|農業委員会</v>
      </c>
      <c r="CH337" s="34" t="str">
        <f aca="false">IFERROR(INDEX(設定!$D$61:$D$106,MATCH(B337,設定!$B$61:$B$106,0)),"Y")</f>
        <v>Y</v>
      </c>
      <c r="CI337" s="34" t="str">
        <f aca="false">IFERROR(INDEX(設定!$D$20:$D$34,MATCH(A337,設定!$A$20:$A$34,0))&amp;"","")</f>
        <v>2026-09 月例</v>
      </c>
    </row>
    <row r="338" customFormat="false" ht="15" hidden="false" customHeight="false" outlineLevel="0" collapsed="false">
      <c r="A338" s="22" t="s">
        <v>214</v>
      </c>
      <c r="B338" s="23" t="s">
        <v>169</v>
      </c>
      <c r="C338" s="10" t="str">
        <f aca="false">IF(G338="","未受領",IF(G338="なし","報告なし",IF(AH338="○","起票済",IF(OR(AG338="○",F338="一致",F338="入金不要"),"入金確認済","受領済"))))</f>
        <v>未受領</v>
      </c>
      <c r="D338" s="10" t="str">
        <f aca="false">IF(OR(G338="",G338="なし"),"―",IF(CH338="N","対象外",IF(AND(I338="",J338="",K338=""),"標報未入力",IF(CD338&gt;=設定!$B$4,"要確認","問題なし"))))</f>
        <v>―</v>
      </c>
      <c r="E338" s="24" t="str">
        <f aca="false">IF(OR(G338="",G338="なし",CE338="",CF338=0),"―",IF(CF338=CE338,"前月同額",IF(CE338=0,"―",IF(ABS(CF338/CE338-1)&gt;=設定!$B$5,"変動大 "&amp;TEXT(CF338/CE338-1,"+0%;-0%"),"〇"))))</f>
        <v>―</v>
      </c>
      <c r="F338" s="10" t="str">
        <f aca="false">IF(OR(G338="",G338="なし"),"―",IF(CF338=0,"入金不要",IF(COUNT(Z338,AB338,AD338,AF338)=0,IF(AG338="○","手動確認","未入金"),IF(AND(N(Z338)=Y338,IF(AA338="",TRUE(),N(AB338)=AA338),IF(AC338="",TRUE(),N(AD338)=AC338),IF(AE338="",TRUE(),N(AF338)=AE338)),"一致","不一致"))))</f>
        <v>―</v>
      </c>
      <c r="G338" s="25"/>
      <c r="H338" s="26"/>
      <c r="I338" s="27"/>
      <c r="J338" s="27"/>
      <c r="K338" s="27"/>
      <c r="L338" s="27"/>
      <c r="M338" s="27"/>
      <c r="N338" s="27"/>
      <c r="O338" s="27"/>
      <c r="P338" s="27"/>
      <c r="Q338" s="27"/>
      <c r="R338" s="27"/>
      <c r="S338" s="27"/>
      <c r="T338" s="27"/>
      <c r="U338" s="27"/>
      <c r="V338" s="27"/>
      <c r="W338" s="10" t="str">
        <f aca="false">IFERROR(INDEX(設定!$E$61:$E$106,MATCH(B338,設定!$B$61:$B$106,0)),"合算")</f>
        <v>合算</v>
      </c>
      <c r="X338" s="28"/>
      <c r="Y338" s="29" t="str">
        <f aca="false">IF(OR(G338="",G338="なし"),"",IF(W338="合算",CF338,IF(W338="掛金・負担金別",(AU338+AV338+AZ338+BB338+BD338),SUM(AU338:AY338))))</f>
        <v/>
      </c>
      <c r="Z338" s="27"/>
      <c r="AA338" s="29" t="str">
        <f aca="false">IF(OR(G338="",G338="なし"),"",IF(W338="掛金・負担金別",(AW338+AX338+AY338+BA338+BC338+BE338),IF(W338="経理区分別",AZ338+BA338,"")))</f>
        <v/>
      </c>
      <c r="AB338" s="27"/>
      <c r="AC338" s="29" t="str">
        <f aca="false">IF(OR(G338="",G338="なし"),"",IF(W338="経理区分別",BB338+BC338,""))</f>
        <v/>
      </c>
      <c r="AD338" s="27"/>
      <c r="AE338" s="29" t="str">
        <f aca="false">IF(OR(G338="",G338="なし"),"",IF(W338="経理区分別",BD338+BE338,""))</f>
        <v/>
      </c>
      <c r="AF338" s="27"/>
      <c r="AG338" s="26"/>
      <c r="AH338" s="26"/>
      <c r="AI338" s="30"/>
      <c r="AJ338" s="31" t="n">
        <v>22426650</v>
      </c>
      <c r="AK338" s="31" t="n">
        <v>1838250</v>
      </c>
      <c r="AL338" s="31" t="n">
        <v>32729025</v>
      </c>
      <c r="AM338" s="31" t="n">
        <v>1838250</v>
      </c>
      <c r="AN338" s="31" t="n">
        <v>23304</v>
      </c>
      <c r="AO338" s="31" t="n">
        <v>14207723</v>
      </c>
      <c r="AP338" s="31" t="n">
        <v>14461569</v>
      </c>
      <c r="AQ338" s="31" t="n">
        <v>1349557</v>
      </c>
      <c r="AR338" s="31" t="n">
        <v>1349557</v>
      </c>
      <c r="AS338" s="31" t="n">
        <v>1</v>
      </c>
      <c r="AT338" s="31" t="n">
        <v>1</v>
      </c>
      <c r="AU338" s="31" t="n">
        <f aca="false">IF($G338="",AJ338,L338)</f>
        <v>22426650</v>
      </c>
      <c r="AV338" s="31" t="n">
        <f aca="false">IF($G338="",AK338,M338)</f>
        <v>1838250</v>
      </c>
      <c r="AW338" s="31" t="n">
        <f aca="false">IF($G338="",AL338,N338)</f>
        <v>32729025</v>
      </c>
      <c r="AX338" s="31" t="n">
        <f aca="false">IF($G338="",AM338,O338)</f>
        <v>1838250</v>
      </c>
      <c r="AY338" s="31" t="n">
        <f aca="false">IF($G338="",AN338,P338)</f>
        <v>23304</v>
      </c>
      <c r="AZ338" s="31" t="n">
        <f aca="false">IF($G338="",AO338,Q338)</f>
        <v>14207723</v>
      </c>
      <c r="BA338" s="31" t="n">
        <f aca="false">IF($G338="",AP338,R338)</f>
        <v>14461569</v>
      </c>
      <c r="BB338" s="31" t="n">
        <f aca="false">IF($G338="",AQ338,S338)</f>
        <v>1349557</v>
      </c>
      <c r="BC338" s="31" t="n">
        <f aca="false">IF($G338="",AR338,T338)</f>
        <v>1349557</v>
      </c>
      <c r="BD338" s="31" t="n">
        <f aca="false">IF($G338="",AS338,U338)</f>
        <v>1</v>
      </c>
      <c r="BE338" s="31" t="n">
        <f aca="false">IF($G338="",AT338,V338)</f>
        <v>1</v>
      </c>
      <c r="BF338" s="31" t="n">
        <f aca="false">ROUNDDOWN(I338*設定!$B$10/1000,0)+ROUNDDOWN(I338*設定!$B$11/1000,0)</f>
        <v>0</v>
      </c>
      <c r="BG338" s="31" t="n">
        <f aca="false">ROUNDDOWN(I338*設定!$C$10/1000,0)+ROUNDDOWN(I338*設定!$C$11/1000,0)+ROUNDDOWN(I338*設定!$C$12/1000,0)</f>
        <v>0</v>
      </c>
      <c r="BH338" s="31" t="n">
        <f aca="false">ROUNDDOWN(J338*設定!$B$13/1000,0)</f>
        <v>0</v>
      </c>
      <c r="BI338" s="31" t="n">
        <f aca="false">ROUNDDOWN(J338*設定!$C$13/1000,0)</f>
        <v>0</v>
      </c>
      <c r="BJ338" s="31" t="n">
        <f aca="false">ROUNDDOWN(K338*設定!$B$14/1000,0)</f>
        <v>0</v>
      </c>
      <c r="BK338" s="31" t="n">
        <f aca="false">ROUNDDOWN(K338*設定!$C$14/1000,0)</f>
        <v>0</v>
      </c>
      <c r="BL338" s="31" t="n">
        <f aca="false">ROUNDDOWN(J338*設定!$B$15/1000,0)</f>
        <v>0</v>
      </c>
      <c r="BM338" s="31" t="n">
        <f aca="false">ROUNDDOWN(J338*設定!$C$15/1000,0)</f>
        <v>0</v>
      </c>
      <c r="BN338" s="31" t="n">
        <f aca="false">L338+M338</f>
        <v>0</v>
      </c>
      <c r="BO338" s="31" t="n">
        <f aca="false">N338+O338+P338</f>
        <v>0</v>
      </c>
      <c r="BP338" s="31" t="n">
        <f aca="false">Q338</f>
        <v>0</v>
      </c>
      <c r="BQ338" s="31" t="n">
        <f aca="false">R338</f>
        <v>0</v>
      </c>
      <c r="BR338" s="31" t="n">
        <f aca="false">S338</f>
        <v>0</v>
      </c>
      <c r="BS338" s="31" t="n">
        <f aca="false">T338</f>
        <v>0</v>
      </c>
      <c r="BT338" s="31" t="n">
        <f aca="false">U338</f>
        <v>0</v>
      </c>
      <c r="BU338" s="31" t="n">
        <f aca="false">V338</f>
        <v>0</v>
      </c>
      <c r="BV338" s="32" t="n">
        <f aca="false">IF(BF338=0,IF(BN338=0,0,1),(BN338-BF338)/BF338)</f>
        <v>0</v>
      </c>
      <c r="BW338" s="32" t="n">
        <f aca="false">IF(BG338=0,IF(BO338=0,0,1),(BO338-BG338)/BG338)</f>
        <v>0</v>
      </c>
      <c r="BX338" s="32" t="n">
        <f aca="false">IF(BH338=0,IF(BP338=0,0,1),(BP338-BH338)/BH338)</f>
        <v>0</v>
      </c>
      <c r="BY338" s="32" t="n">
        <f aca="false">IF(BI338=0,IF(BQ338=0,0,1),(BQ338-BI338)/BI338)</f>
        <v>0</v>
      </c>
      <c r="BZ338" s="32" t="n">
        <f aca="false">IF(BJ338=0,IF(BR338=0,0,1),(BR338-BJ338)/BJ338)</f>
        <v>0</v>
      </c>
      <c r="CA338" s="32" t="n">
        <f aca="false">IF(BK338=0,IF(BS338=0,0,1),(BS338-BK338)/BK338)</f>
        <v>0</v>
      </c>
      <c r="CB338" s="32" t="n">
        <f aca="false">IF(BL338=0,IF(BT338=0,0,1),(BT338-BL338)/BL338)</f>
        <v>0</v>
      </c>
      <c r="CC338" s="32" t="n">
        <f aca="false">IF(BM338=0,IF(BU338=0,0,1),(BU338-BM338)/BM338)</f>
        <v>0</v>
      </c>
      <c r="CD338" s="32" t="n">
        <f aca="false">MAX(MAX(BV338:CC338),-MIN(BV338:CC338))</f>
        <v>-0</v>
      </c>
      <c r="CE338" s="31" t="n">
        <f aca="false">IF(CI338="","",SUMIFS($CF$7:$CF$696,$A$7:$A$696,CI338,$B$7:$B$696,B338))</f>
        <v>91274582</v>
      </c>
      <c r="CF338" s="31" t="n">
        <f aca="false">SUM(AU338:BE338)</f>
        <v>90223887</v>
      </c>
      <c r="CG338" s="33" t="str">
        <f aca="false">A338&amp;"|"&amp;B338</f>
        <v>2026-10 月例|水道局</v>
      </c>
      <c r="CH338" s="34" t="str">
        <f aca="false">IFERROR(INDEX(設定!$D$61:$D$106,MATCH(B338,設定!$B$61:$B$106,0)),"Y")</f>
        <v>N</v>
      </c>
      <c r="CI338" s="34" t="str">
        <f aca="false">IFERROR(INDEX(設定!$D$20:$D$34,MATCH(A338,設定!$A$20:$A$34,0))&amp;"","")</f>
        <v>2026-09 月例</v>
      </c>
    </row>
    <row r="339" customFormat="false" ht="15" hidden="false" customHeight="false" outlineLevel="0" collapsed="false">
      <c r="A339" s="22" t="s">
        <v>214</v>
      </c>
      <c r="B339" s="23" t="s">
        <v>170</v>
      </c>
      <c r="C339" s="10" t="str">
        <f aca="false">IF(G339="","未受領",IF(G339="なし","報告なし",IF(AH339="○","起票済",IF(OR(AG339="○",F339="一致",F339="入金不要"),"入金確認済","受領済"))))</f>
        <v>未受領</v>
      </c>
      <c r="D339" s="10" t="str">
        <f aca="false">IF(OR(G339="",G339="なし"),"―",IF(CH339="N","対象外",IF(AND(I339="",J339="",K339=""),"標報未入力",IF(CD339&gt;=設定!$B$4,"要確認","問題なし"))))</f>
        <v>―</v>
      </c>
      <c r="E339" s="24" t="str">
        <f aca="false">IF(OR(G339="",G339="なし",CE339="",CF339=0),"―",IF(CF339=CE339,"前月同額",IF(CE339=0,"―",IF(ABS(CF339/CE339-1)&gt;=設定!$B$5,"変動大 "&amp;TEXT(CF339/CE339-1,"+0%;-0%"),"〇"))))</f>
        <v>―</v>
      </c>
      <c r="F339" s="10" t="str">
        <f aca="false">IF(OR(G339="",G339="なし"),"―",IF(CF339=0,"入金不要",IF(COUNT(Z339,AB339,AD339,AF339)=0,IF(AG339="○","手動確認","未入金"),IF(AND(N(Z339)=Y339,IF(AA339="",TRUE(),N(AB339)=AA339),IF(AC339="",TRUE(),N(AD339)=AC339),IF(AE339="",TRUE(),N(AF339)=AE339)),"一致","不一致"))))</f>
        <v>―</v>
      </c>
      <c r="G339" s="25"/>
      <c r="H339" s="26"/>
      <c r="I339" s="27"/>
      <c r="J339" s="27"/>
      <c r="K339" s="27"/>
      <c r="L339" s="27"/>
      <c r="M339" s="27"/>
      <c r="N339" s="27"/>
      <c r="O339" s="27"/>
      <c r="P339" s="27"/>
      <c r="Q339" s="27"/>
      <c r="R339" s="27"/>
      <c r="S339" s="27"/>
      <c r="T339" s="27"/>
      <c r="U339" s="27"/>
      <c r="V339" s="27"/>
      <c r="W339" s="10" t="str">
        <f aca="false">IFERROR(INDEX(設定!$E$61:$E$106,MATCH(B339,設定!$B$61:$B$106,0)),"合算")</f>
        <v>合算</v>
      </c>
      <c r="X339" s="28"/>
      <c r="Y339" s="29" t="str">
        <f aca="false">IF(OR(G339="",G339="なし"),"",IF(W339="合算",CF339,IF(W339="掛金・負担金別",(AU339+AV339+AZ339+BB339+BD339),SUM(AU339:AY339))))</f>
        <v/>
      </c>
      <c r="Z339" s="27"/>
      <c r="AA339" s="29" t="str">
        <f aca="false">IF(OR(G339="",G339="なし"),"",IF(W339="掛金・負担金別",(AW339+AX339+AY339+BA339+BC339+BE339),IF(W339="経理区分別",AZ339+BA339,"")))</f>
        <v/>
      </c>
      <c r="AB339" s="27"/>
      <c r="AC339" s="29" t="str">
        <f aca="false">IF(OR(G339="",G339="なし"),"",IF(W339="経理区分別",BB339+BC339,""))</f>
        <v/>
      </c>
      <c r="AD339" s="27"/>
      <c r="AE339" s="29" t="str">
        <f aca="false">IF(OR(G339="",G339="なし"),"",IF(W339="経理区分別",BD339+BE339,""))</f>
        <v/>
      </c>
      <c r="AF339" s="27"/>
      <c r="AG339" s="26"/>
      <c r="AH339" s="26"/>
      <c r="AI339" s="30"/>
      <c r="AJ339" s="31" t="n">
        <v>48495</v>
      </c>
      <c r="AK339" s="31" t="n">
        <v>3975</v>
      </c>
      <c r="AL339" s="31" t="n">
        <v>70490</v>
      </c>
      <c r="AM339" s="31" t="n">
        <v>3975</v>
      </c>
      <c r="AN339" s="31" t="n">
        <v>49</v>
      </c>
      <c r="AO339" s="31" t="n">
        <v>29155</v>
      </c>
      <c r="AP339" s="31" t="n">
        <v>29669</v>
      </c>
      <c r="AQ339" s="31" t="n">
        <v>4187</v>
      </c>
      <c r="AR339" s="31" t="n">
        <v>4187</v>
      </c>
      <c r="AS339" s="31" t="n">
        <v>1</v>
      </c>
      <c r="AT339" s="31" t="n">
        <v>1</v>
      </c>
      <c r="AU339" s="31" t="n">
        <f aca="false">IF($G339="",AJ339,L339)</f>
        <v>48495</v>
      </c>
      <c r="AV339" s="31" t="n">
        <f aca="false">IF($G339="",AK339,M339)</f>
        <v>3975</v>
      </c>
      <c r="AW339" s="31" t="n">
        <f aca="false">IF($G339="",AL339,N339)</f>
        <v>70490</v>
      </c>
      <c r="AX339" s="31" t="n">
        <f aca="false">IF($G339="",AM339,O339)</f>
        <v>3975</v>
      </c>
      <c r="AY339" s="31" t="n">
        <f aca="false">IF($G339="",AN339,P339)</f>
        <v>49</v>
      </c>
      <c r="AZ339" s="31" t="n">
        <f aca="false">IF($G339="",AO339,Q339)</f>
        <v>29155</v>
      </c>
      <c r="BA339" s="31" t="n">
        <f aca="false">IF($G339="",AP339,R339)</f>
        <v>29669</v>
      </c>
      <c r="BB339" s="31" t="n">
        <f aca="false">IF($G339="",AQ339,S339)</f>
        <v>4187</v>
      </c>
      <c r="BC339" s="31" t="n">
        <f aca="false">IF($G339="",AR339,T339)</f>
        <v>4187</v>
      </c>
      <c r="BD339" s="31" t="n">
        <f aca="false">IF($G339="",AS339,U339)</f>
        <v>1</v>
      </c>
      <c r="BE339" s="31" t="n">
        <f aca="false">IF($G339="",AT339,V339)</f>
        <v>1</v>
      </c>
      <c r="BF339" s="31" t="n">
        <f aca="false">ROUNDDOWN(I339*設定!$B$10/1000,0)+ROUNDDOWN(I339*設定!$B$11/1000,0)</f>
        <v>0</v>
      </c>
      <c r="BG339" s="31" t="n">
        <f aca="false">ROUNDDOWN(I339*設定!$C$10/1000,0)+ROUNDDOWN(I339*設定!$C$11/1000,0)+ROUNDDOWN(I339*設定!$C$12/1000,0)</f>
        <v>0</v>
      </c>
      <c r="BH339" s="31" t="n">
        <f aca="false">ROUNDDOWN(J339*設定!$B$13/1000,0)</f>
        <v>0</v>
      </c>
      <c r="BI339" s="31" t="n">
        <f aca="false">ROUNDDOWN(J339*設定!$C$13/1000,0)</f>
        <v>0</v>
      </c>
      <c r="BJ339" s="31" t="n">
        <f aca="false">ROUNDDOWN(K339*設定!$B$14/1000,0)</f>
        <v>0</v>
      </c>
      <c r="BK339" s="31" t="n">
        <f aca="false">ROUNDDOWN(K339*設定!$C$14/1000,0)</f>
        <v>0</v>
      </c>
      <c r="BL339" s="31" t="n">
        <f aca="false">ROUNDDOWN(J339*設定!$B$15/1000,0)</f>
        <v>0</v>
      </c>
      <c r="BM339" s="31" t="n">
        <f aca="false">ROUNDDOWN(J339*設定!$C$15/1000,0)</f>
        <v>0</v>
      </c>
      <c r="BN339" s="31" t="n">
        <f aca="false">L339+M339</f>
        <v>0</v>
      </c>
      <c r="BO339" s="31" t="n">
        <f aca="false">N339+O339+P339</f>
        <v>0</v>
      </c>
      <c r="BP339" s="31" t="n">
        <f aca="false">Q339</f>
        <v>0</v>
      </c>
      <c r="BQ339" s="31" t="n">
        <f aca="false">R339</f>
        <v>0</v>
      </c>
      <c r="BR339" s="31" t="n">
        <f aca="false">S339</f>
        <v>0</v>
      </c>
      <c r="BS339" s="31" t="n">
        <f aca="false">T339</f>
        <v>0</v>
      </c>
      <c r="BT339" s="31" t="n">
        <f aca="false">U339</f>
        <v>0</v>
      </c>
      <c r="BU339" s="31" t="n">
        <f aca="false">V339</f>
        <v>0</v>
      </c>
      <c r="BV339" s="32" t="n">
        <f aca="false">IF(BF339=0,IF(BN339=0,0,1),(BN339-BF339)/BF339)</f>
        <v>0</v>
      </c>
      <c r="BW339" s="32" t="n">
        <f aca="false">IF(BG339=0,IF(BO339=0,0,1),(BO339-BG339)/BG339)</f>
        <v>0</v>
      </c>
      <c r="BX339" s="32" t="n">
        <f aca="false">IF(BH339=0,IF(BP339=0,0,1),(BP339-BH339)/BH339)</f>
        <v>0</v>
      </c>
      <c r="BY339" s="32" t="n">
        <f aca="false">IF(BI339=0,IF(BQ339=0,0,1),(BQ339-BI339)/BI339)</f>
        <v>0</v>
      </c>
      <c r="BZ339" s="32" t="n">
        <f aca="false">IF(BJ339=0,IF(BR339=0,0,1),(BR339-BJ339)/BJ339)</f>
        <v>0</v>
      </c>
      <c r="CA339" s="32" t="n">
        <f aca="false">IF(BK339=0,IF(BS339=0,0,1),(BS339-BK339)/BK339)</f>
        <v>0</v>
      </c>
      <c r="CB339" s="32" t="n">
        <f aca="false">IF(BL339=0,IF(BT339=0,0,1),(BT339-BL339)/BL339)</f>
        <v>0</v>
      </c>
      <c r="CC339" s="32" t="n">
        <f aca="false">IF(BM339=0,IF(BU339=0,0,1),(BU339-BM339)/BM339)</f>
        <v>0</v>
      </c>
      <c r="CD339" s="32" t="n">
        <f aca="false">MAX(MAX(BV339:CC339),-MIN(BV339:CC339))</f>
        <v>-0</v>
      </c>
      <c r="CE339" s="31" t="n">
        <f aca="false">IF(CI339="","",SUMIFS($CF$7:$CF$696,$A$7:$A$696,CI339,$B$7:$B$696,B339))</f>
        <v>191156</v>
      </c>
      <c r="CF339" s="31" t="n">
        <f aca="false">SUM(AU339:BE339)</f>
        <v>194184</v>
      </c>
      <c r="CG339" s="33" t="str">
        <f aca="false">A339&amp;"|"&amp;B339</f>
        <v>2026-10 月例|医療政策課(安芸市民)</v>
      </c>
      <c r="CH339" s="34" t="str">
        <f aca="false">IFERROR(INDEX(設定!$D$61:$D$106,MATCH(B339,設定!$B$61:$B$106,0)),"Y")</f>
        <v>Y</v>
      </c>
      <c r="CI339" s="34" t="str">
        <f aca="false">IFERROR(INDEX(設定!$D$20:$D$34,MATCH(A339,設定!$A$20:$A$34,0))&amp;"","")</f>
        <v>2026-09 月例</v>
      </c>
    </row>
    <row r="340" customFormat="false" ht="15" hidden="false" customHeight="false" outlineLevel="0" collapsed="false">
      <c r="A340" s="22" t="s">
        <v>214</v>
      </c>
      <c r="B340" s="23" t="s">
        <v>171</v>
      </c>
      <c r="C340" s="10" t="str">
        <f aca="false">IF(G340="","未受領",IF(G340="なし","報告なし",IF(AH340="○","起票済",IF(OR(AG340="○",F340="一致",F340="入金不要"),"入金確認済","受領済"))))</f>
        <v>未受領</v>
      </c>
      <c r="D340" s="10" t="str">
        <f aca="false">IF(OR(G340="",G340="なし"),"―",IF(CH340="N","対象外",IF(AND(I340="",J340="",K340=""),"標報未入力",IF(CD340&gt;=設定!$B$4,"要確認","問題なし"))))</f>
        <v>―</v>
      </c>
      <c r="E340" s="24" t="str">
        <f aca="false">IF(OR(G340="",G340="なし",CE340="",CF340=0),"―",IF(CF340=CE340,"前月同額",IF(CE340=0,"―",IF(ABS(CF340/CE340-1)&gt;=設定!$B$5,"変動大 "&amp;TEXT(CF340/CE340-1,"+0%;-0%"),"〇"))))</f>
        <v>―</v>
      </c>
      <c r="F340" s="10" t="str">
        <f aca="false">IF(OR(G340="",G340="なし"),"―",IF(CF340=0,"入金不要",IF(COUNT(Z340,AB340,AD340,AF340)=0,IF(AG340="○","手動確認","未入金"),IF(AND(N(Z340)=Y340,IF(AA340="",TRUE(),N(AB340)=AA340),IF(AC340="",TRUE(),N(AD340)=AC340),IF(AE340="",TRUE(),N(AF340)=AE340)),"一致","不一致"))))</f>
        <v>―</v>
      </c>
      <c r="G340" s="25"/>
      <c r="H340" s="26"/>
      <c r="I340" s="27"/>
      <c r="J340" s="27"/>
      <c r="K340" s="27"/>
      <c r="L340" s="27"/>
      <c r="M340" s="27"/>
      <c r="N340" s="27"/>
      <c r="O340" s="27"/>
      <c r="P340" s="27"/>
      <c r="Q340" s="27"/>
      <c r="R340" s="27"/>
      <c r="S340" s="27"/>
      <c r="T340" s="27"/>
      <c r="U340" s="27"/>
      <c r="V340" s="27"/>
      <c r="W340" s="10" t="str">
        <f aca="false">IFERROR(INDEX(設定!$E$61:$E$106,MATCH(B340,設定!$B$61:$B$106,0)),"合算")</f>
        <v>合算</v>
      </c>
      <c r="X340" s="28"/>
      <c r="Y340" s="29" t="str">
        <f aca="false">IF(OR(G340="",G340="なし"),"",IF(W340="合算",CF340,IF(W340="掛金・負担金別",(AU340+AV340+AZ340+BB340+BD340),SUM(AU340:AY340))))</f>
        <v/>
      </c>
      <c r="Z340" s="27"/>
      <c r="AA340" s="29" t="str">
        <f aca="false">IF(OR(G340="",G340="なし"),"",IF(W340="掛金・負担金別",(AW340+AX340+AY340+BA340+BC340+BE340),IF(W340="経理区分別",AZ340+BA340,"")))</f>
        <v/>
      </c>
      <c r="AB340" s="27"/>
      <c r="AC340" s="29" t="str">
        <f aca="false">IF(OR(G340="",G340="なし"),"",IF(W340="経理区分別",BB340+BC340,""))</f>
        <v/>
      </c>
      <c r="AD340" s="27"/>
      <c r="AE340" s="29" t="str">
        <f aca="false">IF(OR(G340="",G340="なし"),"",IF(W340="経理区分別",BD340+BE340,""))</f>
        <v/>
      </c>
      <c r="AF340" s="27"/>
      <c r="AG340" s="26"/>
      <c r="AH340" s="26"/>
      <c r="AI340" s="30"/>
      <c r="AJ340" s="31" t="n">
        <v>0</v>
      </c>
      <c r="AK340" s="31" t="n">
        <v>0</v>
      </c>
      <c r="AL340" s="31"/>
      <c r="AM340" s="31"/>
      <c r="AN340" s="31" t="n">
        <v>0</v>
      </c>
      <c r="AO340" s="31" t="n">
        <v>264840</v>
      </c>
      <c r="AP340" s="31" t="n">
        <v>257493</v>
      </c>
      <c r="AQ340" s="31" t="n">
        <v>8068</v>
      </c>
      <c r="AR340" s="31" t="n">
        <v>8068</v>
      </c>
      <c r="AS340" s="31" t="n">
        <v>1</v>
      </c>
      <c r="AT340" s="31" t="n">
        <v>1</v>
      </c>
      <c r="AU340" s="31" t="n">
        <f aca="false">IF($G340="",AJ340,L340)</f>
        <v>0</v>
      </c>
      <c r="AV340" s="31" t="n">
        <f aca="false">IF($G340="",AK340,M340)</f>
        <v>0</v>
      </c>
      <c r="AW340" s="31" t="n">
        <f aca="false">IF($G340="",AL340,N340)</f>
        <v>0</v>
      </c>
      <c r="AX340" s="31" t="n">
        <f aca="false">IF($G340="",AM340,O340)</f>
        <v>0</v>
      </c>
      <c r="AY340" s="31" t="n">
        <f aca="false">IF($G340="",AN340,P340)</f>
        <v>0</v>
      </c>
      <c r="AZ340" s="31" t="n">
        <f aca="false">IF($G340="",AO340,Q340)</f>
        <v>264840</v>
      </c>
      <c r="BA340" s="31" t="n">
        <f aca="false">IF($G340="",AP340,R340)</f>
        <v>257493</v>
      </c>
      <c r="BB340" s="31" t="n">
        <f aca="false">IF($G340="",AQ340,S340)</f>
        <v>8068</v>
      </c>
      <c r="BC340" s="31" t="n">
        <f aca="false">IF($G340="",AR340,T340)</f>
        <v>8068</v>
      </c>
      <c r="BD340" s="31" t="n">
        <f aca="false">IF($G340="",AS340,U340)</f>
        <v>1</v>
      </c>
      <c r="BE340" s="31" t="n">
        <f aca="false">IF($G340="",AT340,V340)</f>
        <v>1</v>
      </c>
      <c r="BF340" s="31" t="n">
        <f aca="false">ROUNDDOWN(I340*設定!$B$10/1000,0)+ROUNDDOWN(I340*設定!$B$11/1000,0)</f>
        <v>0</v>
      </c>
      <c r="BG340" s="31" t="n">
        <f aca="false">ROUNDDOWN(I340*設定!$C$10/1000,0)+ROUNDDOWN(I340*設定!$C$11/1000,0)+ROUNDDOWN(I340*設定!$C$12/1000,0)</f>
        <v>0</v>
      </c>
      <c r="BH340" s="31" t="n">
        <f aca="false">ROUNDDOWN(J340*設定!$B$13/1000,0)</f>
        <v>0</v>
      </c>
      <c r="BI340" s="31" t="n">
        <f aca="false">ROUNDDOWN(J340*設定!$C$13/1000,0)</f>
        <v>0</v>
      </c>
      <c r="BJ340" s="31" t="n">
        <f aca="false">ROUNDDOWN(K340*設定!$B$14/1000,0)</f>
        <v>0</v>
      </c>
      <c r="BK340" s="31" t="n">
        <f aca="false">ROUNDDOWN(K340*設定!$C$14/1000,0)</f>
        <v>0</v>
      </c>
      <c r="BL340" s="31" t="n">
        <f aca="false">ROUNDDOWN(J340*設定!$B$15/1000,0)</f>
        <v>0</v>
      </c>
      <c r="BM340" s="31" t="n">
        <f aca="false">ROUNDDOWN(J340*設定!$C$15/1000,0)</f>
        <v>0</v>
      </c>
      <c r="BN340" s="31" t="n">
        <f aca="false">L340+M340</f>
        <v>0</v>
      </c>
      <c r="BO340" s="31" t="n">
        <f aca="false">N340+O340+P340</f>
        <v>0</v>
      </c>
      <c r="BP340" s="31" t="n">
        <f aca="false">Q340</f>
        <v>0</v>
      </c>
      <c r="BQ340" s="31" t="n">
        <f aca="false">R340</f>
        <v>0</v>
      </c>
      <c r="BR340" s="31" t="n">
        <f aca="false">S340</f>
        <v>0</v>
      </c>
      <c r="BS340" s="31" t="n">
        <f aca="false">T340</f>
        <v>0</v>
      </c>
      <c r="BT340" s="31" t="n">
        <f aca="false">U340</f>
        <v>0</v>
      </c>
      <c r="BU340" s="31" t="n">
        <f aca="false">V340</f>
        <v>0</v>
      </c>
      <c r="BV340" s="32" t="n">
        <f aca="false">IF(BF340=0,IF(BN340=0,0,1),(BN340-BF340)/BF340)</f>
        <v>0</v>
      </c>
      <c r="BW340" s="32" t="n">
        <f aca="false">IF(BG340=0,IF(BO340=0,0,1),(BO340-BG340)/BG340)</f>
        <v>0</v>
      </c>
      <c r="BX340" s="32" t="n">
        <f aca="false">IF(BH340=0,IF(BP340=0,0,1),(BP340-BH340)/BH340)</f>
        <v>0</v>
      </c>
      <c r="BY340" s="32" t="n">
        <f aca="false">IF(BI340=0,IF(BQ340=0,0,1),(BQ340-BI340)/BI340)</f>
        <v>0</v>
      </c>
      <c r="BZ340" s="32" t="n">
        <f aca="false">IF(BJ340=0,IF(BR340=0,0,1),(BR340-BJ340)/BJ340)</f>
        <v>0</v>
      </c>
      <c r="CA340" s="32" t="n">
        <f aca="false">IF(BK340=0,IF(BS340=0,0,1),(BS340-BK340)/BK340)</f>
        <v>0</v>
      </c>
      <c r="CB340" s="32" t="n">
        <f aca="false">IF(BL340=0,IF(BT340=0,0,1),(BT340-BL340)/BL340)</f>
        <v>0</v>
      </c>
      <c r="CC340" s="32" t="n">
        <f aca="false">IF(BM340=0,IF(BU340=0,0,1),(BU340-BM340)/BM340)</f>
        <v>0</v>
      </c>
      <c r="CD340" s="32" t="n">
        <f aca="false">MAX(MAX(BV340:CC340),-MIN(BV340:CC340))</f>
        <v>-0</v>
      </c>
      <c r="CE340" s="31" t="n">
        <f aca="false">IF(CI340="","",SUMIFS($CF$7:$CF$696,$A$7:$A$696,CI340,$B$7:$B$696,B340))</f>
        <v>560795</v>
      </c>
      <c r="CF340" s="31" t="n">
        <f aca="false">SUM(AU340:BE340)</f>
        <v>538471</v>
      </c>
      <c r="CG340" s="33" t="str">
        <f aca="false">A340&amp;"|"&amp;B340</f>
        <v>2026-10 月例|教育委員会（教育給与課）</v>
      </c>
      <c r="CH340" s="34" t="str">
        <f aca="false">IFERROR(INDEX(設定!$D$61:$D$106,MATCH(B340,設定!$B$61:$B$106,0)),"Y")</f>
        <v>Y</v>
      </c>
      <c r="CI340" s="34" t="str">
        <f aca="false">IFERROR(INDEX(設定!$D$20:$D$34,MATCH(A340,設定!$A$20:$A$34,0))&amp;"","")</f>
        <v>2026-09 月例</v>
      </c>
    </row>
    <row r="341" customFormat="false" ht="15" hidden="false" customHeight="false" outlineLevel="0" collapsed="false">
      <c r="A341" s="22" t="s">
        <v>214</v>
      </c>
      <c r="B341" s="23" t="s">
        <v>172</v>
      </c>
      <c r="C341" s="10" t="str">
        <f aca="false">IF(G341="","未受領",IF(G341="なし","報告なし",IF(AH341="○","起票済",IF(OR(AG341="○",F341="一致",F341="入金不要"),"入金確認済","受領済"))))</f>
        <v>報告なし</v>
      </c>
      <c r="D341" s="10" t="str">
        <f aca="false">IF(OR(G341="",G341="なし"),"―",IF(CH341="N","対象外",IF(AND(I341="",J341="",K341=""),"標報未入力",IF(CD341&gt;=設定!$B$4,"要確認","問題なし"))))</f>
        <v>―</v>
      </c>
      <c r="E341" s="24" t="str">
        <f aca="false">IF(OR(G341="",G341="なし",CE341="",CF341=0),"―",IF(CF341=CE341,"前月同額",IF(CE341=0,"―",IF(ABS(CF341/CE341-1)&gt;=設定!$B$5,"変動大 "&amp;TEXT(CF341/CE341-1,"+0%;-0%"),"〇"))))</f>
        <v>―</v>
      </c>
      <c r="F341" s="10" t="str">
        <f aca="false">IF(OR(G341="",G341="なし"),"―",IF(CF341=0,"入金不要",IF(COUNT(Z341,AB341,AD341,AF341)=0,IF(AG341="○","手動確認","未入金"),IF(AND(N(Z341)=Y341,IF(AA341="",TRUE(),N(AB341)=AA341),IF(AC341="",TRUE(),N(AD341)=AC341),IF(AE341="",TRUE(),N(AF341)=AE341)),"一致","不一致"))))</f>
        <v>―</v>
      </c>
      <c r="G341" s="25" t="s">
        <v>173</v>
      </c>
      <c r="H341" s="26"/>
      <c r="I341" s="27"/>
      <c r="J341" s="27"/>
      <c r="K341" s="27"/>
      <c r="L341" s="27"/>
      <c r="M341" s="27"/>
      <c r="N341" s="27"/>
      <c r="O341" s="27"/>
      <c r="P341" s="27"/>
      <c r="Q341" s="27"/>
      <c r="R341" s="27"/>
      <c r="S341" s="27"/>
      <c r="T341" s="27"/>
      <c r="U341" s="27"/>
      <c r="V341" s="27"/>
      <c r="W341" s="10" t="str">
        <f aca="false">IFERROR(INDEX(設定!$E$61:$E$106,MATCH(B341,設定!$B$61:$B$106,0)),"合算")</f>
        <v>合算</v>
      </c>
      <c r="X341" s="28"/>
      <c r="Y341" s="29" t="str">
        <f aca="false">IF(OR(G341="",G341="なし"),"",IF(W341="合算",CF341,IF(W341="掛金・負担金別",(AU341+AV341+AZ341+BB341+BD341),SUM(AU341:AY341))))</f>
        <v/>
      </c>
      <c r="Z341" s="27"/>
      <c r="AA341" s="29" t="str">
        <f aca="false">IF(OR(G341="",G341="なし"),"",IF(W341="掛金・負担金別",(AW341+AX341+AY341+BA341+BC341+BE341),IF(W341="経理区分別",AZ341+BA341,"")))</f>
        <v/>
      </c>
      <c r="AB341" s="27"/>
      <c r="AC341" s="29" t="str">
        <f aca="false">IF(OR(G341="",G341="なし"),"",IF(W341="経理区分別",BB341+BC341,""))</f>
        <v/>
      </c>
      <c r="AD341" s="27"/>
      <c r="AE341" s="29" t="str">
        <f aca="false">IF(OR(G341="",G341="なし"),"",IF(W341="経理区分別",BD341+BE341,""))</f>
        <v/>
      </c>
      <c r="AF341" s="27"/>
      <c r="AG341" s="26"/>
      <c r="AH341" s="26"/>
      <c r="AI341" s="30"/>
      <c r="AJ341" s="31"/>
      <c r="AK341" s="31"/>
      <c r="AL341" s="31"/>
      <c r="AM341" s="31"/>
      <c r="AN341" s="31"/>
      <c r="AO341" s="31"/>
      <c r="AP341" s="31"/>
      <c r="AQ341" s="31"/>
      <c r="AR341" s="31"/>
      <c r="AS341" s="31"/>
      <c r="AT341" s="31"/>
      <c r="AU341" s="31" t="n">
        <f aca="false">IF($G341="",AJ341,L341)</f>
        <v>0</v>
      </c>
      <c r="AV341" s="31" t="n">
        <f aca="false">IF($G341="",AK341,M341)</f>
        <v>0</v>
      </c>
      <c r="AW341" s="31" t="n">
        <f aca="false">IF($G341="",AL341,N341)</f>
        <v>0</v>
      </c>
      <c r="AX341" s="31" t="n">
        <f aca="false">IF($G341="",AM341,O341)</f>
        <v>0</v>
      </c>
      <c r="AY341" s="31" t="n">
        <f aca="false">IF($G341="",AN341,P341)</f>
        <v>0</v>
      </c>
      <c r="AZ341" s="31" t="n">
        <f aca="false">IF($G341="",AO341,Q341)</f>
        <v>0</v>
      </c>
      <c r="BA341" s="31" t="n">
        <f aca="false">IF($G341="",AP341,R341)</f>
        <v>0</v>
      </c>
      <c r="BB341" s="31" t="n">
        <f aca="false">IF($G341="",AQ341,S341)</f>
        <v>0</v>
      </c>
      <c r="BC341" s="31" t="n">
        <f aca="false">IF($G341="",AR341,T341)</f>
        <v>0</v>
      </c>
      <c r="BD341" s="31" t="n">
        <f aca="false">IF($G341="",AS341,U341)</f>
        <v>0</v>
      </c>
      <c r="BE341" s="31" t="n">
        <f aca="false">IF($G341="",AT341,V341)</f>
        <v>0</v>
      </c>
      <c r="BF341" s="31" t="n">
        <f aca="false">ROUNDDOWN(I341*設定!$B$10/1000,0)+ROUNDDOWN(I341*設定!$B$11/1000,0)</f>
        <v>0</v>
      </c>
      <c r="BG341" s="31" t="n">
        <f aca="false">ROUNDDOWN(I341*設定!$C$10/1000,0)+ROUNDDOWN(I341*設定!$C$11/1000,0)+ROUNDDOWN(I341*設定!$C$12/1000,0)</f>
        <v>0</v>
      </c>
      <c r="BH341" s="31" t="n">
        <f aca="false">ROUNDDOWN(J341*設定!$B$13/1000,0)</f>
        <v>0</v>
      </c>
      <c r="BI341" s="31" t="n">
        <f aca="false">ROUNDDOWN(J341*設定!$C$13/1000,0)</f>
        <v>0</v>
      </c>
      <c r="BJ341" s="31" t="n">
        <f aca="false">ROUNDDOWN(K341*設定!$B$14/1000,0)</f>
        <v>0</v>
      </c>
      <c r="BK341" s="31" t="n">
        <f aca="false">ROUNDDOWN(K341*設定!$C$14/1000,0)</f>
        <v>0</v>
      </c>
      <c r="BL341" s="31" t="n">
        <f aca="false">ROUNDDOWN(J341*設定!$B$15/1000,0)</f>
        <v>0</v>
      </c>
      <c r="BM341" s="31" t="n">
        <f aca="false">ROUNDDOWN(J341*設定!$C$15/1000,0)</f>
        <v>0</v>
      </c>
      <c r="BN341" s="31" t="n">
        <f aca="false">L341+M341</f>
        <v>0</v>
      </c>
      <c r="BO341" s="31" t="n">
        <f aca="false">N341+O341+P341</f>
        <v>0</v>
      </c>
      <c r="BP341" s="31" t="n">
        <f aca="false">Q341</f>
        <v>0</v>
      </c>
      <c r="BQ341" s="31" t="n">
        <f aca="false">R341</f>
        <v>0</v>
      </c>
      <c r="BR341" s="31" t="n">
        <f aca="false">S341</f>
        <v>0</v>
      </c>
      <c r="BS341" s="31" t="n">
        <f aca="false">T341</f>
        <v>0</v>
      </c>
      <c r="BT341" s="31" t="n">
        <f aca="false">U341</f>
        <v>0</v>
      </c>
      <c r="BU341" s="31" t="n">
        <f aca="false">V341</f>
        <v>0</v>
      </c>
      <c r="BV341" s="32" t="n">
        <f aca="false">IF(BF341=0,IF(BN341=0,0,1),(BN341-BF341)/BF341)</f>
        <v>0</v>
      </c>
      <c r="BW341" s="32" t="n">
        <f aca="false">IF(BG341=0,IF(BO341=0,0,1),(BO341-BG341)/BG341)</f>
        <v>0</v>
      </c>
      <c r="BX341" s="32" t="n">
        <f aca="false">IF(BH341=0,IF(BP341=0,0,1),(BP341-BH341)/BH341)</f>
        <v>0</v>
      </c>
      <c r="BY341" s="32" t="n">
        <f aca="false">IF(BI341=0,IF(BQ341=0,0,1),(BQ341-BI341)/BI341)</f>
        <v>0</v>
      </c>
      <c r="BZ341" s="32" t="n">
        <f aca="false">IF(BJ341=0,IF(BR341=0,0,1),(BR341-BJ341)/BJ341)</f>
        <v>0</v>
      </c>
      <c r="CA341" s="32" t="n">
        <f aca="false">IF(BK341=0,IF(BS341=0,0,1),(BS341-BK341)/BK341)</f>
        <v>0</v>
      </c>
      <c r="CB341" s="32" t="n">
        <f aca="false">IF(BL341=0,IF(BT341=0,0,1),(BT341-BL341)/BL341)</f>
        <v>0</v>
      </c>
      <c r="CC341" s="32" t="n">
        <f aca="false">IF(BM341=0,IF(BU341=0,0,1),(BU341-BM341)/BM341)</f>
        <v>0</v>
      </c>
      <c r="CD341" s="32" t="n">
        <f aca="false">MAX(MAX(BV341:CC341),-MIN(BV341:CC341))</f>
        <v>-0</v>
      </c>
      <c r="CE341" s="31" t="n">
        <f aca="false">IF(CI341="","",SUMIFS($CF$7:$CF$696,$A$7:$A$696,CI341,$B$7:$B$696,B341))</f>
        <v>0</v>
      </c>
      <c r="CF341" s="31" t="n">
        <f aca="false">SUM(AU341:BE341)</f>
        <v>0</v>
      </c>
      <c r="CG341" s="33" t="str">
        <f aca="false">A341&amp;"|"&amp;B341</f>
        <v>2026-10 月例|地方税共同機構</v>
      </c>
      <c r="CH341" s="34" t="str">
        <f aca="false">IFERROR(INDEX(設定!$D$61:$D$106,MATCH(B341,設定!$B$61:$B$106,0)),"Y")</f>
        <v>Y</v>
      </c>
      <c r="CI341" s="34" t="str">
        <f aca="false">IFERROR(INDEX(設定!$D$20:$D$34,MATCH(A341,設定!$A$20:$A$34,0))&amp;"","")</f>
        <v>2026-09 月例</v>
      </c>
    </row>
    <row r="342" customFormat="false" ht="15" hidden="false" customHeight="false" outlineLevel="0" collapsed="false">
      <c r="A342" s="22" t="s">
        <v>214</v>
      </c>
      <c r="B342" s="23" t="s">
        <v>174</v>
      </c>
      <c r="C342" s="10" t="str">
        <f aca="false">IF(G342="","未受領",IF(G342="なし","報告なし",IF(AH342="○","起票済",IF(OR(AG342="○",F342="一致",F342="入金不要"),"入金確認済","受領済"))))</f>
        <v>未受領</v>
      </c>
      <c r="D342" s="10" t="str">
        <f aca="false">IF(OR(G342="",G342="なし"),"―",IF(CH342="N","対象外",IF(AND(I342="",J342="",K342=""),"標報未入力",IF(CD342&gt;=設定!$B$4,"要確認","問題なし"))))</f>
        <v>―</v>
      </c>
      <c r="E342" s="24" t="str">
        <f aca="false">IF(OR(G342="",G342="なし",CE342="",CF342=0),"―",IF(CF342=CE342,"前月同額",IF(CE342=0,"―",IF(ABS(CF342/CE342-1)&gt;=設定!$B$5,"変動大 "&amp;TEXT(CF342/CE342-1,"+0%;-0%"),"〇"))))</f>
        <v>―</v>
      </c>
      <c r="F342" s="10" t="str">
        <f aca="false">IF(OR(G342="",G342="なし"),"―",IF(CF342=0,"入金不要",IF(COUNT(Z342,AB342,AD342,AF342)=0,IF(AG342="○","手動確認","未入金"),IF(AND(N(Z342)=Y342,IF(AA342="",TRUE(),N(AB342)=AA342),IF(AC342="",TRUE(),N(AD342)=AC342),IF(AE342="",TRUE(),N(AF342)=AE342)),"一致","不一致"))))</f>
        <v>―</v>
      </c>
      <c r="G342" s="25"/>
      <c r="H342" s="26"/>
      <c r="I342" s="27"/>
      <c r="J342" s="27"/>
      <c r="K342" s="27"/>
      <c r="L342" s="27"/>
      <c r="M342" s="27"/>
      <c r="N342" s="27"/>
      <c r="O342" s="27"/>
      <c r="P342" s="27"/>
      <c r="Q342" s="27"/>
      <c r="R342" s="27"/>
      <c r="S342" s="27"/>
      <c r="T342" s="27"/>
      <c r="U342" s="27"/>
      <c r="V342" s="27"/>
      <c r="W342" s="10" t="str">
        <f aca="false">IFERROR(INDEX(設定!$E$61:$E$106,MATCH(B342,設定!$B$61:$B$106,0)),"合算")</f>
        <v>合算</v>
      </c>
      <c r="X342" s="28"/>
      <c r="Y342" s="29" t="str">
        <f aca="false">IF(OR(G342="",G342="なし"),"",IF(W342="合算",CF342,IF(W342="掛金・負担金別",(AU342+AV342+AZ342+BB342+BD342),SUM(AU342:AY342))))</f>
        <v/>
      </c>
      <c r="Z342" s="27"/>
      <c r="AA342" s="29" t="str">
        <f aca="false">IF(OR(G342="",G342="なし"),"",IF(W342="掛金・負担金別",(AW342+AX342+AY342+BA342+BC342+BE342),IF(W342="経理区分別",AZ342+BA342,"")))</f>
        <v/>
      </c>
      <c r="AB342" s="27"/>
      <c r="AC342" s="29" t="str">
        <f aca="false">IF(OR(G342="",G342="なし"),"",IF(W342="経理区分別",BB342+BC342,""))</f>
        <v/>
      </c>
      <c r="AD342" s="27"/>
      <c r="AE342" s="29" t="str">
        <f aca="false">IF(OR(G342="",G342="なし"),"",IF(W342="経理区分別",BD342+BE342,""))</f>
        <v/>
      </c>
      <c r="AF342" s="27"/>
      <c r="AG342" s="26"/>
      <c r="AH342" s="26"/>
      <c r="AI342" s="30"/>
      <c r="AJ342" s="31" t="n">
        <v>0</v>
      </c>
      <c r="AK342" s="31" t="n">
        <v>0</v>
      </c>
      <c r="AL342" s="31" t="n">
        <v>695400</v>
      </c>
      <c r="AM342" s="31" t="n">
        <v>57000</v>
      </c>
      <c r="AN342" s="31" t="n">
        <v>713</v>
      </c>
      <c r="AO342" s="31" t="n">
        <v>0</v>
      </c>
      <c r="AP342" s="31" t="n">
        <v>420489</v>
      </c>
      <c r="AQ342" s="31" t="n">
        <v>0</v>
      </c>
      <c r="AR342" s="31" t="n">
        <v>51903</v>
      </c>
      <c r="AS342" s="31" t="n">
        <v>0</v>
      </c>
      <c r="AT342" s="31" t="n">
        <v>1</v>
      </c>
      <c r="AU342" s="31" t="n">
        <f aca="false">IF($G342="",AJ342,L342)</f>
        <v>0</v>
      </c>
      <c r="AV342" s="31" t="n">
        <f aca="false">IF($G342="",AK342,M342)</f>
        <v>0</v>
      </c>
      <c r="AW342" s="31" t="n">
        <f aca="false">IF($G342="",AL342,N342)</f>
        <v>695400</v>
      </c>
      <c r="AX342" s="31" t="n">
        <f aca="false">IF($G342="",AM342,O342)</f>
        <v>57000</v>
      </c>
      <c r="AY342" s="31" t="n">
        <f aca="false">IF($G342="",AN342,P342)</f>
        <v>713</v>
      </c>
      <c r="AZ342" s="31" t="n">
        <f aca="false">IF($G342="",AO342,Q342)</f>
        <v>0</v>
      </c>
      <c r="BA342" s="31" t="n">
        <f aca="false">IF($G342="",AP342,R342)</f>
        <v>420489</v>
      </c>
      <c r="BB342" s="31" t="n">
        <f aca="false">IF($G342="",AQ342,S342)</f>
        <v>0</v>
      </c>
      <c r="BC342" s="31" t="n">
        <f aca="false">IF($G342="",AR342,T342)</f>
        <v>51903</v>
      </c>
      <c r="BD342" s="31" t="n">
        <f aca="false">IF($G342="",AS342,U342)</f>
        <v>0</v>
      </c>
      <c r="BE342" s="31" t="n">
        <f aca="false">IF($G342="",AT342,V342)</f>
        <v>1</v>
      </c>
      <c r="BF342" s="31" t="n">
        <f aca="false">ROUNDDOWN(I342*設定!$B$10/1000,0)+ROUNDDOWN(I342*設定!$B$11/1000,0)</f>
        <v>0</v>
      </c>
      <c r="BG342" s="31" t="n">
        <f aca="false">ROUNDDOWN(I342*設定!$C$10/1000,0)+ROUNDDOWN(I342*設定!$C$11/1000,0)+ROUNDDOWN(I342*設定!$C$12/1000,0)</f>
        <v>0</v>
      </c>
      <c r="BH342" s="31" t="n">
        <f aca="false">ROUNDDOWN(J342*設定!$B$13/1000,0)</f>
        <v>0</v>
      </c>
      <c r="BI342" s="31" t="n">
        <f aca="false">ROUNDDOWN(J342*設定!$C$13/1000,0)</f>
        <v>0</v>
      </c>
      <c r="BJ342" s="31" t="n">
        <f aca="false">ROUNDDOWN(K342*設定!$B$14/1000,0)</f>
        <v>0</v>
      </c>
      <c r="BK342" s="31" t="n">
        <f aca="false">ROUNDDOWN(K342*設定!$C$14/1000,0)</f>
        <v>0</v>
      </c>
      <c r="BL342" s="31" t="n">
        <f aca="false">ROUNDDOWN(J342*設定!$B$15/1000,0)</f>
        <v>0</v>
      </c>
      <c r="BM342" s="31" t="n">
        <f aca="false">ROUNDDOWN(J342*設定!$C$15/1000,0)</f>
        <v>0</v>
      </c>
      <c r="BN342" s="31" t="n">
        <f aca="false">L342+M342</f>
        <v>0</v>
      </c>
      <c r="BO342" s="31" t="n">
        <f aca="false">N342+O342+P342</f>
        <v>0</v>
      </c>
      <c r="BP342" s="31" t="n">
        <f aca="false">Q342</f>
        <v>0</v>
      </c>
      <c r="BQ342" s="31" t="n">
        <f aca="false">R342</f>
        <v>0</v>
      </c>
      <c r="BR342" s="31" t="n">
        <f aca="false">S342</f>
        <v>0</v>
      </c>
      <c r="BS342" s="31" t="n">
        <f aca="false">T342</f>
        <v>0</v>
      </c>
      <c r="BT342" s="31" t="n">
        <f aca="false">U342</f>
        <v>0</v>
      </c>
      <c r="BU342" s="31" t="n">
        <f aca="false">V342</f>
        <v>0</v>
      </c>
      <c r="BV342" s="32" t="n">
        <f aca="false">IF(BF342=0,IF(BN342=0,0,1),(BN342-BF342)/BF342)</f>
        <v>0</v>
      </c>
      <c r="BW342" s="32" t="n">
        <f aca="false">IF(BG342=0,IF(BO342=0,0,1),(BO342-BG342)/BG342)</f>
        <v>0</v>
      </c>
      <c r="BX342" s="32" t="n">
        <f aca="false">IF(BH342=0,IF(BP342=0,0,1),(BP342-BH342)/BH342)</f>
        <v>0</v>
      </c>
      <c r="BY342" s="32" t="n">
        <f aca="false">IF(BI342=0,IF(BQ342=0,0,1),(BQ342-BI342)/BI342)</f>
        <v>0</v>
      </c>
      <c r="BZ342" s="32" t="n">
        <f aca="false">IF(BJ342=0,IF(BR342=0,0,1),(BR342-BJ342)/BJ342)</f>
        <v>0</v>
      </c>
      <c r="CA342" s="32" t="n">
        <f aca="false">IF(BK342=0,IF(BS342=0,0,1),(BS342-BK342)/BK342)</f>
        <v>0</v>
      </c>
      <c r="CB342" s="32" t="n">
        <f aca="false">IF(BL342=0,IF(BT342=0,0,1),(BT342-BL342)/BL342)</f>
        <v>0</v>
      </c>
      <c r="CC342" s="32" t="n">
        <f aca="false">IF(BM342=0,IF(BU342=0,0,1),(BU342-BM342)/BM342)</f>
        <v>0</v>
      </c>
      <c r="CD342" s="32" t="n">
        <f aca="false">MAX(MAX(BV342:CC342),-MIN(BV342:CC342))</f>
        <v>-0</v>
      </c>
      <c r="CE342" s="31" t="n">
        <f aca="false">IF(CI342="","",SUMIFS($CF$7:$CF$696,$A$7:$A$696,CI342,$B$7:$B$696,B342))</f>
        <v>1362658</v>
      </c>
      <c r="CF342" s="31" t="n">
        <f aca="false">SUM(AU342:BE342)</f>
        <v>1225506</v>
      </c>
      <c r="CG342" s="33" t="str">
        <f aca="false">A342&amp;"|"&amp;B342</f>
        <v>2026-10 月例|平和文化センター</v>
      </c>
      <c r="CH342" s="34" t="str">
        <f aca="false">IFERROR(INDEX(設定!$D$61:$D$106,MATCH(B342,設定!$B$61:$B$106,0)),"Y")</f>
        <v>Y</v>
      </c>
      <c r="CI342" s="34" t="str">
        <f aca="false">IFERROR(INDEX(設定!$D$20:$D$34,MATCH(A342,設定!$A$20:$A$34,0))&amp;"","")</f>
        <v>2026-09 月例</v>
      </c>
    </row>
    <row r="343" customFormat="false" ht="15" hidden="false" customHeight="false" outlineLevel="0" collapsed="false">
      <c r="A343" s="22" t="s">
        <v>214</v>
      </c>
      <c r="B343" s="23" t="s">
        <v>175</v>
      </c>
      <c r="C343" s="10" t="str">
        <f aca="false">IF(G343="","未受領",IF(G343="なし","報告なし",IF(AH343="○","起票済",IF(OR(AG343="○",F343="一致",F343="入金不要"),"入金確認済","受領済"))))</f>
        <v>未受領</v>
      </c>
      <c r="D343" s="10" t="str">
        <f aca="false">IF(OR(G343="",G343="なし"),"―",IF(CH343="N","対象外",IF(AND(I343="",J343="",K343=""),"標報未入力",IF(CD343&gt;=設定!$B$4,"要確認","問題なし"))))</f>
        <v>―</v>
      </c>
      <c r="E343" s="24" t="str">
        <f aca="false">IF(OR(G343="",G343="なし",CE343="",CF343=0),"―",IF(CF343=CE343,"前月同額",IF(CE343=0,"―",IF(ABS(CF343/CE343-1)&gt;=設定!$B$5,"変動大 "&amp;TEXT(CF343/CE343-1,"+0%;-0%"),"〇"))))</f>
        <v>―</v>
      </c>
      <c r="F343" s="10" t="str">
        <f aca="false">IF(OR(G343="",G343="なし"),"―",IF(CF343=0,"入金不要",IF(COUNT(Z343,AB343,AD343,AF343)=0,IF(AG343="○","手動確認","未入金"),IF(AND(N(Z343)=Y343,IF(AA343="",TRUE(),N(AB343)=AA343),IF(AC343="",TRUE(),N(AD343)=AC343),IF(AE343="",TRUE(),N(AF343)=AE343)),"一致","不一致"))))</f>
        <v>―</v>
      </c>
      <c r="G343" s="25"/>
      <c r="H343" s="26"/>
      <c r="I343" s="27"/>
      <c r="J343" s="27"/>
      <c r="K343" s="27"/>
      <c r="L343" s="27"/>
      <c r="M343" s="27"/>
      <c r="N343" s="27"/>
      <c r="O343" s="27"/>
      <c r="P343" s="27"/>
      <c r="Q343" s="27"/>
      <c r="R343" s="27"/>
      <c r="S343" s="27"/>
      <c r="T343" s="27"/>
      <c r="U343" s="27"/>
      <c r="V343" s="27"/>
      <c r="W343" s="10" t="str">
        <f aca="false">IFERROR(INDEX(設定!$E$61:$E$106,MATCH(B343,設定!$B$61:$B$106,0)),"合算")</f>
        <v>合算</v>
      </c>
      <c r="X343" s="28"/>
      <c r="Y343" s="29" t="str">
        <f aca="false">IF(OR(G343="",G343="なし"),"",IF(W343="合算",CF343,IF(W343="掛金・負担金別",(AU343+AV343+AZ343+BB343+BD343),SUM(AU343:AY343))))</f>
        <v/>
      </c>
      <c r="Z343" s="27"/>
      <c r="AA343" s="29" t="str">
        <f aca="false">IF(OR(G343="",G343="なし"),"",IF(W343="掛金・負担金別",(AW343+AX343+AY343+BA343+BC343+BE343),IF(W343="経理区分別",AZ343+BA343,"")))</f>
        <v/>
      </c>
      <c r="AB343" s="27"/>
      <c r="AC343" s="29" t="str">
        <f aca="false">IF(OR(G343="",G343="なし"),"",IF(W343="経理区分別",BB343+BC343,""))</f>
        <v/>
      </c>
      <c r="AD343" s="27"/>
      <c r="AE343" s="29" t="str">
        <f aca="false">IF(OR(G343="",G343="なし"),"",IF(W343="経理区分別",BD343+BE343,""))</f>
        <v/>
      </c>
      <c r="AF343" s="27"/>
      <c r="AG343" s="26"/>
      <c r="AH343" s="26"/>
      <c r="AI343" s="30"/>
      <c r="AJ343" s="31"/>
      <c r="AK343" s="31"/>
      <c r="AL343" s="31" t="n">
        <v>1881240</v>
      </c>
      <c r="AM343" s="31" t="n">
        <v>154200</v>
      </c>
      <c r="AN343" s="31" t="n">
        <v>1960</v>
      </c>
      <c r="AO343" s="31"/>
      <c r="AP343" s="31" t="n">
        <v>1271974</v>
      </c>
      <c r="AQ343" s="31"/>
      <c r="AR343" s="31" t="n">
        <v>141252</v>
      </c>
      <c r="AS343" s="31"/>
      <c r="AT343" s="31" t="n">
        <v>1</v>
      </c>
      <c r="AU343" s="31" t="n">
        <f aca="false">IF($G343="",AJ343,L343)</f>
        <v>0</v>
      </c>
      <c r="AV343" s="31" t="n">
        <f aca="false">IF($G343="",AK343,M343)</f>
        <v>0</v>
      </c>
      <c r="AW343" s="31" t="n">
        <f aca="false">IF($G343="",AL343,N343)</f>
        <v>1881240</v>
      </c>
      <c r="AX343" s="31" t="n">
        <f aca="false">IF($G343="",AM343,O343)</f>
        <v>154200</v>
      </c>
      <c r="AY343" s="31" t="n">
        <f aca="false">IF($G343="",AN343,P343)</f>
        <v>1960</v>
      </c>
      <c r="AZ343" s="31" t="n">
        <f aca="false">IF($G343="",AO343,Q343)</f>
        <v>0</v>
      </c>
      <c r="BA343" s="31" t="n">
        <f aca="false">IF($G343="",AP343,R343)</f>
        <v>1271974</v>
      </c>
      <c r="BB343" s="31" t="n">
        <f aca="false">IF($G343="",AQ343,S343)</f>
        <v>0</v>
      </c>
      <c r="BC343" s="31" t="n">
        <f aca="false">IF($G343="",AR343,T343)</f>
        <v>141252</v>
      </c>
      <c r="BD343" s="31" t="n">
        <f aca="false">IF($G343="",AS343,U343)</f>
        <v>0</v>
      </c>
      <c r="BE343" s="31" t="n">
        <f aca="false">IF($G343="",AT343,V343)</f>
        <v>1</v>
      </c>
      <c r="BF343" s="31" t="n">
        <f aca="false">ROUNDDOWN(I343*設定!$B$10/1000,0)+ROUNDDOWN(I343*設定!$B$11/1000,0)</f>
        <v>0</v>
      </c>
      <c r="BG343" s="31" t="n">
        <f aca="false">ROUNDDOWN(I343*設定!$C$10/1000,0)+ROUNDDOWN(I343*設定!$C$11/1000,0)+ROUNDDOWN(I343*設定!$C$12/1000,0)</f>
        <v>0</v>
      </c>
      <c r="BH343" s="31" t="n">
        <f aca="false">ROUNDDOWN(J343*設定!$B$13/1000,0)</f>
        <v>0</v>
      </c>
      <c r="BI343" s="31" t="n">
        <f aca="false">ROUNDDOWN(J343*設定!$C$13/1000,0)</f>
        <v>0</v>
      </c>
      <c r="BJ343" s="31" t="n">
        <f aca="false">ROUNDDOWN(K343*設定!$B$14/1000,0)</f>
        <v>0</v>
      </c>
      <c r="BK343" s="31" t="n">
        <f aca="false">ROUNDDOWN(K343*設定!$C$14/1000,0)</f>
        <v>0</v>
      </c>
      <c r="BL343" s="31" t="n">
        <f aca="false">ROUNDDOWN(J343*設定!$B$15/1000,0)</f>
        <v>0</v>
      </c>
      <c r="BM343" s="31" t="n">
        <f aca="false">ROUNDDOWN(J343*設定!$C$15/1000,0)</f>
        <v>0</v>
      </c>
      <c r="BN343" s="31" t="n">
        <f aca="false">L343+M343</f>
        <v>0</v>
      </c>
      <c r="BO343" s="31" t="n">
        <f aca="false">N343+O343+P343</f>
        <v>0</v>
      </c>
      <c r="BP343" s="31" t="n">
        <f aca="false">Q343</f>
        <v>0</v>
      </c>
      <c r="BQ343" s="31" t="n">
        <f aca="false">R343</f>
        <v>0</v>
      </c>
      <c r="BR343" s="31" t="n">
        <f aca="false">S343</f>
        <v>0</v>
      </c>
      <c r="BS343" s="31" t="n">
        <f aca="false">T343</f>
        <v>0</v>
      </c>
      <c r="BT343" s="31" t="n">
        <f aca="false">U343</f>
        <v>0</v>
      </c>
      <c r="BU343" s="31" t="n">
        <f aca="false">V343</f>
        <v>0</v>
      </c>
      <c r="BV343" s="32" t="n">
        <f aca="false">IF(BF343=0,IF(BN343=0,0,1),(BN343-BF343)/BF343)</f>
        <v>0</v>
      </c>
      <c r="BW343" s="32" t="n">
        <f aca="false">IF(BG343=0,IF(BO343=0,0,1),(BO343-BG343)/BG343)</f>
        <v>0</v>
      </c>
      <c r="BX343" s="32" t="n">
        <f aca="false">IF(BH343=0,IF(BP343=0,0,1),(BP343-BH343)/BH343)</f>
        <v>0</v>
      </c>
      <c r="BY343" s="32" t="n">
        <f aca="false">IF(BI343=0,IF(BQ343=0,0,1),(BQ343-BI343)/BI343)</f>
        <v>0</v>
      </c>
      <c r="BZ343" s="32" t="n">
        <f aca="false">IF(BJ343=0,IF(BR343=0,0,1),(BR343-BJ343)/BJ343)</f>
        <v>0</v>
      </c>
      <c r="CA343" s="32" t="n">
        <f aca="false">IF(BK343=0,IF(BS343=0,0,1),(BS343-BK343)/BK343)</f>
        <v>0</v>
      </c>
      <c r="CB343" s="32" t="n">
        <f aca="false">IF(BL343=0,IF(BT343=0,0,1),(BT343-BL343)/BL343)</f>
        <v>0</v>
      </c>
      <c r="CC343" s="32" t="n">
        <f aca="false">IF(BM343=0,IF(BU343=0,0,1),(BU343-BM343)/BM343)</f>
        <v>0</v>
      </c>
      <c r="CD343" s="32" t="n">
        <f aca="false">MAX(MAX(BV343:CC343),-MIN(BV343:CC343))</f>
        <v>-0</v>
      </c>
      <c r="CE343" s="31" t="n">
        <f aca="false">IF(CI343="","",SUMIFS($CF$7:$CF$696,$A$7:$A$696,CI343,$B$7:$B$696,B343))</f>
        <v>3651871</v>
      </c>
      <c r="CF343" s="31" t="n">
        <f aca="false">SUM(AU343:BE343)</f>
        <v>3450627</v>
      </c>
      <c r="CG343" s="33" t="str">
        <f aca="false">A343&amp;"|"&amp;B343</f>
        <v>2026-10 月例|社会福祉事業団</v>
      </c>
      <c r="CH343" s="34" t="str">
        <f aca="false">IFERROR(INDEX(設定!$D$61:$D$106,MATCH(B343,設定!$B$61:$B$106,0)),"Y")</f>
        <v>Y</v>
      </c>
      <c r="CI343" s="34" t="str">
        <f aca="false">IFERROR(INDEX(設定!$D$20:$D$34,MATCH(A343,設定!$A$20:$A$34,0))&amp;"","")</f>
        <v>2026-09 月例</v>
      </c>
    </row>
    <row r="344" customFormat="false" ht="15" hidden="false" customHeight="false" outlineLevel="0" collapsed="false">
      <c r="A344" s="22" t="s">
        <v>214</v>
      </c>
      <c r="B344" s="23" t="s">
        <v>176</v>
      </c>
      <c r="C344" s="10" t="str">
        <f aca="false">IF(G344="","未受領",IF(G344="なし","報告なし",IF(AH344="○","起票済",IF(OR(AG344="○",F344="一致",F344="入金不要"),"入金確認済","受領済"))))</f>
        <v>未受領</v>
      </c>
      <c r="D344" s="10" t="str">
        <f aca="false">IF(OR(G344="",G344="なし"),"―",IF(CH344="N","対象外",IF(AND(I344="",J344="",K344=""),"標報未入力",IF(CD344&gt;=設定!$B$4,"要確認","問題なし"))))</f>
        <v>―</v>
      </c>
      <c r="E344" s="24" t="str">
        <f aca="false">IF(OR(G344="",G344="なし",CE344="",CF344=0),"―",IF(CF344=CE344,"前月同額",IF(CE344=0,"―",IF(ABS(CF344/CE344-1)&gt;=設定!$B$5,"変動大 "&amp;TEXT(CF344/CE344-1,"+0%;-0%"),"〇"))))</f>
        <v>―</v>
      </c>
      <c r="F344" s="10" t="str">
        <f aca="false">IF(OR(G344="",G344="なし"),"―",IF(CF344=0,"入金不要",IF(COUNT(Z344,AB344,AD344,AF344)=0,IF(AG344="○","手動確認","未入金"),IF(AND(N(Z344)=Y344,IF(AA344="",TRUE(),N(AB344)=AA344),IF(AC344="",TRUE(),N(AD344)=AC344),IF(AE344="",TRUE(),N(AF344)=AE344)),"一致","不一致"))))</f>
        <v>―</v>
      </c>
      <c r="G344" s="25"/>
      <c r="H344" s="26"/>
      <c r="I344" s="27"/>
      <c r="J344" s="27"/>
      <c r="K344" s="27"/>
      <c r="L344" s="27"/>
      <c r="M344" s="27"/>
      <c r="N344" s="27"/>
      <c r="O344" s="27"/>
      <c r="P344" s="27"/>
      <c r="Q344" s="27"/>
      <c r="R344" s="27"/>
      <c r="S344" s="27"/>
      <c r="T344" s="27"/>
      <c r="U344" s="27"/>
      <c r="V344" s="27"/>
      <c r="W344" s="10" t="str">
        <f aca="false">IFERROR(INDEX(設定!$E$61:$E$106,MATCH(B344,設定!$B$61:$B$106,0)),"合算")</f>
        <v>合算</v>
      </c>
      <c r="X344" s="28"/>
      <c r="Y344" s="29" t="str">
        <f aca="false">IF(OR(G344="",G344="なし"),"",IF(W344="合算",CF344,IF(W344="掛金・負担金別",(AU344+AV344+AZ344+BB344+BD344),SUM(AU344:AY344))))</f>
        <v/>
      </c>
      <c r="Z344" s="27"/>
      <c r="AA344" s="29" t="str">
        <f aca="false">IF(OR(G344="",G344="なし"),"",IF(W344="掛金・負担金別",(AW344+AX344+AY344+BA344+BC344+BE344),IF(W344="経理区分別",AZ344+BA344,"")))</f>
        <v/>
      </c>
      <c r="AB344" s="27"/>
      <c r="AC344" s="29" t="str">
        <f aca="false">IF(OR(G344="",G344="なし"),"",IF(W344="経理区分別",BB344+BC344,""))</f>
        <v/>
      </c>
      <c r="AD344" s="27"/>
      <c r="AE344" s="29" t="str">
        <f aca="false">IF(OR(G344="",G344="なし"),"",IF(W344="経理区分別",BD344+BE344,""))</f>
        <v/>
      </c>
      <c r="AF344" s="27"/>
      <c r="AG344" s="26"/>
      <c r="AH344" s="26"/>
      <c r="AI344" s="30"/>
      <c r="AJ344" s="31"/>
      <c r="AK344" s="31"/>
      <c r="AL344" s="31" t="n">
        <v>48495</v>
      </c>
      <c r="AM344" s="31" t="n">
        <v>3975</v>
      </c>
      <c r="AN344" s="31" t="n">
        <v>49</v>
      </c>
      <c r="AO344" s="31"/>
      <c r="AP344" s="31" t="n">
        <v>29208</v>
      </c>
      <c r="AQ344" s="31"/>
      <c r="AR344" s="31" t="n">
        <v>4187</v>
      </c>
      <c r="AS344" s="31"/>
      <c r="AT344" s="31" t="n">
        <v>1</v>
      </c>
      <c r="AU344" s="31" t="n">
        <f aca="false">IF($G344="",AJ344,L344)</f>
        <v>0</v>
      </c>
      <c r="AV344" s="31" t="n">
        <f aca="false">IF($G344="",AK344,M344)</f>
        <v>0</v>
      </c>
      <c r="AW344" s="31" t="n">
        <f aca="false">IF($G344="",AL344,N344)</f>
        <v>48495</v>
      </c>
      <c r="AX344" s="31" t="n">
        <f aca="false">IF($G344="",AM344,O344)</f>
        <v>3975</v>
      </c>
      <c r="AY344" s="31" t="n">
        <f aca="false">IF($G344="",AN344,P344)</f>
        <v>49</v>
      </c>
      <c r="AZ344" s="31" t="n">
        <f aca="false">IF($G344="",AO344,Q344)</f>
        <v>0</v>
      </c>
      <c r="BA344" s="31" t="n">
        <f aca="false">IF($G344="",AP344,R344)</f>
        <v>29208</v>
      </c>
      <c r="BB344" s="31" t="n">
        <f aca="false">IF($G344="",AQ344,S344)</f>
        <v>0</v>
      </c>
      <c r="BC344" s="31" t="n">
        <f aca="false">IF($G344="",AR344,T344)</f>
        <v>4187</v>
      </c>
      <c r="BD344" s="31" t="n">
        <f aca="false">IF($G344="",AS344,U344)</f>
        <v>0</v>
      </c>
      <c r="BE344" s="31" t="n">
        <f aca="false">IF($G344="",AT344,V344)</f>
        <v>1</v>
      </c>
      <c r="BF344" s="31" t="n">
        <f aca="false">ROUNDDOWN(I344*設定!$B$10/1000,0)+ROUNDDOWN(I344*設定!$B$11/1000,0)</f>
        <v>0</v>
      </c>
      <c r="BG344" s="31" t="n">
        <f aca="false">ROUNDDOWN(I344*設定!$C$10/1000,0)+ROUNDDOWN(I344*設定!$C$11/1000,0)+ROUNDDOWN(I344*設定!$C$12/1000,0)</f>
        <v>0</v>
      </c>
      <c r="BH344" s="31" t="n">
        <f aca="false">ROUNDDOWN(J344*設定!$B$13/1000,0)</f>
        <v>0</v>
      </c>
      <c r="BI344" s="31" t="n">
        <f aca="false">ROUNDDOWN(J344*設定!$C$13/1000,0)</f>
        <v>0</v>
      </c>
      <c r="BJ344" s="31" t="n">
        <f aca="false">ROUNDDOWN(K344*設定!$B$14/1000,0)</f>
        <v>0</v>
      </c>
      <c r="BK344" s="31" t="n">
        <f aca="false">ROUNDDOWN(K344*設定!$C$14/1000,0)</f>
        <v>0</v>
      </c>
      <c r="BL344" s="31" t="n">
        <f aca="false">ROUNDDOWN(J344*設定!$B$15/1000,0)</f>
        <v>0</v>
      </c>
      <c r="BM344" s="31" t="n">
        <f aca="false">ROUNDDOWN(J344*設定!$C$15/1000,0)</f>
        <v>0</v>
      </c>
      <c r="BN344" s="31" t="n">
        <f aca="false">L344+M344</f>
        <v>0</v>
      </c>
      <c r="BO344" s="31" t="n">
        <f aca="false">N344+O344+P344</f>
        <v>0</v>
      </c>
      <c r="BP344" s="31" t="n">
        <f aca="false">Q344</f>
        <v>0</v>
      </c>
      <c r="BQ344" s="31" t="n">
        <f aca="false">R344</f>
        <v>0</v>
      </c>
      <c r="BR344" s="31" t="n">
        <f aca="false">S344</f>
        <v>0</v>
      </c>
      <c r="BS344" s="31" t="n">
        <f aca="false">T344</f>
        <v>0</v>
      </c>
      <c r="BT344" s="31" t="n">
        <f aca="false">U344</f>
        <v>0</v>
      </c>
      <c r="BU344" s="31" t="n">
        <f aca="false">V344</f>
        <v>0</v>
      </c>
      <c r="BV344" s="32" t="n">
        <f aca="false">IF(BF344=0,IF(BN344=0,0,1),(BN344-BF344)/BF344)</f>
        <v>0</v>
      </c>
      <c r="BW344" s="32" t="n">
        <f aca="false">IF(BG344=0,IF(BO344=0,0,1),(BO344-BG344)/BG344)</f>
        <v>0</v>
      </c>
      <c r="BX344" s="32" t="n">
        <f aca="false">IF(BH344=0,IF(BP344=0,0,1),(BP344-BH344)/BH344)</f>
        <v>0</v>
      </c>
      <c r="BY344" s="32" t="n">
        <f aca="false">IF(BI344=0,IF(BQ344=0,0,1),(BQ344-BI344)/BI344)</f>
        <v>0</v>
      </c>
      <c r="BZ344" s="32" t="n">
        <f aca="false">IF(BJ344=0,IF(BR344=0,0,1),(BR344-BJ344)/BJ344)</f>
        <v>0</v>
      </c>
      <c r="CA344" s="32" t="n">
        <f aca="false">IF(BK344=0,IF(BS344=0,0,1),(BS344-BK344)/BK344)</f>
        <v>0</v>
      </c>
      <c r="CB344" s="32" t="n">
        <f aca="false">IF(BL344=0,IF(BT344=0,0,1),(BT344-BL344)/BL344)</f>
        <v>0</v>
      </c>
      <c r="CC344" s="32" t="n">
        <f aca="false">IF(BM344=0,IF(BU344=0,0,1),(BU344-BM344)/BM344)</f>
        <v>0</v>
      </c>
      <c r="CD344" s="32" t="n">
        <f aca="false">MAX(MAX(BV344:CC344),-MIN(BV344:CC344))</f>
        <v>-0</v>
      </c>
      <c r="CE344" s="31" t="n">
        <f aca="false">IF(CI344="","",SUMIFS($CF$7:$CF$696,$A$7:$A$696,CI344,$B$7:$B$696,B344))</f>
        <v>104029</v>
      </c>
      <c r="CF344" s="31" t="n">
        <f aca="false">SUM(AU344:BE344)</f>
        <v>85915</v>
      </c>
      <c r="CG344" s="33" t="str">
        <f aca="false">A344&amp;"|"&amp;B344</f>
        <v>2026-10 月例|原爆障害対策協議会</v>
      </c>
      <c r="CH344" s="34" t="str">
        <f aca="false">IFERROR(INDEX(設定!$D$61:$D$106,MATCH(B344,設定!$B$61:$B$106,0)),"Y")</f>
        <v>Y</v>
      </c>
      <c r="CI344" s="34" t="str">
        <f aca="false">IFERROR(INDEX(設定!$D$20:$D$34,MATCH(A344,設定!$A$20:$A$34,0))&amp;"","")</f>
        <v>2026-09 月例</v>
      </c>
    </row>
    <row r="345" customFormat="false" ht="15" hidden="false" customHeight="false" outlineLevel="0" collapsed="false">
      <c r="A345" s="22" t="s">
        <v>214</v>
      </c>
      <c r="B345" s="23" t="s">
        <v>177</v>
      </c>
      <c r="C345" s="10" t="str">
        <f aca="false">IF(G345="","未受領",IF(G345="なし","報告なし",IF(AH345="○","起票済",IF(OR(AG345="○",F345="一致",F345="入金不要"),"入金確認済","受領済"))))</f>
        <v>未受領</v>
      </c>
      <c r="D345" s="10" t="str">
        <f aca="false">IF(OR(G345="",G345="なし"),"―",IF(CH345="N","対象外",IF(AND(I345="",J345="",K345=""),"標報未入力",IF(CD345&gt;=設定!$B$4,"要確認","問題なし"))))</f>
        <v>―</v>
      </c>
      <c r="E345" s="24" t="str">
        <f aca="false">IF(OR(G345="",G345="なし",CE345="",CF345=0),"―",IF(CF345=CE345,"前月同額",IF(CE345=0,"―",IF(ABS(CF345/CE345-1)&gt;=設定!$B$5,"変動大 "&amp;TEXT(CF345/CE345-1,"+0%;-0%"),"〇"))))</f>
        <v>―</v>
      </c>
      <c r="F345" s="10" t="str">
        <f aca="false">IF(OR(G345="",G345="なし"),"―",IF(CF345=0,"入金不要",IF(COUNT(Z345,AB345,AD345,AF345)=0,IF(AG345="○","手動確認","未入金"),IF(AND(N(Z345)=Y345,IF(AA345="",TRUE(),N(AB345)=AA345),IF(AC345="",TRUE(),N(AD345)=AC345),IF(AE345="",TRUE(),N(AF345)=AE345)),"一致","不一致"))))</f>
        <v>―</v>
      </c>
      <c r="G345" s="25"/>
      <c r="H345" s="26"/>
      <c r="I345" s="27"/>
      <c r="J345" s="27"/>
      <c r="K345" s="27"/>
      <c r="L345" s="27"/>
      <c r="M345" s="27"/>
      <c r="N345" s="27"/>
      <c r="O345" s="27"/>
      <c r="P345" s="27"/>
      <c r="Q345" s="27"/>
      <c r="R345" s="27"/>
      <c r="S345" s="27"/>
      <c r="T345" s="27"/>
      <c r="U345" s="27"/>
      <c r="V345" s="27"/>
      <c r="W345" s="10" t="str">
        <f aca="false">IFERROR(INDEX(設定!$E$61:$E$106,MATCH(B345,設定!$B$61:$B$106,0)),"合算")</f>
        <v>合算</v>
      </c>
      <c r="X345" s="28"/>
      <c r="Y345" s="29" t="str">
        <f aca="false">IF(OR(G345="",G345="なし"),"",IF(W345="合算",CF345,IF(W345="掛金・負担金別",(AU345+AV345+AZ345+BB345+BD345),SUM(AU345:AY345))))</f>
        <v/>
      </c>
      <c r="Z345" s="27"/>
      <c r="AA345" s="29" t="str">
        <f aca="false">IF(OR(G345="",G345="なし"),"",IF(W345="掛金・負担金別",(AW345+AX345+AY345+BA345+BC345+BE345),IF(W345="経理区分別",AZ345+BA345,"")))</f>
        <v/>
      </c>
      <c r="AB345" s="27"/>
      <c r="AC345" s="29" t="str">
        <f aca="false">IF(OR(G345="",G345="なし"),"",IF(W345="経理区分別",BB345+BC345,""))</f>
        <v/>
      </c>
      <c r="AD345" s="27"/>
      <c r="AE345" s="29" t="str">
        <f aca="false">IF(OR(G345="",G345="なし"),"",IF(W345="経理区分別",BD345+BE345,""))</f>
        <v/>
      </c>
      <c r="AF345" s="27"/>
      <c r="AG345" s="26"/>
      <c r="AH345" s="26"/>
      <c r="AI345" s="30"/>
      <c r="AJ345" s="31"/>
      <c r="AK345" s="31"/>
      <c r="AL345" s="31" t="n">
        <v>425475</v>
      </c>
      <c r="AM345" s="31" t="n">
        <v>34875</v>
      </c>
      <c r="AN345" s="31" t="n">
        <v>435</v>
      </c>
      <c r="AO345" s="31"/>
      <c r="AP345" s="31" t="n">
        <v>256260</v>
      </c>
      <c r="AQ345" s="31"/>
      <c r="AR345" s="31" t="n">
        <v>34207</v>
      </c>
      <c r="AS345" s="31"/>
      <c r="AT345" s="31" t="n">
        <v>1</v>
      </c>
      <c r="AU345" s="31" t="n">
        <f aca="false">IF($G345="",AJ345,L345)</f>
        <v>0</v>
      </c>
      <c r="AV345" s="31" t="n">
        <f aca="false">IF($G345="",AK345,M345)</f>
        <v>0</v>
      </c>
      <c r="AW345" s="31" t="n">
        <f aca="false">IF($G345="",AL345,N345)</f>
        <v>425475</v>
      </c>
      <c r="AX345" s="31" t="n">
        <f aca="false">IF($G345="",AM345,O345)</f>
        <v>34875</v>
      </c>
      <c r="AY345" s="31" t="n">
        <f aca="false">IF($G345="",AN345,P345)</f>
        <v>435</v>
      </c>
      <c r="AZ345" s="31" t="n">
        <f aca="false">IF($G345="",AO345,Q345)</f>
        <v>0</v>
      </c>
      <c r="BA345" s="31" t="n">
        <f aca="false">IF($G345="",AP345,R345)</f>
        <v>256260</v>
      </c>
      <c r="BB345" s="31" t="n">
        <f aca="false">IF($G345="",AQ345,S345)</f>
        <v>0</v>
      </c>
      <c r="BC345" s="31" t="n">
        <f aca="false">IF($G345="",AR345,T345)</f>
        <v>34207</v>
      </c>
      <c r="BD345" s="31" t="n">
        <f aca="false">IF($G345="",AS345,U345)</f>
        <v>0</v>
      </c>
      <c r="BE345" s="31" t="n">
        <f aca="false">IF($G345="",AT345,V345)</f>
        <v>1</v>
      </c>
      <c r="BF345" s="31" t="n">
        <f aca="false">ROUNDDOWN(I345*設定!$B$10/1000,0)+ROUNDDOWN(I345*設定!$B$11/1000,0)</f>
        <v>0</v>
      </c>
      <c r="BG345" s="31" t="n">
        <f aca="false">ROUNDDOWN(I345*設定!$C$10/1000,0)+ROUNDDOWN(I345*設定!$C$11/1000,0)+ROUNDDOWN(I345*設定!$C$12/1000,0)</f>
        <v>0</v>
      </c>
      <c r="BH345" s="31" t="n">
        <f aca="false">ROUNDDOWN(J345*設定!$B$13/1000,0)</f>
        <v>0</v>
      </c>
      <c r="BI345" s="31" t="n">
        <f aca="false">ROUNDDOWN(J345*設定!$C$13/1000,0)</f>
        <v>0</v>
      </c>
      <c r="BJ345" s="31" t="n">
        <f aca="false">ROUNDDOWN(K345*設定!$B$14/1000,0)</f>
        <v>0</v>
      </c>
      <c r="BK345" s="31" t="n">
        <f aca="false">ROUNDDOWN(K345*設定!$C$14/1000,0)</f>
        <v>0</v>
      </c>
      <c r="BL345" s="31" t="n">
        <f aca="false">ROUNDDOWN(J345*設定!$B$15/1000,0)</f>
        <v>0</v>
      </c>
      <c r="BM345" s="31" t="n">
        <f aca="false">ROUNDDOWN(J345*設定!$C$15/1000,0)</f>
        <v>0</v>
      </c>
      <c r="BN345" s="31" t="n">
        <f aca="false">L345+M345</f>
        <v>0</v>
      </c>
      <c r="BO345" s="31" t="n">
        <f aca="false">N345+O345+P345</f>
        <v>0</v>
      </c>
      <c r="BP345" s="31" t="n">
        <f aca="false">Q345</f>
        <v>0</v>
      </c>
      <c r="BQ345" s="31" t="n">
        <f aca="false">R345</f>
        <v>0</v>
      </c>
      <c r="BR345" s="31" t="n">
        <f aca="false">S345</f>
        <v>0</v>
      </c>
      <c r="BS345" s="31" t="n">
        <f aca="false">T345</f>
        <v>0</v>
      </c>
      <c r="BT345" s="31" t="n">
        <f aca="false">U345</f>
        <v>0</v>
      </c>
      <c r="BU345" s="31" t="n">
        <f aca="false">V345</f>
        <v>0</v>
      </c>
      <c r="BV345" s="32" t="n">
        <f aca="false">IF(BF345=0,IF(BN345=0,0,1),(BN345-BF345)/BF345)</f>
        <v>0</v>
      </c>
      <c r="BW345" s="32" t="n">
        <f aca="false">IF(BG345=0,IF(BO345=0,0,1),(BO345-BG345)/BG345)</f>
        <v>0</v>
      </c>
      <c r="BX345" s="32" t="n">
        <f aca="false">IF(BH345=0,IF(BP345=0,0,1),(BP345-BH345)/BH345)</f>
        <v>0</v>
      </c>
      <c r="BY345" s="32" t="n">
        <f aca="false">IF(BI345=0,IF(BQ345=0,0,1),(BQ345-BI345)/BI345)</f>
        <v>0</v>
      </c>
      <c r="BZ345" s="32" t="n">
        <f aca="false">IF(BJ345=0,IF(BR345=0,0,1),(BR345-BJ345)/BJ345)</f>
        <v>0</v>
      </c>
      <c r="CA345" s="32" t="n">
        <f aca="false">IF(BK345=0,IF(BS345=0,0,1),(BS345-BK345)/BK345)</f>
        <v>0</v>
      </c>
      <c r="CB345" s="32" t="n">
        <f aca="false">IF(BL345=0,IF(BT345=0,0,1),(BT345-BL345)/BL345)</f>
        <v>0</v>
      </c>
      <c r="CC345" s="32" t="n">
        <f aca="false">IF(BM345=0,IF(BU345=0,0,1),(BU345-BM345)/BM345)</f>
        <v>0</v>
      </c>
      <c r="CD345" s="32" t="n">
        <f aca="false">MAX(MAX(BV345:CC345),-MIN(BV345:CC345))</f>
        <v>-0</v>
      </c>
      <c r="CE345" s="31" t="n">
        <f aca="false">IF(CI345="","",SUMIFS($CF$7:$CF$696,$A$7:$A$696,CI345,$B$7:$B$696,B345))</f>
        <v>640003</v>
      </c>
      <c r="CF345" s="31" t="n">
        <f aca="false">SUM(AU345:BE345)</f>
        <v>751253</v>
      </c>
      <c r="CG345" s="33" t="str">
        <f aca="false">A345&amp;"|"&amp;B345</f>
        <v>2026-10 月例|産業振興センター</v>
      </c>
      <c r="CH345" s="34" t="str">
        <f aca="false">IFERROR(INDEX(設定!$D$61:$D$106,MATCH(B345,設定!$B$61:$B$106,0)),"Y")</f>
        <v>Y</v>
      </c>
      <c r="CI345" s="34" t="str">
        <f aca="false">IFERROR(INDEX(設定!$D$20:$D$34,MATCH(A345,設定!$A$20:$A$34,0))&amp;"","")</f>
        <v>2026-09 月例</v>
      </c>
    </row>
    <row r="346" customFormat="false" ht="15" hidden="false" customHeight="false" outlineLevel="0" collapsed="false">
      <c r="A346" s="22" t="s">
        <v>214</v>
      </c>
      <c r="B346" s="23" t="s">
        <v>178</v>
      </c>
      <c r="C346" s="10" t="str">
        <f aca="false">IF(G346="","未受領",IF(G346="なし","報告なし",IF(AH346="○","起票済",IF(OR(AG346="○",F346="一致",F346="入金不要"),"入金確認済","受領済"))))</f>
        <v>未受領</v>
      </c>
      <c r="D346" s="10" t="str">
        <f aca="false">IF(OR(G346="",G346="なし"),"―",IF(CH346="N","対象外",IF(AND(I346="",J346="",K346=""),"標報未入力",IF(CD346&gt;=設定!$B$4,"要確認","問題なし"))))</f>
        <v>―</v>
      </c>
      <c r="E346" s="24" t="str">
        <f aca="false">IF(OR(G346="",G346="なし",CE346="",CF346=0),"―",IF(CF346=CE346,"前月同額",IF(CE346=0,"―",IF(ABS(CF346/CE346-1)&gt;=設定!$B$5,"変動大 "&amp;TEXT(CF346/CE346-1,"+0%;-0%"),"〇"))))</f>
        <v>―</v>
      </c>
      <c r="F346" s="10" t="str">
        <f aca="false">IF(OR(G346="",G346="なし"),"―",IF(CF346=0,"入金不要",IF(COUNT(Z346,AB346,AD346,AF346)=0,IF(AG346="○","手動確認","未入金"),IF(AND(N(Z346)=Y346,IF(AA346="",TRUE(),N(AB346)=AA346),IF(AC346="",TRUE(),N(AD346)=AC346),IF(AE346="",TRUE(),N(AF346)=AE346)),"一致","不一致"))))</f>
        <v>―</v>
      </c>
      <c r="G346" s="25"/>
      <c r="H346" s="26"/>
      <c r="I346" s="27"/>
      <c r="J346" s="27"/>
      <c r="K346" s="27"/>
      <c r="L346" s="27"/>
      <c r="M346" s="27"/>
      <c r="N346" s="27"/>
      <c r="O346" s="27"/>
      <c r="P346" s="27"/>
      <c r="Q346" s="27"/>
      <c r="R346" s="27"/>
      <c r="S346" s="27"/>
      <c r="T346" s="27"/>
      <c r="U346" s="27"/>
      <c r="V346" s="27"/>
      <c r="W346" s="10" t="str">
        <f aca="false">IFERROR(INDEX(設定!$E$61:$E$106,MATCH(B346,設定!$B$61:$B$106,0)),"合算")</f>
        <v>合算</v>
      </c>
      <c r="X346" s="28"/>
      <c r="Y346" s="29" t="str">
        <f aca="false">IF(OR(G346="",G346="なし"),"",IF(W346="合算",CF346,IF(W346="掛金・負担金別",(AU346+AV346+AZ346+BB346+BD346),SUM(AU346:AY346))))</f>
        <v/>
      </c>
      <c r="Z346" s="27"/>
      <c r="AA346" s="29" t="str">
        <f aca="false">IF(OR(G346="",G346="なし"),"",IF(W346="掛金・負担金別",(AW346+AX346+AY346+BA346+BC346+BE346),IF(W346="経理区分別",AZ346+BA346,"")))</f>
        <v/>
      </c>
      <c r="AB346" s="27"/>
      <c r="AC346" s="29" t="str">
        <f aca="false">IF(OR(G346="",G346="なし"),"",IF(W346="経理区分別",BB346+BC346,""))</f>
        <v/>
      </c>
      <c r="AD346" s="27"/>
      <c r="AE346" s="29" t="str">
        <f aca="false">IF(OR(G346="",G346="なし"),"",IF(W346="経理区分別",BD346+BE346,""))</f>
        <v/>
      </c>
      <c r="AF346" s="27"/>
      <c r="AG346" s="26"/>
      <c r="AH346" s="26"/>
      <c r="AI346" s="30"/>
      <c r="AJ346" s="31"/>
      <c r="AK346" s="31"/>
      <c r="AL346" s="31" t="n">
        <v>86010</v>
      </c>
      <c r="AM346" s="31" t="n">
        <v>7050</v>
      </c>
      <c r="AN346" s="31" t="n">
        <v>88</v>
      </c>
      <c r="AO346" s="31"/>
      <c r="AP346" s="31" t="n">
        <v>51803</v>
      </c>
      <c r="AQ346" s="31"/>
      <c r="AR346" s="31" t="n">
        <v>7426</v>
      </c>
      <c r="AS346" s="31"/>
      <c r="AT346" s="31" t="n">
        <v>1</v>
      </c>
      <c r="AU346" s="31" t="n">
        <f aca="false">IF($G346="",AJ346,L346)</f>
        <v>0</v>
      </c>
      <c r="AV346" s="31" t="n">
        <f aca="false">IF($G346="",AK346,M346)</f>
        <v>0</v>
      </c>
      <c r="AW346" s="31" t="n">
        <f aca="false">IF($G346="",AL346,N346)</f>
        <v>86010</v>
      </c>
      <c r="AX346" s="31" t="n">
        <f aca="false">IF($G346="",AM346,O346)</f>
        <v>7050</v>
      </c>
      <c r="AY346" s="31" t="n">
        <f aca="false">IF($G346="",AN346,P346)</f>
        <v>88</v>
      </c>
      <c r="AZ346" s="31" t="n">
        <f aca="false">IF($G346="",AO346,Q346)</f>
        <v>0</v>
      </c>
      <c r="BA346" s="31" t="n">
        <f aca="false">IF($G346="",AP346,R346)</f>
        <v>51803</v>
      </c>
      <c r="BB346" s="31" t="n">
        <f aca="false">IF($G346="",AQ346,S346)</f>
        <v>0</v>
      </c>
      <c r="BC346" s="31" t="n">
        <f aca="false">IF($G346="",AR346,T346)</f>
        <v>7426</v>
      </c>
      <c r="BD346" s="31" t="n">
        <f aca="false">IF($G346="",AS346,U346)</f>
        <v>0</v>
      </c>
      <c r="BE346" s="31" t="n">
        <f aca="false">IF($G346="",AT346,V346)</f>
        <v>1</v>
      </c>
      <c r="BF346" s="31" t="n">
        <f aca="false">ROUNDDOWN(I346*設定!$B$10/1000,0)+ROUNDDOWN(I346*設定!$B$11/1000,0)</f>
        <v>0</v>
      </c>
      <c r="BG346" s="31" t="n">
        <f aca="false">ROUNDDOWN(I346*設定!$C$10/1000,0)+ROUNDDOWN(I346*設定!$C$11/1000,0)+ROUNDDOWN(I346*設定!$C$12/1000,0)</f>
        <v>0</v>
      </c>
      <c r="BH346" s="31" t="n">
        <f aca="false">ROUNDDOWN(J346*設定!$B$13/1000,0)</f>
        <v>0</v>
      </c>
      <c r="BI346" s="31" t="n">
        <f aca="false">ROUNDDOWN(J346*設定!$C$13/1000,0)</f>
        <v>0</v>
      </c>
      <c r="BJ346" s="31" t="n">
        <f aca="false">ROUNDDOWN(K346*設定!$B$14/1000,0)</f>
        <v>0</v>
      </c>
      <c r="BK346" s="31" t="n">
        <f aca="false">ROUNDDOWN(K346*設定!$C$14/1000,0)</f>
        <v>0</v>
      </c>
      <c r="BL346" s="31" t="n">
        <f aca="false">ROUNDDOWN(J346*設定!$B$15/1000,0)</f>
        <v>0</v>
      </c>
      <c r="BM346" s="31" t="n">
        <f aca="false">ROUNDDOWN(J346*設定!$C$15/1000,0)</f>
        <v>0</v>
      </c>
      <c r="BN346" s="31" t="n">
        <f aca="false">L346+M346</f>
        <v>0</v>
      </c>
      <c r="BO346" s="31" t="n">
        <f aca="false">N346+O346+P346</f>
        <v>0</v>
      </c>
      <c r="BP346" s="31" t="n">
        <f aca="false">Q346</f>
        <v>0</v>
      </c>
      <c r="BQ346" s="31" t="n">
        <f aca="false">R346</f>
        <v>0</v>
      </c>
      <c r="BR346" s="31" t="n">
        <f aca="false">S346</f>
        <v>0</v>
      </c>
      <c r="BS346" s="31" t="n">
        <f aca="false">T346</f>
        <v>0</v>
      </c>
      <c r="BT346" s="31" t="n">
        <f aca="false">U346</f>
        <v>0</v>
      </c>
      <c r="BU346" s="31" t="n">
        <f aca="false">V346</f>
        <v>0</v>
      </c>
      <c r="BV346" s="32" t="n">
        <f aca="false">IF(BF346=0,IF(BN346=0,0,1),(BN346-BF346)/BF346)</f>
        <v>0</v>
      </c>
      <c r="BW346" s="32" t="n">
        <f aca="false">IF(BG346=0,IF(BO346=0,0,1),(BO346-BG346)/BG346)</f>
        <v>0</v>
      </c>
      <c r="BX346" s="32" t="n">
        <f aca="false">IF(BH346=0,IF(BP346=0,0,1),(BP346-BH346)/BH346)</f>
        <v>0</v>
      </c>
      <c r="BY346" s="32" t="n">
        <f aca="false">IF(BI346=0,IF(BQ346=0,0,1),(BQ346-BI346)/BI346)</f>
        <v>0</v>
      </c>
      <c r="BZ346" s="32" t="n">
        <f aca="false">IF(BJ346=0,IF(BR346=0,0,1),(BR346-BJ346)/BJ346)</f>
        <v>0</v>
      </c>
      <c r="CA346" s="32" t="n">
        <f aca="false">IF(BK346=0,IF(BS346=0,0,1),(BS346-BK346)/BK346)</f>
        <v>0</v>
      </c>
      <c r="CB346" s="32" t="n">
        <f aca="false">IF(BL346=0,IF(BT346=0,0,1),(BT346-BL346)/BL346)</f>
        <v>0</v>
      </c>
      <c r="CC346" s="32" t="n">
        <f aca="false">IF(BM346=0,IF(BU346=0,0,1),(BU346-BM346)/BM346)</f>
        <v>0</v>
      </c>
      <c r="CD346" s="32" t="n">
        <f aca="false">MAX(MAX(BV346:CC346),-MIN(BV346:CC346))</f>
        <v>-0</v>
      </c>
      <c r="CE346" s="31" t="n">
        <f aca="false">IF(CI346="","",SUMIFS($CF$7:$CF$696,$A$7:$A$696,CI346,$B$7:$B$696,B346))</f>
        <v>80023</v>
      </c>
      <c r="CF346" s="31" t="n">
        <f aca="false">SUM(AU346:BE346)</f>
        <v>152378</v>
      </c>
      <c r="CG346" s="33" t="str">
        <f aca="false">A346&amp;"|"&amp;B346</f>
        <v>2026-10 月例|ひろしま産業振興</v>
      </c>
      <c r="CH346" s="34" t="str">
        <f aca="false">IFERROR(INDEX(設定!$D$61:$D$106,MATCH(B346,設定!$B$61:$B$106,0)),"Y")</f>
        <v>Y</v>
      </c>
      <c r="CI346" s="34" t="str">
        <f aca="false">IFERROR(INDEX(設定!$D$20:$D$34,MATCH(A346,設定!$A$20:$A$34,0))&amp;"","")</f>
        <v>2026-09 月例</v>
      </c>
    </row>
    <row r="347" customFormat="false" ht="15" hidden="false" customHeight="false" outlineLevel="0" collapsed="false">
      <c r="A347" s="22" t="s">
        <v>214</v>
      </c>
      <c r="B347" s="23" t="s">
        <v>179</v>
      </c>
      <c r="C347" s="10" t="str">
        <f aca="false">IF(G347="","未受領",IF(G347="なし","報告なし",IF(AH347="○","起票済",IF(OR(AG347="○",F347="一致",F347="入金不要"),"入金確認済","受領済"))))</f>
        <v>未受領</v>
      </c>
      <c r="D347" s="10" t="str">
        <f aca="false">IF(OR(G347="",G347="なし"),"―",IF(CH347="N","対象外",IF(AND(I347="",J347="",K347=""),"標報未入力",IF(CD347&gt;=設定!$B$4,"要確認","問題なし"))))</f>
        <v>―</v>
      </c>
      <c r="E347" s="24" t="str">
        <f aca="false">IF(OR(G347="",G347="なし",CE347="",CF347=0),"―",IF(CF347=CE347,"前月同額",IF(CE347=0,"―",IF(ABS(CF347/CE347-1)&gt;=設定!$B$5,"変動大 "&amp;TEXT(CF347/CE347-1,"+0%;-0%"),"〇"))))</f>
        <v>―</v>
      </c>
      <c r="F347" s="10" t="str">
        <f aca="false">IF(OR(G347="",G347="なし"),"―",IF(CF347=0,"入金不要",IF(COUNT(Z347,AB347,AD347,AF347)=0,IF(AG347="○","手動確認","未入金"),IF(AND(N(Z347)=Y347,IF(AA347="",TRUE(),N(AB347)=AA347),IF(AC347="",TRUE(),N(AD347)=AC347),IF(AE347="",TRUE(),N(AF347)=AE347)),"一致","不一致"))))</f>
        <v>―</v>
      </c>
      <c r="G347" s="25"/>
      <c r="H347" s="26"/>
      <c r="I347" s="27"/>
      <c r="J347" s="27"/>
      <c r="K347" s="27"/>
      <c r="L347" s="27"/>
      <c r="M347" s="27"/>
      <c r="N347" s="27"/>
      <c r="O347" s="27"/>
      <c r="P347" s="27"/>
      <c r="Q347" s="27"/>
      <c r="R347" s="27"/>
      <c r="S347" s="27"/>
      <c r="T347" s="27"/>
      <c r="U347" s="27"/>
      <c r="V347" s="27"/>
      <c r="W347" s="10" t="str">
        <f aca="false">IFERROR(INDEX(設定!$E$61:$E$106,MATCH(B347,設定!$B$61:$B$106,0)),"合算")</f>
        <v>合算</v>
      </c>
      <c r="X347" s="28"/>
      <c r="Y347" s="29" t="str">
        <f aca="false">IF(OR(G347="",G347="なし"),"",IF(W347="合算",CF347,IF(W347="掛金・負担金別",(AU347+AV347+AZ347+BB347+BD347),SUM(AU347:AY347))))</f>
        <v/>
      </c>
      <c r="Z347" s="27"/>
      <c r="AA347" s="29" t="str">
        <f aca="false">IF(OR(G347="",G347="なし"),"",IF(W347="掛金・負担金別",(AW347+AX347+AY347+BA347+BC347+BE347),IF(W347="経理区分別",AZ347+BA347,"")))</f>
        <v/>
      </c>
      <c r="AB347" s="27"/>
      <c r="AC347" s="29" t="str">
        <f aca="false">IF(OR(G347="",G347="なし"),"",IF(W347="経理区分別",BB347+BC347,""))</f>
        <v/>
      </c>
      <c r="AD347" s="27"/>
      <c r="AE347" s="29" t="str">
        <f aca="false">IF(OR(G347="",G347="なし"),"",IF(W347="経理区分別",BD347+BE347,""))</f>
        <v/>
      </c>
      <c r="AF347" s="27"/>
      <c r="AG347" s="26"/>
      <c r="AH347" s="26"/>
      <c r="AI347" s="30"/>
      <c r="AJ347" s="31"/>
      <c r="AK347" s="31"/>
      <c r="AL347" s="31" t="n">
        <v>48495</v>
      </c>
      <c r="AM347" s="31" t="n">
        <v>3975</v>
      </c>
      <c r="AN347" s="31" t="n">
        <v>49</v>
      </c>
      <c r="AO347" s="31"/>
      <c r="AP347" s="31" t="n">
        <v>29208</v>
      </c>
      <c r="AQ347" s="31"/>
      <c r="AR347" s="31" t="n">
        <v>4187</v>
      </c>
      <c r="AS347" s="31"/>
      <c r="AT347" s="31" t="n">
        <v>1</v>
      </c>
      <c r="AU347" s="31" t="n">
        <f aca="false">IF($G347="",AJ347,L347)</f>
        <v>0</v>
      </c>
      <c r="AV347" s="31" t="n">
        <f aca="false">IF($G347="",AK347,M347)</f>
        <v>0</v>
      </c>
      <c r="AW347" s="31" t="n">
        <f aca="false">IF($G347="",AL347,N347)</f>
        <v>48495</v>
      </c>
      <c r="AX347" s="31" t="n">
        <f aca="false">IF($G347="",AM347,O347)</f>
        <v>3975</v>
      </c>
      <c r="AY347" s="31" t="n">
        <f aca="false">IF($G347="",AN347,P347)</f>
        <v>49</v>
      </c>
      <c r="AZ347" s="31" t="n">
        <f aca="false">IF($G347="",AO347,Q347)</f>
        <v>0</v>
      </c>
      <c r="BA347" s="31" t="n">
        <f aca="false">IF($G347="",AP347,R347)</f>
        <v>29208</v>
      </c>
      <c r="BB347" s="31" t="n">
        <f aca="false">IF($G347="",AQ347,S347)</f>
        <v>0</v>
      </c>
      <c r="BC347" s="31" t="n">
        <f aca="false">IF($G347="",AR347,T347)</f>
        <v>4187</v>
      </c>
      <c r="BD347" s="31" t="n">
        <f aca="false">IF($G347="",AS347,U347)</f>
        <v>0</v>
      </c>
      <c r="BE347" s="31" t="n">
        <f aca="false">IF($G347="",AT347,V347)</f>
        <v>1</v>
      </c>
      <c r="BF347" s="31" t="n">
        <f aca="false">ROUNDDOWN(I347*設定!$B$10/1000,0)+ROUNDDOWN(I347*設定!$B$11/1000,0)</f>
        <v>0</v>
      </c>
      <c r="BG347" s="31" t="n">
        <f aca="false">ROUNDDOWN(I347*設定!$C$10/1000,0)+ROUNDDOWN(I347*設定!$C$11/1000,0)+ROUNDDOWN(I347*設定!$C$12/1000,0)</f>
        <v>0</v>
      </c>
      <c r="BH347" s="31" t="n">
        <f aca="false">ROUNDDOWN(J347*設定!$B$13/1000,0)</f>
        <v>0</v>
      </c>
      <c r="BI347" s="31" t="n">
        <f aca="false">ROUNDDOWN(J347*設定!$C$13/1000,0)</f>
        <v>0</v>
      </c>
      <c r="BJ347" s="31" t="n">
        <f aca="false">ROUNDDOWN(K347*設定!$B$14/1000,0)</f>
        <v>0</v>
      </c>
      <c r="BK347" s="31" t="n">
        <f aca="false">ROUNDDOWN(K347*設定!$C$14/1000,0)</f>
        <v>0</v>
      </c>
      <c r="BL347" s="31" t="n">
        <f aca="false">ROUNDDOWN(J347*設定!$B$15/1000,0)</f>
        <v>0</v>
      </c>
      <c r="BM347" s="31" t="n">
        <f aca="false">ROUNDDOWN(J347*設定!$C$15/1000,0)</f>
        <v>0</v>
      </c>
      <c r="BN347" s="31" t="n">
        <f aca="false">L347+M347</f>
        <v>0</v>
      </c>
      <c r="BO347" s="31" t="n">
        <f aca="false">N347+O347+P347</f>
        <v>0</v>
      </c>
      <c r="BP347" s="31" t="n">
        <f aca="false">Q347</f>
        <v>0</v>
      </c>
      <c r="BQ347" s="31" t="n">
        <f aca="false">R347</f>
        <v>0</v>
      </c>
      <c r="BR347" s="31" t="n">
        <f aca="false">S347</f>
        <v>0</v>
      </c>
      <c r="BS347" s="31" t="n">
        <f aca="false">T347</f>
        <v>0</v>
      </c>
      <c r="BT347" s="31" t="n">
        <f aca="false">U347</f>
        <v>0</v>
      </c>
      <c r="BU347" s="31" t="n">
        <f aca="false">V347</f>
        <v>0</v>
      </c>
      <c r="BV347" s="32" t="n">
        <f aca="false">IF(BF347=0,IF(BN347=0,0,1),(BN347-BF347)/BF347)</f>
        <v>0</v>
      </c>
      <c r="BW347" s="32" t="n">
        <f aca="false">IF(BG347=0,IF(BO347=0,0,1),(BO347-BG347)/BG347)</f>
        <v>0</v>
      </c>
      <c r="BX347" s="32" t="n">
        <f aca="false">IF(BH347=0,IF(BP347=0,0,1),(BP347-BH347)/BH347)</f>
        <v>0</v>
      </c>
      <c r="BY347" s="32" t="n">
        <f aca="false">IF(BI347=0,IF(BQ347=0,0,1),(BQ347-BI347)/BI347)</f>
        <v>0</v>
      </c>
      <c r="BZ347" s="32" t="n">
        <f aca="false">IF(BJ347=0,IF(BR347=0,0,1),(BR347-BJ347)/BJ347)</f>
        <v>0</v>
      </c>
      <c r="CA347" s="32" t="n">
        <f aca="false">IF(BK347=0,IF(BS347=0,0,1),(BS347-BK347)/BK347)</f>
        <v>0</v>
      </c>
      <c r="CB347" s="32" t="n">
        <f aca="false">IF(BL347=0,IF(BT347=0,0,1),(BT347-BL347)/BL347)</f>
        <v>0</v>
      </c>
      <c r="CC347" s="32" t="n">
        <f aca="false">IF(BM347=0,IF(BU347=0,0,1),(BU347-BM347)/BM347)</f>
        <v>0</v>
      </c>
      <c r="CD347" s="32" t="n">
        <f aca="false">MAX(MAX(BV347:CC347),-MIN(BV347:CC347))</f>
        <v>-0</v>
      </c>
      <c r="CE347" s="31" t="n">
        <f aca="false">IF(CI347="","",SUMIFS($CF$7:$CF$696,$A$7:$A$696,CI347,$B$7:$B$696,B347))</f>
        <v>0</v>
      </c>
      <c r="CF347" s="31" t="n">
        <f aca="false">SUM(AU347:BE347)</f>
        <v>85915</v>
      </c>
      <c r="CG347" s="33" t="str">
        <f aca="false">A347&amp;"|"&amp;B347</f>
        <v>2026-10 月例|都市整備公社　市</v>
      </c>
      <c r="CH347" s="34" t="str">
        <f aca="false">IFERROR(INDEX(設定!$D$61:$D$106,MATCH(B347,設定!$B$61:$B$106,0)),"Y")</f>
        <v>Y</v>
      </c>
      <c r="CI347" s="34" t="str">
        <f aca="false">IFERROR(INDEX(設定!$D$20:$D$34,MATCH(A347,設定!$A$20:$A$34,0))&amp;"","")</f>
        <v>2026-09 月例</v>
      </c>
    </row>
    <row r="348" customFormat="false" ht="15" hidden="false" customHeight="false" outlineLevel="0" collapsed="false">
      <c r="A348" s="22" t="s">
        <v>214</v>
      </c>
      <c r="B348" s="23" t="s">
        <v>180</v>
      </c>
      <c r="C348" s="10" t="str">
        <f aca="false">IF(G348="","未受領",IF(G348="なし","報告なし",IF(AH348="○","起票済",IF(OR(AG348="○",F348="一致",F348="入金不要"),"入金確認済","受領済"))))</f>
        <v>未受領</v>
      </c>
      <c r="D348" s="10" t="str">
        <f aca="false">IF(OR(G348="",G348="なし"),"―",IF(CH348="N","対象外",IF(AND(I348="",J348="",K348=""),"標報未入力",IF(CD348&gt;=設定!$B$4,"要確認","問題なし"))))</f>
        <v>―</v>
      </c>
      <c r="E348" s="24" t="str">
        <f aca="false">IF(OR(G348="",G348="なし",CE348="",CF348=0),"―",IF(CF348=CE348,"前月同額",IF(CE348=0,"―",IF(ABS(CF348/CE348-1)&gt;=設定!$B$5,"変動大 "&amp;TEXT(CF348/CE348-1,"+0%;-0%"),"〇"))))</f>
        <v>―</v>
      </c>
      <c r="F348" s="10" t="str">
        <f aca="false">IF(OR(G348="",G348="なし"),"―",IF(CF348=0,"入金不要",IF(COUNT(Z348,AB348,AD348,AF348)=0,IF(AG348="○","手動確認","未入金"),IF(AND(N(Z348)=Y348,IF(AA348="",TRUE(),N(AB348)=AA348),IF(AC348="",TRUE(),N(AD348)=AC348),IF(AE348="",TRUE(),N(AF348)=AE348)),"一致","不一致"))))</f>
        <v>―</v>
      </c>
      <c r="G348" s="25"/>
      <c r="H348" s="26"/>
      <c r="I348" s="27"/>
      <c r="J348" s="27"/>
      <c r="K348" s="27"/>
      <c r="L348" s="27"/>
      <c r="M348" s="27"/>
      <c r="N348" s="27"/>
      <c r="O348" s="27"/>
      <c r="P348" s="27"/>
      <c r="Q348" s="27"/>
      <c r="R348" s="27"/>
      <c r="S348" s="27"/>
      <c r="T348" s="27"/>
      <c r="U348" s="27"/>
      <c r="V348" s="27"/>
      <c r="W348" s="10" t="str">
        <f aca="false">IFERROR(INDEX(設定!$E$61:$E$106,MATCH(B348,設定!$B$61:$B$106,0)),"合算")</f>
        <v>合算</v>
      </c>
      <c r="X348" s="28"/>
      <c r="Y348" s="29" t="str">
        <f aca="false">IF(OR(G348="",G348="なし"),"",IF(W348="合算",CF348,IF(W348="掛金・負担金別",(AU348+AV348+AZ348+BB348+BD348),SUM(AU348:AY348))))</f>
        <v/>
      </c>
      <c r="Z348" s="27"/>
      <c r="AA348" s="29" t="str">
        <f aca="false">IF(OR(G348="",G348="なし"),"",IF(W348="掛金・負担金別",(AW348+AX348+AY348+BA348+BC348+BE348),IF(W348="経理区分別",AZ348+BA348,"")))</f>
        <v/>
      </c>
      <c r="AB348" s="27"/>
      <c r="AC348" s="29" t="str">
        <f aca="false">IF(OR(G348="",G348="なし"),"",IF(W348="経理区分別",BB348+BC348,""))</f>
        <v/>
      </c>
      <c r="AD348" s="27"/>
      <c r="AE348" s="29" t="str">
        <f aca="false">IF(OR(G348="",G348="なし"),"",IF(W348="経理区分別",BD348+BE348,""))</f>
        <v/>
      </c>
      <c r="AF348" s="27"/>
      <c r="AG348" s="26"/>
      <c r="AH348" s="26"/>
      <c r="AI348" s="30"/>
      <c r="AJ348" s="31"/>
      <c r="AK348" s="31"/>
      <c r="AL348" s="31" t="n">
        <v>124440</v>
      </c>
      <c r="AM348" s="31" t="n">
        <v>10200</v>
      </c>
      <c r="AN348" s="31" t="n">
        <v>127</v>
      </c>
      <c r="AO348" s="31"/>
      <c r="AP348" s="31" t="n">
        <v>74949</v>
      </c>
      <c r="AQ348" s="31"/>
      <c r="AR348" s="31" t="n">
        <v>7031</v>
      </c>
      <c r="AS348" s="31"/>
      <c r="AT348" s="31" t="n">
        <v>1</v>
      </c>
      <c r="AU348" s="31" t="n">
        <f aca="false">IF($G348="",AJ348,L348)</f>
        <v>0</v>
      </c>
      <c r="AV348" s="31" t="n">
        <f aca="false">IF($G348="",AK348,M348)</f>
        <v>0</v>
      </c>
      <c r="AW348" s="31" t="n">
        <f aca="false">IF($G348="",AL348,N348)</f>
        <v>124440</v>
      </c>
      <c r="AX348" s="31" t="n">
        <f aca="false">IF($G348="",AM348,O348)</f>
        <v>10200</v>
      </c>
      <c r="AY348" s="31" t="n">
        <f aca="false">IF($G348="",AN348,P348)</f>
        <v>127</v>
      </c>
      <c r="AZ348" s="31" t="n">
        <f aca="false">IF($G348="",AO348,Q348)</f>
        <v>0</v>
      </c>
      <c r="BA348" s="31" t="n">
        <f aca="false">IF($G348="",AP348,R348)</f>
        <v>74949</v>
      </c>
      <c r="BB348" s="31" t="n">
        <f aca="false">IF($G348="",AQ348,S348)</f>
        <v>0</v>
      </c>
      <c r="BC348" s="31" t="n">
        <f aca="false">IF($G348="",AR348,T348)</f>
        <v>7031</v>
      </c>
      <c r="BD348" s="31" t="n">
        <f aca="false">IF($G348="",AS348,U348)</f>
        <v>0</v>
      </c>
      <c r="BE348" s="31" t="n">
        <f aca="false">IF($G348="",AT348,V348)</f>
        <v>1</v>
      </c>
      <c r="BF348" s="31" t="n">
        <f aca="false">ROUNDDOWN(I348*設定!$B$10/1000,0)+ROUNDDOWN(I348*設定!$B$11/1000,0)</f>
        <v>0</v>
      </c>
      <c r="BG348" s="31" t="n">
        <f aca="false">ROUNDDOWN(I348*設定!$C$10/1000,0)+ROUNDDOWN(I348*設定!$C$11/1000,0)+ROUNDDOWN(I348*設定!$C$12/1000,0)</f>
        <v>0</v>
      </c>
      <c r="BH348" s="31" t="n">
        <f aca="false">ROUNDDOWN(J348*設定!$B$13/1000,0)</f>
        <v>0</v>
      </c>
      <c r="BI348" s="31" t="n">
        <f aca="false">ROUNDDOWN(J348*設定!$C$13/1000,0)</f>
        <v>0</v>
      </c>
      <c r="BJ348" s="31" t="n">
        <f aca="false">ROUNDDOWN(K348*設定!$B$14/1000,0)</f>
        <v>0</v>
      </c>
      <c r="BK348" s="31" t="n">
        <f aca="false">ROUNDDOWN(K348*設定!$C$14/1000,0)</f>
        <v>0</v>
      </c>
      <c r="BL348" s="31" t="n">
        <f aca="false">ROUNDDOWN(J348*設定!$B$15/1000,0)</f>
        <v>0</v>
      </c>
      <c r="BM348" s="31" t="n">
        <f aca="false">ROUNDDOWN(J348*設定!$C$15/1000,0)</f>
        <v>0</v>
      </c>
      <c r="BN348" s="31" t="n">
        <f aca="false">L348+M348</f>
        <v>0</v>
      </c>
      <c r="BO348" s="31" t="n">
        <f aca="false">N348+O348+P348</f>
        <v>0</v>
      </c>
      <c r="BP348" s="31" t="n">
        <f aca="false">Q348</f>
        <v>0</v>
      </c>
      <c r="BQ348" s="31" t="n">
        <f aca="false">R348</f>
        <v>0</v>
      </c>
      <c r="BR348" s="31" t="n">
        <f aca="false">S348</f>
        <v>0</v>
      </c>
      <c r="BS348" s="31" t="n">
        <f aca="false">T348</f>
        <v>0</v>
      </c>
      <c r="BT348" s="31" t="n">
        <f aca="false">U348</f>
        <v>0</v>
      </c>
      <c r="BU348" s="31" t="n">
        <f aca="false">V348</f>
        <v>0</v>
      </c>
      <c r="BV348" s="32" t="n">
        <f aca="false">IF(BF348=0,IF(BN348=0,0,1),(BN348-BF348)/BF348)</f>
        <v>0</v>
      </c>
      <c r="BW348" s="32" t="n">
        <f aca="false">IF(BG348=0,IF(BO348=0,0,1),(BO348-BG348)/BG348)</f>
        <v>0</v>
      </c>
      <c r="BX348" s="32" t="n">
        <f aca="false">IF(BH348=0,IF(BP348=0,0,1),(BP348-BH348)/BH348)</f>
        <v>0</v>
      </c>
      <c r="BY348" s="32" t="n">
        <f aca="false">IF(BI348=0,IF(BQ348=0,0,1),(BQ348-BI348)/BI348)</f>
        <v>0</v>
      </c>
      <c r="BZ348" s="32" t="n">
        <f aca="false">IF(BJ348=0,IF(BR348=0,0,1),(BR348-BJ348)/BJ348)</f>
        <v>0</v>
      </c>
      <c r="CA348" s="32" t="n">
        <f aca="false">IF(BK348=0,IF(BS348=0,0,1),(BS348-BK348)/BK348)</f>
        <v>0</v>
      </c>
      <c r="CB348" s="32" t="n">
        <f aca="false">IF(BL348=0,IF(BT348=0,0,1),(BT348-BL348)/BL348)</f>
        <v>0</v>
      </c>
      <c r="CC348" s="32" t="n">
        <f aca="false">IF(BM348=0,IF(BU348=0,0,1),(BU348-BM348)/BM348)</f>
        <v>0</v>
      </c>
      <c r="CD348" s="32" t="n">
        <f aca="false">MAX(MAX(BV348:CC348),-MIN(BV348:CC348))</f>
        <v>-0</v>
      </c>
      <c r="CE348" s="31" t="n">
        <f aca="false">IF(CI348="","",SUMIFS($CF$7:$CF$696,$A$7:$A$696,CI348,$B$7:$B$696,B348))</f>
        <v>332385</v>
      </c>
      <c r="CF348" s="31" t="n">
        <f aca="false">SUM(AU348:BE348)</f>
        <v>216748</v>
      </c>
      <c r="CG348" s="33" t="str">
        <f aca="false">A348&amp;"|"&amp;B348</f>
        <v>2026-10 月例|都市整備公社　消防</v>
      </c>
      <c r="CH348" s="34" t="str">
        <f aca="false">IFERROR(INDEX(設定!$D$61:$D$106,MATCH(B348,設定!$B$61:$B$106,0)),"Y")</f>
        <v>Y</v>
      </c>
      <c r="CI348" s="34" t="str">
        <f aca="false">IFERROR(INDEX(設定!$D$20:$D$34,MATCH(A348,設定!$A$20:$A$34,0))&amp;"","")</f>
        <v>2026-09 月例</v>
      </c>
    </row>
    <row r="349" customFormat="false" ht="15" hidden="false" customHeight="false" outlineLevel="0" collapsed="false">
      <c r="A349" s="22" t="s">
        <v>214</v>
      </c>
      <c r="B349" s="23" t="s">
        <v>181</v>
      </c>
      <c r="C349" s="10" t="str">
        <f aca="false">IF(G349="","未受領",IF(G349="なし","報告なし",IF(AH349="○","起票済",IF(OR(AG349="○",F349="一致",F349="入金不要"),"入金確認済","受領済"))))</f>
        <v>受領済</v>
      </c>
      <c r="D349" s="10" t="str">
        <f aca="false">IF(OR(G349="",G349="なし"),"―",IF(CH349="N","対象外",IF(AND(I349="",J349="",K349=""),"標報未入力",IF(CD349&gt;=設定!$B$4,"要確認","問題なし"))))</f>
        <v>標報未入力</v>
      </c>
      <c r="E349" s="24" t="str">
        <f aca="false">IF(OR(G349="",G349="なし",CE349="",CF349=0),"―",IF(CF349=CE349,"前月同額",IF(CE349=0,"―",IF(ABS(CF349/CE349-1)&gt;=設定!$B$5,"変動大 "&amp;TEXT(CF349/CE349-1,"+0%;-0%"),"〇"))))</f>
        <v>前月同額</v>
      </c>
      <c r="F349" s="10" t="str">
        <f aca="false">IF(OR(G349="",G349="なし"),"―",IF(CF349=0,"入金不要",IF(COUNT(Z349,AB349,AD349,AF349)=0,IF(AG349="○","手動確認","未入金"),IF(AND(N(Z349)=Y349,IF(AA349="",TRUE(),N(AB349)=AA349),IF(AC349="",TRUE(),N(AD349)=AC349),IF(AE349="",TRUE(),N(AF349)=AE349)),"一致","不一致"))))</f>
        <v>未入金</v>
      </c>
      <c r="G349" s="25" t="s">
        <v>159</v>
      </c>
      <c r="H349" s="26"/>
      <c r="I349" s="27"/>
      <c r="J349" s="27"/>
      <c r="K349" s="27"/>
      <c r="L349" s="27" t="n">
        <v>247050</v>
      </c>
      <c r="M349" s="27" t="n">
        <v>20250</v>
      </c>
      <c r="N349" s="27" t="n">
        <v>247050</v>
      </c>
      <c r="O349" s="27" t="n">
        <v>20250</v>
      </c>
      <c r="P349" s="27" t="n">
        <v>234</v>
      </c>
      <c r="Q349" s="27" t="n">
        <v>140021</v>
      </c>
      <c r="R349" s="27" t="n">
        <v>140157</v>
      </c>
      <c r="S349" s="27" t="n">
        <v>10270</v>
      </c>
      <c r="T349" s="27" t="n">
        <v>10270</v>
      </c>
      <c r="U349" s="27" t="n">
        <v>3104</v>
      </c>
      <c r="V349" s="27" t="n">
        <v>3105</v>
      </c>
      <c r="W349" s="10" t="str">
        <f aca="false">IFERROR(INDEX(設定!$E$61:$E$106,MATCH(B349,設定!$B$61:$B$106,0)),"合算")</f>
        <v>合算</v>
      </c>
      <c r="X349" s="28"/>
      <c r="Y349" s="29" t="n">
        <f aca="false">IF(OR(G349="",G349="なし"),"",IF(W349="合算",CF349,IF(W349="掛金・負担金別",(AU349+AV349+AZ349+BB349+BD349),SUM(AU349:AY349))))</f>
        <v>841761</v>
      </c>
      <c r="Z349" s="27"/>
      <c r="AA349" s="29" t="str">
        <f aca="false">IF(OR(G349="",G349="なし"),"",IF(W349="掛金・負担金別",(AW349+AX349+AY349+BA349+BC349+BE349),IF(W349="経理区分別",AZ349+BA349,"")))</f>
        <v/>
      </c>
      <c r="AB349" s="27"/>
      <c r="AC349" s="29" t="str">
        <f aca="false">IF(OR(G349="",G349="なし"),"",IF(W349="経理区分別",BB349+BC349,""))</f>
        <v/>
      </c>
      <c r="AD349" s="27"/>
      <c r="AE349" s="29" t="str">
        <f aca="false">IF(OR(G349="",G349="なし"),"",IF(W349="経理区分別",BD349+BE349,""))</f>
        <v/>
      </c>
      <c r="AF349" s="27"/>
      <c r="AG349" s="26"/>
      <c r="AH349" s="26"/>
      <c r="AI349" s="30"/>
      <c r="AJ349" s="31"/>
      <c r="AK349" s="31"/>
      <c r="AL349" s="31"/>
      <c r="AM349" s="31"/>
      <c r="AN349" s="31"/>
      <c r="AO349" s="31"/>
      <c r="AP349" s="31"/>
      <c r="AQ349" s="31"/>
      <c r="AR349" s="31"/>
      <c r="AS349" s="31"/>
      <c r="AT349" s="31"/>
      <c r="AU349" s="31" t="n">
        <f aca="false">IF($G349="",AJ349,L349)</f>
        <v>247050</v>
      </c>
      <c r="AV349" s="31" t="n">
        <f aca="false">IF($G349="",AK349,M349)</f>
        <v>20250</v>
      </c>
      <c r="AW349" s="31" t="n">
        <f aca="false">IF($G349="",AL349,N349)</f>
        <v>247050</v>
      </c>
      <c r="AX349" s="31" t="n">
        <f aca="false">IF($G349="",AM349,O349)</f>
        <v>20250</v>
      </c>
      <c r="AY349" s="31" t="n">
        <f aca="false">IF($G349="",AN349,P349)</f>
        <v>234</v>
      </c>
      <c r="AZ349" s="31" t="n">
        <f aca="false">IF($G349="",AO349,Q349)</f>
        <v>140021</v>
      </c>
      <c r="BA349" s="31" t="n">
        <f aca="false">IF($G349="",AP349,R349)</f>
        <v>140157</v>
      </c>
      <c r="BB349" s="31" t="n">
        <f aca="false">IF($G349="",AQ349,S349)</f>
        <v>10270</v>
      </c>
      <c r="BC349" s="31" t="n">
        <f aca="false">IF($G349="",AR349,T349)</f>
        <v>10270</v>
      </c>
      <c r="BD349" s="31" t="n">
        <f aca="false">IF($G349="",AS349,U349)</f>
        <v>3104</v>
      </c>
      <c r="BE349" s="31" t="n">
        <f aca="false">IF($G349="",AT349,V349)</f>
        <v>3105</v>
      </c>
      <c r="BF349" s="31" t="n">
        <f aca="false">ROUNDDOWN(I349*設定!$B$10/1000,0)+ROUNDDOWN(I349*設定!$B$11/1000,0)</f>
        <v>0</v>
      </c>
      <c r="BG349" s="31" t="n">
        <f aca="false">ROUNDDOWN(I349*設定!$C$10/1000,0)+ROUNDDOWN(I349*設定!$C$11/1000,0)+ROUNDDOWN(I349*設定!$C$12/1000,0)</f>
        <v>0</v>
      </c>
      <c r="BH349" s="31" t="n">
        <f aca="false">ROUNDDOWN(J349*設定!$B$13/1000,0)</f>
        <v>0</v>
      </c>
      <c r="BI349" s="31" t="n">
        <f aca="false">ROUNDDOWN(J349*設定!$C$13/1000,0)</f>
        <v>0</v>
      </c>
      <c r="BJ349" s="31" t="n">
        <f aca="false">ROUNDDOWN(K349*設定!$B$14/1000,0)</f>
        <v>0</v>
      </c>
      <c r="BK349" s="31" t="n">
        <f aca="false">ROUNDDOWN(K349*設定!$C$14/1000,0)</f>
        <v>0</v>
      </c>
      <c r="BL349" s="31" t="n">
        <f aca="false">ROUNDDOWN(J349*設定!$B$15/1000,0)</f>
        <v>0</v>
      </c>
      <c r="BM349" s="31" t="n">
        <f aca="false">ROUNDDOWN(J349*設定!$C$15/1000,0)</f>
        <v>0</v>
      </c>
      <c r="BN349" s="31" t="n">
        <f aca="false">L349+M349</f>
        <v>267300</v>
      </c>
      <c r="BO349" s="31" t="n">
        <f aca="false">N349+O349+P349</f>
        <v>267534</v>
      </c>
      <c r="BP349" s="31" t="n">
        <f aca="false">Q349</f>
        <v>140021</v>
      </c>
      <c r="BQ349" s="31" t="n">
        <f aca="false">R349</f>
        <v>140157</v>
      </c>
      <c r="BR349" s="31" t="n">
        <f aca="false">S349</f>
        <v>10270</v>
      </c>
      <c r="BS349" s="31" t="n">
        <f aca="false">T349</f>
        <v>10270</v>
      </c>
      <c r="BT349" s="31" t="n">
        <f aca="false">U349</f>
        <v>3104</v>
      </c>
      <c r="BU349" s="31" t="n">
        <f aca="false">V349</f>
        <v>3105</v>
      </c>
      <c r="BV349" s="32" t="n">
        <f aca="false">IF(BF349=0,IF(BN349=0,0,1),(BN349-BF349)/BF349)</f>
        <v>1</v>
      </c>
      <c r="BW349" s="32" t="n">
        <f aca="false">IF(BG349=0,IF(BO349=0,0,1),(BO349-BG349)/BG349)</f>
        <v>1</v>
      </c>
      <c r="BX349" s="32" t="n">
        <f aca="false">IF(BH349=0,IF(BP349=0,0,1),(BP349-BH349)/BH349)</f>
        <v>1</v>
      </c>
      <c r="BY349" s="32" t="n">
        <f aca="false">IF(BI349=0,IF(BQ349=0,0,1),(BQ349-BI349)/BI349)</f>
        <v>1</v>
      </c>
      <c r="BZ349" s="32" t="n">
        <f aca="false">IF(BJ349=0,IF(BR349=0,0,1),(BR349-BJ349)/BJ349)</f>
        <v>1</v>
      </c>
      <c r="CA349" s="32" t="n">
        <f aca="false">IF(BK349=0,IF(BS349=0,0,1),(BS349-BK349)/BK349)</f>
        <v>1</v>
      </c>
      <c r="CB349" s="32" t="n">
        <f aca="false">IF(BL349=0,IF(BT349=0,0,1),(BT349-BL349)/BL349)</f>
        <v>1</v>
      </c>
      <c r="CC349" s="32" t="n">
        <f aca="false">IF(BM349=0,IF(BU349=0,0,1),(BU349-BM349)/BM349)</f>
        <v>1</v>
      </c>
      <c r="CD349" s="32" t="n">
        <f aca="false">MAX(MAX(BV349:CC349),-MIN(BV349:CC349))</f>
        <v>1</v>
      </c>
      <c r="CE349" s="31" t="n">
        <f aca="false">IF(CI349="","",SUMIFS($CF$7:$CF$696,$A$7:$A$696,CI349,$B$7:$B$696,B349))</f>
        <v>841761</v>
      </c>
      <c r="CF349" s="31" t="n">
        <f aca="false">SUM(AU349:BE349)</f>
        <v>841761</v>
      </c>
      <c r="CG349" s="33" t="str">
        <f aca="false">A349&amp;"|"&amp;B349</f>
        <v>2026-10 月例|日本下水道事業団</v>
      </c>
      <c r="CH349" s="34" t="str">
        <f aca="false">IFERROR(INDEX(設定!$D$61:$D$106,MATCH(B349,設定!$B$61:$B$106,0)),"Y")</f>
        <v>Y</v>
      </c>
      <c r="CI349" s="34" t="str">
        <f aca="false">IFERROR(INDEX(設定!$D$20:$D$34,MATCH(A349,設定!$A$20:$A$34,0))&amp;"","")</f>
        <v>2026-09 月例</v>
      </c>
    </row>
    <row r="350" customFormat="false" ht="15" hidden="false" customHeight="false" outlineLevel="0" collapsed="false">
      <c r="A350" s="22" t="s">
        <v>214</v>
      </c>
      <c r="B350" s="23" t="s">
        <v>182</v>
      </c>
      <c r="C350" s="10" t="str">
        <f aca="false">IF(G350="","未受領",IF(G350="なし","報告なし",IF(AH350="○","起票済",IF(OR(AG350="○",F350="一致",F350="入金不要"),"入金確認済","受領済"))))</f>
        <v>受領済</v>
      </c>
      <c r="D350" s="10" t="str">
        <f aca="false">IF(OR(G350="",G350="なし"),"―",IF(CH350="N","対象外",IF(AND(I350="",J350="",K350=""),"標報未入力",IF(CD350&gt;=設定!$B$4,"要確認","問題なし"))))</f>
        <v>標報未入力</v>
      </c>
      <c r="E350" s="24" t="str">
        <f aca="false">IF(OR(G350="",G350="なし",CE350="",CF350=0),"―",IF(CF350=CE350,"前月同額",IF(CE350=0,"―",IF(ABS(CF350/CE350-1)&gt;=設定!$B$5,"変動大 "&amp;TEXT(CF350/CE350-1,"+0%;-0%"),"〇"))))</f>
        <v>前月同額</v>
      </c>
      <c r="F350" s="10" t="str">
        <f aca="false">IF(OR(G350="",G350="なし"),"―",IF(CF350=0,"入金不要",IF(COUNT(Z350,AB350,AD350,AF350)=0,IF(AG350="○","手動確認","未入金"),IF(AND(N(Z350)=Y350,IF(AA350="",TRUE(),N(AB350)=AA350),IF(AC350="",TRUE(),N(AD350)=AC350),IF(AE350="",TRUE(),N(AF350)=AE350)),"一致","不一致"))))</f>
        <v>未入金</v>
      </c>
      <c r="G350" s="25" t="s">
        <v>159</v>
      </c>
      <c r="H350" s="26"/>
      <c r="I350" s="27"/>
      <c r="J350" s="27"/>
      <c r="K350" s="27"/>
      <c r="L350" s="27" t="n">
        <v>43005</v>
      </c>
      <c r="M350" s="27" t="n">
        <v>3525</v>
      </c>
      <c r="N350" s="27" t="n">
        <v>43005</v>
      </c>
      <c r="O350" s="27" t="n">
        <v>3525</v>
      </c>
      <c r="P350" s="27" t="n">
        <v>40</v>
      </c>
      <c r="Q350" s="27" t="n">
        <v>24374</v>
      </c>
      <c r="R350" s="27" t="n">
        <v>24397</v>
      </c>
      <c r="S350" s="27" t="n">
        <v>0</v>
      </c>
      <c r="T350" s="27" t="n">
        <v>0</v>
      </c>
      <c r="U350" s="27" t="n">
        <v>540</v>
      </c>
      <c r="V350" s="27" t="n">
        <v>540</v>
      </c>
      <c r="W350" s="10" t="str">
        <f aca="false">IFERROR(INDEX(設定!$E$61:$E$106,MATCH(B350,設定!$B$61:$B$106,0)),"合算")</f>
        <v>合算</v>
      </c>
      <c r="X350" s="28"/>
      <c r="Y350" s="29" t="n">
        <f aca="false">IF(OR(G350="",G350="なし"),"",IF(W350="合算",CF350,IF(W350="掛金・負担金別",(AU350+AV350+AZ350+BB350+BD350),SUM(AU350:AY350))))</f>
        <v>142951</v>
      </c>
      <c r="Z350" s="27"/>
      <c r="AA350" s="29" t="str">
        <f aca="false">IF(OR(G350="",G350="なし"),"",IF(W350="掛金・負担金別",(AW350+AX350+AY350+BA350+BC350+BE350),IF(W350="経理区分別",AZ350+BA350,"")))</f>
        <v/>
      </c>
      <c r="AB350" s="27"/>
      <c r="AC350" s="29" t="str">
        <f aca="false">IF(OR(G350="",G350="なし"),"",IF(W350="経理区分別",BB350+BC350,""))</f>
        <v/>
      </c>
      <c r="AD350" s="27"/>
      <c r="AE350" s="29" t="str">
        <f aca="false">IF(OR(G350="",G350="なし"),"",IF(W350="経理区分別",BD350+BE350,""))</f>
        <v/>
      </c>
      <c r="AF350" s="27"/>
      <c r="AG350" s="26"/>
      <c r="AH350" s="26"/>
      <c r="AI350" s="30"/>
      <c r="AJ350" s="31"/>
      <c r="AK350" s="31"/>
      <c r="AL350" s="31"/>
      <c r="AM350" s="31"/>
      <c r="AN350" s="31"/>
      <c r="AO350" s="31"/>
      <c r="AP350" s="31"/>
      <c r="AQ350" s="31"/>
      <c r="AR350" s="31"/>
      <c r="AS350" s="31"/>
      <c r="AT350" s="31"/>
      <c r="AU350" s="31" t="n">
        <f aca="false">IF($G350="",AJ350,L350)</f>
        <v>43005</v>
      </c>
      <c r="AV350" s="31" t="n">
        <f aca="false">IF($G350="",AK350,M350)</f>
        <v>3525</v>
      </c>
      <c r="AW350" s="31" t="n">
        <f aca="false">IF($G350="",AL350,N350)</f>
        <v>43005</v>
      </c>
      <c r="AX350" s="31" t="n">
        <f aca="false">IF($G350="",AM350,O350)</f>
        <v>3525</v>
      </c>
      <c r="AY350" s="31" t="n">
        <f aca="false">IF($G350="",AN350,P350)</f>
        <v>40</v>
      </c>
      <c r="AZ350" s="31" t="n">
        <f aca="false">IF($G350="",AO350,Q350)</f>
        <v>24374</v>
      </c>
      <c r="BA350" s="31" t="n">
        <f aca="false">IF($G350="",AP350,R350)</f>
        <v>24397</v>
      </c>
      <c r="BB350" s="31" t="n">
        <f aca="false">IF($G350="",AQ350,S350)</f>
        <v>0</v>
      </c>
      <c r="BC350" s="31" t="n">
        <f aca="false">IF($G350="",AR350,T350)</f>
        <v>0</v>
      </c>
      <c r="BD350" s="31" t="n">
        <f aca="false">IF($G350="",AS350,U350)</f>
        <v>540</v>
      </c>
      <c r="BE350" s="31" t="n">
        <f aca="false">IF($G350="",AT350,V350)</f>
        <v>540</v>
      </c>
      <c r="BF350" s="31" t="n">
        <f aca="false">ROUNDDOWN(I350*設定!$B$10/1000,0)+ROUNDDOWN(I350*設定!$B$11/1000,0)</f>
        <v>0</v>
      </c>
      <c r="BG350" s="31" t="n">
        <f aca="false">ROUNDDOWN(I350*設定!$C$10/1000,0)+ROUNDDOWN(I350*設定!$C$11/1000,0)+ROUNDDOWN(I350*設定!$C$12/1000,0)</f>
        <v>0</v>
      </c>
      <c r="BH350" s="31" t="n">
        <f aca="false">ROUNDDOWN(J350*設定!$B$13/1000,0)</f>
        <v>0</v>
      </c>
      <c r="BI350" s="31" t="n">
        <f aca="false">ROUNDDOWN(J350*設定!$C$13/1000,0)</f>
        <v>0</v>
      </c>
      <c r="BJ350" s="31" t="n">
        <f aca="false">ROUNDDOWN(K350*設定!$B$14/1000,0)</f>
        <v>0</v>
      </c>
      <c r="BK350" s="31" t="n">
        <f aca="false">ROUNDDOWN(K350*設定!$C$14/1000,0)</f>
        <v>0</v>
      </c>
      <c r="BL350" s="31" t="n">
        <f aca="false">ROUNDDOWN(J350*設定!$B$15/1000,0)</f>
        <v>0</v>
      </c>
      <c r="BM350" s="31" t="n">
        <f aca="false">ROUNDDOWN(J350*設定!$C$15/1000,0)</f>
        <v>0</v>
      </c>
      <c r="BN350" s="31" t="n">
        <f aca="false">L350+M350</f>
        <v>46530</v>
      </c>
      <c r="BO350" s="31" t="n">
        <f aca="false">N350+O350+P350</f>
        <v>46570</v>
      </c>
      <c r="BP350" s="31" t="n">
        <f aca="false">Q350</f>
        <v>24374</v>
      </c>
      <c r="BQ350" s="31" t="n">
        <f aca="false">R350</f>
        <v>24397</v>
      </c>
      <c r="BR350" s="31" t="n">
        <f aca="false">S350</f>
        <v>0</v>
      </c>
      <c r="BS350" s="31" t="n">
        <f aca="false">T350</f>
        <v>0</v>
      </c>
      <c r="BT350" s="31" t="n">
        <f aca="false">U350</f>
        <v>540</v>
      </c>
      <c r="BU350" s="31" t="n">
        <f aca="false">V350</f>
        <v>540</v>
      </c>
      <c r="BV350" s="32" t="n">
        <f aca="false">IF(BF350=0,IF(BN350=0,0,1),(BN350-BF350)/BF350)</f>
        <v>1</v>
      </c>
      <c r="BW350" s="32" t="n">
        <f aca="false">IF(BG350=0,IF(BO350=0,0,1),(BO350-BG350)/BG350)</f>
        <v>1</v>
      </c>
      <c r="BX350" s="32" t="n">
        <f aca="false">IF(BH350=0,IF(BP350=0,0,1),(BP350-BH350)/BH350)</f>
        <v>1</v>
      </c>
      <c r="BY350" s="32" t="n">
        <f aca="false">IF(BI350=0,IF(BQ350=0,0,1),(BQ350-BI350)/BI350)</f>
        <v>1</v>
      </c>
      <c r="BZ350" s="32" t="n">
        <f aca="false">IF(BJ350=0,IF(BR350=0,0,1),(BR350-BJ350)/BJ350)</f>
        <v>0</v>
      </c>
      <c r="CA350" s="32" t="n">
        <f aca="false">IF(BK350=0,IF(BS350=0,0,1),(BS350-BK350)/BK350)</f>
        <v>0</v>
      </c>
      <c r="CB350" s="32" t="n">
        <f aca="false">IF(BL350=0,IF(BT350=0,0,1),(BT350-BL350)/BL350)</f>
        <v>1</v>
      </c>
      <c r="CC350" s="32" t="n">
        <f aca="false">IF(BM350=0,IF(BU350=0,0,1),(BU350-BM350)/BM350)</f>
        <v>1</v>
      </c>
      <c r="CD350" s="32" t="n">
        <f aca="false">MAX(MAX(BV350:CC350),-MIN(BV350:CC350))</f>
        <v>1</v>
      </c>
      <c r="CE350" s="31" t="n">
        <f aca="false">IF(CI350="","",SUMIFS($CF$7:$CF$696,$A$7:$A$696,CI350,$B$7:$B$696,B350))</f>
        <v>142951</v>
      </c>
      <c r="CF350" s="31" t="n">
        <f aca="false">SUM(AU350:BE350)</f>
        <v>142951</v>
      </c>
      <c r="CG350" s="33" t="str">
        <f aca="false">A350&amp;"|"&amp;B350</f>
        <v>2026-10 月例|地方公務員災害補償基金本部</v>
      </c>
      <c r="CH350" s="34" t="str">
        <f aca="false">IFERROR(INDEX(設定!$D$61:$D$106,MATCH(B350,設定!$B$61:$B$106,0)),"Y")</f>
        <v>Y</v>
      </c>
      <c r="CI350" s="34" t="str">
        <f aca="false">IFERROR(INDEX(設定!$D$20:$D$34,MATCH(A350,設定!$A$20:$A$34,0))&amp;"","")</f>
        <v>2026-09 月例</v>
      </c>
    </row>
    <row r="351" customFormat="false" ht="15" hidden="false" customHeight="false" outlineLevel="0" collapsed="false">
      <c r="A351" s="22" t="s">
        <v>214</v>
      </c>
      <c r="B351" s="23" t="s">
        <v>183</v>
      </c>
      <c r="C351" s="10" t="str">
        <f aca="false">IF(G351="","未受領",IF(G351="なし","報告なし",IF(AH351="○","起票済",IF(OR(AG351="○",F351="一致",F351="入金不要"),"入金確認済","受領済"))))</f>
        <v>未受領</v>
      </c>
      <c r="D351" s="10" t="str">
        <f aca="false">IF(OR(G351="",G351="なし"),"―",IF(CH351="N","対象外",IF(AND(I351="",J351="",K351=""),"標報未入力",IF(CD351&gt;=設定!$B$4,"要確認","問題なし"))))</f>
        <v>―</v>
      </c>
      <c r="E351" s="24" t="str">
        <f aca="false">IF(OR(G351="",G351="なし",CE351="",CF351=0),"―",IF(CF351=CE351,"前月同額",IF(CE351=0,"―",IF(ABS(CF351/CE351-1)&gt;=設定!$B$5,"変動大 "&amp;TEXT(CF351/CE351-1,"+0%;-0%"),"〇"))))</f>
        <v>―</v>
      </c>
      <c r="F351" s="10" t="str">
        <f aca="false">IF(OR(G351="",G351="なし"),"―",IF(CF351=0,"入金不要",IF(COUNT(Z351,AB351,AD351,AF351)=0,IF(AG351="○","手動確認","未入金"),IF(AND(N(Z351)=Y351,IF(AA351="",TRUE(),N(AB351)=AA351),IF(AC351="",TRUE(),N(AD351)=AC351),IF(AE351="",TRUE(),N(AF351)=AE351)),"一致","不一致"))))</f>
        <v>―</v>
      </c>
      <c r="G351" s="25"/>
      <c r="H351" s="26"/>
      <c r="I351" s="27"/>
      <c r="J351" s="27"/>
      <c r="K351" s="27"/>
      <c r="L351" s="27"/>
      <c r="M351" s="27"/>
      <c r="N351" s="27"/>
      <c r="O351" s="27"/>
      <c r="P351" s="27"/>
      <c r="Q351" s="27"/>
      <c r="R351" s="27"/>
      <c r="S351" s="27"/>
      <c r="T351" s="27"/>
      <c r="U351" s="27"/>
      <c r="V351" s="27"/>
      <c r="W351" s="10" t="str">
        <f aca="false">IFERROR(INDEX(設定!$E$61:$E$106,MATCH(B351,設定!$B$61:$B$106,0)),"合算")</f>
        <v>合算</v>
      </c>
      <c r="X351" s="28"/>
      <c r="Y351" s="29" t="str">
        <f aca="false">IF(OR(G351="",G351="なし"),"",IF(W351="合算",CF351,IF(W351="掛金・負担金別",(AU351+AV351+AZ351+BB351+BD351),SUM(AU351:AY351))))</f>
        <v/>
      </c>
      <c r="Z351" s="27"/>
      <c r="AA351" s="29" t="str">
        <f aca="false">IF(OR(G351="",G351="なし"),"",IF(W351="掛金・負担金別",(AW351+AX351+AY351+BA351+BC351+BE351),IF(W351="経理区分別",AZ351+BA351,"")))</f>
        <v/>
      </c>
      <c r="AB351" s="27"/>
      <c r="AC351" s="29" t="str">
        <f aca="false">IF(OR(G351="",G351="なし"),"",IF(W351="経理区分別",BB351+BC351,""))</f>
        <v/>
      </c>
      <c r="AD351" s="27"/>
      <c r="AE351" s="29" t="str">
        <f aca="false">IF(OR(G351="",G351="なし"),"",IF(W351="経理区分別",BD351+BE351,""))</f>
        <v/>
      </c>
      <c r="AF351" s="27"/>
      <c r="AG351" s="26"/>
      <c r="AH351" s="26"/>
      <c r="AI351" s="30"/>
      <c r="AJ351" s="31" t="n">
        <v>102480</v>
      </c>
      <c r="AK351" s="31" t="n">
        <v>8400</v>
      </c>
      <c r="AL351" s="31" t="n">
        <v>102480</v>
      </c>
      <c r="AM351" s="31" t="n">
        <v>8400</v>
      </c>
      <c r="AN351" s="31" t="n">
        <v>105</v>
      </c>
      <c r="AO351" s="31" t="n">
        <v>61610</v>
      </c>
      <c r="AP351" s="31" t="n">
        <v>61723</v>
      </c>
      <c r="AQ351" s="31" t="n">
        <v>4661</v>
      </c>
      <c r="AR351" s="31" t="n">
        <v>4661</v>
      </c>
      <c r="AS351" s="31" t="n">
        <v>1</v>
      </c>
      <c r="AT351" s="31" t="n">
        <v>1</v>
      </c>
      <c r="AU351" s="31" t="n">
        <f aca="false">IF($G351="",AJ351,L351)</f>
        <v>102480</v>
      </c>
      <c r="AV351" s="31" t="n">
        <f aca="false">IF($G351="",AK351,M351)</f>
        <v>8400</v>
      </c>
      <c r="AW351" s="31" t="n">
        <f aca="false">IF($G351="",AL351,N351)</f>
        <v>102480</v>
      </c>
      <c r="AX351" s="31" t="n">
        <f aca="false">IF($G351="",AM351,O351)</f>
        <v>8400</v>
      </c>
      <c r="AY351" s="31" t="n">
        <f aca="false">IF($G351="",AN351,P351)</f>
        <v>105</v>
      </c>
      <c r="AZ351" s="31" t="n">
        <f aca="false">IF($G351="",AO351,Q351)</f>
        <v>61610</v>
      </c>
      <c r="BA351" s="31" t="n">
        <f aca="false">IF($G351="",AP351,R351)</f>
        <v>61723</v>
      </c>
      <c r="BB351" s="31" t="n">
        <f aca="false">IF($G351="",AQ351,S351)</f>
        <v>4661</v>
      </c>
      <c r="BC351" s="31" t="n">
        <f aca="false">IF($G351="",AR351,T351)</f>
        <v>4661</v>
      </c>
      <c r="BD351" s="31" t="n">
        <f aca="false">IF($G351="",AS351,U351)</f>
        <v>1</v>
      </c>
      <c r="BE351" s="31" t="n">
        <f aca="false">IF($G351="",AT351,V351)</f>
        <v>1</v>
      </c>
      <c r="BF351" s="31" t="n">
        <f aca="false">ROUNDDOWN(I351*設定!$B$10/1000,0)+ROUNDDOWN(I351*設定!$B$11/1000,0)</f>
        <v>0</v>
      </c>
      <c r="BG351" s="31" t="n">
        <f aca="false">ROUNDDOWN(I351*設定!$C$10/1000,0)+ROUNDDOWN(I351*設定!$C$11/1000,0)+ROUNDDOWN(I351*設定!$C$12/1000,0)</f>
        <v>0</v>
      </c>
      <c r="BH351" s="31" t="n">
        <f aca="false">ROUNDDOWN(J351*設定!$B$13/1000,0)</f>
        <v>0</v>
      </c>
      <c r="BI351" s="31" t="n">
        <f aca="false">ROUNDDOWN(J351*設定!$C$13/1000,0)</f>
        <v>0</v>
      </c>
      <c r="BJ351" s="31" t="n">
        <f aca="false">ROUNDDOWN(K351*設定!$B$14/1000,0)</f>
        <v>0</v>
      </c>
      <c r="BK351" s="31" t="n">
        <f aca="false">ROUNDDOWN(K351*設定!$C$14/1000,0)</f>
        <v>0</v>
      </c>
      <c r="BL351" s="31" t="n">
        <f aca="false">ROUNDDOWN(J351*設定!$B$15/1000,0)</f>
        <v>0</v>
      </c>
      <c r="BM351" s="31" t="n">
        <f aca="false">ROUNDDOWN(J351*設定!$C$15/1000,0)</f>
        <v>0</v>
      </c>
      <c r="BN351" s="31" t="n">
        <f aca="false">L351+M351</f>
        <v>0</v>
      </c>
      <c r="BO351" s="31" t="n">
        <f aca="false">N351+O351+P351</f>
        <v>0</v>
      </c>
      <c r="BP351" s="31" t="n">
        <f aca="false">Q351</f>
        <v>0</v>
      </c>
      <c r="BQ351" s="31" t="n">
        <f aca="false">R351</f>
        <v>0</v>
      </c>
      <c r="BR351" s="31" t="n">
        <f aca="false">S351</f>
        <v>0</v>
      </c>
      <c r="BS351" s="31" t="n">
        <f aca="false">T351</f>
        <v>0</v>
      </c>
      <c r="BT351" s="31" t="n">
        <f aca="false">U351</f>
        <v>0</v>
      </c>
      <c r="BU351" s="31" t="n">
        <f aca="false">V351</f>
        <v>0</v>
      </c>
      <c r="BV351" s="32" t="n">
        <f aca="false">IF(BF351=0,IF(BN351=0,0,1),(BN351-BF351)/BF351)</f>
        <v>0</v>
      </c>
      <c r="BW351" s="32" t="n">
        <f aca="false">IF(BG351=0,IF(BO351=0,0,1),(BO351-BG351)/BG351)</f>
        <v>0</v>
      </c>
      <c r="BX351" s="32" t="n">
        <f aca="false">IF(BH351=0,IF(BP351=0,0,1),(BP351-BH351)/BH351)</f>
        <v>0</v>
      </c>
      <c r="BY351" s="32" t="n">
        <f aca="false">IF(BI351=0,IF(BQ351=0,0,1),(BQ351-BI351)/BI351)</f>
        <v>0</v>
      </c>
      <c r="BZ351" s="32" t="n">
        <f aca="false">IF(BJ351=0,IF(BR351=0,0,1),(BR351-BJ351)/BJ351)</f>
        <v>0</v>
      </c>
      <c r="CA351" s="32" t="n">
        <f aca="false">IF(BK351=0,IF(BS351=0,0,1),(BS351-BK351)/BK351)</f>
        <v>0</v>
      </c>
      <c r="CB351" s="32" t="n">
        <f aca="false">IF(BL351=0,IF(BT351=0,0,1),(BT351-BL351)/BL351)</f>
        <v>0</v>
      </c>
      <c r="CC351" s="32" t="n">
        <f aca="false">IF(BM351=0,IF(BU351=0,0,1),(BU351-BM351)/BM351)</f>
        <v>0</v>
      </c>
      <c r="CD351" s="32" t="n">
        <f aca="false">MAX(MAX(BV351:CC351),-MIN(BV351:CC351))</f>
        <v>-0</v>
      </c>
      <c r="CE351" s="31" t="n">
        <f aca="false">IF(CI351="","",SUMIFS($CF$7:$CF$696,$A$7:$A$696,CI351,$B$7:$B$696,B351))</f>
        <v>377547</v>
      </c>
      <c r="CF351" s="31" t="n">
        <f aca="false">SUM(AU351:BE351)</f>
        <v>354522</v>
      </c>
      <c r="CG351" s="33" t="str">
        <f aca="false">A351&amp;"|"&amp;B351</f>
        <v>2026-10 月例|救急振興財団</v>
      </c>
      <c r="CH351" s="34" t="str">
        <f aca="false">IFERROR(INDEX(設定!$D$61:$D$106,MATCH(B351,設定!$B$61:$B$106,0)),"Y")</f>
        <v>Y</v>
      </c>
      <c r="CI351" s="34" t="str">
        <f aca="false">IFERROR(INDEX(設定!$D$20:$D$34,MATCH(A351,設定!$A$20:$A$34,0))&amp;"","")</f>
        <v>2026-09 月例</v>
      </c>
    </row>
    <row r="352" customFormat="false" ht="15" hidden="false" customHeight="false" outlineLevel="0" collapsed="false">
      <c r="A352" s="22" t="s">
        <v>214</v>
      </c>
      <c r="B352" s="23" t="s">
        <v>184</v>
      </c>
      <c r="C352" s="10" t="str">
        <f aca="false">IF(G352="","未受領",IF(G352="なし","報告なし",IF(AH352="○","起票済",IF(OR(AG352="○",F352="一致",F352="入金不要"),"入金確認済","受領済"))))</f>
        <v>未受領</v>
      </c>
      <c r="D352" s="10" t="str">
        <f aca="false">IF(OR(G352="",G352="なし"),"―",IF(CH352="N","対象外",IF(AND(I352="",J352="",K352=""),"標報未入力",IF(CD352&gt;=設定!$B$4,"要確認","問題なし"))))</f>
        <v>―</v>
      </c>
      <c r="E352" s="24" t="str">
        <f aca="false">IF(OR(G352="",G352="なし",CE352="",CF352=0),"―",IF(CF352=CE352,"前月同額",IF(CE352=0,"―",IF(ABS(CF352/CE352-1)&gt;=設定!$B$5,"変動大 "&amp;TEXT(CF352/CE352-1,"+0%;-0%"),"〇"))))</f>
        <v>―</v>
      </c>
      <c r="F352" s="10" t="str">
        <f aca="false">IF(OR(G352="",G352="なし"),"―",IF(CF352=0,"入金不要",IF(COUNT(Z352,AB352,AD352,AF352)=0,IF(AG352="○","手動確認","未入金"),IF(AND(N(Z352)=Y352,IF(AA352="",TRUE(),N(AB352)=AA352),IF(AC352="",TRUE(),N(AD352)=AC352),IF(AE352="",TRUE(),N(AF352)=AE352)),"一致","不一致"))))</f>
        <v>―</v>
      </c>
      <c r="G352" s="25"/>
      <c r="H352" s="26"/>
      <c r="I352" s="27"/>
      <c r="J352" s="27"/>
      <c r="K352" s="27"/>
      <c r="L352" s="27"/>
      <c r="M352" s="27"/>
      <c r="N352" s="27"/>
      <c r="O352" s="27"/>
      <c r="P352" s="27"/>
      <c r="Q352" s="27"/>
      <c r="R352" s="27"/>
      <c r="S352" s="27"/>
      <c r="T352" s="27"/>
      <c r="U352" s="27"/>
      <c r="V352" s="27"/>
      <c r="W352" s="10" t="str">
        <f aca="false">IFERROR(INDEX(設定!$E$61:$E$106,MATCH(B352,設定!$B$61:$B$106,0)),"合算")</f>
        <v>合算</v>
      </c>
      <c r="X352" s="28"/>
      <c r="Y352" s="29" t="str">
        <f aca="false">IF(OR(G352="",G352="なし"),"",IF(W352="合算",CF352,IF(W352="掛金・負担金別",(AU352+AV352+AZ352+BB352+BD352),SUM(AU352:AY352))))</f>
        <v/>
      </c>
      <c r="Z352" s="27"/>
      <c r="AA352" s="29" t="str">
        <f aca="false">IF(OR(G352="",G352="なし"),"",IF(W352="掛金・負担金別",(AW352+AX352+AY352+BA352+BC352+BE352),IF(W352="経理区分別",AZ352+BA352,"")))</f>
        <v/>
      </c>
      <c r="AB352" s="27"/>
      <c r="AC352" s="29" t="str">
        <f aca="false">IF(OR(G352="",G352="なし"),"",IF(W352="経理区分別",BB352+BC352,""))</f>
        <v/>
      </c>
      <c r="AD352" s="27"/>
      <c r="AE352" s="29" t="str">
        <f aca="false">IF(OR(G352="",G352="なし"),"",IF(W352="経理区分別",BD352+BE352,""))</f>
        <v/>
      </c>
      <c r="AF352" s="27"/>
      <c r="AG352" s="26"/>
      <c r="AH352" s="26"/>
      <c r="AI352" s="30"/>
      <c r="AJ352" s="31" t="n">
        <v>912255</v>
      </c>
      <c r="AK352" s="31" t="n">
        <v>74775</v>
      </c>
      <c r="AL352" s="31" t="n">
        <v>912255</v>
      </c>
      <c r="AM352" s="31" t="n">
        <v>74775</v>
      </c>
      <c r="AN352" s="31" t="n">
        <v>936</v>
      </c>
      <c r="AO352" s="31" t="n">
        <v>548442</v>
      </c>
      <c r="AP352" s="31" t="n">
        <v>549446</v>
      </c>
      <c r="AQ352" s="31" t="n">
        <v>50086</v>
      </c>
      <c r="AR352" s="31" t="n">
        <v>50086</v>
      </c>
      <c r="AS352" s="31" t="n">
        <v>1</v>
      </c>
      <c r="AT352" s="31" t="n">
        <v>1</v>
      </c>
      <c r="AU352" s="31" t="n">
        <f aca="false">IF($G352="",AJ352,L352)</f>
        <v>912255</v>
      </c>
      <c r="AV352" s="31" t="n">
        <f aca="false">IF($G352="",AK352,M352)</f>
        <v>74775</v>
      </c>
      <c r="AW352" s="31" t="n">
        <f aca="false">IF($G352="",AL352,N352)</f>
        <v>912255</v>
      </c>
      <c r="AX352" s="31" t="n">
        <f aca="false">IF($G352="",AM352,O352)</f>
        <v>74775</v>
      </c>
      <c r="AY352" s="31" t="n">
        <f aca="false">IF($G352="",AN352,P352)</f>
        <v>936</v>
      </c>
      <c r="AZ352" s="31" t="n">
        <f aca="false">IF($G352="",AO352,Q352)</f>
        <v>548442</v>
      </c>
      <c r="BA352" s="31" t="n">
        <f aca="false">IF($G352="",AP352,R352)</f>
        <v>549446</v>
      </c>
      <c r="BB352" s="31" t="n">
        <f aca="false">IF($G352="",AQ352,S352)</f>
        <v>50086</v>
      </c>
      <c r="BC352" s="31" t="n">
        <f aca="false">IF($G352="",AR352,T352)</f>
        <v>50086</v>
      </c>
      <c r="BD352" s="31" t="n">
        <f aca="false">IF($G352="",AS352,U352)</f>
        <v>1</v>
      </c>
      <c r="BE352" s="31" t="n">
        <f aca="false">IF($G352="",AT352,V352)</f>
        <v>1</v>
      </c>
      <c r="BF352" s="31" t="n">
        <f aca="false">ROUNDDOWN(I352*設定!$B$10/1000,0)+ROUNDDOWN(I352*設定!$B$11/1000,0)</f>
        <v>0</v>
      </c>
      <c r="BG352" s="31" t="n">
        <f aca="false">ROUNDDOWN(I352*設定!$C$10/1000,0)+ROUNDDOWN(I352*設定!$C$11/1000,0)+ROUNDDOWN(I352*設定!$C$12/1000,0)</f>
        <v>0</v>
      </c>
      <c r="BH352" s="31" t="n">
        <f aca="false">ROUNDDOWN(J352*設定!$B$13/1000,0)</f>
        <v>0</v>
      </c>
      <c r="BI352" s="31" t="n">
        <f aca="false">ROUNDDOWN(J352*設定!$C$13/1000,0)</f>
        <v>0</v>
      </c>
      <c r="BJ352" s="31" t="n">
        <f aca="false">ROUNDDOWN(K352*設定!$B$14/1000,0)</f>
        <v>0</v>
      </c>
      <c r="BK352" s="31" t="n">
        <f aca="false">ROUNDDOWN(K352*設定!$C$14/1000,0)</f>
        <v>0</v>
      </c>
      <c r="BL352" s="31" t="n">
        <f aca="false">ROUNDDOWN(J352*設定!$B$15/1000,0)</f>
        <v>0</v>
      </c>
      <c r="BM352" s="31" t="n">
        <f aca="false">ROUNDDOWN(J352*設定!$C$15/1000,0)</f>
        <v>0</v>
      </c>
      <c r="BN352" s="31" t="n">
        <f aca="false">L352+M352</f>
        <v>0</v>
      </c>
      <c r="BO352" s="31" t="n">
        <f aca="false">N352+O352+P352</f>
        <v>0</v>
      </c>
      <c r="BP352" s="31" t="n">
        <f aca="false">Q352</f>
        <v>0</v>
      </c>
      <c r="BQ352" s="31" t="n">
        <f aca="false">R352</f>
        <v>0</v>
      </c>
      <c r="BR352" s="31" t="n">
        <f aca="false">S352</f>
        <v>0</v>
      </c>
      <c r="BS352" s="31" t="n">
        <f aca="false">T352</f>
        <v>0</v>
      </c>
      <c r="BT352" s="31" t="n">
        <f aca="false">U352</f>
        <v>0</v>
      </c>
      <c r="BU352" s="31" t="n">
        <f aca="false">V352</f>
        <v>0</v>
      </c>
      <c r="BV352" s="32" t="n">
        <f aca="false">IF(BF352=0,IF(BN352=0,0,1),(BN352-BF352)/BF352)</f>
        <v>0</v>
      </c>
      <c r="BW352" s="32" t="n">
        <f aca="false">IF(BG352=0,IF(BO352=0,0,1),(BO352-BG352)/BG352)</f>
        <v>0</v>
      </c>
      <c r="BX352" s="32" t="n">
        <f aca="false">IF(BH352=0,IF(BP352=0,0,1),(BP352-BH352)/BH352)</f>
        <v>0</v>
      </c>
      <c r="BY352" s="32" t="n">
        <f aca="false">IF(BI352=0,IF(BQ352=0,0,1),(BQ352-BI352)/BI352)</f>
        <v>0</v>
      </c>
      <c r="BZ352" s="32" t="n">
        <f aca="false">IF(BJ352=0,IF(BR352=0,0,1),(BR352-BJ352)/BJ352)</f>
        <v>0</v>
      </c>
      <c r="CA352" s="32" t="n">
        <f aca="false">IF(BK352=0,IF(BS352=0,0,1),(BS352-BK352)/BK352)</f>
        <v>0</v>
      </c>
      <c r="CB352" s="32" t="n">
        <f aca="false">IF(BL352=0,IF(BT352=0,0,1),(BT352-BL352)/BL352)</f>
        <v>0</v>
      </c>
      <c r="CC352" s="32" t="n">
        <f aca="false">IF(BM352=0,IF(BU352=0,0,1),(BU352-BM352)/BM352)</f>
        <v>0</v>
      </c>
      <c r="CD352" s="32" t="n">
        <f aca="false">MAX(MAX(BV352:CC352),-MIN(BV352:CC352))</f>
        <v>-0</v>
      </c>
      <c r="CE352" s="31" t="n">
        <f aca="false">IF(CI352="","",SUMIFS($CF$7:$CF$696,$A$7:$A$696,CI352,$B$7:$B$696,B352))</f>
        <v>2794121</v>
      </c>
      <c r="CF352" s="31" t="n">
        <f aca="false">SUM(AU352:BE352)</f>
        <v>3173058</v>
      </c>
      <c r="CG352" s="33" t="str">
        <f aca="false">A352&amp;"|"&amp;B352</f>
        <v>2026-10 月例|高速道路公社</v>
      </c>
      <c r="CH352" s="34" t="str">
        <f aca="false">IFERROR(INDEX(設定!$D$61:$D$106,MATCH(B352,設定!$B$61:$B$106,0)),"Y")</f>
        <v>Y</v>
      </c>
      <c r="CI352" s="34" t="str">
        <f aca="false">IFERROR(INDEX(設定!$D$20:$D$34,MATCH(A352,設定!$A$20:$A$34,0))&amp;"","")</f>
        <v>2026-09 月例</v>
      </c>
    </row>
    <row r="353" customFormat="false" ht="15" hidden="false" customHeight="false" outlineLevel="0" collapsed="false">
      <c r="A353" s="22" t="s">
        <v>214</v>
      </c>
      <c r="B353" s="23" t="s">
        <v>185</v>
      </c>
      <c r="C353" s="10" t="str">
        <f aca="false">IF(G353="","未受領",IF(G353="なし","報告なし",IF(AH353="○","起票済",IF(OR(AG353="○",F353="一致",F353="入金不要"),"入金確認済","受領済"))))</f>
        <v>未受領</v>
      </c>
      <c r="D353" s="10" t="str">
        <f aca="false">IF(OR(G353="",G353="なし"),"―",IF(CH353="N","対象外",IF(AND(I353="",J353="",K353=""),"標報未入力",IF(CD353&gt;=設定!$B$4,"要確認","問題なし"))))</f>
        <v>―</v>
      </c>
      <c r="E353" s="24" t="str">
        <f aca="false">IF(OR(G353="",G353="なし",CE353="",CF353=0),"―",IF(CF353=CE353,"前月同額",IF(CE353=0,"―",IF(ABS(CF353/CE353-1)&gt;=設定!$B$5,"変動大 "&amp;TEXT(CF353/CE353-1,"+0%;-0%"),"〇"))))</f>
        <v>―</v>
      </c>
      <c r="F353" s="10" t="str">
        <f aca="false">IF(OR(G353="",G353="なし"),"―",IF(CF353=0,"入金不要",IF(COUNT(Z353,AB353,AD353,AF353)=0,IF(AG353="○","手動確認","未入金"),IF(AND(N(Z353)=Y353,IF(AA353="",TRUE(),N(AB353)=AA353),IF(AC353="",TRUE(),N(AD353)=AC353),IF(AE353="",TRUE(),N(AF353)=AE353)),"一致","不一致"))))</f>
        <v>―</v>
      </c>
      <c r="G353" s="25"/>
      <c r="H353" s="26"/>
      <c r="I353" s="27"/>
      <c r="J353" s="27"/>
      <c r="K353" s="27"/>
      <c r="L353" s="27"/>
      <c r="M353" s="27"/>
      <c r="N353" s="27"/>
      <c r="O353" s="27"/>
      <c r="P353" s="27"/>
      <c r="Q353" s="27"/>
      <c r="R353" s="27"/>
      <c r="S353" s="27"/>
      <c r="T353" s="27"/>
      <c r="U353" s="27"/>
      <c r="V353" s="27"/>
      <c r="W353" s="10" t="str">
        <f aca="false">IFERROR(INDEX(設定!$E$61:$E$106,MATCH(B353,設定!$B$61:$B$106,0)),"合算")</f>
        <v>合算</v>
      </c>
      <c r="X353" s="28"/>
      <c r="Y353" s="29" t="str">
        <f aca="false">IF(OR(G353="",G353="なし"),"",IF(W353="合算",CF353,IF(W353="掛金・負担金別",(AU353+AV353+AZ353+BB353+BD353),SUM(AU353:AY353))))</f>
        <v/>
      </c>
      <c r="Z353" s="27"/>
      <c r="AA353" s="29" t="str">
        <f aca="false">IF(OR(G353="",G353="なし"),"",IF(W353="掛金・負担金別",(AW353+AX353+AY353+BA353+BC353+BE353),IF(W353="経理区分別",AZ353+BA353,"")))</f>
        <v/>
      </c>
      <c r="AB353" s="27"/>
      <c r="AC353" s="29" t="str">
        <f aca="false">IF(OR(G353="",G353="なし"),"",IF(W353="経理区分別",BB353+BC353,""))</f>
        <v/>
      </c>
      <c r="AD353" s="27"/>
      <c r="AE353" s="29" t="str">
        <f aca="false">IF(OR(G353="",G353="なし"),"",IF(W353="経理区分別",BD353+BE353,""))</f>
        <v/>
      </c>
      <c r="AF353" s="27"/>
      <c r="AG353" s="26"/>
      <c r="AH353" s="26"/>
      <c r="AI353" s="30"/>
      <c r="AJ353" s="31"/>
      <c r="AK353" s="31"/>
      <c r="AL353" s="31" t="n">
        <v>601155</v>
      </c>
      <c r="AM353" s="31" t="n">
        <v>49275</v>
      </c>
      <c r="AN353" s="31" t="n">
        <v>613</v>
      </c>
      <c r="AO353" s="31"/>
      <c r="AP353" s="31" t="n">
        <v>362070</v>
      </c>
      <c r="AQ353" s="31"/>
      <c r="AR353" s="31" t="n">
        <v>27255</v>
      </c>
      <c r="AS353" s="31"/>
      <c r="AT353" s="31" t="n">
        <v>1</v>
      </c>
      <c r="AU353" s="31" t="n">
        <f aca="false">IF($G353="",AJ353,L353)</f>
        <v>0</v>
      </c>
      <c r="AV353" s="31" t="n">
        <f aca="false">IF($G353="",AK353,M353)</f>
        <v>0</v>
      </c>
      <c r="AW353" s="31" t="n">
        <f aca="false">IF($G353="",AL353,N353)</f>
        <v>601155</v>
      </c>
      <c r="AX353" s="31" t="n">
        <f aca="false">IF($G353="",AM353,O353)</f>
        <v>49275</v>
      </c>
      <c r="AY353" s="31" t="n">
        <f aca="false">IF($G353="",AN353,P353)</f>
        <v>613</v>
      </c>
      <c r="AZ353" s="31" t="n">
        <f aca="false">IF($G353="",AO353,Q353)</f>
        <v>0</v>
      </c>
      <c r="BA353" s="31" t="n">
        <f aca="false">IF($G353="",AP353,R353)</f>
        <v>362070</v>
      </c>
      <c r="BB353" s="31" t="n">
        <f aca="false">IF($G353="",AQ353,S353)</f>
        <v>0</v>
      </c>
      <c r="BC353" s="31" t="n">
        <f aca="false">IF($G353="",AR353,T353)</f>
        <v>27255</v>
      </c>
      <c r="BD353" s="31" t="n">
        <f aca="false">IF($G353="",AS353,U353)</f>
        <v>0</v>
      </c>
      <c r="BE353" s="31" t="n">
        <f aca="false">IF($G353="",AT353,V353)</f>
        <v>1</v>
      </c>
      <c r="BF353" s="31" t="n">
        <f aca="false">ROUNDDOWN(I353*設定!$B$10/1000,0)+ROUNDDOWN(I353*設定!$B$11/1000,0)</f>
        <v>0</v>
      </c>
      <c r="BG353" s="31" t="n">
        <f aca="false">ROUNDDOWN(I353*設定!$C$10/1000,0)+ROUNDDOWN(I353*設定!$C$11/1000,0)+ROUNDDOWN(I353*設定!$C$12/1000,0)</f>
        <v>0</v>
      </c>
      <c r="BH353" s="31" t="n">
        <f aca="false">ROUNDDOWN(J353*設定!$B$13/1000,0)</f>
        <v>0</v>
      </c>
      <c r="BI353" s="31" t="n">
        <f aca="false">ROUNDDOWN(J353*設定!$C$13/1000,0)</f>
        <v>0</v>
      </c>
      <c r="BJ353" s="31" t="n">
        <f aca="false">ROUNDDOWN(K353*設定!$B$14/1000,0)</f>
        <v>0</v>
      </c>
      <c r="BK353" s="31" t="n">
        <f aca="false">ROUNDDOWN(K353*設定!$C$14/1000,0)</f>
        <v>0</v>
      </c>
      <c r="BL353" s="31" t="n">
        <f aca="false">ROUNDDOWN(J353*設定!$B$15/1000,0)</f>
        <v>0</v>
      </c>
      <c r="BM353" s="31" t="n">
        <f aca="false">ROUNDDOWN(J353*設定!$C$15/1000,0)</f>
        <v>0</v>
      </c>
      <c r="BN353" s="31" t="n">
        <f aca="false">L353+M353</f>
        <v>0</v>
      </c>
      <c r="BO353" s="31" t="n">
        <f aca="false">N353+O353+P353</f>
        <v>0</v>
      </c>
      <c r="BP353" s="31" t="n">
        <f aca="false">Q353</f>
        <v>0</v>
      </c>
      <c r="BQ353" s="31" t="n">
        <f aca="false">R353</f>
        <v>0</v>
      </c>
      <c r="BR353" s="31" t="n">
        <f aca="false">S353</f>
        <v>0</v>
      </c>
      <c r="BS353" s="31" t="n">
        <f aca="false">T353</f>
        <v>0</v>
      </c>
      <c r="BT353" s="31" t="n">
        <f aca="false">U353</f>
        <v>0</v>
      </c>
      <c r="BU353" s="31" t="n">
        <f aca="false">V353</f>
        <v>0</v>
      </c>
      <c r="BV353" s="32" t="n">
        <f aca="false">IF(BF353=0,IF(BN353=0,0,1),(BN353-BF353)/BF353)</f>
        <v>0</v>
      </c>
      <c r="BW353" s="32" t="n">
        <f aca="false">IF(BG353=0,IF(BO353=0,0,1),(BO353-BG353)/BG353)</f>
        <v>0</v>
      </c>
      <c r="BX353" s="32" t="n">
        <f aca="false">IF(BH353=0,IF(BP353=0,0,1),(BP353-BH353)/BH353)</f>
        <v>0</v>
      </c>
      <c r="BY353" s="32" t="n">
        <f aca="false">IF(BI353=0,IF(BQ353=0,0,1),(BQ353-BI353)/BI353)</f>
        <v>0</v>
      </c>
      <c r="BZ353" s="32" t="n">
        <f aca="false">IF(BJ353=0,IF(BR353=0,0,1),(BR353-BJ353)/BJ353)</f>
        <v>0</v>
      </c>
      <c r="CA353" s="32" t="n">
        <f aca="false">IF(BK353=0,IF(BS353=0,0,1),(BS353-BK353)/BK353)</f>
        <v>0</v>
      </c>
      <c r="CB353" s="32" t="n">
        <f aca="false">IF(BL353=0,IF(BT353=0,0,1),(BT353-BL353)/BL353)</f>
        <v>0</v>
      </c>
      <c r="CC353" s="32" t="n">
        <f aca="false">IF(BM353=0,IF(BU353=0,0,1),(BU353-BM353)/BM353)</f>
        <v>0</v>
      </c>
      <c r="CD353" s="32" t="n">
        <f aca="false">MAX(MAX(BV353:CC353),-MIN(BV353:CC353))</f>
        <v>-0</v>
      </c>
      <c r="CE353" s="31" t="n">
        <f aca="false">IF(CI353="","",SUMIFS($CF$7:$CF$696,$A$7:$A$696,CI353,$B$7:$B$696,B353))</f>
        <v>976217</v>
      </c>
      <c r="CF353" s="31" t="n">
        <f aca="false">SUM(AU353:BE353)</f>
        <v>1040369</v>
      </c>
      <c r="CG353" s="33" t="str">
        <f aca="false">A353&amp;"|"&amp;B353</f>
        <v>2026-10 月例|農林水産振興センタ</v>
      </c>
      <c r="CH353" s="34" t="str">
        <f aca="false">IFERROR(INDEX(設定!$D$61:$D$106,MATCH(B353,設定!$B$61:$B$106,0)),"Y")</f>
        <v>Y</v>
      </c>
      <c r="CI353" s="34" t="str">
        <f aca="false">IFERROR(INDEX(設定!$D$20:$D$34,MATCH(A353,設定!$A$20:$A$34,0))&amp;"","")</f>
        <v>2026-09 月例</v>
      </c>
    </row>
    <row r="354" customFormat="false" ht="15" hidden="false" customHeight="false" outlineLevel="0" collapsed="false">
      <c r="A354" s="22" t="s">
        <v>214</v>
      </c>
      <c r="B354" s="23" t="s">
        <v>186</v>
      </c>
      <c r="C354" s="10" t="str">
        <f aca="false">IF(G354="","未受領",IF(G354="なし","報告なし",IF(AH354="○","起票済",IF(OR(AG354="○",F354="一致",F354="入金不要"),"入金確認済","受領済"))))</f>
        <v>未受領</v>
      </c>
      <c r="D354" s="10" t="str">
        <f aca="false">IF(OR(G354="",G354="なし"),"―",IF(CH354="N","対象外",IF(AND(I354="",J354="",K354=""),"標報未入力",IF(CD354&gt;=設定!$B$4,"要確認","問題なし"))))</f>
        <v>―</v>
      </c>
      <c r="E354" s="24" t="str">
        <f aca="false">IF(OR(G354="",G354="なし",CE354="",CF354=0),"―",IF(CF354=CE354,"前月同額",IF(CE354=0,"―",IF(ABS(CF354/CE354-1)&gt;=設定!$B$5,"変動大 "&amp;TEXT(CF354/CE354-1,"+0%;-0%"),"〇"))))</f>
        <v>―</v>
      </c>
      <c r="F354" s="10" t="str">
        <f aca="false">IF(OR(G354="",G354="なし"),"―",IF(CF354=0,"入金不要",IF(COUNT(Z354,AB354,AD354,AF354)=0,IF(AG354="○","手動確認","未入金"),IF(AND(N(Z354)=Y354,IF(AA354="",TRUE(),N(AB354)=AA354),IF(AC354="",TRUE(),N(AD354)=AC354),IF(AE354="",TRUE(),N(AF354)=AE354)),"一致","不一致"))))</f>
        <v>―</v>
      </c>
      <c r="G354" s="25"/>
      <c r="H354" s="26"/>
      <c r="I354" s="27"/>
      <c r="J354" s="27"/>
      <c r="K354" s="27"/>
      <c r="L354" s="27"/>
      <c r="M354" s="27"/>
      <c r="N354" s="27"/>
      <c r="O354" s="27"/>
      <c r="P354" s="27"/>
      <c r="Q354" s="27"/>
      <c r="R354" s="27"/>
      <c r="S354" s="27"/>
      <c r="T354" s="27"/>
      <c r="U354" s="27"/>
      <c r="V354" s="27"/>
      <c r="W354" s="10" t="str">
        <f aca="false">IFERROR(INDEX(設定!$E$61:$E$106,MATCH(B354,設定!$B$61:$B$106,0)),"合算")</f>
        <v>合算</v>
      </c>
      <c r="X354" s="28"/>
      <c r="Y354" s="29" t="str">
        <f aca="false">IF(OR(G354="",G354="なし"),"",IF(W354="合算",CF354,IF(W354="掛金・負担金別",(AU354+AV354+AZ354+BB354+BD354),SUM(AU354:AY354))))</f>
        <v/>
      </c>
      <c r="Z354" s="27"/>
      <c r="AA354" s="29" t="str">
        <f aca="false">IF(OR(G354="",G354="なし"),"",IF(W354="掛金・負担金別",(AW354+AX354+AY354+BA354+BC354+BE354),IF(W354="経理区分別",AZ354+BA354,"")))</f>
        <v/>
      </c>
      <c r="AB354" s="27"/>
      <c r="AC354" s="29" t="str">
        <f aca="false">IF(OR(G354="",G354="なし"),"",IF(W354="経理区分別",BB354+BC354,""))</f>
        <v/>
      </c>
      <c r="AD354" s="27"/>
      <c r="AE354" s="29" t="str">
        <f aca="false">IF(OR(G354="",G354="なし"),"",IF(W354="経理区分別",BD354+BE354,""))</f>
        <v/>
      </c>
      <c r="AF354" s="27"/>
      <c r="AG354" s="26"/>
      <c r="AH354" s="26"/>
      <c r="AI354" s="30"/>
      <c r="AJ354" s="31"/>
      <c r="AK354" s="31"/>
      <c r="AL354" s="31" t="n">
        <v>1160220</v>
      </c>
      <c r="AM354" s="31" t="n">
        <v>95100</v>
      </c>
      <c r="AN354" s="31" t="n">
        <v>1185</v>
      </c>
      <c r="AO354" s="31"/>
      <c r="AP354" s="31" t="n">
        <v>698790</v>
      </c>
      <c r="AQ354" s="31"/>
      <c r="AR354" s="31" t="n">
        <v>94721</v>
      </c>
      <c r="AS354" s="31"/>
      <c r="AT354" s="31" t="n">
        <v>1</v>
      </c>
      <c r="AU354" s="31" t="n">
        <f aca="false">IF($G354="",AJ354,L354)</f>
        <v>0</v>
      </c>
      <c r="AV354" s="31" t="n">
        <f aca="false">IF($G354="",AK354,M354)</f>
        <v>0</v>
      </c>
      <c r="AW354" s="31" t="n">
        <f aca="false">IF($G354="",AL354,N354)</f>
        <v>1160220</v>
      </c>
      <c r="AX354" s="31" t="n">
        <f aca="false">IF($G354="",AM354,O354)</f>
        <v>95100</v>
      </c>
      <c r="AY354" s="31" t="n">
        <f aca="false">IF($G354="",AN354,P354)</f>
        <v>1185</v>
      </c>
      <c r="AZ354" s="31" t="n">
        <f aca="false">IF($G354="",AO354,Q354)</f>
        <v>0</v>
      </c>
      <c r="BA354" s="31" t="n">
        <f aca="false">IF($G354="",AP354,R354)</f>
        <v>698790</v>
      </c>
      <c r="BB354" s="31" t="n">
        <f aca="false">IF($G354="",AQ354,S354)</f>
        <v>0</v>
      </c>
      <c r="BC354" s="31" t="n">
        <f aca="false">IF($G354="",AR354,T354)</f>
        <v>94721</v>
      </c>
      <c r="BD354" s="31" t="n">
        <f aca="false">IF($G354="",AS354,U354)</f>
        <v>0</v>
      </c>
      <c r="BE354" s="31" t="n">
        <f aca="false">IF($G354="",AT354,V354)</f>
        <v>1</v>
      </c>
      <c r="BF354" s="31" t="n">
        <f aca="false">ROUNDDOWN(I354*設定!$B$10/1000,0)+ROUNDDOWN(I354*設定!$B$11/1000,0)</f>
        <v>0</v>
      </c>
      <c r="BG354" s="31" t="n">
        <f aca="false">ROUNDDOWN(I354*設定!$C$10/1000,0)+ROUNDDOWN(I354*設定!$C$11/1000,0)+ROUNDDOWN(I354*設定!$C$12/1000,0)</f>
        <v>0</v>
      </c>
      <c r="BH354" s="31" t="n">
        <f aca="false">ROUNDDOWN(J354*設定!$B$13/1000,0)</f>
        <v>0</v>
      </c>
      <c r="BI354" s="31" t="n">
        <f aca="false">ROUNDDOWN(J354*設定!$C$13/1000,0)</f>
        <v>0</v>
      </c>
      <c r="BJ354" s="31" t="n">
        <f aca="false">ROUNDDOWN(K354*設定!$B$14/1000,0)</f>
        <v>0</v>
      </c>
      <c r="BK354" s="31" t="n">
        <f aca="false">ROUNDDOWN(K354*設定!$C$14/1000,0)</f>
        <v>0</v>
      </c>
      <c r="BL354" s="31" t="n">
        <f aca="false">ROUNDDOWN(J354*設定!$B$15/1000,0)</f>
        <v>0</v>
      </c>
      <c r="BM354" s="31" t="n">
        <f aca="false">ROUNDDOWN(J354*設定!$C$15/1000,0)</f>
        <v>0</v>
      </c>
      <c r="BN354" s="31" t="n">
        <f aca="false">L354+M354</f>
        <v>0</v>
      </c>
      <c r="BO354" s="31" t="n">
        <f aca="false">N354+O354+P354</f>
        <v>0</v>
      </c>
      <c r="BP354" s="31" t="n">
        <f aca="false">Q354</f>
        <v>0</v>
      </c>
      <c r="BQ354" s="31" t="n">
        <f aca="false">R354</f>
        <v>0</v>
      </c>
      <c r="BR354" s="31" t="n">
        <f aca="false">S354</f>
        <v>0</v>
      </c>
      <c r="BS354" s="31" t="n">
        <f aca="false">T354</f>
        <v>0</v>
      </c>
      <c r="BT354" s="31" t="n">
        <f aca="false">U354</f>
        <v>0</v>
      </c>
      <c r="BU354" s="31" t="n">
        <f aca="false">V354</f>
        <v>0</v>
      </c>
      <c r="BV354" s="32" t="n">
        <f aca="false">IF(BF354=0,IF(BN354=0,0,1),(BN354-BF354)/BF354)</f>
        <v>0</v>
      </c>
      <c r="BW354" s="32" t="n">
        <f aca="false">IF(BG354=0,IF(BO354=0,0,1),(BO354-BG354)/BG354)</f>
        <v>0</v>
      </c>
      <c r="BX354" s="32" t="n">
        <f aca="false">IF(BH354=0,IF(BP354=0,0,1),(BP354-BH354)/BH354)</f>
        <v>0</v>
      </c>
      <c r="BY354" s="32" t="n">
        <f aca="false">IF(BI354=0,IF(BQ354=0,0,1),(BQ354-BI354)/BI354)</f>
        <v>0</v>
      </c>
      <c r="BZ354" s="32" t="n">
        <f aca="false">IF(BJ354=0,IF(BR354=0,0,1),(BR354-BJ354)/BJ354)</f>
        <v>0</v>
      </c>
      <c r="CA354" s="32" t="n">
        <f aca="false">IF(BK354=0,IF(BS354=0,0,1),(BS354-BK354)/BK354)</f>
        <v>0</v>
      </c>
      <c r="CB354" s="32" t="n">
        <f aca="false">IF(BL354=0,IF(BT354=0,0,1),(BT354-BL354)/BL354)</f>
        <v>0</v>
      </c>
      <c r="CC354" s="32" t="n">
        <f aca="false">IF(BM354=0,IF(BU354=0,0,1),(BU354-BM354)/BM354)</f>
        <v>0</v>
      </c>
      <c r="CD354" s="32" t="n">
        <f aca="false">MAX(MAX(BV354:CC354),-MIN(BV354:CC354))</f>
        <v>-0</v>
      </c>
      <c r="CE354" s="31" t="n">
        <f aca="false">IF(CI354="","",SUMIFS($CF$7:$CF$696,$A$7:$A$696,CI354,$B$7:$B$696,B354))</f>
        <v>1835389</v>
      </c>
      <c r="CF354" s="31" t="n">
        <f aca="false">SUM(AU354:BE354)</f>
        <v>2050017</v>
      </c>
      <c r="CG354" s="33" t="str">
        <f aca="false">A354&amp;"|"&amp;B354</f>
        <v>2026-10 月例|文化財団　市長部局</v>
      </c>
      <c r="CH354" s="34" t="str">
        <f aca="false">IFERROR(INDEX(設定!$D$61:$D$106,MATCH(B354,設定!$B$61:$B$106,0)),"Y")</f>
        <v>Y</v>
      </c>
      <c r="CI354" s="34" t="str">
        <f aca="false">IFERROR(INDEX(設定!$D$20:$D$34,MATCH(A354,設定!$A$20:$A$34,0))&amp;"","")</f>
        <v>2026-09 月例</v>
      </c>
    </row>
    <row r="355" customFormat="false" ht="15" hidden="false" customHeight="false" outlineLevel="0" collapsed="false">
      <c r="A355" s="22" t="s">
        <v>214</v>
      </c>
      <c r="B355" s="23" t="s">
        <v>187</v>
      </c>
      <c r="C355" s="10" t="str">
        <f aca="false">IF(G355="","未受領",IF(G355="なし","報告なし",IF(AH355="○","起票済",IF(OR(AG355="○",F355="一致",F355="入金不要"),"入金確認済","受領済"))))</f>
        <v>未受領</v>
      </c>
      <c r="D355" s="10" t="str">
        <f aca="false">IF(OR(G355="",G355="なし"),"―",IF(CH355="N","対象外",IF(AND(I355="",J355="",K355=""),"標報未入力",IF(CD355&gt;=設定!$B$4,"要確認","問題なし"))))</f>
        <v>―</v>
      </c>
      <c r="E355" s="24" t="str">
        <f aca="false">IF(OR(G355="",G355="なし",CE355="",CF355=0),"―",IF(CF355=CE355,"前月同額",IF(CE355=0,"―",IF(ABS(CF355/CE355-1)&gt;=設定!$B$5,"変動大 "&amp;TEXT(CF355/CE355-1,"+0%;-0%"),"〇"))))</f>
        <v>―</v>
      </c>
      <c r="F355" s="10" t="str">
        <f aca="false">IF(OR(G355="",G355="なし"),"―",IF(CF355=0,"入金不要",IF(COUNT(Z355,AB355,AD355,AF355)=0,IF(AG355="○","手動確認","未入金"),IF(AND(N(Z355)=Y355,IF(AA355="",TRUE(),N(AB355)=AA355),IF(AC355="",TRUE(),N(AD355)=AC355),IF(AE355="",TRUE(),N(AF355)=AE355)),"一致","不一致"))))</f>
        <v>―</v>
      </c>
      <c r="G355" s="25"/>
      <c r="H355" s="26"/>
      <c r="I355" s="27"/>
      <c r="J355" s="27"/>
      <c r="K355" s="27"/>
      <c r="L355" s="27"/>
      <c r="M355" s="27"/>
      <c r="N355" s="27"/>
      <c r="O355" s="27"/>
      <c r="P355" s="27"/>
      <c r="Q355" s="27"/>
      <c r="R355" s="27"/>
      <c r="S355" s="27"/>
      <c r="T355" s="27"/>
      <c r="U355" s="27"/>
      <c r="V355" s="27"/>
      <c r="W355" s="10" t="str">
        <f aca="false">IFERROR(INDEX(設定!$E$61:$E$106,MATCH(B355,設定!$B$61:$B$106,0)),"合算")</f>
        <v>合算</v>
      </c>
      <c r="X355" s="28"/>
      <c r="Y355" s="29" t="str">
        <f aca="false">IF(OR(G355="",G355="なし"),"",IF(W355="合算",CF355,IF(W355="掛金・負担金別",(AU355+AV355+AZ355+BB355+BD355),SUM(AU355:AY355))))</f>
        <v/>
      </c>
      <c r="Z355" s="27"/>
      <c r="AA355" s="29" t="str">
        <f aca="false">IF(OR(G355="",G355="なし"),"",IF(W355="掛金・負担金別",(AW355+AX355+AY355+BA355+BC355+BE355),IF(W355="経理区分別",AZ355+BA355,"")))</f>
        <v/>
      </c>
      <c r="AB355" s="27"/>
      <c r="AC355" s="29" t="str">
        <f aca="false">IF(OR(G355="",G355="なし"),"",IF(W355="経理区分別",BB355+BC355,""))</f>
        <v/>
      </c>
      <c r="AD355" s="27"/>
      <c r="AE355" s="29" t="str">
        <f aca="false">IF(OR(G355="",G355="なし"),"",IF(W355="経理区分別",BD355+BE355,""))</f>
        <v/>
      </c>
      <c r="AF355" s="27"/>
      <c r="AG355" s="26"/>
      <c r="AH355" s="26"/>
      <c r="AI355" s="30"/>
      <c r="AJ355" s="31"/>
      <c r="AK355" s="31"/>
      <c r="AL355" s="31" t="n">
        <v>0</v>
      </c>
      <c r="AM355" s="31" t="n">
        <v>0</v>
      </c>
      <c r="AN355" s="31" t="n">
        <v>0</v>
      </c>
      <c r="AO355" s="31"/>
      <c r="AP355" s="31" t="n">
        <v>0</v>
      </c>
      <c r="AQ355" s="31"/>
      <c r="AR355" s="31" t="n">
        <v>0</v>
      </c>
      <c r="AS355" s="31"/>
      <c r="AT355" s="31" t="n">
        <v>0</v>
      </c>
      <c r="AU355" s="31" t="n">
        <f aca="false">IF($G355="",AJ355,L355)</f>
        <v>0</v>
      </c>
      <c r="AV355" s="31" t="n">
        <f aca="false">IF($G355="",AK355,M355)</f>
        <v>0</v>
      </c>
      <c r="AW355" s="31" t="n">
        <f aca="false">IF($G355="",AL355,N355)</f>
        <v>0</v>
      </c>
      <c r="AX355" s="31" t="n">
        <f aca="false">IF($G355="",AM355,O355)</f>
        <v>0</v>
      </c>
      <c r="AY355" s="31" t="n">
        <f aca="false">IF($G355="",AN355,P355)</f>
        <v>0</v>
      </c>
      <c r="AZ355" s="31" t="n">
        <f aca="false">IF($G355="",AO355,Q355)</f>
        <v>0</v>
      </c>
      <c r="BA355" s="31" t="n">
        <f aca="false">IF($G355="",AP355,R355)</f>
        <v>0</v>
      </c>
      <c r="BB355" s="31" t="n">
        <f aca="false">IF($G355="",AQ355,S355)</f>
        <v>0</v>
      </c>
      <c r="BC355" s="31" t="n">
        <f aca="false">IF($G355="",AR355,T355)</f>
        <v>0</v>
      </c>
      <c r="BD355" s="31" t="n">
        <f aca="false">IF($G355="",AS355,U355)</f>
        <v>0</v>
      </c>
      <c r="BE355" s="31" t="n">
        <f aca="false">IF($G355="",AT355,V355)</f>
        <v>0</v>
      </c>
      <c r="BF355" s="31" t="n">
        <f aca="false">ROUNDDOWN(I355*設定!$B$10/1000,0)+ROUNDDOWN(I355*設定!$B$11/1000,0)</f>
        <v>0</v>
      </c>
      <c r="BG355" s="31" t="n">
        <f aca="false">ROUNDDOWN(I355*設定!$C$10/1000,0)+ROUNDDOWN(I355*設定!$C$11/1000,0)+ROUNDDOWN(I355*設定!$C$12/1000,0)</f>
        <v>0</v>
      </c>
      <c r="BH355" s="31" t="n">
        <f aca="false">ROUNDDOWN(J355*設定!$B$13/1000,0)</f>
        <v>0</v>
      </c>
      <c r="BI355" s="31" t="n">
        <f aca="false">ROUNDDOWN(J355*設定!$C$13/1000,0)</f>
        <v>0</v>
      </c>
      <c r="BJ355" s="31" t="n">
        <f aca="false">ROUNDDOWN(K355*設定!$B$14/1000,0)</f>
        <v>0</v>
      </c>
      <c r="BK355" s="31" t="n">
        <f aca="false">ROUNDDOWN(K355*設定!$C$14/1000,0)</f>
        <v>0</v>
      </c>
      <c r="BL355" s="31" t="n">
        <f aca="false">ROUNDDOWN(J355*設定!$B$15/1000,0)</f>
        <v>0</v>
      </c>
      <c r="BM355" s="31" t="n">
        <f aca="false">ROUNDDOWN(J355*設定!$C$15/1000,0)</f>
        <v>0</v>
      </c>
      <c r="BN355" s="31" t="n">
        <f aca="false">L355+M355</f>
        <v>0</v>
      </c>
      <c r="BO355" s="31" t="n">
        <f aca="false">N355+O355+P355</f>
        <v>0</v>
      </c>
      <c r="BP355" s="31" t="n">
        <f aca="false">Q355</f>
        <v>0</v>
      </c>
      <c r="BQ355" s="31" t="n">
        <f aca="false">R355</f>
        <v>0</v>
      </c>
      <c r="BR355" s="31" t="n">
        <f aca="false">S355</f>
        <v>0</v>
      </c>
      <c r="BS355" s="31" t="n">
        <f aca="false">T355</f>
        <v>0</v>
      </c>
      <c r="BT355" s="31" t="n">
        <f aca="false">U355</f>
        <v>0</v>
      </c>
      <c r="BU355" s="31" t="n">
        <f aca="false">V355</f>
        <v>0</v>
      </c>
      <c r="BV355" s="32" t="n">
        <f aca="false">IF(BF355=0,IF(BN355=0,0,1),(BN355-BF355)/BF355)</f>
        <v>0</v>
      </c>
      <c r="BW355" s="32" t="n">
        <f aca="false">IF(BG355=0,IF(BO355=0,0,1),(BO355-BG355)/BG355)</f>
        <v>0</v>
      </c>
      <c r="BX355" s="32" t="n">
        <f aca="false">IF(BH355=0,IF(BP355=0,0,1),(BP355-BH355)/BH355)</f>
        <v>0</v>
      </c>
      <c r="BY355" s="32" t="n">
        <f aca="false">IF(BI355=0,IF(BQ355=0,0,1),(BQ355-BI355)/BI355)</f>
        <v>0</v>
      </c>
      <c r="BZ355" s="32" t="n">
        <f aca="false">IF(BJ355=0,IF(BR355=0,0,1),(BR355-BJ355)/BJ355)</f>
        <v>0</v>
      </c>
      <c r="CA355" s="32" t="n">
        <f aca="false">IF(BK355=0,IF(BS355=0,0,1),(BS355-BK355)/BK355)</f>
        <v>0</v>
      </c>
      <c r="CB355" s="32" t="n">
        <f aca="false">IF(BL355=0,IF(BT355=0,0,1),(BT355-BL355)/BL355)</f>
        <v>0</v>
      </c>
      <c r="CC355" s="32" t="n">
        <f aca="false">IF(BM355=0,IF(BU355=0,0,1),(BU355-BM355)/BM355)</f>
        <v>0</v>
      </c>
      <c r="CD355" s="32" t="n">
        <f aca="false">MAX(MAX(BV355:CC355),-MIN(BV355:CC355))</f>
        <v>-0</v>
      </c>
      <c r="CE355" s="31" t="n">
        <f aca="false">IF(CI355="","",SUMIFS($CF$7:$CF$696,$A$7:$A$696,CI355,$B$7:$B$696,B355))</f>
        <v>0</v>
      </c>
      <c r="CF355" s="31" t="n">
        <f aca="false">SUM(AU355:BE355)</f>
        <v>0</v>
      </c>
      <c r="CG355" s="33" t="str">
        <f aca="false">A355&amp;"|"&amp;B355</f>
        <v>2026-10 月例|文化財団　教育委員会</v>
      </c>
      <c r="CH355" s="34" t="str">
        <f aca="false">IFERROR(INDEX(設定!$D$61:$D$106,MATCH(B355,設定!$B$61:$B$106,0)),"Y")</f>
        <v>Y</v>
      </c>
      <c r="CI355" s="34" t="str">
        <f aca="false">IFERROR(INDEX(設定!$D$20:$D$34,MATCH(A355,設定!$A$20:$A$34,0))&amp;"","")</f>
        <v>2026-09 月例</v>
      </c>
    </row>
    <row r="356" customFormat="false" ht="15" hidden="false" customHeight="false" outlineLevel="0" collapsed="false">
      <c r="A356" s="22" t="s">
        <v>214</v>
      </c>
      <c r="B356" s="23" t="s">
        <v>188</v>
      </c>
      <c r="C356" s="10" t="str">
        <f aca="false">IF(G356="","未受領",IF(G356="なし","報告なし",IF(AH356="○","起票済",IF(OR(AG356="○",F356="一致",F356="入金不要"),"入金確認済","受領済"))))</f>
        <v>未受領</v>
      </c>
      <c r="D356" s="10" t="str">
        <f aca="false">IF(OR(G356="",G356="なし"),"―",IF(CH356="N","対象外",IF(AND(I356="",J356="",K356=""),"標報未入力",IF(CD356&gt;=設定!$B$4,"要確認","問題なし"))))</f>
        <v>―</v>
      </c>
      <c r="E356" s="24" t="str">
        <f aca="false">IF(OR(G356="",G356="なし",CE356="",CF356=0),"―",IF(CF356=CE356,"前月同額",IF(CE356=0,"―",IF(ABS(CF356/CE356-1)&gt;=設定!$B$5,"変動大 "&amp;TEXT(CF356/CE356-1,"+0%;-0%"),"〇"))))</f>
        <v>―</v>
      </c>
      <c r="F356" s="10" t="str">
        <f aca="false">IF(OR(G356="",G356="なし"),"―",IF(CF356=0,"入金不要",IF(COUNT(Z356,AB356,AD356,AF356)=0,IF(AG356="○","手動確認","未入金"),IF(AND(N(Z356)=Y356,IF(AA356="",TRUE(),N(AB356)=AA356),IF(AC356="",TRUE(),N(AD356)=AC356),IF(AE356="",TRUE(),N(AF356)=AE356)),"一致","不一致"))))</f>
        <v>―</v>
      </c>
      <c r="G356" s="25"/>
      <c r="H356" s="26"/>
      <c r="I356" s="27"/>
      <c r="J356" s="27"/>
      <c r="K356" s="27"/>
      <c r="L356" s="27"/>
      <c r="M356" s="27"/>
      <c r="N356" s="27"/>
      <c r="O356" s="27"/>
      <c r="P356" s="27"/>
      <c r="Q356" s="27"/>
      <c r="R356" s="27"/>
      <c r="S356" s="27"/>
      <c r="T356" s="27"/>
      <c r="U356" s="27"/>
      <c r="V356" s="27"/>
      <c r="W356" s="10" t="str">
        <f aca="false">IFERROR(INDEX(設定!$E$61:$E$106,MATCH(B356,設定!$B$61:$B$106,0)),"合算")</f>
        <v>合算</v>
      </c>
      <c r="X356" s="28"/>
      <c r="Y356" s="29" t="str">
        <f aca="false">IF(OR(G356="",G356="なし"),"",IF(W356="合算",CF356,IF(W356="掛金・負担金別",(AU356+AV356+AZ356+BB356+BD356),SUM(AU356:AY356))))</f>
        <v/>
      </c>
      <c r="Z356" s="27"/>
      <c r="AA356" s="29" t="str">
        <f aca="false">IF(OR(G356="",G356="なし"),"",IF(W356="掛金・負担金別",(AW356+AX356+AY356+BA356+BC356+BE356),IF(W356="経理区分別",AZ356+BA356,"")))</f>
        <v/>
      </c>
      <c r="AB356" s="27"/>
      <c r="AC356" s="29" t="str">
        <f aca="false">IF(OR(G356="",G356="なし"),"",IF(W356="経理区分別",BB356+BC356,""))</f>
        <v/>
      </c>
      <c r="AD356" s="27"/>
      <c r="AE356" s="29" t="str">
        <f aca="false">IF(OR(G356="",G356="なし"),"",IF(W356="経理区分別",BD356+BE356,""))</f>
        <v/>
      </c>
      <c r="AF356" s="27"/>
      <c r="AG356" s="26"/>
      <c r="AH356" s="26"/>
      <c r="AI356" s="30"/>
      <c r="AJ356" s="31"/>
      <c r="AK356" s="31"/>
      <c r="AL356" s="31" t="n">
        <v>394365</v>
      </c>
      <c r="AM356" s="31" t="n">
        <v>32325</v>
      </c>
      <c r="AN356" s="31" t="n">
        <v>403</v>
      </c>
      <c r="AO356" s="31"/>
      <c r="AP356" s="31" t="n">
        <v>237523</v>
      </c>
      <c r="AQ356" s="31"/>
      <c r="AR356" s="31" t="n">
        <v>34049</v>
      </c>
      <c r="AS356" s="31"/>
      <c r="AT356" s="31" t="n">
        <v>1</v>
      </c>
      <c r="AU356" s="31" t="n">
        <f aca="false">IF($G356="",AJ356,L356)</f>
        <v>0</v>
      </c>
      <c r="AV356" s="31" t="n">
        <f aca="false">IF($G356="",AK356,M356)</f>
        <v>0</v>
      </c>
      <c r="AW356" s="31" t="n">
        <f aca="false">IF($G356="",AL356,N356)</f>
        <v>394365</v>
      </c>
      <c r="AX356" s="31" t="n">
        <f aca="false">IF($G356="",AM356,O356)</f>
        <v>32325</v>
      </c>
      <c r="AY356" s="31" t="n">
        <f aca="false">IF($G356="",AN356,P356)</f>
        <v>403</v>
      </c>
      <c r="AZ356" s="31" t="n">
        <f aca="false">IF($G356="",AO356,Q356)</f>
        <v>0</v>
      </c>
      <c r="BA356" s="31" t="n">
        <f aca="false">IF($G356="",AP356,R356)</f>
        <v>237523</v>
      </c>
      <c r="BB356" s="31" t="n">
        <f aca="false">IF($G356="",AQ356,S356)</f>
        <v>0</v>
      </c>
      <c r="BC356" s="31" t="n">
        <f aca="false">IF($G356="",AR356,T356)</f>
        <v>34049</v>
      </c>
      <c r="BD356" s="31" t="n">
        <f aca="false">IF($G356="",AS356,U356)</f>
        <v>0</v>
      </c>
      <c r="BE356" s="31" t="n">
        <f aca="false">IF($G356="",AT356,V356)</f>
        <v>1</v>
      </c>
      <c r="BF356" s="31" t="n">
        <f aca="false">ROUNDDOWN(I356*設定!$B$10/1000,0)+ROUNDDOWN(I356*設定!$B$11/1000,0)</f>
        <v>0</v>
      </c>
      <c r="BG356" s="31" t="n">
        <f aca="false">ROUNDDOWN(I356*設定!$C$10/1000,0)+ROUNDDOWN(I356*設定!$C$11/1000,0)+ROUNDDOWN(I356*設定!$C$12/1000,0)</f>
        <v>0</v>
      </c>
      <c r="BH356" s="31" t="n">
        <f aca="false">ROUNDDOWN(J356*設定!$B$13/1000,0)</f>
        <v>0</v>
      </c>
      <c r="BI356" s="31" t="n">
        <f aca="false">ROUNDDOWN(J356*設定!$C$13/1000,0)</f>
        <v>0</v>
      </c>
      <c r="BJ356" s="31" t="n">
        <f aca="false">ROUNDDOWN(K356*設定!$B$14/1000,0)</f>
        <v>0</v>
      </c>
      <c r="BK356" s="31" t="n">
        <f aca="false">ROUNDDOWN(K356*設定!$C$14/1000,0)</f>
        <v>0</v>
      </c>
      <c r="BL356" s="31" t="n">
        <f aca="false">ROUNDDOWN(J356*設定!$B$15/1000,0)</f>
        <v>0</v>
      </c>
      <c r="BM356" s="31" t="n">
        <f aca="false">ROUNDDOWN(J356*設定!$C$15/1000,0)</f>
        <v>0</v>
      </c>
      <c r="BN356" s="31" t="n">
        <f aca="false">L356+M356</f>
        <v>0</v>
      </c>
      <c r="BO356" s="31" t="n">
        <f aca="false">N356+O356+P356</f>
        <v>0</v>
      </c>
      <c r="BP356" s="31" t="n">
        <f aca="false">Q356</f>
        <v>0</v>
      </c>
      <c r="BQ356" s="31" t="n">
        <f aca="false">R356</f>
        <v>0</v>
      </c>
      <c r="BR356" s="31" t="n">
        <f aca="false">S356</f>
        <v>0</v>
      </c>
      <c r="BS356" s="31" t="n">
        <f aca="false">T356</f>
        <v>0</v>
      </c>
      <c r="BT356" s="31" t="n">
        <f aca="false">U356</f>
        <v>0</v>
      </c>
      <c r="BU356" s="31" t="n">
        <f aca="false">V356</f>
        <v>0</v>
      </c>
      <c r="BV356" s="32" t="n">
        <f aca="false">IF(BF356=0,IF(BN356=0,0,1),(BN356-BF356)/BF356)</f>
        <v>0</v>
      </c>
      <c r="BW356" s="32" t="n">
        <f aca="false">IF(BG356=0,IF(BO356=0,0,1),(BO356-BG356)/BG356)</f>
        <v>0</v>
      </c>
      <c r="BX356" s="32" t="n">
        <f aca="false">IF(BH356=0,IF(BP356=0,0,1),(BP356-BH356)/BH356)</f>
        <v>0</v>
      </c>
      <c r="BY356" s="32" t="n">
        <f aca="false">IF(BI356=0,IF(BQ356=0,0,1),(BQ356-BI356)/BI356)</f>
        <v>0</v>
      </c>
      <c r="BZ356" s="32" t="n">
        <f aca="false">IF(BJ356=0,IF(BR356=0,0,1),(BR356-BJ356)/BJ356)</f>
        <v>0</v>
      </c>
      <c r="CA356" s="32" t="n">
        <f aca="false">IF(BK356=0,IF(BS356=0,0,1),(BS356-BK356)/BK356)</f>
        <v>0</v>
      </c>
      <c r="CB356" s="32" t="n">
        <f aca="false">IF(BL356=0,IF(BT356=0,0,1),(BT356-BL356)/BL356)</f>
        <v>0</v>
      </c>
      <c r="CC356" s="32" t="n">
        <f aca="false">IF(BM356=0,IF(BU356=0,0,1),(BU356-BM356)/BM356)</f>
        <v>0</v>
      </c>
      <c r="CD356" s="32" t="n">
        <f aca="false">MAX(MAX(BV356:CC356),-MIN(BV356:CC356))</f>
        <v>-0</v>
      </c>
      <c r="CE356" s="31" t="n">
        <f aca="false">IF(CI356="","",SUMIFS($CF$7:$CF$696,$A$7:$A$696,CI356,$B$7:$B$696,B356))</f>
        <v>721807</v>
      </c>
      <c r="CF356" s="31" t="n">
        <f aca="false">SUM(AU356:BE356)</f>
        <v>698666</v>
      </c>
      <c r="CG356" s="33" t="str">
        <f aca="false">A356&amp;"|"&amp;B356</f>
        <v>2026-10 月例|みどり生きもの協会</v>
      </c>
      <c r="CH356" s="34" t="str">
        <f aca="false">IFERROR(INDEX(設定!$D$61:$D$106,MATCH(B356,設定!$B$61:$B$106,0)),"Y")</f>
        <v>Y</v>
      </c>
      <c r="CI356" s="34" t="str">
        <f aca="false">IFERROR(INDEX(設定!$D$20:$D$34,MATCH(A356,設定!$A$20:$A$34,0))&amp;"","")</f>
        <v>2026-09 月例</v>
      </c>
    </row>
    <row r="357" customFormat="false" ht="15" hidden="false" customHeight="false" outlineLevel="0" collapsed="false">
      <c r="A357" s="22" t="s">
        <v>214</v>
      </c>
      <c r="B357" s="23" t="s">
        <v>189</v>
      </c>
      <c r="C357" s="10" t="str">
        <f aca="false">IF(G357="","未受領",IF(G357="なし","報告なし",IF(AH357="○","起票済",IF(OR(AG357="○",F357="一致",F357="入金不要"),"入金確認済","受領済"))))</f>
        <v>未受領</v>
      </c>
      <c r="D357" s="10" t="str">
        <f aca="false">IF(OR(G357="",G357="なし"),"―",IF(CH357="N","対象外",IF(AND(I357="",J357="",K357=""),"標報未入力",IF(CD357&gt;=設定!$B$4,"要確認","問題なし"))))</f>
        <v>―</v>
      </c>
      <c r="E357" s="24" t="str">
        <f aca="false">IF(OR(G357="",G357="なし",CE357="",CF357=0),"―",IF(CF357=CE357,"前月同額",IF(CE357=0,"―",IF(ABS(CF357/CE357-1)&gt;=設定!$B$5,"変動大 "&amp;TEXT(CF357/CE357-1,"+0%;-0%"),"〇"))))</f>
        <v>―</v>
      </c>
      <c r="F357" s="10" t="str">
        <f aca="false">IF(OR(G357="",G357="なし"),"―",IF(CF357=0,"入金不要",IF(COUNT(Z357,AB357,AD357,AF357)=0,IF(AG357="○","手動確認","未入金"),IF(AND(N(Z357)=Y357,IF(AA357="",TRUE(),N(AB357)=AA357),IF(AC357="",TRUE(),N(AD357)=AC357),IF(AE357="",TRUE(),N(AF357)=AE357)),"一致","不一致"))))</f>
        <v>―</v>
      </c>
      <c r="G357" s="25"/>
      <c r="H357" s="26"/>
      <c r="I357" s="27"/>
      <c r="J357" s="27"/>
      <c r="K357" s="27"/>
      <c r="L357" s="27"/>
      <c r="M357" s="27"/>
      <c r="N357" s="27"/>
      <c r="O357" s="27"/>
      <c r="P357" s="27"/>
      <c r="Q357" s="27"/>
      <c r="R357" s="27"/>
      <c r="S357" s="27"/>
      <c r="T357" s="27"/>
      <c r="U357" s="27"/>
      <c r="V357" s="27"/>
      <c r="W357" s="10" t="str">
        <f aca="false">IFERROR(INDEX(設定!$E$61:$E$106,MATCH(B357,設定!$B$61:$B$106,0)),"合算")</f>
        <v>合算</v>
      </c>
      <c r="X357" s="28"/>
      <c r="Y357" s="29" t="str">
        <f aca="false">IF(OR(G357="",G357="なし"),"",IF(W357="合算",CF357,IF(W357="掛金・負担金別",(AU357+AV357+AZ357+BB357+BD357),SUM(AU357:AY357))))</f>
        <v/>
      </c>
      <c r="Z357" s="27"/>
      <c r="AA357" s="29" t="str">
        <f aca="false">IF(OR(G357="",G357="なし"),"",IF(W357="掛金・負担金別",(AW357+AX357+AY357+BA357+BC357+BE357),IF(W357="経理区分別",AZ357+BA357,"")))</f>
        <v/>
      </c>
      <c r="AB357" s="27"/>
      <c r="AC357" s="29" t="str">
        <f aca="false">IF(OR(G357="",G357="なし"),"",IF(W357="経理区分別",BB357+BC357,""))</f>
        <v/>
      </c>
      <c r="AD357" s="27"/>
      <c r="AE357" s="29" t="str">
        <f aca="false">IF(OR(G357="",G357="なし"),"",IF(W357="経理区分別",BD357+BE357,""))</f>
        <v/>
      </c>
      <c r="AF357" s="27"/>
      <c r="AG357" s="26"/>
      <c r="AH357" s="26"/>
      <c r="AI357" s="30"/>
      <c r="AJ357" s="31" t="n">
        <v>137250</v>
      </c>
      <c r="AK357" s="31" t="n">
        <v>11250</v>
      </c>
      <c r="AL357" s="31" t="n">
        <v>137250</v>
      </c>
      <c r="AM357" s="31" t="n">
        <v>11250</v>
      </c>
      <c r="AN357" s="31" t="n">
        <v>140</v>
      </c>
      <c r="AO357" s="31" t="n">
        <v>82514</v>
      </c>
      <c r="AP357" s="31" t="n">
        <v>82665</v>
      </c>
      <c r="AQ357" s="31" t="n">
        <v>8611</v>
      </c>
      <c r="AR357" s="31" t="n">
        <v>8611</v>
      </c>
      <c r="AS357" s="31" t="n">
        <v>1</v>
      </c>
      <c r="AT357" s="31" t="n">
        <v>1</v>
      </c>
      <c r="AU357" s="31" t="n">
        <f aca="false">IF($G357="",AJ357,L357)</f>
        <v>137250</v>
      </c>
      <c r="AV357" s="31" t="n">
        <f aca="false">IF($G357="",AK357,M357)</f>
        <v>11250</v>
      </c>
      <c r="AW357" s="31" t="n">
        <f aca="false">IF($G357="",AL357,N357)</f>
        <v>137250</v>
      </c>
      <c r="AX357" s="31" t="n">
        <f aca="false">IF($G357="",AM357,O357)</f>
        <v>11250</v>
      </c>
      <c r="AY357" s="31" t="n">
        <f aca="false">IF($G357="",AN357,P357)</f>
        <v>140</v>
      </c>
      <c r="AZ357" s="31" t="n">
        <f aca="false">IF($G357="",AO357,Q357)</f>
        <v>82514</v>
      </c>
      <c r="BA357" s="31" t="n">
        <f aca="false">IF($G357="",AP357,R357)</f>
        <v>82665</v>
      </c>
      <c r="BB357" s="31" t="n">
        <f aca="false">IF($G357="",AQ357,S357)</f>
        <v>8611</v>
      </c>
      <c r="BC357" s="31" t="n">
        <f aca="false">IF($G357="",AR357,T357)</f>
        <v>8611</v>
      </c>
      <c r="BD357" s="31" t="n">
        <f aca="false">IF($G357="",AS357,U357)</f>
        <v>1</v>
      </c>
      <c r="BE357" s="31" t="n">
        <f aca="false">IF($G357="",AT357,V357)</f>
        <v>1</v>
      </c>
      <c r="BF357" s="31" t="n">
        <f aca="false">ROUNDDOWN(I357*設定!$B$10/1000,0)+ROUNDDOWN(I357*設定!$B$11/1000,0)</f>
        <v>0</v>
      </c>
      <c r="BG357" s="31" t="n">
        <f aca="false">ROUNDDOWN(I357*設定!$C$10/1000,0)+ROUNDDOWN(I357*設定!$C$11/1000,0)+ROUNDDOWN(I357*設定!$C$12/1000,0)</f>
        <v>0</v>
      </c>
      <c r="BH357" s="31" t="n">
        <f aca="false">ROUNDDOWN(J357*設定!$B$13/1000,0)</f>
        <v>0</v>
      </c>
      <c r="BI357" s="31" t="n">
        <f aca="false">ROUNDDOWN(J357*設定!$C$13/1000,0)</f>
        <v>0</v>
      </c>
      <c r="BJ357" s="31" t="n">
        <f aca="false">ROUNDDOWN(K357*設定!$B$14/1000,0)</f>
        <v>0</v>
      </c>
      <c r="BK357" s="31" t="n">
        <f aca="false">ROUNDDOWN(K357*設定!$C$14/1000,0)</f>
        <v>0</v>
      </c>
      <c r="BL357" s="31" t="n">
        <f aca="false">ROUNDDOWN(J357*設定!$B$15/1000,0)</f>
        <v>0</v>
      </c>
      <c r="BM357" s="31" t="n">
        <f aca="false">ROUNDDOWN(J357*設定!$C$15/1000,0)</f>
        <v>0</v>
      </c>
      <c r="BN357" s="31" t="n">
        <f aca="false">L357+M357</f>
        <v>0</v>
      </c>
      <c r="BO357" s="31" t="n">
        <f aca="false">N357+O357+P357</f>
        <v>0</v>
      </c>
      <c r="BP357" s="31" t="n">
        <f aca="false">Q357</f>
        <v>0</v>
      </c>
      <c r="BQ357" s="31" t="n">
        <f aca="false">R357</f>
        <v>0</v>
      </c>
      <c r="BR357" s="31" t="n">
        <f aca="false">S357</f>
        <v>0</v>
      </c>
      <c r="BS357" s="31" t="n">
        <f aca="false">T357</f>
        <v>0</v>
      </c>
      <c r="BT357" s="31" t="n">
        <f aca="false">U357</f>
        <v>0</v>
      </c>
      <c r="BU357" s="31" t="n">
        <f aca="false">V357</f>
        <v>0</v>
      </c>
      <c r="BV357" s="32" t="n">
        <f aca="false">IF(BF357=0,IF(BN357=0,0,1),(BN357-BF357)/BF357)</f>
        <v>0</v>
      </c>
      <c r="BW357" s="32" t="n">
        <f aca="false">IF(BG357=0,IF(BO357=0,0,1),(BO357-BG357)/BG357)</f>
        <v>0</v>
      </c>
      <c r="BX357" s="32" t="n">
        <f aca="false">IF(BH357=0,IF(BP357=0,0,1),(BP357-BH357)/BH357)</f>
        <v>0</v>
      </c>
      <c r="BY357" s="32" t="n">
        <f aca="false">IF(BI357=0,IF(BQ357=0,0,1),(BQ357-BI357)/BI357)</f>
        <v>0</v>
      </c>
      <c r="BZ357" s="32" t="n">
        <f aca="false">IF(BJ357=0,IF(BR357=0,0,1),(BR357-BJ357)/BJ357)</f>
        <v>0</v>
      </c>
      <c r="CA357" s="32" t="n">
        <f aca="false">IF(BK357=0,IF(BS357=0,0,1),(BS357-BK357)/BK357)</f>
        <v>0</v>
      </c>
      <c r="CB357" s="32" t="n">
        <f aca="false">IF(BL357=0,IF(BT357=0,0,1),(BT357-BL357)/BL357)</f>
        <v>0</v>
      </c>
      <c r="CC357" s="32" t="n">
        <f aca="false">IF(BM357=0,IF(BU357=0,0,1),(BU357-BM357)/BM357)</f>
        <v>0</v>
      </c>
      <c r="CD357" s="32" t="n">
        <f aca="false">MAX(MAX(BV357:CC357),-MIN(BV357:CC357))</f>
        <v>-0</v>
      </c>
      <c r="CE357" s="31" t="n">
        <f aca="false">IF(CI357="","",SUMIFS($CF$7:$CF$696,$A$7:$A$696,CI357,$B$7:$B$696,B357))</f>
        <v>511375</v>
      </c>
      <c r="CF357" s="31" t="n">
        <f aca="false">SUM(AU357:BE357)</f>
        <v>479543</v>
      </c>
      <c r="CG357" s="33" t="str">
        <f aca="false">A357&amp;"|"&amp;B357</f>
        <v>2026-10 月例|県下水道公社</v>
      </c>
      <c r="CH357" s="34" t="str">
        <f aca="false">IFERROR(INDEX(設定!$D$61:$D$106,MATCH(B357,設定!$B$61:$B$106,0)),"Y")</f>
        <v>Y</v>
      </c>
      <c r="CI357" s="34" t="str">
        <f aca="false">IFERROR(INDEX(設定!$D$20:$D$34,MATCH(A357,設定!$A$20:$A$34,0))&amp;"","")</f>
        <v>2026-09 月例</v>
      </c>
    </row>
    <row r="358" customFormat="false" ht="26.85" hidden="false" customHeight="false" outlineLevel="0" collapsed="false">
      <c r="A358" s="22" t="s">
        <v>214</v>
      </c>
      <c r="B358" s="35" t="s">
        <v>190</v>
      </c>
      <c r="C358" s="10" t="str">
        <f aca="false">IF(G358="","未受領",IF(G358="なし","報告なし",IF(AH358="○","起票済",IF(OR(AG358="○",F358="一致",F358="入金不要"),"入金確認済","受領済"))))</f>
        <v>未受領</v>
      </c>
      <c r="D358" s="10" t="str">
        <f aca="false">IF(OR(G358="",G358="なし"),"―",IF(CH358="N","対象外",IF(AND(I358="",J358="",K358=""),"標報未入力",IF(CD358&gt;=設定!$B$4,"要確認","問題なし"))))</f>
        <v>―</v>
      </c>
      <c r="E358" s="24" t="str">
        <f aca="false">IF(OR(G358="",G358="なし",CE358="",CF358=0),"―",IF(CF358=CE358,"前月同額",IF(CE358=0,"―",IF(ABS(CF358/CE358-1)&gt;=設定!$B$5,"変動大 "&amp;TEXT(CF358/CE358-1,"+0%;-0%"),"〇"))))</f>
        <v>―</v>
      </c>
      <c r="F358" s="10" t="str">
        <f aca="false">IF(OR(G358="",G358="なし"),"―",IF(CF358=0,"入金不要",IF(COUNT(Z358,AB358,AD358,AF358)=0,IF(AG358="○","手動確認","未入金"),IF(AND(N(Z358)=Y358,IF(AA358="",TRUE(),N(AB358)=AA358),IF(AC358="",TRUE(),N(AD358)=AC358),IF(AE358="",TRUE(),N(AF358)=AE358)),"一致","不一致"))))</f>
        <v>―</v>
      </c>
      <c r="G358" s="25"/>
      <c r="H358" s="26"/>
      <c r="I358" s="27"/>
      <c r="J358" s="27"/>
      <c r="K358" s="27"/>
      <c r="L358" s="27"/>
      <c r="M358" s="27"/>
      <c r="N358" s="27"/>
      <c r="O358" s="27"/>
      <c r="P358" s="27"/>
      <c r="Q358" s="27"/>
      <c r="R358" s="27"/>
      <c r="S358" s="27"/>
      <c r="T358" s="27"/>
      <c r="U358" s="27"/>
      <c r="V358" s="27"/>
      <c r="W358" s="10" t="str">
        <f aca="false">IFERROR(INDEX(設定!$E$61:$E$106,MATCH(B358,設定!$B$61:$B$106,0)),"合算")</f>
        <v>合算</v>
      </c>
      <c r="X358" s="28"/>
      <c r="Y358" s="29" t="str">
        <f aca="false">IF(OR(G358="",G358="なし"),"",IF(W358="合算",CF358,IF(W358="掛金・負担金別",(AU358+AV358+AZ358+BB358+BD358),SUM(AU358:AY358))))</f>
        <v/>
      </c>
      <c r="Z358" s="27"/>
      <c r="AA358" s="29" t="str">
        <f aca="false">IF(OR(G358="",G358="なし"),"",IF(W358="掛金・負担金別",(AW358+AX358+AY358+BA358+BC358+BE358),IF(W358="経理区分別",AZ358+BA358,"")))</f>
        <v/>
      </c>
      <c r="AB358" s="27"/>
      <c r="AC358" s="29" t="str">
        <f aca="false">IF(OR(G358="",G358="なし"),"",IF(W358="経理区分別",BB358+BC358,""))</f>
        <v/>
      </c>
      <c r="AD358" s="27"/>
      <c r="AE358" s="29" t="str">
        <f aca="false">IF(OR(G358="",G358="なし"),"",IF(W358="経理区分別",BD358+BE358,""))</f>
        <v/>
      </c>
      <c r="AF358" s="27"/>
      <c r="AG358" s="26"/>
      <c r="AH358" s="26"/>
      <c r="AI358" s="30"/>
      <c r="AJ358" s="31"/>
      <c r="AK358" s="31"/>
      <c r="AL358" s="31" t="n">
        <v>472140</v>
      </c>
      <c r="AM358" s="31" t="n">
        <v>38700</v>
      </c>
      <c r="AN358" s="31" t="n">
        <v>484</v>
      </c>
      <c r="AO358" s="31"/>
      <c r="AP358" s="31" t="n">
        <v>289878</v>
      </c>
      <c r="AQ358" s="31"/>
      <c r="AR358" s="31" t="n">
        <v>25517</v>
      </c>
      <c r="AS358" s="31"/>
      <c r="AT358" s="31" t="n">
        <v>1</v>
      </c>
      <c r="AU358" s="31" t="n">
        <f aca="false">IF($G358="",AJ358,L358)</f>
        <v>0</v>
      </c>
      <c r="AV358" s="31" t="n">
        <f aca="false">IF($G358="",AK358,M358)</f>
        <v>0</v>
      </c>
      <c r="AW358" s="31" t="n">
        <f aca="false">IF($G358="",AL358,N358)</f>
        <v>472140</v>
      </c>
      <c r="AX358" s="31" t="n">
        <f aca="false">IF($G358="",AM358,O358)</f>
        <v>38700</v>
      </c>
      <c r="AY358" s="31" t="n">
        <f aca="false">IF($G358="",AN358,P358)</f>
        <v>484</v>
      </c>
      <c r="AZ358" s="31" t="n">
        <f aca="false">IF($G358="",AO358,Q358)</f>
        <v>0</v>
      </c>
      <c r="BA358" s="31" t="n">
        <f aca="false">IF($G358="",AP358,R358)</f>
        <v>289878</v>
      </c>
      <c r="BB358" s="31" t="n">
        <f aca="false">IF($G358="",AQ358,S358)</f>
        <v>0</v>
      </c>
      <c r="BC358" s="31" t="n">
        <f aca="false">IF($G358="",AR358,T358)</f>
        <v>25517</v>
      </c>
      <c r="BD358" s="31" t="n">
        <f aca="false">IF($G358="",AS358,U358)</f>
        <v>0</v>
      </c>
      <c r="BE358" s="31" t="n">
        <f aca="false">IF($G358="",AT358,V358)</f>
        <v>1</v>
      </c>
      <c r="BF358" s="31" t="n">
        <f aca="false">ROUNDDOWN(I358*設定!$B$10/1000,0)+ROUNDDOWN(I358*設定!$B$11/1000,0)</f>
        <v>0</v>
      </c>
      <c r="BG358" s="31" t="n">
        <f aca="false">ROUNDDOWN(I358*設定!$C$10/1000,0)+ROUNDDOWN(I358*設定!$C$11/1000,0)+ROUNDDOWN(I358*設定!$C$12/1000,0)</f>
        <v>0</v>
      </c>
      <c r="BH358" s="31" t="n">
        <f aca="false">ROUNDDOWN(J358*設定!$B$13/1000,0)</f>
        <v>0</v>
      </c>
      <c r="BI358" s="31" t="n">
        <f aca="false">ROUNDDOWN(J358*設定!$C$13/1000,0)</f>
        <v>0</v>
      </c>
      <c r="BJ358" s="31" t="n">
        <f aca="false">ROUNDDOWN(K358*設定!$B$14/1000,0)</f>
        <v>0</v>
      </c>
      <c r="BK358" s="31" t="n">
        <f aca="false">ROUNDDOWN(K358*設定!$C$14/1000,0)</f>
        <v>0</v>
      </c>
      <c r="BL358" s="31" t="n">
        <f aca="false">ROUNDDOWN(J358*設定!$B$15/1000,0)</f>
        <v>0</v>
      </c>
      <c r="BM358" s="31" t="n">
        <f aca="false">ROUNDDOWN(J358*設定!$C$15/1000,0)</f>
        <v>0</v>
      </c>
      <c r="BN358" s="31" t="n">
        <f aca="false">L358+M358</f>
        <v>0</v>
      </c>
      <c r="BO358" s="31" t="n">
        <f aca="false">N358+O358+P358</f>
        <v>0</v>
      </c>
      <c r="BP358" s="31" t="n">
        <f aca="false">Q358</f>
        <v>0</v>
      </c>
      <c r="BQ358" s="31" t="n">
        <f aca="false">R358</f>
        <v>0</v>
      </c>
      <c r="BR358" s="31" t="n">
        <f aca="false">S358</f>
        <v>0</v>
      </c>
      <c r="BS358" s="31" t="n">
        <f aca="false">T358</f>
        <v>0</v>
      </c>
      <c r="BT358" s="31" t="n">
        <f aca="false">U358</f>
        <v>0</v>
      </c>
      <c r="BU358" s="31" t="n">
        <f aca="false">V358</f>
        <v>0</v>
      </c>
      <c r="BV358" s="32" t="n">
        <f aca="false">IF(BF358=0,IF(BN358=0,0,1),(BN358-BF358)/BF358)</f>
        <v>0</v>
      </c>
      <c r="BW358" s="32" t="n">
        <f aca="false">IF(BG358=0,IF(BO358=0,0,1),(BO358-BG358)/BG358)</f>
        <v>0</v>
      </c>
      <c r="BX358" s="32" t="n">
        <f aca="false">IF(BH358=0,IF(BP358=0,0,1),(BP358-BH358)/BH358)</f>
        <v>0</v>
      </c>
      <c r="BY358" s="32" t="n">
        <f aca="false">IF(BI358=0,IF(BQ358=0,0,1),(BQ358-BI358)/BI358)</f>
        <v>0</v>
      </c>
      <c r="BZ358" s="32" t="n">
        <f aca="false">IF(BJ358=0,IF(BR358=0,0,1),(BR358-BJ358)/BJ358)</f>
        <v>0</v>
      </c>
      <c r="CA358" s="32" t="n">
        <f aca="false">IF(BK358=0,IF(BS358=0,0,1),(BS358-BK358)/BK358)</f>
        <v>0</v>
      </c>
      <c r="CB358" s="32" t="n">
        <f aca="false">IF(BL358=0,IF(BT358=0,0,1),(BT358-BL358)/BL358)</f>
        <v>0</v>
      </c>
      <c r="CC358" s="32" t="n">
        <f aca="false">IF(BM358=0,IF(BU358=0,0,1),(BU358-BM358)/BM358)</f>
        <v>0</v>
      </c>
      <c r="CD358" s="32" t="n">
        <f aca="false">MAX(MAX(BV358:CC358),-MIN(BV358:CC358))</f>
        <v>-0</v>
      </c>
      <c r="CE358" s="31" t="n">
        <f aca="false">IF(CI358="","",SUMIFS($CF$7:$CF$696,$A$7:$A$696,CI358,$B$7:$B$696,B358))</f>
        <v>770235</v>
      </c>
      <c r="CF358" s="31" t="n">
        <f aca="false">SUM(AU358:BE358)</f>
        <v>826720</v>
      </c>
      <c r="CG358" s="36" t="str">
        <f aca="false">A358&amp;"|"&amp;B358</f>
        <v>2026-10 月例|バス協調・共創
プラットフォーム</v>
      </c>
      <c r="CH358" s="34" t="str">
        <f aca="false">IFERROR(INDEX(設定!$D$61:$D$106,MATCH(B358,設定!$B$61:$B$106,0)),"Y")</f>
        <v>Y</v>
      </c>
      <c r="CI358" s="34" t="str">
        <f aca="false">IFERROR(INDEX(設定!$D$20:$D$34,MATCH(A358,設定!$A$20:$A$34,0))&amp;"","")</f>
        <v>2026-09 月例</v>
      </c>
    </row>
    <row r="359" customFormat="false" ht="15" hidden="false" customHeight="false" outlineLevel="0" collapsed="false">
      <c r="A359" s="22" t="s">
        <v>214</v>
      </c>
      <c r="B359" s="23" t="s">
        <v>191</v>
      </c>
      <c r="C359" s="10" t="str">
        <f aca="false">IF(G359="","未受領",IF(G359="なし","報告なし",IF(AH359="○","起票済",IF(OR(AG359="○",F359="一致",F359="入金不要"),"入金確認済","受領済"))))</f>
        <v>受領済</v>
      </c>
      <c r="D359" s="10" t="str">
        <f aca="false">IF(OR(G359="",G359="なし"),"―",IF(CH359="N","対象外",IF(AND(I359="",J359="",K359=""),"標報未入力",IF(CD359&gt;=設定!$B$4,"要確認","問題なし"))))</f>
        <v>標報未入力</v>
      </c>
      <c r="E359" s="24" t="str">
        <f aca="false">IF(OR(G359="",G359="なし",CE359="",CF359=0),"―",IF(CF359=CE359,"前月同額",IF(CE359=0,"―",IF(ABS(CF359/CE359-1)&gt;=設定!$B$5,"変動大 "&amp;TEXT(CF359/CE359-1,"+0%;-0%"),"〇"))))</f>
        <v>前月同額</v>
      </c>
      <c r="F359" s="10" t="str">
        <f aca="false">IF(OR(G359="",G359="なし"),"―",IF(CF359=0,"入金不要",IF(COUNT(Z359,AB359,AD359,AF359)=0,IF(AG359="○","手動確認","未入金"),IF(AND(N(Z359)=Y359,IF(AA359="",TRUE(),N(AB359)=AA359),IF(AC359="",TRUE(),N(AD359)=AC359),IF(AE359="",TRUE(),N(AF359)=AE359)),"一致","不一致"))))</f>
        <v>未入金</v>
      </c>
      <c r="G359" s="25" t="s">
        <v>159</v>
      </c>
      <c r="H359" s="26"/>
      <c r="I359" s="27"/>
      <c r="J359" s="27"/>
      <c r="K359" s="27"/>
      <c r="L359" s="27" t="n">
        <v>53985</v>
      </c>
      <c r="M359" s="27" t="n">
        <v>4425</v>
      </c>
      <c r="N359" s="27" t="n">
        <v>53985</v>
      </c>
      <c r="O359" s="27" t="n">
        <v>4425</v>
      </c>
      <c r="P359" s="27" t="n">
        <v>51</v>
      </c>
      <c r="Q359" s="27" t="n">
        <v>30597</v>
      </c>
      <c r="R359" s="27" t="n">
        <v>30626</v>
      </c>
      <c r="S359" s="27" t="n">
        <v>4661</v>
      </c>
      <c r="T359" s="27" t="n">
        <v>4661</v>
      </c>
      <c r="U359" s="27" t="n">
        <v>678</v>
      </c>
      <c r="V359" s="27" t="n">
        <v>678</v>
      </c>
      <c r="W359" s="10" t="str">
        <f aca="false">IFERROR(INDEX(設定!$E$61:$E$106,MATCH(B359,設定!$B$61:$B$106,0)),"合算")</f>
        <v>合算</v>
      </c>
      <c r="X359" s="28"/>
      <c r="Y359" s="29" t="n">
        <f aca="false">IF(OR(G359="",G359="なし"),"",IF(W359="合算",CF359,IF(W359="掛金・負担金別",(AU359+AV359+AZ359+BB359+BD359),SUM(AU359:AY359))))</f>
        <v>188772</v>
      </c>
      <c r="Z359" s="27"/>
      <c r="AA359" s="29" t="str">
        <f aca="false">IF(OR(G359="",G359="なし"),"",IF(W359="掛金・負担金別",(AW359+AX359+AY359+BA359+BC359+BE359),IF(W359="経理区分別",AZ359+BA359,"")))</f>
        <v/>
      </c>
      <c r="AB359" s="27"/>
      <c r="AC359" s="29" t="str">
        <f aca="false">IF(OR(G359="",G359="なし"),"",IF(W359="経理区分別",BB359+BC359,""))</f>
        <v/>
      </c>
      <c r="AD359" s="27"/>
      <c r="AE359" s="29" t="str">
        <f aca="false">IF(OR(G359="",G359="なし"),"",IF(W359="経理区分別",BD359+BE359,""))</f>
        <v/>
      </c>
      <c r="AF359" s="27"/>
      <c r="AG359" s="26"/>
      <c r="AH359" s="26"/>
      <c r="AI359" s="30"/>
      <c r="AJ359" s="31"/>
      <c r="AK359" s="31"/>
      <c r="AL359" s="31"/>
      <c r="AM359" s="31"/>
      <c r="AN359" s="31"/>
      <c r="AO359" s="31"/>
      <c r="AP359" s="31"/>
      <c r="AQ359" s="31"/>
      <c r="AR359" s="31"/>
      <c r="AS359" s="31"/>
      <c r="AT359" s="31"/>
      <c r="AU359" s="31" t="n">
        <f aca="false">IF($G359="",AJ359,L359)</f>
        <v>53985</v>
      </c>
      <c r="AV359" s="31" t="n">
        <f aca="false">IF($G359="",AK359,M359)</f>
        <v>4425</v>
      </c>
      <c r="AW359" s="31" t="n">
        <f aca="false">IF($G359="",AL359,N359)</f>
        <v>53985</v>
      </c>
      <c r="AX359" s="31" t="n">
        <f aca="false">IF($G359="",AM359,O359)</f>
        <v>4425</v>
      </c>
      <c r="AY359" s="31" t="n">
        <f aca="false">IF($G359="",AN359,P359)</f>
        <v>51</v>
      </c>
      <c r="AZ359" s="31" t="n">
        <f aca="false">IF($G359="",AO359,Q359)</f>
        <v>30597</v>
      </c>
      <c r="BA359" s="31" t="n">
        <f aca="false">IF($G359="",AP359,R359)</f>
        <v>30626</v>
      </c>
      <c r="BB359" s="31" t="n">
        <f aca="false">IF($G359="",AQ359,S359)</f>
        <v>4661</v>
      </c>
      <c r="BC359" s="31" t="n">
        <f aca="false">IF($G359="",AR359,T359)</f>
        <v>4661</v>
      </c>
      <c r="BD359" s="31" t="n">
        <f aca="false">IF($G359="",AS359,U359)</f>
        <v>678</v>
      </c>
      <c r="BE359" s="31" t="n">
        <f aca="false">IF($G359="",AT359,V359)</f>
        <v>678</v>
      </c>
      <c r="BF359" s="31" t="n">
        <f aca="false">ROUNDDOWN(I359*設定!$B$10/1000,0)+ROUNDDOWN(I359*設定!$B$11/1000,0)</f>
        <v>0</v>
      </c>
      <c r="BG359" s="31" t="n">
        <f aca="false">ROUNDDOWN(I359*設定!$C$10/1000,0)+ROUNDDOWN(I359*設定!$C$11/1000,0)+ROUNDDOWN(I359*設定!$C$12/1000,0)</f>
        <v>0</v>
      </c>
      <c r="BH359" s="31" t="n">
        <f aca="false">ROUNDDOWN(J359*設定!$B$13/1000,0)</f>
        <v>0</v>
      </c>
      <c r="BI359" s="31" t="n">
        <f aca="false">ROUNDDOWN(J359*設定!$C$13/1000,0)</f>
        <v>0</v>
      </c>
      <c r="BJ359" s="31" t="n">
        <f aca="false">ROUNDDOWN(K359*設定!$B$14/1000,0)</f>
        <v>0</v>
      </c>
      <c r="BK359" s="31" t="n">
        <f aca="false">ROUNDDOWN(K359*設定!$C$14/1000,0)</f>
        <v>0</v>
      </c>
      <c r="BL359" s="31" t="n">
        <f aca="false">ROUNDDOWN(J359*設定!$B$15/1000,0)</f>
        <v>0</v>
      </c>
      <c r="BM359" s="31" t="n">
        <f aca="false">ROUNDDOWN(J359*設定!$C$15/1000,0)</f>
        <v>0</v>
      </c>
      <c r="BN359" s="31" t="n">
        <f aca="false">L359+M359</f>
        <v>58410</v>
      </c>
      <c r="BO359" s="31" t="n">
        <f aca="false">N359+O359+P359</f>
        <v>58461</v>
      </c>
      <c r="BP359" s="31" t="n">
        <f aca="false">Q359</f>
        <v>30597</v>
      </c>
      <c r="BQ359" s="31" t="n">
        <f aca="false">R359</f>
        <v>30626</v>
      </c>
      <c r="BR359" s="31" t="n">
        <f aca="false">S359</f>
        <v>4661</v>
      </c>
      <c r="BS359" s="31" t="n">
        <f aca="false">T359</f>
        <v>4661</v>
      </c>
      <c r="BT359" s="31" t="n">
        <f aca="false">U359</f>
        <v>678</v>
      </c>
      <c r="BU359" s="31" t="n">
        <f aca="false">V359</f>
        <v>678</v>
      </c>
      <c r="BV359" s="32" t="n">
        <f aca="false">IF(BF359=0,IF(BN359=0,0,1),(BN359-BF359)/BF359)</f>
        <v>1</v>
      </c>
      <c r="BW359" s="32" t="n">
        <f aca="false">IF(BG359=0,IF(BO359=0,0,1),(BO359-BG359)/BG359)</f>
        <v>1</v>
      </c>
      <c r="BX359" s="32" t="n">
        <f aca="false">IF(BH359=0,IF(BP359=0,0,1),(BP359-BH359)/BH359)</f>
        <v>1</v>
      </c>
      <c r="BY359" s="32" t="n">
        <f aca="false">IF(BI359=0,IF(BQ359=0,0,1),(BQ359-BI359)/BI359)</f>
        <v>1</v>
      </c>
      <c r="BZ359" s="32" t="n">
        <f aca="false">IF(BJ359=0,IF(BR359=0,0,1),(BR359-BJ359)/BJ359)</f>
        <v>1</v>
      </c>
      <c r="CA359" s="32" t="n">
        <f aca="false">IF(BK359=0,IF(BS359=0,0,1),(BS359-BK359)/BK359)</f>
        <v>1</v>
      </c>
      <c r="CB359" s="32" t="n">
        <f aca="false">IF(BL359=0,IF(BT359=0,0,1),(BT359-BL359)/BL359)</f>
        <v>1</v>
      </c>
      <c r="CC359" s="32" t="n">
        <f aca="false">IF(BM359=0,IF(BU359=0,0,1),(BU359-BM359)/BM359)</f>
        <v>1</v>
      </c>
      <c r="CD359" s="32" t="n">
        <f aca="false">MAX(MAX(BV359:CC359),-MIN(BV359:CC359))</f>
        <v>1</v>
      </c>
      <c r="CE359" s="31" t="n">
        <f aca="false">IF(CI359="","",SUMIFS($CF$7:$CF$696,$A$7:$A$696,CI359,$B$7:$B$696,B359))</f>
        <v>188772</v>
      </c>
      <c r="CF359" s="31" t="n">
        <f aca="false">SUM(AU359:BE359)</f>
        <v>188772</v>
      </c>
      <c r="CG359" s="33" t="str">
        <f aca="false">A359&amp;"|"&amp;B359</f>
        <v>2026-10 月例|広島県市長会</v>
      </c>
      <c r="CH359" s="34" t="str">
        <f aca="false">IFERROR(INDEX(設定!$D$61:$D$106,MATCH(B359,設定!$B$61:$B$106,0)),"Y")</f>
        <v>Y</v>
      </c>
      <c r="CI359" s="34" t="str">
        <f aca="false">IFERROR(INDEX(設定!$D$20:$D$34,MATCH(A359,設定!$A$20:$A$34,0))&amp;"","")</f>
        <v>2026-09 月例</v>
      </c>
    </row>
    <row r="360" customFormat="false" ht="15" hidden="false" customHeight="false" outlineLevel="0" collapsed="false">
      <c r="A360" s="22" t="s">
        <v>214</v>
      </c>
      <c r="B360" s="23" t="s">
        <v>192</v>
      </c>
      <c r="C360" s="10" t="str">
        <f aca="false">IF(G360="","未受領",IF(G360="なし","報告なし",IF(AH360="○","起票済",IF(OR(AG360="○",F360="一致",F360="入金不要"),"入金確認済","受領済"))))</f>
        <v>受領済</v>
      </c>
      <c r="D360" s="10" t="str">
        <f aca="false">IF(OR(G360="",G360="なし"),"―",IF(CH360="N","対象外",IF(AND(I360="",J360="",K360=""),"標報未入力",IF(CD360&gt;=設定!$B$4,"要確認","問題なし"))))</f>
        <v>標報未入力</v>
      </c>
      <c r="E360" s="24" t="str">
        <f aca="false">IF(OR(G360="",G360="なし",CE360="",CF360=0),"―",IF(CF360=CE360,"前月同額",IF(CE360=0,"―",IF(ABS(CF360/CE360-1)&gt;=設定!$B$5,"変動大 "&amp;TEXT(CF360/CE360-1,"+0%;-0%"),"〇"))))</f>
        <v>前月同額</v>
      </c>
      <c r="F360" s="10" t="str">
        <f aca="false">IF(OR(G360="",G360="なし"),"―",IF(CF360=0,"入金不要",IF(COUNT(Z360,AB360,AD360,AF360)=0,IF(AG360="○","手動確認","未入金"),IF(AND(N(Z360)=Y360,IF(AA360="",TRUE(),N(AB360)=AA360),IF(AC360="",TRUE(),N(AD360)=AC360),IF(AE360="",TRUE(),N(AF360)=AE360)),"一致","不一致"))))</f>
        <v>未入金</v>
      </c>
      <c r="G360" s="25" t="s">
        <v>159</v>
      </c>
      <c r="H360" s="26"/>
      <c r="I360" s="27"/>
      <c r="J360" s="27"/>
      <c r="K360" s="27"/>
      <c r="L360" s="27" t="n">
        <v>59475</v>
      </c>
      <c r="M360" s="27" t="n">
        <v>4875</v>
      </c>
      <c r="N360" s="27" t="n">
        <v>59475</v>
      </c>
      <c r="O360" s="27" t="n">
        <v>4875</v>
      </c>
      <c r="P360" s="27" t="n">
        <v>56</v>
      </c>
      <c r="Q360" s="27" t="n">
        <v>36820</v>
      </c>
      <c r="R360" s="27" t="n">
        <v>36856</v>
      </c>
      <c r="S360" s="27" t="n">
        <v>5609</v>
      </c>
      <c r="T360" s="27" t="n">
        <v>5609</v>
      </c>
      <c r="U360" s="27" t="n">
        <v>816</v>
      </c>
      <c r="V360" s="27" t="n">
        <v>816</v>
      </c>
      <c r="W360" s="10" t="str">
        <f aca="false">IFERROR(INDEX(設定!$E$61:$E$106,MATCH(B360,設定!$B$61:$B$106,0)),"合算")</f>
        <v>合算</v>
      </c>
      <c r="X360" s="28"/>
      <c r="Y360" s="29" t="n">
        <f aca="false">IF(OR(G360="",G360="なし"),"",IF(W360="合算",CF360,IF(W360="掛金・負担金別",(AU360+AV360+AZ360+BB360+BD360),SUM(AU360:AY360))))</f>
        <v>215282</v>
      </c>
      <c r="Z360" s="27"/>
      <c r="AA360" s="29" t="str">
        <f aca="false">IF(OR(G360="",G360="なし"),"",IF(W360="掛金・負担金別",(AW360+AX360+AY360+BA360+BC360+BE360),IF(W360="経理区分別",AZ360+BA360,"")))</f>
        <v/>
      </c>
      <c r="AB360" s="27"/>
      <c r="AC360" s="29" t="str">
        <f aca="false">IF(OR(G360="",G360="なし"),"",IF(W360="経理区分別",BB360+BC360,""))</f>
        <v/>
      </c>
      <c r="AD360" s="27"/>
      <c r="AE360" s="29" t="str">
        <f aca="false">IF(OR(G360="",G360="なし"),"",IF(W360="経理区分別",BD360+BE360,""))</f>
        <v/>
      </c>
      <c r="AF360" s="27"/>
      <c r="AG360" s="26"/>
      <c r="AH360" s="26"/>
      <c r="AI360" s="30"/>
      <c r="AJ360" s="31"/>
      <c r="AK360" s="31"/>
      <c r="AL360" s="31"/>
      <c r="AM360" s="31"/>
      <c r="AN360" s="31"/>
      <c r="AO360" s="31"/>
      <c r="AP360" s="31"/>
      <c r="AQ360" s="31"/>
      <c r="AR360" s="31"/>
      <c r="AS360" s="31"/>
      <c r="AT360" s="31"/>
      <c r="AU360" s="31" t="n">
        <f aca="false">IF($G360="",AJ360,L360)</f>
        <v>59475</v>
      </c>
      <c r="AV360" s="31" t="n">
        <f aca="false">IF($G360="",AK360,M360)</f>
        <v>4875</v>
      </c>
      <c r="AW360" s="31" t="n">
        <f aca="false">IF($G360="",AL360,N360)</f>
        <v>59475</v>
      </c>
      <c r="AX360" s="31" t="n">
        <f aca="false">IF($G360="",AM360,O360)</f>
        <v>4875</v>
      </c>
      <c r="AY360" s="31" t="n">
        <f aca="false">IF($G360="",AN360,P360)</f>
        <v>56</v>
      </c>
      <c r="AZ360" s="31" t="n">
        <f aca="false">IF($G360="",AO360,Q360)</f>
        <v>36820</v>
      </c>
      <c r="BA360" s="31" t="n">
        <f aca="false">IF($G360="",AP360,R360)</f>
        <v>36856</v>
      </c>
      <c r="BB360" s="31" t="n">
        <f aca="false">IF($G360="",AQ360,S360)</f>
        <v>5609</v>
      </c>
      <c r="BC360" s="31" t="n">
        <f aca="false">IF($G360="",AR360,T360)</f>
        <v>5609</v>
      </c>
      <c r="BD360" s="31" t="n">
        <f aca="false">IF($G360="",AS360,U360)</f>
        <v>816</v>
      </c>
      <c r="BE360" s="31" t="n">
        <f aca="false">IF($G360="",AT360,V360)</f>
        <v>816</v>
      </c>
      <c r="BF360" s="31" t="n">
        <f aca="false">ROUNDDOWN(I360*設定!$B$10/1000,0)+ROUNDDOWN(I360*設定!$B$11/1000,0)</f>
        <v>0</v>
      </c>
      <c r="BG360" s="31" t="n">
        <f aca="false">ROUNDDOWN(I360*設定!$C$10/1000,0)+ROUNDDOWN(I360*設定!$C$11/1000,0)+ROUNDDOWN(I360*設定!$C$12/1000,0)</f>
        <v>0</v>
      </c>
      <c r="BH360" s="31" t="n">
        <f aca="false">ROUNDDOWN(J360*設定!$B$13/1000,0)</f>
        <v>0</v>
      </c>
      <c r="BI360" s="31" t="n">
        <f aca="false">ROUNDDOWN(J360*設定!$C$13/1000,0)</f>
        <v>0</v>
      </c>
      <c r="BJ360" s="31" t="n">
        <f aca="false">ROUNDDOWN(K360*設定!$B$14/1000,0)</f>
        <v>0</v>
      </c>
      <c r="BK360" s="31" t="n">
        <f aca="false">ROUNDDOWN(K360*設定!$C$14/1000,0)</f>
        <v>0</v>
      </c>
      <c r="BL360" s="31" t="n">
        <f aca="false">ROUNDDOWN(J360*設定!$B$15/1000,0)</f>
        <v>0</v>
      </c>
      <c r="BM360" s="31" t="n">
        <f aca="false">ROUNDDOWN(J360*設定!$C$15/1000,0)</f>
        <v>0</v>
      </c>
      <c r="BN360" s="31" t="n">
        <f aca="false">L360+M360</f>
        <v>64350</v>
      </c>
      <c r="BO360" s="31" t="n">
        <f aca="false">N360+O360+P360</f>
        <v>64406</v>
      </c>
      <c r="BP360" s="31" t="n">
        <f aca="false">Q360</f>
        <v>36820</v>
      </c>
      <c r="BQ360" s="31" t="n">
        <f aca="false">R360</f>
        <v>36856</v>
      </c>
      <c r="BR360" s="31" t="n">
        <f aca="false">S360</f>
        <v>5609</v>
      </c>
      <c r="BS360" s="31" t="n">
        <f aca="false">T360</f>
        <v>5609</v>
      </c>
      <c r="BT360" s="31" t="n">
        <f aca="false">U360</f>
        <v>816</v>
      </c>
      <c r="BU360" s="31" t="n">
        <f aca="false">V360</f>
        <v>816</v>
      </c>
      <c r="BV360" s="32" t="n">
        <f aca="false">IF(BF360=0,IF(BN360=0,0,1),(BN360-BF360)/BF360)</f>
        <v>1</v>
      </c>
      <c r="BW360" s="32" t="n">
        <f aca="false">IF(BG360=0,IF(BO360=0,0,1),(BO360-BG360)/BG360)</f>
        <v>1</v>
      </c>
      <c r="BX360" s="32" t="n">
        <f aca="false">IF(BH360=0,IF(BP360=0,0,1),(BP360-BH360)/BH360)</f>
        <v>1</v>
      </c>
      <c r="BY360" s="32" t="n">
        <f aca="false">IF(BI360=0,IF(BQ360=0,0,1),(BQ360-BI360)/BI360)</f>
        <v>1</v>
      </c>
      <c r="BZ360" s="32" t="n">
        <f aca="false">IF(BJ360=0,IF(BR360=0,0,1),(BR360-BJ360)/BJ360)</f>
        <v>1</v>
      </c>
      <c r="CA360" s="32" t="n">
        <f aca="false">IF(BK360=0,IF(BS360=0,0,1),(BS360-BK360)/BK360)</f>
        <v>1</v>
      </c>
      <c r="CB360" s="32" t="n">
        <f aca="false">IF(BL360=0,IF(BT360=0,0,1),(BT360-BL360)/BL360)</f>
        <v>1</v>
      </c>
      <c r="CC360" s="32" t="n">
        <f aca="false">IF(BM360=0,IF(BU360=0,0,1),(BU360-BM360)/BM360)</f>
        <v>1</v>
      </c>
      <c r="CD360" s="32" t="n">
        <f aca="false">MAX(MAX(BV360:CC360),-MIN(BV360:CC360))</f>
        <v>1</v>
      </c>
      <c r="CE360" s="31" t="n">
        <f aca="false">IF(CI360="","",SUMIFS($CF$7:$CF$696,$A$7:$A$696,CI360,$B$7:$B$696,B360))</f>
        <v>215282</v>
      </c>
      <c r="CF360" s="31" t="n">
        <f aca="false">SUM(AU360:BE360)</f>
        <v>215282</v>
      </c>
      <c r="CG360" s="33" t="str">
        <f aca="false">A360&amp;"|"&amp;B360</f>
        <v>2026-10 月例|全国市町村研修財団</v>
      </c>
      <c r="CH360" s="34" t="str">
        <f aca="false">IFERROR(INDEX(設定!$D$61:$D$106,MATCH(B360,設定!$B$61:$B$106,0)),"Y")</f>
        <v>Y</v>
      </c>
      <c r="CI360" s="34" t="str">
        <f aca="false">IFERROR(INDEX(設定!$D$20:$D$34,MATCH(A360,設定!$A$20:$A$34,0))&amp;"","")</f>
        <v>2026-09 月例</v>
      </c>
    </row>
    <row r="361" customFormat="false" ht="15" hidden="false" customHeight="false" outlineLevel="0" collapsed="false">
      <c r="A361" s="22" t="s">
        <v>214</v>
      </c>
      <c r="B361" s="23" t="s">
        <v>193</v>
      </c>
      <c r="C361" s="10" t="str">
        <f aca="false">IF(G361="","未受領",IF(G361="なし","報告なし",IF(AH361="○","起票済",IF(OR(AG361="○",F361="一致",F361="入金不要"),"入金確認済","受領済"))))</f>
        <v>受領済</v>
      </c>
      <c r="D361" s="10" t="str">
        <f aca="false">IF(OR(G361="",G361="なし"),"―",IF(CH361="N","対象外",IF(AND(I361="",J361="",K361=""),"標報未入力",IF(CD361&gt;=設定!$B$4,"要確認","問題なし"))))</f>
        <v>標報未入力</v>
      </c>
      <c r="E361" s="24" t="str">
        <f aca="false">IF(OR(G361="",G361="なし",CE361="",CF361=0),"―",IF(CF361=CE361,"前月同額",IF(CE361=0,"―",IF(ABS(CF361/CE361-1)&gt;=設定!$B$5,"変動大 "&amp;TEXT(CF361/CE361-1,"+0%;-0%"),"〇"))))</f>
        <v>前月同額</v>
      </c>
      <c r="F361" s="10" t="str">
        <f aca="false">IF(OR(G361="",G361="なし"),"―",IF(CF361=0,"入金不要",IF(COUNT(Z361,AB361,AD361,AF361)=0,IF(AG361="○","手動確認","未入金"),IF(AND(N(Z361)=Y361,IF(AA361="",TRUE(),N(AB361)=AA361),IF(AC361="",TRUE(),N(AD361)=AC361),IF(AE361="",TRUE(),N(AF361)=AE361)),"一致","不一致"))))</f>
        <v>未入金</v>
      </c>
      <c r="G361" s="25" t="s">
        <v>159</v>
      </c>
      <c r="H361" s="26"/>
      <c r="I361" s="27"/>
      <c r="J361" s="27"/>
      <c r="K361" s="27"/>
      <c r="L361" s="27" t="n">
        <v>45750</v>
      </c>
      <c r="M361" s="27" t="n">
        <v>3750</v>
      </c>
      <c r="N361" s="27" t="n">
        <v>45750</v>
      </c>
      <c r="O361" s="27" t="n">
        <v>3750</v>
      </c>
      <c r="P361" s="27" t="n">
        <v>43</v>
      </c>
      <c r="Q361" s="27" t="n">
        <v>25930</v>
      </c>
      <c r="R361" s="27" t="n">
        <v>25955</v>
      </c>
      <c r="S361" s="27" t="n">
        <v>0</v>
      </c>
      <c r="T361" s="27" t="n">
        <v>0</v>
      </c>
      <c r="U361" s="27" t="n">
        <v>575</v>
      </c>
      <c r="V361" s="27" t="n">
        <v>575</v>
      </c>
      <c r="W361" s="10" t="str">
        <f aca="false">IFERROR(INDEX(設定!$E$61:$E$106,MATCH(B361,設定!$B$61:$B$106,0)),"合算")</f>
        <v>合算</v>
      </c>
      <c r="X361" s="28"/>
      <c r="Y361" s="29" t="n">
        <f aca="false">IF(OR(G361="",G361="なし"),"",IF(W361="合算",CF361,IF(W361="掛金・負担金別",(AU361+AV361+AZ361+BB361+BD361),SUM(AU361:AY361))))</f>
        <v>152078</v>
      </c>
      <c r="Z361" s="27"/>
      <c r="AA361" s="29" t="str">
        <f aca="false">IF(OR(G361="",G361="なし"),"",IF(W361="掛金・負担金別",(AW361+AX361+AY361+BA361+BC361+BE361),IF(W361="経理区分別",AZ361+BA361,"")))</f>
        <v/>
      </c>
      <c r="AB361" s="27"/>
      <c r="AC361" s="29" t="str">
        <f aca="false">IF(OR(G361="",G361="なし"),"",IF(W361="経理区分別",BB361+BC361,""))</f>
        <v/>
      </c>
      <c r="AD361" s="27"/>
      <c r="AE361" s="29" t="str">
        <f aca="false">IF(OR(G361="",G361="なし"),"",IF(W361="経理区分別",BD361+BE361,""))</f>
        <v/>
      </c>
      <c r="AF361" s="27"/>
      <c r="AG361" s="26"/>
      <c r="AH361" s="26"/>
      <c r="AI361" s="30"/>
      <c r="AJ361" s="31"/>
      <c r="AK361" s="31"/>
      <c r="AL361" s="31"/>
      <c r="AM361" s="31"/>
      <c r="AN361" s="31"/>
      <c r="AO361" s="31"/>
      <c r="AP361" s="31"/>
      <c r="AQ361" s="31"/>
      <c r="AR361" s="31"/>
      <c r="AS361" s="31"/>
      <c r="AT361" s="31"/>
      <c r="AU361" s="31" t="n">
        <f aca="false">IF($G361="",AJ361,L361)</f>
        <v>45750</v>
      </c>
      <c r="AV361" s="31" t="n">
        <f aca="false">IF($G361="",AK361,M361)</f>
        <v>3750</v>
      </c>
      <c r="AW361" s="31" t="n">
        <f aca="false">IF($G361="",AL361,N361)</f>
        <v>45750</v>
      </c>
      <c r="AX361" s="31" t="n">
        <f aca="false">IF($G361="",AM361,O361)</f>
        <v>3750</v>
      </c>
      <c r="AY361" s="31" t="n">
        <f aca="false">IF($G361="",AN361,P361)</f>
        <v>43</v>
      </c>
      <c r="AZ361" s="31" t="n">
        <f aca="false">IF($G361="",AO361,Q361)</f>
        <v>25930</v>
      </c>
      <c r="BA361" s="31" t="n">
        <f aca="false">IF($G361="",AP361,R361)</f>
        <v>25955</v>
      </c>
      <c r="BB361" s="31" t="n">
        <f aca="false">IF($G361="",AQ361,S361)</f>
        <v>0</v>
      </c>
      <c r="BC361" s="31" t="n">
        <f aca="false">IF($G361="",AR361,T361)</f>
        <v>0</v>
      </c>
      <c r="BD361" s="31" t="n">
        <f aca="false">IF($G361="",AS361,U361)</f>
        <v>575</v>
      </c>
      <c r="BE361" s="31" t="n">
        <f aca="false">IF($G361="",AT361,V361)</f>
        <v>575</v>
      </c>
      <c r="BF361" s="31" t="n">
        <f aca="false">ROUNDDOWN(I361*設定!$B$10/1000,0)+ROUNDDOWN(I361*設定!$B$11/1000,0)</f>
        <v>0</v>
      </c>
      <c r="BG361" s="31" t="n">
        <f aca="false">ROUNDDOWN(I361*設定!$C$10/1000,0)+ROUNDDOWN(I361*設定!$C$11/1000,0)+ROUNDDOWN(I361*設定!$C$12/1000,0)</f>
        <v>0</v>
      </c>
      <c r="BH361" s="31" t="n">
        <f aca="false">ROUNDDOWN(J361*設定!$B$13/1000,0)</f>
        <v>0</v>
      </c>
      <c r="BI361" s="31" t="n">
        <f aca="false">ROUNDDOWN(J361*設定!$C$13/1000,0)</f>
        <v>0</v>
      </c>
      <c r="BJ361" s="31" t="n">
        <f aca="false">ROUNDDOWN(K361*設定!$B$14/1000,0)</f>
        <v>0</v>
      </c>
      <c r="BK361" s="31" t="n">
        <f aca="false">ROUNDDOWN(K361*設定!$C$14/1000,0)</f>
        <v>0</v>
      </c>
      <c r="BL361" s="31" t="n">
        <f aca="false">ROUNDDOWN(J361*設定!$B$15/1000,0)</f>
        <v>0</v>
      </c>
      <c r="BM361" s="31" t="n">
        <f aca="false">ROUNDDOWN(J361*設定!$C$15/1000,0)</f>
        <v>0</v>
      </c>
      <c r="BN361" s="31" t="n">
        <f aca="false">L361+M361</f>
        <v>49500</v>
      </c>
      <c r="BO361" s="31" t="n">
        <f aca="false">N361+O361+P361</f>
        <v>49543</v>
      </c>
      <c r="BP361" s="31" t="n">
        <f aca="false">Q361</f>
        <v>25930</v>
      </c>
      <c r="BQ361" s="31" t="n">
        <f aca="false">R361</f>
        <v>25955</v>
      </c>
      <c r="BR361" s="31" t="n">
        <f aca="false">S361</f>
        <v>0</v>
      </c>
      <c r="BS361" s="31" t="n">
        <f aca="false">T361</f>
        <v>0</v>
      </c>
      <c r="BT361" s="31" t="n">
        <f aca="false">U361</f>
        <v>575</v>
      </c>
      <c r="BU361" s="31" t="n">
        <f aca="false">V361</f>
        <v>575</v>
      </c>
      <c r="BV361" s="32" t="n">
        <f aca="false">IF(BF361=0,IF(BN361=0,0,1),(BN361-BF361)/BF361)</f>
        <v>1</v>
      </c>
      <c r="BW361" s="32" t="n">
        <f aca="false">IF(BG361=0,IF(BO361=0,0,1),(BO361-BG361)/BG361)</f>
        <v>1</v>
      </c>
      <c r="BX361" s="32" t="n">
        <f aca="false">IF(BH361=0,IF(BP361=0,0,1),(BP361-BH361)/BH361)</f>
        <v>1</v>
      </c>
      <c r="BY361" s="32" t="n">
        <f aca="false">IF(BI361=0,IF(BQ361=0,0,1),(BQ361-BI361)/BI361)</f>
        <v>1</v>
      </c>
      <c r="BZ361" s="32" t="n">
        <f aca="false">IF(BJ361=0,IF(BR361=0,0,1),(BR361-BJ361)/BJ361)</f>
        <v>0</v>
      </c>
      <c r="CA361" s="32" t="n">
        <f aca="false">IF(BK361=0,IF(BS361=0,0,1),(BS361-BK361)/BK361)</f>
        <v>0</v>
      </c>
      <c r="CB361" s="32" t="n">
        <f aca="false">IF(BL361=0,IF(BT361=0,0,1),(BT361-BL361)/BL361)</f>
        <v>1</v>
      </c>
      <c r="CC361" s="32" t="n">
        <f aca="false">IF(BM361=0,IF(BU361=0,0,1),(BU361-BM361)/BM361)</f>
        <v>1</v>
      </c>
      <c r="CD361" s="32" t="n">
        <f aca="false">MAX(MAX(BV361:CC361),-MIN(BV361:CC361))</f>
        <v>1</v>
      </c>
      <c r="CE361" s="31" t="n">
        <f aca="false">IF(CI361="","",SUMIFS($CF$7:$CF$696,$A$7:$A$696,CI361,$B$7:$B$696,B361))</f>
        <v>152078</v>
      </c>
      <c r="CF361" s="31" t="n">
        <f aca="false">SUM(AU361:BE361)</f>
        <v>152078</v>
      </c>
      <c r="CG361" s="33" t="str">
        <f aca="false">A361&amp;"|"&amp;B361</f>
        <v>2026-10 月例|都市再生機構</v>
      </c>
      <c r="CH361" s="34" t="str">
        <f aca="false">IFERROR(INDEX(設定!$D$61:$D$106,MATCH(B361,設定!$B$61:$B$106,0)),"Y")</f>
        <v>Y</v>
      </c>
      <c r="CI361" s="34" t="str">
        <f aca="false">IFERROR(INDEX(設定!$D$20:$D$34,MATCH(A361,設定!$A$20:$A$34,0))&amp;"","")</f>
        <v>2026-09 月例</v>
      </c>
    </row>
    <row r="362" customFormat="false" ht="15" hidden="false" customHeight="false" outlineLevel="0" collapsed="false">
      <c r="A362" s="22" t="s">
        <v>214</v>
      </c>
      <c r="B362" s="23" t="s">
        <v>194</v>
      </c>
      <c r="C362" s="10" t="str">
        <f aca="false">IF(G362="","未受領",IF(G362="なし","報告なし",IF(AH362="○","起票済",IF(OR(AG362="○",F362="一致",F362="入金不要"),"入金確認済","受領済"))))</f>
        <v>未受領</v>
      </c>
      <c r="D362" s="10" t="str">
        <f aca="false">IF(OR(G362="",G362="なし"),"―",IF(CH362="N","対象外",IF(AND(I362="",J362="",K362=""),"標報未入力",IF(CD362&gt;=設定!$B$4,"要確認","問題なし"))))</f>
        <v>―</v>
      </c>
      <c r="E362" s="24" t="str">
        <f aca="false">IF(OR(G362="",G362="なし",CE362="",CF362=0),"―",IF(CF362=CE362,"前月同額",IF(CE362=0,"―",IF(ABS(CF362/CE362-1)&gt;=設定!$B$5,"変動大 "&amp;TEXT(CF362/CE362-1,"+0%;-0%"),"〇"))))</f>
        <v>―</v>
      </c>
      <c r="F362" s="10" t="str">
        <f aca="false">IF(OR(G362="",G362="なし"),"―",IF(CF362=0,"入金不要",IF(COUNT(Z362,AB362,AD362,AF362)=0,IF(AG362="○","手動確認","未入金"),IF(AND(N(Z362)=Y362,IF(AA362="",TRUE(),N(AB362)=AA362),IF(AC362="",TRUE(),N(AD362)=AC362),IF(AE362="",TRUE(),N(AF362)=AE362)),"一致","不一致"))))</f>
        <v>―</v>
      </c>
      <c r="G362" s="25"/>
      <c r="H362" s="26"/>
      <c r="I362" s="27"/>
      <c r="J362" s="27"/>
      <c r="K362" s="27"/>
      <c r="L362" s="27"/>
      <c r="M362" s="27"/>
      <c r="N362" s="27"/>
      <c r="O362" s="27"/>
      <c r="P362" s="27"/>
      <c r="Q362" s="27"/>
      <c r="R362" s="27"/>
      <c r="S362" s="27"/>
      <c r="T362" s="27"/>
      <c r="U362" s="27"/>
      <c r="V362" s="27"/>
      <c r="W362" s="10" t="str">
        <f aca="false">IFERROR(INDEX(設定!$E$61:$E$106,MATCH(B362,設定!$B$61:$B$106,0)),"合算")</f>
        <v>合算</v>
      </c>
      <c r="X362" s="28"/>
      <c r="Y362" s="29" t="str">
        <f aca="false">IF(OR(G362="",G362="なし"),"",IF(W362="合算",CF362,IF(W362="掛金・負担金別",(AU362+AV362+AZ362+BB362+BD362),SUM(AU362:AY362))))</f>
        <v/>
      </c>
      <c r="Z362" s="27"/>
      <c r="AA362" s="29" t="str">
        <f aca="false">IF(OR(G362="",G362="なし"),"",IF(W362="掛金・負担金別",(AW362+AX362+AY362+BA362+BC362+BE362),IF(W362="経理区分別",AZ362+BA362,"")))</f>
        <v/>
      </c>
      <c r="AB362" s="27"/>
      <c r="AC362" s="29" t="str">
        <f aca="false">IF(OR(G362="",G362="なし"),"",IF(W362="経理区分別",BB362+BC362,""))</f>
        <v/>
      </c>
      <c r="AD362" s="27"/>
      <c r="AE362" s="29" t="str">
        <f aca="false">IF(OR(G362="",G362="なし"),"",IF(W362="経理区分別",BD362+BE362,""))</f>
        <v/>
      </c>
      <c r="AF362" s="27"/>
      <c r="AG362" s="26"/>
      <c r="AH362" s="26"/>
      <c r="AI362" s="30"/>
      <c r="AJ362" s="31" t="n">
        <v>1234335</v>
      </c>
      <c r="AK362" s="31" t="n">
        <v>101175</v>
      </c>
      <c r="AL362" s="31" t="n">
        <v>1234335</v>
      </c>
      <c r="AM362" s="31" t="n">
        <v>101175</v>
      </c>
      <c r="AN362" s="31" t="n">
        <v>1337</v>
      </c>
      <c r="AO362" s="31" t="n">
        <v>742074</v>
      </c>
      <c r="AP362" s="31" t="n">
        <v>743509</v>
      </c>
      <c r="AQ362" s="31" t="n">
        <v>64227</v>
      </c>
      <c r="AR362" s="31" t="n">
        <v>64227</v>
      </c>
      <c r="AS362" s="31" t="n">
        <v>1</v>
      </c>
      <c r="AT362" s="31" t="n">
        <v>1</v>
      </c>
      <c r="AU362" s="31" t="n">
        <f aca="false">IF($G362="",AJ362,L362)</f>
        <v>1234335</v>
      </c>
      <c r="AV362" s="31" t="n">
        <f aca="false">IF($G362="",AK362,M362)</f>
        <v>101175</v>
      </c>
      <c r="AW362" s="31" t="n">
        <f aca="false">IF($G362="",AL362,N362)</f>
        <v>1234335</v>
      </c>
      <c r="AX362" s="31" t="n">
        <f aca="false">IF($G362="",AM362,O362)</f>
        <v>101175</v>
      </c>
      <c r="AY362" s="31" t="n">
        <f aca="false">IF($G362="",AN362,P362)</f>
        <v>1337</v>
      </c>
      <c r="AZ362" s="31" t="n">
        <f aca="false">IF($G362="",AO362,Q362)</f>
        <v>742074</v>
      </c>
      <c r="BA362" s="31" t="n">
        <f aca="false">IF($G362="",AP362,R362)</f>
        <v>743509</v>
      </c>
      <c r="BB362" s="31" t="n">
        <f aca="false">IF($G362="",AQ362,S362)</f>
        <v>64227</v>
      </c>
      <c r="BC362" s="31" t="n">
        <f aca="false">IF($G362="",AR362,T362)</f>
        <v>64227</v>
      </c>
      <c r="BD362" s="31" t="n">
        <f aca="false">IF($G362="",AS362,U362)</f>
        <v>1</v>
      </c>
      <c r="BE362" s="31" t="n">
        <f aca="false">IF($G362="",AT362,V362)</f>
        <v>1</v>
      </c>
      <c r="BF362" s="31" t="n">
        <f aca="false">ROUNDDOWN(I362*設定!$B$10/1000,0)+ROUNDDOWN(I362*設定!$B$11/1000,0)</f>
        <v>0</v>
      </c>
      <c r="BG362" s="31" t="n">
        <f aca="false">ROUNDDOWN(I362*設定!$C$10/1000,0)+ROUNDDOWN(I362*設定!$C$11/1000,0)+ROUNDDOWN(I362*設定!$C$12/1000,0)</f>
        <v>0</v>
      </c>
      <c r="BH362" s="31" t="n">
        <f aca="false">ROUNDDOWN(J362*設定!$B$13/1000,0)</f>
        <v>0</v>
      </c>
      <c r="BI362" s="31" t="n">
        <f aca="false">ROUNDDOWN(J362*設定!$C$13/1000,0)</f>
        <v>0</v>
      </c>
      <c r="BJ362" s="31" t="n">
        <f aca="false">ROUNDDOWN(K362*設定!$B$14/1000,0)</f>
        <v>0</v>
      </c>
      <c r="BK362" s="31" t="n">
        <f aca="false">ROUNDDOWN(K362*設定!$C$14/1000,0)</f>
        <v>0</v>
      </c>
      <c r="BL362" s="31" t="n">
        <f aca="false">ROUNDDOWN(J362*設定!$B$15/1000,0)</f>
        <v>0</v>
      </c>
      <c r="BM362" s="31" t="n">
        <f aca="false">ROUNDDOWN(J362*設定!$C$15/1000,0)</f>
        <v>0</v>
      </c>
      <c r="BN362" s="31" t="n">
        <f aca="false">L362+M362</f>
        <v>0</v>
      </c>
      <c r="BO362" s="31" t="n">
        <f aca="false">N362+O362+P362</f>
        <v>0</v>
      </c>
      <c r="BP362" s="31" t="n">
        <f aca="false">Q362</f>
        <v>0</v>
      </c>
      <c r="BQ362" s="31" t="n">
        <f aca="false">R362</f>
        <v>0</v>
      </c>
      <c r="BR362" s="31" t="n">
        <f aca="false">S362</f>
        <v>0</v>
      </c>
      <c r="BS362" s="31" t="n">
        <f aca="false">T362</f>
        <v>0</v>
      </c>
      <c r="BT362" s="31" t="n">
        <f aca="false">U362</f>
        <v>0</v>
      </c>
      <c r="BU362" s="31" t="n">
        <f aca="false">V362</f>
        <v>0</v>
      </c>
      <c r="BV362" s="32" t="n">
        <f aca="false">IF(BF362=0,IF(BN362=0,0,1),(BN362-BF362)/BF362)</f>
        <v>0</v>
      </c>
      <c r="BW362" s="32" t="n">
        <f aca="false">IF(BG362=0,IF(BO362=0,0,1),(BO362-BG362)/BG362)</f>
        <v>0</v>
      </c>
      <c r="BX362" s="32" t="n">
        <f aca="false">IF(BH362=0,IF(BP362=0,0,1),(BP362-BH362)/BH362)</f>
        <v>0</v>
      </c>
      <c r="BY362" s="32" t="n">
        <f aca="false">IF(BI362=0,IF(BQ362=0,0,1),(BQ362-BI362)/BI362)</f>
        <v>0</v>
      </c>
      <c r="BZ362" s="32" t="n">
        <f aca="false">IF(BJ362=0,IF(BR362=0,0,1),(BR362-BJ362)/BJ362)</f>
        <v>0</v>
      </c>
      <c r="CA362" s="32" t="n">
        <f aca="false">IF(BK362=0,IF(BS362=0,0,1),(BS362-BK362)/BK362)</f>
        <v>0</v>
      </c>
      <c r="CB362" s="32" t="n">
        <f aca="false">IF(BL362=0,IF(BT362=0,0,1),(BT362-BL362)/BL362)</f>
        <v>0</v>
      </c>
      <c r="CC362" s="32" t="n">
        <f aca="false">IF(BM362=0,IF(BU362=0,0,1),(BU362-BM362)/BM362)</f>
        <v>0</v>
      </c>
      <c r="CD362" s="32" t="n">
        <f aca="false">MAX(MAX(BV362:CC362),-MIN(BV362:CC362))</f>
        <v>-0</v>
      </c>
      <c r="CE362" s="31" t="n">
        <f aca="false">IF(CI362="","",SUMIFS($CF$7:$CF$696,$A$7:$A$696,CI362,$B$7:$B$696,B362))</f>
        <v>4272800</v>
      </c>
      <c r="CF362" s="31" t="n">
        <f aca="false">SUM(AU362:BE362)</f>
        <v>4286396</v>
      </c>
      <c r="CG362" s="33" t="str">
        <f aca="false">A362&amp;"|"&amp;B362</f>
        <v>2026-10 月例|広島市立大学</v>
      </c>
      <c r="CH362" s="34" t="str">
        <f aca="false">IFERROR(INDEX(設定!$D$61:$D$106,MATCH(B362,設定!$B$61:$B$106,0)),"Y")</f>
        <v>Y</v>
      </c>
      <c r="CI362" s="34" t="str">
        <f aca="false">IFERROR(INDEX(設定!$D$20:$D$34,MATCH(A362,設定!$A$20:$A$34,0))&amp;"","")</f>
        <v>2026-09 月例</v>
      </c>
    </row>
    <row r="363" customFormat="false" ht="15" hidden="false" customHeight="false" outlineLevel="0" collapsed="false">
      <c r="A363" s="22" t="s">
        <v>214</v>
      </c>
      <c r="B363" s="23" t="s">
        <v>195</v>
      </c>
      <c r="C363" s="10" t="str">
        <f aca="false">IF(G363="","未受領",IF(G363="なし","報告なし",IF(AH363="○","起票済",IF(OR(AG363="○",F363="一致",F363="入金不要"),"入金確認済","受領済"))))</f>
        <v>未受領</v>
      </c>
      <c r="D363" s="10" t="str">
        <f aca="false">IF(OR(G363="",G363="なし"),"―",IF(CH363="N","対象外",IF(AND(I363="",J363="",K363=""),"標報未入力",IF(CD363&gt;=設定!$B$4,"要確認","問題なし"))))</f>
        <v>―</v>
      </c>
      <c r="E363" s="24" t="str">
        <f aca="false">IF(OR(G363="",G363="なし",CE363="",CF363=0),"―",IF(CF363=CE363,"前月同額",IF(CE363=0,"―",IF(ABS(CF363/CE363-1)&gt;=設定!$B$5,"変動大 "&amp;TEXT(CF363/CE363-1,"+0%;-0%"),"〇"))))</f>
        <v>―</v>
      </c>
      <c r="F363" s="10" t="str">
        <f aca="false">IF(OR(G363="",G363="なし"),"―",IF(CF363=0,"入金不要",IF(COUNT(Z363,AB363,AD363,AF363)=0,IF(AG363="○","手動確認","未入金"),IF(AND(N(Z363)=Y363,IF(AA363="",TRUE(),N(AB363)=AA363),IF(AC363="",TRUE(),N(AD363)=AC363),IF(AE363="",TRUE(),N(AF363)=AE363)),"一致","不一致"))))</f>
        <v>―</v>
      </c>
      <c r="G363" s="25"/>
      <c r="H363" s="26"/>
      <c r="I363" s="27"/>
      <c r="J363" s="27"/>
      <c r="K363" s="27"/>
      <c r="L363" s="27"/>
      <c r="M363" s="27"/>
      <c r="N363" s="27"/>
      <c r="O363" s="27"/>
      <c r="P363" s="27"/>
      <c r="Q363" s="27"/>
      <c r="R363" s="27"/>
      <c r="S363" s="27"/>
      <c r="T363" s="27"/>
      <c r="U363" s="27"/>
      <c r="V363" s="27"/>
      <c r="W363" s="10" t="str">
        <f aca="false">IFERROR(INDEX(設定!$E$61:$E$106,MATCH(B363,設定!$B$61:$B$106,0)),"合算")</f>
        <v>合算</v>
      </c>
      <c r="X363" s="28"/>
      <c r="Y363" s="29" t="str">
        <f aca="false">IF(OR(G363="",G363="なし"),"",IF(W363="合算",CF363,IF(W363="掛金・負担金別",(AU363+AV363+AZ363+BB363+BD363),SUM(AU363:AY363))))</f>
        <v/>
      </c>
      <c r="Z363" s="27"/>
      <c r="AA363" s="29" t="str">
        <f aca="false">IF(OR(G363="",G363="なし"),"",IF(W363="掛金・負担金別",(AW363+AX363+AY363+BA363+BC363+BE363),IF(W363="経理区分別",AZ363+BA363,"")))</f>
        <v/>
      </c>
      <c r="AB363" s="27"/>
      <c r="AC363" s="29" t="str">
        <f aca="false">IF(OR(G363="",G363="なし"),"",IF(W363="経理区分別",BB363+BC363,""))</f>
        <v/>
      </c>
      <c r="AD363" s="27"/>
      <c r="AE363" s="29" t="str">
        <f aca="false">IF(OR(G363="",G363="なし"),"",IF(W363="経理区分別",BD363+BE363,""))</f>
        <v/>
      </c>
      <c r="AF363" s="27"/>
      <c r="AG363" s="26"/>
      <c r="AH363" s="26"/>
      <c r="AI363" s="30"/>
      <c r="AJ363" s="31"/>
      <c r="AK363" s="31"/>
      <c r="AL363" s="31" t="n">
        <v>245220</v>
      </c>
      <c r="AM363" s="31" t="n">
        <v>20100</v>
      </c>
      <c r="AN363" s="31" t="n">
        <v>251</v>
      </c>
      <c r="AO363" s="31"/>
      <c r="AP363" s="31" t="n">
        <v>151001</v>
      </c>
      <c r="AQ363" s="31"/>
      <c r="AR363" s="31" t="n">
        <v>10744</v>
      </c>
      <c r="AS363" s="31"/>
      <c r="AT363" s="31" t="n">
        <v>1</v>
      </c>
      <c r="AU363" s="31" t="n">
        <f aca="false">IF($G363="",AJ363,L363)</f>
        <v>0</v>
      </c>
      <c r="AV363" s="31" t="n">
        <f aca="false">IF($G363="",AK363,M363)</f>
        <v>0</v>
      </c>
      <c r="AW363" s="31" t="n">
        <f aca="false">IF($G363="",AL363,N363)</f>
        <v>245220</v>
      </c>
      <c r="AX363" s="31" t="n">
        <f aca="false">IF($G363="",AM363,O363)</f>
        <v>20100</v>
      </c>
      <c r="AY363" s="31" t="n">
        <f aca="false">IF($G363="",AN363,P363)</f>
        <v>251</v>
      </c>
      <c r="AZ363" s="31" t="n">
        <f aca="false">IF($G363="",AO363,Q363)</f>
        <v>0</v>
      </c>
      <c r="BA363" s="31" t="n">
        <f aca="false">IF($G363="",AP363,R363)</f>
        <v>151001</v>
      </c>
      <c r="BB363" s="31" t="n">
        <f aca="false">IF($G363="",AQ363,S363)</f>
        <v>0</v>
      </c>
      <c r="BC363" s="31" t="n">
        <f aca="false">IF($G363="",AR363,T363)</f>
        <v>10744</v>
      </c>
      <c r="BD363" s="31" t="n">
        <f aca="false">IF($G363="",AS363,U363)</f>
        <v>0</v>
      </c>
      <c r="BE363" s="31" t="n">
        <f aca="false">IF($G363="",AT363,V363)</f>
        <v>1</v>
      </c>
      <c r="BF363" s="31" t="n">
        <f aca="false">ROUNDDOWN(I363*設定!$B$10/1000,0)+ROUNDDOWN(I363*設定!$B$11/1000,0)</f>
        <v>0</v>
      </c>
      <c r="BG363" s="31" t="n">
        <f aca="false">ROUNDDOWN(I363*設定!$C$10/1000,0)+ROUNDDOWN(I363*設定!$C$11/1000,0)+ROUNDDOWN(I363*設定!$C$12/1000,0)</f>
        <v>0</v>
      </c>
      <c r="BH363" s="31" t="n">
        <f aca="false">ROUNDDOWN(J363*設定!$B$13/1000,0)</f>
        <v>0</v>
      </c>
      <c r="BI363" s="31" t="n">
        <f aca="false">ROUNDDOWN(J363*設定!$C$13/1000,0)</f>
        <v>0</v>
      </c>
      <c r="BJ363" s="31" t="n">
        <f aca="false">ROUNDDOWN(K363*設定!$B$14/1000,0)</f>
        <v>0</v>
      </c>
      <c r="BK363" s="31" t="n">
        <f aca="false">ROUNDDOWN(K363*設定!$C$14/1000,0)</f>
        <v>0</v>
      </c>
      <c r="BL363" s="31" t="n">
        <f aca="false">ROUNDDOWN(J363*設定!$B$15/1000,0)</f>
        <v>0</v>
      </c>
      <c r="BM363" s="31" t="n">
        <f aca="false">ROUNDDOWN(J363*設定!$C$15/1000,0)</f>
        <v>0</v>
      </c>
      <c r="BN363" s="31" t="n">
        <f aca="false">L363+M363</f>
        <v>0</v>
      </c>
      <c r="BO363" s="31" t="n">
        <f aca="false">N363+O363+P363</f>
        <v>0</v>
      </c>
      <c r="BP363" s="31" t="n">
        <f aca="false">Q363</f>
        <v>0</v>
      </c>
      <c r="BQ363" s="31" t="n">
        <f aca="false">R363</f>
        <v>0</v>
      </c>
      <c r="BR363" s="31" t="n">
        <f aca="false">S363</f>
        <v>0</v>
      </c>
      <c r="BS363" s="31" t="n">
        <f aca="false">T363</f>
        <v>0</v>
      </c>
      <c r="BT363" s="31" t="n">
        <f aca="false">U363</f>
        <v>0</v>
      </c>
      <c r="BU363" s="31" t="n">
        <f aca="false">V363</f>
        <v>0</v>
      </c>
      <c r="BV363" s="32" t="n">
        <f aca="false">IF(BF363=0,IF(BN363=0,0,1),(BN363-BF363)/BF363)</f>
        <v>0</v>
      </c>
      <c r="BW363" s="32" t="n">
        <f aca="false">IF(BG363=0,IF(BO363=0,0,1),(BO363-BG363)/BG363)</f>
        <v>0</v>
      </c>
      <c r="BX363" s="32" t="n">
        <f aca="false">IF(BH363=0,IF(BP363=0,0,1),(BP363-BH363)/BH363)</f>
        <v>0</v>
      </c>
      <c r="BY363" s="32" t="n">
        <f aca="false">IF(BI363=0,IF(BQ363=0,0,1),(BQ363-BI363)/BI363)</f>
        <v>0</v>
      </c>
      <c r="BZ363" s="32" t="n">
        <f aca="false">IF(BJ363=0,IF(BR363=0,0,1),(BR363-BJ363)/BJ363)</f>
        <v>0</v>
      </c>
      <c r="CA363" s="32" t="n">
        <f aca="false">IF(BK363=0,IF(BS363=0,0,1),(BS363-BK363)/BK363)</f>
        <v>0</v>
      </c>
      <c r="CB363" s="32" t="n">
        <f aca="false">IF(BL363=0,IF(BT363=0,0,1),(BT363-BL363)/BL363)</f>
        <v>0</v>
      </c>
      <c r="CC363" s="32" t="n">
        <f aca="false">IF(BM363=0,IF(BU363=0,0,1),(BU363-BM363)/BM363)</f>
        <v>0</v>
      </c>
      <c r="CD363" s="32" t="n">
        <f aca="false">MAX(MAX(BV363:CC363),-MIN(BV363:CC363))</f>
        <v>-0</v>
      </c>
      <c r="CE363" s="31" t="n">
        <f aca="false">IF(CI363="","",SUMIFS($CF$7:$CF$696,$A$7:$A$696,CI363,$B$7:$B$696,B363))</f>
        <v>444205</v>
      </c>
      <c r="CF363" s="31" t="n">
        <f aca="false">SUM(AU363:BE363)</f>
        <v>427317</v>
      </c>
      <c r="CG363" s="33" t="str">
        <f aca="false">A363&amp;"|"&amp;B363</f>
        <v>2026-10 月例|社会福祉協議会</v>
      </c>
      <c r="CH363" s="34" t="str">
        <f aca="false">IFERROR(INDEX(設定!$D$61:$D$106,MATCH(B363,設定!$B$61:$B$106,0)),"Y")</f>
        <v>Y</v>
      </c>
      <c r="CI363" s="34" t="str">
        <f aca="false">IFERROR(INDEX(設定!$D$20:$D$34,MATCH(A363,設定!$A$20:$A$34,0))&amp;"","")</f>
        <v>2026-09 月例</v>
      </c>
    </row>
    <row r="364" customFormat="false" ht="15" hidden="false" customHeight="false" outlineLevel="0" collapsed="false">
      <c r="A364" s="22" t="s">
        <v>214</v>
      </c>
      <c r="B364" s="23" t="s">
        <v>196</v>
      </c>
      <c r="C364" s="10" t="str">
        <f aca="false">IF(G364="","未受領",IF(G364="なし","報告なし",IF(AH364="○","起票済",IF(OR(AG364="○",F364="一致",F364="入金不要"),"入金確認済","受領済"))))</f>
        <v>未受領</v>
      </c>
      <c r="D364" s="10" t="str">
        <f aca="false">IF(OR(G364="",G364="なし"),"―",IF(CH364="N","対象外",IF(AND(I364="",J364="",K364=""),"標報未入力",IF(CD364&gt;=設定!$B$4,"要確認","問題なし"))))</f>
        <v>―</v>
      </c>
      <c r="E364" s="24" t="str">
        <f aca="false">IF(OR(G364="",G364="なし",CE364="",CF364=0),"―",IF(CF364=CE364,"前月同額",IF(CE364=0,"―",IF(ABS(CF364/CE364-1)&gt;=設定!$B$5,"変動大 "&amp;TEXT(CF364/CE364-1,"+0%;-0%"),"〇"))))</f>
        <v>―</v>
      </c>
      <c r="F364" s="10" t="str">
        <f aca="false">IF(OR(G364="",G364="なし"),"―",IF(CF364=0,"入金不要",IF(COUNT(Z364,AB364,AD364,AF364)=0,IF(AG364="○","手動確認","未入金"),IF(AND(N(Z364)=Y364,IF(AA364="",TRUE(),N(AB364)=AA364),IF(AC364="",TRUE(),N(AD364)=AC364),IF(AE364="",TRUE(),N(AF364)=AE364)),"一致","不一致"))))</f>
        <v>―</v>
      </c>
      <c r="G364" s="25"/>
      <c r="H364" s="26"/>
      <c r="I364" s="27"/>
      <c r="J364" s="27"/>
      <c r="K364" s="27"/>
      <c r="L364" s="27"/>
      <c r="M364" s="27"/>
      <c r="N364" s="27"/>
      <c r="O364" s="27"/>
      <c r="P364" s="27"/>
      <c r="Q364" s="27"/>
      <c r="R364" s="27"/>
      <c r="S364" s="27"/>
      <c r="T364" s="27"/>
      <c r="U364" s="27"/>
      <c r="V364" s="27"/>
      <c r="W364" s="10" t="str">
        <f aca="false">IFERROR(INDEX(設定!$E$61:$E$106,MATCH(B364,設定!$B$61:$B$106,0)),"合算")</f>
        <v>合算</v>
      </c>
      <c r="X364" s="28"/>
      <c r="Y364" s="29" t="str">
        <f aca="false">IF(OR(G364="",G364="なし"),"",IF(W364="合算",CF364,IF(W364="掛金・負担金別",(AU364+AV364+AZ364+BB364+BD364),SUM(AU364:AY364))))</f>
        <v/>
      </c>
      <c r="Z364" s="27"/>
      <c r="AA364" s="29" t="str">
        <f aca="false">IF(OR(G364="",G364="なし"),"",IF(W364="掛金・負担金別",(AW364+AX364+AY364+BA364+BC364+BE364),IF(W364="経理区分別",AZ364+BA364,"")))</f>
        <v/>
      </c>
      <c r="AB364" s="27"/>
      <c r="AC364" s="29" t="str">
        <f aca="false">IF(OR(G364="",G364="なし"),"",IF(W364="経理区分別",BB364+BC364,""))</f>
        <v/>
      </c>
      <c r="AD364" s="27"/>
      <c r="AE364" s="29" t="str">
        <f aca="false">IF(OR(G364="",G364="なし"),"",IF(W364="経理区分別",BD364+BE364,""))</f>
        <v/>
      </c>
      <c r="AF364" s="27"/>
      <c r="AG364" s="26"/>
      <c r="AH364" s="26"/>
      <c r="AI364" s="30"/>
      <c r="AJ364" s="31" t="n">
        <v>124033466</v>
      </c>
      <c r="AK364" s="31" t="n">
        <v>10166678</v>
      </c>
      <c r="AL364" s="31" t="n">
        <v>183571142</v>
      </c>
      <c r="AM364" s="31" t="n">
        <v>10169978</v>
      </c>
      <c r="AN364" s="31" t="n">
        <v>134503</v>
      </c>
      <c r="AO364" s="31" t="n">
        <v>96329196</v>
      </c>
      <c r="AP364" s="31" t="n">
        <v>96541373</v>
      </c>
      <c r="AQ364" s="31" t="n">
        <v>7758167</v>
      </c>
      <c r="AR364" s="31" t="n">
        <v>7761643</v>
      </c>
      <c r="AS364" s="31" t="n">
        <v>1</v>
      </c>
      <c r="AT364" s="31" t="n">
        <v>1</v>
      </c>
      <c r="AU364" s="31" t="n">
        <f aca="false">IF($G364="",AJ364,L364)</f>
        <v>124033466</v>
      </c>
      <c r="AV364" s="31" t="n">
        <f aca="false">IF($G364="",AK364,M364)</f>
        <v>10166678</v>
      </c>
      <c r="AW364" s="31" t="n">
        <f aca="false">IF($G364="",AL364,N364)</f>
        <v>183571142</v>
      </c>
      <c r="AX364" s="31" t="n">
        <f aca="false">IF($G364="",AM364,O364)</f>
        <v>10169978</v>
      </c>
      <c r="AY364" s="31" t="n">
        <f aca="false">IF($G364="",AN364,P364)</f>
        <v>134503</v>
      </c>
      <c r="AZ364" s="31" t="n">
        <f aca="false">IF($G364="",AO364,Q364)</f>
        <v>96329196</v>
      </c>
      <c r="BA364" s="31" t="n">
        <f aca="false">IF($G364="",AP364,R364)</f>
        <v>96541373</v>
      </c>
      <c r="BB364" s="31" t="n">
        <f aca="false">IF($G364="",AQ364,S364)</f>
        <v>7758167</v>
      </c>
      <c r="BC364" s="31" t="n">
        <f aca="false">IF($G364="",AR364,T364)</f>
        <v>7761643</v>
      </c>
      <c r="BD364" s="31" t="n">
        <f aca="false">IF($G364="",AS364,U364)</f>
        <v>1</v>
      </c>
      <c r="BE364" s="31" t="n">
        <f aca="false">IF($G364="",AT364,V364)</f>
        <v>1</v>
      </c>
      <c r="BF364" s="31" t="n">
        <f aca="false">ROUNDDOWN(I364*設定!$B$10/1000,0)+ROUNDDOWN(I364*設定!$B$11/1000,0)</f>
        <v>0</v>
      </c>
      <c r="BG364" s="31" t="n">
        <f aca="false">ROUNDDOWN(I364*設定!$C$10/1000,0)+ROUNDDOWN(I364*設定!$C$11/1000,0)+ROUNDDOWN(I364*設定!$C$12/1000,0)</f>
        <v>0</v>
      </c>
      <c r="BH364" s="31" t="n">
        <f aca="false">ROUNDDOWN(J364*設定!$B$13/1000,0)</f>
        <v>0</v>
      </c>
      <c r="BI364" s="31" t="n">
        <f aca="false">ROUNDDOWN(J364*設定!$C$13/1000,0)</f>
        <v>0</v>
      </c>
      <c r="BJ364" s="31" t="n">
        <f aca="false">ROUNDDOWN(K364*設定!$B$14/1000,0)</f>
        <v>0</v>
      </c>
      <c r="BK364" s="31" t="n">
        <f aca="false">ROUNDDOWN(K364*設定!$C$14/1000,0)</f>
        <v>0</v>
      </c>
      <c r="BL364" s="31" t="n">
        <f aca="false">ROUNDDOWN(J364*設定!$B$15/1000,0)</f>
        <v>0</v>
      </c>
      <c r="BM364" s="31" t="n">
        <f aca="false">ROUNDDOWN(J364*設定!$C$15/1000,0)</f>
        <v>0</v>
      </c>
      <c r="BN364" s="31" t="n">
        <f aca="false">L364+M364</f>
        <v>0</v>
      </c>
      <c r="BO364" s="31" t="n">
        <f aca="false">N364+O364+P364</f>
        <v>0</v>
      </c>
      <c r="BP364" s="31" t="n">
        <f aca="false">Q364</f>
        <v>0</v>
      </c>
      <c r="BQ364" s="31" t="n">
        <f aca="false">R364</f>
        <v>0</v>
      </c>
      <c r="BR364" s="31" t="n">
        <f aca="false">S364</f>
        <v>0</v>
      </c>
      <c r="BS364" s="31" t="n">
        <f aca="false">T364</f>
        <v>0</v>
      </c>
      <c r="BT364" s="31" t="n">
        <f aca="false">U364</f>
        <v>0</v>
      </c>
      <c r="BU364" s="31" t="n">
        <f aca="false">V364</f>
        <v>0</v>
      </c>
      <c r="BV364" s="32" t="n">
        <f aca="false">IF(BF364=0,IF(BN364=0,0,1),(BN364-BF364)/BF364)</f>
        <v>0</v>
      </c>
      <c r="BW364" s="32" t="n">
        <f aca="false">IF(BG364=0,IF(BO364=0,0,1),(BO364-BG364)/BG364)</f>
        <v>0</v>
      </c>
      <c r="BX364" s="32" t="n">
        <f aca="false">IF(BH364=0,IF(BP364=0,0,1),(BP364-BH364)/BH364)</f>
        <v>0</v>
      </c>
      <c r="BY364" s="32" t="n">
        <f aca="false">IF(BI364=0,IF(BQ364=0,0,1),(BQ364-BI364)/BI364)</f>
        <v>0</v>
      </c>
      <c r="BZ364" s="32" t="n">
        <f aca="false">IF(BJ364=0,IF(BR364=0,0,1),(BR364-BJ364)/BJ364)</f>
        <v>0</v>
      </c>
      <c r="CA364" s="32" t="n">
        <f aca="false">IF(BK364=0,IF(BS364=0,0,1),(BS364-BK364)/BK364)</f>
        <v>0</v>
      </c>
      <c r="CB364" s="32" t="n">
        <f aca="false">IF(BL364=0,IF(BT364=0,0,1),(BT364-BL364)/BL364)</f>
        <v>0</v>
      </c>
      <c r="CC364" s="32" t="n">
        <f aca="false">IF(BM364=0,IF(BU364=0,0,1),(BU364-BM364)/BM364)</f>
        <v>0</v>
      </c>
      <c r="CD364" s="32" t="n">
        <f aca="false">MAX(MAX(BV364:CC364),-MIN(BV364:CC364))</f>
        <v>-0</v>
      </c>
      <c r="CE364" s="31" t="n">
        <f aca="false">IF(CI364="","",SUMIFS($CF$7:$CF$696,$A$7:$A$696,CI364,$B$7:$B$696,B364))</f>
        <v>544461191</v>
      </c>
      <c r="CF364" s="31" t="n">
        <f aca="false">SUM(AU364:BE364)</f>
        <v>536466148</v>
      </c>
      <c r="CG364" s="33" t="str">
        <f aca="false">A364&amp;"|"&amp;B364</f>
        <v>2026-10 月例|市立病院機構</v>
      </c>
      <c r="CH364" s="34" t="str">
        <f aca="false">IFERROR(INDEX(設定!$D$61:$D$106,MATCH(B364,設定!$B$61:$B$106,0)),"Y")</f>
        <v>N</v>
      </c>
      <c r="CI364" s="34" t="str">
        <f aca="false">IFERROR(INDEX(設定!$D$20:$D$34,MATCH(A364,設定!$A$20:$A$34,0))&amp;"","")</f>
        <v>2026-09 月例</v>
      </c>
    </row>
    <row r="365" customFormat="false" ht="15" hidden="false" customHeight="false" outlineLevel="0" collapsed="false">
      <c r="A365" s="22" t="s">
        <v>214</v>
      </c>
      <c r="B365" s="23" t="s">
        <v>197</v>
      </c>
      <c r="C365" s="10" t="str">
        <f aca="false">IF(G365="","未受領",IF(G365="なし","報告なし",IF(AH365="○","起票済",IF(OR(AG365="○",F365="一致",F365="入金不要"),"入金確認済","受領済"))))</f>
        <v>未受領</v>
      </c>
      <c r="D365" s="10" t="str">
        <f aca="false">IF(OR(G365="",G365="なし"),"―",IF(CH365="N","対象外",IF(AND(I365="",J365="",K365=""),"標報未入力",IF(CD365&gt;=設定!$B$4,"要確認","問題なし"))))</f>
        <v>―</v>
      </c>
      <c r="E365" s="24" t="str">
        <f aca="false">IF(OR(G365="",G365="なし",CE365="",CF365=0),"―",IF(CF365=CE365,"前月同額",IF(CE365=0,"―",IF(ABS(CF365/CE365-1)&gt;=設定!$B$5,"変動大 "&amp;TEXT(CF365/CE365-1,"+0%;-0%"),"〇"))))</f>
        <v>―</v>
      </c>
      <c r="F365" s="10" t="str">
        <f aca="false">IF(OR(G365="",G365="なし"),"―",IF(CF365=0,"入金不要",IF(COUNT(Z365,AB365,AD365,AF365)=0,IF(AG365="○","手動確認","未入金"),IF(AND(N(Z365)=Y365,IF(AA365="",TRUE(),N(AB365)=AA365),IF(AC365="",TRUE(),N(AD365)=AC365),IF(AE365="",TRUE(),N(AF365)=AE365)),"一致","不一致"))))</f>
        <v>―</v>
      </c>
      <c r="G365" s="25"/>
      <c r="H365" s="26"/>
      <c r="I365" s="27"/>
      <c r="J365" s="27"/>
      <c r="K365" s="27"/>
      <c r="L365" s="27"/>
      <c r="M365" s="27"/>
      <c r="N365" s="27"/>
      <c r="O365" s="27"/>
      <c r="P365" s="27"/>
      <c r="Q365" s="27"/>
      <c r="R365" s="27"/>
      <c r="S365" s="27"/>
      <c r="T365" s="27"/>
      <c r="U365" s="27"/>
      <c r="V365" s="27"/>
      <c r="W365" s="10" t="str">
        <f aca="false">IFERROR(INDEX(設定!$E$61:$E$106,MATCH(B365,設定!$B$61:$B$106,0)),"合算")</f>
        <v>合算</v>
      </c>
      <c r="X365" s="28"/>
      <c r="Y365" s="29" t="str">
        <f aca="false">IF(OR(G365="",G365="なし"),"",IF(W365="合算",CF365,IF(W365="掛金・負担金別",(AU365+AV365+AZ365+BB365+BD365),SUM(AU365:AY365))))</f>
        <v/>
      </c>
      <c r="Z365" s="27"/>
      <c r="AA365" s="29" t="str">
        <f aca="false">IF(OR(G365="",G365="なし"),"",IF(W365="掛金・負担金別",(AW365+AX365+AY365+BA365+BC365+BE365),IF(W365="経理区分別",AZ365+BA365,"")))</f>
        <v/>
      </c>
      <c r="AB365" s="27"/>
      <c r="AC365" s="29" t="str">
        <f aca="false">IF(OR(G365="",G365="なし"),"",IF(W365="経理区分別",BB365+BC365,""))</f>
        <v/>
      </c>
      <c r="AD365" s="27"/>
      <c r="AE365" s="29" t="str">
        <f aca="false">IF(OR(G365="",G365="なし"),"",IF(W365="経理区分別",BD365+BE365,""))</f>
        <v/>
      </c>
      <c r="AF365" s="27"/>
      <c r="AG365" s="26"/>
      <c r="AH365" s="26"/>
      <c r="AI365" s="30"/>
      <c r="AJ365" s="31"/>
      <c r="AK365" s="31"/>
      <c r="AL365" s="31"/>
      <c r="AM365" s="31"/>
      <c r="AN365" s="31"/>
      <c r="AO365" s="31" t="n">
        <v>88012</v>
      </c>
      <c r="AP365" s="31" t="n">
        <v>108566</v>
      </c>
      <c r="AQ365" s="31" t="n">
        <v>9322</v>
      </c>
      <c r="AR365" s="31" t="n">
        <v>12245</v>
      </c>
      <c r="AS365" s="31" t="n">
        <v>1</v>
      </c>
      <c r="AT365" s="31" t="n">
        <v>1</v>
      </c>
      <c r="AU365" s="31" t="n">
        <f aca="false">IF($G365="",AJ365,L365)</f>
        <v>0</v>
      </c>
      <c r="AV365" s="31" t="n">
        <f aca="false">IF($G365="",AK365,M365)</f>
        <v>0</v>
      </c>
      <c r="AW365" s="31" t="n">
        <f aca="false">IF($G365="",AL365,N365)</f>
        <v>0</v>
      </c>
      <c r="AX365" s="31" t="n">
        <f aca="false">IF($G365="",AM365,O365)</f>
        <v>0</v>
      </c>
      <c r="AY365" s="31" t="n">
        <f aca="false">IF($G365="",AN365,P365)</f>
        <v>0</v>
      </c>
      <c r="AZ365" s="31" t="n">
        <f aca="false">IF($G365="",AO365,Q365)</f>
        <v>88012</v>
      </c>
      <c r="BA365" s="31" t="n">
        <f aca="false">IF($G365="",AP365,R365)</f>
        <v>108566</v>
      </c>
      <c r="BB365" s="31" t="n">
        <f aca="false">IF($G365="",AQ365,S365)</f>
        <v>9322</v>
      </c>
      <c r="BC365" s="31" t="n">
        <f aca="false">IF($G365="",AR365,T365)</f>
        <v>12245</v>
      </c>
      <c r="BD365" s="31" t="n">
        <f aca="false">IF($G365="",AS365,U365)</f>
        <v>1</v>
      </c>
      <c r="BE365" s="31" t="n">
        <f aca="false">IF($G365="",AT365,V365)</f>
        <v>1</v>
      </c>
      <c r="BF365" s="31" t="n">
        <f aca="false">ROUNDDOWN(I365*設定!$B$10/1000,0)+ROUNDDOWN(I365*設定!$B$11/1000,0)</f>
        <v>0</v>
      </c>
      <c r="BG365" s="31" t="n">
        <f aca="false">ROUNDDOWN(I365*設定!$C$10/1000,0)+ROUNDDOWN(I365*設定!$C$11/1000,0)+ROUNDDOWN(I365*設定!$C$12/1000,0)</f>
        <v>0</v>
      </c>
      <c r="BH365" s="31" t="n">
        <f aca="false">ROUNDDOWN(J365*設定!$B$13/1000,0)</f>
        <v>0</v>
      </c>
      <c r="BI365" s="31" t="n">
        <f aca="false">ROUNDDOWN(J365*設定!$C$13/1000,0)</f>
        <v>0</v>
      </c>
      <c r="BJ365" s="31" t="n">
        <f aca="false">ROUNDDOWN(K365*設定!$B$14/1000,0)</f>
        <v>0</v>
      </c>
      <c r="BK365" s="31" t="n">
        <f aca="false">ROUNDDOWN(K365*設定!$C$14/1000,0)</f>
        <v>0</v>
      </c>
      <c r="BL365" s="31" t="n">
        <f aca="false">ROUNDDOWN(J365*設定!$B$15/1000,0)</f>
        <v>0</v>
      </c>
      <c r="BM365" s="31" t="n">
        <f aca="false">ROUNDDOWN(J365*設定!$C$15/1000,0)</f>
        <v>0</v>
      </c>
      <c r="BN365" s="31" t="n">
        <f aca="false">L365+M365</f>
        <v>0</v>
      </c>
      <c r="BO365" s="31" t="n">
        <f aca="false">N365+O365+P365</f>
        <v>0</v>
      </c>
      <c r="BP365" s="31" t="n">
        <f aca="false">Q365</f>
        <v>0</v>
      </c>
      <c r="BQ365" s="31" t="n">
        <f aca="false">R365</f>
        <v>0</v>
      </c>
      <c r="BR365" s="31" t="n">
        <f aca="false">S365</f>
        <v>0</v>
      </c>
      <c r="BS365" s="31" t="n">
        <f aca="false">T365</f>
        <v>0</v>
      </c>
      <c r="BT365" s="31" t="n">
        <f aca="false">U365</f>
        <v>0</v>
      </c>
      <c r="BU365" s="31" t="n">
        <f aca="false">V365</f>
        <v>0</v>
      </c>
      <c r="BV365" s="32" t="n">
        <f aca="false">IF(BF365=0,IF(BN365=0,0,1),(BN365-BF365)/BF365)</f>
        <v>0</v>
      </c>
      <c r="BW365" s="32" t="n">
        <f aca="false">IF(BG365=0,IF(BO365=0,0,1),(BO365-BG365)/BG365)</f>
        <v>0</v>
      </c>
      <c r="BX365" s="32" t="n">
        <f aca="false">IF(BH365=0,IF(BP365=0,0,1),(BP365-BH365)/BH365)</f>
        <v>0</v>
      </c>
      <c r="BY365" s="32" t="n">
        <f aca="false">IF(BI365=0,IF(BQ365=0,0,1),(BQ365-BI365)/BI365)</f>
        <v>0</v>
      </c>
      <c r="BZ365" s="32" t="n">
        <f aca="false">IF(BJ365=0,IF(BR365=0,0,1),(BR365-BJ365)/BJ365)</f>
        <v>0</v>
      </c>
      <c r="CA365" s="32" t="n">
        <f aca="false">IF(BK365=0,IF(BS365=0,0,1),(BS365-BK365)/BK365)</f>
        <v>0</v>
      </c>
      <c r="CB365" s="32" t="n">
        <f aca="false">IF(BL365=0,IF(BT365=0,0,1),(BT365-BL365)/BL365)</f>
        <v>0</v>
      </c>
      <c r="CC365" s="32" t="n">
        <f aca="false">IF(BM365=0,IF(BU365=0,0,1),(BU365-BM365)/BM365)</f>
        <v>0</v>
      </c>
      <c r="CD365" s="32" t="n">
        <f aca="false">MAX(MAX(BV365:CC365),-MIN(BV365:CC365))</f>
        <v>-0</v>
      </c>
      <c r="CE365" s="31" t="n">
        <f aca="false">IF(CI365="","",SUMIFS($CF$7:$CF$696,$A$7:$A$696,CI365,$B$7:$B$696,B365))</f>
        <v>235630</v>
      </c>
      <c r="CF365" s="31" t="n">
        <f aca="false">SUM(AU365:BE365)</f>
        <v>218147</v>
      </c>
      <c r="CG365" s="33" t="str">
        <f aca="false">A365&amp;"|"&amp;B365</f>
        <v>2026-10 月例|職員共済組合</v>
      </c>
      <c r="CH365" s="34" t="str">
        <f aca="false">IFERROR(INDEX(設定!$D$61:$D$106,MATCH(B365,設定!$B$61:$B$106,0)),"Y")</f>
        <v>Y</v>
      </c>
      <c r="CI365" s="34" t="str">
        <f aca="false">IFERROR(INDEX(設定!$D$20:$D$34,MATCH(A365,設定!$A$20:$A$34,0))&amp;"","")</f>
        <v>2026-09 月例</v>
      </c>
    </row>
    <row r="366" customFormat="false" ht="26.85" hidden="false" customHeight="false" outlineLevel="0" collapsed="false">
      <c r="A366" s="22" t="s">
        <v>214</v>
      </c>
      <c r="B366" s="35" t="s">
        <v>198</v>
      </c>
      <c r="C366" s="10" t="str">
        <f aca="false">IF(G366="","未受領",IF(G366="なし","報告なし",IF(AH366="○","起票済",IF(OR(AG366="○",F366="一致",F366="入金不要"),"入金確認済","受領済"))))</f>
        <v>報告なし</v>
      </c>
      <c r="D366" s="10" t="str">
        <f aca="false">IF(OR(G366="",G366="なし"),"―",IF(CH366="N","対象外",IF(AND(I366="",J366="",K366=""),"標報未入力",IF(CD366&gt;=設定!$B$4,"要確認","問題なし"))))</f>
        <v>―</v>
      </c>
      <c r="E366" s="24" t="str">
        <f aca="false">IF(OR(G366="",G366="なし",CE366="",CF366=0),"―",IF(CF366=CE366,"前月同額",IF(CE366=0,"―",IF(ABS(CF366/CE366-1)&gt;=設定!$B$5,"変動大 "&amp;TEXT(CF366/CE366-1,"+0%;-0%"),"〇"))))</f>
        <v>―</v>
      </c>
      <c r="F366" s="10" t="str">
        <f aca="false">IF(OR(G366="",G366="なし"),"―",IF(CF366=0,"入金不要",IF(COUNT(Z366,AB366,AD366,AF366)=0,IF(AG366="○","手動確認","未入金"),IF(AND(N(Z366)=Y366,IF(AA366="",TRUE(),N(AB366)=AA366),IF(AC366="",TRUE(),N(AD366)=AC366),IF(AE366="",TRUE(),N(AF366)=AE366)),"一致","不一致"))))</f>
        <v>―</v>
      </c>
      <c r="G366" s="25" t="s">
        <v>173</v>
      </c>
      <c r="H366" s="26"/>
      <c r="I366" s="27"/>
      <c r="J366" s="27"/>
      <c r="K366" s="27"/>
      <c r="L366" s="27"/>
      <c r="M366" s="27"/>
      <c r="N366" s="27"/>
      <c r="O366" s="27"/>
      <c r="P366" s="27"/>
      <c r="Q366" s="27"/>
      <c r="R366" s="27"/>
      <c r="S366" s="27"/>
      <c r="T366" s="27"/>
      <c r="U366" s="27"/>
      <c r="V366" s="27"/>
      <c r="W366" s="10" t="str">
        <f aca="false">IFERROR(INDEX(設定!$E$61:$E$106,MATCH(B366,設定!$B$61:$B$106,0)),"合算")</f>
        <v>合算</v>
      </c>
      <c r="X366" s="28"/>
      <c r="Y366" s="29" t="str">
        <f aca="false">IF(OR(G366="",G366="なし"),"",IF(W366="合算",CF366,IF(W366="掛金・負担金別",(AU366+AV366+AZ366+BB366+BD366),SUM(AU366:AY366))))</f>
        <v/>
      </c>
      <c r="Z366" s="27"/>
      <c r="AA366" s="29" t="str">
        <f aca="false">IF(OR(G366="",G366="なし"),"",IF(W366="掛金・負担金別",(AW366+AX366+AY366+BA366+BC366+BE366),IF(W366="経理区分別",AZ366+BA366,"")))</f>
        <v/>
      </c>
      <c r="AB366" s="27"/>
      <c r="AC366" s="29" t="str">
        <f aca="false">IF(OR(G366="",G366="なし"),"",IF(W366="経理区分別",BB366+BC366,""))</f>
        <v/>
      </c>
      <c r="AD366" s="27"/>
      <c r="AE366" s="29" t="str">
        <f aca="false">IF(OR(G366="",G366="なし"),"",IF(W366="経理区分別",BD366+BE366,""))</f>
        <v/>
      </c>
      <c r="AF366" s="27"/>
      <c r="AG366" s="26"/>
      <c r="AH366" s="26"/>
      <c r="AI366" s="30"/>
      <c r="AJ366" s="31"/>
      <c r="AK366" s="31"/>
      <c r="AL366" s="31"/>
      <c r="AM366" s="31"/>
      <c r="AN366" s="31"/>
      <c r="AO366" s="31"/>
      <c r="AP366" s="31"/>
      <c r="AQ366" s="31"/>
      <c r="AR366" s="31"/>
      <c r="AS366" s="31"/>
      <c r="AT366" s="31"/>
      <c r="AU366" s="31" t="n">
        <f aca="false">IF($G366="",AJ366,L366)</f>
        <v>0</v>
      </c>
      <c r="AV366" s="31" t="n">
        <f aca="false">IF($G366="",AK366,M366)</f>
        <v>0</v>
      </c>
      <c r="AW366" s="31" t="n">
        <f aca="false">IF($G366="",AL366,N366)</f>
        <v>0</v>
      </c>
      <c r="AX366" s="31" t="n">
        <f aca="false">IF($G366="",AM366,O366)</f>
        <v>0</v>
      </c>
      <c r="AY366" s="31" t="n">
        <f aca="false">IF($G366="",AN366,P366)</f>
        <v>0</v>
      </c>
      <c r="AZ366" s="31" t="n">
        <f aca="false">IF($G366="",AO366,Q366)</f>
        <v>0</v>
      </c>
      <c r="BA366" s="31" t="n">
        <f aca="false">IF($G366="",AP366,R366)</f>
        <v>0</v>
      </c>
      <c r="BB366" s="31" t="n">
        <f aca="false">IF($G366="",AQ366,S366)</f>
        <v>0</v>
      </c>
      <c r="BC366" s="31" t="n">
        <f aca="false">IF($G366="",AR366,T366)</f>
        <v>0</v>
      </c>
      <c r="BD366" s="31" t="n">
        <f aca="false">IF($G366="",AS366,U366)</f>
        <v>0</v>
      </c>
      <c r="BE366" s="31" t="n">
        <f aca="false">IF($G366="",AT366,V366)</f>
        <v>0</v>
      </c>
      <c r="BF366" s="31" t="n">
        <f aca="false">ROUNDDOWN(I366*設定!$B$10/1000,0)+ROUNDDOWN(I366*設定!$B$11/1000,0)</f>
        <v>0</v>
      </c>
      <c r="BG366" s="31" t="n">
        <f aca="false">ROUNDDOWN(I366*設定!$C$10/1000,0)+ROUNDDOWN(I366*設定!$C$11/1000,0)+ROUNDDOWN(I366*設定!$C$12/1000,0)</f>
        <v>0</v>
      </c>
      <c r="BH366" s="31" t="n">
        <f aca="false">ROUNDDOWN(J366*設定!$B$13/1000,0)</f>
        <v>0</v>
      </c>
      <c r="BI366" s="31" t="n">
        <f aca="false">ROUNDDOWN(J366*設定!$C$13/1000,0)</f>
        <v>0</v>
      </c>
      <c r="BJ366" s="31" t="n">
        <f aca="false">ROUNDDOWN(K366*設定!$B$14/1000,0)</f>
        <v>0</v>
      </c>
      <c r="BK366" s="31" t="n">
        <f aca="false">ROUNDDOWN(K366*設定!$C$14/1000,0)</f>
        <v>0</v>
      </c>
      <c r="BL366" s="31" t="n">
        <f aca="false">ROUNDDOWN(J366*設定!$B$15/1000,0)</f>
        <v>0</v>
      </c>
      <c r="BM366" s="31" t="n">
        <f aca="false">ROUNDDOWN(J366*設定!$C$15/1000,0)</f>
        <v>0</v>
      </c>
      <c r="BN366" s="31" t="n">
        <f aca="false">L366+M366</f>
        <v>0</v>
      </c>
      <c r="BO366" s="31" t="n">
        <f aca="false">N366+O366+P366</f>
        <v>0</v>
      </c>
      <c r="BP366" s="31" t="n">
        <f aca="false">Q366</f>
        <v>0</v>
      </c>
      <c r="BQ366" s="31" t="n">
        <f aca="false">R366</f>
        <v>0</v>
      </c>
      <c r="BR366" s="31" t="n">
        <f aca="false">S366</f>
        <v>0</v>
      </c>
      <c r="BS366" s="31" t="n">
        <f aca="false">T366</f>
        <v>0</v>
      </c>
      <c r="BT366" s="31" t="n">
        <f aca="false">U366</f>
        <v>0</v>
      </c>
      <c r="BU366" s="31" t="n">
        <f aca="false">V366</f>
        <v>0</v>
      </c>
      <c r="BV366" s="32" t="n">
        <f aca="false">IF(BF366=0,IF(BN366=0,0,1),(BN366-BF366)/BF366)</f>
        <v>0</v>
      </c>
      <c r="BW366" s="32" t="n">
        <f aca="false">IF(BG366=0,IF(BO366=0,0,1),(BO366-BG366)/BG366)</f>
        <v>0</v>
      </c>
      <c r="BX366" s="32" t="n">
        <f aca="false">IF(BH366=0,IF(BP366=0,0,1),(BP366-BH366)/BH366)</f>
        <v>0</v>
      </c>
      <c r="BY366" s="32" t="n">
        <f aca="false">IF(BI366=0,IF(BQ366=0,0,1),(BQ366-BI366)/BI366)</f>
        <v>0</v>
      </c>
      <c r="BZ366" s="32" t="n">
        <f aca="false">IF(BJ366=0,IF(BR366=0,0,1),(BR366-BJ366)/BJ366)</f>
        <v>0</v>
      </c>
      <c r="CA366" s="32" t="n">
        <f aca="false">IF(BK366=0,IF(BS366=0,0,1),(BS366-BK366)/BK366)</f>
        <v>0</v>
      </c>
      <c r="CB366" s="32" t="n">
        <f aca="false">IF(BL366=0,IF(BT366=0,0,1),(BT366-BL366)/BL366)</f>
        <v>0</v>
      </c>
      <c r="CC366" s="32" t="n">
        <f aca="false">IF(BM366=0,IF(BU366=0,0,1),(BU366-BM366)/BM366)</f>
        <v>0</v>
      </c>
      <c r="CD366" s="32" t="n">
        <f aca="false">MAX(MAX(BV366:CC366),-MIN(BV366:CC366))</f>
        <v>-0</v>
      </c>
      <c r="CE366" s="31" t="n">
        <f aca="false">IF(CI366="","",SUMIFS($CF$7:$CF$696,$A$7:$A$696,CI366,$B$7:$B$696,B366))</f>
        <v>0</v>
      </c>
      <c r="CF366" s="31" t="n">
        <f aca="false">SUM(AU366:BE366)</f>
        <v>0</v>
      </c>
      <c r="CG366" s="36" t="str">
        <f aca="false">A366&amp;"|"&amp;B366</f>
        <v>2026-10 月例|地方公共団体
情報システム機構</v>
      </c>
      <c r="CH366" s="34" t="str">
        <f aca="false">IFERROR(INDEX(設定!$D$61:$D$106,MATCH(B366,設定!$B$61:$B$106,0)),"Y")</f>
        <v>Y</v>
      </c>
      <c r="CI366" s="34" t="str">
        <f aca="false">IFERROR(INDEX(設定!$D$20:$D$34,MATCH(A366,設定!$A$20:$A$34,0))&amp;"","")</f>
        <v>2026-09 月例</v>
      </c>
    </row>
    <row r="367" customFormat="false" ht="15" hidden="false" customHeight="false" outlineLevel="0" collapsed="false">
      <c r="A367" s="22" t="s">
        <v>214</v>
      </c>
      <c r="B367" s="23" t="s">
        <v>199</v>
      </c>
      <c r="C367" s="10" t="str">
        <f aca="false">IF(G367="","未受領",IF(G367="なし","報告なし",IF(AH367="○","起票済",IF(OR(AG367="○",F367="一致",F367="入金不要"),"入金確認済","受領済"))))</f>
        <v>受領済</v>
      </c>
      <c r="D367" s="10" t="str">
        <f aca="false">IF(OR(G367="",G367="なし"),"―",IF(CH367="N","対象外",IF(AND(I367="",J367="",K367=""),"標報未入力",IF(CD367&gt;=設定!$B$4,"要確認","問題なし"))))</f>
        <v>標報未入力</v>
      </c>
      <c r="E367" s="24" t="str">
        <f aca="false">IF(OR(G367="",G367="なし",CE367="",CF367=0),"―",IF(CF367=CE367,"前月同額",IF(CE367=0,"―",IF(ABS(CF367/CE367-1)&gt;=設定!$B$5,"変動大 "&amp;TEXT(CF367/CE367-1,"+0%;-0%"),"〇"))))</f>
        <v>前月同額</v>
      </c>
      <c r="F367" s="10" t="str">
        <f aca="false">IF(OR(G367="",G367="なし"),"―",IF(CF367=0,"入金不要",IF(COUNT(Z367,AB367,AD367,AF367)=0,IF(AG367="○","手動確認","未入金"),IF(AND(N(Z367)=Y367,IF(AA367="",TRUE(),N(AB367)=AA367),IF(AC367="",TRUE(),N(AD367)=AC367),IF(AE367="",TRUE(),N(AF367)=AE367)),"一致","不一致"))))</f>
        <v>未入金</v>
      </c>
      <c r="G367" s="25" t="s">
        <v>159</v>
      </c>
      <c r="H367" s="26"/>
      <c r="I367" s="27"/>
      <c r="J367" s="27"/>
      <c r="K367" s="27"/>
      <c r="L367" s="27" t="n">
        <v>118950</v>
      </c>
      <c r="M367" s="27" t="n">
        <v>9750</v>
      </c>
      <c r="N367" s="27" t="n">
        <v>118950</v>
      </c>
      <c r="O367" s="27" t="n">
        <v>9750</v>
      </c>
      <c r="P367" s="27" t="n">
        <v>112</v>
      </c>
      <c r="Q367" s="27" t="n">
        <v>86605</v>
      </c>
      <c r="R367" s="27" t="n">
        <v>86689</v>
      </c>
      <c r="S367" s="27" t="n">
        <v>13193</v>
      </c>
      <c r="T367" s="27" t="n">
        <v>13193</v>
      </c>
      <c r="U367" s="27" t="n">
        <v>1920</v>
      </c>
      <c r="V367" s="27" t="n">
        <v>1920</v>
      </c>
      <c r="W367" s="10" t="str">
        <f aca="false">IFERROR(INDEX(設定!$E$61:$E$106,MATCH(B367,設定!$B$61:$B$106,0)),"合算")</f>
        <v>合算</v>
      </c>
      <c r="X367" s="28"/>
      <c r="Y367" s="29" t="n">
        <f aca="false">IF(OR(G367="",G367="なし"),"",IF(W367="合算",CF367,IF(W367="掛金・負担金別",(AU367+AV367+AZ367+BB367+BD367),SUM(AU367:AY367))))</f>
        <v>461032</v>
      </c>
      <c r="Z367" s="27"/>
      <c r="AA367" s="29" t="str">
        <f aca="false">IF(OR(G367="",G367="なし"),"",IF(W367="掛金・負担金別",(AW367+AX367+AY367+BA367+BC367+BE367),IF(W367="経理区分別",AZ367+BA367,"")))</f>
        <v/>
      </c>
      <c r="AB367" s="27"/>
      <c r="AC367" s="29" t="str">
        <f aca="false">IF(OR(G367="",G367="なし"),"",IF(W367="経理区分別",BB367+BC367,""))</f>
        <v/>
      </c>
      <c r="AD367" s="27"/>
      <c r="AE367" s="29" t="str">
        <f aca="false">IF(OR(G367="",G367="なし"),"",IF(W367="経理区分別",BD367+BE367,""))</f>
        <v/>
      </c>
      <c r="AF367" s="27"/>
      <c r="AG367" s="26"/>
      <c r="AH367" s="26"/>
      <c r="AI367" s="30"/>
      <c r="AJ367" s="31"/>
      <c r="AK367" s="31"/>
      <c r="AL367" s="31"/>
      <c r="AM367" s="31"/>
      <c r="AN367" s="31"/>
      <c r="AO367" s="31"/>
      <c r="AP367" s="31"/>
      <c r="AQ367" s="31"/>
      <c r="AR367" s="31"/>
      <c r="AS367" s="31"/>
      <c r="AT367" s="31"/>
      <c r="AU367" s="31" t="n">
        <f aca="false">IF($G367="",AJ367,L367)</f>
        <v>118950</v>
      </c>
      <c r="AV367" s="31" t="n">
        <f aca="false">IF($G367="",AK367,M367)</f>
        <v>9750</v>
      </c>
      <c r="AW367" s="31" t="n">
        <f aca="false">IF($G367="",AL367,N367)</f>
        <v>118950</v>
      </c>
      <c r="AX367" s="31" t="n">
        <f aca="false">IF($G367="",AM367,O367)</f>
        <v>9750</v>
      </c>
      <c r="AY367" s="31" t="n">
        <f aca="false">IF($G367="",AN367,P367)</f>
        <v>112</v>
      </c>
      <c r="AZ367" s="31" t="n">
        <f aca="false">IF($G367="",AO367,Q367)</f>
        <v>86605</v>
      </c>
      <c r="BA367" s="31" t="n">
        <f aca="false">IF($G367="",AP367,R367)</f>
        <v>86689</v>
      </c>
      <c r="BB367" s="31" t="n">
        <f aca="false">IF($G367="",AQ367,S367)</f>
        <v>13193</v>
      </c>
      <c r="BC367" s="31" t="n">
        <f aca="false">IF($G367="",AR367,T367)</f>
        <v>13193</v>
      </c>
      <c r="BD367" s="31" t="n">
        <f aca="false">IF($G367="",AS367,U367)</f>
        <v>1920</v>
      </c>
      <c r="BE367" s="31" t="n">
        <f aca="false">IF($G367="",AT367,V367)</f>
        <v>1920</v>
      </c>
      <c r="BF367" s="31" t="n">
        <f aca="false">ROUNDDOWN(I367*設定!$B$10/1000,0)+ROUNDDOWN(I367*設定!$B$11/1000,0)</f>
        <v>0</v>
      </c>
      <c r="BG367" s="31" t="n">
        <f aca="false">ROUNDDOWN(I367*設定!$C$10/1000,0)+ROUNDDOWN(I367*設定!$C$11/1000,0)+ROUNDDOWN(I367*設定!$C$12/1000,0)</f>
        <v>0</v>
      </c>
      <c r="BH367" s="31" t="n">
        <f aca="false">ROUNDDOWN(J367*設定!$B$13/1000,0)</f>
        <v>0</v>
      </c>
      <c r="BI367" s="31" t="n">
        <f aca="false">ROUNDDOWN(J367*設定!$C$13/1000,0)</f>
        <v>0</v>
      </c>
      <c r="BJ367" s="31" t="n">
        <f aca="false">ROUNDDOWN(K367*設定!$B$14/1000,0)</f>
        <v>0</v>
      </c>
      <c r="BK367" s="31" t="n">
        <f aca="false">ROUNDDOWN(K367*設定!$C$14/1000,0)</f>
        <v>0</v>
      </c>
      <c r="BL367" s="31" t="n">
        <f aca="false">ROUNDDOWN(J367*設定!$B$15/1000,0)</f>
        <v>0</v>
      </c>
      <c r="BM367" s="31" t="n">
        <f aca="false">ROUNDDOWN(J367*設定!$C$15/1000,0)</f>
        <v>0</v>
      </c>
      <c r="BN367" s="31" t="n">
        <f aca="false">L367+M367</f>
        <v>128700</v>
      </c>
      <c r="BO367" s="31" t="n">
        <f aca="false">N367+O367+P367</f>
        <v>128812</v>
      </c>
      <c r="BP367" s="31" t="n">
        <f aca="false">Q367</f>
        <v>86605</v>
      </c>
      <c r="BQ367" s="31" t="n">
        <f aca="false">R367</f>
        <v>86689</v>
      </c>
      <c r="BR367" s="31" t="n">
        <f aca="false">S367</f>
        <v>13193</v>
      </c>
      <c r="BS367" s="31" t="n">
        <f aca="false">T367</f>
        <v>13193</v>
      </c>
      <c r="BT367" s="31" t="n">
        <f aca="false">U367</f>
        <v>1920</v>
      </c>
      <c r="BU367" s="31" t="n">
        <f aca="false">V367</f>
        <v>1920</v>
      </c>
      <c r="BV367" s="32" t="n">
        <f aca="false">IF(BF367=0,IF(BN367=0,0,1),(BN367-BF367)/BF367)</f>
        <v>1</v>
      </c>
      <c r="BW367" s="32" t="n">
        <f aca="false">IF(BG367=0,IF(BO367=0,0,1),(BO367-BG367)/BG367)</f>
        <v>1</v>
      </c>
      <c r="BX367" s="32" t="n">
        <f aca="false">IF(BH367=0,IF(BP367=0,0,1),(BP367-BH367)/BH367)</f>
        <v>1</v>
      </c>
      <c r="BY367" s="32" t="n">
        <f aca="false">IF(BI367=0,IF(BQ367=0,0,1),(BQ367-BI367)/BI367)</f>
        <v>1</v>
      </c>
      <c r="BZ367" s="32" t="n">
        <f aca="false">IF(BJ367=0,IF(BR367=0,0,1),(BR367-BJ367)/BJ367)</f>
        <v>1</v>
      </c>
      <c r="CA367" s="32" t="n">
        <f aca="false">IF(BK367=0,IF(BS367=0,0,1),(BS367-BK367)/BK367)</f>
        <v>1</v>
      </c>
      <c r="CB367" s="32" t="n">
        <f aca="false">IF(BL367=0,IF(BT367=0,0,1),(BT367-BL367)/BL367)</f>
        <v>1</v>
      </c>
      <c r="CC367" s="32" t="n">
        <f aca="false">IF(BM367=0,IF(BU367=0,0,1),(BU367-BM367)/BM367)</f>
        <v>1</v>
      </c>
      <c r="CD367" s="32" t="n">
        <f aca="false">MAX(MAX(BV367:CC367),-MIN(BV367:CC367))</f>
        <v>1</v>
      </c>
      <c r="CE367" s="31" t="n">
        <f aca="false">IF(CI367="","",SUMIFS($CF$7:$CF$696,$A$7:$A$696,CI367,$B$7:$B$696,B367))</f>
        <v>461032</v>
      </c>
      <c r="CF367" s="31" t="n">
        <f aca="false">SUM(AU367:BE367)</f>
        <v>461032</v>
      </c>
      <c r="CG367" s="33" t="str">
        <f aca="false">A367&amp;"|"&amp;B367</f>
        <v>2026-10 月例|全国市長会</v>
      </c>
      <c r="CH367" s="34" t="str">
        <f aca="false">IFERROR(INDEX(設定!$D$61:$D$106,MATCH(B367,設定!$B$61:$B$106,0)),"Y")</f>
        <v>Y</v>
      </c>
      <c r="CI367" s="34" t="str">
        <f aca="false">IFERROR(INDEX(設定!$D$20:$D$34,MATCH(A367,設定!$A$20:$A$34,0))&amp;"","")</f>
        <v>2026-09 月例</v>
      </c>
    </row>
    <row r="368" customFormat="false" ht="15" hidden="false" customHeight="false" outlineLevel="0" collapsed="false">
      <c r="A368" s="22" t="s">
        <v>214</v>
      </c>
      <c r="B368" s="23" t="s">
        <v>200</v>
      </c>
      <c r="C368" s="10" t="str">
        <f aca="false">IF(G368="","未受領",IF(G368="なし","報告なし",IF(AH368="○","起票済",IF(OR(AG368="○",F368="一致",F368="入金不要"),"入金確認済","受領済"))))</f>
        <v>未受領</v>
      </c>
      <c r="D368" s="10" t="str">
        <f aca="false">IF(OR(G368="",G368="なし"),"―",IF(CH368="N","対象外",IF(AND(I368="",J368="",K368=""),"標報未入力",IF(CD368&gt;=設定!$B$4,"要確認","問題なし"))))</f>
        <v>―</v>
      </c>
      <c r="E368" s="24" t="str">
        <f aca="false">IF(OR(G368="",G368="なし",CE368="",CF368=0),"―",IF(CF368=CE368,"前月同額",IF(CE368=0,"―",IF(ABS(CF368/CE368-1)&gt;=設定!$B$5,"変動大 "&amp;TEXT(CF368/CE368-1,"+0%;-0%"),"〇"))))</f>
        <v>―</v>
      </c>
      <c r="F368" s="10" t="str">
        <f aca="false">IF(OR(G368="",G368="なし"),"―",IF(CF368=0,"入金不要",IF(COUNT(Z368,AB368,AD368,AF368)=0,IF(AG368="○","手動確認","未入金"),IF(AND(N(Z368)=Y368,IF(AA368="",TRUE(),N(AB368)=AA368),IF(AC368="",TRUE(),N(AD368)=AC368),IF(AE368="",TRUE(),N(AF368)=AE368)),"一致","不一致"))))</f>
        <v>―</v>
      </c>
      <c r="G368" s="25"/>
      <c r="H368" s="26"/>
      <c r="I368" s="27"/>
      <c r="J368" s="27"/>
      <c r="K368" s="27"/>
      <c r="L368" s="27"/>
      <c r="M368" s="27"/>
      <c r="N368" s="27"/>
      <c r="O368" s="27"/>
      <c r="P368" s="27"/>
      <c r="Q368" s="27"/>
      <c r="R368" s="27"/>
      <c r="S368" s="27"/>
      <c r="T368" s="27"/>
      <c r="U368" s="27"/>
      <c r="V368" s="27"/>
      <c r="W368" s="10" t="str">
        <f aca="false">IFERROR(INDEX(設定!$E$61:$E$106,MATCH(B368,設定!$B$61:$B$106,0)),"合算")</f>
        <v>合算</v>
      </c>
      <c r="X368" s="28"/>
      <c r="Y368" s="29" t="str">
        <f aca="false">IF(OR(G368="",G368="なし"),"",IF(W368="合算",CF368,IF(W368="掛金・負担金別",(AU368+AV368+AZ368+BB368+BD368),SUM(AU368:AY368))))</f>
        <v/>
      </c>
      <c r="Z368" s="27"/>
      <c r="AA368" s="29" t="str">
        <f aca="false">IF(OR(G368="",G368="なし"),"",IF(W368="掛金・負担金別",(AW368+AX368+AY368+BA368+BC368+BE368),IF(W368="経理区分別",AZ368+BA368,"")))</f>
        <v/>
      </c>
      <c r="AB368" s="27"/>
      <c r="AC368" s="29" t="str">
        <f aca="false">IF(OR(G368="",G368="なし"),"",IF(W368="経理区分別",BB368+BC368,""))</f>
        <v/>
      </c>
      <c r="AD368" s="27"/>
      <c r="AE368" s="29" t="str">
        <f aca="false">IF(OR(G368="",G368="なし"),"",IF(W368="経理区分別",BD368+BE368,""))</f>
        <v/>
      </c>
      <c r="AF368" s="27"/>
      <c r="AG368" s="26"/>
      <c r="AH368" s="26"/>
      <c r="AI368" s="30"/>
      <c r="AJ368" s="31" t="n">
        <v>145485</v>
      </c>
      <c r="AK368" s="31" t="n">
        <v>11925</v>
      </c>
      <c r="AL368" s="31" t="n">
        <v>145485</v>
      </c>
      <c r="AM368" s="31" t="n">
        <v>11925</v>
      </c>
      <c r="AN368" s="31" t="n">
        <v>149</v>
      </c>
      <c r="AO368" s="31"/>
      <c r="AP368" s="31"/>
      <c r="AQ368" s="31"/>
      <c r="AR368" s="31"/>
      <c r="AS368" s="31"/>
      <c r="AT368" s="31"/>
      <c r="AU368" s="31" t="n">
        <f aca="false">IF($G368="",AJ368,L368)</f>
        <v>145485</v>
      </c>
      <c r="AV368" s="31" t="n">
        <f aca="false">IF($G368="",AK368,M368)</f>
        <v>11925</v>
      </c>
      <c r="AW368" s="31" t="n">
        <f aca="false">IF($G368="",AL368,N368)</f>
        <v>145485</v>
      </c>
      <c r="AX368" s="31" t="n">
        <f aca="false">IF($G368="",AM368,O368)</f>
        <v>11925</v>
      </c>
      <c r="AY368" s="31" t="n">
        <f aca="false">IF($G368="",AN368,P368)</f>
        <v>149</v>
      </c>
      <c r="AZ368" s="31" t="n">
        <f aca="false">IF($G368="",AO368,Q368)</f>
        <v>0</v>
      </c>
      <c r="BA368" s="31" t="n">
        <f aca="false">IF($G368="",AP368,R368)</f>
        <v>0</v>
      </c>
      <c r="BB368" s="31" t="n">
        <f aca="false">IF($G368="",AQ368,S368)</f>
        <v>0</v>
      </c>
      <c r="BC368" s="31" t="n">
        <f aca="false">IF($G368="",AR368,T368)</f>
        <v>0</v>
      </c>
      <c r="BD368" s="31" t="n">
        <f aca="false">IF($G368="",AS368,U368)</f>
        <v>0</v>
      </c>
      <c r="BE368" s="31" t="n">
        <f aca="false">IF($G368="",AT368,V368)</f>
        <v>0</v>
      </c>
      <c r="BF368" s="31" t="n">
        <f aca="false">ROUNDDOWN(I368*設定!$B$10/1000,0)+ROUNDDOWN(I368*設定!$B$11/1000,0)</f>
        <v>0</v>
      </c>
      <c r="BG368" s="31" t="n">
        <f aca="false">ROUNDDOWN(I368*設定!$C$10/1000,0)+ROUNDDOWN(I368*設定!$C$11/1000,0)+ROUNDDOWN(I368*設定!$C$12/1000,0)</f>
        <v>0</v>
      </c>
      <c r="BH368" s="31" t="n">
        <f aca="false">ROUNDDOWN(J368*設定!$B$13/1000,0)</f>
        <v>0</v>
      </c>
      <c r="BI368" s="31" t="n">
        <f aca="false">ROUNDDOWN(J368*設定!$C$13/1000,0)</f>
        <v>0</v>
      </c>
      <c r="BJ368" s="31" t="n">
        <f aca="false">ROUNDDOWN(K368*設定!$B$14/1000,0)</f>
        <v>0</v>
      </c>
      <c r="BK368" s="31" t="n">
        <f aca="false">ROUNDDOWN(K368*設定!$C$14/1000,0)</f>
        <v>0</v>
      </c>
      <c r="BL368" s="31" t="n">
        <f aca="false">ROUNDDOWN(J368*設定!$B$15/1000,0)</f>
        <v>0</v>
      </c>
      <c r="BM368" s="31" t="n">
        <f aca="false">ROUNDDOWN(J368*設定!$C$15/1000,0)</f>
        <v>0</v>
      </c>
      <c r="BN368" s="31" t="n">
        <f aca="false">L368+M368</f>
        <v>0</v>
      </c>
      <c r="BO368" s="31" t="n">
        <f aca="false">N368+O368+P368</f>
        <v>0</v>
      </c>
      <c r="BP368" s="31" t="n">
        <f aca="false">Q368</f>
        <v>0</v>
      </c>
      <c r="BQ368" s="31" t="n">
        <f aca="false">R368</f>
        <v>0</v>
      </c>
      <c r="BR368" s="31" t="n">
        <f aca="false">S368</f>
        <v>0</v>
      </c>
      <c r="BS368" s="31" t="n">
        <f aca="false">T368</f>
        <v>0</v>
      </c>
      <c r="BT368" s="31" t="n">
        <f aca="false">U368</f>
        <v>0</v>
      </c>
      <c r="BU368" s="31" t="n">
        <f aca="false">V368</f>
        <v>0</v>
      </c>
      <c r="BV368" s="32" t="n">
        <f aca="false">IF(BF368=0,IF(BN368=0,0,1),(BN368-BF368)/BF368)</f>
        <v>0</v>
      </c>
      <c r="BW368" s="32" t="n">
        <f aca="false">IF(BG368=0,IF(BO368=0,0,1),(BO368-BG368)/BG368)</f>
        <v>0</v>
      </c>
      <c r="BX368" s="32" t="n">
        <f aca="false">IF(BH368=0,IF(BP368=0,0,1),(BP368-BH368)/BH368)</f>
        <v>0</v>
      </c>
      <c r="BY368" s="32" t="n">
        <f aca="false">IF(BI368=0,IF(BQ368=0,0,1),(BQ368-BI368)/BI368)</f>
        <v>0</v>
      </c>
      <c r="BZ368" s="32" t="n">
        <f aca="false">IF(BJ368=0,IF(BR368=0,0,1),(BR368-BJ368)/BJ368)</f>
        <v>0</v>
      </c>
      <c r="CA368" s="32" t="n">
        <f aca="false">IF(BK368=0,IF(BS368=0,0,1),(BS368-BK368)/BK368)</f>
        <v>0</v>
      </c>
      <c r="CB368" s="32" t="n">
        <f aca="false">IF(BL368=0,IF(BT368=0,0,1),(BT368-BL368)/BL368)</f>
        <v>0</v>
      </c>
      <c r="CC368" s="32" t="n">
        <f aca="false">IF(BM368=0,IF(BU368=0,0,1),(BU368-BM368)/BM368)</f>
        <v>0</v>
      </c>
      <c r="CD368" s="32" t="n">
        <f aca="false">MAX(MAX(BV368:CC368),-MIN(BV368:CC368))</f>
        <v>-0</v>
      </c>
      <c r="CE368" s="31" t="n">
        <f aca="false">IF(CI368="","",SUMIFS($CF$7:$CF$696,$A$7:$A$696,CI368,$B$7:$B$696,B368))</f>
        <v>309015</v>
      </c>
      <c r="CF368" s="31" t="n">
        <f aca="false">SUM(AU368:BE368)</f>
        <v>314969</v>
      </c>
      <c r="CG368" s="33" t="str">
        <f aca="false">A368&amp;"|"&amp;B368</f>
        <v>2026-10 月例|高速交通（株）</v>
      </c>
      <c r="CH368" s="34" t="str">
        <f aca="false">IFERROR(INDEX(設定!$D$61:$D$106,MATCH(B368,設定!$B$61:$B$106,0)),"Y")</f>
        <v>Y</v>
      </c>
      <c r="CI368" s="34" t="str">
        <f aca="false">IFERROR(INDEX(設定!$D$20:$D$34,MATCH(A368,設定!$A$20:$A$34,0))&amp;"","")</f>
        <v>2026-09 月例</v>
      </c>
    </row>
    <row r="369" customFormat="false" ht="15" hidden="false" customHeight="false" outlineLevel="0" collapsed="false">
      <c r="A369" s="22" t="s">
        <v>214</v>
      </c>
      <c r="B369" s="23" t="s">
        <v>201</v>
      </c>
      <c r="C369" s="10" t="str">
        <f aca="false">IF(G369="","未受領",IF(G369="なし","報告なし",IF(AH369="○","起票済",IF(OR(AG369="○",F369="一致",F369="入金不要"),"入金確認済","受領済"))))</f>
        <v>受領済</v>
      </c>
      <c r="D369" s="10" t="str">
        <f aca="false">IF(OR(G369="",G369="なし"),"―",IF(CH369="N","対象外",IF(AND(I369="",J369="",K369=""),"標報未入力",IF(CD369&gt;=設定!$B$4,"要確認","問題なし"))))</f>
        <v>標報未入力</v>
      </c>
      <c r="E369" s="24" t="str">
        <f aca="false">IF(OR(G369="",G369="なし",CE369="",CF369=0),"―",IF(CF369=CE369,"前月同額",IF(CE369=0,"―",IF(ABS(CF369/CE369-1)&gt;=設定!$B$5,"変動大 "&amp;TEXT(CF369/CE369-1,"+0%;-0%"),"〇"))))</f>
        <v>前月同額</v>
      </c>
      <c r="F369" s="10" t="str">
        <f aca="false">IF(OR(G369="",G369="なし"),"―",IF(CF369=0,"入金不要",IF(COUNT(Z369,AB369,AD369,AF369)=0,IF(AG369="○","手動確認","未入金"),IF(AND(N(Z369)=Y369,IF(AA369="",TRUE(),N(AB369)=AA369),IF(AC369="",TRUE(),N(AD369)=AC369),IF(AE369="",TRUE(),N(AF369)=AE369)),"一致","不一致"))))</f>
        <v>未入金</v>
      </c>
      <c r="G369" s="25" t="s">
        <v>159</v>
      </c>
      <c r="H369" s="26"/>
      <c r="I369" s="27"/>
      <c r="J369" s="27"/>
      <c r="K369" s="27"/>
      <c r="L369" s="27" t="n">
        <v>53985</v>
      </c>
      <c r="M369" s="27" t="n">
        <v>4425</v>
      </c>
      <c r="N369" s="27" t="n">
        <v>53985</v>
      </c>
      <c r="O369" s="27" t="n">
        <v>4425</v>
      </c>
      <c r="P369" s="27" t="n">
        <v>51</v>
      </c>
      <c r="Q369" s="27"/>
      <c r="R369" s="27"/>
      <c r="S369" s="27"/>
      <c r="T369" s="27"/>
      <c r="U369" s="27"/>
      <c r="V369" s="27"/>
      <c r="W369" s="10" t="str">
        <f aca="false">IFERROR(INDEX(設定!$E$61:$E$106,MATCH(B369,設定!$B$61:$B$106,0)),"合算")</f>
        <v>合算</v>
      </c>
      <c r="X369" s="28"/>
      <c r="Y369" s="29" t="n">
        <f aca="false">IF(OR(G369="",G369="なし"),"",IF(W369="合算",CF369,IF(W369="掛金・負担金別",(AU369+AV369+AZ369+BB369+BD369),SUM(AU369:AY369))))</f>
        <v>116871</v>
      </c>
      <c r="Z369" s="27"/>
      <c r="AA369" s="29" t="str">
        <f aca="false">IF(OR(G369="",G369="なし"),"",IF(W369="掛金・負担金別",(AW369+AX369+AY369+BA369+BC369+BE369),IF(W369="経理区分別",AZ369+BA369,"")))</f>
        <v/>
      </c>
      <c r="AB369" s="27"/>
      <c r="AC369" s="29" t="str">
        <f aca="false">IF(OR(G369="",G369="なし"),"",IF(W369="経理区分別",BB369+BC369,""))</f>
        <v/>
      </c>
      <c r="AD369" s="27"/>
      <c r="AE369" s="29" t="str">
        <f aca="false">IF(OR(G369="",G369="なし"),"",IF(W369="経理区分別",BD369+BE369,""))</f>
        <v/>
      </c>
      <c r="AF369" s="27"/>
      <c r="AG369" s="26"/>
      <c r="AH369" s="26"/>
      <c r="AI369" s="30"/>
      <c r="AJ369" s="31"/>
      <c r="AK369" s="31"/>
      <c r="AL369" s="31"/>
      <c r="AM369" s="31"/>
      <c r="AN369" s="31"/>
      <c r="AO369" s="31"/>
      <c r="AP369" s="31"/>
      <c r="AQ369" s="31"/>
      <c r="AR369" s="31"/>
      <c r="AS369" s="31"/>
      <c r="AT369" s="31"/>
      <c r="AU369" s="31" t="n">
        <f aca="false">IF($G369="",AJ369,L369)</f>
        <v>53985</v>
      </c>
      <c r="AV369" s="31" t="n">
        <f aca="false">IF($G369="",AK369,M369)</f>
        <v>4425</v>
      </c>
      <c r="AW369" s="31" t="n">
        <f aca="false">IF($G369="",AL369,N369)</f>
        <v>53985</v>
      </c>
      <c r="AX369" s="31" t="n">
        <f aca="false">IF($G369="",AM369,O369)</f>
        <v>4425</v>
      </c>
      <c r="AY369" s="31" t="n">
        <f aca="false">IF($G369="",AN369,P369)</f>
        <v>51</v>
      </c>
      <c r="AZ369" s="31" t="n">
        <f aca="false">IF($G369="",AO369,Q369)</f>
        <v>0</v>
      </c>
      <c r="BA369" s="31" t="n">
        <f aca="false">IF($G369="",AP369,R369)</f>
        <v>0</v>
      </c>
      <c r="BB369" s="31" t="n">
        <f aca="false">IF($G369="",AQ369,S369)</f>
        <v>0</v>
      </c>
      <c r="BC369" s="31" t="n">
        <f aca="false">IF($G369="",AR369,T369)</f>
        <v>0</v>
      </c>
      <c r="BD369" s="31" t="n">
        <f aca="false">IF($G369="",AS369,U369)</f>
        <v>0</v>
      </c>
      <c r="BE369" s="31" t="n">
        <f aca="false">IF($G369="",AT369,V369)</f>
        <v>0</v>
      </c>
      <c r="BF369" s="31" t="n">
        <f aca="false">ROUNDDOWN(I369*設定!$B$10/1000,0)+ROUNDDOWN(I369*設定!$B$11/1000,0)</f>
        <v>0</v>
      </c>
      <c r="BG369" s="31" t="n">
        <f aca="false">ROUNDDOWN(I369*設定!$C$10/1000,0)+ROUNDDOWN(I369*設定!$C$11/1000,0)+ROUNDDOWN(I369*設定!$C$12/1000,0)</f>
        <v>0</v>
      </c>
      <c r="BH369" s="31" t="n">
        <f aca="false">ROUNDDOWN(J369*設定!$B$13/1000,0)</f>
        <v>0</v>
      </c>
      <c r="BI369" s="31" t="n">
        <f aca="false">ROUNDDOWN(J369*設定!$C$13/1000,0)</f>
        <v>0</v>
      </c>
      <c r="BJ369" s="31" t="n">
        <f aca="false">ROUNDDOWN(K369*設定!$B$14/1000,0)</f>
        <v>0</v>
      </c>
      <c r="BK369" s="31" t="n">
        <f aca="false">ROUNDDOWN(K369*設定!$C$14/1000,0)</f>
        <v>0</v>
      </c>
      <c r="BL369" s="31" t="n">
        <f aca="false">ROUNDDOWN(J369*設定!$B$15/1000,0)</f>
        <v>0</v>
      </c>
      <c r="BM369" s="31" t="n">
        <f aca="false">ROUNDDOWN(J369*設定!$C$15/1000,0)</f>
        <v>0</v>
      </c>
      <c r="BN369" s="31" t="n">
        <f aca="false">L369+M369</f>
        <v>58410</v>
      </c>
      <c r="BO369" s="31" t="n">
        <f aca="false">N369+O369+P369</f>
        <v>58461</v>
      </c>
      <c r="BP369" s="31" t="n">
        <f aca="false">Q369</f>
        <v>0</v>
      </c>
      <c r="BQ369" s="31" t="n">
        <f aca="false">R369</f>
        <v>0</v>
      </c>
      <c r="BR369" s="31" t="n">
        <f aca="false">S369</f>
        <v>0</v>
      </c>
      <c r="BS369" s="31" t="n">
        <f aca="false">T369</f>
        <v>0</v>
      </c>
      <c r="BT369" s="31" t="n">
        <f aca="false">U369</f>
        <v>0</v>
      </c>
      <c r="BU369" s="31" t="n">
        <f aca="false">V369</f>
        <v>0</v>
      </c>
      <c r="BV369" s="32" t="n">
        <f aca="false">IF(BF369=0,IF(BN369=0,0,1),(BN369-BF369)/BF369)</f>
        <v>1</v>
      </c>
      <c r="BW369" s="32" t="n">
        <f aca="false">IF(BG369=0,IF(BO369=0,0,1),(BO369-BG369)/BG369)</f>
        <v>1</v>
      </c>
      <c r="BX369" s="32" t="n">
        <f aca="false">IF(BH369=0,IF(BP369=0,0,1),(BP369-BH369)/BH369)</f>
        <v>0</v>
      </c>
      <c r="BY369" s="32" t="n">
        <f aca="false">IF(BI369=0,IF(BQ369=0,0,1),(BQ369-BI369)/BI369)</f>
        <v>0</v>
      </c>
      <c r="BZ369" s="32" t="n">
        <f aca="false">IF(BJ369=0,IF(BR369=0,0,1),(BR369-BJ369)/BJ369)</f>
        <v>0</v>
      </c>
      <c r="CA369" s="32" t="n">
        <f aca="false">IF(BK369=0,IF(BS369=0,0,1),(BS369-BK369)/BK369)</f>
        <v>0</v>
      </c>
      <c r="CB369" s="32" t="n">
        <f aca="false">IF(BL369=0,IF(BT369=0,0,1),(BT369-BL369)/BL369)</f>
        <v>0</v>
      </c>
      <c r="CC369" s="32" t="n">
        <f aca="false">IF(BM369=0,IF(BU369=0,0,1),(BU369-BM369)/BM369)</f>
        <v>0</v>
      </c>
      <c r="CD369" s="32" t="n">
        <f aca="false">MAX(MAX(BV369:CC369),-MIN(BV369:CC369))</f>
        <v>1</v>
      </c>
      <c r="CE369" s="31" t="n">
        <f aca="false">IF(CI369="","",SUMIFS($CF$7:$CF$696,$A$7:$A$696,CI369,$B$7:$B$696,B369))</f>
        <v>116871</v>
      </c>
      <c r="CF369" s="31" t="n">
        <f aca="false">SUM(AU369:BE369)</f>
        <v>116871</v>
      </c>
      <c r="CG369" s="33" t="str">
        <f aca="false">A369&amp;"|"&amp;B369</f>
        <v>2026-10 月例|広島駅南口開発（株）</v>
      </c>
      <c r="CH369" s="34" t="str">
        <f aca="false">IFERROR(INDEX(設定!$D$61:$D$106,MATCH(B369,設定!$B$61:$B$106,0)),"Y")</f>
        <v>Y</v>
      </c>
      <c r="CI369" s="34" t="str">
        <f aca="false">IFERROR(INDEX(設定!$D$20:$D$34,MATCH(A369,設定!$A$20:$A$34,0))&amp;"","")</f>
        <v>2026-09 月例</v>
      </c>
    </row>
    <row r="370" customFormat="false" ht="15" hidden="false" customHeight="false" outlineLevel="0" collapsed="false">
      <c r="A370" s="22" t="s">
        <v>214</v>
      </c>
      <c r="B370" s="23" t="s">
        <v>202</v>
      </c>
      <c r="C370" s="10" t="str">
        <f aca="false">IF(G370="","未受領",IF(G370="なし","報告なし",IF(AH370="○","起票済",IF(OR(AG370="○",F370="一致",F370="入金不要"),"入金確認済","受領済"))))</f>
        <v>未受領</v>
      </c>
      <c r="D370" s="10" t="str">
        <f aca="false">IF(OR(G370="",G370="なし"),"―",IF(CH370="N","対象外",IF(AND(I370="",J370="",K370=""),"標報未入力",IF(CD370&gt;=設定!$B$4,"要確認","問題なし"))))</f>
        <v>―</v>
      </c>
      <c r="E370" s="24" t="str">
        <f aca="false">IF(OR(G370="",G370="なし",CE370="",CF370=0),"―",IF(CF370=CE370,"前月同額",IF(CE370=0,"―",IF(ABS(CF370/CE370-1)&gt;=設定!$B$5,"変動大 "&amp;TEXT(CF370/CE370-1,"+0%;-0%"),"〇"))))</f>
        <v>―</v>
      </c>
      <c r="F370" s="10" t="str">
        <f aca="false">IF(OR(G370="",G370="なし"),"―",IF(CF370=0,"入金不要",IF(COUNT(Z370,AB370,AD370,AF370)=0,IF(AG370="○","手動確認","未入金"),IF(AND(N(Z370)=Y370,IF(AA370="",TRUE(),N(AB370)=AA370),IF(AC370="",TRUE(),N(AD370)=AC370),IF(AE370="",TRUE(),N(AF370)=AE370)),"一致","不一致"))))</f>
        <v>―</v>
      </c>
      <c r="G370" s="25"/>
      <c r="H370" s="26"/>
      <c r="I370" s="27"/>
      <c r="J370" s="27"/>
      <c r="K370" s="27"/>
      <c r="L370" s="27"/>
      <c r="M370" s="27"/>
      <c r="N370" s="27"/>
      <c r="O370" s="27"/>
      <c r="P370" s="27"/>
      <c r="Q370" s="27"/>
      <c r="R370" s="27"/>
      <c r="S370" s="27"/>
      <c r="T370" s="27"/>
      <c r="U370" s="27"/>
      <c r="V370" s="27"/>
      <c r="W370" s="10" t="str">
        <f aca="false">IFERROR(INDEX(設定!$E$61:$E$106,MATCH(B370,設定!$B$61:$B$106,0)),"合算")</f>
        <v>合算</v>
      </c>
      <c r="X370" s="28"/>
      <c r="Y370" s="29" t="str">
        <f aca="false">IF(OR(G370="",G370="なし"),"",IF(W370="合算",CF370,IF(W370="掛金・負担金別",(AU370+AV370+AZ370+BB370+BD370),SUM(AU370:AY370))))</f>
        <v/>
      </c>
      <c r="Z370" s="27"/>
      <c r="AA370" s="29" t="str">
        <f aca="false">IF(OR(G370="",G370="なし"),"",IF(W370="掛金・負担金別",(AW370+AX370+AY370+BA370+BC370+BE370),IF(W370="経理区分別",AZ370+BA370,"")))</f>
        <v/>
      </c>
      <c r="AB370" s="27"/>
      <c r="AC370" s="29" t="str">
        <f aca="false">IF(OR(G370="",G370="なし"),"",IF(W370="経理区分別",BB370+BC370,""))</f>
        <v/>
      </c>
      <c r="AD370" s="27"/>
      <c r="AE370" s="29" t="str">
        <f aca="false">IF(OR(G370="",G370="なし"),"",IF(W370="経理区分別",BD370+BE370,""))</f>
        <v/>
      </c>
      <c r="AF370" s="27"/>
      <c r="AG370" s="26"/>
      <c r="AH370" s="26"/>
      <c r="AI370" s="30"/>
      <c r="AJ370" s="31" t="n">
        <v>29280</v>
      </c>
      <c r="AK370" s="31" t="n">
        <v>2400</v>
      </c>
      <c r="AL370" s="31" t="n">
        <v>29280</v>
      </c>
      <c r="AM370" s="31" t="n">
        <v>2400</v>
      </c>
      <c r="AN370" s="31"/>
      <c r="AO370" s="31" t="n">
        <v>17603</v>
      </c>
      <c r="AP370" s="31" t="n">
        <v>17635</v>
      </c>
      <c r="AQ370" s="31" t="n">
        <v>2528</v>
      </c>
      <c r="AR370" s="31" t="n">
        <v>2528</v>
      </c>
      <c r="AS370" s="31" t="n">
        <v>1</v>
      </c>
      <c r="AT370" s="31" t="n">
        <v>1</v>
      </c>
      <c r="AU370" s="31" t="n">
        <f aca="false">IF($G370="",AJ370,L370)</f>
        <v>29280</v>
      </c>
      <c r="AV370" s="31" t="n">
        <f aca="false">IF($G370="",AK370,M370)</f>
        <v>2400</v>
      </c>
      <c r="AW370" s="31" t="n">
        <f aca="false">IF($G370="",AL370,N370)</f>
        <v>29280</v>
      </c>
      <c r="AX370" s="31" t="n">
        <f aca="false">IF($G370="",AM370,O370)</f>
        <v>2400</v>
      </c>
      <c r="AY370" s="31" t="n">
        <f aca="false">IF($G370="",AN370,P370)</f>
        <v>0</v>
      </c>
      <c r="AZ370" s="31" t="n">
        <f aca="false">IF($G370="",AO370,Q370)</f>
        <v>17603</v>
      </c>
      <c r="BA370" s="31" t="n">
        <f aca="false">IF($G370="",AP370,R370)</f>
        <v>17635</v>
      </c>
      <c r="BB370" s="31" t="n">
        <f aca="false">IF($G370="",AQ370,S370)</f>
        <v>2528</v>
      </c>
      <c r="BC370" s="31" t="n">
        <f aca="false">IF($G370="",AR370,T370)</f>
        <v>2528</v>
      </c>
      <c r="BD370" s="31" t="n">
        <f aca="false">IF($G370="",AS370,U370)</f>
        <v>1</v>
      </c>
      <c r="BE370" s="31" t="n">
        <f aca="false">IF($G370="",AT370,V370)</f>
        <v>1</v>
      </c>
      <c r="BF370" s="31" t="n">
        <f aca="false">ROUNDDOWN(I370*設定!$B$10/1000,0)+ROUNDDOWN(I370*設定!$B$11/1000,0)</f>
        <v>0</v>
      </c>
      <c r="BG370" s="31" t="n">
        <f aca="false">ROUNDDOWN(I370*設定!$C$10/1000,0)+ROUNDDOWN(I370*設定!$C$11/1000,0)+ROUNDDOWN(I370*設定!$C$12/1000,0)</f>
        <v>0</v>
      </c>
      <c r="BH370" s="31" t="n">
        <f aca="false">ROUNDDOWN(J370*設定!$B$13/1000,0)</f>
        <v>0</v>
      </c>
      <c r="BI370" s="31" t="n">
        <f aca="false">ROUNDDOWN(J370*設定!$C$13/1000,0)</f>
        <v>0</v>
      </c>
      <c r="BJ370" s="31" t="n">
        <f aca="false">ROUNDDOWN(K370*設定!$B$14/1000,0)</f>
        <v>0</v>
      </c>
      <c r="BK370" s="31" t="n">
        <f aca="false">ROUNDDOWN(K370*設定!$C$14/1000,0)</f>
        <v>0</v>
      </c>
      <c r="BL370" s="31" t="n">
        <f aca="false">ROUNDDOWN(J370*設定!$B$15/1000,0)</f>
        <v>0</v>
      </c>
      <c r="BM370" s="31" t="n">
        <f aca="false">ROUNDDOWN(J370*設定!$C$15/1000,0)</f>
        <v>0</v>
      </c>
      <c r="BN370" s="31" t="n">
        <f aca="false">L370+M370</f>
        <v>0</v>
      </c>
      <c r="BO370" s="31" t="n">
        <f aca="false">N370+O370+P370</f>
        <v>0</v>
      </c>
      <c r="BP370" s="31" t="n">
        <f aca="false">Q370</f>
        <v>0</v>
      </c>
      <c r="BQ370" s="31" t="n">
        <f aca="false">R370</f>
        <v>0</v>
      </c>
      <c r="BR370" s="31" t="n">
        <f aca="false">S370</f>
        <v>0</v>
      </c>
      <c r="BS370" s="31" t="n">
        <f aca="false">T370</f>
        <v>0</v>
      </c>
      <c r="BT370" s="31" t="n">
        <f aca="false">U370</f>
        <v>0</v>
      </c>
      <c r="BU370" s="31" t="n">
        <f aca="false">V370</f>
        <v>0</v>
      </c>
      <c r="BV370" s="32" t="n">
        <f aca="false">IF(BF370=0,IF(BN370=0,0,1),(BN370-BF370)/BF370)</f>
        <v>0</v>
      </c>
      <c r="BW370" s="32" t="n">
        <f aca="false">IF(BG370=0,IF(BO370=0,0,1),(BO370-BG370)/BG370)</f>
        <v>0</v>
      </c>
      <c r="BX370" s="32" t="n">
        <f aca="false">IF(BH370=0,IF(BP370=0,0,1),(BP370-BH370)/BH370)</f>
        <v>0</v>
      </c>
      <c r="BY370" s="32" t="n">
        <f aca="false">IF(BI370=0,IF(BQ370=0,0,1),(BQ370-BI370)/BI370)</f>
        <v>0</v>
      </c>
      <c r="BZ370" s="32" t="n">
        <f aca="false">IF(BJ370=0,IF(BR370=0,0,1),(BR370-BJ370)/BJ370)</f>
        <v>0</v>
      </c>
      <c r="CA370" s="32" t="n">
        <f aca="false">IF(BK370=0,IF(BS370=0,0,1),(BS370-BK370)/BK370)</f>
        <v>0</v>
      </c>
      <c r="CB370" s="32" t="n">
        <f aca="false">IF(BL370=0,IF(BT370=0,0,1),(BT370-BL370)/BL370)</f>
        <v>0</v>
      </c>
      <c r="CC370" s="32" t="n">
        <f aca="false">IF(BM370=0,IF(BU370=0,0,1),(BU370-BM370)/BM370)</f>
        <v>0</v>
      </c>
      <c r="CD370" s="32" t="n">
        <f aca="false">MAX(MAX(BV370:CC370),-MIN(BV370:CC370))</f>
        <v>-0</v>
      </c>
      <c r="CE370" s="31" t="n">
        <f aca="false">IF(CI370="","",SUMIFS($CF$7:$CF$696,$A$7:$A$696,CI370,$B$7:$B$696,B370))</f>
        <v>108755</v>
      </c>
      <c r="CF370" s="31" t="n">
        <f aca="false">SUM(AU370:BE370)</f>
        <v>103656</v>
      </c>
      <c r="CG370" s="33" t="str">
        <f aca="false">A370&amp;"|"&amp;B370</f>
        <v>2026-10 月例|市職員労働組合</v>
      </c>
      <c r="CH370" s="34" t="str">
        <f aca="false">IFERROR(INDEX(設定!$D$61:$D$106,MATCH(B370,設定!$B$61:$B$106,0)),"Y")</f>
        <v>Y</v>
      </c>
      <c r="CI370" s="34" t="str">
        <f aca="false">IFERROR(INDEX(設定!$D$20:$D$34,MATCH(A370,設定!$A$20:$A$34,0))&amp;"","")</f>
        <v>2026-09 月例</v>
      </c>
    </row>
    <row r="371" customFormat="false" ht="15" hidden="false" customHeight="false" outlineLevel="0" collapsed="false">
      <c r="A371" s="22" t="s">
        <v>214</v>
      </c>
      <c r="B371" s="23" t="s">
        <v>203</v>
      </c>
      <c r="C371" s="10" t="str">
        <f aca="false">IF(G371="","未受領",IF(G371="なし","報告なし",IF(AH371="○","起票済",IF(OR(AG371="○",F371="一致",F371="入金不要"),"入金確認済","受領済"))))</f>
        <v>未受領</v>
      </c>
      <c r="D371" s="10" t="str">
        <f aca="false">IF(OR(G371="",G371="なし"),"―",IF(CH371="N","対象外",IF(AND(I371="",J371="",K371=""),"標報未入力",IF(CD371&gt;=設定!$B$4,"要確認","問題なし"))))</f>
        <v>―</v>
      </c>
      <c r="E371" s="24" t="str">
        <f aca="false">IF(OR(G371="",G371="なし",CE371="",CF371=0),"―",IF(CF371=CE371,"前月同額",IF(CE371=0,"―",IF(ABS(CF371/CE371-1)&gt;=設定!$B$5,"変動大 "&amp;TEXT(CF371/CE371-1,"+0%;-0%"),"〇"))))</f>
        <v>―</v>
      </c>
      <c r="F371" s="10" t="str">
        <f aca="false">IF(OR(G371="",G371="なし"),"―",IF(CF371=0,"入金不要",IF(COUNT(Z371,AB371,AD371,AF371)=0,IF(AG371="○","手動確認","未入金"),IF(AND(N(Z371)=Y371,IF(AA371="",TRUE(),N(AB371)=AA371),IF(AC371="",TRUE(),N(AD371)=AC371),IF(AE371="",TRUE(),N(AF371)=AE371)),"一致","不一致"))))</f>
        <v>―</v>
      </c>
      <c r="G371" s="25"/>
      <c r="H371" s="26"/>
      <c r="I371" s="27"/>
      <c r="J371" s="27"/>
      <c r="K371" s="27"/>
      <c r="L371" s="27"/>
      <c r="M371" s="27"/>
      <c r="N371" s="27"/>
      <c r="O371" s="27"/>
      <c r="P371" s="27"/>
      <c r="Q371" s="27"/>
      <c r="R371" s="27"/>
      <c r="S371" s="27"/>
      <c r="T371" s="27"/>
      <c r="U371" s="27"/>
      <c r="V371" s="27"/>
      <c r="W371" s="10" t="str">
        <f aca="false">IFERROR(INDEX(設定!$E$61:$E$106,MATCH(B371,設定!$B$61:$B$106,0)),"合算")</f>
        <v>合算</v>
      </c>
      <c r="X371" s="28"/>
      <c r="Y371" s="29" t="str">
        <f aca="false">IF(OR(G371="",G371="なし"),"",IF(W371="合算",CF371,IF(W371="掛金・負担金別",(AU371+AV371+AZ371+BB371+BD371),SUM(AU371:AY371))))</f>
        <v/>
      </c>
      <c r="Z371" s="27"/>
      <c r="AA371" s="29" t="str">
        <f aca="false">IF(OR(G371="",G371="なし"),"",IF(W371="掛金・負担金別",(AW371+AX371+AY371+BA371+BC371+BE371),IF(W371="経理区分別",AZ371+BA371,"")))</f>
        <v/>
      </c>
      <c r="AB371" s="27"/>
      <c r="AC371" s="29" t="str">
        <f aca="false">IF(OR(G371="",G371="なし"),"",IF(W371="経理区分別",BB371+BC371,""))</f>
        <v/>
      </c>
      <c r="AD371" s="27"/>
      <c r="AE371" s="29" t="str">
        <f aca="false">IF(OR(G371="",G371="なし"),"",IF(W371="経理区分別",BD371+BE371,""))</f>
        <v/>
      </c>
      <c r="AF371" s="27"/>
      <c r="AG371" s="26"/>
      <c r="AH371" s="26"/>
      <c r="AI371" s="30"/>
      <c r="AJ371" s="31" t="n">
        <v>0</v>
      </c>
      <c r="AK371" s="31" t="n">
        <v>0</v>
      </c>
      <c r="AL371" s="31" t="n">
        <v>0</v>
      </c>
      <c r="AM371" s="31" t="n">
        <v>0</v>
      </c>
      <c r="AN371" s="31"/>
      <c r="AO371" s="31" t="n">
        <v>0</v>
      </c>
      <c r="AP371" s="31" t="n">
        <v>0</v>
      </c>
      <c r="AQ371" s="31" t="n">
        <v>0</v>
      </c>
      <c r="AR371" s="31" t="n">
        <v>0</v>
      </c>
      <c r="AS371" s="31" t="n">
        <v>0</v>
      </c>
      <c r="AT371" s="31" t="n">
        <v>0</v>
      </c>
      <c r="AU371" s="31" t="n">
        <f aca="false">IF($G371="",AJ371,L371)</f>
        <v>0</v>
      </c>
      <c r="AV371" s="31" t="n">
        <f aca="false">IF($G371="",AK371,M371)</f>
        <v>0</v>
      </c>
      <c r="AW371" s="31" t="n">
        <f aca="false">IF($G371="",AL371,N371)</f>
        <v>0</v>
      </c>
      <c r="AX371" s="31" t="n">
        <f aca="false">IF($G371="",AM371,O371)</f>
        <v>0</v>
      </c>
      <c r="AY371" s="31" t="n">
        <f aca="false">IF($G371="",AN371,P371)</f>
        <v>0</v>
      </c>
      <c r="AZ371" s="31" t="n">
        <f aca="false">IF($G371="",AO371,Q371)</f>
        <v>0</v>
      </c>
      <c r="BA371" s="31" t="n">
        <f aca="false">IF($G371="",AP371,R371)</f>
        <v>0</v>
      </c>
      <c r="BB371" s="31" t="n">
        <f aca="false">IF($G371="",AQ371,S371)</f>
        <v>0</v>
      </c>
      <c r="BC371" s="31" t="n">
        <f aca="false">IF($G371="",AR371,T371)</f>
        <v>0</v>
      </c>
      <c r="BD371" s="31" t="n">
        <f aca="false">IF($G371="",AS371,U371)</f>
        <v>0</v>
      </c>
      <c r="BE371" s="31" t="n">
        <f aca="false">IF($G371="",AT371,V371)</f>
        <v>0</v>
      </c>
      <c r="BF371" s="31" t="n">
        <f aca="false">ROUNDDOWN(I371*設定!$B$10/1000,0)+ROUNDDOWN(I371*設定!$B$11/1000,0)</f>
        <v>0</v>
      </c>
      <c r="BG371" s="31" t="n">
        <f aca="false">ROUNDDOWN(I371*設定!$C$10/1000,0)+ROUNDDOWN(I371*設定!$C$11/1000,0)+ROUNDDOWN(I371*設定!$C$12/1000,0)</f>
        <v>0</v>
      </c>
      <c r="BH371" s="31" t="n">
        <f aca="false">ROUNDDOWN(J371*設定!$B$13/1000,0)</f>
        <v>0</v>
      </c>
      <c r="BI371" s="31" t="n">
        <f aca="false">ROUNDDOWN(J371*設定!$C$13/1000,0)</f>
        <v>0</v>
      </c>
      <c r="BJ371" s="31" t="n">
        <f aca="false">ROUNDDOWN(K371*設定!$B$14/1000,0)</f>
        <v>0</v>
      </c>
      <c r="BK371" s="31" t="n">
        <f aca="false">ROUNDDOWN(K371*設定!$C$14/1000,0)</f>
        <v>0</v>
      </c>
      <c r="BL371" s="31" t="n">
        <f aca="false">ROUNDDOWN(J371*設定!$B$15/1000,0)</f>
        <v>0</v>
      </c>
      <c r="BM371" s="31" t="n">
        <f aca="false">ROUNDDOWN(J371*設定!$C$15/1000,0)</f>
        <v>0</v>
      </c>
      <c r="BN371" s="31" t="n">
        <f aca="false">L371+M371</f>
        <v>0</v>
      </c>
      <c r="BO371" s="31" t="n">
        <f aca="false">N371+O371+P371</f>
        <v>0</v>
      </c>
      <c r="BP371" s="31" t="n">
        <f aca="false">Q371</f>
        <v>0</v>
      </c>
      <c r="BQ371" s="31" t="n">
        <f aca="false">R371</f>
        <v>0</v>
      </c>
      <c r="BR371" s="31" t="n">
        <f aca="false">S371</f>
        <v>0</v>
      </c>
      <c r="BS371" s="31" t="n">
        <f aca="false">T371</f>
        <v>0</v>
      </c>
      <c r="BT371" s="31" t="n">
        <f aca="false">U371</f>
        <v>0</v>
      </c>
      <c r="BU371" s="31" t="n">
        <f aca="false">V371</f>
        <v>0</v>
      </c>
      <c r="BV371" s="32" t="n">
        <f aca="false">IF(BF371=0,IF(BN371=0,0,1),(BN371-BF371)/BF371)</f>
        <v>0</v>
      </c>
      <c r="BW371" s="32" t="n">
        <f aca="false">IF(BG371=0,IF(BO371=0,0,1),(BO371-BG371)/BG371)</f>
        <v>0</v>
      </c>
      <c r="BX371" s="32" t="n">
        <f aca="false">IF(BH371=0,IF(BP371=0,0,1),(BP371-BH371)/BH371)</f>
        <v>0</v>
      </c>
      <c r="BY371" s="32" t="n">
        <f aca="false">IF(BI371=0,IF(BQ371=0,0,1),(BQ371-BI371)/BI371)</f>
        <v>0</v>
      </c>
      <c r="BZ371" s="32" t="n">
        <f aca="false">IF(BJ371=0,IF(BR371=0,0,1),(BR371-BJ371)/BJ371)</f>
        <v>0</v>
      </c>
      <c r="CA371" s="32" t="n">
        <f aca="false">IF(BK371=0,IF(BS371=0,0,1),(BS371-BK371)/BK371)</f>
        <v>0</v>
      </c>
      <c r="CB371" s="32" t="n">
        <f aca="false">IF(BL371=0,IF(BT371=0,0,1),(BT371-BL371)/BL371)</f>
        <v>0</v>
      </c>
      <c r="CC371" s="32" t="n">
        <f aca="false">IF(BM371=0,IF(BU371=0,0,1),(BU371-BM371)/BM371)</f>
        <v>0</v>
      </c>
      <c r="CD371" s="32" t="n">
        <f aca="false">MAX(MAX(BV371:CC371),-MIN(BV371:CC371))</f>
        <v>-0</v>
      </c>
      <c r="CE371" s="31" t="n">
        <f aca="false">IF(CI371="","",SUMIFS($CF$7:$CF$696,$A$7:$A$696,CI371,$B$7:$B$696,B371))</f>
        <v>0</v>
      </c>
      <c r="CF371" s="31" t="n">
        <f aca="false">SUM(AU371:BE371)</f>
        <v>0</v>
      </c>
      <c r="CG371" s="33" t="str">
        <f aca="false">A371&amp;"|"&amp;B371</f>
        <v>2026-10 月例|自治労労働組合</v>
      </c>
      <c r="CH371" s="34" t="str">
        <f aca="false">IFERROR(INDEX(設定!$D$61:$D$106,MATCH(B371,設定!$B$61:$B$106,0)),"Y")</f>
        <v>Y</v>
      </c>
      <c r="CI371" s="34" t="str">
        <f aca="false">IFERROR(INDEX(設定!$D$20:$D$34,MATCH(A371,設定!$A$20:$A$34,0))&amp;"","")</f>
        <v>2026-09 月例</v>
      </c>
    </row>
    <row r="372" customFormat="false" ht="15" hidden="false" customHeight="false" outlineLevel="0" collapsed="false">
      <c r="A372" s="22" t="s">
        <v>214</v>
      </c>
      <c r="B372" s="23" t="s">
        <v>204</v>
      </c>
      <c r="C372" s="10" t="str">
        <f aca="false">IF(G372="","未受領",IF(G372="なし","報告なし",IF(AH372="○","起票済",IF(OR(AG372="○",F372="一致",F372="入金不要"),"入金確認済","受領済"))))</f>
        <v>受領済</v>
      </c>
      <c r="D372" s="10" t="str">
        <f aca="false">IF(OR(G372="",G372="なし"),"―",IF(CH372="N","対象外",IF(AND(I372="",J372="",K372=""),"標報未入力",IF(CD372&gt;=設定!$B$4,"要確認","問題なし"))))</f>
        <v>標報未入力</v>
      </c>
      <c r="E372" s="24" t="str">
        <f aca="false">IF(OR(G372="",G372="なし",CE372="",CF372=0),"―",IF(CF372=CE372,"前月同額",IF(CE372=0,"―",IF(ABS(CF372/CE372-1)&gt;=設定!$B$5,"変動大 "&amp;TEXT(CF372/CE372-1,"+0%;-0%"),"〇"))))</f>
        <v>前月同額</v>
      </c>
      <c r="F372" s="10" t="str">
        <f aca="false">IF(OR(G372="",G372="なし"),"―",IF(CF372=0,"入金不要",IF(COUNT(Z372,AB372,AD372,AF372)=0,IF(AG372="○","手動確認","未入金"),IF(AND(N(Z372)=Y372,IF(AA372="",TRUE(),N(AB372)=AA372),IF(AC372="",TRUE(),N(AD372)=AC372),IF(AE372="",TRUE(),N(AF372)=AE372)),"一致","不一致"))))</f>
        <v>未入金</v>
      </c>
      <c r="G372" s="25" t="s">
        <v>159</v>
      </c>
      <c r="H372" s="26"/>
      <c r="I372" s="27"/>
      <c r="J372" s="27"/>
      <c r="K372" s="27"/>
      <c r="L372" s="27" t="n">
        <v>29280</v>
      </c>
      <c r="M372" s="27" t="n">
        <v>2400</v>
      </c>
      <c r="N372" s="27" t="n">
        <v>29280</v>
      </c>
      <c r="O372" s="27" t="n">
        <v>2400</v>
      </c>
      <c r="P372" s="27"/>
      <c r="Q372" s="27" t="n">
        <v>32153</v>
      </c>
      <c r="R372" s="27" t="n">
        <v>32184</v>
      </c>
      <c r="S372" s="27" t="n">
        <v>2370</v>
      </c>
      <c r="T372" s="27" t="n">
        <v>2370</v>
      </c>
      <c r="U372" s="27" t="n">
        <v>713</v>
      </c>
      <c r="V372" s="27" t="n">
        <v>713</v>
      </c>
      <c r="W372" s="10" t="str">
        <f aca="false">IFERROR(INDEX(設定!$E$61:$E$106,MATCH(B372,設定!$B$61:$B$106,0)),"合算")</f>
        <v>合算</v>
      </c>
      <c r="X372" s="28"/>
      <c r="Y372" s="29" t="n">
        <f aca="false">IF(OR(G372="",G372="なし"),"",IF(W372="合算",CF372,IF(W372="掛金・負担金別",(AU372+AV372+AZ372+BB372+BD372),SUM(AU372:AY372))))</f>
        <v>133863</v>
      </c>
      <c r="Z372" s="27"/>
      <c r="AA372" s="29" t="str">
        <f aca="false">IF(OR(G372="",G372="なし"),"",IF(W372="掛金・負担金別",(AW372+AX372+AY372+BA372+BC372+BE372),IF(W372="経理区分別",AZ372+BA372,"")))</f>
        <v/>
      </c>
      <c r="AB372" s="27"/>
      <c r="AC372" s="29" t="str">
        <f aca="false">IF(OR(G372="",G372="なし"),"",IF(W372="経理区分別",BB372+BC372,""))</f>
        <v/>
      </c>
      <c r="AD372" s="27"/>
      <c r="AE372" s="29" t="str">
        <f aca="false">IF(OR(G372="",G372="なし"),"",IF(W372="経理区分別",BD372+BE372,""))</f>
        <v/>
      </c>
      <c r="AF372" s="27"/>
      <c r="AG372" s="26"/>
      <c r="AH372" s="26"/>
      <c r="AI372" s="30"/>
      <c r="AJ372" s="31"/>
      <c r="AK372" s="31"/>
      <c r="AL372" s="31"/>
      <c r="AM372" s="31"/>
      <c r="AN372" s="31"/>
      <c r="AO372" s="31"/>
      <c r="AP372" s="31"/>
      <c r="AQ372" s="31"/>
      <c r="AR372" s="31"/>
      <c r="AS372" s="31"/>
      <c r="AT372" s="31"/>
      <c r="AU372" s="31" t="n">
        <f aca="false">IF($G372="",AJ372,L372)</f>
        <v>29280</v>
      </c>
      <c r="AV372" s="31" t="n">
        <f aca="false">IF($G372="",AK372,M372)</f>
        <v>2400</v>
      </c>
      <c r="AW372" s="31" t="n">
        <f aca="false">IF($G372="",AL372,N372)</f>
        <v>29280</v>
      </c>
      <c r="AX372" s="31" t="n">
        <f aca="false">IF($G372="",AM372,O372)</f>
        <v>2400</v>
      </c>
      <c r="AY372" s="31" t="n">
        <f aca="false">IF($G372="",AN372,P372)</f>
        <v>0</v>
      </c>
      <c r="AZ372" s="31" t="n">
        <f aca="false">IF($G372="",AO372,Q372)</f>
        <v>32153</v>
      </c>
      <c r="BA372" s="31" t="n">
        <f aca="false">IF($G372="",AP372,R372)</f>
        <v>32184</v>
      </c>
      <c r="BB372" s="31" t="n">
        <f aca="false">IF($G372="",AQ372,S372)</f>
        <v>2370</v>
      </c>
      <c r="BC372" s="31" t="n">
        <f aca="false">IF($G372="",AR372,T372)</f>
        <v>2370</v>
      </c>
      <c r="BD372" s="31" t="n">
        <f aca="false">IF($G372="",AS372,U372)</f>
        <v>713</v>
      </c>
      <c r="BE372" s="31" t="n">
        <f aca="false">IF($G372="",AT372,V372)</f>
        <v>713</v>
      </c>
      <c r="BF372" s="31" t="n">
        <f aca="false">ROUNDDOWN(I372*設定!$B$10/1000,0)+ROUNDDOWN(I372*設定!$B$11/1000,0)</f>
        <v>0</v>
      </c>
      <c r="BG372" s="31" t="n">
        <f aca="false">ROUNDDOWN(I372*設定!$C$10/1000,0)+ROUNDDOWN(I372*設定!$C$11/1000,0)+ROUNDDOWN(I372*設定!$C$12/1000,0)</f>
        <v>0</v>
      </c>
      <c r="BH372" s="31" t="n">
        <f aca="false">ROUNDDOWN(J372*設定!$B$13/1000,0)</f>
        <v>0</v>
      </c>
      <c r="BI372" s="31" t="n">
        <f aca="false">ROUNDDOWN(J372*設定!$C$13/1000,0)</f>
        <v>0</v>
      </c>
      <c r="BJ372" s="31" t="n">
        <f aca="false">ROUNDDOWN(K372*設定!$B$14/1000,0)</f>
        <v>0</v>
      </c>
      <c r="BK372" s="31" t="n">
        <f aca="false">ROUNDDOWN(K372*設定!$C$14/1000,0)</f>
        <v>0</v>
      </c>
      <c r="BL372" s="31" t="n">
        <f aca="false">ROUNDDOWN(J372*設定!$B$15/1000,0)</f>
        <v>0</v>
      </c>
      <c r="BM372" s="31" t="n">
        <f aca="false">ROUNDDOWN(J372*設定!$C$15/1000,0)</f>
        <v>0</v>
      </c>
      <c r="BN372" s="31" t="n">
        <f aca="false">L372+M372</f>
        <v>31680</v>
      </c>
      <c r="BO372" s="31" t="n">
        <f aca="false">N372+O372+P372</f>
        <v>31680</v>
      </c>
      <c r="BP372" s="31" t="n">
        <f aca="false">Q372</f>
        <v>32153</v>
      </c>
      <c r="BQ372" s="31" t="n">
        <f aca="false">R372</f>
        <v>32184</v>
      </c>
      <c r="BR372" s="31" t="n">
        <f aca="false">S372</f>
        <v>2370</v>
      </c>
      <c r="BS372" s="31" t="n">
        <f aca="false">T372</f>
        <v>2370</v>
      </c>
      <c r="BT372" s="31" t="n">
        <f aca="false">U372</f>
        <v>713</v>
      </c>
      <c r="BU372" s="31" t="n">
        <f aca="false">V372</f>
        <v>713</v>
      </c>
      <c r="BV372" s="32" t="n">
        <f aca="false">IF(BF372=0,IF(BN372=0,0,1),(BN372-BF372)/BF372)</f>
        <v>1</v>
      </c>
      <c r="BW372" s="32" t="n">
        <f aca="false">IF(BG372=0,IF(BO372=0,0,1),(BO372-BG372)/BG372)</f>
        <v>1</v>
      </c>
      <c r="BX372" s="32" t="n">
        <f aca="false">IF(BH372=0,IF(BP372=0,0,1),(BP372-BH372)/BH372)</f>
        <v>1</v>
      </c>
      <c r="BY372" s="32" t="n">
        <f aca="false">IF(BI372=0,IF(BQ372=0,0,1),(BQ372-BI372)/BI372)</f>
        <v>1</v>
      </c>
      <c r="BZ372" s="32" t="n">
        <f aca="false">IF(BJ372=0,IF(BR372=0,0,1),(BR372-BJ372)/BJ372)</f>
        <v>1</v>
      </c>
      <c r="CA372" s="32" t="n">
        <f aca="false">IF(BK372=0,IF(BS372=0,0,1),(BS372-BK372)/BK372)</f>
        <v>1</v>
      </c>
      <c r="CB372" s="32" t="n">
        <f aca="false">IF(BL372=0,IF(BT372=0,0,1),(BT372-BL372)/BL372)</f>
        <v>1</v>
      </c>
      <c r="CC372" s="32" t="n">
        <f aca="false">IF(BM372=0,IF(BU372=0,0,1),(BU372-BM372)/BM372)</f>
        <v>1</v>
      </c>
      <c r="CD372" s="32" t="n">
        <f aca="false">MAX(MAX(BV372:CC372),-MIN(BV372:CC372))</f>
        <v>1</v>
      </c>
      <c r="CE372" s="31" t="n">
        <f aca="false">IF(CI372="","",SUMIFS($CF$7:$CF$696,$A$7:$A$696,CI372,$B$7:$B$696,B372))</f>
        <v>133863</v>
      </c>
      <c r="CF372" s="31" t="n">
        <f aca="false">SUM(AU372:BE372)</f>
        <v>133863</v>
      </c>
      <c r="CG372" s="33" t="str">
        <f aca="false">A372&amp;"|"&amp;B372</f>
        <v>2026-10 月例|病院労働組合</v>
      </c>
      <c r="CH372" s="34" t="str">
        <f aca="false">IFERROR(INDEX(設定!$D$61:$D$106,MATCH(B372,設定!$B$61:$B$106,0)),"Y")</f>
        <v>Y</v>
      </c>
      <c r="CI372" s="34" t="str">
        <f aca="false">IFERROR(INDEX(設定!$D$20:$D$34,MATCH(A372,設定!$A$20:$A$34,0))&amp;"","")</f>
        <v>2026-09 月例</v>
      </c>
    </row>
    <row r="373" customFormat="false" ht="15" hidden="false" customHeight="false" outlineLevel="0" collapsed="false">
      <c r="A373" s="22" t="s">
        <v>214</v>
      </c>
      <c r="B373" s="23" t="s">
        <v>205</v>
      </c>
      <c r="C373" s="10" t="str">
        <f aca="false">IF(G373="","未受領",IF(G373="なし","報告なし",IF(AH373="○","起票済",IF(OR(AG373="○",F373="一致",F373="入金不要"),"入金確認済","受領済"))))</f>
        <v>報告なし</v>
      </c>
      <c r="D373" s="10" t="str">
        <f aca="false">IF(OR(G373="",G373="なし"),"―",IF(CH373="N","対象外",IF(AND(I373="",J373="",K373=""),"標報未入力",IF(CD373&gt;=設定!$B$4,"要確認","問題なし"))))</f>
        <v>―</v>
      </c>
      <c r="E373" s="24" t="str">
        <f aca="false">IF(OR(G373="",G373="なし",CE373="",CF373=0),"―",IF(CF373=CE373,"前月同額",IF(CE373=0,"―",IF(ABS(CF373/CE373-1)&gt;=設定!$B$5,"変動大 "&amp;TEXT(CF373/CE373-1,"+0%;-0%"),"〇"))))</f>
        <v>―</v>
      </c>
      <c r="F373" s="10" t="str">
        <f aca="false">IF(OR(G373="",G373="なし"),"―",IF(CF373=0,"入金不要",IF(COUNT(Z373,AB373,AD373,AF373)=0,IF(AG373="○","手動確認","未入金"),IF(AND(N(Z373)=Y373,IF(AA373="",TRUE(),N(AB373)=AA373),IF(AC373="",TRUE(),N(AD373)=AC373),IF(AE373="",TRUE(),N(AF373)=AE373)),"一致","不一致"))))</f>
        <v>―</v>
      </c>
      <c r="G373" s="25" t="s">
        <v>173</v>
      </c>
      <c r="H373" s="26"/>
      <c r="I373" s="27"/>
      <c r="J373" s="27"/>
      <c r="K373" s="27"/>
      <c r="L373" s="27"/>
      <c r="M373" s="27"/>
      <c r="N373" s="27"/>
      <c r="O373" s="27"/>
      <c r="P373" s="27"/>
      <c r="Q373" s="27"/>
      <c r="R373" s="27"/>
      <c r="S373" s="27"/>
      <c r="T373" s="27"/>
      <c r="U373" s="27"/>
      <c r="V373" s="27"/>
      <c r="W373" s="10" t="str">
        <f aca="false">IFERROR(INDEX(設定!$E$61:$E$106,MATCH(B373,設定!$B$61:$B$106,0)),"合算")</f>
        <v>合算</v>
      </c>
      <c r="X373" s="28"/>
      <c r="Y373" s="29" t="str">
        <f aca="false">IF(OR(G373="",G373="なし"),"",IF(W373="合算",CF373,IF(W373="掛金・負担金別",(AU373+AV373+AZ373+BB373+BD373),SUM(AU373:AY373))))</f>
        <v/>
      </c>
      <c r="Z373" s="27"/>
      <c r="AA373" s="29" t="str">
        <f aca="false">IF(OR(G373="",G373="なし"),"",IF(W373="掛金・負担金別",(AW373+AX373+AY373+BA373+BC373+BE373),IF(W373="経理区分別",AZ373+BA373,"")))</f>
        <v/>
      </c>
      <c r="AB373" s="27"/>
      <c r="AC373" s="29" t="str">
        <f aca="false">IF(OR(G373="",G373="なし"),"",IF(W373="経理区分別",BB373+BC373,""))</f>
        <v/>
      </c>
      <c r="AD373" s="27"/>
      <c r="AE373" s="29" t="str">
        <f aca="false">IF(OR(G373="",G373="なし"),"",IF(W373="経理区分別",BD373+BE373,""))</f>
        <v/>
      </c>
      <c r="AF373" s="27"/>
      <c r="AG373" s="26"/>
      <c r="AH373" s="26"/>
      <c r="AI373" s="30"/>
      <c r="AJ373" s="31"/>
      <c r="AK373" s="31"/>
      <c r="AL373" s="31"/>
      <c r="AM373" s="31"/>
      <c r="AN373" s="31"/>
      <c r="AO373" s="31"/>
      <c r="AP373" s="31"/>
      <c r="AQ373" s="31"/>
      <c r="AR373" s="31"/>
      <c r="AS373" s="31"/>
      <c r="AT373" s="31"/>
      <c r="AU373" s="31" t="n">
        <f aca="false">IF($G373="",AJ373,L373)</f>
        <v>0</v>
      </c>
      <c r="AV373" s="31" t="n">
        <f aca="false">IF($G373="",AK373,M373)</f>
        <v>0</v>
      </c>
      <c r="AW373" s="31" t="n">
        <f aca="false">IF($G373="",AL373,N373)</f>
        <v>0</v>
      </c>
      <c r="AX373" s="31" t="n">
        <f aca="false">IF($G373="",AM373,O373)</f>
        <v>0</v>
      </c>
      <c r="AY373" s="31" t="n">
        <f aca="false">IF($G373="",AN373,P373)</f>
        <v>0</v>
      </c>
      <c r="AZ373" s="31" t="n">
        <f aca="false">IF($G373="",AO373,Q373)</f>
        <v>0</v>
      </c>
      <c r="BA373" s="31" t="n">
        <f aca="false">IF($G373="",AP373,R373)</f>
        <v>0</v>
      </c>
      <c r="BB373" s="31" t="n">
        <f aca="false">IF($G373="",AQ373,S373)</f>
        <v>0</v>
      </c>
      <c r="BC373" s="31" t="n">
        <f aca="false">IF($G373="",AR373,T373)</f>
        <v>0</v>
      </c>
      <c r="BD373" s="31" t="n">
        <f aca="false">IF($G373="",AS373,U373)</f>
        <v>0</v>
      </c>
      <c r="BE373" s="31" t="n">
        <f aca="false">IF($G373="",AT373,V373)</f>
        <v>0</v>
      </c>
      <c r="BF373" s="31" t="n">
        <f aca="false">ROUNDDOWN(I373*設定!$B$10/1000,0)+ROUNDDOWN(I373*設定!$B$11/1000,0)</f>
        <v>0</v>
      </c>
      <c r="BG373" s="31" t="n">
        <f aca="false">ROUNDDOWN(I373*設定!$C$10/1000,0)+ROUNDDOWN(I373*設定!$C$11/1000,0)+ROUNDDOWN(I373*設定!$C$12/1000,0)</f>
        <v>0</v>
      </c>
      <c r="BH373" s="31" t="n">
        <f aca="false">ROUNDDOWN(J373*設定!$B$13/1000,0)</f>
        <v>0</v>
      </c>
      <c r="BI373" s="31" t="n">
        <f aca="false">ROUNDDOWN(J373*設定!$C$13/1000,0)</f>
        <v>0</v>
      </c>
      <c r="BJ373" s="31" t="n">
        <f aca="false">ROUNDDOWN(K373*設定!$B$14/1000,0)</f>
        <v>0</v>
      </c>
      <c r="BK373" s="31" t="n">
        <f aca="false">ROUNDDOWN(K373*設定!$C$14/1000,0)</f>
        <v>0</v>
      </c>
      <c r="BL373" s="31" t="n">
        <f aca="false">ROUNDDOWN(J373*設定!$B$15/1000,0)</f>
        <v>0</v>
      </c>
      <c r="BM373" s="31" t="n">
        <f aca="false">ROUNDDOWN(J373*設定!$C$15/1000,0)</f>
        <v>0</v>
      </c>
      <c r="BN373" s="31" t="n">
        <f aca="false">L373+M373</f>
        <v>0</v>
      </c>
      <c r="BO373" s="31" t="n">
        <f aca="false">N373+O373+P373</f>
        <v>0</v>
      </c>
      <c r="BP373" s="31" t="n">
        <f aca="false">Q373</f>
        <v>0</v>
      </c>
      <c r="BQ373" s="31" t="n">
        <f aca="false">R373</f>
        <v>0</v>
      </c>
      <c r="BR373" s="31" t="n">
        <f aca="false">S373</f>
        <v>0</v>
      </c>
      <c r="BS373" s="31" t="n">
        <f aca="false">T373</f>
        <v>0</v>
      </c>
      <c r="BT373" s="31" t="n">
        <f aca="false">U373</f>
        <v>0</v>
      </c>
      <c r="BU373" s="31" t="n">
        <f aca="false">V373</f>
        <v>0</v>
      </c>
      <c r="BV373" s="32" t="n">
        <f aca="false">IF(BF373=0,IF(BN373=0,0,1),(BN373-BF373)/BF373)</f>
        <v>0</v>
      </c>
      <c r="BW373" s="32" t="n">
        <f aca="false">IF(BG373=0,IF(BO373=0,0,1),(BO373-BG373)/BG373)</f>
        <v>0</v>
      </c>
      <c r="BX373" s="32" t="n">
        <f aca="false">IF(BH373=0,IF(BP373=0,0,1),(BP373-BH373)/BH373)</f>
        <v>0</v>
      </c>
      <c r="BY373" s="32" t="n">
        <f aca="false">IF(BI373=0,IF(BQ373=0,0,1),(BQ373-BI373)/BI373)</f>
        <v>0</v>
      </c>
      <c r="BZ373" s="32" t="n">
        <f aca="false">IF(BJ373=0,IF(BR373=0,0,1),(BR373-BJ373)/BJ373)</f>
        <v>0</v>
      </c>
      <c r="CA373" s="32" t="n">
        <f aca="false">IF(BK373=0,IF(BS373=0,0,1),(BS373-BK373)/BK373)</f>
        <v>0</v>
      </c>
      <c r="CB373" s="32" t="n">
        <f aca="false">IF(BL373=0,IF(BT373=0,0,1),(BT373-BL373)/BL373)</f>
        <v>0</v>
      </c>
      <c r="CC373" s="32" t="n">
        <f aca="false">IF(BM373=0,IF(BU373=0,0,1),(BU373-BM373)/BM373)</f>
        <v>0</v>
      </c>
      <c r="CD373" s="32" t="n">
        <f aca="false">MAX(MAX(BV373:CC373),-MIN(BV373:CC373))</f>
        <v>-0</v>
      </c>
      <c r="CE373" s="31" t="n">
        <f aca="false">IF(CI373="","",SUMIFS($CF$7:$CF$696,$A$7:$A$696,CI373,$B$7:$B$696,B373))</f>
        <v>0</v>
      </c>
      <c r="CF373" s="31" t="n">
        <f aca="false">SUM(AU373:BE373)</f>
        <v>0</v>
      </c>
      <c r="CG373" s="33" t="str">
        <f aca="false">A373&amp;"|"&amp;B373</f>
        <v>2026-10 月例|水道労働組合</v>
      </c>
      <c r="CH373" s="34" t="str">
        <f aca="false">IFERROR(INDEX(設定!$D$61:$D$106,MATCH(B373,設定!$B$61:$B$106,0)),"Y")</f>
        <v>Y</v>
      </c>
      <c r="CI373" s="34" t="str">
        <f aca="false">IFERROR(INDEX(設定!$D$20:$D$34,MATCH(A373,設定!$A$20:$A$34,0))&amp;"","")</f>
        <v>2026-09 月例</v>
      </c>
    </row>
    <row r="374" customFormat="false" ht="15" hidden="false" customHeight="false" outlineLevel="0" collapsed="false">
      <c r="A374" s="22" t="s">
        <v>214</v>
      </c>
      <c r="B374" s="23" t="s">
        <v>206</v>
      </c>
      <c r="C374" s="10" t="str">
        <f aca="false">IF(G374="","未受領",IF(G374="なし","報告なし",IF(AH374="○","起票済",IF(OR(AG374="○",F374="一致",F374="入金不要"),"入金確認済","受領済"))))</f>
        <v>未受領</v>
      </c>
      <c r="D374" s="10" t="str">
        <f aca="false">IF(OR(G374="",G374="なし"),"―",IF(CH374="N","対象外",IF(AND(I374="",J374="",K374=""),"標報未入力",IF(CD374&gt;=設定!$B$4,"要確認","問題なし"))))</f>
        <v>―</v>
      </c>
      <c r="E374" s="24" t="str">
        <f aca="false">IF(OR(G374="",G374="なし",CE374="",CF374=0),"―",IF(CF374=CE374,"前月同額",IF(CE374=0,"―",IF(ABS(CF374/CE374-1)&gt;=設定!$B$5,"変動大 "&amp;TEXT(CF374/CE374-1,"+0%;-0%"),"〇"))))</f>
        <v>―</v>
      </c>
      <c r="F374" s="10" t="str">
        <f aca="false">IF(OR(G374="",G374="なし"),"―",IF(CF374=0,"入金不要",IF(COUNT(Z374,AB374,AD374,AF374)=0,IF(AG374="○","手動確認","未入金"),IF(AND(N(Z374)=Y374,IF(AA374="",TRUE(),N(AB374)=AA374),IF(AC374="",TRUE(),N(AD374)=AC374),IF(AE374="",TRUE(),N(AF374)=AE374)),"一致","不一致"))))</f>
        <v>―</v>
      </c>
      <c r="G374" s="25"/>
      <c r="H374" s="26"/>
      <c r="I374" s="27"/>
      <c r="J374" s="27"/>
      <c r="K374" s="27"/>
      <c r="L374" s="27"/>
      <c r="M374" s="27"/>
      <c r="N374" s="27"/>
      <c r="O374" s="27"/>
      <c r="P374" s="27"/>
      <c r="Q374" s="27"/>
      <c r="R374" s="27"/>
      <c r="S374" s="27"/>
      <c r="T374" s="27"/>
      <c r="U374" s="27"/>
      <c r="V374" s="27"/>
      <c r="W374" s="10" t="str">
        <f aca="false">IFERROR(INDEX(設定!$E$61:$E$106,MATCH(B374,設定!$B$61:$B$106,0)),"合算")</f>
        <v>合算</v>
      </c>
      <c r="X374" s="28"/>
      <c r="Y374" s="29" t="str">
        <f aca="false">IF(OR(G374="",G374="なし"),"",IF(W374="合算",CF374,IF(W374="掛金・負担金別",(AU374+AV374+AZ374+BB374+BD374),SUM(AU374:AY374))))</f>
        <v/>
      </c>
      <c r="Z374" s="27"/>
      <c r="AA374" s="29" t="str">
        <f aca="false">IF(OR(G374="",G374="なし"),"",IF(W374="掛金・負担金別",(AW374+AX374+AY374+BA374+BC374+BE374),IF(W374="経理区分別",AZ374+BA374,"")))</f>
        <v/>
      </c>
      <c r="AB374" s="27"/>
      <c r="AC374" s="29" t="str">
        <f aca="false">IF(OR(G374="",G374="なし"),"",IF(W374="経理区分別",BB374+BC374,""))</f>
        <v/>
      </c>
      <c r="AD374" s="27"/>
      <c r="AE374" s="29" t="str">
        <f aca="false">IF(OR(G374="",G374="なし"),"",IF(W374="経理区分別",BD374+BE374,""))</f>
        <v/>
      </c>
      <c r="AF374" s="27"/>
      <c r="AG374" s="26"/>
      <c r="AH374" s="26"/>
      <c r="AI374" s="30"/>
      <c r="AJ374" s="31"/>
      <c r="AK374" s="31"/>
      <c r="AL374" s="31"/>
      <c r="AM374" s="31"/>
      <c r="AN374" s="31"/>
      <c r="AO374" s="31" t="n">
        <v>2637097</v>
      </c>
      <c r="AP374" s="31"/>
      <c r="AQ374" s="31" t="n">
        <v>123617</v>
      </c>
      <c r="AR374" s="31"/>
      <c r="AS374" s="31" t="n">
        <v>1</v>
      </c>
      <c r="AT374" s="31"/>
      <c r="AU374" s="31" t="n">
        <f aca="false">IF($G374="",AJ374,L374)</f>
        <v>0</v>
      </c>
      <c r="AV374" s="31" t="n">
        <f aca="false">IF($G374="",AK374,M374)</f>
        <v>0</v>
      </c>
      <c r="AW374" s="31" t="n">
        <f aca="false">IF($G374="",AL374,N374)</f>
        <v>0</v>
      </c>
      <c r="AX374" s="31" t="n">
        <f aca="false">IF($G374="",AM374,O374)</f>
        <v>0</v>
      </c>
      <c r="AY374" s="31" t="n">
        <f aca="false">IF($G374="",AN374,P374)</f>
        <v>0</v>
      </c>
      <c r="AZ374" s="31" t="n">
        <f aca="false">IF($G374="",AO374,Q374)</f>
        <v>2637097</v>
      </c>
      <c r="BA374" s="31" t="n">
        <f aca="false">IF($G374="",AP374,R374)</f>
        <v>0</v>
      </c>
      <c r="BB374" s="31" t="n">
        <f aca="false">IF($G374="",AQ374,S374)</f>
        <v>123617</v>
      </c>
      <c r="BC374" s="31" t="n">
        <f aca="false">IF($G374="",AR374,T374)</f>
        <v>0</v>
      </c>
      <c r="BD374" s="31" t="n">
        <f aca="false">IF($G374="",AS374,U374)</f>
        <v>1</v>
      </c>
      <c r="BE374" s="31" t="n">
        <f aca="false">IF($G374="",AT374,V374)</f>
        <v>0</v>
      </c>
      <c r="BF374" s="31" t="n">
        <f aca="false">ROUNDDOWN(I374*設定!$B$10/1000,0)+ROUNDDOWN(I374*設定!$B$11/1000,0)</f>
        <v>0</v>
      </c>
      <c r="BG374" s="31" t="n">
        <f aca="false">ROUNDDOWN(I374*設定!$C$10/1000,0)+ROUNDDOWN(I374*設定!$C$11/1000,0)+ROUNDDOWN(I374*設定!$C$12/1000,0)</f>
        <v>0</v>
      </c>
      <c r="BH374" s="31" t="n">
        <f aca="false">ROUNDDOWN(J374*設定!$B$13/1000,0)</f>
        <v>0</v>
      </c>
      <c r="BI374" s="31" t="n">
        <f aca="false">ROUNDDOWN(J374*設定!$C$13/1000,0)</f>
        <v>0</v>
      </c>
      <c r="BJ374" s="31" t="n">
        <f aca="false">ROUNDDOWN(K374*設定!$B$14/1000,0)</f>
        <v>0</v>
      </c>
      <c r="BK374" s="31" t="n">
        <f aca="false">ROUNDDOWN(K374*設定!$C$14/1000,0)</f>
        <v>0</v>
      </c>
      <c r="BL374" s="31" t="n">
        <f aca="false">ROUNDDOWN(J374*設定!$B$15/1000,0)</f>
        <v>0</v>
      </c>
      <c r="BM374" s="31" t="n">
        <f aca="false">ROUNDDOWN(J374*設定!$C$15/1000,0)</f>
        <v>0</v>
      </c>
      <c r="BN374" s="31" t="n">
        <f aca="false">L374+M374</f>
        <v>0</v>
      </c>
      <c r="BO374" s="31" t="n">
        <f aca="false">N374+O374+P374</f>
        <v>0</v>
      </c>
      <c r="BP374" s="31" t="n">
        <f aca="false">Q374</f>
        <v>0</v>
      </c>
      <c r="BQ374" s="31" t="n">
        <f aca="false">R374</f>
        <v>0</v>
      </c>
      <c r="BR374" s="31" t="n">
        <f aca="false">S374</f>
        <v>0</v>
      </c>
      <c r="BS374" s="31" t="n">
        <f aca="false">T374</f>
        <v>0</v>
      </c>
      <c r="BT374" s="31" t="n">
        <f aca="false">U374</f>
        <v>0</v>
      </c>
      <c r="BU374" s="31" t="n">
        <f aca="false">V374</f>
        <v>0</v>
      </c>
      <c r="BV374" s="32" t="n">
        <f aca="false">IF(BF374=0,IF(BN374=0,0,1),(BN374-BF374)/BF374)</f>
        <v>0</v>
      </c>
      <c r="BW374" s="32" t="n">
        <f aca="false">IF(BG374=0,IF(BO374=0,0,1),(BO374-BG374)/BG374)</f>
        <v>0</v>
      </c>
      <c r="BX374" s="32" t="n">
        <f aca="false">IF(BH374=0,IF(BP374=0,0,1),(BP374-BH374)/BH374)</f>
        <v>0</v>
      </c>
      <c r="BY374" s="32" t="n">
        <f aca="false">IF(BI374=0,IF(BQ374=0,0,1),(BQ374-BI374)/BI374)</f>
        <v>0</v>
      </c>
      <c r="BZ374" s="32" t="n">
        <f aca="false">IF(BJ374=0,IF(BR374=0,0,1),(BR374-BJ374)/BJ374)</f>
        <v>0</v>
      </c>
      <c r="CA374" s="32" t="n">
        <f aca="false">IF(BK374=0,IF(BS374=0,0,1),(BS374-BK374)/BK374)</f>
        <v>0</v>
      </c>
      <c r="CB374" s="32" t="n">
        <f aca="false">IF(BL374=0,IF(BT374=0,0,1),(BT374-BL374)/BL374)</f>
        <v>0</v>
      </c>
      <c r="CC374" s="32" t="n">
        <f aca="false">IF(BM374=0,IF(BU374=0,0,1),(BU374-BM374)/BM374)</f>
        <v>0</v>
      </c>
      <c r="CD374" s="32" t="n">
        <f aca="false">MAX(MAX(BV374:CC374),-MIN(BV374:CC374))</f>
        <v>-0</v>
      </c>
      <c r="CE374" s="31" t="n">
        <f aca="false">IF(CI374="","",SUMIFS($CF$7:$CF$696,$A$7:$A$696,CI374,$B$7:$B$696,B374))</f>
        <v>7376217</v>
      </c>
      <c r="CF374" s="31" t="n">
        <f aca="false">SUM(AU374:BE374)</f>
        <v>2760715</v>
      </c>
      <c r="CG374" s="33" t="str">
        <f aca="false">A374&amp;"|"&amp;B374</f>
        <v>2026-10 月例|任意継続組合員</v>
      </c>
      <c r="CH374" s="34" t="str">
        <f aca="false">IFERROR(INDEX(設定!$D$61:$D$106,MATCH(B374,設定!$B$61:$B$106,0)),"Y")</f>
        <v>N</v>
      </c>
      <c r="CI374" s="34" t="str">
        <f aca="false">IFERROR(INDEX(設定!$D$20:$D$34,MATCH(A374,設定!$A$20:$A$34,0))&amp;"","")</f>
        <v>2026-09 月例</v>
      </c>
    </row>
    <row r="375" customFormat="false" ht="15" hidden="true" customHeight="false" outlineLevel="0" collapsed="false">
      <c r="A375" s="22" t="s">
        <v>215</v>
      </c>
      <c r="B375" s="23" t="s">
        <v>158</v>
      </c>
      <c r="C375" s="10" t="str">
        <f aca="false">IF(G375="","未受領",IF(G375="なし","報告なし",IF(AH375="○","起票済",IF(OR(AG375="○",F375="一致",F375="入金不要"),"入金確認済","受領済"))))</f>
        <v>未受領</v>
      </c>
      <c r="D375" s="10" t="str">
        <f aca="false">IF(OR(G375="",G375="なし"),"―",IF(CH375="N","対象外",IF(AND(I375="",J375="",K375=""),"標報未入力",IF(CD375&gt;=設定!$B$4,"要確認","問題なし"))))</f>
        <v>―</v>
      </c>
      <c r="E375" s="24" t="str">
        <f aca="false">IF(OR(G375="",G375="なし",CE375="",CF375=0),"―",IF(CF375=CE375,"前月同額",IF(CE375=0,"―",IF(ABS(CF375/CE375-1)&gt;=設定!$B$5,"変動大 "&amp;TEXT(CF375/CE375-1,"+0%;-0%"),"〇"))))</f>
        <v>―</v>
      </c>
      <c r="F375" s="10" t="str">
        <f aca="false">IF(OR(G375="",G375="なし"),"―",IF(CF375=0,"入金不要",IF(COUNT(Z375,AB375,AD375,AF375)=0,IF(AG375="○","手動確認","未入金"),IF(AND(N(Z375)=Y375,IF(AA375="",TRUE(),N(AB375)=AA375),IF(AC375="",TRUE(),N(AD375)=AC375),IF(AE375="",TRUE(),N(AF375)=AE375)),"一致","不一致"))))</f>
        <v>―</v>
      </c>
      <c r="G375" s="25"/>
      <c r="H375" s="26"/>
      <c r="I375" s="27"/>
      <c r="J375" s="27"/>
      <c r="K375" s="27"/>
      <c r="L375" s="27"/>
      <c r="M375" s="27"/>
      <c r="N375" s="27"/>
      <c r="O375" s="27"/>
      <c r="P375" s="27"/>
      <c r="Q375" s="27"/>
      <c r="R375" s="27"/>
      <c r="S375" s="27"/>
      <c r="T375" s="27"/>
      <c r="U375" s="27"/>
      <c r="V375" s="27"/>
      <c r="W375" s="10" t="str">
        <f aca="false">IFERROR(INDEX(設定!$E$61:$E$106,MATCH(B375,設定!$B$61:$B$106,0)),"合算")</f>
        <v>合算</v>
      </c>
      <c r="X375" s="28"/>
      <c r="Y375" s="29" t="str">
        <f aca="false">IF(OR(G375="",G375="なし"),"",IF(W375="合算",CF375,IF(W375="掛金・負担金別",(AU375+AV375+AZ375+BB375+BD375),SUM(AU375:AY375))))</f>
        <v/>
      </c>
      <c r="Z375" s="27"/>
      <c r="AA375" s="29" t="str">
        <f aca="false">IF(OR(G375="",G375="なし"),"",IF(W375="掛金・負担金別",(AW375+AX375+AY375+BA375+BC375+BE375),IF(W375="経理区分別",AZ375+BA375,"")))</f>
        <v/>
      </c>
      <c r="AB375" s="27"/>
      <c r="AC375" s="29" t="str">
        <f aca="false">IF(OR(G375="",G375="なし"),"",IF(W375="経理区分別",BB375+BC375,""))</f>
        <v/>
      </c>
      <c r="AD375" s="27"/>
      <c r="AE375" s="29" t="str">
        <f aca="false">IF(OR(G375="",G375="なし"),"",IF(W375="経理区分別",BD375+BE375,""))</f>
        <v/>
      </c>
      <c r="AF375" s="27"/>
      <c r="AG375" s="26"/>
      <c r="AH375" s="26"/>
      <c r="AI375" s="30"/>
      <c r="AJ375" s="31" t="n">
        <v>233143283</v>
      </c>
      <c r="AK375" s="31" t="n">
        <v>19118957</v>
      </c>
      <c r="AL375" s="31" t="n">
        <v>338993504</v>
      </c>
      <c r="AM375" s="31" t="n">
        <v>18571005</v>
      </c>
      <c r="AN375" s="31" t="n">
        <v>245094</v>
      </c>
      <c r="AO375" s="31" t="n">
        <v>180313202</v>
      </c>
      <c r="AP375" s="31" t="n">
        <v>179630662</v>
      </c>
      <c r="AQ375" s="31" t="n">
        <v>15791898</v>
      </c>
      <c r="AR375" s="31" t="n">
        <v>15319802</v>
      </c>
      <c r="AS375" s="31" t="n">
        <v>1</v>
      </c>
      <c r="AT375" s="31" t="n">
        <v>1</v>
      </c>
      <c r="AU375" s="31" t="n">
        <f aca="false">IF($G375="",AJ375,L375)</f>
        <v>233143283</v>
      </c>
      <c r="AV375" s="31" t="n">
        <f aca="false">IF($G375="",AK375,M375)</f>
        <v>19118957</v>
      </c>
      <c r="AW375" s="31" t="n">
        <f aca="false">IF($G375="",AL375,N375)</f>
        <v>338993504</v>
      </c>
      <c r="AX375" s="31" t="n">
        <f aca="false">IF($G375="",AM375,O375)</f>
        <v>18571005</v>
      </c>
      <c r="AY375" s="31" t="n">
        <f aca="false">IF($G375="",AN375,P375)</f>
        <v>245094</v>
      </c>
      <c r="AZ375" s="31" t="n">
        <f aca="false">IF($G375="",AO375,Q375)</f>
        <v>180313202</v>
      </c>
      <c r="BA375" s="31" t="n">
        <f aca="false">IF($G375="",AP375,R375)</f>
        <v>179630662</v>
      </c>
      <c r="BB375" s="31" t="n">
        <f aca="false">IF($G375="",AQ375,S375)</f>
        <v>15791898</v>
      </c>
      <c r="BC375" s="31" t="n">
        <f aca="false">IF($G375="",AR375,T375)</f>
        <v>15319802</v>
      </c>
      <c r="BD375" s="31" t="n">
        <f aca="false">IF($G375="",AS375,U375)</f>
        <v>1</v>
      </c>
      <c r="BE375" s="31" t="n">
        <f aca="false">IF($G375="",AT375,V375)</f>
        <v>1</v>
      </c>
      <c r="BF375" s="31" t="n">
        <f aca="false">ROUNDDOWN(I375*設定!$B$10/1000,0)+ROUNDDOWN(I375*設定!$B$11/1000,0)</f>
        <v>0</v>
      </c>
      <c r="BG375" s="31" t="n">
        <f aca="false">ROUNDDOWN(I375*設定!$C$10/1000,0)+ROUNDDOWN(I375*設定!$C$11/1000,0)+ROUNDDOWN(I375*設定!$C$12/1000,0)</f>
        <v>0</v>
      </c>
      <c r="BH375" s="31" t="n">
        <f aca="false">ROUNDDOWN(J375*設定!$B$13/1000,0)</f>
        <v>0</v>
      </c>
      <c r="BI375" s="31" t="n">
        <f aca="false">ROUNDDOWN(J375*設定!$C$13/1000,0)</f>
        <v>0</v>
      </c>
      <c r="BJ375" s="31" t="n">
        <f aca="false">ROUNDDOWN(K375*設定!$B$14/1000,0)</f>
        <v>0</v>
      </c>
      <c r="BK375" s="31" t="n">
        <f aca="false">ROUNDDOWN(K375*設定!$C$14/1000,0)</f>
        <v>0</v>
      </c>
      <c r="BL375" s="31" t="n">
        <f aca="false">ROUNDDOWN(J375*設定!$B$15/1000,0)</f>
        <v>0</v>
      </c>
      <c r="BM375" s="31" t="n">
        <f aca="false">ROUNDDOWN(J375*設定!$C$15/1000,0)</f>
        <v>0</v>
      </c>
      <c r="BN375" s="31" t="n">
        <f aca="false">L375+M375</f>
        <v>0</v>
      </c>
      <c r="BO375" s="31" t="n">
        <f aca="false">N375+O375+P375</f>
        <v>0</v>
      </c>
      <c r="BP375" s="31" t="n">
        <f aca="false">Q375</f>
        <v>0</v>
      </c>
      <c r="BQ375" s="31" t="n">
        <f aca="false">R375</f>
        <v>0</v>
      </c>
      <c r="BR375" s="31" t="n">
        <f aca="false">S375</f>
        <v>0</v>
      </c>
      <c r="BS375" s="31" t="n">
        <f aca="false">T375</f>
        <v>0</v>
      </c>
      <c r="BT375" s="31" t="n">
        <f aca="false">U375</f>
        <v>0</v>
      </c>
      <c r="BU375" s="31" t="n">
        <f aca="false">V375</f>
        <v>0</v>
      </c>
      <c r="BV375" s="32" t="n">
        <f aca="false">IF(BF375=0,IF(BN375=0,0,1),(BN375-BF375)/BF375)</f>
        <v>0</v>
      </c>
      <c r="BW375" s="32" t="n">
        <f aca="false">IF(BG375=0,IF(BO375=0,0,1),(BO375-BG375)/BG375)</f>
        <v>0</v>
      </c>
      <c r="BX375" s="32" t="n">
        <f aca="false">IF(BH375=0,IF(BP375=0,0,1),(BP375-BH375)/BH375)</f>
        <v>0</v>
      </c>
      <c r="BY375" s="32" t="n">
        <f aca="false">IF(BI375=0,IF(BQ375=0,0,1),(BQ375-BI375)/BI375)</f>
        <v>0</v>
      </c>
      <c r="BZ375" s="32" t="n">
        <f aca="false">IF(BJ375=0,IF(BR375=0,0,1),(BR375-BJ375)/BJ375)</f>
        <v>0</v>
      </c>
      <c r="CA375" s="32" t="n">
        <f aca="false">IF(BK375=0,IF(BS375=0,0,1),(BS375-BK375)/BK375)</f>
        <v>0</v>
      </c>
      <c r="CB375" s="32" t="n">
        <f aca="false">IF(BL375=0,IF(BT375=0,0,1),(BT375-BL375)/BL375)</f>
        <v>0</v>
      </c>
      <c r="CC375" s="32" t="n">
        <f aca="false">IF(BM375=0,IF(BU375=0,0,1),(BU375-BM375)/BM375)</f>
        <v>0</v>
      </c>
      <c r="CD375" s="32" t="n">
        <f aca="false">MAX(MAX(BV375:CC375),-MIN(BV375:CC375))</f>
        <v>-0</v>
      </c>
      <c r="CE375" s="31" t="n">
        <f aca="false">IF(CI375="","",SUMIFS($CF$7:$CF$696,$A$7:$A$696,CI375,$B$7:$B$696,B375))</f>
        <v>1003455401</v>
      </c>
      <c r="CF375" s="31" t="n">
        <f aca="false">SUM(AU375:BE375)</f>
        <v>1001127409</v>
      </c>
      <c r="CG375" s="33" t="str">
        <f aca="false">A375&amp;"|"&amp;B375</f>
        <v>2026-11 月例|市長部局</v>
      </c>
      <c r="CH375" s="34" t="str">
        <f aca="false">IFERROR(INDEX(設定!$D$61:$D$106,MATCH(B375,設定!$B$61:$B$106,0)),"Y")</f>
        <v>N</v>
      </c>
      <c r="CI375" s="34" t="str">
        <f aca="false">IFERROR(INDEX(設定!$D$20:$D$34,MATCH(A375,設定!$A$20:$A$34,0))&amp;"","")</f>
        <v>2026-10 月例</v>
      </c>
    </row>
    <row r="376" customFormat="false" ht="15" hidden="true" customHeight="false" outlineLevel="0" collapsed="false">
      <c r="A376" s="22" t="s">
        <v>215</v>
      </c>
      <c r="B376" s="23" t="s">
        <v>161</v>
      </c>
      <c r="C376" s="10" t="str">
        <f aca="false">IF(G376="","未受領",IF(G376="なし","報告なし",IF(AH376="○","起票済",IF(OR(AG376="○",F376="一致",F376="入金不要"),"入金確認済","受領済"))))</f>
        <v>未受領</v>
      </c>
      <c r="D376" s="10" t="str">
        <f aca="false">IF(OR(G376="",G376="なし"),"―",IF(CH376="N","対象外",IF(AND(I376="",J376="",K376=""),"標報未入力",IF(CD376&gt;=設定!$B$4,"要確認","問題なし"))))</f>
        <v>―</v>
      </c>
      <c r="E376" s="24" t="str">
        <f aca="false">IF(OR(G376="",G376="なし",CE376="",CF376=0),"―",IF(CF376=CE376,"前月同額",IF(CE376=0,"―",IF(ABS(CF376/CE376-1)&gt;=設定!$B$5,"変動大 "&amp;TEXT(CF376/CE376-1,"+0%;-0%"),"〇"))))</f>
        <v>―</v>
      </c>
      <c r="F376" s="10" t="str">
        <f aca="false">IF(OR(G376="",G376="なし"),"―",IF(CF376=0,"入金不要",IF(COUNT(Z376,AB376,AD376,AF376)=0,IF(AG376="○","手動確認","未入金"),IF(AND(N(Z376)=Y376,IF(AA376="",TRUE(),N(AB376)=AA376),IF(AC376="",TRUE(),N(AD376)=AC376),IF(AE376="",TRUE(),N(AF376)=AE376)),"一致","不一致"))))</f>
        <v>―</v>
      </c>
      <c r="G376" s="25"/>
      <c r="H376" s="26"/>
      <c r="I376" s="27"/>
      <c r="J376" s="27"/>
      <c r="K376" s="27"/>
      <c r="L376" s="27"/>
      <c r="M376" s="27"/>
      <c r="N376" s="27"/>
      <c r="O376" s="27"/>
      <c r="P376" s="27"/>
      <c r="Q376" s="27"/>
      <c r="R376" s="27"/>
      <c r="S376" s="27"/>
      <c r="T376" s="27"/>
      <c r="U376" s="27"/>
      <c r="V376" s="27"/>
      <c r="W376" s="10" t="str">
        <f aca="false">IFERROR(INDEX(設定!$E$61:$E$106,MATCH(B376,設定!$B$61:$B$106,0)),"合算")</f>
        <v>合算</v>
      </c>
      <c r="X376" s="28"/>
      <c r="Y376" s="29" t="str">
        <f aca="false">IF(OR(G376="",G376="なし"),"",IF(W376="合算",CF376,IF(W376="掛金・負担金別",(AU376+AV376+AZ376+BB376+BD376),SUM(AU376:AY376))))</f>
        <v/>
      </c>
      <c r="Z376" s="27"/>
      <c r="AA376" s="29" t="str">
        <f aca="false">IF(OR(G376="",G376="なし"),"",IF(W376="掛金・負担金別",(AW376+AX376+AY376+BA376+BC376+BE376),IF(W376="経理区分別",AZ376+BA376,"")))</f>
        <v/>
      </c>
      <c r="AB376" s="27"/>
      <c r="AC376" s="29" t="str">
        <f aca="false">IF(OR(G376="",G376="なし"),"",IF(W376="経理区分別",BB376+BC376,""))</f>
        <v/>
      </c>
      <c r="AD376" s="27"/>
      <c r="AE376" s="29" t="str">
        <f aca="false">IF(OR(G376="",G376="なし"),"",IF(W376="経理区分別",BD376+BE376,""))</f>
        <v/>
      </c>
      <c r="AF376" s="27"/>
      <c r="AG376" s="26"/>
      <c r="AH376" s="26"/>
      <c r="AI376" s="30"/>
      <c r="AJ376" s="31" t="n">
        <v>16631955</v>
      </c>
      <c r="AK376" s="31" t="n">
        <v>1363275</v>
      </c>
      <c r="AL376" s="31" t="n">
        <v>24204292</v>
      </c>
      <c r="AM376" s="31" t="n">
        <v>1363274</v>
      </c>
      <c r="AN376" s="31" t="n">
        <v>17126</v>
      </c>
      <c r="AO376" s="31" t="n">
        <v>10416171</v>
      </c>
      <c r="AP376" s="31" t="n">
        <v>10600700</v>
      </c>
      <c r="AQ376" s="31" t="n">
        <v>1033903</v>
      </c>
      <c r="AR376" s="31" t="n">
        <v>1033903</v>
      </c>
      <c r="AS376" s="31" t="n">
        <v>1</v>
      </c>
      <c r="AT376" s="31" t="n">
        <v>1</v>
      </c>
      <c r="AU376" s="31" t="n">
        <f aca="false">IF($G376="",AJ376,L376)</f>
        <v>16631955</v>
      </c>
      <c r="AV376" s="31" t="n">
        <f aca="false">IF($G376="",AK376,M376)</f>
        <v>1363275</v>
      </c>
      <c r="AW376" s="31" t="n">
        <f aca="false">IF($G376="",AL376,N376)</f>
        <v>24204292</v>
      </c>
      <c r="AX376" s="31" t="n">
        <f aca="false">IF($G376="",AM376,O376)</f>
        <v>1363274</v>
      </c>
      <c r="AY376" s="31" t="n">
        <f aca="false">IF($G376="",AN376,P376)</f>
        <v>17126</v>
      </c>
      <c r="AZ376" s="31" t="n">
        <f aca="false">IF($G376="",AO376,Q376)</f>
        <v>10416171</v>
      </c>
      <c r="BA376" s="31" t="n">
        <f aca="false">IF($G376="",AP376,R376)</f>
        <v>10600700</v>
      </c>
      <c r="BB376" s="31" t="n">
        <f aca="false">IF($G376="",AQ376,S376)</f>
        <v>1033903</v>
      </c>
      <c r="BC376" s="31" t="n">
        <f aca="false">IF($G376="",AR376,T376)</f>
        <v>1033903</v>
      </c>
      <c r="BD376" s="31" t="n">
        <f aca="false">IF($G376="",AS376,U376)</f>
        <v>1</v>
      </c>
      <c r="BE376" s="31" t="n">
        <f aca="false">IF($G376="",AT376,V376)</f>
        <v>1</v>
      </c>
      <c r="BF376" s="31" t="n">
        <f aca="false">ROUNDDOWN(I376*設定!$B$10/1000,0)+ROUNDDOWN(I376*設定!$B$11/1000,0)</f>
        <v>0</v>
      </c>
      <c r="BG376" s="31" t="n">
        <f aca="false">ROUNDDOWN(I376*設定!$C$10/1000,0)+ROUNDDOWN(I376*設定!$C$11/1000,0)+ROUNDDOWN(I376*設定!$C$12/1000,0)</f>
        <v>0</v>
      </c>
      <c r="BH376" s="31" t="n">
        <f aca="false">ROUNDDOWN(J376*設定!$B$13/1000,0)</f>
        <v>0</v>
      </c>
      <c r="BI376" s="31" t="n">
        <f aca="false">ROUNDDOWN(J376*設定!$C$13/1000,0)</f>
        <v>0</v>
      </c>
      <c r="BJ376" s="31" t="n">
        <f aca="false">ROUNDDOWN(K376*設定!$B$14/1000,0)</f>
        <v>0</v>
      </c>
      <c r="BK376" s="31" t="n">
        <f aca="false">ROUNDDOWN(K376*設定!$C$14/1000,0)</f>
        <v>0</v>
      </c>
      <c r="BL376" s="31" t="n">
        <f aca="false">ROUNDDOWN(J376*設定!$B$15/1000,0)</f>
        <v>0</v>
      </c>
      <c r="BM376" s="31" t="n">
        <f aca="false">ROUNDDOWN(J376*設定!$C$15/1000,0)</f>
        <v>0</v>
      </c>
      <c r="BN376" s="31" t="n">
        <f aca="false">L376+M376</f>
        <v>0</v>
      </c>
      <c r="BO376" s="31" t="n">
        <f aca="false">N376+O376+P376</f>
        <v>0</v>
      </c>
      <c r="BP376" s="31" t="n">
        <f aca="false">Q376</f>
        <v>0</v>
      </c>
      <c r="BQ376" s="31" t="n">
        <f aca="false">R376</f>
        <v>0</v>
      </c>
      <c r="BR376" s="31" t="n">
        <f aca="false">S376</f>
        <v>0</v>
      </c>
      <c r="BS376" s="31" t="n">
        <f aca="false">T376</f>
        <v>0</v>
      </c>
      <c r="BT376" s="31" t="n">
        <f aca="false">U376</f>
        <v>0</v>
      </c>
      <c r="BU376" s="31" t="n">
        <f aca="false">V376</f>
        <v>0</v>
      </c>
      <c r="BV376" s="32" t="n">
        <f aca="false">IF(BF376=0,IF(BN376=0,0,1),(BN376-BF376)/BF376)</f>
        <v>0</v>
      </c>
      <c r="BW376" s="32" t="n">
        <f aca="false">IF(BG376=0,IF(BO376=0,0,1),(BO376-BG376)/BG376)</f>
        <v>0</v>
      </c>
      <c r="BX376" s="32" t="n">
        <f aca="false">IF(BH376=0,IF(BP376=0,0,1),(BP376-BH376)/BH376)</f>
        <v>0</v>
      </c>
      <c r="BY376" s="32" t="n">
        <f aca="false">IF(BI376=0,IF(BQ376=0,0,1),(BQ376-BI376)/BI376)</f>
        <v>0</v>
      </c>
      <c r="BZ376" s="32" t="n">
        <f aca="false">IF(BJ376=0,IF(BR376=0,0,1),(BR376-BJ376)/BJ376)</f>
        <v>0</v>
      </c>
      <c r="CA376" s="32" t="n">
        <f aca="false">IF(BK376=0,IF(BS376=0,0,1),(BS376-BK376)/BK376)</f>
        <v>0</v>
      </c>
      <c r="CB376" s="32" t="n">
        <f aca="false">IF(BL376=0,IF(BT376=0,0,1),(BT376-BL376)/BL376)</f>
        <v>0</v>
      </c>
      <c r="CC376" s="32" t="n">
        <f aca="false">IF(BM376=0,IF(BU376=0,0,1),(BU376-BM376)/BM376)</f>
        <v>0</v>
      </c>
      <c r="CD376" s="32" t="n">
        <f aca="false">MAX(MAX(BV376:CC376),-MIN(BV376:CC376))</f>
        <v>-0</v>
      </c>
      <c r="CE376" s="31" t="n">
        <f aca="false">IF(CI376="","",SUMIFS($CF$7:$CF$696,$A$7:$A$696,CI376,$B$7:$B$696,B376))</f>
        <v>66545601</v>
      </c>
      <c r="CF376" s="31" t="n">
        <f aca="false">SUM(AU376:BE376)</f>
        <v>66664601</v>
      </c>
      <c r="CG376" s="33" t="str">
        <f aca="false">A376&amp;"|"&amp;B376</f>
        <v>2026-11 月例|下水道局</v>
      </c>
      <c r="CH376" s="34" t="str">
        <f aca="false">IFERROR(INDEX(設定!$D$61:$D$106,MATCH(B376,設定!$B$61:$B$106,0)),"Y")</f>
        <v>Y</v>
      </c>
      <c r="CI376" s="34" t="str">
        <f aca="false">IFERROR(INDEX(設定!$D$20:$D$34,MATCH(A376,設定!$A$20:$A$34,0))&amp;"","")</f>
        <v>2026-10 月例</v>
      </c>
    </row>
    <row r="377" customFormat="false" ht="15" hidden="true" customHeight="false" outlineLevel="0" collapsed="false">
      <c r="A377" s="22" t="s">
        <v>215</v>
      </c>
      <c r="B377" s="23" t="s">
        <v>162</v>
      </c>
      <c r="C377" s="10" t="str">
        <f aca="false">IF(G377="","未受領",IF(G377="なし","報告なし",IF(AH377="○","起票済",IF(OR(AG377="○",F377="一致",F377="入金不要"),"入金確認済","受領済"))))</f>
        <v>未受領</v>
      </c>
      <c r="D377" s="10" t="str">
        <f aca="false">IF(OR(G377="",G377="なし"),"―",IF(CH377="N","対象外",IF(AND(I377="",J377="",K377=""),"標報未入力",IF(CD377&gt;=設定!$B$4,"要確認","問題なし"))))</f>
        <v>―</v>
      </c>
      <c r="E377" s="24" t="str">
        <f aca="false">IF(OR(G377="",G377="なし",CE377="",CF377=0),"―",IF(CF377=CE377,"前月同額",IF(CE377=0,"―",IF(ABS(CF377/CE377-1)&gt;=設定!$B$5,"変動大 "&amp;TEXT(CF377/CE377-1,"+0%;-0%"),"〇"))))</f>
        <v>―</v>
      </c>
      <c r="F377" s="10" t="str">
        <f aca="false">IF(OR(G377="",G377="なし"),"―",IF(CF377=0,"入金不要",IF(COUNT(Z377,AB377,AD377,AF377)=0,IF(AG377="○","手動確認","未入金"),IF(AND(N(Z377)=Y377,IF(AA377="",TRUE(),N(AB377)=AA377),IF(AC377="",TRUE(),N(AD377)=AC377),IF(AE377="",TRUE(),N(AF377)=AE377)),"一致","不一致"))))</f>
        <v>―</v>
      </c>
      <c r="G377" s="25"/>
      <c r="H377" s="26"/>
      <c r="I377" s="27"/>
      <c r="J377" s="27"/>
      <c r="K377" s="27"/>
      <c r="L377" s="27"/>
      <c r="M377" s="27"/>
      <c r="N377" s="27"/>
      <c r="O377" s="27"/>
      <c r="P377" s="27"/>
      <c r="Q377" s="27"/>
      <c r="R377" s="27"/>
      <c r="S377" s="27"/>
      <c r="T377" s="27"/>
      <c r="U377" s="27"/>
      <c r="V377" s="27"/>
      <c r="W377" s="10" t="str">
        <f aca="false">IFERROR(INDEX(設定!$E$61:$E$106,MATCH(B377,設定!$B$61:$B$106,0)),"合算")</f>
        <v>合算</v>
      </c>
      <c r="X377" s="28"/>
      <c r="Y377" s="29" t="str">
        <f aca="false">IF(OR(G377="",G377="なし"),"",IF(W377="合算",CF377,IF(W377="掛金・負担金別",(AU377+AV377+AZ377+BB377+BD377),SUM(AU377:AY377))))</f>
        <v/>
      </c>
      <c r="Z377" s="27"/>
      <c r="AA377" s="29" t="str">
        <f aca="false">IF(OR(G377="",G377="なし"),"",IF(W377="掛金・負担金別",(AW377+AX377+AY377+BA377+BC377+BE377),IF(W377="経理区分別",AZ377+BA377,"")))</f>
        <v/>
      </c>
      <c r="AB377" s="27"/>
      <c r="AC377" s="29" t="str">
        <f aca="false">IF(OR(G377="",G377="なし"),"",IF(W377="経理区分別",BB377+BC377,""))</f>
        <v/>
      </c>
      <c r="AD377" s="27"/>
      <c r="AE377" s="29" t="str">
        <f aca="false">IF(OR(G377="",G377="なし"),"",IF(W377="経理区分別",BD377+BE377,""))</f>
        <v/>
      </c>
      <c r="AF377" s="27"/>
      <c r="AG377" s="26"/>
      <c r="AH377" s="26"/>
      <c r="AI377" s="30"/>
      <c r="AJ377" s="31" t="n">
        <v>53556323</v>
      </c>
      <c r="AK377" s="31" t="n">
        <v>4392713</v>
      </c>
      <c r="AL377" s="31" t="n">
        <v>78209424</v>
      </c>
      <c r="AM377" s="31" t="n">
        <v>4391513</v>
      </c>
      <c r="AN377" s="31" t="n">
        <v>55502</v>
      </c>
      <c r="AO377" s="31" t="n">
        <v>32917457</v>
      </c>
      <c r="AP377" s="31" t="n">
        <v>33497077</v>
      </c>
      <c r="AQ377" s="31" t="n">
        <v>1981286</v>
      </c>
      <c r="AR377" s="31" t="n">
        <v>1974257</v>
      </c>
      <c r="AS377" s="31" t="n">
        <v>1</v>
      </c>
      <c r="AT377" s="31" t="n">
        <v>1</v>
      </c>
      <c r="AU377" s="31" t="n">
        <f aca="false">IF($G377="",AJ377,L377)</f>
        <v>53556323</v>
      </c>
      <c r="AV377" s="31" t="n">
        <f aca="false">IF($G377="",AK377,M377)</f>
        <v>4392713</v>
      </c>
      <c r="AW377" s="31" t="n">
        <f aca="false">IF($G377="",AL377,N377)</f>
        <v>78209424</v>
      </c>
      <c r="AX377" s="31" t="n">
        <f aca="false">IF($G377="",AM377,O377)</f>
        <v>4391513</v>
      </c>
      <c r="AY377" s="31" t="n">
        <f aca="false">IF($G377="",AN377,P377)</f>
        <v>55502</v>
      </c>
      <c r="AZ377" s="31" t="n">
        <f aca="false">IF($G377="",AO377,Q377)</f>
        <v>32917457</v>
      </c>
      <c r="BA377" s="31" t="n">
        <f aca="false">IF($G377="",AP377,R377)</f>
        <v>33497077</v>
      </c>
      <c r="BB377" s="31" t="n">
        <f aca="false">IF($G377="",AQ377,S377)</f>
        <v>1981286</v>
      </c>
      <c r="BC377" s="31" t="n">
        <f aca="false">IF($G377="",AR377,T377)</f>
        <v>1974257</v>
      </c>
      <c r="BD377" s="31" t="n">
        <f aca="false">IF($G377="",AS377,U377)</f>
        <v>1</v>
      </c>
      <c r="BE377" s="31" t="n">
        <f aca="false">IF($G377="",AT377,V377)</f>
        <v>1</v>
      </c>
      <c r="BF377" s="31" t="n">
        <f aca="false">ROUNDDOWN(I377*設定!$B$10/1000,0)+ROUNDDOWN(I377*設定!$B$11/1000,0)</f>
        <v>0</v>
      </c>
      <c r="BG377" s="31" t="n">
        <f aca="false">ROUNDDOWN(I377*設定!$C$10/1000,0)+ROUNDDOWN(I377*設定!$C$11/1000,0)+ROUNDDOWN(I377*設定!$C$12/1000,0)</f>
        <v>0</v>
      </c>
      <c r="BH377" s="31" t="n">
        <f aca="false">ROUNDDOWN(J377*設定!$B$13/1000,0)</f>
        <v>0</v>
      </c>
      <c r="BI377" s="31" t="n">
        <f aca="false">ROUNDDOWN(J377*設定!$C$13/1000,0)</f>
        <v>0</v>
      </c>
      <c r="BJ377" s="31" t="n">
        <f aca="false">ROUNDDOWN(K377*設定!$B$14/1000,0)</f>
        <v>0</v>
      </c>
      <c r="BK377" s="31" t="n">
        <f aca="false">ROUNDDOWN(K377*設定!$C$14/1000,0)</f>
        <v>0</v>
      </c>
      <c r="BL377" s="31" t="n">
        <f aca="false">ROUNDDOWN(J377*設定!$B$15/1000,0)</f>
        <v>0</v>
      </c>
      <c r="BM377" s="31" t="n">
        <f aca="false">ROUNDDOWN(J377*設定!$C$15/1000,0)</f>
        <v>0</v>
      </c>
      <c r="BN377" s="31" t="n">
        <f aca="false">L377+M377</f>
        <v>0</v>
      </c>
      <c r="BO377" s="31" t="n">
        <f aca="false">N377+O377+P377</f>
        <v>0</v>
      </c>
      <c r="BP377" s="31" t="n">
        <f aca="false">Q377</f>
        <v>0</v>
      </c>
      <c r="BQ377" s="31" t="n">
        <f aca="false">R377</f>
        <v>0</v>
      </c>
      <c r="BR377" s="31" t="n">
        <f aca="false">S377</f>
        <v>0</v>
      </c>
      <c r="BS377" s="31" t="n">
        <f aca="false">T377</f>
        <v>0</v>
      </c>
      <c r="BT377" s="31" t="n">
        <f aca="false">U377</f>
        <v>0</v>
      </c>
      <c r="BU377" s="31" t="n">
        <f aca="false">V377</f>
        <v>0</v>
      </c>
      <c r="BV377" s="32" t="n">
        <f aca="false">IF(BF377=0,IF(BN377=0,0,1),(BN377-BF377)/BF377)</f>
        <v>0</v>
      </c>
      <c r="BW377" s="32" t="n">
        <f aca="false">IF(BG377=0,IF(BO377=0,0,1),(BO377-BG377)/BG377)</f>
        <v>0</v>
      </c>
      <c r="BX377" s="32" t="n">
        <f aca="false">IF(BH377=0,IF(BP377=0,0,1),(BP377-BH377)/BH377)</f>
        <v>0</v>
      </c>
      <c r="BY377" s="32" t="n">
        <f aca="false">IF(BI377=0,IF(BQ377=0,0,1),(BQ377-BI377)/BI377)</f>
        <v>0</v>
      </c>
      <c r="BZ377" s="32" t="n">
        <f aca="false">IF(BJ377=0,IF(BR377=0,0,1),(BR377-BJ377)/BJ377)</f>
        <v>0</v>
      </c>
      <c r="CA377" s="32" t="n">
        <f aca="false">IF(BK377=0,IF(BS377=0,0,1),(BS377-BK377)/BK377)</f>
        <v>0</v>
      </c>
      <c r="CB377" s="32" t="n">
        <f aca="false">IF(BL377=0,IF(BT377=0,0,1),(BT377-BL377)/BL377)</f>
        <v>0</v>
      </c>
      <c r="CC377" s="32" t="n">
        <f aca="false">IF(BM377=0,IF(BU377=0,0,1),(BU377-BM377)/BM377)</f>
        <v>0</v>
      </c>
      <c r="CD377" s="32" t="n">
        <f aca="false">MAX(MAX(BV377:CC377),-MIN(BV377:CC377))</f>
        <v>-0</v>
      </c>
      <c r="CE377" s="31" t="n">
        <f aca="false">IF(CI377="","",SUMIFS($CF$7:$CF$696,$A$7:$A$696,CI377,$B$7:$B$696,B377))</f>
        <v>211620173</v>
      </c>
      <c r="CF377" s="31" t="n">
        <f aca="false">SUM(AU377:BE377)</f>
        <v>210975554</v>
      </c>
      <c r="CG377" s="33" t="str">
        <f aca="false">A377&amp;"|"&amp;B377</f>
        <v>2026-11 月例|消防局</v>
      </c>
      <c r="CH377" s="34" t="str">
        <f aca="false">IFERROR(INDEX(設定!$D$61:$D$106,MATCH(B377,設定!$B$61:$B$106,0)),"Y")</f>
        <v>N</v>
      </c>
      <c r="CI377" s="34" t="str">
        <f aca="false">IFERROR(INDEX(設定!$D$20:$D$34,MATCH(A377,設定!$A$20:$A$34,0))&amp;"","")</f>
        <v>2026-10 月例</v>
      </c>
    </row>
    <row r="378" customFormat="false" ht="15" hidden="true" customHeight="false" outlineLevel="0" collapsed="false">
      <c r="A378" s="22" t="s">
        <v>215</v>
      </c>
      <c r="B378" s="23" t="s">
        <v>163</v>
      </c>
      <c r="C378" s="10" t="str">
        <f aca="false">IF(G378="","未受領",IF(G378="なし","報告なし",IF(AH378="○","起票済",IF(OR(AG378="○",F378="一致",F378="入金不要"),"入金確認済","受領済"))))</f>
        <v>未受領</v>
      </c>
      <c r="D378" s="10" t="str">
        <f aca="false">IF(OR(G378="",G378="なし"),"―",IF(CH378="N","対象外",IF(AND(I378="",J378="",K378=""),"標報未入力",IF(CD378&gt;=設定!$B$4,"要確認","問題なし"))))</f>
        <v>―</v>
      </c>
      <c r="E378" s="24" t="str">
        <f aca="false">IF(OR(G378="",G378="なし",CE378="",CF378=0),"―",IF(CF378=CE378,"前月同額",IF(CE378=0,"―",IF(ABS(CF378/CE378-1)&gt;=設定!$B$5,"変動大 "&amp;TEXT(CF378/CE378-1,"+0%;-0%"),"〇"))))</f>
        <v>―</v>
      </c>
      <c r="F378" s="10" t="str">
        <f aca="false">IF(OR(G378="",G378="なし"),"―",IF(CF378=0,"入金不要",IF(COUNT(Z378,AB378,AD378,AF378)=0,IF(AG378="○","手動確認","未入金"),IF(AND(N(Z378)=Y378,IF(AA378="",TRUE(),N(AB378)=AA378),IF(AC378="",TRUE(),N(AD378)=AC378),IF(AE378="",TRUE(),N(AF378)=AE378)),"一致","不一致"))))</f>
        <v>―</v>
      </c>
      <c r="G378" s="25"/>
      <c r="H378" s="26"/>
      <c r="I378" s="27"/>
      <c r="J378" s="27"/>
      <c r="K378" s="27"/>
      <c r="L378" s="27"/>
      <c r="M378" s="27"/>
      <c r="N378" s="27"/>
      <c r="O378" s="27"/>
      <c r="P378" s="27"/>
      <c r="Q378" s="27"/>
      <c r="R378" s="27"/>
      <c r="S378" s="27"/>
      <c r="T378" s="27"/>
      <c r="U378" s="27"/>
      <c r="V378" s="27"/>
      <c r="W378" s="10" t="str">
        <f aca="false">IFERROR(INDEX(設定!$E$61:$E$106,MATCH(B378,設定!$B$61:$B$106,0)),"合算")</f>
        <v>合算</v>
      </c>
      <c r="X378" s="28"/>
      <c r="Y378" s="29" t="str">
        <f aca="false">IF(OR(G378="",G378="なし"),"",IF(W378="合算",CF378,IF(W378="掛金・負担金別",(AU378+AV378+AZ378+BB378+BD378),SUM(AU378:AY378))))</f>
        <v/>
      </c>
      <c r="Z378" s="27"/>
      <c r="AA378" s="29" t="str">
        <f aca="false">IF(OR(G378="",G378="なし"),"",IF(W378="掛金・負担金別",(AW378+AX378+AY378+BA378+BC378+BE378),IF(W378="経理区分別",AZ378+BA378,"")))</f>
        <v/>
      </c>
      <c r="AB378" s="27"/>
      <c r="AC378" s="29" t="str">
        <f aca="false">IF(OR(G378="",G378="なし"),"",IF(W378="経理区分別",BB378+BC378,""))</f>
        <v/>
      </c>
      <c r="AD378" s="27"/>
      <c r="AE378" s="29" t="str">
        <f aca="false">IF(OR(G378="",G378="なし"),"",IF(W378="経理区分別",BD378+BE378,""))</f>
        <v/>
      </c>
      <c r="AF378" s="27"/>
      <c r="AG378" s="26"/>
      <c r="AH378" s="26"/>
      <c r="AI378" s="30"/>
      <c r="AJ378" s="31" t="n">
        <v>1740330</v>
      </c>
      <c r="AK378" s="31" t="n">
        <v>142650</v>
      </c>
      <c r="AL378" s="31" t="n">
        <v>2539620</v>
      </c>
      <c r="AM378" s="31" t="n">
        <v>142650</v>
      </c>
      <c r="AN378" s="31" t="n">
        <v>1808</v>
      </c>
      <c r="AO378" s="31" t="n">
        <v>1055074</v>
      </c>
      <c r="AP378" s="31" t="n">
        <v>1073929</v>
      </c>
      <c r="AQ378" s="31" t="n">
        <v>96696</v>
      </c>
      <c r="AR378" s="31" t="n">
        <v>96696</v>
      </c>
      <c r="AS378" s="31" t="n">
        <v>1</v>
      </c>
      <c r="AT378" s="31" t="n">
        <v>1</v>
      </c>
      <c r="AU378" s="31" t="n">
        <f aca="false">IF($G378="",AJ378,L378)</f>
        <v>1740330</v>
      </c>
      <c r="AV378" s="31" t="n">
        <f aca="false">IF($G378="",AK378,M378)</f>
        <v>142650</v>
      </c>
      <c r="AW378" s="31" t="n">
        <f aca="false">IF($G378="",AL378,N378)</f>
        <v>2539620</v>
      </c>
      <c r="AX378" s="31" t="n">
        <f aca="false">IF($G378="",AM378,O378)</f>
        <v>142650</v>
      </c>
      <c r="AY378" s="31" t="n">
        <f aca="false">IF($G378="",AN378,P378)</f>
        <v>1808</v>
      </c>
      <c r="AZ378" s="31" t="n">
        <f aca="false">IF($G378="",AO378,Q378)</f>
        <v>1055074</v>
      </c>
      <c r="BA378" s="31" t="n">
        <f aca="false">IF($G378="",AP378,R378)</f>
        <v>1073929</v>
      </c>
      <c r="BB378" s="31" t="n">
        <f aca="false">IF($G378="",AQ378,S378)</f>
        <v>96696</v>
      </c>
      <c r="BC378" s="31" t="n">
        <f aca="false">IF($G378="",AR378,T378)</f>
        <v>96696</v>
      </c>
      <c r="BD378" s="31" t="n">
        <f aca="false">IF($G378="",AS378,U378)</f>
        <v>1</v>
      </c>
      <c r="BE378" s="31" t="n">
        <f aca="false">IF($G378="",AT378,V378)</f>
        <v>1</v>
      </c>
      <c r="BF378" s="31" t="n">
        <f aca="false">ROUNDDOWN(I378*設定!$B$10/1000,0)+ROUNDDOWN(I378*設定!$B$11/1000,0)</f>
        <v>0</v>
      </c>
      <c r="BG378" s="31" t="n">
        <f aca="false">ROUNDDOWN(I378*設定!$C$10/1000,0)+ROUNDDOWN(I378*設定!$C$11/1000,0)+ROUNDDOWN(I378*設定!$C$12/1000,0)</f>
        <v>0</v>
      </c>
      <c r="BH378" s="31" t="n">
        <f aca="false">ROUNDDOWN(J378*設定!$B$13/1000,0)</f>
        <v>0</v>
      </c>
      <c r="BI378" s="31" t="n">
        <f aca="false">ROUNDDOWN(J378*設定!$C$13/1000,0)</f>
        <v>0</v>
      </c>
      <c r="BJ378" s="31" t="n">
        <f aca="false">ROUNDDOWN(K378*設定!$B$14/1000,0)</f>
        <v>0</v>
      </c>
      <c r="BK378" s="31" t="n">
        <f aca="false">ROUNDDOWN(K378*設定!$C$14/1000,0)</f>
        <v>0</v>
      </c>
      <c r="BL378" s="31" t="n">
        <f aca="false">ROUNDDOWN(J378*設定!$B$15/1000,0)</f>
        <v>0</v>
      </c>
      <c r="BM378" s="31" t="n">
        <f aca="false">ROUNDDOWN(J378*設定!$C$15/1000,0)</f>
        <v>0</v>
      </c>
      <c r="BN378" s="31" t="n">
        <f aca="false">L378+M378</f>
        <v>0</v>
      </c>
      <c r="BO378" s="31" t="n">
        <f aca="false">N378+O378+P378</f>
        <v>0</v>
      </c>
      <c r="BP378" s="31" t="n">
        <f aca="false">Q378</f>
        <v>0</v>
      </c>
      <c r="BQ378" s="31" t="n">
        <f aca="false">R378</f>
        <v>0</v>
      </c>
      <c r="BR378" s="31" t="n">
        <f aca="false">S378</f>
        <v>0</v>
      </c>
      <c r="BS378" s="31" t="n">
        <f aca="false">T378</f>
        <v>0</v>
      </c>
      <c r="BT378" s="31" t="n">
        <f aca="false">U378</f>
        <v>0</v>
      </c>
      <c r="BU378" s="31" t="n">
        <f aca="false">V378</f>
        <v>0</v>
      </c>
      <c r="BV378" s="32" t="n">
        <f aca="false">IF(BF378=0,IF(BN378=0,0,1),(BN378-BF378)/BF378)</f>
        <v>0</v>
      </c>
      <c r="BW378" s="32" t="n">
        <f aca="false">IF(BG378=0,IF(BO378=0,0,1),(BO378-BG378)/BG378)</f>
        <v>0</v>
      </c>
      <c r="BX378" s="32" t="n">
        <f aca="false">IF(BH378=0,IF(BP378=0,0,1),(BP378-BH378)/BH378)</f>
        <v>0</v>
      </c>
      <c r="BY378" s="32" t="n">
        <f aca="false">IF(BI378=0,IF(BQ378=0,0,1),(BQ378-BI378)/BI378)</f>
        <v>0</v>
      </c>
      <c r="BZ378" s="32" t="n">
        <f aca="false">IF(BJ378=0,IF(BR378=0,0,1),(BR378-BJ378)/BJ378)</f>
        <v>0</v>
      </c>
      <c r="CA378" s="32" t="n">
        <f aca="false">IF(BK378=0,IF(BS378=0,0,1),(BS378-BK378)/BK378)</f>
        <v>0</v>
      </c>
      <c r="CB378" s="32" t="n">
        <f aca="false">IF(BL378=0,IF(BT378=0,0,1),(BT378-BL378)/BL378)</f>
        <v>0</v>
      </c>
      <c r="CC378" s="32" t="n">
        <f aca="false">IF(BM378=0,IF(BU378=0,0,1),(BU378-BM378)/BM378)</f>
        <v>0</v>
      </c>
      <c r="CD378" s="32" t="n">
        <f aca="false">MAX(MAX(BV378:CC378),-MIN(BV378:CC378))</f>
        <v>-0</v>
      </c>
      <c r="CE378" s="31" t="n">
        <f aca="false">IF(CI378="","",SUMIFS($CF$7:$CF$696,$A$7:$A$696,CI378,$B$7:$B$696,B378))</f>
        <v>6889455</v>
      </c>
      <c r="CF378" s="31" t="n">
        <f aca="false">SUM(AU378:BE378)</f>
        <v>6889455</v>
      </c>
      <c r="CG378" s="33" t="str">
        <f aca="false">A378&amp;"|"&amp;B378</f>
        <v>2026-11 月例|議会事務局</v>
      </c>
      <c r="CH378" s="34" t="str">
        <f aca="false">IFERROR(INDEX(設定!$D$61:$D$106,MATCH(B378,設定!$B$61:$B$106,0)),"Y")</f>
        <v>Y</v>
      </c>
      <c r="CI378" s="34" t="str">
        <f aca="false">IFERROR(INDEX(設定!$D$20:$D$34,MATCH(A378,設定!$A$20:$A$34,0))&amp;"","")</f>
        <v>2026-10 月例</v>
      </c>
    </row>
    <row r="379" customFormat="false" ht="15" hidden="true" customHeight="false" outlineLevel="0" collapsed="false">
      <c r="A379" s="22" t="s">
        <v>215</v>
      </c>
      <c r="B379" s="23" t="s">
        <v>164</v>
      </c>
      <c r="C379" s="10" t="str">
        <f aca="false">IF(G379="","未受領",IF(G379="なし","報告なし",IF(AH379="○","起票済",IF(OR(AG379="○",F379="一致",F379="入金不要"),"入金確認済","受領済"))))</f>
        <v>未受領</v>
      </c>
      <c r="D379" s="10" t="str">
        <f aca="false">IF(OR(G379="",G379="なし"),"―",IF(CH379="N","対象外",IF(AND(I379="",J379="",K379=""),"標報未入力",IF(CD379&gt;=設定!$B$4,"要確認","問題なし"))))</f>
        <v>―</v>
      </c>
      <c r="E379" s="24" t="str">
        <f aca="false">IF(OR(G379="",G379="なし",CE379="",CF379=0),"―",IF(CF379=CE379,"前月同額",IF(CE379=0,"―",IF(ABS(CF379/CE379-1)&gt;=設定!$B$5,"変動大 "&amp;TEXT(CF379/CE379-1,"+0%;-0%"),"〇"))))</f>
        <v>―</v>
      </c>
      <c r="F379" s="10" t="str">
        <f aca="false">IF(OR(G379="",G379="なし"),"―",IF(CF379=0,"入金不要",IF(COUNT(Z379,AB379,AD379,AF379)=0,IF(AG379="○","手動確認","未入金"),IF(AND(N(Z379)=Y379,IF(AA379="",TRUE(),N(AB379)=AA379),IF(AC379="",TRUE(),N(AD379)=AC379),IF(AE379="",TRUE(),N(AF379)=AE379)),"一致","不一致"))))</f>
        <v>―</v>
      </c>
      <c r="G379" s="25"/>
      <c r="H379" s="26"/>
      <c r="I379" s="27"/>
      <c r="J379" s="27"/>
      <c r="K379" s="27"/>
      <c r="L379" s="27"/>
      <c r="M379" s="27"/>
      <c r="N379" s="27"/>
      <c r="O379" s="27"/>
      <c r="P379" s="27"/>
      <c r="Q379" s="27"/>
      <c r="R379" s="27"/>
      <c r="S379" s="27"/>
      <c r="T379" s="27"/>
      <c r="U379" s="27"/>
      <c r="V379" s="27"/>
      <c r="W379" s="10" t="str">
        <f aca="false">IFERROR(INDEX(設定!$E$61:$E$106,MATCH(B379,設定!$B$61:$B$106,0)),"合算")</f>
        <v>合算</v>
      </c>
      <c r="X379" s="28"/>
      <c r="Y379" s="29" t="str">
        <f aca="false">IF(OR(G379="",G379="なし"),"",IF(W379="合算",CF379,IF(W379="掛金・負担金別",(AU379+AV379+AZ379+BB379+BD379),SUM(AU379:AY379))))</f>
        <v/>
      </c>
      <c r="Z379" s="27"/>
      <c r="AA379" s="29" t="str">
        <f aca="false">IF(OR(G379="",G379="なし"),"",IF(W379="掛金・負担金別",(AW379+AX379+AY379+BA379+BC379+BE379),IF(W379="経理区分別",AZ379+BA379,"")))</f>
        <v/>
      </c>
      <c r="AB379" s="27"/>
      <c r="AC379" s="29" t="str">
        <f aca="false">IF(OR(G379="",G379="なし"),"",IF(W379="経理区分別",BB379+BC379,""))</f>
        <v/>
      </c>
      <c r="AD379" s="27"/>
      <c r="AE379" s="29" t="str">
        <f aca="false">IF(OR(G379="",G379="なし"),"",IF(W379="経理区分別",BD379+BE379,""))</f>
        <v/>
      </c>
      <c r="AF379" s="27"/>
      <c r="AG379" s="26"/>
      <c r="AH379" s="26"/>
      <c r="AI379" s="30"/>
      <c r="AJ379" s="31" t="n">
        <v>24086461</v>
      </c>
      <c r="AK379" s="31" t="n">
        <v>1974301</v>
      </c>
      <c r="AL379" s="31" t="n">
        <v>35170175</v>
      </c>
      <c r="AM379" s="31" t="n">
        <v>1976400</v>
      </c>
      <c r="AN379" s="31" t="n">
        <v>25013</v>
      </c>
      <c r="AO379" s="31" t="n">
        <v>25720517</v>
      </c>
      <c r="AP379" s="31" t="n">
        <v>26209654</v>
      </c>
      <c r="AQ379" s="31" t="n">
        <v>2801747</v>
      </c>
      <c r="AR379" s="31" t="n">
        <v>2802592</v>
      </c>
      <c r="AS379" s="31" t="n">
        <v>1</v>
      </c>
      <c r="AT379" s="31" t="n">
        <v>1</v>
      </c>
      <c r="AU379" s="31" t="n">
        <f aca="false">IF($G379="",AJ379,L379)</f>
        <v>24086461</v>
      </c>
      <c r="AV379" s="31" t="n">
        <f aca="false">IF($G379="",AK379,M379)</f>
        <v>1974301</v>
      </c>
      <c r="AW379" s="31" t="n">
        <f aca="false">IF($G379="",AL379,N379)</f>
        <v>35170175</v>
      </c>
      <c r="AX379" s="31" t="n">
        <f aca="false">IF($G379="",AM379,O379)</f>
        <v>1976400</v>
      </c>
      <c r="AY379" s="31" t="n">
        <f aca="false">IF($G379="",AN379,P379)</f>
        <v>25013</v>
      </c>
      <c r="AZ379" s="31" t="n">
        <f aca="false">IF($G379="",AO379,Q379)</f>
        <v>25720517</v>
      </c>
      <c r="BA379" s="31" t="n">
        <f aca="false">IF($G379="",AP379,R379)</f>
        <v>26209654</v>
      </c>
      <c r="BB379" s="31" t="n">
        <f aca="false">IF($G379="",AQ379,S379)</f>
        <v>2801747</v>
      </c>
      <c r="BC379" s="31" t="n">
        <f aca="false">IF($G379="",AR379,T379)</f>
        <v>2802592</v>
      </c>
      <c r="BD379" s="31" t="n">
        <f aca="false">IF($G379="",AS379,U379)</f>
        <v>1</v>
      </c>
      <c r="BE379" s="31" t="n">
        <f aca="false">IF($G379="",AT379,V379)</f>
        <v>1</v>
      </c>
      <c r="BF379" s="31" t="n">
        <f aca="false">ROUNDDOWN(I379*設定!$B$10/1000,0)+ROUNDDOWN(I379*設定!$B$11/1000,0)</f>
        <v>0</v>
      </c>
      <c r="BG379" s="31" t="n">
        <f aca="false">ROUNDDOWN(I379*設定!$C$10/1000,0)+ROUNDDOWN(I379*設定!$C$11/1000,0)+ROUNDDOWN(I379*設定!$C$12/1000,0)</f>
        <v>0</v>
      </c>
      <c r="BH379" s="31" t="n">
        <f aca="false">ROUNDDOWN(J379*設定!$B$13/1000,0)</f>
        <v>0</v>
      </c>
      <c r="BI379" s="31" t="n">
        <f aca="false">ROUNDDOWN(J379*設定!$C$13/1000,0)</f>
        <v>0</v>
      </c>
      <c r="BJ379" s="31" t="n">
        <f aca="false">ROUNDDOWN(K379*設定!$B$14/1000,0)</f>
        <v>0</v>
      </c>
      <c r="BK379" s="31" t="n">
        <f aca="false">ROUNDDOWN(K379*設定!$C$14/1000,0)</f>
        <v>0</v>
      </c>
      <c r="BL379" s="31" t="n">
        <f aca="false">ROUNDDOWN(J379*設定!$B$15/1000,0)</f>
        <v>0</v>
      </c>
      <c r="BM379" s="31" t="n">
        <f aca="false">ROUNDDOWN(J379*設定!$C$15/1000,0)</f>
        <v>0</v>
      </c>
      <c r="BN379" s="31" t="n">
        <f aca="false">L379+M379</f>
        <v>0</v>
      </c>
      <c r="BO379" s="31" t="n">
        <f aca="false">N379+O379+P379</f>
        <v>0</v>
      </c>
      <c r="BP379" s="31" t="n">
        <f aca="false">Q379</f>
        <v>0</v>
      </c>
      <c r="BQ379" s="31" t="n">
        <f aca="false">R379</f>
        <v>0</v>
      </c>
      <c r="BR379" s="31" t="n">
        <f aca="false">S379</f>
        <v>0</v>
      </c>
      <c r="BS379" s="31" t="n">
        <f aca="false">T379</f>
        <v>0</v>
      </c>
      <c r="BT379" s="31" t="n">
        <f aca="false">U379</f>
        <v>0</v>
      </c>
      <c r="BU379" s="31" t="n">
        <f aca="false">V379</f>
        <v>0</v>
      </c>
      <c r="BV379" s="32" t="n">
        <f aca="false">IF(BF379=0,IF(BN379=0,0,1),(BN379-BF379)/BF379)</f>
        <v>0</v>
      </c>
      <c r="BW379" s="32" t="n">
        <f aca="false">IF(BG379=0,IF(BO379=0,0,1),(BO379-BG379)/BG379)</f>
        <v>0</v>
      </c>
      <c r="BX379" s="32" t="n">
        <f aca="false">IF(BH379=0,IF(BP379=0,0,1),(BP379-BH379)/BH379)</f>
        <v>0</v>
      </c>
      <c r="BY379" s="32" t="n">
        <f aca="false">IF(BI379=0,IF(BQ379=0,0,1),(BQ379-BI379)/BI379)</f>
        <v>0</v>
      </c>
      <c r="BZ379" s="32" t="n">
        <f aca="false">IF(BJ379=0,IF(BR379=0,0,1),(BR379-BJ379)/BJ379)</f>
        <v>0</v>
      </c>
      <c r="CA379" s="32" t="n">
        <f aca="false">IF(BK379=0,IF(BS379=0,0,1),(BS379-BK379)/BK379)</f>
        <v>0</v>
      </c>
      <c r="CB379" s="32" t="n">
        <f aca="false">IF(BL379=0,IF(BT379=0,0,1),(BT379-BL379)/BL379)</f>
        <v>0</v>
      </c>
      <c r="CC379" s="32" t="n">
        <f aca="false">IF(BM379=0,IF(BU379=0,0,1),(BU379-BM379)/BM379)</f>
        <v>0</v>
      </c>
      <c r="CD379" s="32" t="n">
        <f aca="false">MAX(MAX(BV379:CC379),-MIN(BV379:CC379))</f>
        <v>-0</v>
      </c>
      <c r="CE379" s="31" t="n">
        <f aca="false">IF(CI379="","",SUMIFS($CF$7:$CF$696,$A$7:$A$696,CI379,$B$7:$B$696,B379))</f>
        <v>121018103</v>
      </c>
      <c r="CF379" s="31" t="n">
        <f aca="false">SUM(AU379:BE379)</f>
        <v>120766862</v>
      </c>
      <c r="CG379" s="33" t="str">
        <f aca="false">A379&amp;"|"&amp;B379</f>
        <v>2026-11 月例|教育委員会（総務課）</v>
      </c>
      <c r="CH379" s="34" t="str">
        <f aca="false">IFERROR(INDEX(設定!$D$61:$D$106,MATCH(B379,設定!$B$61:$B$106,0)),"Y")</f>
        <v>N</v>
      </c>
      <c r="CI379" s="34" t="str">
        <f aca="false">IFERROR(INDEX(設定!$D$20:$D$34,MATCH(A379,設定!$A$20:$A$34,0))&amp;"","")</f>
        <v>2026-10 月例</v>
      </c>
    </row>
    <row r="380" customFormat="false" ht="15" hidden="true" customHeight="false" outlineLevel="0" collapsed="false">
      <c r="A380" s="22" t="s">
        <v>215</v>
      </c>
      <c r="B380" s="23" t="s">
        <v>165</v>
      </c>
      <c r="C380" s="10" t="str">
        <f aca="false">IF(G380="","未受領",IF(G380="なし","報告なし",IF(AH380="○","起票済",IF(OR(AG380="○",F380="一致",F380="入金不要"),"入金確認済","受領済"))))</f>
        <v>未受領</v>
      </c>
      <c r="D380" s="10" t="str">
        <f aca="false">IF(OR(G380="",G380="なし"),"―",IF(CH380="N","対象外",IF(AND(I380="",J380="",K380=""),"標報未入力",IF(CD380&gt;=設定!$B$4,"要確認","問題なし"))))</f>
        <v>―</v>
      </c>
      <c r="E380" s="24" t="str">
        <f aca="false">IF(OR(G380="",G380="なし",CE380="",CF380=0),"―",IF(CF380=CE380,"前月同額",IF(CE380=0,"―",IF(ABS(CF380/CE380-1)&gt;=設定!$B$5,"変動大 "&amp;TEXT(CF380/CE380-1,"+0%;-0%"),"〇"))))</f>
        <v>―</v>
      </c>
      <c r="F380" s="10" t="str">
        <f aca="false">IF(OR(G380="",G380="なし"),"―",IF(CF380=0,"入金不要",IF(COUNT(Z380,AB380,AD380,AF380)=0,IF(AG380="○","手動確認","未入金"),IF(AND(N(Z380)=Y380,IF(AA380="",TRUE(),N(AB380)=AA380),IF(AC380="",TRUE(),N(AD380)=AC380),IF(AE380="",TRUE(),N(AF380)=AE380)),"一致","不一致"))))</f>
        <v>―</v>
      </c>
      <c r="G380" s="25"/>
      <c r="H380" s="26"/>
      <c r="I380" s="27"/>
      <c r="J380" s="27"/>
      <c r="K380" s="27"/>
      <c r="L380" s="27"/>
      <c r="M380" s="27"/>
      <c r="N380" s="27"/>
      <c r="O380" s="27"/>
      <c r="P380" s="27"/>
      <c r="Q380" s="27"/>
      <c r="R380" s="27"/>
      <c r="S380" s="27"/>
      <c r="T380" s="27"/>
      <c r="U380" s="27"/>
      <c r="V380" s="27"/>
      <c r="W380" s="10" t="str">
        <f aca="false">IFERROR(INDEX(設定!$E$61:$E$106,MATCH(B380,設定!$B$61:$B$106,0)),"合算")</f>
        <v>合算</v>
      </c>
      <c r="X380" s="28"/>
      <c r="Y380" s="29" t="str">
        <f aca="false">IF(OR(G380="",G380="なし"),"",IF(W380="合算",CF380,IF(W380="掛金・負担金別",(AU380+AV380+AZ380+BB380+BD380),SUM(AU380:AY380))))</f>
        <v/>
      </c>
      <c r="Z380" s="27"/>
      <c r="AA380" s="29" t="str">
        <f aca="false">IF(OR(G380="",G380="なし"),"",IF(W380="掛金・負担金別",(AW380+AX380+AY380+BA380+BC380+BE380),IF(W380="経理区分別",AZ380+BA380,"")))</f>
        <v/>
      </c>
      <c r="AB380" s="27"/>
      <c r="AC380" s="29" t="str">
        <f aca="false">IF(OR(G380="",G380="なし"),"",IF(W380="経理区分別",BB380+BC380,""))</f>
        <v/>
      </c>
      <c r="AD380" s="27"/>
      <c r="AE380" s="29" t="str">
        <f aca="false">IF(OR(G380="",G380="なし"),"",IF(W380="経理区分別",BD380+BE380,""))</f>
        <v/>
      </c>
      <c r="AF380" s="27"/>
      <c r="AG380" s="26"/>
      <c r="AH380" s="26"/>
      <c r="AI380" s="30"/>
      <c r="AJ380" s="31" t="n">
        <v>280905</v>
      </c>
      <c r="AK380" s="31" t="n">
        <v>23025</v>
      </c>
      <c r="AL380" s="31" t="n">
        <v>408310</v>
      </c>
      <c r="AM380" s="31" t="n">
        <v>23025</v>
      </c>
      <c r="AN380" s="31" t="n">
        <v>288</v>
      </c>
      <c r="AO380" s="31" t="n">
        <v>264041</v>
      </c>
      <c r="AP380" s="31" t="n">
        <v>193690</v>
      </c>
      <c r="AQ380" s="31" t="n">
        <v>21674</v>
      </c>
      <c r="AR380" s="31" t="n">
        <v>15326</v>
      </c>
      <c r="AS380" s="31" t="n">
        <v>1</v>
      </c>
      <c r="AT380" s="31" t="n">
        <v>1</v>
      </c>
      <c r="AU380" s="31" t="n">
        <f aca="false">IF($G380="",AJ380,L380)</f>
        <v>280905</v>
      </c>
      <c r="AV380" s="31" t="n">
        <f aca="false">IF($G380="",AK380,M380)</f>
        <v>23025</v>
      </c>
      <c r="AW380" s="31" t="n">
        <f aca="false">IF($G380="",AL380,N380)</f>
        <v>408310</v>
      </c>
      <c r="AX380" s="31" t="n">
        <f aca="false">IF($G380="",AM380,O380)</f>
        <v>23025</v>
      </c>
      <c r="AY380" s="31" t="n">
        <f aca="false">IF($G380="",AN380,P380)</f>
        <v>288</v>
      </c>
      <c r="AZ380" s="31" t="n">
        <f aca="false">IF($G380="",AO380,Q380)</f>
        <v>264041</v>
      </c>
      <c r="BA380" s="31" t="n">
        <f aca="false">IF($G380="",AP380,R380)</f>
        <v>193690</v>
      </c>
      <c r="BB380" s="31" t="n">
        <f aca="false">IF($G380="",AQ380,S380)</f>
        <v>21674</v>
      </c>
      <c r="BC380" s="31" t="n">
        <f aca="false">IF($G380="",AR380,T380)</f>
        <v>15326</v>
      </c>
      <c r="BD380" s="31" t="n">
        <f aca="false">IF($G380="",AS380,U380)</f>
        <v>1</v>
      </c>
      <c r="BE380" s="31" t="n">
        <f aca="false">IF($G380="",AT380,V380)</f>
        <v>1</v>
      </c>
      <c r="BF380" s="31" t="n">
        <f aca="false">ROUNDDOWN(I380*設定!$B$10/1000,0)+ROUNDDOWN(I380*設定!$B$11/1000,0)</f>
        <v>0</v>
      </c>
      <c r="BG380" s="31" t="n">
        <f aca="false">ROUNDDOWN(I380*設定!$C$10/1000,0)+ROUNDDOWN(I380*設定!$C$11/1000,0)+ROUNDDOWN(I380*設定!$C$12/1000,0)</f>
        <v>0</v>
      </c>
      <c r="BH380" s="31" t="n">
        <f aca="false">ROUNDDOWN(J380*設定!$B$13/1000,0)</f>
        <v>0</v>
      </c>
      <c r="BI380" s="31" t="n">
        <f aca="false">ROUNDDOWN(J380*設定!$C$13/1000,0)</f>
        <v>0</v>
      </c>
      <c r="BJ380" s="31" t="n">
        <f aca="false">ROUNDDOWN(K380*設定!$B$14/1000,0)</f>
        <v>0</v>
      </c>
      <c r="BK380" s="31" t="n">
        <f aca="false">ROUNDDOWN(K380*設定!$C$14/1000,0)</f>
        <v>0</v>
      </c>
      <c r="BL380" s="31" t="n">
        <f aca="false">ROUNDDOWN(J380*設定!$B$15/1000,0)</f>
        <v>0</v>
      </c>
      <c r="BM380" s="31" t="n">
        <f aca="false">ROUNDDOWN(J380*設定!$C$15/1000,0)</f>
        <v>0</v>
      </c>
      <c r="BN380" s="31" t="n">
        <f aca="false">L380+M380</f>
        <v>0</v>
      </c>
      <c r="BO380" s="31" t="n">
        <f aca="false">N380+O380+P380</f>
        <v>0</v>
      </c>
      <c r="BP380" s="31" t="n">
        <f aca="false">Q380</f>
        <v>0</v>
      </c>
      <c r="BQ380" s="31" t="n">
        <f aca="false">R380</f>
        <v>0</v>
      </c>
      <c r="BR380" s="31" t="n">
        <f aca="false">S380</f>
        <v>0</v>
      </c>
      <c r="BS380" s="31" t="n">
        <f aca="false">T380</f>
        <v>0</v>
      </c>
      <c r="BT380" s="31" t="n">
        <f aca="false">U380</f>
        <v>0</v>
      </c>
      <c r="BU380" s="31" t="n">
        <f aca="false">V380</f>
        <v>0</v>
      </c>
      <c r="BV380" s="32" t="n">
        <f aca="false">IF(BF380=0,IF(BN380=0,0,1),(BN380-BF380)/BF380)</f>
        <v>0</v>
      </c>
      <c r="BW380" s="32" t="n">
        <f aca="false">IF(BG380=0,IF(BO380=0,0,1),(BO380-BG380)/BG380)</f>
        <v>0</v>
      </c>
      <c r="BX380" s="32" t="n">
        <f aca="false">IF(BH380=0,IF(BP380=0,0,1),(BP380-BH380)/BH380)</f>
        <v>0</v>
      </c>
      <c r="BY380" s="32" t="n">
        <f aca="false">IF(BI380=0,IF(BQ380=0,0,1),(BQ380-BI380)/BI380)</f>
        <v>0</v>
      </c>
      <c r="BZ380" s="32" t="n">
        <f aca="false">IF(BJ380=0,IF(BR380=0,0,1),(BR380-BJ380)/BJ380)</f>
        <v>0</v>
      </c>
      <c r="CA380" s="32" t="n">
        <f aca="false">IF(BK380=0,IF(BS380=0,0,1),(BS380-BK380)/BK380)</f>
        <v>0</v>
      </c>
      <c r="CB380" s="32" t="n">
        <f aca="false">IF(BL380=0,IF(BT380=0,0,1),(BT380-BL380)/BL380)</f>
        <v>0</v>
      </c>
      <c r="CC380" s="32" t="n">
        <f aca="false">IF(BM380=0,IF(BU380=0,0,1),(BU380-BM380)/BM380)</f>
        <v>0</v>
      </c>
      <c r="CD380" s="32" t="n">
        <f aca="false">MAX(MAX(BV380:CC380),-MIN(BV380:CC380))</f>
        <v>-0</v>
      </c>
      <c r="CE380" s="31" t="n">
        <f aca="false">IF(CI380="","",SUMIFS($CF$7:$CF$696,$A$7:$A$696,CI380,$B$7:$B$696,B380))</f>
        <v>1176418</v>
      </c>
      <c r="CF380" s="31" t="n">
        <f aca="false">SUM(AU380:BE380)</f>
        <v>1230286</v>
      </c>
      <c r="CG380" s="33" t="str">
        <f aca="false">A380&amp;"|"&amp;B380</f>
        <v>2026-11 月例|選挙管理委員会</v>
      </c>
      <c r="CH380" s="34" t="str">
        <f aca="false">IFERROR(INDEX(設定!$D$61:$D$106,MATCH(B380,設定!$B$61:$B$106,0)),"Y")</f>
        <v>Y</v>
      </c>
      <c r="CI380" s="34" t="str">
        <f aca="false">IFERROR(INDEX(設定!$D$20:$D$34,MATCH(A380,設定!$A$20:$A$34,0))&amp;"","")</f>
        <v>2026-10 月例</v>
      </c>
    </row>
    <row r="381" customFormat="false" ht="15" hidden="true" customHeight="false" outlineLevel="0" collapsed="false">
      <c r="A381" s="22" t="s">
        <v>215</v>
      </c>
      <c r="B381" s="23" t="s">
        <v>166</v>
      </c>
      <c r="C381" s="10" t="str">
        <f aca="false">IF(G381="","未受領",IF(G381="なし","報告なし",IF(AH381="○","起票済",IF(OR(AG381="○",F381="一致",F381="入金不要"),"入金確認済","受領済"))))</f>
        <v>未受領</v>
      </c>
      <c r="D381" s="10" t="str">
        <f aca="false">IF(OR(G381="",G381="なし"),"―",IF(CH381="N","対象外",IF(AND(I381="",J381="",K381=""),"標報未入力",IF(CD381&gt;=設定!$B$4,"要確認","問題なし"))))</f>
        <v>―</v>
      </c>
      <c r="E381" s="24" t="str">
        <f aca="false">IF(OR(G381="",G381="なし",CE381="",CF381=0),"―",IF(CF381=CE381,"前月同額",IF(CE381=0,"―",IF(ABS(CF381/CE381-1)&gt;=設定!$B$5,"変動大 "&amp;TEXT(CF381/CE381-1,"+0%;-0%"),"〇"))))</f>
        <v>―</v>
      </c>
      <c r="F381" s="10" t="str">
        <f aca="false">IF(OR(G381="",G381="なし"),"―",IF(CF381=0,"入金不要",IF(COUNT(Z381,AB381,AD381,AF381)=0,IF(AG381="○","手動確認","未入金"),IF(AND(N(Z381)=Y381,IF(AA381="",TRUE(),N(AB381)=AA381),IF(AC381="",TRUE(),N(AD381)=AC381),IF(AE381="",TRUE(),N(AF381)=AE381)),"一致","不一致"))))</f>
        <v>―</v>
      </c>
      <c r="G381" s="25"/>
      <c r="H381" s="26"/>
      <c r="I381" s="27"/>
      <c r="J381" s="27"/>
      <c r="K381" s="27"/>
      <c r="L381" s="27"/>
      <c r="M381" s="27"/>
      <c r="N381" s="27"/>
      <c r="O381" s="27"/>
      <c r="P381" s="27"/>
      <c r="Q381" s="27"/>
      <c r="R381" s="27"/>
      <c r="S381" s="27"/>
      <c r="T381" s="27"/>
      <c r="U381" s="27"/>
      <c r="V381" s="27"/>
      <c r="W381" s="10" t="str">
        <f aca="false">IFERROR(INDEX(設定!$E$61:$E$106,MATCH(B381,設定!$B$61:$B$106,0)),"合算")</f>
        <v>合算</v>
      </c>
      <c r="X381" s="28"/>
      <c r="Y381" s="29" t="str">
        <f aca="false">IF(OR(G381="",G381="なし"),"",IF(W381="合算",CF381,IF(W381="掛金・負担金別",(AU381+AV381+AZ381+BB381+BD381),SUM(AU381:AY381))))</f>
        <v/>
      </c>
      <c r="Z381" s="27"/>
      <c r="AA381" s="29" t="str">
        <f aca="false">IF(OR(G381="",G381="なし"),"",IF(W381="掛金・負担金別",(AW381+AX381+AY381+BA381+BC381+BE381),IF(W381="経理区分別",AZ381+BA381,"")))</f>
        <v/>
      </c>
      <c r="AB381" s="27"/>
      <c r="AC381" s="29" t="str">
        <f aca="false">IF(OR(G381="",G381="なし"),"",IF(W381="経理区分別",BB381+BC381,""))</f>
        <v/>
      </c>
      <c r="AD381" s="27"/>
      <c r="AE381" s="29" t="str">
        <f aca="false">IF(OR(G381="",G381="なし"),"",IF(W381="経理区分別",BD381+BE381,""))</f>
        <v/>
      </c>
      <c r="AF381" s="27"/>
      <c r="AG381" s="26"/>
      <c r="AH381" s="26"/>
      <c r="AI381" s="30"/>
      <c r="AJ381" s="31" t="n">
        <v>561810</v>
      </c>
      <c r="AK381" s="31" t="n">
        <v>46050</v>
      </c>
      <c r="AL381" s="31" t="n">
        <v>816620</v>
      </c>
      <c r="AM381" s="31" t="n">
        <v>46050</v>
      </c>
      <c r="AN381" s="31" t="n">
        <v>576</v>
      </c>
      <c r="AO381" s="31" t="n">
        <v>351070</v>
      </c>
      <c r="AP381" s="31" t="n">
        <v>357264</v>
      </c>
      <c r="AQ381" s="31" t="n">
        <v>33353</v>
      </c>
      <c r="AR381" s="31" t="n">
        <v>33353</v>
      </c>
      <c r="AS381" s="31" t="n">
        <v>1</v>
      </c>
      <c r="AT381" s="31" t="n">
        <v>1</v>
      </c>
      <c r="AU381" s="31" t="n">
        <f aca="false">IF($G381="",AJ381,L381)</f>
        <v>561810</v>
      </c>
      <c r="AV381" s="31" t="n">
        <f aca="false">IF($G381="",AK381,M381)</f>
        <v>46050</v>
      </c>
      <c r="AW381" s="31" t="n">
        <f aca="false">IF($G381="",AL381,N381)</f>
        <v>816620</v>
      </c>
      <c r="AX381" s="31" t="n">
        <f aca="false">IF($G381="",AM381,O381)</f>
        <v>46050</v>
      </c>
      <c r="AY381" s="31" t="n">
        <f aca="false">IF($G381="",AN381,P381)</f>
        <v>576</v>
      </c>
      <c r="AZ381" s="31" t="n">
        <f aca="false">IF($G381="",AO381,Q381)</f>
        <v>351070</v>
      </c>
      <c r="BA381" s="31" t="n">
        <f aca="false">IF($G381="",AP381,R381)</f>
        <v>357264</v>
      </c>
      <c r="BB381" s="31" t="n">
        <f aca="false">IF($G381="",AQ381,S381)</f>
        <v>33353</v>
      </c>
      <c r="BC381" s="31" t="n">
        <f aca="false">IF($G381="",AR381,T381)</f>
        <v>33353</v>
      </c>
      <c r="BD381" s="31" t="n">
        <f aca="false">IF($G381="",AS381,U381)</f>
        <v>1</v>
      </c>
      <c r="BE381" s="31" t="n">
        <f aca="false">IF($G381="",AT381,V381)</f>
        <v>1</v>
      </c>
      <c r="BF381" s="31" t="n">
        <f aca="false">ROUNDDOWN(I381*設定!$B$10/1000,0)+ROUNDDOWN(I381*設定!$B$11/1000,0)</f>
        <v>0</v>
      </c>
      <c r="BG381" s="31" t="n">
        <f aca="false">ROUNDDOWN(I381*設定!$C$10/1000,0)+ROUNDDOWN(I381*設定!$C$11/1000,0)+ROUNDDOWN(I381*設定!$C$12/1000,0)</f>
        <v>0</v>
      </c>
      <c r="BH381" s="31" t="n">
        <f aca="false">ROUNDDOWN(J381*設定!$B$13/1000,0)</f>
        <v>0</v>
      </c>
      <c r="BI381" s="31" t="n">
        <f aca="false">ROUNDDOWN(J381*設定!$C$13/1000,0)</f>
        <v>0</v>
      </c>
      <c r="BJ381" s="31" t="n">
        <f aca="false">ROUNDDOWN(K381*設定!$B$14/1000,0)</f>
        <v>0</v>
      </c>
      <c r="BK381" s="31" t="n">
        <f aca="false">ROUNDDOWN(K381*設定!$C$14/1000,0)</f>
        <v>0</v>
      </c>
      <c r="BL381" s="31" t="n">
        <f aca="false">ROUNDDOWN(J381*設定!$B$15/1000,0)</f>
        <v>0</v>
      </c>
      <c r="BM381" s="31" t="n">
        <f aca="false">ROUNDDOWN(J381*設定!$C$15/1000,0)</f>
        <v>0</v>
      </c>
      <c r="BN381" s="31" t="n">
        <f aca="false">L381+M381</f>
        <v>0</v>
      </c>
      <c r="BO381" s="31" t="n">
        <f aca="false">N381+O381+P381</f>
        <v>0</v>
      </c>
      <c r="BP381" s="31" t="n">
        <f aca="false">Q381</f>
        <v>0</v>
      </c>
      <c r="BQ381" s="31" t="n">
        <f aca="false">R381</f>
        <v>0</v>
      </c>
      <c r="BR381" s="31" t="n">
        <f aca="false">S381</f>
        <v>0</v>
      </c>
      <c r="BS381" s="31" t="n">
        <f aca="false">T381</f>
        <v>0</v>
      </c>
      <c r="BT381" s="31" t="n">
        <f aca="false">U381</f>
        <v>0</v>
      </c>
      <c r="BU381" s="31" t="n">
        <f aca="false">V381</f>
        <v>0</v>
      </c>
      <c r="BV381" s="32" t="n">
        <f aca="false">IF(BF381=0,IF(BN381=0,0,1),(BN381-BF381)/BF381)</f>
        <v>0</v>
      </c>
      <c r="BW381" s="32" t="n">
        <f aca="false">IF(BG381=0,IF(BO381=0,0,1),(BO381-BG381)/BG381)</f>
        <v>0</v>
      </c>
      <c r="BX381" s="32" t="n">
        <f aca="false">IF(BH381=0,IF(BP381=0,0,1),(BP381-BH381)/BH381)</f>
        <v>0</v>
      </c>
      <c r="BY381" s="32" t="n">
        <f aca="false">IF(BI381=0,IF(BQ381=0,0,1),(BQ381-BI381)/BI381)</f>
        <v>0</v>
      </c>
      <c r="BZ381" s="32" t="n">
        <f aca="false">IF(BJ381=0,IF(BR381=0,0,1),(BR381-BJ381)/BJ381)</f>
        <v>0</v>
      </c>
      <c r="CA381" s="32" t="n">
        <f aca="false">IF(BK381=0,IF(BS381=0,0,1),(BS381-BK381)/BK381)</f>
        <v>0</v>
      </c>
      <c r="CB381" s="32" t="n">
        <f aca="false">IF(BL381=0,IF(BT381=0,0,1),(BT381-BL381)/BL381)</f>
        <v>0</v>
      </c>
      <c r="CC381" s="32" t="n">
        <f aca="false">IF(BM381=0,IF(BU381=0,0,1),(BU381-BM381)/BM381)</f>
        <v>0</v>
      </c>
      <c r="CD381" s="32" t="n">
        <f aca="false">MAX(MAX(BV381:CC381),-MIN(BV381:CC381))</f>
        <v>-0</v>
      </c>
      <c r="CE381" s="31" t="n">
        <f aca="false">IF(CI381="","",SUMIFS($CF$7:$CF$696,$A$7:$A$696,CI381,$B$7:$B$696,B381))</f>
        <v>2246148</v>
      </c>
      <c r="CF381" s="31" t="n">
        <f aca="false">SUM(AU381:BE381)</f>
        <v>2246148</v>
      </c>
      <c r="CG381" s="33" t="str">
        <f aca="false">A381&amp;"|"&amp;B381</f>
        <v>2026-11 月例|人事委員会</v>
      </c>
      <c r="CH381" s="34" t="str">
        <f aca="false">IFERROR(INDEX(設定!$D$61:$D$106,MATCH(B381,設定!$B$61:$B$106,0)),"Y")</f>
        <v>Y</v>
      </c>
      <c r="CI381" s="34" t="str">
        <f aca="false">IFERROR(INDEX(設定!$D$20:$D$34,MATCH(A381,設定!$A$20:$A$34,0))&amp;"","")</f>
        <v>2026-10 月例</v>
      </c>
    </row>
    <row r="382" customFormat="false" ht="15" hidden="true" customHeight="false" outlineLevel="0" collapsed="false">
      <c r="A382" s="22" t="s">
        <v>215</v>
      </c>
      <c r="B382" s="23" t="s">
        <v>167</v>
      </c>
      <c r="C382" s="10" t="str">
        <f aca="false">IF(G382="","未受領",IF(G382="なし","報告なし",IF(AH382="○","起票済",IF(OR(AG382="○",F382="一致",F382="入金不要"),"入金確認済","受領済"))))</f>
        <v>未受領</v>
      </c>
      <c r="D382" s="10" t="str">
        <f aca="false">IF(OR(G382="",G382="なし"),"―",IF(CH382="N","対象外",IF(AND(I382="",J382="",K382=""),"標報未入力",IF(CD382&gt;=設定!$B$4,"要確認","問題なし"))))</f>
        <v>―</v>
      </c>
      <c r="E382" s="24" t="str">
        <f aca="false">IF(OR(G382="",G382="なし",CE382="",CF382=0),"―",IF(CF382=CE382,"前月同額",IF(CE382=0,"―",IF(ABS(CF382/CE382-1)&gt;=設定!$B$5,"変動大 "&amp;TEXT(CF382/CE382-1,"+0%;-0%"),"〇"))))</f>
        <v>―</v>
      </c>
      <c r="F382" s="10" t="str">
        <f aca="false">IF(OR(G382="",G382="なし"),"―",IF(CF382=0,"入金不要",IF(COUNT(Z382,AB382,AD382,AF382)=0,IF(AG382="○","手動確認","未入金"),IF(AND(N(Z382)=Y382,IF(AA382="",TRUE(),N(AB382)=AA382),IF(AC382="",TRUE(),N(AD382)=AC382),IF(AE382="",TRUE(),N(AF382)=AE382)),"一致","不一致"))))</f>
        <v>―</v>
      </c>
      <c r="G382" s="25"/>
      <c r="H382" s="26"/>
      <c r="I382" s="27"/>
      <c r="J382" s="27"/>
      <c r="K382" s="27"/>
      <c r="L382" s="27"/>
      <c r="M382" s="27"/>
      <c r="N382" s="27"/>
      <c r="O382" s="27"/>
      <c r="P382" s="27"/>
      <c r="Q382" s="27"/>
      <c r="R382" s="27"/>
      <c r="S382" s="27"/>
      <c r="T382" s="27"/>
      <c r="U382" s="27"/>
      <c r="V382" s="27"/>
      <c r="W382" s="10" t="str">
        <f aca="false">IFERROR(INDEX(設定!$E$61:$E$106,MATCH(B382,設定!$B$61:$B$106,0)),"合算")</f>
        <v>合算</v>
      </c>
      <c r="X382" s="28"/>
      <c r="Y382" s="29" t="str">
        <f aca="false">IF(OR(G382="",G382="なし"),"",IF(W382="合算",CF382,IF(W382="掛金・負担金別",(AU382+AV382+AZ382+BB382+BD382),SUM(AU382:AY382))))</f>
        <v/>
      </c>
      <c r="Z382" s="27"/>
      <c r="AA382" s="29" t="str">
        <f aca="false">IF(OR(G382="",G382="なし"),"",IF(W382="掛金・負担金別",(AW382+AX382+AY382+BA382+BC382+BE382),IF(W382="経理区分別",AZ382+BA382,"")))</f>
        <v/>
      </c>
      <c r="AB382" s="27"/>
      <c r="AC382" s="29" t="str">
        <f aca="false">IF(OR(G382="",G382="なし"),"",IF(W382="経理区分別",BB382+BC382,""))</f>
        <v/>
      </c>
      <c r="AD382" s="27"/>
      <c r="AE382" s="29" t="str">
        <f aca="false">IF(OR(G382="",G382="なし"),"",IF(W382="経理区分別",BD382+BE382,""))</f>
        <v/>
      </c>
      <c r="AF382" s="27"/>
      <c r="AG382" s="26"/>
      <c r="AH382" s="26"/>
      <c r="AI382" s="30"/>
      <c r="AJ382" s="31" t="n">
        <v>1344135</v>
      </c>
      <c r="AK382" s="31" t="n">
        <v>110175</v>
      </c>
      <c r="AL382" s="31" t="n">
        <v>1965390</v>
      </c>
      <c r="AM382" s="31" t="n">
        <v>110175</v>
      </c>
      <c r="AN382" s="31" t="n">
        <v>1405</v>
      </c>
      <c r="AO382" s="31" t="n">
        <v>836690</v>
      </c>
      <c r="AP382" s="31" t="n">
        <v>851727</v>
      </c>
      <c r="AQ382" s="31" t="n">
        <v>108309</v>
      </c>
      <c r="AR382" s="31" t="n">
        <v>108309</v>
      </c>
      <c r="AS382" s="31" t="n">
        <v>1</v>
      </c>
      <c r="AT382" s="31" t="n">
        <v>1</v>
      </c>
      <c r="AU382" s="31" t="n">
        <f aca="false">IF($G382="",AJ382,L382)</f>
        <v>1344135</v>
      </c>
      <c r="AV382" s="31" t="n">
        <f aca="false">IF($G382="",AK382,M382)</f>
        <v>110175</v>
      </c>
      <c r="AW382" s="31" t="n">
        <f aca="false">IF($G382="",AL382,N382)</f>
        <v>1965390</v>
      </c>
      <c r="AX382" s="31" t="n">
        <f aca="false">IF($G382="",AM382,O382)</f>
        <v>110175</v>
      </c>
      <c r="AY382" s="31" t="n">
        <f aca="false">IF($G382="",AN382,P382)</f>
        <v>1405</v>
      </c>
      <c r="AZ382" s="31" t="n">
        <f aca="false">IF($G382="",AO382,Q382)</f>
        <v>836690</v>
      </c>
      <c r="BA382" s="31" t="n">
        <f aca="false">IF($G382="",AP382,R382)</f>
        <v>851727</v>
      </c>
      <c r="BB382" s="31" t="n">
        <f aca="false">IF($G382="",AQ382,S382)</f>
        <v>108309</v>
      </c>
      <c r="BC382" s="31" t="n">
        <f aca="false">IF($G382="",AR382,T382)</f>
        <v>108309</v>
      </c>
      <c r="BD382" s="31" t="n">
        <f aca="false">IF($G382="",AS382,U382)</f>
        <v>1</v>
      </c>
      <c r="BE382" s="31" t="n">
        <f aca="false">IF($G382="",AT382,V382)</f>
        <v>1</v>
      </c>
      <c r="BF382" s="31" t="n">
        <f aca="false">ROUNDDOWN(I382*設定!$B$10/1000,0)+ROUNDDOWN(I382*設定!$B$11/1000,0)</f>
        <v>0</v>
      </c>
      <c r="BG382" s="31" t="n">
        <f aca="false">ROUNDDOWN(I382*設定!$C$10/1000,0)+ROUNDDOWN(I382*設定!$C$11/1000,0)+ROUNDDOWN(I382*設定!$C$12/1000,0)</f>
        <v>0</v>
      </c>
      <c r="BH382" s="31" t="n">
        <f aca="false">ROUNDDOWN(J382*設定!$B$13/1000,0)</f>
        <v>0</v>
      </c>
      <c r="BI382" s="31" t="n">
        <f aca="false">ROUNDDOWN(J382*設定!$C$13/1000,0)</f>
        <v>0</v>
      </c>
      <c r="BJ382" s="31" t="n">
        <f aca="false">ROUNDDOWN(K382*設定!$B$14/1000,0)</f>
        <v>0</v>
      </c>
      <c r="BK382" s="31" t="n">
        <f aca="false">ROUNDDOWN(K382*設定!$C$14/1000,0)</f>
        <v>0</v>
      </c>
      <c r="BL382" s="31" t="n">
        <f aca="false">ROUNDDOWN(J382*設定!$B$15/1000,0)</f>
        <v>0</v>
      </c>
      <c r="BM382" s="31" t="n">
        <f aca="false">ROUNDDOWN(J382*設定!$C$15/1000,0)</f>
        <v>0</v>
      </c>
      <c r="BN382" s="31" t="n">
        <f aca="false">L382+M382</f>
        <v>0</v>
      </c>
      <c r="BO382" s="31" t="n">
        <f aca="false">N382+O382+P382</f>
        <v>0</v>
      </c>
      <c r="BP382" s="31" t="n">
        <f aca="false">Q382</f>
        <v>0</v>
      </c>
      <c r="BQ382" s="31" t="n">
        <f aca="false">R382</f>
        <v>0</v>
      </c>
      <c r="BR382" s="31" t="n">
        <f aca="false">S382</f>
        <v>0</v>
      </c>
      <c r="BS382" s="31" t="n">
        <f aca="false">T382</f>
        <v>0</v>
      </c>
      <c r="BT382" s="31" t="n">
        <f aca="false">U382</f>
        <v>0</v>
      </c>
      <c r="BU382" s="31" t="n">
        <f aca="false">V382</f>
        <v>0</v>
      </c>
      <c r="BV382" s="32" t="n">
        <f aca="false">IF(BF382=0,IF(BN382=0,0,1),(BN382-BF382)/BF382)</f>
        <v>0</v>
      </c>
      <c r="BW382" s="32" t="n">
        <f aca="false">IF(BG382=0,IF(BO382=0,0,1),(BO382-BG382)/BG382)</f>
        <v>0</v>
      </c>
      <c r="BX382" s="32" t="n">
        <f aca="false">IF(BH382=0,IF(BP382=0,0,1),(BP382-BH382)/BH382)</f>
        <v>0</v>
      </c>
      <c r="BY382" s="32" t="n">
        <f aca="false">IF(BI382=0,IF(BQ382=0,0,1),(BQ382-BI382)/BI382)</f>
        <v>0</v>
      </c>
      <c r="BZ382" s="32" t="n">
        <f aca="false">IF(BJ382=0,IF(BR382=0,0,1),(BR382-BJ382)/BJ382)</f>
        <v>0</v>
      </c>
      <c r="CA382" s="32" t="n">
        <f aca="false">IF(BK382=0,IF(BS382=0,0,1),(BS382-BK382)/BK382)</f>
        <v>0</v>
      </c>
      <c r="CB382" s="32" t="n">
        <f aca="false">IF(BL382=0,IF(BT382=0,0,1),(BT382-BL382)/BL382)</f>
        <v>0</v>
      </c>
      <c r="CC382" s="32" t="n">
        <f aca="false">IF(BM382=0,IF(BU382=0,0,1),(BU382-BM382)/BM382)</f>
        <v>0</v>
      </c>
      <c r="CD382" s="32" t="n">
        <f aca="false">MAX(MAX(BV382:CC382),-MIN(BV382:CC382))</f>
        <v>-0</v>
      </c>
      <c r="CE382" s="31" t="n">
        <f aca="false">IF(CI382="","",SUMIFS($CF$7:$CF$696,$A$7:$A$696,CI382,$B$7:$B$696,B382))</f>
        <v>5436317</v>
      </c>
      <c r="CF382" s="31" t="n">
        <f aca="false">SUM(AU382:BE382)</f>
        <v>5436317</v>
      </c>
      <c r="CG382" s="33" t="str">
        <f aca="false">A382&amp;"|"&amp;B382</f>
        <v>2026-11 月例|監査事務局</v>
      </c>
      <c r="CH382" s="34" t="str">
        <f aca="false">IFERROR(INDEX(設定!$D$61:$D$106,MATCH(B382,設定!$B$61:$B$106,0)),"Y")</f>
        <v>Y</v>
      </c>
      <c r="CI382" s="34" t="str">
        <f aca="false">IFERROR(INDEX(設定!$D$20:$D$34,MATCH(A382,設定!$A$20:$A$34,0))&amp;"","")</f>
        <v>2026-10 月例</v>
      </c>
    </row>
    <row r="383" customFormat="false" ht="15" hidden="true" customHeight="false" outlineLevel="0" collapsed="false">
      <c r="A383" s="22" t="s">
        <v>215</v>
      </c>
      <c r="B383" s="23" t="s">
        <v>168</v>
      </c>
      <c r="C383" s="10" t="str">
        <f aca="false">IF(G383="","未受領",IF(G383="なし","報告なし",IF(AH383="○","起票済",IF(OR(AG383="○",F383="一致",F383="入金不要"),"入金確認済","受領済"))))</f>
        <v>未受領</v>
      </c>
      <c r="D383" s="10" t="str">
        <f aca="false">IF(OR(G383="",G383="なし"),"―",IF(CH383="N","対象外",IF(AND(I383="",J383="",K383=""),"標報未入力",IF(CD383&gt;=設定!$B$4,"要確認","問題なし"))))</f>
        <v>―</v>
      </c>
      <c r="E383" s="24" t="str">
        <f aca="false">IF(OR(G383="",G383="なし",CE383="",CF383=0),"―",IF(CF383=CE383,"前月同額",IF(CE383=0,"―",IF(ABS(CF383/CE383-1)&gt;=設定!$B$5,"変動大 "&amp;TEXT(CF383/CE383-1,"+0%;-0%"),"〇"))))</f>
        <v>―</v>
      </c>
      <c r="F383" s="10" t="str">
        <f aca="false">IF(OR(G383="",G383="なし"),"―",IF(CF383=0,"入金不要",IF(COUNT(Z383,AB383,AD383,AF383)=0,IF(AG383="○","手動確認","未入金"),IF(AND(N(Z383)=Y383,IF(AA383="",TRUE(),N(AB383)=AA383),IF(AC383="",TRUE(),N(AD383)=AC383),IF(AE383="",TRUE(),N(AF383)=AE383)),"一致","不一致"))))</f>
        <v>―</v>
      </c>
      <c r="G383" s="25"/>
      <c r="H383" s="26"/>
      <c r="I383" s="27"/>
      <c r="J383" s="27"/>
      <c r="K383" s="27"/>
      <c r="L383" s="27"/>
      <c r="M383" s="27"/>
      <c r="N383" s="27"/>
      <c r="O383" s="27"/>
      <c r="P383" s="27"/>
      <c r="Q383" s="27"/>
      <c r="R383" s="27"/>
      <c r="S383" s="27"/>
      <c r="T383" s="27"/>
      <c r="U383" s="27"/>
      <c r="V383" s="27"/>
      <c r="W383" s="10" t="str">
        <f aca="false">IFERROR(INDEX(設定!$E$61:$E$106,MATCH(B383,設定!$B$61:$B$106,0)),"合算")</f>
        <v>合算</v>
      </c>
      <c r="X383" s="28"/>
      <c r="Y383" s="29" t="str">
        <f aca="false">IF(OR(G383="",G383="なし"),"",IF(W383="合算",CF383,IF(W383="掛金・負担金別",(AU383+AV383+AZ383+BB383+BD383),SUM(AU383:AY383))))</f>
        <v/>
      </c>
      <c r="Z383" s="27"/>
      <c r="AA383" s="29" t="str">
        <f aca="false">IF(OR(G383="",G383="なし"),"",IF(W383="掛金・負担金別",(AW383+AX383+AY383+BA383+BC383+BE383),IF(W383="経理区分別",AZ383+BA383,"")))</f>
        <v/>
      </c>
      <c r="AB383" s="27"/>
      <c r="AC383" s="29" t="str">
        <f aca="false">IF(OR(G383="",G383="なし"),"",IF(W383="経理区分別",BB383+BC383,""))</f>
        <v/>
      </c>
      <c r="AD383" s="27"/>
      <c r="AE383" s="29" t="str">
        <f aca="false">IF(OR(G383="",G383="なし"),"",IF(W383="経理区分別",BD383+BE383,""))</f>
        <v/>
      </c>
      <c r="AF383" s="27"/>
      <c r="AG383" s="26"/>
      <c r="AH383" s="26"/>
      <c r="AI383" s="30"/>
      <c r="AJ383" s="31" t="n">
        <v>382470</v>
      </c>
      <c r="AK383" s="31" t="n">
        <v>31350</v>
      </c>
      <c r="AL383" s="31" t="n">
        <v>555940</v>
      </c>
      <c r="AM383" s="31" t="n">
        <v>31350</v>
      </c>
      <c r="AN383" s="31" t="n">
        <v>392</v>
      </c>
      <c r="AO383" s="31" t="n">
        <v>308930</v>
      </c>
      <c r="AP383" s="31" t="n">
        <v>314382</v>
      </c>
      <c r="AQ383" s="31" t="n">
        <v>32672</v>
      </c>
      <c r="AR383" s="31" t="n">
        <v>32674</v>
      </c>
      <c r="AS383" s="31" t="n">
        <v>1</v>
      </c>
      <c r="AT383" s="31" t="n">
        <v>1</v>
      </c>
      <c r="AU383" s="31" t="n">
        <f aca="false">IF($G383="",AJ383,L383)</f>
        <v>382470</v>
      </c>
      <c r="AV383" s="31" t="n">
        <f aca="false">IF($G383="",AK383,M383)</f>
        <v>31350</v>
      </c>
      <c r="AW383" s="31" t="n">
        <f aca="false">IF($G383="",AL383,N383)</f>
        <v>555940</v>
      </c>
      <c r="AX383" s="31" t="n">
        <f aca="false">IF($G383="",AM383,O383)</f>
        <v>31350</v>
      </c>
      <c r="AY383" s="31" t="n">
        <f aca="false">IF($G383="",AN383,P383)</f>
        <v>392</v>
      </c>
      <c r="AZ383" s="31" t="n">
        <f aca="false">IF($G383="",AO383,Q383)</f>
        <v>308930</v>
      </c>
      <c r="BA383" s="31" t="n">
        <f aca="false">IF($G383="",AP383,R383)</f>
        <v>314382</v>
      </c>
      <c r="BB383" s="31" t="n">
        <f aca="false">IF($G383="",AQ383,S383)</f>
        <v>32672</v>
      </c>
      <c r="BC383" s="31" t="n">
        <f aca="false">IF($G383="",AR383,T383)</f>
        <v>32674</v>
      </c>
      <c r="BD383" s="31" t="n">
        <f aca="false">IF($G383="",AS383,U383)</f>
        <v>1</v>
      </c>
      <c r="BE383" s="31" t="n">
        <f aca="false">IF($G383="",AT383,V383)</f>
        <v>1</v>
      </c>
      <c r="BF383" s="31" t="n">
        <f aca="false">ROUNDDOWN(I383*設定!$B$10/1000,0)+ROUNDDOWN(I383*設定!$B$11/1000,0)</f>
        <v>0</v>
      </c>
      <c r="BG383" s="31" t="n">
        <f aca="false">ROUNDDOWN(I383*設定!$C$10/1000,0)+ROUNDDOWN(I383*設定!$C$11/1000,0)+ROUNDDOWN(I383*設定!$C$12/1000,0)</f>
        <v>0</v>
      </c>
      <c r="BH383" s="31" t="n">
        <f aca="false">ROUNDDOWN(J383*設定!$B$13/1000,0)</f>
        <v>0</v>
      </c>
      <c r="BI383" s="31" t="n">
        <f aca="false">ROUNDDOWN(J383*設定!$C$13/1000,0)</f>
        <v>0</v>
      </c>
      <c r="BJ383" s="31" t="n">
        <f aca="false">ROUNDDOWN(K383*設定!$B$14/1000,0)</f>
        <v>0</v>
      </c>
      <c r="BK383" s="31" t="n">
        <f aca="false">ROUNDDOWN(K383*設定!$C$14/1000,0)</f>
        <v>0</v>
      </c>
      <c r="BL383" s="31" t="n">
        <f aca="false">ROUNDDOWN(J383*設定!$B$15/1000,0)</f>
        <v>0</v>
      </c>
      <c r="BM383" s="31" t="n">
        <f aca="false">ROUNDDOWN(J383*設定!$C$15/1000,0)</f>
        <v>0</v>
      </c>
      <c r="BN383" s="31" t="n">
        <f aca="false">L383+M383</f>
        <v>0</v>
      </c>
      <c r="BO383" s="31" t="n">
        <f aca="false">N383+O383+P383</f>
        <v>0</v>
      </c>
      <c r="BP383" s="31" t="n">
        <f aca="false">Q383</f>
        <v>0</v>
      </c>
      <c r="BQ383" s="31" t="n">
        <f aca="false">R383</f>
        <v>0</v>
      </c>
      <c r="BR383" s="31" t="n">
        <f aca="false">S383</f>
        <v>0</v>
      </c>
      <c r="BS383" s="31" t="n">
        <f aca="false">T383</f>
        <v>0</v>
      </c>
      <c r="BT383" s="31" t="n">
        <f aca="false">U383</f>
        <v>0</v>
      </c>
      <c r="BU383" s="31" t="n">
        <f aca="false">V383</f>
        <v>0</v>
      </c>
      <c r="BV383" s="32" t="n">
        <f aca="false">IF(BF383=0,IF(BN383=0,0,1),(BN383-BF383)/BF383)</f>
        <v>0</v>
      </c>
      <c r="BW383" s="32" t="n">
        <f aca="false">IF(BG383=0,IF(BO383=0,0,1),(BO383-BG383)/BG383)</f>
        <v>0</v>
      </c>
      <c r="BX383" s="32" t="n">
        <f aca="false">IF(BH383=0,IF(BP383=0,0,1),(BP383-BH383)/BH383)</f>
        <v>0</v>
      </c>
      <c r="BY383" s="32" t="n">
        <f aca="false">IF(BI383=0,IF(BQ383=0,0,1),(BQ383-BI383)/BI383)</f>
        <v>0</v>
      </c>
      <c r="BZ383" s="32" t="n">
        <f aca="false">IF(BJ383=0,IF(BR383=0,0,1),(BR383-BJ383)/BJ383)</f>
        <v>0</v>
      </c>
      <c r="CA383" s="32" t="n">
        <f aca="false">IF(BK383=0,IF(BS383=0,0,1),(BS383-BK383)/BK383)</f>
        <v>0</v>
      </c>
      <c r="CB383" s="32" t="n">
        <f aca="false">IF(BL383=0,IF(BT383=0,0,1),(BT383-BL383)/BL383)</f>
        <v>0</v>
      </c>
      <c r="CC383" s="32" t="n">
        <f aca="false">IF(BM383=0,IF(BU383=0,0,1),(BU383-BM383)/BM383)</f>
        <v>0</v>
      </c>
      <c r="CD383" s="32" t="n">
        <f aca="false">MAX(MAX(BV383:CC383),-MIN(BV383:CC383))</f>
        <v>-0</v>
      </c>
      <c r="CE383" s="31" t="n">
        <f aca="false">IF(CI383="","",SUMIFS($CF$7:$CF$696,$A$7:$A$696,CI383,$B$7:$B$696,B383))</f>
        <v>1693638</v>
      </c>
      <c r="CF383" s="31" t="n">
        <f aca="false">SUM(AU383:BE383)</f>
        <v>1690162</v>
      </c>
      <c r="CG383" s="33" t="str">
        <f aca="false">A383&amp;"|"&amp;B383</f>
        <v>2026-11 月例|農業委員会</v>
      </c>
      <c r="CH383" s="34" t="str">
        <f aca="false">IFERROR(INDEX(設定!$D$61:$D$106,MATCH(B383,設定!$B$61:$B$106,0)),"Y")</f>
        <v>Y</v>
      </c>
      <c r="CI383" s="34" t="str">
        <f aca="false">IFERROR(INDEX(設定!$D$20:$D$34,MATCH(A383,設定!$A$20:$A$34,0))&amp;"","")</f>
        <v>2026-10 月例</v>
      </c>
    </row>
    <row r="384" customFormat="false" ht="15" hidden="true" customHeight="false" outlineLevel="0" collapsed="false">
      <c r="A384" s="22" t="s">
        <v>215</v>
      </c>
      <c r="B384" s="23" t="s">
        <v>169</v>
      </c>
      <c r="C384" s="10" t="str">
        <f aca="false">IF(G384="","未受領",IF(G384="なし","報告なし",IF(AH384="○","起票済",IF(OR(AG384="○",F384="一致",F384="入金不要"),"入金確認済","受領済"))))</f>
        <v>未受領</v>
      </c>
      <c r="D384" s="10" t="str">
        <f aca="false">IF(OR(G384="",G384="なし"),"―",IF(CH384="N","対象外",IF(AND(I384="",J384="",K384=""),"標報未入力",IF(CD384&gt;=設定!$B$4,"要確認","問題なし"))))</f>
        <v>―</v>
      </c>
      <c r="E384" s="24" t="str">
        <f aca="false">IF(OR(G384="",G384="なし",CE384="",CF384=0),"―",IF(CF384=CE384,"前月同額",IF(CE384=0,"―",IF(ABS(CF384/CE384-1)&gt;=設定!$B$5,"変動大 "&amp;TEXT(CF384/CE384-1,"+0%;-0%"),"〇"))))</f>
        <v>―</v>
      </c>
      <c r="F384" s="10" t="str">
        <f aca="false">IF(OR(G384="",G384="なし"),"―",IF(CF384=0,"入金不要",IF(COUNT(Z384,AB384,AD384,AF384)=0,IF(AG384="○","手動確認","未入金"),IF(AND(N(Z384)=Y384,IF(AA384="",TRUE(),N(AB384)=AA384),IF(AC384="",TRUE(),N(AD384)=AC384),IF(AE384="",TRUE(),N(AF384)=AE384)),"一致","不一致"))))</f>
        <v>―</v>
      </c>
      <c r="G384" s="25"/>
      <c r="H384" s="26"/>
      <c r="I384" s="27"/>
      <c r="J384" s="27"/>
      <c r="K384" s="27"/>
      <c r="L384" s="27"/>
      <c r="M384" s="27"/>
      <c r="N384" s="27"/>
      <c r="O384" s="27"/>
      <c r="P384" s="27"/>
      <c r="Q384" s="27"/>
      <c r="R384" s="27"/>
      <c r="S384" s="27"/>
      <c r="T384" s="27"/>
      <c r="U384" s="27"/>
      <c r="V384" s="27"/>
      <c r="W384" s="10" t="str">
        <f aca="false">IFERROR(INDEX(設定!$E$61:$E$106,MATCH(B384,設定!$B$61:$B$106,0)),"合算")</f>
        <v>合算</v>
      </c>
      <c r="X384" s="28"/>
      <c r="Y384" s="29" t="str">
        <f aca="false">IF(OR(G384="",G384="なし"),"",IF(W384="合算",CF384,IF(W384="掛金・負担金別",(AU384+AV384+AZ384+BB384+BD384),SUM(AU384:AY384))))</f>
        <v/>
      </c>
      <c r="Z384" s="27"/>
      <c r="AA384" s="29" t="str">
        <f aca="false">IF(OR(G384="",G384="なし"),"",IF(W384="掛金・負担金別",(AW384+AX384+AY384+BA384+BC384+BE384),IF(W384="経理区分別",AZ384+BA384,"")))</f>
        <v/>
      </c>
      <c r="AB384" s="27"/>
      <c r="AC384" s="29" t="str">
        <f aca="false">IF(OR(G384="",G384="なし"),"",IF(W384="経理区分別",BB384+BC384,""))</f>
        <v/>
      </c>
      <c r="AD384" s="27"/>
      <c r="AE384" s="29" t="str">
        <f aca="false">IF(OR(G384="",G384="なし"),"",IF(W384="経理区分別",BD384+BE384,""))</f>
        <v/>
      </c>
      <c r="AF384" s="27"/>
      <c r="AG384" s="26"/>
      <c r="AH384" s="26"/>
      <c r="AI384" s="30"/>
      <c r="AJ384" s="31" t="n">
        <v>22400939</v>
      </c>
      <c r="AK384" s="31" t="n">
        <v>1836143</v>
      </c>
      <c r="AL384" s="31" t="n">
        <v>32700782</v>
      </c>
      <c r="AM384" s="31" t="n">
        <v>1836143</v>
      </c>
      <c r="AN384" s="31" t="n">
        <v>23299</v>
      </c>
      <c r="AO384" s="31" t="n">
        <v>14200515</v>
      </c>
      <c r="AP384" s="31" t="n">
        <v>14454449</v>
      </c>
      <c r="AQ384" s="31" t="n">
        <v>1347187</v>
      </c>
      <c r="AR384" s="31" t="n">
        <v>1347187</v>
      </c>
      <c r="AS384" s="31" t="n">
        <v>1</v>
      </c>
      <c r="AT384" s="31" t="n">
        <v>1</v>
      </c>
      <c r="AU384" s="31" t="n">
        <f aca="false">IF($G384="",AJ384,L384)</f>
        <v>22400939</v>
      </c>
      <c r="AV384" s="31" t="n">
        <f aca="false">IF($G384="",AK384,M384)</f>
        <v>1836143</v>
      </c>
      <c r="AW384" s="31" t="n">
        <f aca="false">IF($G384="",AL384,N384)</f>
        <v>32700782</v>
      </c>
      <c r="AX384" s="31" t="n">
        <f aca="false">IF($G384="",AM384,O384)</f>
        <v>1836143</v>
      </c>
      <c r="AY384" s="31" t="n">
        <f aca="false">IF($G384="",AN384,P384)</f>
        <v>23299</v>
      </c>
      <c r="AZ384" s="31" t="n">
        <f aca="false">IF($G384="",AO384,Q384)</f>
        <v>14200515</v>
      </c>
      <c r="BA384" s="31" t="n">
        <f aca="false">IF($G384="",AP384,R384)</f>
        <v>14454449</v>
      </c>
      <c r="BB384" s="31" t="n">
        <f aca="false">IF($G384="",AQ384,S384)</f>
        <v>1347187</v>
      </c>
      <c r="BC384" s="31" t="n">
        <f aca="false">IF($G384="",AR384,T384)</f>
        <v>1347187</v>
      </c>
      <c r="BD384" s="31" t="n">
        <f aca="false">IF($G384="",AS384,U384)</f>
        <v>1</v>
      </c>
      <c r="BE384" s="31" t="n">
        <f aca="false">IF($G384="",AT384,V384)</f>
        <v>1</v>
      </c>
      <c r="BF384" s="31" t="n">
        <f aca="false">ROUNDDOWN(I384*設定!$B$10/1000,0)+ROUNDDOWN(I384*設定!$B$11/1000,0)</f>
        <v>0</v>
      </c>
      <c r="BG384" s="31" t="n">
        <f aca="false">ROUNDDOWN(I384*設定!$C$10/1000,0)+ROUNDDOWN(I384*設定!$C$11/1000,0)+ROUNDDOWN(I384*設定!$C$12/1000,0)</f>
        <v>0</v>
      </c>
      <c r="BH384" s="31" t="n">
        <f aca="false">ROUNDDOWN(J384*設定!$B$13/1000,0)</f>
        <v>0</v>
      </c>
      <c r="BI384" s="31" t="n">
        <f aca="false">ROUNDDOWN(J384*設定!$C$13/1000,0)</f>
        <v>0</v>
      </c>
      <c r="BJ384" s="31" t="n">
        <f aca="false">ROUNDDOWN(K384*設定!$B$14/1000,0)</f>
        <v>0</v>
      </c>
      <c r="BK384" s="31" t="n">
        <f aca="false">ROUNDDOWN(K384*設定!$C$14/1000,0)</f>
        <v>0</v>
      </c>
      <c r="BL384" s="31" t="n">
        <f aca="false">ROUNDDOWN(J384*設定!$B$15/1000,0)</f>
        <v>0</v>
      </c>
      <c r="BM384" s="31" t="n">
        <f aca="false">ROUNDDOWN(J384*設定!$C$15/1000,0)</f>
        <v>0</v>
      </c>
      <c r="BN384" s="31" t="n">
        <f aca="false">L384+M384</f>
        <v>0</v>
      </c>
      <c r="BO384" s="31" t="n">
        <f aca="false">N384+O384+P384</f>
        <v>0</v>
      </c>
      <c r="BP384" s="31" t="n">
        <f aca="false">Q384</f>
        <v>0</v>
      </c>
      <c r="BQ384" s="31" t="n">
        <f aca="false">R384</f>
        <v>0</v>
      </c>
      <c r="BR384" s="31" t="n">
        <f aca="false">S384</f>
        <v>0</v>
      </c>
      <c r="BS384" s="31" t="n">
        <f aca="false">T384</f>
        <v>0</v>
      </c>
      <c r="BT384" s="31" t="n">
        <f aca="false">U384</f>
        <v>0</v>
      </c>
      <c r="BU384" s="31" t="n">
        <f aca="false">V384</f>
        <v>0</v>
      </c>
      <c r="BV384" s="32" t="n">
        <f aca="false">IF(BF384=0,IF(BN384=0,0,1),(BN384-BF384)/BF384)</f>
        <v>0</v>
      </c>
      <c r="BW384" s="32" t="n">
        <f aca="false">IF(BG384=0,IF(BO384=0,0,1),(BO384-BG384)/BG384)</f>
        <v>0</v>
      </c>
      <c r="BX384" s="32" t="n">
        <f aca="false">IF(BH384=0,IF(BP384=0,0,1),(BP384-BH384)/BH384)</f>
        <v>0</v>
      </c>
      <c r="BY384" s="32" t="n">
        <f aca="false">IF(BI384=0,IF(BQ384=0,0,1),(BQ384-BI384)/BI384)</f>
        <v>0</v>
      </c>
      <c r="BZ384" s="32" t="n">
        <f aca="false">IF(BJ384=0,IF(BR384=0,0,1),(BR384-BJ384)/BJ384)</f>
        <v>0</v>
      </c>
      <c r="CA384" s="32" t="n">
        <f aca="false">IF(BK384=0,IF(BS384=0,0,1),(BS384-BK384)/BK384)</f>
        <v>0</v>
      </c>
      <c r="CB384" s="32" t="n">
        <f aca="false">IF(BL384=0,IF(BT384=0,0,1),(BT384-BL384)/BL384)</f>
        <v>0</v>
      </c>
      <c r="CC384" s="32" t="n">
        <f aca="false">IF(BM384=0,IF(BU384=0,0,1),(BU384-BM384)/BM384)</f>
        <v>0</v>
      </c>
      <c r="CD384" s="32" t="n">
        <f aca="false">MAX(MAX(BV384:CC384),-MIN(BV384:CC384))</f>
        <v>-0</v>
      </c>
      <c r="CE384" s="31" t="n">
        <f aca="false">IF(CI384="","",SUMIFS($CF$7:$CF$696,$A$7:$A$696,CI384,$B$7:$B$696,B384))</f>
        <v>90223887</v>
      </c>
      <c r="CF384" s="31" t="n">
        <f aca="false">SUM(AU384:BE384)</f>
        <v>90146646</v>
      </c>
      <c r="CG384" s="33" t="str">
        <f aca="false">A384&amp;"|"&amp;B384</f>
        <v>2026-11 月例|水道局</v>
      </c>
      <c r="CH384" s="34" t="str">
        <f aca="false">IFERROR(INDEX(設定!$D$61:$D$106,MATCH(B384,設定!$B$61:$B$106,0)),"Y")</f>
        <v>N</v>
      </c>
      <c r="CI384" s="34" t="str">
        <f aca="false">IFERROR(INDEX(設定!$D$20:$D$34,MATCH(A384,設定!$A$20:$A$34,0))&amp;"","")</f>
        <v>2026-10 月例</v>
      </c>
    </row>
    <row r="385" customFormat="false" ht="15" hidden="true" customHeight="false" outlineLevel="0" collapsed="false">
      <c r="A385" s="22" t="s">
        <v>215</v>
      </c>
      <c r="B385" s="23" t="s">
        <v>170</v>
      </c>
      <c r="C385" s="10" t="str">
        <f aca="false">IF(G385="","未受領",IF(G385="なし","報告なし",IF(AH385="○","起票済",IF(OR(AG385="○",F385="一致",F385="入金不要"),"入金確認済","受領済"))))</f>
        <v>未受領</v>
      </c>
      <c r="D385" s="10" t="str">
        <f aca="false">IF(OR(G385="",G385="なし"),"―",IF(CH385="N","対象外",IF(AND(I385="",J385="",K385=""),"標報未入力",IF(CD385&gt;=設定!$B$4,"要確認","問題なし"))))</f>
        <v>―</v>
      </c>
      <c r="E385" s="24" t="str">
        <f aca="false">IF(OR(G385="",G385="なし",CE385="",CF385=0),"―",IF(CF385=CE385,"前月同額",IF(CE385=0,"―",IF(ABS(CF385/CE385-1)&gt;=設定!$B$5,"変動大 "&amp;TEXT(CF385/CE385-1,"+0%;-0%"),"〇"))))</f>
        <v>―</v>
      </c>
      <c r="F385" s="10" t="str">
        <f aca="false">IF(OR(G385="",G385="なし"),"―",IF(CF385=0,"入金不要",IF(COUNT(Z385,AB385,AD385,AF385)=0,IF(AG385="○","手動確認","未入金"),IF(AND(N(Z385)=Y385,IF(AA385="",TRUE(),N(AB385)=AA385),IF(AC385="",TRUE(),N(AD385)=AC385),IF(AE385="",TRUE(),N(AF385)=AE385)),"一致","不一致"))))</f>
        <v>―</v>
      </c>
      <c r="G385" s="25"/>
      <c r="H385" s="26"/>
      <c r="I385" s="27"/>
      <c r="J385" s="27"/>
      <c r="K385" s="27"/>
      <c r="L385" s="27"/>
      <c r="M385" s="27"/>
      <c r="N385" s="27"/>
      <c r="O385" s="27"/>
      <c r="P385" s="27"/>
      <c r="Q385" s="27"/>
      <c r="R385" s="27"/>
      <c r="S385" s="27"/>
      <c r="T385" s="27"/>
      <c r="U385" s="27"/>
      <c r="V385" s="27"/>
      <c r="W385" s="10" t="str">
        <f aca="false">IFERROR(INDEX(設定!$E$61:$E$106,MATCH(B385,設定!$B$61:$B$106,0)),"合算")</f>
        <v>合算</v>
      </c>
      <c r="X385" s="28"/>
      <c r="Y385" s="29" t="str">
        <f aca="false">IF(OR(G385="",G385="なし"),"",IF(W385="合算",CF385,IF(W385="掛金・負担金別",(AU385+AV385+AZ385+BB385+BD385),SUM(AU385:AY385))))</f>
        <v/>
      </c>
      <c r="Z385" s="27"/>
      <c r="AA385" s="29" t="str">
        <f aca="false">IF(OR(G385="",G385="なし"),"",IF(W385="掛金・負担金別",(AW385+AX385+AY385+BA385+BC385+BE385),IF(W385="経理区分別",AZ385+BA385,"")))</f>
        <v/>
      </c>
      <c r="AB385" s="27"/>
      <c r="AC385" s="29" t="str">
        <f aca="false">IF(OR(G385="",G385="なし"),"",IF(W385="経理区分別",BB385+BC385,""))</f>
        <v/>
      </c>
      <c r="AD385" s="27"/>
      <c r="AE385" s="29" t="str">
        <f aca="false">IF(OR(G385="",G385="なし"),"",IF(W385="経理区分別",BD385+BE385,""))</f>
        <v/>
      </c>
      <c r="AF385" s="27"/>
      <c r="AG385" s="26"/>
      <c r="AH385" s="26"/>
      <c r="AI385" s="30"/>
      <c r="AJ385" s="31" t="n">
        <v>48495</v>
      </c>
      <c r="AK385" s="31" t="n">
        <v>3975</v>
      </c>
      <c r="AL385" s="31" t="n">
        <v>70490</v>
      </c>
      <c r="AM385" s="31" t="n">
        <v>3975</v>
      </c>
      <c r="AN385" s="31" t="n">
        <v>49</v>
      </c>
      <c r="AO385" s="31" t="n">
        <v>29155</v>
      </c>
      <c r="AP385" s="31" t="n">
        <v>29669</v>
      </c>
      <c r="AQ385" s="31" t="n">
        <v>4187</v>
      </c>
      <c r="AR385" s="31" t="n">
        <v>4187</v>
      </c>
      <c r="AS385" s="31" t="n">
        <v>1</v>
      </c>
      <c r="AT385" s="31" t="n">
        <v>1</v>
      </c>
      <c r="AU385" s="31" t="n">
        <f aca="false">IF($G385="",AJ385,L385)</f>
        <v>48495</v>
      </c>
      <c r="AV385" s="31" t="n">
        <f aca="false">IF($G385="",AK385,M385)</f>
        <v>3975</v>
      </c>
      <c r="AW385" s="31" t="n">
        <f aca="false">IF($G385="",AL385,N385)</f>
        <v>70490</v>
      </c>
      <c r="AX385" s="31" t="n">
        <f aca="false">IF($G385="",AM385,O385)</f>
        <v>3975</v>
      </c>
      <c r="AY385" s="31" t="n">
        <f aca="false">IF($G385="",AN385,P385)</f>
        <v>49</v>
      </c>
      <c r="AZ385" s="31" t="n">
        <f aca="false">IF($G385="",AO385,Q385)</f>
        <v>29155</v>
      </c>
      <c r="BA385" s="31" t="n">
        <f aca="false">IF($G385="",AP385,R385)</f>
        <v>29669</v>
      </c>
      <c r="BB385" s="31" t="n">
        <f aca="false">IF($G385="",AQ385,S385)</f>
        <v>4187</v>
      </c>
      <c r="BC385" s="31" t="n">
        <f aca="false">IF($G385="",AR385,T385)</f>
        <v>4187</v>
      </c>
      <c r="BD385" s="31" t="n">
        <f aca="false">IF($G385="",AS385,U385)</f>
        <v>1</v>
      </c>
      <c r="BE385" s="31" t="n">
        <f aca="false">IF($G385="",AT385,V385)</f>
        <v>1</v>
      </c>
      <c r="BF385" s="31" t="n">
        <f aca="false">ROUNDDOWN(I385*設定!$B$10/1000,0)+ROUNDDOWN(I385*設定!$B$11/1000,0)</f>
        <v>0</v>
      </c>
      <c r="BG385" s="31" t="n">
        <f aca="false">ROUNDDOWN(I385*設定!$C$10/1000,0)+ROUNDDOWN(I385*設定!$C$11/1000,0)+ROUNDDOWN(I385*設定!$C$12/1000,0)</f>
        <v>0</v>
      </c>
      <c r="BH385" s="31" t="n">
        <f aca="false">ROUNDDOWN(J385*設定!$B$13/1000,0)</f>
        <v>0</v>
      </c>
      <c r="BI385" s="31" t="n">
        <f aca="false">ROUNDDOWN(J385*設定!$C$13/1000,0)</f>
        <v>0</v>
      </c>
      <c r="BJ385" s="31" t="n">
        <f aca="false">ROUNDDOWN(K385*設定!$B$14/1000,0)</f>
        <v>0</v>
      </c>
      <c r="BK385" s="31" t="n">
        <f aca="false">ROUNDDOWN(K385*設定!$C$14/1000,0)</f>
        <v>0</v>
      </c>
      <c r="BL385" s="31" t="n">
        <f aca="false">ROUNDDOWN(J385*設定!$B$15/1000,0)</f>
        <v>0</v>
      </c>
      <c r="BM385" s="31" t="n">
        <f aca="false">ROUNDDOWN(J385*設定!$C$15/1000,0)</f>
        <v>0</v>
      </c>
      <c r="BN385" s="31" t="n">
        <f aca="false">L385+M385</f>
        <v>0</v>
      </c>
      <c r="BO385" s="31" t="n">
        <f aca="false">N385+O385+P385</f>
        <v>0</v>
      </c>
      <c r="BP385" s="31" t="n">
        <f aca="false">Q385</f>
        <v>0</v>
      </c>
      <c r="BQ385" s="31" t="n">
        <f aca="false">R385</f>
        <v>0</v>
      </c>
      <c r="BR385" s="31" t="n">
        <f aca="false">S385</f>
        <v>0</v>
      </c>
      <c r="BS385" s="31" t="n">
        <f aca="false">T385</f>
        <v>0</v>
      </c>
      <c r="BT385" s="31" t="n">
        <f aca="false">U385</f>
        <v>0</v>
      </c>
      <c r="BU385" s="31" t="n">
        <f aca="false">V385</f>
        <v>0</v>
      </c>
      <c r="BV385" s="32" t="n">
        <f aca="false">IF(BF385=0,IF(BN385=0,0,1),(BN385-BF385)/BF385)</f>
        <v>0</v>
      </c>
      <c r="BW385" s="32" t="n">
        <f aca="false">IF(BG385=0,IF(BO385=0,0,1),(BO385-BG385)/BG385)</f>
        <v>0</v>
      </c>
      <c r="BX385" s="32" t="n">
        <f aca="false">IF(BH385=0,IF(BP385=0,0,1),(BP385-BH385)/BH385)</f>
        <v>0</v>
      </c>
      <c r="BY385" s="32" t="n">
        <f aca="false">IF(BI385=0,IF(BQ385=0,0,1),(BQ385-BI385)/BI385)</f>
        <v>0</v>
      </c>
      <c r="BZ385" s="32" t="n">
        <f aca="false">IF(BJ385=0,IF(BR385=0,0,1),(BR385-BJ385)/BJ385)</f>
        <v>0</v>
      </c>
      <c r="CA385" s="32" t="n">
        <f aca="false">IF(BK385=0,IF(BS385=0,0,1),(BS385-BK385)/BK385)</f>
        <v>0</v>
      </c>
      <c r="CB385" s="32" t="n">
        <f aca="false">IF(BL385=0,IF(BT385=0,0,1),(BT385-BL385)/BL385)</f>
        <v>0</v>
      </c>
      <c r="CC385" s="32" t="n">
        <f aca="false">IF(BM385=0,IF(BU385=0,0,1),(BU385-BM385)/BM385)</f>
        <v>0</v>
      </c>
      <c r="CD385" s="32" t="n">
        <f aca="false">MAX(MAX(BV385:CC385),-MIN(BV385:CC385))</f>
        <v>-0</v>
      </c>
      <c r="CE385" s="31" t="n">
        <f aca="false">IF(CI385="","",SUMIFS($CF$7:$CF$696,$A$7:$A$696,CI385,$B$7:$B$696,B385))</f>
        <v>194184</v>
      </c>
      <c r="CF385" s="31" t="n">
        <f aca="false">SUM(AU385:BE385)</f>
        <v>194184</v>
      </c>
      <c r="CG385" s="33" t="str">
        <f aca="false">A385&amp;"|"&amp;B385</f>
        <v>2026-11 月例|医療政策課(安芸市民)</v>
      </c>
      <c r="CH385" s="34" t="str">
        <f aca="false">IFERROR(INDEX(設定!$D$61:$D$106,MATCH(B385,設定!$B$61:$B$106,0)),"Y")</f>
        <v>Y</v>
      </c>
      <c r="CI385" s="34" t="str">
        <f aca="false">IFERROR(INDEX(設定!$D$20:$D$34,MATCH(A385,設定!$A$20:$A$34,0))&amp;"","")</f>
        <v>2026-10 月例</v>
      </c>
    </row>
    <row r="386" customFormat="false" ht="15" hidden="true" customHeight="false" outlineLevel="0" collapsed="false">
      <c r="A386" s="22" t="s">
        <v>215</v>
      </c>
      <c r="B386" s="23" t="s">
        <v>171</v>
      </c>
      <c r="C386" s="10" t="str">
        <f aca="false">IF(G386="","未受領",IF(G386="なし","報告なし",IF(AH386="○","起票済",IF(OR(AG386="○",F386="一致",F386="入金不要"),"入金確認済","受領済"))))</f>
        <v>未受領</v>
      </c>
      <c r="D386" s="10" t="str">
        <f aca="false">IF(OR(G386="",G386="なし"),"―",IF(CH386="N","対象外",IF(AND(I386="",J386="",K386=""),"標報未入力",IF(CD386&gt;=設定!$B$4,"要確認","問題なし"))))</f>
        <v>―</v>
      </c>
      <c r="E386" s="24" t="str">
        <f aca="false">IF(OR(G386="",G386="なし",CE386="",CF386=0),"―",IF(CF386=CE386,"前月同額",IF(CE386=0,"―",IF(ABS(CF386/CE386-1)&gt;=設定!$B$5,"変動大 "&amp;TEXT(CF386/CE386-1,"+0%;-0%"),"〇"))))</f>
        <v>―</v>
      </c>
      <c r="F386" s="10" t="str">
        <f aca="false">IF(OR(G386="",G386="なし"),"―",IF(CF386=0,"入金不要",IF(COUNT(Z386,AB386,AD386,AF386)=0,IF(AG386="○","手動確認","未入金"),IF(AND(N(Z386)=Y386,IF(AA386="",TRUE(),N(AB386)=AA386),IF(AC386="",TRUE(),N(AD386)=AC386),IF(AE386="",TRUE(),N(AF386)=AE386)),"一致","不一致"))))</f>
        <v>―</v>
      </c>
      <c r="G386" s="25"/>
      <c r="H386" s="26"/>
      <c r="I386" s="27"/>
      <c r="J386" s="27"/>
      <c r="K386" s="27"/>
      <c r="L386" s="27"/>
      <c r="M386" s="27"/>
      <c r="N386" s="27"/>
      <c r="O386" s="27"/>
      <c r="P386" s="27"/>
      <c r="Q386" s="27"/>
      <c r="R386" s="27"/>
      <c r="S386" s="27"/>
      <c r="T386" s="27"/>
      <c r="U386" s="27"/>
      <c r="V386" s="27"/>
      <c r="W386" s="10" t="str">
        <f aca="false">IFERROR(INDEX(設定!$E$61:$E$106,MATCH(B386,設定!$B$61:$B$106,0)),"合算")</f>
        <v>合算</v>
      </c>
      <c r="X386" s="28"/>
      <c r="Y386" s="29" t="str">
        <f aca="false">IF(OR(G386="",G386="なし"),"",IF(W386="合算",CF386,IF(W386="掛金・負担金別",(AU386+AV386+AZ386+BB386+BD386),SUM(AU386:AY386))))</f>
        <v/>
      </c>
      <c r="Z386" s="27"/>
      <c r="AA386" s="29" t="str">
        <f aca="false">IF(OR(G386="",G386="なし"),"",IF(W386="掛金・負担金別",(AW386+AX386+AY386+BA386+BC386+BE386),IF(W386="経理区分別",AZ386+BA386,"")))</f>
        <v/>
      </c>
      <c r="AB386" s="27"/>
      <c r="AC386" s="29" t="str">
        <f aca="false">IF(OR(G386="",G386="なし"),"",IF(W386="経理区分別",BB386+BC386,""))</f>
        <v/>
      </c>
      <c r="AD386" s="27"/>
      <c r="AE386" s="29" t="str">
        <f aca="false">IF(OR(G386="",G386="なし"),"",IF(W386="経理区分別",BD386+BE386,""))</f>
        <v/>
      </c>
      <c r="AF386" s="27"/>
      <c r="AG386" s="26"/>
      <c r="AH386" s="26"/>
      <c r="AI386" s="30"/>
      <c r="AJ386" s="31" t="n">
        <v>0</v>
      </c>
      <c r="AK386" s="31" t="n">
        <v>0</v>
      </c>
      <c r="AL386" s="31"/>
      <c r="AM386" s="31"/>
      <c r="AN386" s="31" t="n">
        <v>0</v>
      </c>
      <c r="AO386" s="31" t="n">
        <v>303418</v>
      </c>
      <c r="AP386" s="31" t="n">
        <v>308994</v>
      </c>
      <c r="AQ386" s="31" t="n">
        <v>6098</v>
      </c>
      <c r="AR386" s="31" t="n">
        <v>6098</v>
      </c>
      <c r="AS386" s="31" t="n">
        <v>1</v>
      </c>
      <c r="AT386" s="31" t="n">
        <v>1</v>
      </c>
      <c r="AU386" s="31" t="n">
        <f aca="false">IF($G386="",AJ386,L386)</f>
        <v>0</v>
      </c>
      <c r="AV386" s="31" t="n">
        <f aca="false">IF($G386="",AK386,M386)</f>
        <v>0</v>
      </c>
      <c r="AW386" s="31" t="n">
        <f aca="false">IF($G386="",AL386,N386)</f>
        <v>0</v>
      </c>
      <c r="AX386" s="31" t="n">
        <f aca="false">IF($G386="",AM386,O386)</f>
        <v>0</v>
      </c>
      <c r="AY386" s="31" t="n">
        <f aca="false">IF($G386="",AN386,P386)</f>
        <v>0</v>
      </c>
      <c r="AZ386" s="31" t="n">
        <f aca="false">IF($G386="",AO386,Q386)</f>
        <v>303418</v>
      </c>
      <c r="BA386" s="31" t="n">
        <f aca="false">IF($G386="",AP386,R386)</f>
        <v>308994</v>
      </c>
      <c r="BB386" s="31" t="n">
        <f aca="false">IF($G386="",AQ386,S386)</f>
        <v>6098</v>
      </c>
      <c r="BC386" s="31" t="n">
        <f aca="false">IF($G386="",AR386,T386)</f>
        <v>6098</v>
      </c>
      <c r="BD386" s="31" t="n">
        <f aca="false">IF($G386="",AS386,U386)</f>
        <v>1</v>
      </c>
      <c r="BE386" s="31" t="n">
        <f aca="false">IF($G386="",AT386,V386)</f>
        <v>1</v>
      </c>
      <c r="BF386" s="31" t="n">
        <f aca="false">ROUNDDOWN(I386*設定!$B$10/1000,0)+ROUNDDOWN(I386*設定!$B$11/1000,0)</f>
        <v>0</v>
      </c>
      <c r="BG386" s="31" t="n">
        <f aca="false">ROUNDDOWN(I386*設定!$C$10/1000,0)+ROUNDDOWN(I386*設定!$C$11/1000,0)+ROUNDDOWN(I386*設定!$C$12/1000,0)</f>
        <v>0</v>
      </c>
      <c r="BH386" s="31" t="n">
        <f aca="false">ROUNDDOWN(J386*設定!$B$13/1000,0)</f>
        <v>0</v>
      </c>
      <c r="BI386" s="31" t="n">
        <f aca="false">ROUNDDOWN(J386*設定!$C$13/1000,0)</f>
        <v>0</v>
      </c>
      <c r="BJ386" s="31" t="n">
        <f aca="false">ROUNDDOWN(K386*設定!$B$14/1000,0)</f>
        <v>0</v>
      </c>
      <c r="BK386" s="31" t="n">
        <f aca="false">ROUNDDOWN(K386*設定!$C$14/1000,0)</f>
        <v>0</v>
      </c>
      <c r="BL386" s="31" t="n">
        <f aca="false">ROUNDDOWN(J386*設定!$B$15/1000,0)</f>
        <v>0</v>
      </c>
      <c r="BM386" s="31" t="n">
        <f aca="false">ROUNDDOWN(J386*設定!$C$15/1000,0)</f>
        <v>0</v>
      </c>
      <c r="BN386" s="31" t="n">
        <f aca="false">L386+M386</f>
        <v>0</v>
      </c>
      <c r="BO386" s="31" t="n">
        <f aca="false">N386+O386+P386</f>
        <v>0</v>
      </c>
      <c r="BP386" s="31" t="n">
        <f aca="false">Q386</f>
        <v>0</v>
      </c>
      <c r="BQ386" s="31" t="n">
        <f aca="false">R386</f>
        <v>0</v>
      </c>
      <c r="BR386" s="31" t="n">
        <f aca="false">S386</f>
        <v>0</v>
      </c>
      <c r="BS386" s="31" t="n">
        <f aca="false">T386</f>
        <v>0</v>
      </c>
      <c r="BT386" s="31" t="n">
        <f aca="false">U386</f>
        <v>0</v>
      </c>
      <c r="BU386" s="31" t="n">
        <f aca="false">V386</f>
        <v>0</v>
      </c>
      <c r="BV386" s="32" t="n">
        <f aca="false">IF(BF386=0,IF(BN386=0,0,1),(BN386-BF386)/BF386)</f>
        <v>0</v>
      </c>
      <c r="BW386" s="32" t="n">
        <f aca="false">IF(BG386=0,IF(BO386=0,0,1),(BO386-BG386)/BG386)</f>
        <v>0</v>
      </c>
      <c r="BX386" s="32" t="n">
        <f aca="false">IF(BH386=0,IF(BP386=0,0,1),(BP386-BH386)/BH386)</f>
        <v>0</v>
      </c>
      <c r="BY386" s="32" t="n">
        <f aca="false">IF(BI386=0,IF(BQ386=0,0,1),(BQ386-BI386)/BI386)</f>
        <v>0</v>
      </c>
      <c r="BZ386" s="32" t="n">
        <f aca="false">IF(BJ386=0,IF(BR386=0,0,1),(BR386-BJ386)/BJ386)</f>
        <v>0</v>
      </c>
      <c r="CA386" s="32" t="n">
        <f aca="false">IF(BK386=0,IF(BS386=0,0,1),(BS386-BK386)/BK386)</f>
        <v>0</v>
      </c>
      <c r="CB386" s="32" t="n">
        <f aca="false">IF(BL386=0,IF(BT386=0,0,1),(BT386-BL386)/BL386)</f>
        <v>0</v>
      </c>
      <c r="CC386" s="32" t="n">
        <f aca="false">IF(BM386=0,IF(BU386=0,0,1),(BU386-BM386)/BM386)</f>
        <v>0</v>
      </c>
      <c r="CD386" s="32" t="n">
        <f aca="false">MAX(MAX(BV386:CC386),-MIN(BV386:CC386))</f>
        <v>-0</v>
      </c>
      <c r="CE386" s="31" t="n">
        <f aca="false">IF(CI386="","",SUMIFS($CF$7:$CF$696,$A$7:$A$696,CI386,$B$7:$B$696,B386))</f>
        <v>538471</v>
      </c>
      <c r="CF386" s="31" t="n">
        <f aca="false">SUM(AU386:BE386)</f>
        <v>624610</v>
      </c>
      <c r="CG386" s="33" t="str">
        <f aca="false">A386&amp;"|"&amp;B386</f>
        <v>2026-11 月例|教育委員会（教育給与課）</v>
      </c>
      <c r="CH386" s="34" t="str">
        <f aca="false">IFERROR(INDEX(設定!$D$61:$D$106,MATCH(B386,設定!$B$61:$B$106,0)),"Y")</f>
        <v>Y</v>
      </c>
      <c r="CI386" s="34" t="str">
        <f aca="false">IFERROR(INDEX(設定!$D$20:$D$34,MATCH(A386,設定!$A$20:$A$34,0))&amp;"","")</f>
        <v>2026-10 月例</v>
      </c>
    </row>
    <row r="387" customFormat="false" ht="15" hidden="true" customHeight="false" outlineLevel="0" collapsed="false">
      <c r="A387" s="22" t="s">
        <v>215</v>
      </c>
      <c r="B387" s="23" t="s">
        <v>172</v>
      </c>
      <c r="C387" s="10" t="str">
        <f aca="false">IF(G387="","未受領",IF(G387="なし","報告なし",IF(AH387="○","起票済",IF(OR(AG387="○",F387="一致",F387="入金不要"),"入金確認済","受領済"))))</f>
        <v>報告なし</v>
      </c>
      <c r="D387" s="10" t="str">
        <f aca="false">IF(OR(G387="",G387="なし"),"―",IF(CH387="N","対象外",IF(AND(I387="",J387="",K387=""),"標報未入力",IF(CD387&gt;=設定!$B$4,"要確認","問題なし"))))</f>
        <v>―</v>
      </c>
      <c r="E387" s="24" t="str">
        <f aca="false">IF(OR(G387="",G387="なし",CE387="",CF387=0),"―",IF(CF387=CE387,"前月同額",IF(CE387=0,"―",IF(ABS(CF387/CE387-1)&gt;=設定!$B$5,"変動大 "&amp;TEXT(CF387/CE387-1,"+0%;-0%"),"〇"))))</f>
        <v>―</v>
      </c>
      <c r="F387" s="10" t="str">
        <f aca="false">IF(OR(G387="",G387="なし"),"―",IF(CF387=0,"入金不要",IF(COUNT(Z387,AB387,AD387,AF387)=0,IF(AG387="○","手動確認","未入金"),IF(AND(N(Z387)=Y387,IF(AA387="",TRUE(),N(AB387)=AA387),IF(AC387="",TRUE(),N(AD387)=AC387),IF(AE387="",TRUE(),N(AF387)=AE387)),"一致","不一致"))))</f>
        <v>―</v>
      </c>
      <c r="G387" s="25" t="s">
        <v>173</v>
      </c>
      <c r="H387" s="26"/>
      <c r="I387" s="27"/>
      <c r="J387" s="27"/>
      <c r="K387" s="27"/>
      <c r="L387" s="27"/>
      <c r="M387" s="27"/>
      <c r="N387" s="27"/>
      <c r="O387" s="27"/>
      <c r="P387" s="27"/>
      <c r="Q387" s="27"/>
      <c r="R387" s="27"/>
      <c r="S387" s="27"/>
      <c r="T387" s="27"/>
      <c r="U387" s="27"/>
      <c r="V387" s="27"/>
      <c r="W387" s="10" t="str">
        <f aca="false">IFERROR(INDEX(設定!$E$61:$E$106,MATCH(B387,設定!$B$61:$B$106,0)),"合算")</f>
        <v>合算</v>
      </c>
      <c r="X387" s="28"/>
      <c r="Y387" s="29" t="str">
        <f aca="false">IF(OR(G387="",G387="なし"),"",IF(W387="合算",CF387,IF(W387="掛金・負担金別",(AU387+AV387+AZ387+BB387+BD387),SUM(AU387:AY387))))</f>
        <v/>
      </c>
      <c r="Z387" s="27"/>
      <c r="AA387" s="29" t="str">
        <f aca="false">IF(OR(G387="",G387="なし"),"",IF(W387="掛金・負担金別",(AW387+AX387+AY387+BA387+BC387+BE387),IF(W387="経理区分別",AZ387+BA387,"")))</f>
        <v/>
      </c>
      <c r="AB387" s="27"/>
      <c r="AC387" s="29" t="str">
        <f aca="false">IF(OR(G387="",G387="なし"),"",IF(W387="経理区分別",BB387+BC387,""))</f>
        <v/>
      </c>
      <c r="AD387" s="27"/>
      <c r="AE387" s="29" t="str">
        <f aca="false">IF(OR(G387="",G387="なし"),"",IF(W387="経理区分別",BD387+BE387,""))</f>
        <v/>
      </c>
      <c r="AF387" s="27"/>
      <c r="AG387" s="26"/>
      <c r="AH387" s="26"/>
      <c r="AI387" s="30"/>
      <c r="AJ387" s="31"/>
      <c r="AK387" s="31"/>
      <c r="AL387" s="31"/>
      <c r="AM387" s="31"/>
      <c r="AN387" s="31"/>
      <c r="AO387" s="31"/>
      <c r="AP387" s="31"/>
      <c r="AQ387" s="31"/>
      <c r="AR387" s="31"/>
      <c r="AS387" s="31"/>
      <c r="AT387" s="31"/>
      <c r="AU387" s="31" t="n">
        <f aca="false">IF($G387="",AJ387,L387)</f>
        <v>0</v>
      </c>
      <c r="AV387" s="31" t="n">
        <f aca="false">IF($G387="",AK387,M387)</f>
        <v>0</v>
      </c>
      <c r="AW387" s="31" t="n">
        <f aca="false">IF($G387="",AL387,N387)</f>
        <v>0</v>
      </c>
      <c r="AX387" s="31" t="n">
        <f aca="false">IF($G387="",AM387,O387)</f>
        <v>0</v>
      </c>
      <c r="AY387" s="31" t="n">
        <f aca="false">IF($G387="",AN387,P387)</f>
        <v>0</v>
      </c>
      <c r="AZ387" s="31" t="n">
        <f aca="false">IF($G387="",AO387,Q387)</f>
        <v>0</v>
      </c>
      <c r="BA387" s="31" t="n">
        <f aca="false">IF($G387="",AP387,R387)</f>
        <v>0</v>
      </c>
      <c r="BB387" s="31" t="n">
        <f aca="false">IF($G387="",AQ387,S387)</f>
        <v>0</v>
      </c>
      <c r="BC387" s="31" t="n">
        <f aca="false">IF($G387="",AR387,T387)</f>
        <v>0</v>
      </c>
      <c r="BD387" s="31" t="n">
        <f aca="false">IF($G387="",AS387,U387)</f>
        <v>0</v>
      </c>
      <c r="BE387" s="31" t="n">
        <f aca="false">IF($G387="",AT387,V387)</f>
        <v>0</v>
      </c>
      <c r="BF387" s="31" t="n">
        <f aca="false">ROUNDDOWN(I387*設定!$B$10/1000,0)+ROUNDDOWN(I387*設定!$B$11/1000,0)</f>
        <v>0</v>
      </c>
      <c r="BG387" s="31" t="n">
        <f aca="false">ROUNDDOWN(I387*設定!$C$10/1000,0)+ROUNDDOWN(I387*設定!$C$11/1000,0)+ROUNDDOWN(I387*設定!$C$12/1000,0)</f>
        <v>0</v>
      </c>
      <c r="BH387" s="31" t="n">
        <f aca="false">ROUNDDOWN(J387*設定!$B$13/1000,0)</f>
        <v>0</v>
      </c>
      <c r="BI387" s="31" t="n">
        <f aca="false">ROUNDDOWN(J387*設定!$C$13/1000,0)</f>
        <v>0</v>
      </c>
      <c r="BJ387" s="31" t="n">
        <f aca="false">ROUNDDOWN(K387*設定!$B$14/1000,0)</f>
        <v>0</v>
      </c>
      <c r="BK387" s="31" t="n">
        <f aca="false">ROUNDDOWN(K387*設定!$C$14/1000,0)</f>
        <v>0</v>
      </c>
      <c r="BL387" s="31" t="n">
        <f aca="false">ROUNDDOWN(J387*設定!$B$15/1000,0)</f>
        <v>0</v>
      </c>
      <c r="BM387" s="31" t="n">
        <f aca="false">ROUNDDOWN(J387*設定!$C$15/1000,0)</f>
        <v>0</v>
      </c>
      <c r="BN387" s="31" t="n">
        <f aca="false">L387+M387</f>
        <v>0</v>
      </c>
      <c r="BO387" s="31" t="n">
        <f aca="false">N387+O387+P387</f>
        <v>0</v>
      </c>
      <c r="BP387" s="31" t="n">
        <f aca="false">Q387</f>
        <v>0</v>
      </c>
      <c r="BQ387" s="31" t="n">
        <f aca="false">R387</f>
        <v>0</v>
      </c>
      <c r="BR387" s="31" t="n">
        <f aca="false">S387</f>
        <v>0</v>
      </c>
      <c r="BS387" s="31" t="n">
        <f aca="false">T387</f>
        <v>0</v>
      </c>
      <c r="BT387" s="31" t="n">
        <f aca="false">U387</f>
        <v>0</v>
      </c>
      <c r="BU387" s="31" t="n">
        <f aca="false">V387</f>
        <v>0</v>
      </c>
      <c r="BV387" s="32" t="n">
        <f aca="false">IF(BF387=0,IF(BN387=0,0,1),(BN387-BF387)/BF387)</f>
        <v>0</v>
      </c>
      <c r="BW387" s="32" t="n">
        <f aca="false">IF(BG387=0,IF(BO387=0,0,1),(BO387-BG387)/BG387)</f>
        <v>0</v>
      </c>
      <c r="BX387" s="32" t="n">
        <f aca="false">IF(BH387=0,IF(BP387=0,0,1),(BP387-BH387)/BH387)</f>
        <v>0</v>
      </c>
      <c r="BY387" s="32" t="n">
        <f aca="false">IF(BI387=0,IF(BQ387=0,0,1),(BQ387-BI387)/BI387)</f>
        <v>0</v>
      </c>
      <c r="BZ387" s="32" t="n">
        <f aca="false">IF(BJ387=0,IF(BR387=0,0,1),(BR387-BJ387)/BJ387)</f>
        <v>0</v>
      </c>
      <c r="CA387" s="32" t="n">
        <f aca="false">IF(BK387=0,IF(BS387=0,0,1),(BS387-BK387)/BK387)</f>
        <v>0</v>
      </c>
      <c r="CB387" s="32" t="n">
        <f aca="false">IF(BL387=0,IF(BT387=0,0,1),(BT387-BL387)/BL387)</f>
        <v>0</v>
      </c>
      <c r="CC387" s="32" t="n">
        <f aca="false">IF(BM387=0,IF(BU387=0,0,1),(BU387-BM387)/BM387)</f>
        <v>0</v>
      </c>
      <c r="CD387" s="32" t="n">
        <f aca="false">MAX(MAX(BV387:CC387),-MIN(BV387:CC387))</f>
        <v>-0</v>
      </c>
      <c r="CE387" s="31" t="n">
        <f aca="false">IF(CI387="","",SUMIFS($CF$7:$CF$696,$A$7:$A$696,CI387,$B$7:$B$696,B387))</f>
        <v>0</v>
      </c>
      <c r="CF387" s="31" t="n">
        <f aca="false">SUM(AU387:BE387)</f>
        <v>0</v>
      </c>
      <c r="CG387" s="33" t="str">
        <f aca="false">A387&amp;"|"&amp;B387</f>
        <v>2026-11 月例|地方税共同機構</v>
      </c>
      <c r="CH387" s="34" t="str">
        <f aca="false">IFERROR(INDEX(設定!$D$61:$D$106,MATCH(B387,設定!$B$61:$B$106,0)),"Y")</f>
        <v>Y</v>
      </c>
      <c r="CI387" s="34" t="str">
        <f aca="false">IFERROR(INDEX(設定!$D$20:$D$34,MATCH(A387,設定!$A$20:$A$34,0))&amp;"","")</f>
        <v>2026-10 月例</v>
      </c>
    </row>
    <row r="388" customFormat="false" ht="15" hidden="true" customHeight="false" outlineLevel="0" collapsed="false">
      <c r="A388" s="22" t="s">
        <v>215</v>
      </c>
      <c r="B388" s="23" t="s">
        <v>174</v>
      </c>
      <c r="C388" s="10" t="str">
        <f aca="false">IF(G388="","未受領",IF(G388="なし","報告なし",IF(AH388="○","起票済",IF(OR(AG388="○",F388="一致",F388="入金不要"),"入金確認済","受領済"))))</f>
        <v>未受領</v>
      </c>
      <c r="D388" s="10" t="str">
        <f aca="false">IF(OR(G388="",G388="なし"),"―",IF(CH388="N","対象外",IF(AND(I388="",J388="",K388=""),"標報未入力",IF(CD388&gt;=設定!$B$4,"要確認","問題なし"))))</f>
        <v>―</v>
      </c>
      <c r="E388" s="24" t="str">
        <f aca="false">IF(OR(G388="",G388="なし",CE388="",CF388=0),"―",IF(CF388=CE388,"前月同額",IF(CE388=0,"―",IF(ABS(CF388/CE388-1)&gt;=設定!$B$5,"変動大 "&amp;TEXT(CF388/CE388-1,"+0%;-0%"),"〇"))))</f>
        <v>―</v>
      </c>
      <c r="F388" s="10" t="str">
        <f aca="false">IF(OR(G388="",G388="なし"),"―",IF(CF388=0,"入金不要",IF(COUNT(Z388,AB388,AD388,AF388)=0,IF(AG388="○","手動確認","未入金"),IF(AND(N(Z388)=Y388,IF(AA388="",TRUE(),N(AB388)=AA388),IF(AC388="",TRUE(),N(AD388)=AC388),IF(AE388="",TRUE(),N(AF388)=AE388)),"一致","不一致"))))</f>
        <v>―</v>
      </c>
      <c r="G388" s="25"/>
      <c r="H388" s="26"/>
      <c r="I388" s="27"/>
      <c r="J388" s="27"/>
      <c r="K388" s="27"/>
      <c r="L388" s="27"/>
      <c r="M388" s="27"/>
      <c r="N388" s="27"/>
      <c r="O388" s="27"/>
      <c r="P388" s="27"/>
      <c r="Q388" s="27"/>
      <c r="R388" s="27"/>
      <c r="S388" s="27"/>
      <c r="T388" s="27"/>
      <c r="U388" s="27"/>
      <c r="V388" s="27"/>
      <c r="W388" s="10" t="str">
        <f aca="false">IFERROR(INDEX(設定!$E$61:$E$106,MATCH(B388,設定!$B$61:$B$106,0)),"合算")</f>
        <v>合算</v>
      </c>
      <c r="X388" s="28"/>
      <c r="Y388" s="29" t="str">
        <f aca="false">IF(OR(G388="",G388="なし"),"",IF(W388="合算",CF388,IF(W388="掛金・負担金別",(AU388+AV388+AZ388+BB388+BD388),SUM(AU388:AY388))))</f>
        <v/>
      </c>
      <c r="Z388" s="27"/>
      <c r="AA388" s="29" t="str">
        <f aca="false">IF(OR(G388="",G388="なし"),"",IF(W388="掛金・負担金別",(AW388+AX388+AY388+BA388+BC388+BE388),IF(W388="経理区分別",AZ388+BA388,"")))</f>
        <v/>
      </c>
      <c r="AB388" s="27"/>
      <c r="AC388" s="29" t="str">
        <f aca="false">IF(OR(G388="",G388="なし"),"",IF(W388="経理区分別",BB388+BC388,""))</f>
        <v/>
      </c>
      <c r="AD388" s="27"/>
      <c r="AE388" s="29" t="str">
        <f aca="false">IF(OR(G388="",G388="なし"),"",IF(W388="経理区分別",BD388+BE388,""))</f>
        <v/>
      </c>
      <c r="AF388" s="27"/>
      <c r="AG388" s="26"/>
      <c r="AH388" s="26"/>
      <c r="AI388" s="30"/>
      <c r="AJ388" s="31" t="n">
        <v>0</v>
      </c>
      <c r="AK388" s="31" t="n">
        <v>0</v>
      </c>
      <c r="AL388" s="31" t="n">
        <v>563640</v>
      </c>
      <c r="AM388" s="31" t="n">
        <v>46200</v>
      </c>
      <c r="AN388" s="31" t="n">
        <v>713</v>
      </c>
      <c r="AO388" s="31" t="n">
        <v>0</v>
      </c>
      <c r="AP388" s="31" t="n">
        <v>341129</v>
      </c>
      <c r="AQ388" s="31" t="n">
        <v>0</v>
      </c>
      <c r="AR388" s="31" t="n">
        <v>51903</v>
      </c>
      <c r="AS388" s="31" t="n">
        <v>0</v>
      </c>
      <c r="AT388" s="31" t="n">
        <v>1</v>
      </c>
      <c r="AU388" s="31" t="n">
        <f aca="false">IF($G388="",AJ388,L388)</f>
        <v>0</v>
      </c>
      <c r="AV388" s="31" t="n">
        <f aca="false">IF($G388="",AK388,M388)</f>
        <v>0</v>
      </c>
      <c r="AW388" s="31" t="n">
        <f aca="false">IF($G388="",AL388,N388)</f>
        <v>563640</v>
      </c>
      <c r="AX388" s="31" t="n">
        <f aca="false">IF($G388="",AM388,O388)</f>
        <v>46200</v>
      </c>
      <c r="AY388" s="31" t="n">
        <f aca="false">IF($G388="",AN388,P388)</f>
        <v>713</v>
      </c>
      <c r="AZ388" s="31" t="n">
        <f aca="false">IF($G388="",AO388,Q388)</f>
        <v>0</v>
      </c>
      <c r="BA388" s="31" t="n">
        <f aca="false">IF($G388="",AP388,R388)</f>
        <v>341129</v>
      </c>
      <c r="BB388" s="31" t="n">
        <f aca="false">IF($G388="",AQ388,S388)</f>
        <v>0</v>
      </c>
      <c r="BC388" s="31" t="n">
        <f aca="false">IF($G388="",AR388,T388)</f>
        <v>51903</v>
      </c>
      <c r="BD388" s="31" t="n">
        <f aca="false">IF($G388="",AS388,U388)</f>
        <v>0</v>
      </c>
      <c r="BE388" s="31" t="n">
        <f aca="false">IF($G388="",AT388,V388)</f>
        <v>1</v>
      </c>
      <c r="BF388" s="31" t="n">
        <f aca="false">ROUNDDOWN(I388*設定!$B$10/1000,0)+ROUNDDOWN(I388*設定!$B$11/1000,0)</f>
        <v>0</v>
      </c>
      <c r="BG388" s="31" t="n">
        <f aca="false">ROUNDDOWN(I388*設定!$C$10/1000,0)+ROUNDDOWN(I388*設定!$C$11/1000,0)+ROUNDDOWN(I388*設定!$C$12/1000,0)</f>
        <v>0</v>
      </c>
      <c r="BH388" s="31" t="n">
        <f aca="false">ROUNDDOWN(J388*設定!$B$13/1000,0)</f>
        <v>0</v>
      </c>
      <c r="BI388" s="31" t="n">
        <f aca="false">ROUNDDOWN(J388*設定!$C$13/1000,0)</f>
        <v>0</v>
      </c>
      <c r="BJ388" s="31" t="n">
        <f aca="false">ROUNDDOWN(K388*設定!$B$14/1000,0)</f>
        <v>0</v>
      </c>
      <c r="BK388" s="31" t="n">
        <f aca="false">ROUNDDOWN(K388*設定!$C$14/1000,0)</f>
        <v>0</v>
      </c>
      <c r="BL388" s="31" t="n">
        <f aca="false">ROUNDDOWN(J388*設定!$B$15/1000,0)</f>
        <v>0</v>
      </c>
      <c r="BM388" s="31" t="n">
        <f aca="false">ROUNDDOWN(J388*設定!$C$15/1000,0)</f>
        <v>0</v>
      </c>
      <c r="BN388" s="31" t="n">
        <f aca="false">L388+M388</f>
        <v>0</v>
      </c>
      <c r="BO388" s="31" t="n">
        <f aca="false">N388+O388+P388</f>
        <v>0</v>
      </c>
      <c r="BP388" s="31" t="n">
        <f aca="false">Q388</f>
        <v>0</v>
      </c>
      <c r="BQ388" s="31" t="n">
        <f aca="false">R388</f>
        <v>0</v>
      </c>
      <c r="BR388" s="31" t="n">
        <f aca="false">S388</f>
        <v>0</v>
      </c>
      <c r="BS388" s="31" t="n">
        <f aca="false">T388</f>
        <v>0</v>
      </c>
      <c r="BT388" s="31" t="n">
        <f aca="false">U388</f>
        <v>0</v>
      </c>
      <c r="BU388" s="31" t="n">
        <f aca="false">V388</f>
        <v>0</v>
      </c>
      <c r="BV388" s="32" t="n">
        <f aca="false">IF(BF388=0,IF(BN388=0,0,1),(BN388-BF388)/BF388)</f>
        <v>0</v>
      </c>
      <c r="BW388" s="32" t="n">
        <f aca="false">IF(BG388=0,IF(BO388=0,0,1),(BO388-BG388)/BG388)</f>
        <v>0</v>
      </c>
      <c r="BX388" s="32" t="n">
        <f aca="false">IF(BH388=0,IF(BP388=0,0,1),(BP388-BH388)/BH388)</f>
        <v>0</v>
      </c>
      <c r="BY388" s="32" t="n">
        <f aca="false">IF(BI388=0,IF(BQ388=0,0,1),(BQ388-BI388)/BI388)</f>
        <v>0</v>
      </c>
      <c r="BZ388" s="32" t="n">
        <f aca="false">IF(BJ388=0,IF(BR388=0,0,1),(BR388-BJ388)/BJ388)</f>
        <v>0</v>
      </c>
      <c r="CA388" s="32" t="n">
        <f aca="false">IF(BK388=0,IF(BS388=0,0,1),(BS388-BK388)/BK388)</f>
        <v>0</v>
      </c>
      <c r="CB388" s="32" t="n">
        <f aca="false">IF(BL388=0,IF(BT388=0,0,1),(BT388-BL388)/BL388)</f>
        <v>0</v>
      </c>
      <c r="CC388" s="32" t="n">
        <f aca="false">IF(BM388=0,IF(BU388=0,0,1),(BU388-BM388)/BM388)</f>
        <v>0</v>
      </c>
      <c r="CD388" s="32" t="n">
        <f aca="false">MAX(MAX(BV388:CC388),-MIN(BV388:CC388))</f>
        <v>-0</v>
      </c>
      <c r="CE388" s="31" t="n">
        <f aca="false">IF(CI388="","",SUMIFS($CF$7:$CF$696,$A$7:$A$696,CI388,$B$7:$B$696,B388))</f>
        <v>1225506</v>
      </c>
      <c r="CF388" s="31" t="n">
        <f aca="false">SUM(AU388:BE388)</f>
        <v>1003586</v>
      </c>
      <c r="CG388" s="33" t="str">
        <f aca="false">A388&amp;"|"&amp;B388</f>
        <v>2026-11 月例|平和文化センター</v>
      </c>
      <c r="CH388" s="34" t="str">
        <f aca="false">IFERROR(INDEX(設定!$D$61:$D$106,MATCH(B388,設定!$B$61:$B$106,0)),"Y")</f>
        <v>Y</v>
      </c>
      <c r="CI388" s="34" t="str">
        <f aca="false">IFERROR(INDEX(設定!$D$20:$D$34,MATCH(A388,設定!$A$20:$A$34,0))&amp;"","")</f>
        <v>2026-10 月例</v>
      </c>
    </row>
    <row r="389" customFormat="false" ht="15" hidden="true" customHeight="false" outlineLevel="0" collapsed="false">
      <c r="A389" s="22" t="s">
        <v>215</v>
      </c>
      <c r="B389" s="23" t="s">
        <v>175</v>
      </c>
      <c r="C389" s="10" t="str">
        <f aca="false">IF(G389="","未受領",IF(G389="なし","報告なし",IF(AH389="○","起票済",IF(OR(AG389="○",F389="一致",F389="入金不要"),"入金確認済","受領済"))))</f>
        <v>未受領</v>
      </c>
      <c r="D389" s="10" t="str">
        <f aca="false">IF(OR(G389="",G389="なし"),"―",IF(CH389="N","対象外",IF(AND(I389="",J389="",K389=""),"標報未入力",IF(CD389&gt;=設定!$B$4,"要確認","問題なし"))))</f>
        <v>―</v>
      </c>
      <c r="E389" s="24" t="str">
        <f aca="false">IF(OR(G389="",G389="なし",CE389="",CF389=0),"―",IF(CF389=CE389,"前月同額",IF(CE389=0,"―",IF(ABS(CF389/CE389-1)&gt;=設定!$B$5,"変動大 "&amp;TEXT(CF389/CE389-1,"+0%;-0%"),"〇"))))</f>
        <v>―</v>
      </c>
      <c r="F389" s="10" t="str">
        <f aca="false">IF(OR(G389="",G389="なし"),"―",IF(CF389=0,"入金不要",IF(COUNT(Z389,AB389,AD389,AF389)=0,IF(AG389="○","手動確認","未入金"),IF(AND(N(Z389)=Y389,IF(AA389="",TRUE(),N(AB389)=AA389),IF(AC389="",TRUE(),N(AD389)=AC389),IF(AE389="",TRUE(),N(AF389)=AE389)),"一致","不一致"))))</f>
        <v>―</v>
      </c>
      <c r="G389" s="25"/>
      <c r="H389" s="26"/>
      <c r="I389" s="27"/>
      <c r="J389" s="27"/>
      <c r="K389" s="27"/>
      <c r="L389" s="27"/>
      <c r="M389" s="27"/>
      <c r="N389" s="27"/>
      <c r="O389" s="27"/>
      <c r="P389" s="27"/>
      <c r="Q389" s="27"/>
      <c r="R389" s="27"/>
      <c r="S389" s="27"/>
      <c r="T389" s="27"/>
      <c r="U389" s="27"/>
      <c r="V389" s="27"/>
      <c r="W389" s="10" t="str">
        <f aca="false">IFERROR(INDEX(設定!$E$61:$E$106,MATCH(B389,設定!$B$61:$B$106,0)),"合算")</f>
        <v>合算</v>
      </c>
      <c r="X389" s="28"/>
      <c r="Y389" s="29" t="str">
        <f aca="false">IF(OR(G389="",G389="なし"),"",IF(W389="合算",CF389,IF(W389="掛金・負担金別",(AU389+AV389+AZ389+BB389+BD389),SUM(AU389:AY389))))</f>
        <v/>
      </c>
      <c r="Z389" s="27"/>
      <c r="AA389" s="29" t="str">
        <f aca="false">IF(OR(G389="",G389="なし"),"",IF(W389="掛金・負担金別",(AW389+AX389+AY389+BA389+BC389+BE389),IF(W389="経理区分別",AZ389+BA389,"")))</f>
        <v/>
      </c>
      <c r="AB389" s="27"/>
      <c r="AC389" s="29" t="str">
        <f aca="false">IF(OR(G389="",G389="なし"),"",IF(W389="経理区分別",BB389+BC389,""))</f>
        <v/>
      </c>
      <c r="AD389" s="27"/>
      <c r="AE389" s="29" t="str">
        <f aca="false">IF(OR(G389="",G389="なし"),"",IF(W389="経理区分別",BD389+BE389,""))</f>
        <v/>
      </c>
      <c r="AF389" s="27"/>
      <c r="AG389" s="26"/>
      <c r="AH389" s="26"/>
      <c r="AI389" s="30"/>
      <c r="AJ389" s="31"/>
      <c r="AK389" s="31"/>
      <c r="AL389" s="31" t="n">
        <v>1881240</v>
      </c>
      <c r="AM389" s="31" t="n">
        <v>154200</v>
      </c>
      <c r="AN389" s="31" t="n">
        <v>1960</v>
      </c>
      <c r="AO389" s="31"/>
      <c r="AP389" s="31" t="n">
        <v>1271974</v>
      </c>
      <c r="AQ389" s="31"/>
      <c r="AR389" s="31" t="n">
        <v>141252</v>
      </c>
      <c r="AS389" s="31"/>
      <c r="AT389" s="31" t="n">
        <v>1</v>
      </c>
      <c r="AU389" s="31" t="n">
        <f aca="false">IF($G389="",AJ389,L389)</f>
        <v>0</v>
      </c>
      <c r="AV389" s="31" t="n">
        <f aca="false">IF($G389="",AK389,M389)</f>
        <v>0</v>
      </c>
      <c r="AW389" s="31" t="n">
        <f aca="false">IF($G389="",AL389,N389)</f>
        <v>1881240</v>
      </c>
      <c r="AX389" s="31" t="n">
        <f aca="false">IF($G389="",AM389,O389)</f>
        <v>154200</v>
      </c>
      <c r="AY389" s="31" t="n">
        <f aca="false">IF($G389="",AN389,P389)</f>
        <v>1960</v>
      </c>
      <c r="AZ389" s="31" t="n">
        <f aca="false">IF($G389="",AO389,Q389)</f>
        <v>0</v>
      </c>
      <c r="BA389" s="31" t="n">
        <f aca="false">IF($G389="",AP389,R389)</f>
        <v>1271974</v>
      </c>
      <c r="BB389" s="31" t="n">
        <f aca="false">IF($G389="",AQ389,S389)</f>
        <v>0</v>
      </c>
      <c r="BC389" s="31" t="n">
        <f aca="false">IF($G389="",AR389,T389)</f>
        <v>141252</v>
      </c>
      <c r="BD389" s="31" t="n">
        <f aca="false">IF($G389="",AS389,U389)</f>
        <v>0</v>
      </c>
      <c r="BE389" s="31" t="n">
        <f aca="false">IF($G389="",AT389,V389)</f>
        <v>1</v>
      </c>
      <c r="BF389" s="31" t="n">
        <f aca="false">ROUNDDOWN(I389*設定!$B$10/1000,0)+ROUNDDOWN(I389*設定!$B$11/1000,0)</f>
        <v>0</v>
      </c>
      <c r="BG389" s="31" t="n">
        <f aca="false">ROUNDDOWN(I389*設定!$C$10/1000,0)+ROUNDDOWN(I389*設定!$C$11/1000,0)+ROUNDDOWN(I389*設定!$C$12/1000,0)</f>
        <v>0</v>
      </c>
      <c r="BH389" s="31" t="n">
        <f aca="false">ROUNDDOWN(J389*設定!$B$13/1000,0)</f>
        <v>0</v>
      </c>
      <c r="BI389" s="31" t="n">
        <f aca="false">ROUNDDOWN(J389*設定!$C$13/1000,0)</f>
        <v>0</v>
      </c>
      <c r="BJ389" s="31" t="n">
        <f aca="false">ROUNDDOWN(K389*設定!$B$14/1000,0)</f>
        <v>0</v>
      </c>
      <c r="BK389" s="31" t="n">
        <f aca="false">ROUNDDOWN(K389*設定!$C$14/1000,0)</f>
        <v>0</v>
      </c>
      <c r="BL389" s="31" t="n">
        <f aca="false">ROUNDDOWN(J389*設定!$B$15/1000,0)</f>
        <v>0</v>
      </c>
      <c r="BM389" s="31" t="n">
        <f aca="false">ROUNDDOWN(J389*設定!$C$15/1000,0)</f>
        <v>0</v>
      </c>
      <c r="BN389" s="31" t="n">
        <f aca="false">L389+M389</f>
        <v>0</v>
      </c>
      <c r="BO389" s="31" t="n">
        <f aca="false">N389+O389+P389</f>
        <v>0</v>
      </c>
      <c r="BP389" s="31" t="n">
        <f aca="false">Q389</f>
        <v>0</v>
      </c>
      <c r="BQ389" s="31" t="n">
        <f aca="false">R389</f>
        <v>0</v>
      </c>
      <c r="BR389" s="31" t="n">
        <f aca="false">S389</f>
        <v>0</v>
      </c>
      <c r="BS389" s="31" t="n">
        <f aca="false">T389</f>
        <v>0</v>
      </c>
      <c r="BT389" s="31" t="n">
        <f aca="false">U389</f>
        <v>0</v>
      </c>
      <c r="BU389" s="31" t="n">
        <f aca="false">V389</f>
        <v>0</v>
      </c>
      <c r="BV389" s="32" t="n">
        <f aca="false">IF(BF389=0,IF(BN389=0,0,1),(BN389-BF389)/BF389)</f>
        <v>0</v>
      </c>
      <c r="BW389" s="32" t="n">
        <f aca="false">IF(BG389=0,IF(BO389=0,0,1),(BO389-BG389)/BG389)</f>
        <v>0</v>
      </c>
      <c r="BX389" s="32" t="n">
        <f aca="false">IF(BH389=0,IF(BP389=0,0,1),(BP389-BH389)/BH389)</f>
        <v>0</v>
      </c>
      <c r="BY389" s="32" t="n">
        <f aca="false">IF(BI389=0,IF(BQ389=0,0,1),(BQ389-BI389)/BI389)</f>
        <v>0</v>
      </c>
      <c r="BZ389" s="32" t="n">
        <f aca="false">IF(BJ389=0,IF(BR389=0,0,1),(BR389-BJ389)/BJ389)</f>
        <v>0</v>
      </c>
      <c r="CA389" s="32" t="n">
        <f aca="false">IF(BK389=0,IF(BS389=0,0,1),(BS389-BK389)/BK389)</f>
        <v>0</v>
      </c>
      <c r="CB389" s="32" t="n">
        <f aca="false">IF(BL389=0,IF(BT389=0,0,1),(BT389-BL389)/BL389)</f>
        <v>0</v>
      </c>
      <c r="CC389" s="32" t="n">
        <f aca="false">IF(BM389=0,IF(BU389=0,0,1),(BU389-BM389)/BM389)</f>
        <v>0</v>
      </c>
      <c r="CD389" s="32" t="n">
        <f aca="false">MAX(MAX(BV389:CC389),-MIN(BV389:CC389))</f>
        <v>-0</v>
      </c>
      <c r="CE389" s="31" t="n">
        <f aca="false">IF(CI389="","",SUMIFS($CF$7:$CF$696,$A$7:$A$696,CI389,$B$7:$B$696,B389))</f>
        <v>3450627</v>
      </c>
      <c r="CF389" s="31" t="n">
        <f aca="false">SUM(AU389:BE389)</f>
        <v>3450627</v>
      </c>
      <c r="CG389" s="33" t="str">
        <f aca="false">A389&amp;"|"&amp;B389</f>
        <v>2026-11 月例|社会福祉事業団</v>
      </c>
      <c r="CH389" s="34" t="str">
        <f aca="false">IFERROR(INDEX(設定!$D$61:$D$106,MATCH(B389,設定!$B$61:$B$106,0)),"Y")</f>
        <v>Y</v>
      </c>
      <c r="CI389" s="34" t="str">
        <f aca="false">IFERROR(INDEX(設定!$D$20:$D$34,MATCH(A389,設定!$A$20:$A$34,0))&amp;"","")</f>
        <v>2026-10 月例</v>
      </c>
    </row>
    <row r="390" customFormat="false" ht="15" hidden="true" customHeight="false" outlineLevel="0" collapsed="false">
      <c r="A390" s="22" t="s">
        <v>215</v>
      </c>
      <c r="B390" s="23" t="s">
        <v>176</v>
      </c>
      <c r="C390" s="10" t="str">
        <f aca="false">IF(G390="","未受領",IF(G390="なし","報告なし",IF(AH390="○","起票済",IF(OR(AG390="○",F390="一致",F390="入金不要"),"入金確認済","受領済"))))</f>
        <v>未受領</v>
      </c>
      <c r="D390" s="10" t="str">
        <f aca="false">IF(OR(G390="",G390="なし"),"―",IF(CH390="N","対象外",IF(AND(I390="",J390="",K390=""),"標報未入力",IF(CD390&gt;=設定!$B$4,"要確認","問題なし"))))</f>
        <v>―</v>
      </c>
      <c r="E390" s="24" t="str">
        <f aca="false">IF(OR(G390="",G390="なし",CE390="",CF390=0),"―",IF(CF390=CE390,"前月同額",IF(CE390=0,"―",IF(ABS(CF390/CE390-1)&gt;=設定!$B$5,"変動大 "&amp;TEXT(CF390/CE390-1,"+0%;-0%"),"〇"))))</f>
        <v>―</v>
      </c>
      <c r="F390" s="10" t="str">
        <f aca="false">IF(OR(G390="",G390="なし"),"―",IF(CF390=0,"入金不要",IF(COUNT(Z390,AB390,AD390,AF390)=0,IF(AG390="○","手動確認","未入金"),IF(AND(N(Z390)=Y390,IF(AA390="",TRUE(),N(AB390)=AA390),IF(AC390="",TRUE(),N(AD390)=AC390),IF(AE390="",TRUE(),N(AF390)=AE390)),"一致","不一致"))))</f>
        <v>―</v>
      </c>
      <c r="G390" s="25"/>
      <c r="H390" s="26"/>
      <c r="I390" s="27"/>
      <c r="J390" s="27"/>
      <c r="K390" s="27"/>
      <c r="L390" s="27"/>
      <c r="M390" s="27"/>
      <c r="N390" s="27"/>
      <c r="O390" s="27"/>
      <c r="P390" s="27"/>
      <c r="Q390" s="27"/>
      <c r="R390" s="27"/>
      <c r="S390" s="27"/>
      <c r="T390" s="27"/>
      <c r="U390" s="27"/>
      <c r="V390" s="27"/>
      <c r="W390" s="10" t="str">
        <f aca="false">IFERROR(INDEX(設定!$E$61:$E$106,MATCH(B390,設定!$B$61:$B$106,0)),"合算")</f>
        <v>合算</v>
      </c>
      <c r="X390" s="28"/>
      <c r="Y390" s="29" t="str">
        <f aca="false">IF(OR(G390="",G390="なし"),"",IF(W390="合算",CF390,IF(W390="掛金・負担金別",(AU390+AV390+AZ390+BB390+BD390),SUM(AU390:AY390))))</f>
        <v/>
      </c>
      <c r="Z390" s="27"/>
      <c r="AA390" s="29" t="str">
        <f aca="false">IF(OR(G390="",G390="なし"),"",IF(W390="掛金・負担金別",(AW390+AX390+AY390+BA390+BC390+BE390),IF(W390="経理区分別",AZ390+BA390,"")))</f>
        <v/>
      </c>
      <c r="AB390" s="27"/>
      <c r="AC390" s="29" t="str">
        <f aca="false">IF(OR(G390="",G390="なし"),"",IF(W390="経理区分別",BB390+BC390,""))</f>
        <v/>
      </c>
      <c r="AD390" s="27"/>
      <c r="AE390" s="29" t="str">
        <f aca="false">IF(OR(G390="",G390="なし"),"",IF(W390="経理区分別",BD390+BE390,""))</f>
        <v/>
      </c>
      <c r="AF390" s="27"/>
      <c r="AG390" s="26"/>
      <c r="AH390" s="26"/>
      <c r="AI390" s="30"/>
      <c r="AJ390" s="31"/>
      <c r="AK390" s="31"/>
      <c r="AL390" s="31" t="n">
        <v>48495</v>
      </c>
      <c r="AM390" s="31" t="n">
        <v>3975</v>
      </c>
      <c r="AN390" s="31" t="n">
        <v>49</v>
      </c>
      <c r="AO390" s="31"/>
      <c r="AP390" s="31" t="n">
        <v>29208</v>
      </c>
      <c r="AQ390" s="31"/>
      <c r="AR390" s="31" t="n">
        <v>4187</v>
      </c>
      <c r="AS390" s="31"/>
      <c r="AT390" s="31" t="n">
        <v>1</v>
      </c>
      <c r="AU390" s="31" t="n">
        <f aca="false">IF($G390="",AJ390,L390)</f>
        <v>0</v>
      </c>
      <c r="AV390" s="31" t="n">
        <f aca="false">IF($G390="",AK390,M390)</f>
        <v>0</v>
      </c>
      <c r="AW390" s="31" t="n">
        <f aca="false">IF($G390="",AL390,N390)</f>
        <v>48495</v>
      </c>
      <c r="AX390" s="31" t="n">
        <f aca="false">IF($G390="",AM390,O390)</f>
        <v>3975</v>
      </c>
      <c r="AY390" s="31" t="n">
        <f aca="false">IF($G390="",AN390,P390)</f>
        <v>49</v>
      </c>
      <c r="AZ390" s="31" t="n">
        <f aca="false">IF($G390="",AO390,Q390)</f>
        <v>0</v>
      </c>
      <c r="BA390" s="31" t="n">
        <f aca="false">IF($G390="",AP390,R390)</f>
        <v>29208</v>
      </c>
      <c r="BB390" s="31" t="n">
        <f aca="false">IF($G390="",AQ390,S390)</f>
        <v>0</v>
      </c>
      <c r="BC390" s="31" t="n">
        <f aca="false">IF($G390="",AR390,T390)</f>
        <v>4187</v>
      </c>
      <c r="BD390" s="31" t="n">
        <f aca="false">IF($G390="",AS390,U390)</f>
        <v>0</v>
      </c>
      <c r="BE390" s="31" t="n">
        <f aca="false">IF($G390="",AT390,V390)</f>
        <v>1</v>
      </c>
      <c r="BF390" s="31" t="n">
        <f aca="false">ROUNDDOWN(I390*設定!$B$10/1000,0)+ROUNDDOWN(I390*設定!$B$11/1000,0)</f>
        <v>0</v>
      </c>
      <c r="BG390" s="31" t="n">
        <f aca="false">ROUNDDOWN(I390*設定!$C$10/1000,0)+ROUNDDOWN(I390*設定!$C$11/1000,0)+ROUNDDOWN(I390*設定!$C$12/1000,0)</f>
        <v>0</v>
      </c>
      <c r="BH390" s="31" t="n">
        <f aca="false">ROUNDDOWN(J390*設定!$B$13/1000,0)</f>
        <v>0</v>
      </c>
      <c r="BI390" s="31" t="n">
        <f aca="false">ROUNDDOWN(J390*設定!$C$13/1000,0)</f>
        <v>0</v>
      </c>
      <c r="BJ390" s="31" t="n">
        <f aca="false">ROUNDDOWN(K390*設定!$B$14/1000,0)</f>
        <v>0</v>
      </c>
      <c r="BK390" s="31" t="n">
        <f aca="false">ROUNDDOWN(K390*設定!$C$14/1000,0)</f>
        <v>0</v>
      </c>
      <c r="BL390" s="31" t="n">
        <f aca="false">ROUNDDOWN(J390*設定!$B$15/1000,0)</f>
        <v>0</v>
      </c>
      <c r="BM390" s="31" t="n">
        <f aca="false">ROUNDDOWN(J390*設定!$C$15/1000,0)</f>
        <v>0</v>
      </c>
      <c r="BN390" s="31" t="n">
        <f aca="false">L390+M390</f>
        <v>0</v>
      </c>
      <c r="BO390" s="31" t="n">
        <f aca="false">N390+O390+P390</f>
        <v>0</v>
      </c>
      <c r="BP390" s="31" t="n">
        <f aca="false">Q390</f>
        <v>0</v>
      </c>
      <c r="BQ390" s="31" t="n">
        <f aca="false">R390</f>
        <v>0</v>
      </c>
      <c r="BR390" s="31" t="n">
        <f aca="false">S390</f>
        <v>0</v>
      </c>
      <c r="BS390" s="31" t="n">
        <f aca="false">T390</f>
        <v>0</v>
      </c>
      <c r="BT390" s="31" t="n">
        <f aca="false">U390</f>
        <v>0</v>
      </c>
      <c r="BU390" s="31" t="n">
        <f aca="false">V390</f>
        <v>0</v>
      </c>
      <c r="BV390" s="32" t="n">
        <f aca="false">IF(BF390=0,IF(BN390=0,0,1),(BN390-BF390)/BF390)</f>
        <v>0</v>
      </c>
      <c r="BW390" s="32" t="n">
        <f aca="false">IF(BG390=0,IF(BO390=0,0,1),(BO390-BG390)/BG390)</f>
        <v>0</v>
      </c>
      <c r="BX390" s="32" t="n">
        <f aca="false">IF(BH390=0,IF(BP390=0,0,1),(BP390-BH390)/BH390)</f>
        <v>0</v>
      </c>
      <c r="BY390" s="32" t="n">
        <f aca="false">IF(BI390=0,IF(BQ390=0,0,1),(BQ390-BI390)/BI390)</f>
        <v>0</v>
      </c>
      <c r="BZ390" s="32" t="n">
        <f aca="false">IF(BJ390=0,IF(BR390=0,0,1),(BR390-BJ390)/BJ390)</f>
        <v>0</v>
      </c>
      <c r="CA390" s="32" t="n">
        <f aca="false">IF(BK390=0,IF(BS390=0,0,1),(BS390-BK390)/BK390)</f>
        <v>0</v>
      </c>
      <c r="CB390" s="32" t="n">
        <f aca="false">IF(BL390=0,IF(BT390=0,0,1),(BT390-BL390)/BL390)</f>
        <v>0</v>
      </c>
      <c r="CC390" s="32" t="n">
        <f aca="false">IF(BM390=0,IF(BU390=0,0,1),(BU390-BM390)/BM390)</f>
        <v>0</v>
      </c>
      <c r="CD390" s="32" t="n">
        <f aca="false">MAX(MAX(BV390:CC390),-MIN(BV390:CC390))</f>
        <v>-0</v>
      </c>
      <c r="CE390" s="31" t="n">
        <f aca="false">IF(CI390="","",SUMIFS($CF$7:$CF$696,$A$7:$A$696,CI390,$B$7:$B$696,B390))</f>
        <v>85915</v>
      </c>
      <c r="CF390" s="31" t="n">
        <f aca="false">SUM(AU390:BE390)</f>
        <v>85915</v>
      </c>
      <c r="CG390" s="33" t="str">
        <f aca="false">A390&amp;"|"&amp;B390</f>
        <v>2026-11 月例|原爆障害対策協議会</v>
      </c>
      <c r="CH390" s="34" t="str">
        <f aca="false">IFERROR(INDEX(設定!$D$61:$D$106,MATCH(B390,設定!$B$61:$B$106,0)),"Y")</f>
        <v>Y</v>
      </c>
      <c r="CI390" s="34" t="str">
        <f aca="false">IFERROR(INDEX(設定!$D$20:$D$34,MATCH(A390,設定!$A$20:$A$34,0))&amp;"","")</f>
        <v>2026-10 月例</v>
      </c>
    </row>
    <row r="391" customFormat="false" ht="15" hidden="true" customHeight="false" outlineLevel="0" collapsed="false">
      <c r="A391" s="22" t="s">
        <v>215</v>
      </c>
      <c r="B391" s="23" t="s">
        <v>177</v>
      </c>
      <c r="C391" s="10" t="str">
        <f aca="false">IF(G391="","未受領",IF(G391="なし","報告なし",IF(AH391="○","起票済",IF(OR(AG391="○",F391="一致",F391="入金不要"),"入金確認済","受領済"))))</f>
        <v>未受領</v>
      </c>
      <c r="D391" s="10" t="str">
        <f aca="false">IF(OR(G391="",G391="なし"),"―",IF(CH391="N","対象外",IF(AND(I391="",J391="",K391=""),"標報未入力",IF(CD391&gt;=設定!$B$4,"要確認","問題なし"))))</f>
        <v>―</v>
      </c>
      <c r="E391" s="24" t="str">
        <f aca="false">IF(OR(G391="",G391="なし",CE391="",CF391=0),"―",IF(CF391=CE391,"前月同額",IF(CE391=0,"―",IF(ABS(CF391/CE391-1)&gt;=設定!$B$5,"変動大 "&amp;TEXT(CF391/CE391-1,"+0%;-0%"),"〇"))))</f>
        <v>―</v>
      </c>
      <c r="F391" s="10" t="str">
        <f aca="false">IF(OR(G391="",G391="なし"),"―",IF(CF391=0,"入金不要",IF(COUNT(Z391,AB391,AD391,AF391)=0,IF(AG391="○","手動確認","未入金"),IF(AND(N(Z391)=Y391,IF(AA391="",TRUE(),N(AB391)=AA391),IF(AC391="",TRUE(),N(AD391)=AC391),IF(AE391="",TRUE(),N(AF391)=AE391)),"一致","不一致"))))</f>
        <v>―</v>
      </c>
      <c r="G391" s="25"/>
      <c r="H391" s="26"/>
      <c r="I391" s="27"/>
      <c r="J391" s="27"/>
      <c r="K391" s="27"/>
      <c r="L391" s="27"/>
      <c r="M391" s="27"/>
      <c r="N391" s="27"/>
      <c r="O391" s="27"/>
      <c r="P391" s="27"/>
      <c r="Q391" s="27"/>
      <c r="R391" s="27"/>
      <c r="S391" s="27"/>
      <c r="T391" s="27"/>
      <c r="U391" s="27"/>
      <c r="V391" s="27"/>
      <c r="W391" s="10" t="str">
        <f aca="false">IFERROR(INDEX(設定!$E$61:$E$106,MATCH(B391,設定!$B$61:$B$106,0)),"合算")</f>
        <v>合算</v>
      </c>
      <c r="X391" s="28"/>
      <c r="Y391" s="29" t="str">
        <f aca="false">IF(OR(G391="",G391="なし"),"",IF(W391="合算",CF391,IF(W391="掛金・負担金別",(AU391+AV391+AZ391+BB391+BD391),SUM(AU391:AY391))))</f>
        <v/>
      </c>
      <c r="Z391" s="27"/>
      <c r="AA391" s="29" t="str">
        <f aca="false">IF(OR(G391="",G391="なし"),"",IF(W391="掛金・負担金別",(AW391+AX391+AY391+BA391+BC391+BE391),IF(W391="経理区分別",AZ391+BA391,"")))</f>
        <v/>
      </c>
      <c r="AB391" s="27"/>
      <c r="AC391" s="29" t="str">
        <f aca="false">IF(OR(G391="",G391="なし"),"",IF(W391="経理区分別",BB391+BC391,""))</f>
        <v/>
      </c>
      <c r="AD391" s="27"/>
      <c r="AE391" s="29" t="str">
        <f aca="false">IF(OR(G391="",G391="なし"),"",IF(W391="経理区分別",BD391+BE391,""))</f>
        <v/>
      </c>
      <c r="AF391" s="27"/>
      <c r="AG391" s="26"/>
      <c r="AH391" s="26"/>
      <c r="AI391" s="30"/>
      <c r="AJ391" s="31"/>
      <c r="AK391" s="31"/>
      <c r="AL391" s="31" t="n">
        <v>425475</v>
      </c>
      <c r="AM391" s="31" t="n">
        <v>34875</v>
      </c>
      <c r="AN391" s="31" t="n">
        <v>435</v>
      </c>
      <c r="AO391" s="31"/>
      <c r="AP391" s="31" t="n">
        <v>256260</v>
      </c>
      <c r="AQ391" s="31"/>
      <c r="AR391" s="31" t="n">
        <v>34207</v>
      </c>
      <c r="AS391" s="31"/>
      <c r="AT391" s="31" t="n">
        <v>1</v>
      </c>
      <c r="AU391" s="31" t="n">
        <f aca="false">IF($G391="",AJ391,L391)</f>
        <v>0</v>
      </c>
      <c r="AV391" s="31" t="n">
        <f aca="false">IF($G391="",AK391,M391)</f>
        <v>0</v>
      </c>
      <c r="AW391" s="31" t="n">
        <f aca="false">IF($G391="",AL391,N391)</f>
        <v>425475</v>
      </c>
      <c r="AX391" s="31" t="n">
        <f aca="false">IF($G391="",AM391,O391)</f>
        <v>34875</v>
      </c>
      <c r="AY391" s="31" t="n">
        <f aca="false">IF($G391="",AN391,P391)</f>
        <v>435</v>
      </c>
      <c r="AZ391" s="31" t="n">
        <f aca="false">IF($G391="",AO391,Q391)</f>
        <v>0</v>
      </c>
      <c r="BA391" s="31" t="n">
        <f aca="false">IF($G391="",AP391,R391)</f>
        <v>256260</v>
      </c>
      <c r="BB391" s="31" t="n">
        <f aca="false">IF($G391="",AQ391,S391)</f>
        <v>0</v>
      </c>
      <c r="BC391" s="31" t="n">
        <f aca="false">IF($G391="",AR391,T391)</f>
        <v>34207</v>
      </c>
      <c r="BD391" s="31" t="n">
        <f aca="false">IF($G391="",AS391,U391)</f>
        <v>0</v>
      </c>
      <c r="BE391" s="31" t="n">
        <f aca="false">IF($G391="",AT391,V391)</f>
        <v>1</v>
      </c>
      <c r="BF391" s="31" t="n">
        <f aca="false">ROUNDDOWN(I391*設定!$B$10/1000,0)+ROUNDDOWN(I391*設定!$B$11/1000,0)</f>
        <v>0</v>
      </c>
      <c r="BG391" s="31" t="n">
        <f aca="false">ROUNDDOWN(I391*設定!$C$10/1000,0)+ROUNDDOWN(I391*設定!$C$11/1000,0)+ROUNDDOWN(I391*設定!$C$12/1000,0)</f>
        <v>0</v>
      </c>
      <c r="BH391" s="31" t="n">
        <f aca="false">ROUNDDOWN(J391*設定!$B$13/1000,0)</f>
        <v>0</v>
      </c>
      <c r="BI391" s="31" t="n">
        <f aca="false">ROUNDDOWN(J391*設定!$C$13/1000,0)</f>
        <v>0</v>
      </c>
      <c r="BJ391" s="31" t="n">
        <f aca="false">ROUNDDOWN(K391*設定!$B$14/1000,0)</f>
        <v>0</v>
      </c>
      <c r="BK391" s="31" t="n">
        <f aca="false">ROUNDDOWN(K391*設定!$C$14/1000,0)</f>
        <v>0</v>
      </c>
      <c r="BL391" s="31" t="n">
        <f aca="false">ROUNDDOWN(J391*設定!$B$15/1000,0)</f>
        <v>0</v>
      </c>
      <c r="BM391" s="31" t="n">
        <f aca="false">ROUNDDOWN(J391*設定!$C$15/1000,0)</f>
        <v>0</v>
      </c>
      <c r="BN391" s="31" t="n">
        <f aca="false">L391+M391</f>
        <v>0</v>
      </c>
      <c r="BO391" s="31" t="n">
        <f aca="false">N391+O391+P391</f>
        <v>0</v>
      </c>
      <c r="BP391" s="31" t="n">
        <f aca="false">Q391</f>
        <v>0</v>
      </c>
      <c r="BQ391" s="31" t="n">
        <f aca="false">R391</f>
        <v>0</v>
      </c>
      <c r="BR391" s="31" t="n">
        <f aca="false">S391</f>
        <v>0</v>
      </c>
      <c r="BS391" s="31" t="n">
        <f aca="false">T391</f>
        <v>0</v>
      </c>
      <c r="BT391" s="31" t="n">
        <f aca="false">U391</f>
        <v>0</v>
      </c>
      <c r="BU391" s="31" t="n">
        <f aca="false">V391</f>
        <v>0</v>
      </c>
      <c r="BV391" s="32" t="n">
        <f aca="false">IF(BF391=0,IF(BN391=0,0,1),(BN391-BF391)/BF391)</f>
        <v>0</v>
      </c>
      <c r="BW391" s="32" t="n">
        <f aca="false">IF(BG391=0,IF(BO391=0,0,1),(BO391-BG391)/BG391)</f>
        <v>0</v>
      </c>
      <c r="BX391" s="32" t="n">
        <f aca="false">IF(BH391=0,IF(BP391=0,0,1),(BP391-BH391)/BH391)</f>
        <v>0</v>
      </c>
      <c r="BY391" s="32" t="n">
        <f aca="false">IF(BI391=0,IF(BQ391=0,0,1),(BQ391-BI391)/BI391)</f>
        <v>0</v>
      </c>
      <c r="BZ391" s="32" t="n">
        <f aca="false">IF(BJ391=0,IF(BR391=0,0,1),(BR391-BJ391)/BJ391)</f>
        <v>0</v>
      </c>
      <c r="CA391" s="32" t="n">
        <f aca="false">IF(BK391=0,IF(BS391=0,0,1),(BS391-BK391)/BK391)</f>
        <v>0</v>
      </c>
      <c r="CB391" s="32" t="n">
        <f aca="false">IF(BL391=0,IF(BT391=0,0,1),(BT391-BL391)/BL391)</f>
        <v>0</v>
      </c>
      <c r="CC391" s="32" t="n">
        <f aca="false">IF(BM391=0,IF(BU391=0,0,1),(BU391-BM391)/BM391)</f>
        <v>0</v>
      </c>
      <c r="CD391" s="32" t="n">
        <f aca="false">MAX(MAX(BV391:CC391),-MIN(BV391:CC391))</f>
        <v>-0</v>
      </c>
      <c r="CE391" s="31" t="n">
        <f aca="false">IF(CI391="","",SUMIFS($CF$7:$CF$696,$A$7:$A$696,CI391,$B$7:$B$696,B391))</f>
        <v>751253</v>
      </c>
      <c r="CF391" s="31" t="n">
        <f aca="false">SUM(AU391:BE391)</f>
        <v>751253</v>
      </c>
      <c r="CG391" s="33" t="str">
        <f aca="false">A391&amp;"|"&amp;B391</f>
        <v>2026-11 月例|産業振興センター</v>
      </c>
      <c r="CH391" s="34" t="str">
        <f aca="false">IFERROR(INDEX(設定!$D$61:$D$106,MATCH(B391,設定!$B$61:$B$106,0)),"Y")</f>
        <v>Y</v>
      </c>
      <c r="CI391" s="34" t="str">
        <f aca="false">IFERROR(INDEX(設定!$D$20:$D$34,MATCH(A391,設定!$A$20:$A$34,0))&amp;"","")</f>
        <v>2026-10 月例</v>
      </c>
    </row>
    <row r="392" customFormat="false" ht="15" hidden="true" customHeight="false" outlineLevel="0" collapsed="false">
      <c r="A392" s="22" t="s">
        <v>215</v>
      </c>
      <c r="B392" s="23" t="s">
        <v>178</v>
      </c>
      <c r="C392" s="10" t="str">
        <f aca="false">IF(G392="","未受領",IF(G392="なし","報告なし",IF(AH392="○","起票済",IF(OR(AG392="○",F392="一致",F392="入金不要"),"入金確認済","受領済"))))</f>
        <v>未受領</v>
      </c>
      <c r="D392" s="10" t="str">
        <f aca="false">IF(OR(G392="",G392="なし"),"―",IF(CH392="N","対象外",IF(AND(I392="",J392="",K392=""),"標報未入力",IF(CD392&gt;=設定!$B$4,"要確認","問題なし"))))</f>
        <v>―</v>
      </c>
      <c r="E392" s="24" t="str">
        <f aca="false">IF(OR(G392="",G392="なし",CE392="",CF392=0),"―",IF(CF392=CE392,"前月同額",IF(CE392=0,"―",IF(ABS(CF392/CE392-1)&gt;=設定!$B$5,"変動大 "&amp;TEXT(CF392/CE392-1,"+0%;-0%"),"〇"))))</f>
        <v>―</v>
      </c>
      <c r="F392" s="10" t="str">
        <f aca="false">IF(OR(G392="",G392="なし"),"―",IF(CF392=0,"入金不要",IF(COUNT(Z392,AB392,AD392,AF392)=0,IF(AG392="○","手動確認","未入金"),IF(AND(N(Z392)=Y392,IF(AA392="",TRUE(),N(AB392)=AA392),IF(AC392="",TRUE(),N(AD392)=AC392),IF(AE392="",TRUE(),N(AF392)=AE392)),"一致","不一致"))))</f>
        <v>―</v>
      </c>
      <c r="G392" s="25"/>
      <c r="H392" s="26"/>
      <c r="I392" s="27"/>
      <c r="J392" s="27"/>
      <c r="K392" s="27"/>
      <c r="L392" s="27"/>
      <c r="M392" s="27"/>
      <c r="N392" s="27"/>
      <c r="O392" s="27"/>
      <c r="P392" s="27"/>
      <c r="Q392" s="27"/>
      <c r="R392" s="27"/>
      <c r="S392" s="27"/>
      <c r="T392" s="27"/>
      <c r="U392" s="27"/>
      <c r="V392" s="27"/>
      <c r="W392" s="10" t="str">
        <f aca="false">IFERROR(INDEX(設定!$E$61:$E$106,MATCH(B392,設定!$B$61:$B$106,0)),"合算")</f>
        <v>合算</v>
      </c>
      <c r="X392" s="28"/>
      <c r="Y392" s="29" t="str">
        <f aca="false">IF(OR(G392="",G392="なし"),"",IF(W392="合算",CF392,IF(W392="掛金・負担金別",(AU392+AV392+AZ392+BB392+BD392),SUM(AU392:AY392))))</f>
        <v/>
      </c>
      <c r="Z392" s="27"/>
      <c r="AA392" s="29" t="str">
        <f aca="false">IF(OR(G392="",G392="なし"),"",IF(W392="掛金・負担金別",(AW392+AX392+AY392+BA392+BC392+BE392),IF(W392="経理区分別",AZ392+BA392,"")))</f>
        <v/>
      </c>
      <c r="AB392" s="27"/>
      <c r="AC392" s="29" t="str">
        <f aca="false">IF(OR(G392="",G392="なし"),"",IF(W392="経理区分別",BB392+BC392,""))</f>
        <v/>
      </c>
      <c r="AD392" s="27"/>
      <c r="AE392" s="29" t="str">
        <f aca="false">IF(OR(G392="",G392="なし"),"",IF(W392="経理区分別",BD392+BE392,""))</f>
        <v/>
      </c>
      <c r="AF392" s="27"/>
      <c r="AG392" s="26"/>
      <c r="AH392" s="26"/>
      <c r="AI392" s="30"/>
      <c r="AJ392" s="31"/>
      <c r="AK392" s="31"/>
      <c r="AL392" s="31" t="n">
        <v>86010</v>
      </c>
      <c r="AM392" s="31" t="n">
        <v>7050</v>
      </c>
      <c r="AN392" s="31" t="n">
        <v>88</v>
      </c>
      <c r="AO392" s="31"/>
      <c r="AP392" s="31" t="n">
        <v>51803</v>
      </c>
      <c r="AQ392" s="31"/>
      <c r="AR392" s="31" t="n">
        <v>7426</v>
      </c>
      <c r="AS392" s="31"/>
      <c r="AT392" s="31" t="n">
        <v>1</v>
      </c>
      <c r="AU392" s="31" t="n">
        <f aca="false">IF($G392="",AJ392,L392)</f>
        <v>0</v>
      </c>
      <c r="AV392" s="31" t="n">
        <f aca="false">IF($G392="",AK392,M392)</f>
        <v>0</v>
      </c>
      <c r="AW392" s="31" t="n">
        <f aca="false">IF($G392="",AL392,N392)</f>
        <v>86010</v>
      </c>
      <c r="AX392" s="31" t="n">
        <f aca="false">IF($G392="",AM392,O392)</f>
        <v>7050</v>
      </c>
      <c r="AY392" s="31" t="n">
        <f aca="false">IF($G392="",AN392,P392)</f>
        <v>88</v>
      </c>
      <c r="AZ392" s="31" t="n">
        <f aca="false">IF($G392="",AO392,Q392)</f>
        <v>0</v>
      </c>
      <c r="BA392" s="31" t="n">
        <f aca="false">IF($G392="",AP392,R392)</f>
        <v>51803</v>
      </c>
      <c r="BB392" s="31" t="n">
        <f aca="false">IF($G392="",AQ392,S392)</f>
        <v>0</v>
      </c>
      <c r="BC392" s="31" t="n">
        <f aca="false">IF($G392="",AR392,T392)</f>
        <v>7426</v>
      </c>
      <c r="BD392" s="31" t="n">
        <f aca="false">IF($G392="",AS392,U392)</f>
        <v>0</v>
      </c>
      <c r="BE392" s="31" t="n">
        <f aca="false">IF($G392="",AT392,V392)</f>
        <v>1</v>
      </c>
      <c r="BF392" s="31" t="n">
        <f aca="false">ROUNDDOWN(I392*設定!$B$10/1000,0)+ROUNDDOWN(I392*設定!$B$11/1000,0)</f>
        <v>0</v>
      </c>
      <c r="BG392" s="31" t="n">
        <f aca="false">ROUNDDOWN(I392*設定!$C$10/1000,0)+ROUNDDOWN(I392*設定!$C$11/1000,0)+ROUNDDOWN(I392*設定!$C$12/1000,0)</f>
        <v>0</v>
      </c>
      <c r="BH392" s="31" t="n">
        <f aca="false">ROUNDDOWN(J392*設定!$B$13/1000,0)</f>
        <v>0</v>
      </c>
      <c r="BI392" s="31" t="n">
        <f aca="false">ROUNDDOWN(J392*設定!$C$13/1000,0)</f>
        <v>0</v>
      </c>
      <c r="BJ392" s="31" t="n">
        <f aca="false">ROUNDDOWN(K392*設定!$B$14/1000,0)</f>
        <v>0</v>
      </c>
      <c r="BK392" s="31" t="n">
        <f aca="false">ROUNDDOWN(K392*設定!$C$14/1000,0)</f>
        <v>0</v>
      </c>
      <c r="BL392" s="31" t="n">
        <f aca="false">ROUNDDOWN(J392*設定!$B$15/1000,0)</f>
        <v>0</v>
      </c>
      <c r="BM392" s="31" t="n">
        <f aca="false">ROUNDDOWN(J392*設定!$C$15/1000,0)</f>
        <v>0</v>
      </c>
      <c r="BN392" s="31" t="n">
        <f aca="false">L392+M392</f>
        <v>0</v>
      </c>
      <c r="BO392" s="31" t="n">
        <f aca="false">N392+O392+P392</f>
        <v>0</v>
      </c>
      <c r="BP392" s="31" t="n">
        <f aca="false">Q392</f>
        <v>0</v>
      </c>
      <c r="BQ392" s="31" t="n">
        <f aca="false">R392</f>
        <v>0</v>
      </c>
      <c r="BR392" s="31" t="n">
        <f aca="false">S392</f>
        <v>0</v>
      </c>
      <c r="BS392" s="31" t="n">
        <f aca="false">T392</f>
        <v>0</v>
      </c>
      <c r="BT392" s="31" t="n">
        <f aca="false">U392</f>
        <v>0</v>
      </c>
      <c r="BU392" s="31" t="n">
        <f aca="false">V392</f>
        <v>0</v>
      </c>
      <c r="BV392" s="32" t="n">
        <f aca="false">IF(BF392=0,IF(BN392=0,0,1),(BN392-BF392)/BF392)</f>
        <v>0</v>
      </c>
      <c r="BW392" s="32" t="n">
        <f aca="false">IF(BG392=0,IF(BO392=0,0,1),(BO392-BG392)/BG392)</f>
        <v>0</v>
      </c>
      <c r="BX392" s="32" t="n">
        <f aca="false">IF(BH392=0,IF(BP392=0,0,1),(BP392-BH392)/BH392)</f>
        <v>0</v>
      </c>
      <c r="BY392" s="32" t="n">
        <f aca="false">IF(BI392=0,IF(BQ392=0,0,1),(BQ392-BI392)/BI392)</f>
        <v>0</v>
      </c>
      <c r="BZ392" s="32" t="n">
        <f aca="false">IF(BJ392=0,IF(BR392=0,0,1),(BR392-BJ392)/BJ392)</f>
        <v>0</v>
      </c>
      <c r="CA392" s="32" t="n">
        <f aca="false">IF(BK392=0,IF(BS392=0,0,1),(BS392-BK392)/BK392)</f>
        <v>0</v>
      </c>
      <c r="CB392" s="32" t="n">
        <f aca="false">IF(BL392=0,IF(BT392=0,0,1),(BT392-BL392)/BL392)</f>
        <v>0</v>
      </c>
      <c r="CC392" s="32" t="n">
        <f aca="false">IF(BM392=0,IF(BU392=0,0,1),(BU392-BM392)/BM392)</f>
        <v>0</v>
      </c>
      <c r="CD392" s="32" t="n">
        <f aca="false">MAX(MAX(BV392:CC392),-MIN(BV392:CC392))</f>
        <v>-0</v>
      </c>
      <c r="CE392" s="31" t="n">
        <f aca="false">IF(CI392="","",SUMIFS($CF$7:$CF$696,$A$7:$A$696,CI392,$B$7:$B$696,B392))</f>
        <v>152378</v>
      </c>
      <c r="CF392" s="31" t="n">
        <f aca="false">SUM(AU392:BE392)</f>
        <v>152378</v>
      </c>
      <c r="CG392" s="33" t="str">
        <f aca="false">A392&amp;"|"&amp;B392</f>
        <v>2026-11 月例|ひろしま産業振興</v>
      </c>
      <c r="CH392" s="34" t="str">
        <f aca="false">IFERROR(INDEX(設定!$D$61:$D$106,MATCH(B392,設定!$B$61:$B$106,0)),"Y")</f>
        <v>Y</v>
      </c>
      <c r="CI392" s="34" t="str">
        <f aca="false">IFERROR(INDEX(設定!$D$20:$D$34,MATCH(A392,設定!$A$20:$A$34,0))&amp;"","")</f>
        <v>2026-10 月例</v>
      </c>
    </row>
    <row r="393" customFormat="false" ht="15" hidden="true" customHeight="false" outlineLevel="0" collapsed="false">
      <c r="A393" s="22" t="s">
        <v>215</v>
      </c>
      <c r="B393" s="23" t="s">
        <v>179</v>
      </c>
      <c r="C393" s="10" t="str">
        <f aca="false">IF(G393="","未受領",IF(G393="なし","報告なし",IF(AH393="○","起票済",IF(OR(AG393="○",F393="一致",F393="入金不要"),"入金確認済","受領済"))))</f>
        <v>未受領</v>
      </c>
      <c r="D393" s="10" t="str">
        <f aca="false">IF(OR(G393="",G393="なし"),"―",IF(CH393="N","対象外",IF(AND(I393="",J393="",K393=""),"標報未入力",IF(CD393&gt;=設定!$B$4,"要確認","問題なし"))))</f>
        <v>―</v>
      </c>
      <c r="E393" s="24" t="str">
        <f aca="false">IF(OR(G393="",G393="なし",CE393="",CF393=0),"―",IF(CF393=CE393,"前月同額",IF(CE393=0,"―",IF(ABS(CF393/CE393-1)&gt;=設定!$B$5,"変動大 "&amp;TEXT(CF393/CE393-1,"+0%;-0%"),"〇"))))</f>
        <v>―</v>
      </c>
      <c r="F393" s="10" t="str">
        <f aca="false">IF(OR(G393="",G393="なし"),"―",IF(CF393=0,"入金不要",IF(COUNT(Z393,AB393,AD393,AF393)=0,IF(AG393="○","手動確認","未入金"),IF(AND(N(Z393)=Y393,IF(AA393="",TRUE(),N(AB393)=AA393),IF(AC393="",TRUE(),N(AD393)=AC393),IF(AE393="",TRUE(),N(AF393)=AE393)),"一致","不一致"))))</f>
        <v>―</v>
      </c>
      <c r="G393" s="25"/>
      <c r="H393" s="26"/>
      <c r="I393" s="27"/>
      <c r="J393" s="27"/>
      <c r="K393" s="27"/>
      <c r="L393" s="27"/>
      <c r="M393" s="27"/>
      <c r="N393" s="27"/>
      <c r="O393" s="27"/>
      <c r="P393" s="27"/>
      <c r="Q393" s="27"/>
      <c r="R393" s="27"/>
      <c r="S393" s="27"/>
      <c r="T393" s="27"/>
      <c r="U393" s="27"/>
      <c r="V393" s="27"/>
      <c r="W393" s="10" t="str">
        <f aca="false">IFERROR(INDEX(設定!$E$61:$E$106,MATCH(B393,設定!$B$61:$B$106,0)),"合算")</f>
        <v>合算</v>
      </c>
      <c r="X393" s="28"/>
      <c r="Y393" s="29" t="str">
        <f aca="false">IF(OR(G393="",G393="なし"),"",IF(W393="合算",CF393,IF(W393="掛金・負担金別",(AU393+AV393+AZ393+BB393+BD393),SUM(AU393:AY393))))</f>
        <v/>
      </c>
      <c r="Z393" s="27"/>
      <c r="AA393" s="29" t="str">
        <f aca="false">IF(OR(G393="",G393="なし"),"",IF(W393="掛金・負担金別",(AW393+AX393+AY393+BA393+BC393+BE393),IF(W393="経理区分別",AZ393+BA393,"")))</f>
        <v/>
      </c>
      <c r="AB393" s="27"/>
      <c r="AC393" s="29" t="str">
        <f aca="false">IF(OR(G393="",G393="なし"),"",IF(W393="経理区分別",BB393+BC393,""))</f>
        <v/>
      </c>
      <c r="AD393" s="27"/>
      <c r="AE393" s="29" t="str">
        <f aca="false">IF(OR(G393="",G393="なし"),"",IF(W393="経理区分別",BD393+BE393,""))</f>
        <v/>
      </c>
      <c r="AF393" s="27"/>
      <c r="AG393" s="26"/>
      <c r="AH393" s="26"/>
      <c r="AI393" s="30"/>
      <c r="AJ393" s="31"/>
      <c r="AK393" s="31"/>
      <c r="AL393" s="31" t="n">
        <v>48495</v>
      </c>
      <c r="AM393" s="31" t="n">
        <v>3975</v>
      </c>
      <c r="AN393" s="31" t="n">
        <v>49</v>
      </c>
      <c r="AO393" s="31"/>
      <c r="AP393" s="31" t="n">
        <v>29208</v>
      </c>
      <c r="AQ393" s="31"/>
      <c r="AR393" s="31" t="n">
        <v>4187</v>
      </c>
      <c r="AS393" s="31"/>
      <c r="AT393" s="31" t="n">
        <v>1</v>
      </c>
      <c r="AU393" s="31" t="n">
        <f aca="false">IF($G393="",AJ393,L393)</f>
        <v>0</v>
      </c>
      <c r="AV393" s="31" t="n">
        <f aca="false">IF($G393="",AK393,M393)</f>
        <v>0</v>
      </c>
      <c r="AW393" s="31" t="n">
        <f aca="false">IF($G393="",AL393,N393)</f>
        <v>48495</v>
      </c>
      <c r="AX393" s="31" t="n">
        <f aca="false">IF($G393="",AM393,O393)</f>
        <v>3975</v>
      </c>
      <c r="AY393" s="31" t="n">
        <f aca="false">IF($G393="",AN393,P393)</f>
        <v>49</v>
      </c>
      <c r="AZ393" s="31" t="n">
        <f aca="false">IF($G393="",AO393,Q393)</f>
        <v>0</v>
      </c>
      <c r="BA393" s="31" t="n">
        <f aca="false">IF($G393="",AP393,R393)</f>
        <v>29208</v>
      </c>
      <c r="BB393" s="31" t="n">
        <f aca="false">IF($G393="",AQ393,S393)</f>
        <v>0</v>
      </c>
      <c r="BC393" s="31" t="n">
        <f aca="false">IF($G393="",AR393,T393)</f>
        <v>4187</v>
      </c>
      <c r="BD393" s="31" t="n">
        <f aca="false">IF($G393="",AS393,U393)</f>
        <v>0</v>
      </c>
      <c r="BE393" s="31" t="n">
        <f aca="false">IF($G393="",AT393,V393)</f>
        <v>1</v>
      </c>
      <c r="BF393" s="31" t="n">
        <f aca="false">ROUNDDOWN(I393*設定!$B$10/1000,0)+ROUNDDOWN(I393*設定!$B$11/1000,0)</f>
        <v>0</v>
      </c>
      <c r="BG393" s="31" t="n">
        <f aca="false">ROUNDDOWN(I393*設定!$C$10/1000,0)+ROUNDDOWN(I393*設定!$C$11/1000,0)+ROUNDDOWN(I393*設定!$C$12/1000,0)</f>
        <v>0</v>
      </c>
      <c r="BH393" s="31" t="n">
        <f aca="false">ROUNDDOWN(J393*設定!$B$13/1000,0)</f>
        <v>0</v>
      </c>
      <c r="BI393" s="31" t="n">
        <f aca="false">ROUNDDOWN(J393*設定!$C$13/1000,0)</f>
        <v>0</v>
      </c>
      <c r="BJ393" s="31" t="n">
        <f aca="false">ROUNDDOWN(K393*設定!$B$14/1000,0)</f>
        <v>0</v>
      </c>
      <c r="BK393" s="31" t="n">
        <f aca="false">ROUNDDOWN(K393*設定!$C$14/1000,0)</f>
        <v>0</v>
      </c>
      <c r="BL393" s="31" t="n">
        <f aca="false">ROUNDDOWN(J393*設定!$B$15/1000,0)</f>
        <v>0</v>
      </c>
      <c r="BM393" s="31" t="n">
        <f aca="false">ROUNDDOWN(J393*設定!$C$15/1000,0)</f>
        <v>0</v>
      </c>
      <c r="BN393" s="31" t="n">
        <f aca="false">L393+M393</f>
        <v>0</v>
      </c>
      <c r="BO393" s="31" t="n">
        <f aca="false">N393+O393+P393</f>
        <v>0</v>
      </c>
      <c r="BP393" s="31" t="n">
        <f aca="false">Q393</f>
        <v>0</v>
      </c>
      <c r="BQ393" s="31" t="n">
        <f aca="false">R393</f>
        <v>0</v>
      </c>
      <c r="BR393" s="31" t="n">
        <f aca="false">S393</f>
        <v>0</v>
      </c>
      <c r="BS393" s="31" t="n">
        <f aca="false">T393</f>
        <v>0</v>
      </c>
      <c r="BT393" s="31" t="n">
        <f aca="false">U393</f>
        <v>0</v>
      </c>
      <c r="BU393" s="31" t="n">
        <f aca="false">V393</f>
        <v>0</v>
      </c>
      <c r="BV393" s="32" t="n">
        <f aca="false">IF(BF393=0,IF(BN393=0,0,1),(BN393-BF393)/BF393)</f>
        <v>0</v>
      </c>
      <c r="BW393" s="32" t="n">
        <f aca="false">IF(BG393=0,IF(BO393=0,0,1),(BO393-BG393)/BG393)</f>
        <v>0</v>
      </c>
      <c r="BX393" s="32" t="n">
        <f aca="false">IF(BH393=0,IF(BP393=0,0,1),(BP393-BH393)/BH393)</f>
        <v>0</v>
      </c>
      <c r="BY393" s="32" t="n">
        <f aca="false">IF(BI393=0,IF(BQ393=0,0,1),(BQ393-BI393)/BI393)</f>
        <v>0</v>
      </c>
      <c r="BZ393" s="32" t="n">
        <f aca="false">IF(BJ393=0,IF(BR393=0,0,1),(BR393-BJ393)/BJ393)</f>
        <v>0</v>
      </c>
      <c r="CA393" s="32" t="n">
        <f aca="false">IF(BK393=0,IF(BS393=0,0,1),(BS393-BK393)/BK393)</f>
        <v>0</v>
      </c>
      <c r="CB393" s="32" t="n">
        <f aca="false">IF(BL393=0,IF(BT393=0,0,1),(BT393-BL393)/BL393)</f>
        <v>0</v>
      </c>
      <c r="CC393" s="32" t="n">
        <f aca="false">IF(BM393=0,IF(BU393=0,0,1),(BU393-BM393)/BM393)</f>
        <v>0</v>
      </c>
      <c r="CD393" s="32" t="n">
        <f aca="false">MAX(MAX(BV393:CC393),-MIN(BV393:CC393))</f>
        <v>-0</v>
      </c>
      <c r="CE393" s="31" t="n">
        <f aca="false">IF(CI393="","",SUMIFS($CF$7:$CF$696,$A$7:$A$696,CI393,$B$7:$B$696,B393))</f>
        <v>85915</v>
      </c>
      <c r="CF393" s="31" t="n">
        <f aca="false">SUM(AU393:BE393)</f>
        <v>85915</v>
      </c>
      <c r="CG393" s="33" t="str">
        <f aca="false">A393&amp;"|"&amp;B393</f>
        <v>2026-11 月例|都市整備公社　市</v>
      </c>
      <c r="CH393" s="34" t="str">
        <f aca="false">IFERROR(INDEX(設定!$D$61:$D$106,MATCH(B393,設定!$B$61:$B$106,0)),"Y")</f>
        <v>Y</v>
      </c>
      <c r="CI393" s="34" t="str">
        <f aca="false">IFERROR(INDEX(設定!$D$20:$D$34,MATCH(A393,設定!$A$20:$A$34,0))&amp;"","")</f>
        <v>2026-10 月例</v>
      </c>
    </row>
    <row r="394" customFormat="false" ht="15" hidden="true" customHeight="false" outlineLevel="0" collapsed="false">
      <c r="A394" s="22" t="s">
        <v>215</v>
      </c>
      <c r="B394" s="23" t="s">
        <v>180</v>
      </c>
      <c r="C394" s="10" t="str">
        <f aca="false">IF(G394="","未受領",IF(G394="なし","報告なし",IF(AH394="○","起票済",IF(OR(AG394="○",F394="一致",F394="入金不要"),"入金確認済","受領済"))))</f>
        <v>未受領</v>
      </c>
      <c r="D394" s="10" t="str">
        <f aca="false">IF(OR(G394="",G394="なし"),"―",IF(CH394="N","対象外",IF(AND(I394="",J394="",K394=""),"標報未入力",IF(CD394&gt;=設定!$B$4,"要確認","問題なし"))))</f>
        <v>―</v>
      </c>
      <c r="E394" s="24" t="str">
        <f aca="false">IF(OR(G394="",G394="なし",CE394="",CF394=0),"―",IF(CF394=CE394,"前月同額",IF(CE394=0,"―",IF(ABS(CF394/CE394-1)&gt;=設定!$B$5,"変動大 "&amp;TEXT(CF394/CE394-1,"+0%;-0%"),"〇"))))</f>
        <v>―</v>
      </c>
      <c r="F394" s="10" t="str">
        <f aca="false">IF(OR(G394="",G394="なし"),"―",IF(CF394=0,"入金不要",IF(COUNT(Z394,AB394,AD394,AF394)=0,IF(AG394="○","手動確認","未入金"),IF(AND(N(Z394)=Y394,IF(AA394="",TRUE(),N(AB394)=AA394),IF(AC394="",TRUE(),N(AD394)=AC394),IF(AE394="",TRUE(),N(AF394)=AE394)),"一致","不一致"))))</f>
        <v>―</v>
      </c>
      <c r="G394" s="25"/>
      <c r="H394" s="26"/>
      <c r="I394" s="27"/>
      <c r="J394" s="27"/>
      <c r="K394" s="27"/>
      <c r="L394" s="27"/>
      <c r="M394" s="27"/>
      <c r="N394" s="27"/>
      <c r="O394" s="27"/>
      <c r="P394" s="27"/>
      <c r="Q394" s="27"/>
      <c r="R394" s="27"/>
      <c r="S394" s="27"/>
      <c r="T394" s="27"/>
      <c r="U394" s="27"/>
      <c r="V394" s="27"/>
      <c r="W394" s="10" t="str">
        <f aca="false">IFERROR(INDEX(設定!$E$61:$E$106,MATCH(B394,設定!$B$61:$B$106,0)),"合算")</f>
        <v>合算</v>
      </c>
      <c r="X394" s="28"/>
      <c r="Y394" s="29" t="str">
        <f aca="false">IF(OR(G394="",G394="なし"),"",IF(W394="合算",CF394,IF(W394="掛金・負担金別",(AU394+AV394+AZ394+BB394+BD394),SUM(AU394:AY394))))</f>
        <v/>
      </c>
      <c r="Z394" s="27"/>
      <c r="AA394" s="29" t="str">
        <f aca="false">IF(OR(G394="",G394="なし"),"",IF(W394="掛金・負担金別",(AW394+AX394+AY394+BA394+BC394+BE394),IF(W394="経理区分別",AZ394+BA394,"")))</f>
        <v/>
      </c>
      <c r="AB394" s="27"/>
      <c r="AC394" s="29" t="str">
        <f aca="false">IF(OR(G394="",G394="なし"),"",IF(W394="経理区分別",BB394+BC394,""))</f>
        <v/>
      </c>
      <c r="AD394" s="27"/>
      <c r="AE394" s="29" t="str">
        <f aca="false">IF(OR(G394="",G394="なし"),"",IF(W394="経理区分別",BD394+BE394,""))</f>
        <v/>
      </c>
      <c r="AF394" s="27"/>
      <c r="AG394" s="26"/>
      <c r="AH394" s="26"/>
      <c r="AI394" s="30"/>
      <c r="AJ394" s="31"/>
      <c r="AK394" s="31"/>
      <c r="AL394" s="31" t="n">
        <v>124440</v>
      </c>
      <c r="AM394" s="31" t="n">
        <v>10200</v>
      </c>
      <c r="AN394" s="31" t="n">
        <v>127</v>
      </c>
      <c r="AO394" s="31"/>
      <c r="AP394" s="31" t="n">
        <v>74949</v>
      </c>
      <c r="AQ394" s="31"/>
      <c r="AR394" s="31" t="n">
        <v>7031</v>
      </c>
      <c r="AS394" s="31"/>
      <c r="AT394" s="31" t="n">
        <v>1</v>
      </c>
      <c r="AU394" s="31" t="n">
        <f aca="false">IF($G394="",AJ394,L394)</f>
        <v>0</v>
      </c>
      <c r="AV394" s="31" t="n">
        <f aca="false">IF($G394="",AK394,M394)</f>
        <v>0</v>
      </c>
      <c r="AW394" s="31" t="n">
        <f aca="false">IF($G394="",AL394,N394)</f>
        <v>124440</v>
      </c>
      <c r="AX394" s="31" t="n">
        <f aca="false">IF($G394="",AM394,O394)</f>
        <v>10200</v>
      </c>
      <c r="AY394" s="31" t="n">
        <f aca="false">IF($G394="",AN394,P394)</f>
        <v>127</v>
      </c>
      <c r="AZ394" s="31" t="n">
        <f aca="false">IF($G394="",AO394,Q394)</f>
        <v>0</v>
      </c>
      <c r="BA394" s="31" t="n">
        <f aca="false">IF($G394="",AP394,R394)</f>
        <v>74949</v>
      </c>
      <c r="BB394" s="31" t="n">
        <f aca="false">IF($G394="",AQ394,S394)</f>
        <v>0</v>
      </c>
      <c r="BC394" s="31" t="n">
        <f aca="false">IF($G394="",AR394,T394)</f>
        <v>7031</v>
      </c>
      <c r="BD394" s="31" t="n">
        <f aca="false">IF($G394="",AS394,U394)</f>
        <v>0</v>
      </c>
      <c r="BE394" s="31" t="n">
        <f aca="false">IF($G394="",AT394,V394)</f>
        <v>1</v>
      </c>
      <c r="BF394" s="31" t="n">
        <f aca="false">ROUNDDOWN(I394*設定!$B$10/1000,0)+ROUNDDOWN(I394*設定!$B$11/1000,0)</f>
        <v>0</v>
      </c>
      <c r="BG394" s="31" t="n">
        <f aca="false">ROUNDDOWN(I394*設定!$C$10/1000,0)+ROUNDDOWN(I394*設定!$C$11/1000,0)+ROUNDDOWN(I394*設定!$C$12/1000,0)</f>
        <v>0</v>
      </c>
      <c r="BH394" s="31" t="n">
        <f aca="false">ROUNDDOWN(J394*設定!$B$13/1000,0)</f>
        <v>0</v>
      </c>
      <c r="BI394" s="31" t="n">
        <f aca="false">ROUNDDOWN(J394*設定!$C$13/1000,0)</f>
        <v>0</v>
      </c>
      <c r="BJ394" s="31" t="n">
        <f aca="false">ROUNDDOWN(K394*設定!$B$14/1000,0)</f>
        <v>0</v>
      </c>
      <c r="BK394" s="31" t="n">
        <f aca="false">ROUNDDOWN(K394*設定!$C$14/1000,0)</f>
        <v>0</v>
      </c>
      <c r="BL394" s="31" t="n">
        <f aca="false">ROUNDDOWN(J394*設定!$B$15/1000,0)</f>
        <v>0</v>
      </c>
      <c r="BM394" s="31" t="n">
        <f aca="false">ROUNDDOWN(J394*設定!$C$15/1000,0)</f>
        <v>0</v>
      </c>
      <c r="BN394" s="31" t="n">
        <f aca="false">L394+M394</f>
        <v>0</v>
      </c>
      <c r="BO394" s="31" t="n">
        <f aca="false">N394+O394+P394</f>
        <v>0</v>
      </c>
      <c r="BP394" s="31" t="n">
        <f aca="false">Q394</f>
        <v>0</v>
      </c>
      <c r="BQ394" s="31" t="n">
        <f aca="false">R394</f>
        <v>0</v>
      </c>
      <c r="BR394" s="31" t="n">
        <f aca="false">S394</f>
        <v>0</v>
      </c>
      <c r="BS394" s="31" t="n">
        <f aca="false">T394</f>
        <v>0</v>
      </c>
      <c r="BT394" s="31" t="n">
        <f aca="false">U394</f>
        <v>0</v>
      </c>
      <c r="BU394" s="31" t="n">
        <f aca="false">V394</f>
        <v>0</v>
      </c>
      <c r="BV394" s="32" t="n">
        <f aca="false">IF(BF394=0,IF(BN394=0,0,1),(BN394-BF394)/BF394)</f>
        <v>0</v>
      </c>
      <c r="BW394" s="32" t="n">
        <f aca="false">IF(BG394=0,IF(BO394=0,0,1),(BO394-BG394)/BG394)</f>
        <v>0</v>
      </c>
      <c r="BX394" s="32" t="n">
        <f aca="false">IF(BH394=0,IF(BP394=0,0,1),(BP394-BH394)/BH394)</f>
        <v>0</v>
      </c>
      <c r="BY394" s="32" t="n">
        <f aca="false">IF(BI394=0,IF(BQ394=0,0,1),(BQ394-BI394)/BI394)</f>
        <v>0</v>
      </c>
      <c r="BZ394" s="32" t="n">
        <f aca="false">IF(BJ394=0,IF(BR394=0,0,1),(BR394-BJ394)/BJ394)</f>
        <v>0</v>
      </c>
      <c r="CA394" s="32" t="n">
        <f aca="false">IF(BK394=0,IF(BS394=0,0,1),(BS394-BK394)/BK394)</f>
        <v>0</v>
      </c>
      <c r="CB394" s="32" t="n">
        <f aca="false">IF(BL394=0,IF(BT394=0,0,1),(BT394-BL394)/BL394)</f>
        <v>0</v>
      </c>
      <c r="CC394" s="32" t="n">
        <f aca="false">IF(BM394=0,IF(BU394=0,0,1),(BU394-BM394)/BM394)</f>
        <v>0</v>
      </c>
      <c r="CD394" s="32" t="n">
        <f aca="false">MAX(MAX(BV394:CC394),-MIN(BV394:CC394))</f>
        <v>-0</v>
      </c>
      <c r="CE394" s="31" t="n">
        <f aca="false">IF(CI394="","",SUMIFS($CF$7:$CF$696,$A$7:$A$696,CI394,$B$7:$B$696,B394))</f>
        <v>216748</v>
      </c>
      <c r="CF394" s="31" t="n">
        <f aca="false">SUM(AU394:BE394)</f>
        <v>216748</v>
      </c>
      <c r="CG394" s="33" t="str">
        <f aca="false">A394&amp;"|"&amp;B394</f>
        <v>2026-11 月例|都市整備公社　消防</v>
      </c>
      <c r="CH394" s="34" t="str">
        <f aca="false">IFERROR(INDEX(設定!$D$61:$D$106,MATCH(B394,設定!$B$61:$B$106,0)),"Y")</f>
        <v>Y</v>
      </c>
      <c r="CI394" s="34" t="str">
        <f aca="false">IFERROR(INDEX(設定!$D$20:$D$34,MATCH(A394,設定!$A$20:$A$34,0))&amp;"","")</f>
        <v>2026-10 月例</v>
      </c>
    </row>
    <row r="395" customFormat="false" ht="15" hidden="true" customHeight="false" outlineLevel="0" collapsed="false">
      <c r="A395" s="22" t="s">
        <v>215</v>
      </c>
      <c r="B395" s="23" t="s">
        <v>181</v>
      </c>
      <c r="C395" s="10" t="str">
        <f aca="false">IF(G395="","未受領",IF(G395="なし","報告なし",IF(AH395="○","起票済",IF(OR(AG395="○",F395="一致",F395="入金不要"),"入金確認済","受領済"))))</f>
        <v>未受領</v>
      </c>
      <c r="D395" s="10" t="str">
        <f aca="false">IF(OR(G395="",G395="なし"),"―",IF(CH395="N","対象外",IF(AND(I395="",J395="",K395=""),"標報未入力",IF(CD395&gt;=設定!$B$4,"要確認","問題なし"))))</f>
        <v>―</v>
      </c>
      <c r="E395" s="24" t="str">
        <f aca="false">IF(OR(G395="",G395="なし",CE395="",CF395=0),"―",IF(CF395=CE395,"前月同額",IF(CE395=0,"―",IF(ABS(CF395/CE395-1)&gt;=設定!$B$5,"変動大 "&amp;TEXT(CF395/CE395-1,"+0%;-0%"),"〇"))))</f>
        <v>―</v>
      </c>
      <c r="F395" s="10" t="str">
        <f aca="false">IF(OR(G395="",G395="なし"),"―",IF(CF395=0,"入金不要",IF(COUNT(Z395,AB395,AD395,AF395)=0,IF(AG395="○","手動確認","未入金"),IF(AND(N(Z395)=Y395,IF(AA395="",TRUE(),N(AB395)=AA395),IF(AC395="",TRUE(),N(AD395)=AC395),IF(AE395="",TRUE(),N(AF395)=AE395)),"一致","不一致"))))</f>
        <v>―</v>
      </c>
      <c r="G395" s="25"/>
      <c r="H395" s="26"/>
      <c r="I395" s="27"/>
      <c r="J395" s="27"/>
      <c r="K395" s="27"/>
      <c r="L395" s="27"/>
      <c r="M395" s="27"/>
      <c r="N395" s="27"/>
      <c r="O395" s="27"/>
      <c r="P395" s="27"/>
      <c r="Q395" s="27"/>
      <c r="R395" s="27"/>
      <c r="S395" s="27"/>
      <c r="T395" s="27"/>
      <c r="U395" s="27"/>
      <c r="V395" s="27"/>
      <c r="W395" s="10" t="str">
        <f aca="false">IFERROR(INDEX(設定!$E$61:$E$106,MATCH(B395,設定!$B$61:$B$106,0)),"合算")</f>
        <v>合算</v>
      </c>
      <c r="X395" s="28"/>
      <c r="Y395" s="29" t="str">
        <f aca="false">IF(OR(G395="",G395="なし"),"",IF(W395="合算",CF395,IF(W395="掛金・負担金別",(AU395+AV395+AZ395+BB395+BD395),SUM(AU395:AY395))))</f>
        <v/>
      </c>
      <c r="Z395" s="27"/>
      <c r="AA395" s="29" t="str">
        <f aca="false">IF(OR(G395="",G395="なし"),"",IF(W395="掛金・負担金別",(AW395+AX395+AY395+BA395+BC395+BE395),IF(W395="経理区分別",AZ395+BA395,"")))</f>
        <v/>
      </c>
      <c r="AB395" s="27"/>
      <c r="AC395" s="29" t="str">
        <f aca="false">IF(OR(G395="",G395="なし"),"",IF(W395="経理区分別",BB395+BC395,""))</f>
        <v/>
      </c>
      <c r="AD395" s="27"/>
      <c r="AE395" s="29" t="str">
        <f aca="false">IF(OR(G395="",G395="なし"),"",IF(W395="経理区分別",BD395+BE395,""))</f>
        <v/>
      </c>
      <c r="AF395" s="27"/>
      <c r="AG395" s="26"/>
      <c r="AH395" s="26"/>
      <c r="AI395" s="30"/>
      <c r="AJ395" s="31" t="n">
        <v>245220</v>
      </c>
      <c r="AK395" s="31" t="n">
        <v>20100</v>
      </c>
      <c r="AL395" s="31" t="n">
        <v>245220</v>
      </c>
      <c r="AM395" s="31" t="n">
        <v>20100</v>
      </c>
      <c r="AN395" s="31" t="n">
        <v>251</v>
      </c>
      <c r="AO395" s="31" t="n">
        <v>147425</v>
      </c>
      <c r="AP395" s="31" t="n">
        <v>147694</v>
      </c>
      <c r="AQ395" s="31" t="n">
        <v>9559</v>
      </c>
      <c r="AR395" s="31" t="n">
        <v>9559</v>
      </c>
      <c r="AS395" s="31" t="n">
        <v>1</v>
      </c>
      <c r="AT395" s="31" t="n">
        <v>1</v>
      </c>
      <c r="AU395" s="31" t="n">
        <f aca="false">IF($G395="",AJ395,L395)</f>
        <v>245220</v>
      </c>
      <c r="AV395" s="31" t="n">
        <f aca="false">IF($G395="",AK395,M395)</f>
        <v>20100</v>
      </c>
      <c r="AW395" s="31" t="n">
        <f aca="false">IF($G395="",AL395,N395)</f>
        <v>245220</v>
      </c>
      <c r="AX395" s="31" t="n">
        <f aca="false">IF($G395="",AM395,O395)</f>
        <v>20100</v>
      </c>
      <c r="AY395" s="31" t="n">
        <f aca="false">IF($G395="",AN395,P395)</f>
        <v>251</v>
      </c>
      <c r="AZ395" s="31" t="n">
        <f aca="false">IF($G395="",AO395,Q395)</f>
        <v>147425</v>
      </c>
      <c r="BA395" s="31" t="n">
        <f aca="false">IF($G395="",AP395,R395)</f>
        <v>147694</v>
      </c>
      <c r="BB395" s="31" t="n">
        <f aca="false">IF($G395="",AQ395,S395)</f>
        <v>9559</v>
      </c>
      <c r="BC395" s="31" t="n">
        <f aca="false">IF($G395="",AR395,T395)</f>
        <v>9559</v>
      </c>
      <c r="BD395" s="31" t="n">
        <f aca="false">IF($G395="",AS395,U395)</f>
        <v>1</v>
      </c>
      <c r="BE395" s="31" t="n">
        <f aca="false">IF($G395="",AT395,V395)</f>
        <v>1</v>
      </c>
      <c r="BF395" s="31" t="n">
        <f aca="false">ROUNDDOWN(I395*設定!$B$10/1000,0)+ROUNDDOWN(I395*設定!$B$11/1000,0)</f>
        <v>0</v>
      </c>
      <c r="BG395" s="31" t="n">
        <f aca="false">ROUNDDOWN(I395*設定!$C$10/1000,0)+ROUNDDOWN(I395*設定!$C$11/1000,0)+ROUNDDOWN(I395*設定!$C$12/1000,0)</f>
        <v>0</v>
      </c>
      <c r="BH395" s="31" t="n">
        <f aca="false">ROUNDDOWN(J395*設定!$B$13/1000,0)</f>
        <v>0</v>
      </c>
      <c r="BI395" s="31" t="n">
        <f aca="false">ROUNDDOWN(J395*設定!$C$13/1000,0)</f>
        <v>0</v>
      </c>
      <c r="BJ395" s="31" t="n">
        <f aca="false">ROUNDDOWN(K395*設定!$B$14/1000,0)</f>
        <v>0</v>
      </c>
      <c r="BK395" s="31" t="n">
        <f aca="false">ROUNDDOWN(K395*設定!$C$14/1000,0)</f>
        <v>0</v>
      </c>
      <c r="BL395" s="31" t="n">
        <f aca="false">ROUNDDOWN(J395*設定!$B$15/1000,0)</f>
        <v>0</v>
      </c>
      <c r="BM395" s="31" t="n">
        <f aca="false">ROUNDDOWN(J395*設定!$C$15/1000,0)</f>
        <v>0</v>
      </c>
      <c r="BN395" s="31" t="n">
        <f aca="false">L395+M395</f>
        <v>0</v>
      </c>
      <c r="BO395" s="31" t="n">
        <f aca="false">N395+O395+P395</f>
        <v>0</v>
      </c>
      <c r="BP395" s="31" t="n">
        <f aca="false">Q395</f>
        <v>0</v>
      </c>
      <c r="BQ395" s="31" t="n">
        <f aca="false">R395</f>
        <v>0</v>
      </c>
      <c r="BR395" s="31" t="n">
        <f aca="false">S395</f>
        <v>0</v>
      </c>
      <c r="BS395" s="31" t="n">
        <f aca="false">T395</f>
        <v>0</v>
      </c>
      <c r="BT395" s="31" t="n">
        <f aca="false">U395</f>
        <v>0</v>
      </c>
      <c r="BU395" s="31" t="n">
        <f aca="false">V395</f>
        <v>0</v>
      </c>
      <c r="BV395" s="32" t="n">
        <f aca="false">IF(BF395=0,IF(BN395=0,0,1),(BN395-BF395)/BF395)</f>
        <v>0</v>
      </c>
      <c r="BW395" s="32" t="n">
        <f aca="false">IF(BG395=0,IF(BO395=0,0,1),(BO395-BG395)/BG395)</f>
        <v>0</v>
      </c>
      <c r="BX395" s="32" t="n">
        <f aca="false">IF(BH395=0,IF(BP395=0,0,1),(BP395-BH395)/BH395)</f>
        <v>0</v>
      </c>
      <c r="BY395" s="32" t="n">
        <f aca="false">IF(BI395=0,IF(BQ395=0,0,1),(BQ395-BI395)/BI395)</f>
        <v>0</v>
      </c>
      <c r="BZ395" s="32" t="n">
        <f aca="false">IF(BJ395=0,IF(BR395=0,0,1),(BR395-BJ395)/BJ395)</f>
        <v>0</v>
      </c>
      <c r="CA395" s="32" t="n">
        <f aca="false">IF(BK395=0,IF(BS395=0,0,1),(BS395-BK395)/BK395)</f>
        <v>0</v>
      </c>
      <c r="CB395" s="32" t="n">
        <f aca="false">IF(BL395=0,IF(BT395=0,0,1),(BT395-BL395)/BL395)</f>
        <v>0</v>
      </c>
      <c r="CC395" s="32" t="n">
        <f aca="false">IF(BM395=0,IF(BU395=0,0,1),(BU395-BM395)/BM395)</f>
        <v>0</v>
      </c>
      <c r="CD395" s="32" t="n">
        <f aca="false">MAX(MAX(BV395:CC395),-MIN(BV395:CC395))</f>
        <v>-0</v>
      </c>
      <c r="CE395" s="31" t="n">
        <f aca="false">IF(CI395="","",SUMIFS($CF$7:$CF$696,$A$7:$A$696,CI395,$B$7:$B$696,B395))</f>
        <v>841761</v>
      </c>
      <c r="CF395" s="31" t="n">
        <f aca="false">SUM(AU395:BE395)</f>
        <v>845130</v>
      </c>
      <c r="CG395" s="33" t="str">
        <f aca="false">A395&amp;"|"&amp;B395</f>
        <v>2026-11 月例|日本下水道事業団</v>
      </c>
      <c r="CH395" s="34" t="str">
        <f aca="false">IFERROR(INDEX(設定!$D$61:$D$106,MATCH(B395,設定!$B$61:$B$106,0)),"Y")</f>
        <v>Y</v>
      </c>
      <c r="CI395" s="34" t="str">
        <f aca="false">IFERROR(INDEX(設定!$D$20:$D$34,MATCH(A395,設定!$A$20:$A$34,0))&amp;"","")</f>
        <v>2026-10 月例</v>
      </c>
    </row>
    <row r="396" customFormat="false" ht="15" hidden="true" customHeight="false" outlineLevel="0" collapsed="false">
      <c r="A396" s="22" t="s">
        <v>215</v>
      </c>
      <c r="B396" s="23" t="s">
        <v>182</v>
      </c>
      <c r="C396" s="10" t="str">
        <f aca="false">IF(G396="","未受領",IF(G396="なし","報告なし",IF(AH396="○","起票済",IF(OR(AG396="○",F396="一致",F396="入金不要"),"入金確認済","受領済"))))</f>
        <v>未受領</v>
      </c>
      <c r="D396" s="10" t="str">
        <f aca="false">IF(OR(G396="",G396="なし"),"―",IF(CH396="N","対象外",IF(AND(I396="",J396="",K396=""),"標報未入力",IF(CD396&gt;=設定!$B$4,"要確認","問題なし"))))</f>
        <v>―</v>
      </c>
      <c r="E396" s="24" t="str">
        <f aca="false">IF(OR(G396="",G396="なし",CE396="",CF396=0),"―",IF(CF396=CE396,"前月同額",IF(CE396=0,"―",IF(ABS(CF396/CE396-1)&gt;=設定!$B$5,"変動大 "&amp;TEXT(CF396/CE396-1,"+0%;-0%"),"〇"))))</f>
        <v>―</v>
      </c>
      <c r="F396" s="10" t="str">
        <f aca="false">IF(OR(G396="",G396="なし"),"―",IF(CF396=0,"入金不要",IF(COUNT(Z396,AB396,AD396,AF396)=0,IF(AG396="○","手動確認","未入金"),IF(AND(N(Z396)=Y396,IF(AA396="",TRUE(),N(AB396)=AA396),IF(AC396="",TRUE(),N(AD396)=AC396),IF(AE396="",TRUE(),N(AF396)=AE396)),"一致","不一致"))))</f>
        <v>―</v>
      </c>
      <c r="G396" s="25"/>
      <c r="H396" s="26"/>
      <c r="I396" s="27"/>
      <c r="J396" s="27"/>
      <c r="K396" s="27"/>
      <c r="L396" s="27"/>
      <c r="M396" s="27"/>
      <c r="N396" s="27"/>
      <c r="O396" s="27"/>
      <c r="P396" s="27"/>
      <c r="Q396" s="27"/>
      <c r="R396" s="27"/>
      <c r="S396" s="27"/>
      <c r="T396" s="27"/>
      <c r="U396" s="27"/>
      <c r="V396" s="27"/>
      <c r="W396" s="10" t="str">
        <f aca="false">IFERROR(INDEX(設定!$E$61:$E$106,MATCH(B396,設定!$B$61:$B$106,0)),"合算")</f>
        <v>合算</v>
      </c>
      <c r="X396" s="28"/>
      <c r="Y396" s="29" t="str">
        <f aca="false">IF(OR(G396="",G396="なし"),"",IF(W396="合算",CF396,IF(W396="掛金・負担金別",(AU396+AV396+AZ396+BB396+BD396),SUM(AU396:AY396))))</f>
        <v/>
      </c>
      <c r="Z396" s="27"/>
      <c r="AA396" s="29" t="str">
        <f aca="false">IF(OR(G396="",G396="なし"),"",IF(W396="掛金・負担金別",(AW396+AX396+AY396+BA396+BC396+BE396),IF(W396="経理区分別",AZ396+BA396,"")))</f>
        <v/>
      </c>
      <c r="AB396" s="27"/>
      <c r="AC396" s="29" t="str">
        <f aca="false">IF(OR(G396="",G396="なし"),"",IF(W396="経理区分別",BB396+BC396,""))</f>
        <v/>
      </c>
      <c r="AD396" s="27"/>
      <c r="AE396" s="29" t="str">
        <f aca="false">IF(OR(G396="",G396="なし"),"",IF(W396="経理区分別",BD396+BE396,""))</f>
        <v/>
      </c>
      <c r="AF396" s="27"/>
      <c r="AG396" s="26"/>
      <c r="AH396" s="26"/>
      <c r="AI396" s="30"/>
      <c r="AJ396" s="31" t="n">
        <v>40260</v>
      </c>
      <c r="AK396" s="31" t="n">
        <v>3300</v>
      </c>
      <c r="AL396" s="31" t="n">
        <v>40260</v>
      </c>
      <c r="AM396" s="31" t="n">
        <v>3300</v>
      </c>
      <c r="AN396" s="31" t="n">
        <v>41</v>
      </c>
      <c r="AO396" s="31" t="n">
        <v>24204</v>
      </c>
      <c r="AP396" s="31" t="n">
        <v>24248</v>
      </c>
      <c r="AQ396" s="31" t="n">
        <v>0</v>
      </c>
      <c r="AR396" s="31" t="n">
        <v>0</v>
      </c>
      <c r="AS396" s="31" t="n">
        <v>1</v>
      </c>
      <c r="AT396" s="31" t="n">
        <v>1</v>
      </c>
      <c r="AU396" s="31" t="n">
        <f aca="false">IF($G396="",AJ396,L396)</f>
        <v>40260</v>
      </c>
      <c r="AV396" s="31" t="n">
        <f aca="false">IF($G396="",AK396,M396)</f>
        <v>3300</v>
      </c>
      <c r="AW396" s="31" t="n">
        <f aca="false">IF($G396="",AL396,N396)</f>
        <v>40260</v>
      </c>
      <c r="AX396" s="31" t="n">
        <f aca="false">IF($G396="",AM396,O396)</f>
        <v>3300</v>
      </c>
      <c r="AY396" s="31" t="n">
        <f aca="false">IF($G396="",AN396,P396)</f>
        <v>41</v>
      </c>
      <c r="AZ396" s="31" t="n">
        <f aca="false">IF($G396="",AO396,Q396)</f>
        <v>24204</v>
      </c>
      <c r="BA396" s="31" t="n">
        <f aca="false">IF($G396="",AP396,R396)</f>
        <v>24248</v>
      </c>
      <c r="BB396" s="31" t="n">
        <f aca="false">IF($G396="",AQ396,S396)</f>
        <v>0</v>
      </c>
      <c r="BC396" s="31" t="n">
        <f aca="false">IF($G396="",AR396,T396)</f>
        <v>0</v>
      </c>
      <c r="BD396" s="31" t="n">
        <f aca="false">IF($G396="",AS396,U396)</f>
        <v>1</v>
      </c>
      <c r="BE396" s="31" t="n">
        <f aca="false">IF($G396="",AT396,V396)</f>
        <v>1</v>
      </c>
      <c r="BF396" s="31" t="n">
        <f aca="false">ROUNDDOWN(I396*設定!$B$10/1000,0)+ROUNDDOWN(I396*設定!$B$11/1000,0)</f>
        <v>0</v>
      </c>
      <c r="BG396" s="31" t="n">
        <f aca="false">ROUNDDOWN(I396*設定!$C$10/1000,0)+ROUNDDOWN(I396*設定!$C$11/1000,0)+ROUNDDOWN(I396*設定!$C$12/1000,0)</f>
        <v>0</v>
      </c>
      <c r="BH396" s="31" t="n">
        <f aca="false">ROUNDDOWN(J396*設定!$B$13/1000,0)</f>
        <v>0</v>
      </c>
      <c r="BI396" s="31" t="n">
        <f aca="false">ROUNDDOWN(J396*設定!$C$13/1000,0)</f>
        <v>0</v>
      </c>
      <c r="BJ396" s="31" t="n">
        <f aca="false">ROUNDDOWN(K396*設定!$B$14/1000,0)</f>
        <v>0</v>
      </c>
      <c r="BK396" s="31" t="n">
        <f aca="false">ROUNDDOWN(K396*設定!$C$14/1000,0)</f>
        <v>0</v>
      </c>
      <c r="BL396" s="31" t="n">
        <f aca="false">ROUNDDOWN(J396*設定!$B$15/1000,0)</f>
        <v>0</v>
      </c>
      <c r="BM396" s="31" t="n">
        <f aca="false">ROUNDDOWN(J396*設定!$C$15/1000,0)</f>
        <v>0</v>
      </c>
      <c r="BN396" s="31" t="n">
        <f aca="false">L396+M396</f>
        <v>0</v>
      </c>
      <c r="BO396" s="31" t="n">
        <f aca="false">N396+O396+P396</f>
        <v>0</v>
      </c>
      <c r="BP396" s="31" t="n">
        <f aca="false">Q396</f>
        <v>0</v>
      </c>
      <c r="BQ396" s="31" t="n">
        <f aca="false">R396</f>
        <v>0</v>
      </c>
      <c r="BR396" s="31" t="n">
        <f aca="false">S396</f>
        <v>0</v>
      </c>
      <c r="BS396" s="31" t="n">
        <f aca="false">T396</f>
        <v>0</v>
      </c>
      <c r="BT396" s="31" t="n">
        <f aca="false">U396</f>
        <v>0</v>
      </c>
      <c r="BU396" s="31" t="n">
        <f aca="false">V396</f>
        <v>0</v>
      </c>
      <c r="BV396" s="32" t="n">
        <f aca="false">IF(BF396=0,IF(BN396=0,0,1),(BN396-BF396)/BF396)</f>
        <v>0</v>
      </c>
      <c r="BW396" s="32" t="n">
        <f aca="false">IF(BG396=0,IF(BO396=0,0,1),(BO396-BG396)/BG396)</f>
        <v>0</v>
      </c>
      <c r="BX396" s="32" t="n">
        <f aca="false">IF(BH396=0,IF(BP396=0,0,1),(BP396-BH396)/BH396)</f>
        <v>0</v>
      </c>
      <c r="BY396" s="32" t="n">
        <f aca="false">IF(BI396=0,IF(BQ396=0,0,1),(BQ396-BI396)/BI396)</f>
        <v>0</v>
      </c>
      <c r="BZ396" s="32" t="n">
        <f aca="false">IF(BJ396=0,IF(BR396=0,0,1),(BR396-BJ396)/BJ396)</f>
        <v>0</v>
      </c>
      <c r="CA396" s="32" t="n">
        <f aca="false">IF(BK396=0,IF(BS396=0,0,1),(BS396-BK396)/BK396)</f>
        <v>0</v>
      </c>
      <c r="CB396" s="32" t="n">
        <f aca="false">IF(BL396=0,IF(BT396=0,0,1),(BT396-BL396)/BL396)</f>
        <v>0</v>
      </c>
      <c r="CC396" s="32" t="n">
        <f aca="false">IF(BM396=0,IF(BU396=0,0,1),(BU396-BM396)/BM396)</f>
        <v>0</v>
      </c>
      <c r="CD396" s="32" t="n">
        <f aca="false">MAX(MAX(BV396:CC396),-MIN(BV396:CC396))</f>
        <v>-0</v>
      </c>
      <c r="CE396" s="31" t="n">
        <f aca="false">IF(CI396="","",SUMIFS($CF$7:$CF$696,$A$7:$A$696,CI396,$B$7:$B$696,B396))</f>
        <v>142951</v>
      </c>
      <c r="CF396" s="31" t="n">
        <f aca="false">SUM(AU396:BE396)</f>
        <v>135615</v>
      </c>
      <c r="CG396" s="33" t="str">
        <f aca="false">A396&amp;"|"&amp;B396</f>
        <v>2026-11 月例|地方公務員災害補償基金本部</v>
      </c>
      <c r="CH396" s="34" t="str">
        <f aca="false">IFERROR(INDEX(設定!$D$61:$D$106,MATCH(B396,設定!$B$61:$B$106,0)),"Y")</f>
        <v>Y</v>
      </c>
      <c r="CI396" s="34" t="str">
        <f aca="false">IFERROR(INDEX(設定!$D$20:$D$34,MATCH(A396,設定!$A$20:$A$34,0))&amp;"","")</f>
        <v>2026-10 月例</v>
      </c>
    </row>
    <row r="397" customFormat="false" ht="15" hidden="true" customHeight="false" outlineLevel="0" collapsed="false">
      <c r="A397" s="22" t="s">
        <v>215</v>
      </c>
      <c r="B397" s="23" t="s">
        <v>183</v>
      </c>
      <c r="C397" s="10" t="str">
        <f aca="false">IF(G397="","未受領",IF(G397="なし","報告なし",IF(AH397="○","起票済",IF(OR(AG397="○",F397="一致",F397="入金不要"),"入金確認済","受領済"))))</f>
        <v>未受領</v>
      </c>
      <c r="D397" s="10" t="str">
        <f aca="false">IF(OR(G397="",G397="なし"),"―",IF(CH397="N","対象外",IF(AND(I397="",J397="",K397=""),"標報未入力",IF(CD397&gt;=設定!$B$4,"要確認","問題なし"))))</f>
        <v>―</v>
      </c>
      <c r="E397" s="24" t="str">
        <f aca="false">IF(OR(G397="",G397="なし",CE397="",CF397=0),"―",IF(CF397=CE397,"前月同額",IF(CE397=0,"―",IF(ABS(CF397/CE397-1)&gt;=設定!$B$5,"変動大 "&amp;TEXT(CF397/CE397-1,"+0%;-0%"),"〇"))))</f>
        <v>―</v>
      </c>
      <c r="F397" s="10" t="str">
        <f aca="false">IF(OR(G397="",G397="なし"),"―",IF(CF397=0,"入金不要",IF(COUNT(Z397,AB397,AD397,AF397)=0,IF(AG397="○","手動確認","未入金"),IF(AND(N(Z397)=Y397,IF(AA397="",TRUE(),N(AB397)=AA397),IF(AC397="",TRUE(),N(AD397)=AC397),IF(AE397="",TRUE(),N(AF397)=AE397)),"一致","不一致"))))</f>
        <v>―</v>
      </c>
      <c r="G397" s="25"/>
      <c r="H397" s="26"/>
      <c r="I397" s="27"/>
      <c r="J397" s="27"/>
      <c r="K397" s="27"/>
      <c r="L397" s="27"/>
      <c r="M397" s="27"/>
      <c r="N397" s="27"/>
      <c r="O397" s="27"/>
      <c r="P397" s="27"/>
      <c r="Q397" s="27"/>
      <c r="R397" s="27"/>
      <c r="S397" s="27"/>
      <c r="T397" s="27"/>
      <c r="U397" s="27"/>
      <c r="V397" s="27"/>
      <c r="W397" s="10" t="str">
        <f aca="false">IFERROR(INDEX(設定!$E$61:$E$106,MATCH(B397,設定!$B$61:$B$106,0)),"合算")</f>
        <v>合算</v>
      </c>
      <c r="X397" s="28"/>
      <c r="Y397" s="29" t="str">
        <f aca="false">IF(OR(G397="",G397="なし"),"",IF(W397="合算",CF397,IF(W397="掛金・負担金別",(AU397+AV397+AZ397+BB397+BD397),SUM(AU397:AY397))))</f>
        <v/>
      </c>
      <c r="Z397" s="27"/>
      <c r="AA397" s="29" t="str">
        <f aca="false">IF(OR(G397="",G397="なし"),"",IF(W397="掛金・負担金別",(AW397+AX397+AY397+BA397+BC397+BE397),IF(W397="経理区分別",AZ397+BA397,"")))</f>
        <v/>
      </c>
      <c r="AB397" s="27"/>
      <c r="AC397" s="29" t="str">
        <f aca="false">IF(OR(G397="",G397="なし"),"",IF(W397="経理区分別",BB397+BC397,""))</f>
        <v/>
      </c>
      <c r="AD397" s="27"/>
      <c r="AE397" s="29" t="str">
        <f aca="false">IF(OR(G397="",G397="なし"),"",IF(W397="経理区分別",BD397+BE397,""))</f>
        <v/>
      </c>
      <c r="AF397" s="27"/>
      <c r="AG397" s="26"/>
      <c r="AH397" s="26"/>
      <c r="AI397" s="30"/>
      <c r="AJ397" s="31" t="n">
        <v>102480</v>
      </c>
      <c r="AK397" s="31" t="n">
        <v>8400</v>
      </c>
      <c r="AL397" s="31" t="n">
        <v>102480</v>
      </c>
      <c r="AM397" s="31" t="n">
        <v>8400</v>
      </c>
      <c r="AN397" s="31" t="n">
        <v>105</v>
      </c>
      <c r="AO397" s="31" t="n">
        <v>61610</v>
      </c>
      <c r="AP397" s="31" t="n">
        <v>61723</v>
      </c>
      <c r="AQ397" s="31" t="n">
        <v>4661</v>
      </c>
      <c r="AR397" s="31" t="n">
        <v>4661</v>
      </c>
      <c r="AS397" s="31" t="n">
        <v>1</v>
      </c>
      <c r="AT397" s="31" t="n">
        <v>1</v>
      </c>
      <c r="AU397" s="31" t="n">
        <f aca="false">IF($G397="",AJ397,L397)</f>
        <v>102480</v>
      </c>
      <c r="AV397" s="31" t="n">
        <f aca="false">IF($G397="",AK397,M397)</f>
        <v>8400</v>
      </c>
      <c r="AW397" s="31" t="n">
        <f aca="false">IF($G397="",AL397,N397)</f>
        <v>102480</v>
      </c>
      <c r="AX397" s="31" t="n">
        <f aca="false">IF($G397="",AM397,O397)</f>
        <v>8400</v>
      </c>
      <c r="AY397" s="31" t="n">
        <f aca="false">IF($G397="",AN397,P397)</f>
        <v>105</v>
      </c>
      <c r="AZ397" s="31" t="n">
        <f aca="false">IF($G397="",AO397,Q397)</f>
        <v>61610</v>
      </c>
      <c r="BA397" s="31" t="n">
        <f aca="false">IF($G397="",AP397,R397)</f>
        <v>61723</v>
      </c>
      <c r="BB397" s="31" t="n">
        <f aca="false">IF($G397="",AQ397,S397)</f>
        <v>4661</v>
      </c>
      <c r="BC397" s="31" t="n">
        <f aca="false">IF($G397="",AR397,T397)</f>
        <v>4661</v>
      </c>
      <c r="BD397" s="31" t="n">
        <f aca="false">IF($G397="",AS397,U397)</f>
        <v>1</v>
      </c>
      <c r="BE397" s="31" t="n">
        <f aca="false">IF($G397="",AT397,V397)</f>
        <v>1</v>
      </c>
      <c r="BF397" s="31" t="n">
        <f aca="false">ROUNDDOWN(I397*設定!$B$10/1000,0)+ROUNDDOWN(I397*設定!$B$11/1000,0)</f>
        <v>0</v>
      </c>
      <c r="BG397" s="31" t="n">
        <f aca="false">ROUNDDOWN(I397*設定!$C$10/1000,0)+ROUNDDOWN(I397*設定!$C$11/1000,0)+ROUNDDOWN(I397*設定!$C$12/1000,0)</f>
        <v>0</v>
      </c>
      <c r="BH397" s="31" t="n">
        <f aca="false">ROUNDDOWN(J397*設定!$B$13/1000,0)</f>
        <v>0</v>
      </c>
      <c r="BI397" s="31" t="n">
        <f aca="false">ROUNDDOWN(J397*設定!$C$13/1000,0)</f>
        <v>0</v>
      </c>
      <c r="BJ397" s="31" t="n">
        <f aca="false">ROUNDDOWN(K397*設定!$B$14/1000,0)</f>
        <v>0</v>
      </c>
      <c r="BK397" s="31" t="n">
        <f aca="false">ROUNDDOWN(K397*設定!$C$14/1000,0)</f>
        <v>0</v>
      </c>
      <c r="BL397" s="31" t="n">
        <f aca="false">ROUNDDOWN(J397*設定!$B$15/1000,0)</f>
        <v>0</v>
      </c>
      <c r="BM397" s="31" t="n">
        <f aca="false">ROUNDDOWN(J397*設定!$C$15/1000,0)</f>
        <v>0</v>
      </c>
      <c r="BN397" s="31" t="n">
        <f aca="false">L397+M397</f>
        <v>0</v>
      </c>
      <c r="BO397" s="31" t="n">
        <f aca="false">N397+O397+P397</f>
        <v>0</v>
      </c>
      <c r="BP397" s="31" t="n">
        <f aca="false">Q397</f>
        <v>0</v>
      </c>
      <c r="BQ397" s="31" t="n">
        <f aca="false">R397</f>
        <v>0</v>
      </c>
      <c r="BR397" s="31" t="n">
        <f aca="false">S397</f>
        <v>0</v>
      </c>
      <c r="BS397" s="31" t="n">
        <f aca="false">T397</f>
        <v>0</v>
      </c>
      <c r="BT397" s="31" t="n">
        <f aca="false">U397</f>
        <v>0</v>
      </c>
      <c r="BU397" s="31" t="n">
        <f aca="false">V397</f>
        <v>0</v>
      </c>
      <c r="BV397" s="32" t="n">
        <f aca="false">IF(BF397=0,IF(BN397=0,0,1),(BN397-BF397)/BF397)</f>
        <v>0</v>
      </c>
      <c r="BW397" s="32" t="n">
        <f aca="false">IF(BG397=0,IF(BO397=0,0,1),(BO397-BG397)/BG397)</f>
        <v>0</v>
      </c>
      <c r="BX397" s="32" t="n">
        <f aca="false">IF(BH397=0,IF(BP397=0,0,1),(BP397-BH397)/BH397)</f>
        <v>0</v>
      </c>
      <c r="BY397" s="32" t="n">
        <f aca="false">IF(BI397=0,IF(BQ397=0,0,1),(BQ397-BI397)/BI397)</f>
        <v>0</v>
      </c>
      <c r="BZ397" s="32" t="n">
        <f aca="false">IF(BJ397=0,IF(BR397=0,0,1),(BR397-BJ397)/BJ397)</f>
        <v>0</v>
      </c>
      <c r="CA397" s="32" t="n">
        <f aca="false">IF(BK397=0,IF(BS397=0,0,1),(BS397-BK397)/BK397)</f>
        <v>0</v>
      </c>
      <c r="CB397" s="32" t="n">
        <f aca="false">IF(BL397=0,IF(BT397=0,0,1),(BT397-BL397)/BL397)</f>
        <v>0</v>
      </c>
      <c r="CC397" s="32" t="n">
        <f aca="false">IF(BM397=0,IF(BU397=0,0,1),(BU397-BM397)/BM397)</f>
        <v>0</v>
      </c>
      <c r="CD397" s="32" t="n">
        <f aca="false">MAX(MAX(BV397:CC397),-MIN(BV397:CC397))</f>
        <v>-0</v>
      </c>
      <c r="CE397" s="31" t="n">
        <f aca="false">IF(CI397="","",SUMIFS($CF$7:$CF$696,$A$7:$A$696,CI397,$B$7:$B$696,B397))</f>
        <v>354522</v>
      </c>
      <c r="CF397" s="31" t="n">
        <f aca="false">SUM(AU397:BE397)</f>
        <v>354522</v>
      </c>
      <c r="CG397" s="33" t="str">
        <f aca="false">A397&amp;"|"&amp;B397</f>
        <v>2026-11 月例|救急振興財団</v>
      </c>
      <c r="CH397" s="34" t="str">
        <f aca="false">IFERROR(INDEX(設定!$D$61:$D$106,MATCH(B397,設定!$B$61:$B$106,0)),"Y")</f>
        <v>Y</v>
      </c>
      <c r="CI397" s="34" t="str">
        <f aca="false">IFERROR(INDEX(設定!$D$20:$D$34,MATCH(A397,設定!$A$20:$A$34,0))&amp;"","")</f>
        <v>2026-10 月例</v>
      </c>
    </row>
    <row r="398" customFormat="false" ht="15" hidden="true" customHeight="false" outlineLevel="0" collapsed="false">
      <c r="A398" s="22" t="s">
        <v>215</v>
      </c>
      <c r="B398" s="23" t="s">
        <v>184</v>
      </c>
      <c r="C398" s="10" t="str">
        <f aca="false">IF(G398="","未受領",IF(G398="なし","報告なし",IF(AH398="○","起票済",IF(OR(AG398="○",F398="一致",F398="入金不要"),"入金確認済","受領済"))))</f>
        <v>未受領</v>
      </c>
      <c r="D398" s="10" t="str">
        <f aca="false">IF(OR(G398="",G398="なし"),"―",IF(CH398="N","対象外",IF(AND(I398="",J398="",K398=""),"標報未入力",IF(CD398&gt;=設定!$B$4,"要確認","問題なし"))))</f>
        <v>―</v>
      </c>
      <c r="E398" s="24" t="str">
        <f aca="false">IF(OR(G398="",G398="なし",CE398="",CF398=0),"―",IF(CF398=CE398,"前月同額",IF(CE398=0,"―",IF(ABS(CF398/CE398-1)&gt;=設定!$B$5,"変動大 "&amp;TEXT(CF398/CE398-1,"+0%;-0%"),"〇"))))</f>
        <v>―</v>
      </c>
      <c r="F398" s="10" t="str">
        <f aca="false">IF(OR(G398="",G398="なし"),"―",IF(CF398=0,"入金不要",IF(COUNT(Z398,AB398,AD398,AF398)=0,IF(AG398="○","手動確認","未入金"),IF(AND(N(Z398)=Y398,IF(AA398="",TRUE(),N(AB398)=AA398),IF(AC398="",TRUE(),N(AD398)=AC398),IF(AE398="",TRUE(),N(AF398)=AE398)),"一致","不一致"))))</f>
        <v>―</v>
      </c>
      <c r="G398" s="25"/>
      <c r="H398" s="26"/>
      <c r="I398" s="27"/>
      <c r="J398" s="27"/>
      <c r="K398" s="27"/>
      <c r="L398" s="27"/>
      <c r="M398" s="27"/>
      <c r="N398" s="27"/>
      <c r="O398" s="27"/>
      <c r="P398" s="27"/>
      <c r="Q398" s="27"/>
      <c r="R398" s="27"/>
      <c r="S398" s="27"/>
      <c r="T398" s="27"/>
      <c r="U398" s="27"/>
      <c r="V398" s="27"/>
      <c r="W398" s="10" t="str">
        <f aca="false">IFERROR(INDEX(設定!$E$61:$E$106,MATCH(B398,設定!$B$61:$B$106,0)),"合算")</f>
        <v>合算</v>
      </c>
      <c r="X398" s="28"/>
      <c r="Y398" s="29" t="str">
        <f aca="false">IF(OR(G398="",G398="なし"),"",IF(W398="合算",CF398,IF(W398="掛金・負担金別",(AU398+AV398+AZ398+BB398+BD398),SUM(AU398:AY398))))</f>
        <v/>
      </c>
      <c r="Z398" s="27"/>
      <c r="AA398" s="29" t="str">
        <f aca="false">IF(OR(G398="",G398="なし"),"",IF(W398="掛金・負担金別",(AW398+AX398+AY398+BA398+BC398+BE398),IF(W398="経理区分別",AZ398+BA398,"")))</f>
        <v/>
      </c>
      <c r="AB398" s="27"/>
      <c r="AC398" s="29" t="str">
        <f aca="false">IF(OR(G398="",G398="なし"),"",IF(W398="経理区分別",BB398+BC398,""))</f>
        <v/>
      </c>
      <c r="AD398" s="27"/>
      <c r="AE398" s="29" t="str">
        <f aca="false">IF(OR(G398="",G398="なし"),"",IF(W398="経理区分別",BD398+BE398,""))</f>
        <v/>
      </c>
      <c r="AF398" s="27"/>
      <c r="AG398" s="26"/>
      <c r="AH398" s="26"/>
      <c r="AI398" s="30"/>
      <c r="AJ398" s="31" t="n">
        <v>912255</v>
      </c>
      <c r="AK398" s="31" t="n">
        <v>74775</v>
      </c>
      <c r="AL398" s="31" t="n">
        <v>912255</v>
      </c>
      <c r="AM398" s="31" t="n">
        <v>74775</v>
      </c>
      <c r="AN398" s="31" t="n">
        <v>936</v>
      </c>
      <c r="AO398" s="31" t="n">
        <v>548442</v>
      </c>
      <c r="AP398" s="31" t="n">
        <v>549446</v>
      </c>
      <c r="AQ398" s="31" t="n">
        <v>50086</v>
      </c>
      <c r="AR398" s="31" t="n">
        <v>50086</v>
      </c>
      <c r="AS398" s="31" t="n">
        <v>1</v>
      </c>
      <c r="AT398" s="31" t="n">
        <v>1</v>
      </c>
      <c r="AU398" s="31" t="n">
        <f aca="false">IF($G398="",AJ398,L398)</f>
        <v>912255</v>
      </c>
      <c r="AV398" s="31" t="n">
        <f aca="false">IF($G398="",AK398,M398)</f>
        <v>74775</v>
      </c>
      <c r="AW398" s="31" t="n">
        <f aca="false">IF($G398="",AL398,N398)</f>
        <v>912255</v>
      </c>
      <c r="AX398" s="31" t="n">
        <f aca="false">IF($G398="",AM398,O398)</f>
        <v>74775</v>
      </c>
      <c r="AY398" s="31" t="n">
        <f aca="false">IF($G398="",AN398,P398)</f>
        <v>936</v>
      </c>
      <c r="AZ398" s="31" t="n">
        <f aca="false">IF($G398="",AO398,Q398)</f>
        <v>548442</v>
      </c>
      <c r="BA398" s="31" t="n">
        <f aca="false">IF($G398="",AP398,R398)</f>
        <v>549446</v>
      </c>
      <c r="BB398" s="31" t="n">
        <f aca="false">IF($G398="",AQ398,S398)</f>
        <v>50086</v>
      </c>
      <c r="BC398" s="31" t="n">
        <f aca="false">IF($G398="",AR398,T398)</f>
        <v>50086</v>
      </c>
      <c r="BD398" s="31" t="n">
        <f aca="false">IF($G398="",AS398,U398)</f>
        <v>1</v>
      </c>
      <c r="BE398" s="31" t="n">
        <f aca="false">IF($G398="",AT398,V398)</f>
        <v>1</v>
      </c>
      <c r="BF398" s="31" t="n">
        <f aca="false">ROUNDDOWN(I398*設定!$B$10/1000,0)+ROUNDDOWN(I398*設定!$B$11/1000,0)</f>
        <v>0</v>
      </c>
      <c r="BG398" s="31" t="n">
        <f aca="false">ROUNDDOWN(I398*設定!$C$10/1000,0)+ROUNDDOWN(I398*設定!$C$11/1000,0)+ROUNDDOWN(I398*設定!$C$12/1000,0)</f>
        <v>0</v>
      </c>
      <c r="BH398" s="31" t="n">
        <f aca="false">ROUNDDOWN(J398*設定!$B$13/1000,0)</f>
        <v>0</v>
      </c>
      <c r="BI398" s="31" t="n">
        <f aca="false">ROUNDDOWN(J398*設定!$C$13/1000,0)</f>
        <v>0</v>
      </c>
      <c r="BJ398" s="31" t="n">
        <f aca="false">ROUNDDOWN(K398*設定!$B$14/1000,0)</f>
        <v>0</v>
      </c>
      <c r="BK398" s="31" t="n">
        <f aca="false">ROUNDDOWN(K398*設定!$C$14/1000,0)</f>
        <v>0</v>
      </c>
      <c r="BL398" s="31" t="n">
        <f aca="false">ROUNDDOWN(J398*設定!$B$15/1000,0)</f>
        <v>0</v>
      </c>
      <c r="BM398" s="31" t="n">
        <f aca="false">ROUNDDOWN(J398*設定!$C$15/1000,0)</f>
        <v>0</v>
      </c>
      <c r="BN398" s="31" t="n">
        <f aca="false">L398+M398</f>
        <v>0</v>
      </c>
      <c r="BO398" s="31" t="n">
        <f aca="false">N398+O398+P398</f>
        <v>0</v>
      </c>
      <c r="BP398" s="31" t="n">
        <f aca="false">Q398</f>
        <v>0</v>
      </c>
      <c r="BQ398" s="31" t="n">
        <f aca="false">R398</f>
        <v>0</v>
      </c>
      <c r="BR398" s="31" t="n">
        <f aca="false">S398</f>
        <v>0</v>
      </c>
      <c r="BS398" s="31" t="n">
        <f aca="false">T398</f>
        <v>0</v>
      </c>
      <c r="BT398" s="31" t="n">
        <f aca="false">U398</f>
        <v>0</v>
      </c>
      <c r="BU398" s="31" t="n">
        <f aca="false">V398</f>
        <v>0</v>
      </c>
      <c r="BV398" s="32" t="n">
        <f aca="false">IF(BF398=0,IF(BN398=0,0,1),(BN398-BF398)/BF398)</f>
        <v>0</v>
      </c>
      <c r="BW398" s="32" t="n">
        <f aca="false">IF(BG398=0,IF(BO398=0,0,1),(BO398-BG398)/BG398)</f>
        <v>0</v>
      </c>
      <c r="BX398" s="32" t="n">
        <f aca="false">IF(BH398=0,IF(BP398=0,0,1),(BP398-BH398)/BH398)</f>
        <v>0</v>
      </c>
      <c r="BY398" s="32" t="n">
        <f aca="false">IF(BI398=0,IF(BQ398=0,0,1),(BQ398-BI398)/BI398)</f>
        <v>0</v>
      </c>
      <c r="BZ398" s="32" t="n">
        <f aca="false">IF(BJ398=0,IF(BR398=0,0,1),(BR398-BJ398)/BJ398)</f>
        <v>0</v>
      </c>
      <c r="CA398" s="32" t="n">
        <f aca="false">IF(BK398=0,IF(BS398=0,0,1),(BS398-BK398)/BK398)</f>
        <v>0</v>
      </c>
      <c r="CB398" s="32" t="n">
        <f aca="false">IF(BL398=0,IF(BT398=0,0,1),(BT398-BL398)/BL398)</f>
        <v>0</v>
      </c>
      <c r="CC398" s="32" t="n">
        <f aca="false">IF(BM398=0,IF(BU398=0,0,1),(BU398-BM398)/BM398)</f>
        <v>0</v>
      </c>
      <c r="CD398" s="32" t="n">
        <f aca="false">MAX(MAX(BV398:CC398),-MIN(BV398:CC398))</f>
        <v>-0</v>
      </c>
      <c r="CE398" s="31" t="n">
        <f aca="false">IF(CI398="","",SUMIFS($CF$7:$CF$696,$A$7:$A$696,CI398,$B$7:$B$696,B398))</f>
        <v>3173058</v>
      </c>
      <c r="CF398" s="31" t="n">
        <f aca="false">SUM(AU398:BE398)</f>
        <v>3173058</v>
      </c>
      <c r="CG398" s="33" t="str">
        <f aca="false">A398&amp;"|"&amp;B398</f>
        <v>2026-11 月例|高速道路公社</v>
      </c>
      <c r="CH398" s="34" t="str">
        <f aca="false">IFERROR(INDEX(設定!$D$61:$D$106,MATCH(B398,設定!$B$61:$B$106,0)),"Y")</f>
        <v>Y</v>
      </c>
      <c r="CI398" s="34" t="str">
        <f aca="false">IFERROR(INDEX(設定!$D$20:$D$34,MATCH(A398,設定!$A$20:$A$34,0))&amp;"","")</f>
        <v>2026-10 月例</v>
      </c>
    </row>
    <row r="399" customFormat="false" ht="15" hidden="true" customHeight="false" outlineLevel="0" collapsed="false">
      <c r="A399" s="22" t="s">
        <v>215</v>
      </c>
      <c r="B399" s="23" t="s">
        <v>185</v>
      </c>
      <c r="C399" s="10" t="str">
        <f aca="false">IF(G399="","未受領",IF(G399="なし","報告なし",IF(AH399="○","起票済",IF(OR(AG399="○",F399="一致",F399="入金不要"),"入金確認済","受領済"))))</f>
        <v>未受領</v>
      </c>
      <c r="D399" s="10" t="str">
        <f aca="false">IF(OR(G399="",G399="なし"),"―",IF(CH399="N","対象外",IF(AND(I399="",J399="",K399=""),"標報未入力",IF(CD399&gt;=設定!$B$4,"要確認","問題なし"))))</f>
        <v>―</v>
      </c>
      <c r="E399" s="24" t="str">
        <f aca="false">IF(OR(G399="",G399="なし",CE399="",CF399=0),"―",IF(CF399=CE399,"前月同額",IF(CE399=0,"―",IF(ABS(CF399/CE399-1)&gt;=設定!$B$5,"変動大 "&amp;TEXT(CF399/CE399-1,"+0%;-0%"),"〇"))))</f>
        <v>―</v>
      </c>
      <c r="F399" s="10" t="str">
        <f aca="false">IF(OR(G399="",G399="なし"),"―",IF(CF399=0,"入金不要",IF(COUNT(Z399,AB399,AD399,AF399)=0,IF(AG399="○","手動確認","未入金"),IF(AND(N(Z399)=Y399,IF(AA399="",TRUE(),N(AB399)=AA399),IF(AC399="",TRUE(),N(AD399)=AC399),IF(AE399="",TRUE(),N(AF399)=AE399)),"一致","不一致"))))</f>
        <v>―</v>
      </c>
      <c r="G399" s="25"/>
      <c r="H399" s="26"/>
      <c r="I399" s="27"/>
      <c r="J399" s="27"/>
      <c r="K399" s="27"/>
      <c r="L399" s="27"/>
      <c r="M399" s="27"/>
      <c r="N399" s="27"/>
      <c r="O399" s="27"/>
      <c r="P399" s="27"/>
      <c r="Q399" s="27"/>
      <c r="R399" s="27"/>
      <c r="S399" s="27"/>
      <c r="T399" s="27"/>
      <c r="U399" s="27"/>
      <c r="V399" s="27"/>
      <c r="W399" s="10" t="str">
        <f aca="false">IFERROR(INDEX(設定!$E$61:$E$106,MATCH(B399,設定!$B$61:$B$106,0)),"合算")</f>
        <v>合算</v>
      </c>
      <c r="X399" s="28"/>
      <c r="Y399" s="29" t="str">
        <f aca="false">IF(OR(G399="",G399="なし"),"",IF(W399="合算",CF399,IF(W399="掛金・負担金別",(AU399+AV399+AZ399+BB399+BD399),SUM(AU399:AY399))))</f>
        <v/>
      </c>
      <c r="Z399" s="27"/>
      <c r="AA399" s="29" t="str">
        <f aca="false">IF(OR(G399="",G399="なし"),"",IF(W399="掛金・負担金別",(AW399+AX399+AY399+BA399+BC399+BE399),IF(W399="経理区分別",AZ399+BA399,"")))</f>
        <v/>
      </c>
      <c r="AB399" s="27"/>
      <c r="AC399" s="29" t="str">
        <f aca="false">IF(OR(G399="",G399="なし"),"",IF(W399="経理区分別",BB399+BC399,""))</f>
        <v/>
      </c>
      <c r="AD399" s="27"/>
      <c r="AE399" s="29" t="str">
        <f aca="false">IF(OR(G399="",G399="なし"),"",IF(W399="経理区分別",BD399+BE399,""))</f>
        <v/>
      </c>
      <c r="AF399" s="27"/>
      <c r="AG399" s="26"/>
      <c r="AH399" s="26"/>
      <c r="AI399" s="30"/>
      <c r="AJ399" s="31"/>
      <c r="AK399" s="31"/>
      <c r="AL399" s="31" t="n">
        <v>571875</v>
      </c>
      <c r="AM399" s="31" t="n">
        <v>46875</v>
      </c>
      <c r="AN399" s="31" t="n">
        <v>613</v>
      </c>
      <c r="AO399" s="31"/>
      <c r="AP399" s="31" t="n">
        <v>344467</v>
      </c>
      <c r="AQ399" s="31"/>
      <c r="AR399" s="31" t="n">
        <v>27255</v>
      </c>
      <c r="AS399" s="31"/>
      <c r="AT399" s="31" t="n">
        <v>1</v>
      </c>
      <c r="AU399" s="31" t="n">
        <f aca="false">IF($G399="",AJ399,L399)</f>
        <v>0</v>
      </c>
      <c r="AV399" s="31" t="n">
        <f aca="false">IF($G399="",AK399,M399)</f>
        <v>0</v>
      </c>
      <c r="AW399" s="31" t="n">
        <f aca="false">IF($G399="",AL399,N399)</f>
        <v>571875</v>
      </c>
      <c r="AX399" s="31" t="n">
        <f aca="false">IF($G399="",AM399,O399)</f>
        <v>46875</v>
      </c>
      <c r="AY399" s="31" t="n">
        <f aca="false">IF($G399="",AN399,P399)</f>
        <v>613</v>
      </c>
      <c r="AZ399" s="31" t="n">
        <f aca="false">IF($G399="",AO399,Q399)</f>
        <v>0</v>
      </c>
      <c r="BA399" s="31" t="n">
        <f aca="false">IF($G399="",AP399,R399)</f>
        <v>344467</v>
      </c>
      <c r="BB399" s="31" t="n">
        <f aca="false">IF($G399="",AQ399,S399)</f>
        <v>0</v>
      </c>
      <c r="BC399" s="31" t="n">
        <f aca="false">IF($G399="",AR399,T399)</f>
        <v>27255</v>
      </c>
      <c r="BD399" s="31" t="n">
        <f aca="false">IF($G399="",AS399,U399)</f>
        <v>0</v>
      </c>
      <c r="BE399" s="31" t="n">
        <f aca="false">IF($G399="",AT399,V399)</f>
        <v>1</v>
      </c>
      <c r="BF399" s="31" t="n">
        <f aca="false">ROUNDDOWN(I399*設定!$B$10/1000,0)+ROUNDDOWN(I399*設定!$B$11/1000,0)</f>
        <v>0</v>
      </c>
      <c r="BG399" s="31" t="n">
        <f aca="false">ROUNDDOWN(I399*設定!$C$10/1000,0)+ROUNDDOWN(I399*設定!$C$11/1000,0)+ROUNDDOWN(I399*設定!$C$12/1000,0)</f>
        <v>0</v>
      </c>
      <c r="BH399" s="31" t="n">
        <f aca="false">ROUNDDOWN(J399*設定!$B$13/1000,0)</f>
        <v>0</v>
      </c>
      <c r="BI399" s="31" t="n">
        <f aca="false">ROUNDDOWN(J399*設定!$C$13/1000,0)</f>
        <v>0</v>
      </c>
      <c r="BJ399" s="31" t="n">
        <f aca="false">ROUNDDOWN(K399*設定!$B$14/1000,0)</f>
        <v>0</v>
      </c>
      <c r="BK399" s="31" t="n">
        <f aca="false">ROUNDDOWN(K399*設定!$C$14/1000,0)</f>
        <v>0</v>
      </c>
      <c r="BL399" s="31" t="n">
        <f aca="false">ROUNDDOWN(J399*設定!$B$15/1000,0)</f>
        <v>0</v>
      </c>
      <c r="BM399" s="31" t="n">
        <f aca="false">ROUNDDOWN(J399*設定!$C$15/1000,0)</f>
        <v>0</v>
      </c>
      <c r="BN399" s="31" t="n">
        <f aca="false">L399+M399</f>
        <v>0</v>
      </c>
      <c r="BO399" s="31" t="n">
        <f aca="false">N399+O399+P399</f>
        <v>0</v>
      </c>
      <c r="BP399" s="31" t="n">
        <f aca="false">Q399</f>
        <v>0</v>
      </c>
      <c r="BQ399" s="31" t="n">
        <f aca="false">R399</f>
        <v>0</v>
      </c>
      <c r="BR399" s="31" t="n">
        <f aca="false">S399</f>
        <v>0</v>
      </c>
      <c r="BS399" s="31" t="n">
        <f aca="false">T399</f>
        <v>0</v>
      </c>
      <c r="BT399" s="31" t="n">
        <f aca="false">U399</f>
        <v>0</v>
      </c>
      <c r="BU399" s="31" t="n">
        <f aca="false">V399</f>
        <v>0</v>
      </c>
      <c r="BV399" s="32" t="n">
        <f aca="false">IF(BF399=0,IF(BN399=0,0,1),(BN399-BF399)/BF399)</f>
        <v>0</v>
      </c>
      <c r="BW399" s="32" t="n">
        <f aca="false">IF(BG399=0,IF(BO399=0,0,1),(BO399-BG399)/BG399)</f>
        <v>0</v>
      </c>
      <c r="BX399" s="32" t="n">
        <f aca="false">IF(BH399=0,IF(BP399=0,0,1),(BP399-BH399)/BH399)</f>
        <v>0</v>
      </c>
      <c r="BY399" s="32" t="n">
        <f aca="false">IF(BI399=0,IF(BQ399=0,0,1),(BQ399-BI399)/BI399)</f>
        <v>0</v>
      </c>
      <c r="BZ399" s="32" t="n">
        <f aca="false">IF(BJ399=0,IF(BR399=0,0,1),(BR399-BJ399)/BJ399)</f>
        <v>0</v>
      </c>
      <c r="CA399" s="32" t="n">
        <f aca="false">IF(BK399=0,IF(BS399=0,0,1),(BS399-BK399)/BK399)</f>
        <v>0</v>
      </c>
      <c r="CB399" s="32" t="n">
        <f aca="false">IF(BL399=0,IF(BT399=0,0,1),(BT399-BL399)/BL399)</f>
        <v>0</v>
      </c>
      <c r="CC399" s="32" t="n">
        <f aca="false">IF(BM399=0,IF(BU399=0,0,1),(BU399-BM399)/BM399)</f>
        <v>0</v>
      </c>
      <c r="CD399" s="32" t="n">
        <f aca="false">MAX(MAX(BV399:CC399),-MIN(BV399:CC399))</f>
        <v>-0</v>
      </c>
      <c r="CE399" s="31" t="n">
        <f aca="false">IF(CI399="","",SUMIFS($CF$7:$CF$696,$A$7:$A$696,CI399,$B$7:$B$696,B399))</f>
        <v>1040369</v>
      </c>
      <c r="CF399" s="31" t="n">
        <f aca="false">SUM(AU399:BE399)</f>
        <v>991086</v>
      </c>
      <c r="CG399" s="33" t="str">
        <f aca="false">A399&amp;"|"&amp;B399</f>
        <v>2026-11 月例|農林水産振興センタ</v>
      </c>
      <c r="CH399" s="34" t="str">
        <f aca="false">IFERROR(INDEX(設定!$D$61:$D$106,MATCH(B399,設定!$B$61:$B$106,0)),"Y")</f>
        <v>Y</v>
      </c>
      <c r="CI399" s="34" t="str">
        <f aca="false">IFERROR(INDEX(設定!$D$20:$D$34,MATCH(A399,設定!$A$20:$A$34,0))&amp;"","")</f>
        <v>2026-10 月例</v>
      </c>
    </row>
    <row r="400" customFormat="false" ht="15" hidden="true" customHeight="false" outlineLevel="0" collapsed="false">
      <c r="A400" s="22" t="s">
        <v>215</v>
      </c>
      <c r="B400" s="23" t="s">
        <v>186</v>
      </c>
      <c r="C400" s="10" t="str">
        <f aca="false">IF(G400="","未受領",IF(G400="なし","報告なし",IF(AH400="○","起票済",IF(OR(AG400="○",F400="一致",F400="入金不要"),"入金確認済","受領済"))))</f>
        <v>未受領</v>
      </c>
      <c r="D400" s="10" t="str">
        <f aca="false">IF(OR(G400="",G400="なし"),"―",IF(CH400="N","対象外",IF(AND(I400="",J400="",K400=""),"標報未入力",IF(CD400&gt;=設定!$B$4,"要確認","問題なし"))))</f>
        <v>―</v>
      </c>
      <c r="E400" s="24" t="str">
        <f aca="false">IF(OR(G400="",G400="なし",CE400="",CF400=0),"―",IF(CF400=CE400,"前月同額",IF(CE400=0,"―",IF(ABS(CF400/CE400-1)&gt;=設定!$B$5,"変動大 "&amp;TEXT(CF400/CE400-1,"+0%;-0%"),"〇"))))</f>
        <v>―</v>
      </c>
      <c r="F400" s="10" t="str">
        <f aca="false">IF(OR(G400="",G400="なし"),"―",IF(CF400=0,"入金不要",IF(COUNT(Z400,AB400,AD400,AF400)=0,IF(AG400="○","手動確認","未入金"),IF(AND(N(Z400)=Y400,IF(AA400="",TRUE(),N(AB400)=AA400),IF(AC400="",TRUE(),N(AD400)=AC400),IF(AE400="",TRUE(),N(AF400)=AE400)),"一致","不一致"))))</f>
        <v>―</v>
      </c>
      <c r="G400" s="25"/>
      <c r="H400" s="26"/>
      <c r="I400" s="27"/>
      <c r="J400" s="27"/>
      <c r="K400" s="27"/>
      <c r="L400" s="27"/>
      <c r="M400" s="27"/>
      <c r="N400" s="27"/>
      <c r="O400" s="27"/>
      <c r="P400" s="27"/>
      <c r="Q400" s="27"/>
      <c r="R400" s="27"/>
      <c r="S400" s="27"/>
      <c r="T400" s="27"/>
      <c r="U400" s="27"/>
      <c r="V400" s="27"/>
      <c r="W400" s="10" t="str">
        <f aca="false">IFERROR(INDEX(設定!$E$61:$E$106,MATCH(B400,設定!$B$61:$B$106,0)),"合算")</f>
        <v>合算</v>
      </c>
      <c r="X400" s="28"/>
      <c r="Y400" s="29" t="str">
        <f aca="false">IF(OR(G400="",G400="なし"),"",IF(W400="合算",CF400,IF(W400="掛金・負担金別",(AU400+AV400+AZ400+BB400+BD400),SUM(AU400:AY400))))</f>
        <v/>
      </c>
      <c r="Z400" s="27"/>
      <c r="AA400" s="29" t="str">
        <f aca="false">IF(OR(G400="",G400="なし"),"",IF(W400="掛金・負担金別",(AW400+AX400+AY400+BA400+BC400+BE400),IF(W400="経理区分別",AZ400+BA400,"")))</f>
        <v/>
      </c>
      <c r="AB400" s="27"/>
      <c r="AC400" s="29" t="str">
        <f aca="false">IF(OR(G400="",G400="なし"),"",IF(W400="経理区分別",BB400+BC400,""))</f>
        <v/>
      </c>
      <c r="AD400" s="27"/>
      <c r="AE400" s="29" t="str">
        <f aca="false">IF(OR(G400="",G400="なし"),"",IF(W400="経理区分別",BD400+BE400,""))</f>
        <v/>
      </c>
      <c r="AF400" s="27"/>
      <c r="AG400" s="26"/>
      <c r="AH400" s="26"/>
      <c r="AI400" s="30"/>
      <c r="AJ400" s="31"/>
      <c r="AK400" s="31"/>
      <c r="AL400" s="31" t="n">
        <v>1160220</v>
      </c>
      <c r="AM400" s="31" t="n">
        <v>95100</v>
      </c>
      <c r="AN400" s="31" t="n">
        <v>1185</v>
      </c>
      <c r="AO400" s="31"/>
      <c r="AP400" s="31" t="n">
        <v>698790</v>
      </c>
      <c r="AQ400" s="31"/>
      <c r="AR400" s="31" t="n">
        <v>94721</v>
      </c>
      <c r="AS400" s="31"/>
      <c r="AT400" s="31" t="n">
        <v>1</v>
      </c>
      <c r="AU400" s="31" t="n">
        <f aca="false">IF($G400="",AJ400,L400)</f>
        <v>0</v>
      </c>
      <c r="AV400" s="31" t="n">
        <f aca="false">IF($G400="",AK400,M400)</f>
        <v>0</v>
      </c>
      <c r="AW400" s="31" t="n">
        <f aca="false">IF($G400="",AL400,N400)</f>
        <v>1160220</v>
      </c>
      <c r="AX400" s="31" t="n">
        <f aca="false">IF($G400="",AM400,O400)</f>
        <v>95100</v>
      </c>
      <c r="AY400" s="31" t="n">
        <f aca="false">IF($G400="",AN400,P400)</f>
        <v>1185</v>
      </c>
      <c r="AZ400" s="31" t="n">
        <f aca="false">IF($G400="",AO400,Q400)</f>
        <v>0</v>
      </c>
      <c r="BA400" s="31" t="n">
        <f aca="false">IF($G400="",AP400,R400)</f>
        <v>698790</v>
      </c>
      <c r="BB400" s="31" t="n">
        <f aca="false">IF($G400="",AQ400,S400)</f>
        <v>0</v>
      </c>
      <c r="BC400" s="31" t="n">
        <f aca="false">IF($G400="",AR400,T400)</f>
        <v>94721</v>
      </c>
      <c r="BD400" s="31" t="n">
        <f aca="false">IF($G400="",AS400,U400)</f>
        <v>0</v>
      </c>
      <c r="BE400" s="31" t="n">
        <f aca="false">IF($G400="",AT400,V400)</f>
        <v>1</v>
      </c>
      <c r="BF400" s="31" t="n">
        <f aca="false">ROUNDDOWN(I400*設定!$B$10/1000,0)+ROUNDDOWN(I400*設定!$B$11/1000,0)</f>
        <v>0</v>
      </c>
      <c r="BG400" s="31" t="n">
        <f aca="false">ROUNDDOWN(I400*設定!$C$10/1000,0)+ROUNDDOWN(I400*設定!$C$11/1000,0)+ROUNDDOWN(I400*設定!$C$12/1000,0)</f>
        <v>0</v>
      </c>
      <c r="BH400" s="31" t="n">
        <f aca="false">ROUNDDOWN(J400*設定!$B$13/1000,0)</f>
        <v>0</v>
      </c>
      <c r="BI400" s="31" t="n">
        <f aca="false">ROUNDDOWN(J400*設定!$C$13/1000,0)</f>
        <v>0</v>
      </c>
      <c r="BJ400" s="31" t="n">
        <f aca="false">ROUNDDOWN(K400*設定!$B$14/1000,0)</f>
        <v>0</v>
      </c>
      <c r="BK400" s="31" t="n">
        <f aca="false">ROUNDDOWN(K400*設定!$C$14/1000,0)</f>
        <v>0</v>
      </c>
      <c r="BL400" s="31" t="n">
        <f aca="false">ROUNDDOWN(J400*設定!$B$15/1000,0)</f>
        <v>0</v>
      </c>
      <c r="BM400" s="31" t="n">
        <f aca="false">ROUNDDOWN(J400*設定!$C$15/1000,0)</f>
        <v>0</v>
      </c>
      <c r="BN400" s="31" t="n">
        <f aca="false">L400+M400</f>
        <v>0</v>
      </c>
      <c r="BO400" s="31" t="n">
        <f aca="false">N400+O400+P400</f>
        <v>0</v>
      </c>
      <c r="BP400" s="31" t="n">
        <f aca="false">Q400</f>
        <v>0</v>
      </c>
      <c r="BQ400" s="31" t="n">
        <f aca="false">R400</f>
        <v>0</v>
      </c>
      <c r="BR400" s="31" t="n">
        <f aca="false">S400</f>
        <v>0</v>
      </c>
      <c r="BS400" s="31" t="n">
        <f aca="false">T400</f>
        <v>0</v>
      </c>
      <c r="BT400" s="31" t="n">
        <f aca="false">U400</f>
        <v>0</v>
      </c>
      <c r="BU400" s="31" t="n">
        <f aca="false">V400</f>
        <v>0</v>
      </c>
      <c r="BV400" s="32" t="n">
        <f aca="false">IF(BF400=0,IF(BN400=0,0,1),(BN400-BF400)/BF400)</f>
        <v>0</v>
      </c>
      <c r="BW400" s="32" t="n">
        <f aca="false">IF(BG400=0,IF(BO400=0,0,1),(BO400-BG400)/BG400)</f>
        <v>0</v>
      </c>
      <c r="BX400" s="32" t="n">
        <f aca="false">IF(BH400=0,IF(BP400=0,0,1),(BP400-BH400)/BH400)</f>
        <v>0</v>
      </c>
      <c r="BY400" s="32" t="n">
        <f aca="false">IF(BI400=0,IF(BQ400=0,0,1),(BQ400-BI400)/BI400)</f>
        <v>0</v>
      </c>
      <c r="BZ400" s="32" t="n">
        <f aca="false">IF(BJ400=0,IF(BR400=0,0,1),(BR400-BJ400)/BJ400)</f>
        <v>0</v>
      </c>
      <c r="CA400" s="32" t="n">
        <f aca="false">IF(BK400=0,IF(BS400=0,0,1),(BS400-BK400)/BK400)</f>
        <v>0</v>
      </c>
      <c r="CB400" s="32" t="n">
        <f aca="false">IF(BL400=0,IF(BT400=0,0,1),(BT400-BL400)/BL400)</f>
        <v>0</v>
      </c>
      <c r="CC400" s="32" t="n">
        <f aca="false">IF(BM400=0,IF(BU400=0,0,1),(BU400-BM400)/BM400)</f>
        <v>0</v>
      </c>
      <c r="CD400" s="32" t="n">
        <f aca="false">MAX(MAX(BV400:CC400),-MIN(BV400:CC400))</f>
        <v>-0</v>
      </c>
      <c r="CE400" s="31" t="n">
        <f aca="false">IF(CI400="","",SUMIFS($CF$7:$CF$696,$A$7:$A$696,CI400,$B$7:$B$696,B400))</f>
        <v>2050017</v>
      </c>
      <c r="CF400" s="31" t="n">
        <f aca="false">SUM(AU400:BE400)</f>
        <v>2050017</v>
      </c>
      <c r="CG400" s="33" t="str">
        <f aca="false">A400&amp;"|"&amp;B400</f>
        <v>2026-11 月例|文化財団　市長部局</v>
      </c>
      <c r="CH400" s="34" t="str">
        <f aca="false">IFERROR(INDEX(設定!$D$61:$D$106,MATCH(B400,設定!$B$61:$B$106,0)),"Y")</f>
        <v>Y</v>
      </c>
      <c r="CI400" s="34" t="str">
        <f aca="false">IFERROR(INDEX(設定!$D$20:$D$34,MATCH(A400,設定!$A$20:$A$34,0))&amp;"","")</f>
        <v>2026-10 月例</v>
      </c>
    </row>
    <row r="401" customFormat="false" ht="15" hidden="true" customHeight="false" outlineLevel="0" collapsed="false">
      <c r="A401" s="22" t="s">
        <v>215</v>
      </c>
      <c r="B401" s="23" t="s">
        <v>187</v>
      </c>
      <c r="C401" s="10" t="str">
        <f aca="false">IF(G401="","未受領",IF(G401="なし","報告なし",IF(AH401="○","起票済",IF(OR(AG401="○",F401="一致",F401="入金不要"),"入金確認済","受領済"))))</f>
        <v>未受領</v>
      </c>
      <c r="D401" s="10" t="str">
        <f aca="false">IF(OR(G401="",G401="なし"),"―",IF(CH401="N","対象外",IF(AND(I401="",J401="",K401=""),"標報未入力",IF(CD401&gt;=設定!$B$4,"要確認","問題なし"))))</f>
        <v>―</v>
      </c>
      <c r="E401" s="24" t="str">
        <f aca="false">IF(OR(G401="",G401="なし",CE401="",CF401=0),"―",IF(CF401=CE401,"前月同額",IF(CE401=0,"―",IF(ABS(CF401/CE401-1)&gt;=設定!$B$5,"変動大 "&amp;TEXT(CF401/CE401-1,"+0%;-0%"),"〇"))))</f>
        <v>―</v>
      </c>
      <c r="F401" s="10" t="str">
        <f aca="false">IF(OR(G401="",G401="なし"),"―",IF(CF401=0,"入金不要",IF(COUNT(Z401,AB401,AD401,AF401)=0,IF(AG401="○","手動確認","未入金"),IF(AND(N(Z401)=Y401,IF(AA401="",TRUE(),N(AB401)=AA401),IF(AC401="",TRUE(),N(AD401)=AC401),IF(AE401="",TRUE(),N(AF401)=AE401)),"一致","不一致"))))</f>
        <v>―</v>
      </c>
      <c r="G401" s="25"/>
      <c r="H401" s="26"/>
      <c r="I401" s="27"/>
      <c r="J401" s="27"/>
      <c r="K401" s="27"/>
      <c r="L401" s="27"/>
      <c r="M401" s="27"/>
      <c r="N401" s="27"/>
      <c r="O401" s="27"/>
      <c r="P401" s="27"/>
      <c r="Q401" s="27"/>
      <c r="R401" s="27"/>
      <c r="S401" s="27"/>
      <c r="T401" s="27"/>
      <c r="U401" s="27"/>
      <c r="V401" s="27"/>
      <c r="W401" s="10" t="str">
        <f aca="false">IFERROR(INDEX(設定!$E$61:$E$106,MATCH(B401,設定!$B$61:$B$106,0)),"合算")</f>
        <v>合算</v>
      </c>
      <c r="X401" s="28"/>
      <c r="Y401" s="29" t="str">
        <f aca="false">IF(OR(G401="",G401="なし"),"",IF(W401="合算",CF401,IF(W401="掛金・負担金別",(AU401+AV401+AZ401+BB401+BD401),SUM(AU401:AY401))))</f>
        <v/>
      </c>
      <c r="Z401" s="27"/>
      <c r="AA401" s="29" t="str">
        <f aca="false">IF(OR(G401="",G401="なし"),"",IF(W401="掛金・負担金別",(AW401+AX401+AY401+BA401+BC401+BE401),IF(W401="経理区分別",AZ401+BA401,"")))</f>
        <v/>
      </c>
      <c r="AB401" s="27"/>
      <c r="AC401" s="29" t="str">
        <f aca="false">IF(OR(G401="",G401="なし"),"",IF(W401="経理区分別",BB401+BC401,""))</f>
        <v/>
      </c>
      <c r="AD401" s="27"/>
      <c r="AE401" s="29" t="str">
        <f aca="false">IF(OR(G401="",G401="なし"),"",IF(W401="経理区分別",BD401+BE401,""))</f>
        <v/>
      </c>
      <c r="AF401" s="27"/>
      <c r="AG401" s="26"/>
      <c r="AH401" s="26"/>
      <c r="AI401" s="30"/>
      <c r="AJ401" s="31"/>
      <c r="AK401" s="31"/>
      <c r="AL401" s="31" t="n">
        <v>0</v>
      </c>
      <c r="AM401" s="31" t="n">
        <v>0</v>
      </c>
      <c r="AN401" s="31" t="n">
        <v>0</v>
      </c>
      <c r="AO401" s="31"/>
      <c r="AP401" s="31" t="n">
        <v>0</v>
      </c>
      <c r="AQ401" s="31"/>
      <c r="AR401" s="31" t="n">
        <v>0</v>
      </c>
      <c r="AS401" s="31"/>
      <c r="AT401" s="31" t="n">
        <v>0</v>
      </c>
      <c r="AU401" s="31" t="n">
        <f aca="false">IF($G401="",AJ401,L401)</f>
        <v>0</v>
      </c>
      <c r="AV401" s="31" t="n">
        <f aca="false">IF($G401="",AK401,M401)</f>
        <v>0</v>
      </c>
      <c r="AW401" s="31" t="n">
        <f aca="false">IF($G401="",AL401,N401)</f>
        <v>0</v>
      </c>
      <c r="AX401" s="31" t="n">
        <f aca="false">IF($G401="",AM401,O401)</f>
        <v>0</v>
      </c>
      <c r="AY401" s="31" t="n">
        <f aca="false">IF($G401="",AN401,P401)</f>
        <v>0</v>
      </c>
      <c r="AZ401" s="31" t="n">
        <f aca="false">IF($G401="",AO401,Q401)</f>
        <v>0</v>
      </c>
      <c r="BA401" s="31" t="n">
        <f aca="false">IF($G401="",AP401,R401)</f>
        <v>0</v>
      </c>
      <c r="BB401" s="31" t="n">
        <f aca="false">IF($G401="",AQ401,S401)</f>
        <v>0</v>
      </c>
      <c r="BC401" s="31" t="n">
        <f aca="false">IF($G401="",AR401,T401)</f>
        <v>0</v>
      </c>
      <c r="BD401" s="31" t="n">
        <f aca="false">IF($G401="",AS401,U401)</f>
        <v>0</v>
      </c>
      <c r="BE401" s="31" t="n">
        <f aca="false">IF($G401="",AT401,V401)</f>
        <v>0</v>
      </c>
      <c r="BF401" s="31" t="n">
        <f aca="false">ROUNDDOWN(I401*設定!$B$10/1000,0)+ROUNDDOWN(I401*設定!$B$11/1000,0)</f>
        <v>0</v>
      </c>
      <c r="BG401" s="31" t="n">
        <f aca="false">ROUNDDOWN(I401*設定!$C$10/1000,0)+ROUNDDOWN(I401*設定!$C$11/1000,0)+ROUNDDOWN(I401*設定!$C$12/1000,0)</f>
        <v>0</v>
      </c>
      <c r="BH401" s="31" t="n">
        <f aca="false">ROUNDDOWN(J401*設定!$B$13/1000,0)</f>
        <v>0</v>
      </c>
      <c r="BI401" s="31" t="n">
        <f aca="false">ROUNDDOWN(J401*設定!$C$13/1000,0)</f>
        <v>0</v>
      </c>
      <c r="BJ401" s="31" t="n">
        <f aca="false">ROUNDDOWN(K401*設定!$B$14/1000,0)</f>
        <v>0</v>
      </c>
      <c r="BK401" s="31" t="n">
        <f aca="false">ROUNDDOWN(K401*設定!$C$14/1000,0)</f>
        <v>0</v>
      </c>
      <c r="BL401" s="31" t="n">
        <f aca="false">ROUNDDOWN(J401*設定!$B$15/1000,0)</f>
        <v>0</v>
      </c>
      <c r="BM401" s="31" t="n">
        <f aca="false">ROUNDDOWN(J401*設定!$C$15/1000,0)</f>
        <v>0</v>
      </c>
      <c r="BN401" s="31" t="n">
        <f aca="false">L401+M401</f>
        <v>0</v>
      </c>
      <c r="BO401" s="31" t="n">
        <f aca="false">N401+O401+P401</f>
        <v>0</v>
      </c>
      <c r="BP401" s="31" t="n">
        <f aca="false">Q401</f>
        <v>0</v>
      </c>
      <c r="BQ401" s="31" t="n">
        <f aca="false">R401</f>
        <v>0</v>
      </c>
      <c r="BR401" s="31" t="n">
        <f aca="false">S401</f>
        <v>0</v>
      </c>
      <c r="BS401" s="31" t="n">
        <f aca="false">T401</f>
        <v>0</v>
      </c>
      <c r="BT401" s="31" t="n">
        <f aca="false">U401</f>
        <v>0</v>
      </c>
      <c r="BU401" s="31" t="n">
        <f aca="false">V401</f>
        <v>0</v>
      </c>
      <c r="BV401" s="32" t="n">
        <f aca="false">IF(BF401=0,IF(BN401=0,0,1),(BN401-BF401)/BF401)</f>
        <v>0</v>
      </c>
      <c r="BW401" s="32" t="n">
        <f aca="false">IF(BG401=0,IF(BO401=0,0,1),(BO401-BG401)/BG401)</f>
        <v>0</v>
      </c>
      <c r="BX401" s="32" t="n">
        <f aca="false">IF(BH401=0,IF(BP401=0,0,1),(BP401-BH401)/BH401)</f>
        <v>0</v>
      </c>
      <c r="BY401" s="32" t="n">
        <f aca="false">IF(BI401=0,IF(BQ401=0,0,1),(BQ401-BI401)/BI401)</f>
        <v>0</v>
      </c>
      <c r="BZ401" s="32" t="n">
        <f aca="false">IF(BJ401=0,IF(BR401=0,0,1),(BR401-BJ401)/BJ401)</f>
        <v>0</v>
      </c>
      <c r="CA401" s="32" t="n">
        <f aca="false">IF(BK401=0,IF(BS401=0,0,1),(BS401-BK401)/BK401)</f>
        <v>0</v>
      </c>
      <c r="CB401" s="32" t="n">
        <f aca="false">IF(BL401=0,IF(BT401=0,0,1),(BT401-BL401)/BL401)</f>
        <v>0</v>
      </c>
      <c r="CC401" s="32" t="n">
        <f aca="false">IF(BM401=0,IF(BU401=0,0,1),(BU401-BM401)/BM401)</f>
        <v>0</v>
      </c>
      <c r="CD401" s="32" t="n">
        <f aca="false">MAX(MAX(BV401:CC401),-MIN(BV401:CC401))</f>
        <v>-0</v>
      </c>
      <c r="CE401" s="31" t="n">
        <f aca="false">IF(CI401="","",SUMIFS($CF$7:$CF$696,$A$7:$A$696,CI401,$B$7:$B$696,B401))</f>
        <v>0</v>
      </c>
      <c r="CF401" s="31" t="n">
        <f aca="false">SUM(AU401:BE401)</f>
        <v>0</v>
      </c>
      <c r="CG401" s="33" t="str">
        <f aca="false">A401&amp;"|"&amp;B401</f>
        <v>2026-11 月例|文化財団　教育委員会</v>
      </c>
      <c r="CH401" s="34" t="str">
        <f aca="false">IFERROR(INDEX(設定!$D$61:$D$106,MATCH(B401,設定!$B$61:$B$106,0)),"Y")</f>
        <v>Y</v>
      </c>
      <c r="CI401" s="34" t="str">
        <f aca="false">IFERROR(INDEX(設定!$D$20:$D$34,MATCH(A401,設定!$A$20:$A$34,0))&amp;"","")</f>
        <v>2026-10 月例</v>
      </c>
    </row>
    <row r="402" customFormat="false" ht="15" hidden="true" customHeight="false" outlineLevel="0" collapsed="false">
      <c r="A402" s="22" t="s">
        <v>215</v>
      </c>
      <c r="B402" s="23" t="s">
        <v>188</v>
      </c>
      <c r="C402" s="10" t="str">
        <f aca="false">IF(G402="","未受領",IF(G402="なし","報告なし",IF(AH402="○","起票済",IF(OR(AG402="○",F402="一致",F402="入金不要"),"入金確認済","受領済"))))</f>
        <v>未受領</v>
      </c>
      <c r="D402" s="10" t="str">
        <f aca="false">IF(OR(G402="",G402="なし"),"―",IF(CH402="N","対象外",IF(AND(I402="",J402="",K402=""),"標報未入力",IF(CD402&gt;=設定!$B$4,"要確認","問題なし"))))</f>
        <v>―</v>
      </c>
      <c r="E402" s="24" t="str">
        <f aca="false">IF(OR(G402="",G402="なし",CE402="",CF402=0),"―",IF(CF402=CE402,"前月同額",IF(CE402=0,"―",IF(ABS(CF402/CE402-1)&gt;=設定!$B$5,"変動大 "&amp;TEXT(CF402/CE402-1,"+0%;-0%"),"〇"))))</f>
        <v>―</v>
      </c>
      <c r="F402" s="10" t="str">
        <f aca="false">IF(OR(G402="",G402="なし"),"―",IF(CF402=0,"入金不要",IF(COUNT(Z402,AB402,AD402,AF402)=0,IF(AG402="○","手動確認","未入金"),IF(AND(N(Z402)=Y402,IF(AA402="",TRUE(),N(AB402)=AA402),IF(AC402="",TRUE(),N(AD402)=AC402),IF(AE402="",TRUE(),N(AF402)=AE402)),"一致","不一致"))))</f>
        <v>―</v>
      </c>
      <c r="G402" s="25"/>
      <c r="H402" s="26"/>
      <c r="I402" s="27"/>
      <c r="J402" s="27"/>
      <c r="K402" s="27"/>
      <c r="L402" s="27"/>
      <c r="M402" s="27"/>
      <c r="N402" s="27"/>
      <c r="O402" s="27"/>
      <c r="P402" s="27"/>
      <c r="Q402" s="27"/>
      <c r="R402" s="27"/>
      <c r="S402" s="27"/>
      <c r="T402" s="27"/>
      <c r="U402" s="27"/>
      <c r="V402" s="27"/>
      <c r="W402" s="10" t="str">
        <f aca="false">IFERROR(INDEX(設定!$E$61:$E$106,MATCH(B402,設定!$B$61:$B$106,0)),"合算")</f>
        <v>合算</v>
      </c>
      <c r="X402" s="28"/>
      <c r="Y402" s="29" t="str">
        <f aca="false">IF(OR(G402="",G402="なし"),"",IF(W402="合算",CF402,IF(W402="掛金・負担金別",(AU402+AV402+AZ402+BB402+BD402),SUM(AU402:AY402))))</f>
        <v/>
      </c>
      <c r="Z402" s="27"/>
      <c r="AA402" s="29" t="str">
        <f aca="false">IF(OR(G402="",G402="なし"),"",IF(W402="掛金・負担金別",(AW402+AX402+AY402+BA402+BC402+BE402),IF(W402="経理区分別",AZ402+BA402,"")))</f>
        <v/>
      </c>
      <c r="AB402" s="27"/>
      <c r="AC402" s="29" t="str">
        <f aca="false">IF(OR(G402="",G402="なし"),"",IF(W402="経理区分別",BB402+BC402,""))</f>
        <v/>
      </c>
      <c r="AD402" s="27"/>
      <c r="AE402" s="29" t="str">
        <f aca="false">IF(OR(G402="",G402="なし"),"",IF(W402="経理区分別",BD402+BE402,""))</f>
        <v/>
      </c>
      <c r="AF402" s="27"/>
      <c r="AG402" s="26"/>
      <c r="AH402" s="26"/>
      <c r="AI402" s="30"/>
      <c r="AJ402" s="31"/>
      <c r="AK402" s="31"/>
      <c r="AL402" s="31" t="n">
        <v>394365</v>
      </c>
      <c r="AM402" s="31" t="n">
        <v>32325</v>
      </c>
      <c r="AN402" s="31" t="n">
        <v>403</v>
      </c>
      <c r="AO402" s="31"/>
      <c r="AP402" s="31" t="n">
        <v>237523</v>
      </c>
      <c r="AQ402" s="31"/>
      <c r="AR402" s="31" t="n">
        <v>34049</v>
      </c>
      <c r="AS402" s="31"/>
      <c r="AT402" s="31" t="n">
        <v>1</v>
      </c>
      <c r="AU402" s="31" t="n">
        <f aca="false">IF($G402="",AJ402,L402)</f>
        <v>0</v>
      </c>
      <c r="AV402" s="31" t="n">
        <f aca="false">IF($G402="",AK402,M402)</f>
        <v>0</v>
      </c>
      <c r="AW402" s="31" t="n">
        <f aca="false">IF($G402="",AL402,N402)</f>
        <v>394365</v>
      </c>
      <c r="AX402" s="31" t="n">
        <f aca="false">IF($G402="",AM402,O402)</f>
        <v>32325</v>
      </c>
      <c r="AY402" s="31" t="n">
        <f aca="false">IF($G402="",AN402,P402)</f>
        <v>403</v>
      </c>
      <c r="AZ402" s="31" t="n">
        <f aca="false">IF($G402="",AO402,Q402)</f>
        <v>0</v>
      </c>
      <c r="BA402" s="31" t="n">
        <f aca="false">IF($G402="",AP402,R402)</f>
        <v>237523</v>
      </c>
      <c r="BB402" s="31" t="n">
        <f aca="false">IF($G402="",AQ402,S402)</f>
        <v>0</v>
      </c>
      <c r="BC402" s="31" t="n">
        <f aca="false">IF($G402="",AR402,T402)</f>
        <v>34049</v>
      </c>
      <c r="BD402" s="31" t="n">
        <f aca="false">IF($G402="",AS402,U402)</f>
        <v>0</v>
      </c>
      <c r="BE402" s="31" t="n">
        <f aca="false">IF($G402="",AT402,V402)</f>
        <v>1</v>
      </c>
      <c r="BF402" s="31" t="n">
        <f aca="false">ROUNDDOWN(I402*設定!$B$10/1000,0)+ROUNDDOWN(I402*設定!$B$11/1000,0)</f>
        <v>0</v>
      </c>
      <c r="BG402" s="31" t="n">
        <f aca="false">ROUNDDOWN(I402*設定!$C$10/1000,0)+ROUNDDOWN(I402*設定!$C$11/1000,0)+ROUNDDOWN(I402*設定!$C$12/1000,0)</f>
        <v>0</v>
      </c>
      <c r="BH402" s="31" t="n">
        <f aca="false">ROUNDDOWN(J402*設定!$B$13/1000,0)</f>
        <v>0</v>
      </c>
      <c r="BI402" s="31" t="n">
        <f aca="false">ROUNDDOWN(J402*設定!$C$13/1000,0)</f>
        <v>0</v>
      </c>
      <c r="BJ402" s="31" t="n">
        <f aca="false">ROUNDDOWN(K402*設定!$B$14/1000,0)</f>
        <v>0</v>
      </c>
      <c r="BK402" s="31" t="n">
        <f aca="false">ROUNDDOWN(K402*設定!$C$14/1000,0)</f>
        <v>0</v>
      </c>
      <c r="BL402" s="31" t="n">
        <f aca="false">ROUNDDOWN(J402*設定!$B$15/1000,0)</f>
        <v>0</v>
      </c>
      <c r="BM402" s="31" t="n">
        <f aca="false">ROUNDDOWN(J402*設定!$C$15/1000,0)</f>
        <v>0</v>
      </c>
      <c r="BN402" s="31" t="n">
        <f aca="false">L402+M402</f>
        <v>0</v>
      </c>
      <c r="BO402" s="31" t="n">
        <f aca="false">N402+O402+P402</f>
        <v>0</v>
      </c>
      <c r="BP402" s="31" t="n">
        <f aca="false">Q402</f>
        <v>0</v>
      </c>
      <c r="BQ402" s="31" t="n">
        <f aca="false">R402</f>
        <v>0</v>
      </c>
      <c r="BR402" s="31" t="n">
        <f aca="false">S402</f>
        <v>0</v>
      </c>
      <c r="BS402" s="31" t="n">
        <f aca="false">T402</f>
        <v>0</v>
      </c>
      <c r="BT402" s="31" t="n">
        <f aca="false">U402</f>
        <v>0</v>
      </c>
      <c r="BU402" s="31" t="n">
        <f aca="false">V402</f>
        <v>0</v>
      </c>
      <c r="BV402" s="32" t="n">
        <f aca="false">IF(BF402=0,IF(BN402=0,0,1),(BN402-BF402)/BF402)</f>
        <v>0</v>
      </c>
      <c r="BW402" s="32" t="n">
        <f aca="false">IF(BG402=0,IF(BO402=0,0,1),(BO402-BG402)/BG402)</f>
        <v>0</v>
      </c>
      <c r="BX402" s="32" t="n">
        <f aca="false">IF(BH402=0,IF(BP402=0,0,1),(BP402-BH402)/BH402)</f>
        <v>0</v>
      </c>
      <c r="BY402" s="32" t="n">
        <f aca="false">IF(BI402=0,IF(BQ402=0,0,1),(BQ402-BI402)/BI402)</f>
        <v>0</v>
      </c>
      <c r="BZ402" s="32" t="n">
        <f aca="false">IF(BJ402=0,IF(BR402=0,0,1),(BR402-BJ402)/BJ402)</f>
        <v>0</v>
      </c>
      <c r="CA402" s="32" t="n">
        <f aca="false">IF(BK402=0,IF(BS402=0,0,1),(BS402-BK402)/BK402)</f>
        <v>0</v>
      </c>
      <c r="CB402" s="32" t="n">
        <f aca="false">IF(BL402=0,IF(BT402=0,0,1),(BT402-BL402)/BL402)</f>
        <v>0</v>
      </c>
      <c r="CC402" s="32" t="n">
        <f aca="false">IF(BM402=0,IF(BU402=0,0,1),(BU402-BM402)/BM402)</f>
        <v>0</v>
      </c>
      <c r="CD402" s="32" t="n">
        <f aca="false">MAX(MAX(BV402:CC402),-MIN(BV402:CC402))</f>
        <v>-0</v>
      </c>
      <c r="CE402" s="31" t="n">
        <f aca="false">IF(CI402="","",SUMIFS($CF$7:$CF$696,$A$7:$A$696,CI402,$B$7:$B$696,B402))</f>
        <v>698666</v>
      </c>
      <c r="CF402" s="31" t="n">
        <f aca="false">SUM(AU402:BE402)</f>
        <v>698666</v>
      </c>
      <c r="CG402" s="33" t="str">
        <f aca="false">A402&amp;"|"&amp;B402</f>
        <v>2026-11 月例|みどり生きもの協会</v>
      </c>
      <c r="CH402" s="34" t="str">
        <f aca="false">IFERROR(INDEX(設定!$D$61:$D$106,MATCH(B402,設定!$B$61:$B$106,0)),"Y")</f>
        <v>Y</v>
      </c>
      <c r="CI402" s="34" t="str">
        <f aca="false">IFERROR(INDEX(設定!$D$20:$D$34,MATCH(A402,設定!$A$20:$A$34,0))&amp;"","")</f>
        <v>2026-10 月例</v>
      </c>
    </row>
    <row r="403" customFormat="false" ht="15" hidden="true" customHeight="false" outlineLevel="0" collapsed="false">
      <c r="A403" s="22" t="s">
        <v>215</v>
      </c>
      <c r="B403" s="23" t="s">
        <v>189</v>
      </c>
      <c r="C403" s="10" t="str">
        <f aca="false">IF(G403="","未受領",IF(G403="なし","報告なし",IF(AH403="○","起票済",IF(OR(AG403="○",F403="一致",F403="入金不要"),"入金確認済","受領済"))))</f>
        <v>未受領</v>
      </c>
      <c r="D403" s="10" t="str">
        <f aca="false">IF(OR(G403="",G403="なし"),"―",IF(CH403="N","対象外",IF(AND(I403="",J403="",K403=""),"標報未入力",IF(CD403&gt;=設定!$B$4,"要確認","問題なし"))))</f>
        <v>―</v>
      </c>
      <c r="E403" s="24" t="str">
        <f aca="false">IF(OR(G403="",G403="なし",CE403="",CF403=0),"―",IF(CF403=CE403,"前月同額",IF(CE403=0,"―",IF(ABS(CF403/CE403-1)&gt;=設定!$B$5,"変動大 "&amp;TEXT(CF403/CE403-1,"+0%;-0%"),"〇"))))</f>
        <v>―</v>
      </c>
      <c r="F403" s="10" t="str">
        <f aca="false">IF(OR(G403="",G403="なし"),"―",IF(CF403=0,"入金不要",IF(COUNT(Z403,AB403,AD403,AF403)=0,IF(AG403="○","手動確認","未入金"),IF(AND(N(Z403)=Y403,IF(AA403="",TRUE(),N(AB403)=AA403),IF(AC403="",TRUE(),N(AD403)=AC403),IF(AE403="",TRUE(),N(AF403)=AE403)),"一致","不一致"))))</f>
        <v>―</v>
      </c>
      <c r="G403" s="25"/>
      <c r="H403" s="26"/>
      <c r="I403" s="27"/>
      <c r="J403" s="27"/>
      <c r="K403" s="27"/>
      <c r="L403" s="27"/>
      <c r="M403" s="27"/>
      <c r="N403" s="27"/>
      <c r="O403" s="27"/>
      <c r="P403" s="27"/>
      <c r="Q403" s="27"/>
      <c r="R403" s="27"/>
      <c r="S403" s="27"/>
      <c r="T403" s="27"/>
      <c r="U403" s="27"/>
      <c r="V403" s="27"/>
      <c r="W403" s="10" t="str">
        <f aca="false">IFERROR(INDEX(設定!$E$61:$E$106,MATCH(B403,設定!$B$61:$B$106,0)),"合算")</f>
        <v>合算</v>
      </c>
      <c r="X403" s="28"/>
      <c r="Y403" s="29" t="str">
        <f aca="false">IF(OR(G403="",G403="なし"),"",IF(W403="合算",CF403,IF(W403="掛金・負担金別",(AU403+AV403+AZ403+BB403+BD403),SUM(AU403:AY403))))</f>
        <v/>
      </c>
      <c r="Z403" s="27"/>
      <c r="AA403" s="29" t="str">
        <f aca="false">IF(OR(G403="",G403="なし"),"",IF(W403="掛金・負担金別",(AW403+AX403+AY403+BA403+BC403+BE403),IF(W403="経理区分別",AZ403+BA403,"")))</f>
        <v/>
      </c>
      <c r="AB403" s="27"/>
      <c r="AC403" s="29" t="str">
        <f aca="false">IF(OR(G403="",G403="なし"),"",IF(W403="経理区分別",BB403+BC403,""))</f>
        <v/>
      </c>
      <c r="AD403" s="27"/>
      <c r="AE403" s="29" t="str">
        <f aca="false">IF(OR(G403="",G403="なし"),"",IF(W403="経理区分別",BD403+BE403,""))</f>
        <v/>
      </c>
      <c r="AF403" s="27"/>
      <c r="AG403" s="26"/>
      <c r="AH403" s="26"/>
      <c r="AI403" s="30"/>
      <c r="AJ403" s="31" t="n">
        <v>137250</v>
      </c>
      <c r="AK403" s="31" t="n">
        <v>11250</v>
      </c>
      <c r="AL403" s="31" t="n">
        <v>137250</v>
      </c>
      <c r="AM403" s="31" t="n">
        <v>11250</v>
      </c>
      <c r="AN403" s="31" t="n">
        <v>140</v>
      </c>
      <c r="AO403" s="31" t="n">
        <v>82514</v>
      </c>
      <c r="AP403" s="31" t="n">
        <v>82665</v>
      </c>
      <c r="AQ403" s="31" t="n">
        <v>8611</v>
      </c>
      <c r="AR403" s="31" t="n">
        <v>8611</v>
      </c>
      <c r="AS403" s="31" t="n">
        <v>1</v>
      </c>
      <c r="AT403" s="31" t="n">
        <v>1</v>
      </c>
      <c r="AU403" s="31" t="n">
        <f aca="false">IF($G403="",AJ403,L403)</f>
        <v>137250</v>
      </c>
      <c r="AV403" s="31" t="n">
        <f aca="false">IF($G403="",AK403,M403)</f>
        <v>11250</v>
      </c>
      <c r="AW403" s="31" t="n">
        <f aca="false">IF($G403="",AL403,N403)</f>
        <v>137250</v>
      </c>
      <c r="AX403" s="31" t="n">
        <f aca="false">IF($G403="",AM403,O403)</f>
        <v>11250</v>
      </c>
      <c r="AY403" s="31" t="n">
        <f aca="false">IF($G403="",AN403,P403)</f>
        <v>140</v>
      </c>
      <c r="AZ403" s="31" t="n">
        <f aca="false">IF($G403="",AO403,Q403)</f>
        <v>82514</v>
      </c>
      <c r="BA403" s="31" t="n">
        <f aca="false">IF($G403="",AP403,R403)</f>
        <v>82665</v>
      </c>
      <c r="BB403" s="31" t="n">
        <f aca="false">IF($G403="",AQ403,S403)</f>
        <v>8611</v>
      </c>
      <c r="BC403" s="31" t="n">
        <f aca="false">IF($G403="",AR403,T403)</f>
        <v>8611</v>
      </c>
      <c r="BD403" s="31" t="n">
        <f aca="false">IF($G403="",AS403,U403)</f>
        <v>1</v>
      </c>
      <c r="BE403" s="31" t="n">
        <f aca="false">IF($G403="",AT403,V403)</f>
        <v>1</v>
      </c>
      <c r="BF403" s="31" t="n">
        <f aca="false">ROUNDDOWN(I403*設定!$B$10/1000,0)+ROUNDDOWN(I403*設定!$B$11/1000,0)</f>
        <v>0</v>
      </c>
      <c r="BG403" s="31" t="n">
        <f aca="false">ROUNDDOWN(I403*設定!$C$10/1000,0)+ROUNDDOWN(I403*設定!$C$11/1000,0)+ROUNDDOWN(I403*設定!$C$12/1000,0)</f>
        <v>0</v>
      </c>
      <c r="BH403" s="31" t="n">
        <f aca="false">ROUNDDOWN(J403*設定!$B$13/1000,0)</f>
        <v>0</v>
      </c>
      <c r="BI403" s="31" t="n">
        <f aca="false">ROUNDDOWN(J403*設定!$C$13/1000,0)</f>
        <v>0</v>
      </c>
      <c r="BJ403" s="31" t="n">
        <f aca="false">ROUNDDOWN(K403*設定!$B$14/1000,0)</f>
        <v>0</v>
      </c>
      <c r="BK403" s="31" t="n">
        <f aca="false">ROUNDDOWN(K403*設定!$C$14/1000,0)</f>
        <v>0</v>
      </c>
      <c r="BL403" s="31" t="n">
        <f aca="false">ROUNDDOWN(J403*設定!$B$15/1000,0)</f>
        <v>0</v>
      </c>
      <c r="BM403" s="31" t="n">
        <f aca="false">ROUNDDOWN(J403*設定!$C$15/1000,0)</f>
        <v>0</v>
      </c>
      <c r="BN403" s="31" t="n">
        <f aca="false">L403+M403</f>
        <v>0</v>
      </c>
      <c r="BO403" s="31" t="n">
        <f aca="false">N403+O403+P403</f>
        <v>0</v>
      </c>
      <c r="BP403" s="31" t="n">
        <f aca="false">Q403</f>
        <v>0</v>
      </c>
      <c r="BQ403" s="31" t="n">
        <f aca="false">R403</f>
        <v>0</v>
      </c>
      <c r="BR403" s="31" t="n">
        <f aca="false">S403</f>
        <v>0</v>
      </c>
      <c r="BS403" s="31" t="n">
        <f aca="false">T403</f>
        <v>0</v>
      </c>
      <c r="BT403" s="31" t="n">
        <f aca="false">U403</f>
        <v>0</v>
      </c>
      <c r="BU403" s="31" t="n">
        <f aca="false">V403</f>
        <v>0</v>
      </c>
      <c r="BV403" s="32" t="n">
        <f aca="false">IF(BF403=0,IF(BN403=0,0,1),(BN403-BF403)/BF403)</f>
        <v>0</v>
      </c>
      <c r="BW403" s="32" t="n">
        <f aca="false">IF(BG403=0,IF(BO403=0,0,1),(BO403-BG403)/BG403)</f>
        <v>0</v>
      </c>
      <c r="BX403" s="32" t="n">
        <f aca="false">IF(BH403=0,IF(BP403=0,0,1),(BP403-BH403)/BH403)</f>
        <v>0</v>
      </c>
      <c r="BY403" s="32" t="n">
        <f aca="false">IF(BI403=0,IF(BQ403=0,0,1),(BQ403-BI403)/BI403)</f>
        <v>0</v>
      </c>
      <c r="BZ403" s="32" t="n">
        <f aca="false">IF(BJ403=0,IF(BR403=0,0,1),(BR403-BJ403)/BJ403)</f>
        <v>0</v>
      </c>
      <c r="CA403" s="32" t="n">
        <f aca="false">IF(BK403=0,IF(BS403=0,0,1),(BS403-BK403)/BK403)</f>
        <v>0</v>
      </c>
      <c r="CB403" s="32" t="n">
        <f aca="false">IF(BL403=0,IF(BT403=0,0,1),(BT403-BL403)/BL403)</f>
        <v>0</v>
      </c>
      <c r="CC403" s="32" t="n">
        <f aca="false">IF(BM403=0,IF(BU403=0,0,1),(BU403-BM403)/BM403)</f>
        <v>0</v>
      </c>
      <c r="CD403" s="32" t="n">
        <f aca="false">MAX(MAX(BV403:CC403),-MIN(BV403:CC403))</f>
        <v>-0</v>
      </c>
      <c r="CE403" s="31" t="n">
        <f aca="false">IF(CI403="","",SUMIFS($CF$7:$CF$696,$A$7:$A$696,CI403,$B$7:$B$696,B403))</f>
        <v>479543</v>
      </c>
      <c r="CF403" s="31" t="n">
        <f aca="false">SUM(AU403:BE403)</f>
        <v>479543</v>
      </c>
      <c r="CG403" s="33" t="str">
        <f aca="false">A403&amp;"|"&amp;B403</f>
        <v>2026-11 月例|県下水道公社</v>
      </c>
      <c r="CH403" s="34" t="str">
        <f aca="false">IFERROR(INDEX(設定!$D$61:$D$106,MATCH(B403,設定!$B$61:$B$106,0)),"Y")</f>
        <v>Y</v>
      </c>
      <c r="CI403" s="34" t="str">
        <f aca="false">IFERROR(INDEX(設定!$D$20:$D$34,MATCH(A403,設定!$A$20:$A$34,0))&amp;"","")</f>
        <v>2026-10 月例</v>
      </c>
    </row>
    <row r="404" customFormat="false" ht="26.85" hidden="true" customHeight="false" outlineLevel="0" collapsed="false">
      <c r="A404" s="22" t="s">
        <v>215</v>
      </c>
      <c r="B404" s="35" t="s">
        <v>208</v>
      </c>
      <c r="C404" s="10" t="str">
        <f aca="false">IF(G404="","未受領",IF(G404="なし","報告なし",IF(AH404="○","起票済",IF(OR(AG404="○",F404="一致",F404="入金不要"),"入金確認済","受領済"))))</f>
        <v>未受領</v>
      </c>
      <c r="D404" s="10" t="str">
        <f aca="false">IF(OR(G404="",G404="なし"),"―",IF(CH404="N","対象外",IF(AND(I404="",J404="",K404=""),"標報未入力",IF(CD404&gt;=設定!$B$4,"要確認","問題なし"))))</f>
        <v>―</v>
      </c>
      <c r="E404" s="24" t="str">
        <f aca="false">IF(OR(G404="",G404="なし",CE404="",CF404=0),"―",IF(CF404=CE404,"前月同額",IF(CE404=0,"―",IF(ABS(CF404/CE404-1)&gt;=設定!$B$5,"変動大 "&amp;TEXT(CF404/CE404-1,"+0%;-0%"),"〇"))))</f>
        <v>―</v>
      </c>
      <c r="F404" s="10" t="str">
        <f aca="false">IF(OR(G404="",G404="なし"),"―",IF(CF404=0,"入金不要",IF(COUNT(Z404,AB404,AD404,AF404)=0,IF(AG404="○","手動確認","未入金"),IF(AND(N(Z404)=Y404,IF(AA404="",TRUE(),N(AB404)=AA404),IF(AC404="",TRUE(),N(AD404)=AC404),IF(AE404="",TRUE(),N(AF404)=AE404)),"一致","不一致"))))</f>
        <v>―</v>
      </c>
      <c r="G404" s="25"/>
      <c r="H404" s="26"/>
      <c r="I404" s="27"/>
      <c r="J404" s="27"/>
      <c r="K404" s="27"/>
      <c r="L404" s="27"/>
      <c r="M404" s="27"/>
      <c r="N404" s="27"/>
      <c r="O404" s="27"/>
      <c r="P404" s="27"/>
      <c r="Q404" s="27"/>
      <c r="R404" s="27"/>
      <c r="S404" s="27"/>
      <c r="T404" s="27"/>
      <c r="U404" s="27"/>
      <c r="V404" s="27"/>
      <c r="W404" s="10" t="str">
        <f aca="false">IFERROR(INDEX(設定!$E$61:$E$106,MATCH(B404,設定!$B$61:$B$106,0)),"合算")</f>
        <v>合算</v>
      </c>
      <c r="X404" s="28"/>
      <c r="Y404" s="29" t="str">
        <f aca="false">IF(OR(G404="",G404="なし"),"",IF(W404="合算",CF404,IF(W404="掛金・負担金別",(AU404+AV404+AZ404+BB404+BD404),SUM(AU404:AY404))))</f>
        <v/>
      </c>
      <c r="Z404" s="27"/>
      <c r="AA404" s="29" t="str">
        <f aca="false">IF(OR(G404="",G404="なし"),"",IF(W404="掛金・負担金別",(AW404+AX404+AY404+BA404+BC404+BE404),IF(W404="経理区分別",AZ404+BA404,"")))</f>
        <v/>
      </c>
      <c r="AB404" s="27"/>
      <c r="AC404" s="29" t="str">
        <f aca="false">IF(OR(G404="",G404="なし"),"",IF(W404="経理区分別",BB404+BC404,""))</f>
        <v/>
      </c>
      <c r="AD404" s="27"/>
      <c r="AE404" s="29" t="str">
        <f aca="false">IF(OR(G404="",G404="なし"),"",IF(W404="経理区分別",BD404+BE404,""))</f>
        <v/>
      </c>
      <c r="AF404" s="27"/>
      <c r="AG404" s="26"/>
      <c r="AH404" s="26"/>
      <c r="AI404" s="30"/>
      <c r="AJ404" s="31"/>
      <c r="AK404" s="31"/>
      <c r="AL404" s="31" t="n">
        <v>472140</v>
      </c>
      <c r="AM404" s="31" t="n">
        <v>38700</v>
      </c>
      <c r="AN404" s="31" t="n">
        <v>484</v>
      </c>
      <c r="AO404" s="31"/>
      <c r="AP404" s="31" t="n">
        <v>289878</v>
      </c>
      <c r="AQ404" s="31"/>
      <c r="AR404" s="31" t="n">
        <v>25517</v>
      </c>
      <c r="AS404" s="31"/>
      <c r="AT404" s="31" t="n">
        <v>1</v>
      </c>
      <c r="AU404" s="31" t="n">
        <f aca="false">IF($G404="",AJ404,L404)</f>
        <v>0</v>
      </c>
      <c r="AV404" s="31" t="n">
        <f aca="false">IF($G404="",AK404,M404)</f>
        <v>0</v>
      </c>
      <c r="AW404" s="31" t="n">
        <f aca="false">IF($G404="",AL404,N404)</f>
        <v>472140</v>
      </c>
      <c r="AX404" s="31" t="n">
        <f aca="false">IF($G404="",AM404,O404)</f>
        <v>38700</v>
      </c>
      <c r="AY404" s="31" t="n">
        <f aca="false">IF($G404="",AN404,P404)</f>
        <v>484</v>
      </c>
      <c r="AZ404" s="31" t="n">
        <f aca="false">IF($G404="",AO404,Q404)</f>
        <v>0</v>
      </c>
      <c r="BA404" s="31" t="n">
        <f aca="false">IF($G404="",AP404,R404)</f>
        <v>289878</v>
      </c>
      <c r="BB404" s="31" t="n">
        <f aca="false">IF($G404="",AQ404,S404)</f>
        <v>0</v>
      </c>
      <c r="BC404" s="31" t="n">
        <f aca="false">IF($G404="",AR404,T404)</f>
        <v>25517</v>
      </c>
      <c r="BD404" s="31" t="n">
        <f aca="false">IF($G404="",AS404,U404)</f>
        <v>0</v>
      </c>
      <c r="BE404" s="31" t="n">
        <f aca="false">IF($G404="",AT404,V404)</f>
        <v>1</v>
      </c>
      <c r="BF404" s="31" t="n">
        <f aca="false">ROUNDDOWN(I404*設定!$B$10/1000,0)+ROUNDDOWN(I404*設定!$B$11/1000,0)</f>
        <v>0</v>
      </c>
      <c r="BG404" s="31" t="n">
        <f aca="false">ROUNDDOWN(I404*設定!$C$10/1000,0)+ROUNDDOWN(I404*設定!$C$11/1000,0)+ROUNDDOWN(I404*設定!$C$12/1000,0)</f>
        <v>0</v>
      </c>
      <c r="BH404" s="31" t="n">
        <f aca="false">ROUNDDOWN(J404*設定!$B$13/1000,0)</f>
        <v>0</v>
      </c>
      <c r="BI404" s="31" t="n">
        <f aca="false">ROUNDDOWN(J404*設定!$C$13/1000,0)</f>
        <v>0</v>
      </c>
      <c r="BJ404" s="31" t="n">
        <f aca="false">ROUNDDOWN(K404*設定!$B$14/1000,0)</f>
        <v>0</v>
      </c>
      <c r="BK404" s="31" t="n">
        <f aca="false">ROUNDDOWN(K404*設定!$C$14/1000,0)</f>
        <v>0</v>
      </c>
      <c r="BL404" s="31" t="n">
        <f aca="false">ROUNDDOWN(J404*設定!$B$15/1000,0)</f>
        <v>0</v>
      </c>
      <c r="BM404" s="31" t="n">
        <f aca="false">ROUNDDOWN(J404*設定!$C$15/1000,0)</f>
        <v>0</v>
      </c>
      <c r="BN404" s="31" t="n">
        <f aca="false">L404+M404</f>
        <v>0</v>
      </c>
      <c r="BO404" s="31" t="n">
        <f aca="false">N404+O404+P404</f>
        <v>0</v>
      </c>
      <c r="BP404" s="31" t="n">
        <f aca="false">Q404</f>
        <v>0</v>
      </c>
      <c r="BQ404" s="31" t="n">
        <f aca="false">R404</f>
        <v>0</v>
      </c>
      <c r="BR404" s="31" t="n">
        <f aca="false">S404</f>
        <v>0</v>
      </c>
      <c r="BS404" s="31" t="n">
        <f aca="false">T404</f>
        <v>0</v>
      </c>
      <c r="BT404" s="31" t="n">
        <f aca="false">U404</f>
        <v>0</v>
      </c>
      <c r="BU404" s="31" t="n">
        <f aca="false">V404</f>
        <v>0</v>
      </c>
      <c r="BV404" s="32" t="n">
        <f aca="false">IF(BF404=0,IF(BN404=0,0,1),(BN404-BF404)/BF404)</f>
        <v>0</v>
      </c>
      <c r="BW404" s="32" t="n">
        <f aca="false">IF(BG404=0,IF(BO404=0,0,1),(BO404-BG404)/BG404)</f>
        <v>0</v>
      </c>
      <c r="BX404" s="32" t="n">
        <f aca="false">IF(BH404=0,IF(BP404=0,0,1),(BP404-BH404)/BH404)</f>
        <v>0</v>
      </c>
      <c r="BY404" s="32" t="n">
        <f aca="false">IF(BI404=0,IF(BQ404=0,0,1),(BQ404-BI404)/BI404)</f>
        <v>0</v>
      </c>
      <c r="BZ404" s="32" t="n">
        <f aca="false">IF(BJ404=0,IF(BR404=0,0,1),(BR404-BJ404)/BJ404)</f>
        <v>0</v>
      </c>
      <c r="CA404" s="32" t="n">
        <f aca="false">IF(BK404=0,IF(BS404=0,0,1),(BS404-BK404)/BK404)</f>
        <v>0</v>
      </c>
      <c r="CB404" s="32" t="n">
        <f aca="false">IF(BL404=0,IF(BT404=0,0,1),(BT404-BL404)/BL404)</f>
        <v>0</v>
      </c>
      <c r="CC404" s="32" t="n">
        <f aca="false">IF(BM404=0,IF(BU404=0,0,1),(BU404-BM404)/BM404)</f>
        <v>0</v>
      </c>
      <c r="CD404" s="32" t="n">
        <f aca="false">MAX(MAX(BV404:CC404),-MIN(BV404:CC404))</f>
        <v>-0</v>
      </c>
      <c r="CE404" s="31" t="n">
        <f aca="false">IF(CI404="","",SUMIFS($CF$7:$CF$696,$A$7:$A$696,CI404,$B$7:$B$696,B404))</f>
        <v>826720</v>
      </c>
      <c r="CF404" s="31" t="n">
        <f aca="false">SUM(AU404:BE404)</f>
        <v>826720</v>
      </c>
      <c r="CG404" s="36" t="str">
        <f aca="false">A404&amp;"|"&amp;B404</f>
        <v>2026-11 月例|バス協調・共創
プラットフォーム</v>
      </c>
      <c r="CH404" s="34" t="str">
        <f aca="false">IFERROR(INDEX(設定!$D$61:$D$106,MATCH(B404,設定!$B$61:$B$106,0)),"Y")</f>
        <v>Y</v>
      </c>
      <c r="CI404" s="34" t="str">
        <f aca="false">IFERROR(INDEX(設定!$D$20:$D$34,MATCH(A404,設定!$A$20:$A$34,0))&amp;"","")</f>
        <v>2026-10 月例</v>
      </c>
    </row>
    <row r="405" customFormat="false" ht="15" hidden="true" customHeight="false" outlineLevel="0" collapsed="false">
      <c r="A405" s="22" t="s">
        <v>215</v>
      </c>
      <c r="B405" s="23" t="s">
        <v>191</v>
      </c>
      <c r="C405" s="10" t="str">
        <f aca="false">IF(G405="","未受領",IF(G405="なし","報告なし",IF(AH405="○","起票済",IF(OR(AG405="○",F405="一致",F405="入金不要"),"入金確認済","受領済"))))</f>
        <v>未受領</v>
      </c>
      <c r="D405" s="10" t="str">
        <f aca="false">IF(OR(G405="",G405="なし"),"―",IF(CH405="N","対象外",IF(AND(I405="",J405="",K405=""),"標報未入力",IF(CD405&gt;=設定!$B$4,"要確認","問題なし"))))</f>
        <v>―</v>
      </c>
      <c r="E405" s="24" t="str">
        <f aca="false">IF(OR(G405="",G405="なし",CE405="",CF405=0),"―",IF(CF405=CE405,"前月同額",IF(CE405=0,"―",IF(ABS(CF405/CE405-1)&gt;=設定!$B$5,"変動大 "&amp;TEXT(CF405/CE405-1,"+0%;-0%"),"〇"))))</f>
        <v>―</v>
      </c>
      <c r="F405" s="10" t="str">
        <f aca="false">IF(OR(G405="",G405="なし"),"―",IF(CF405=0,"入金不要",IF(COUNT(Z405,AB405,AD405,AF405)=0,IF(AG405="○","手動確認","未入金"),IF(AND(N(Z405)=Y405,IF(AA405="",TRUE(),N(AB405)=AA405),IF(AC405="",TRUE(),N(AD405)=AC405),IF(AE405="",TRUE(),N(AF405)=AE405)),"一致","不一致"))))</f>
        <v>―</v>
      </c>
      <c r="G405" s="25"/>
      <c r="H405" s="26"/>
      <c r="I405" s="27"/>
      <c r="J405" s="27"/>
      <c r="K405" s="27"/>
      <c r="L405" s="27"/>
      <c r="M405" s="27"/>
      <c r="N405" s="27"/>
      <c r="O405" s="27"/>
      <c r="P405" s="27"/>
      <c r="Q405" s="27"/>
      <c r="R405" s="27"/>
      <c r="S405" s="27"/>
      <c r="T405" s="27"/>
      <c r="U405" s="27"/>
      <c r="V405" s="27"/>
      <c r="W405" s="10" t="str">
        <f aca="false">IFERROR(INDEX(設定!$E$61:$E$106,MATCH(B405,設定!$B$61:$B$106,0)),"合算")</f>
        <v>合算</v>
      </c>
      <c r="X405" s="28"/>
      <c r="Y405" s="29" t="str">
        <f aca="false">IF(OR(G405="",G405="なし"),"",IF(W405="合算",CF405,IF(W405="掛金・負担金別",(AU405+AV405+AZ405+BB405+BD405),SUM(AU405:AY405))))</f>
        <v/>
      </c>
      <c r="Z405" s="27"/>
      <c r="AA405" s="29" t="str">
        <f aca="false">IF(OR(G405="",G405="なし"),"",IF(W405="掛金・負担金別",(AW405+AX405+AY405+BA405+BC405+BE405),IF(W405="経理区分別",AZ405+BA405,"")))</f>
        <v/>
      </c>
      <c r="AB405" s="27"/>
      <c r="AC405" s="29" t="str">
        <f aca="false">IF(OR(G405="",G405="なし"),"",IF(W405="経理区分別",BB405+BC405,""))</f>
        <v/>
      </c>
      <c r="AD405" s="27"/>
      <c r="AE405" s="29" t="str">
        <f aca="false">IF(OR(G405="",G405="なし"),"",IF(W405="経理区分別",BD405+BE405,""))</f>
        <v/>
      </c>
      <c r="AF405" s="27"/>
      <c r="AG405" s="26"/>
      <c r="AH405" s="26"/>
      <c r="AI405" s="30"/>
      <c r="AJ405" s="31" t="n">
        <v>56730</v>
      </c>
      <c r="AK405" s="31" t="n">
        <v>4650</v>
      </c>
      <c r="AL405" s="31" t="n">
        <v>56730</v>
      </c>
      <c r="AM405" s="31" t="n">
        <v>4650</v>
      </c>
      <c r="AN405" s="31" t="n">
        <v>58</v>
      </c>
      <c r="AO405" s="31" t="n">
        <v>34106</v>
      </c>
      <c r="AP405" s="31" t="n">
        <v>34168</v>
      </c>
      <c r="AQ405" s="31" t="n">
        <v>4898</v>
      </c>
      <c r="AR405" s="31" t="n">
        <v>4898</v>
      </c>
      <c r="AS405" s="31" t="n">
        <v>1</v>
      </c>
      <c r="AT405" s="31" t="n">
        <v>1</v>
      </c>
      <c r="AU405" s="31" t="n">
        <f aca="false">IF($G405="",AJ405,L405)</f>
        <v>56730</v>
      </c>
      <c r="AV405" s="31" t="n">
        <f aca="false">IF($G405="",AK405,M405)</f>
        <v>4650</v>
      </c>
      <c r="AW405" s="31" t="n">
        <f aca="false">IF($G405="",AL405,N405)</f>
        <v>56730</v>
      </c>
      <c r="AX405" s="31" t="n">
        <f aca="false">IF($G405="",AM405,O405)</f>
        <v>4650</v>
      </c>
      <c r="AY405" s="31" t="n">
        <f aca="false">IF($G405="",AN405,P405)</f>
        <v>58</v>
      </c>
      <c r="AZ405" s="31" t="n">
        <f aca="false">IF($G405="",AO405,Q405)</f>
        <v>34106</v>
      </c>
      <c r="BA405" s="31" t="n">
        <f aca="false">IF($G405="",AP405,R405)</f>
        <v>34168</v>
      </c>
      <c r="BB405" s="31" t="n">
        <f aca="false">IF($G405="",AQ405,S405)</f>
        <v>4898</v>
      </c>
      <c r="BC405" s="31" t="n">
        <f aca="false">IF($G405="",AR405,T405)</f>
        <v>4898</v>
      </c>
      <c r="BD405" s="31" t="n">
        <f aca="false">IF($G405="",AS405,U405)</f>
        <v>1</v>
      </c>
      <c r="BE405" s="31" t="n">
        <f aca="false">IF($G405="",AT405,V405)</f>
        <v>1</v>
      </c>
      <c r="BF405" s="31" t="n">
        <f aca="false">ROUNDDOWN(I405*設定!$B$10/1000,0)+ROUNDDOWN(I405*設定!$B$11/1000,0)</f>
        <v>0</v>
      </c>
      <c r="BG405" s="31" t="n">
        <f aca="false">ROUNDDOWN(I405*設定!$C$10/1000,0)+ROUNDDOWN(I405*設定!$C$11/1000,0)+ROUNDDOWN(I405*設定!$C$12/1000,0)</f>
        <v>0</v>
      </c>
      <c r="BH405" s="31" t="n">
        <f aca="false">ROUNDDOWN(J405*設定!$B$13/1000,0)</f>
        <v>0</v>
      </c>
      <c r="BI405" s="31" t="n">
        <f aca="false">ROUNDDOWN(J405*設定!$C$13/1000,0)</f>
        <v>0</v>
      </c>
      <c r="BJ405" s="31" t="n">
        <f aca="false">ROUNDDOWN(K405*設定!$B$14/1000,0)</f>
        <v>0</v>
      </c>
      <c r="BK405" s="31" t="n">
        <f aca="false">ROUNDDOWN(K405*設定!$C$14/1000,0)</f>
        <v>0</v>
      </c>
      <c r="BL405" s="31" t="n">
        <f aca="false">ROUNDDOWN(J405*設定!$B$15/1000,0)</f>
        <v>0</v>
      </c>
      <c r="BM405" s="31" t="n">
        <f aca="false">ROUNDDOWN(J405*設定!$C$15/1000,0)</f>
        <v>0</v>
      </c>
      <c r="BN405" s="31" t="n">
        <f aca="false">L405+M405</f>
        <v>0</v>
      </c>
      <c r="BO405" s="31" t="n">
        <f aca="false">N405+O405+P405</f>
        <v>0</v>
      </c>
      <c r="BP405" s="31" t="n">
        <f aca="false">Q405</f>
        <v>0</v>
      </c>
      <c r="BQ405" s="31" t="n">
        <f aca="false">R405</f>
        <v>0</v>
      </c>
      <c r="BR405" s="31" t="n">
        <f aca="false">S405</f>
        <v>0</v>
      </c>
      <c r="BS405" s="31" t="n">
        <f aca="false">T405</f>
        <v>0</v>
      </c>
      <c r="BT405" s="31" t="n">
        <f aca="false">U405</f>
        <v>0</v>
      </c>
      <c r="BU405" s="31" t="n">
        <f aca="false">V405</f>
        <v>0</v>
      </c>
      <c r="BV405" s="32" t="n">
        <f aca="false">IF(BF405=0,IF(BN405=0,0,1),(BN405-BF405)/BF405)</f>
        <v>0</v>
      </c>
      <c r="BW405" s="32" t="n">
        <f aca="false">IF(BG405=0,IF(BO405=0,0,1),(BO405-BG405)/BG405)</f>
        <v>0</v>
      </c>
      <c r="BX405" s="32" t="n">
        <f aca="false">IF(BH405=0,IF(BP405=0,0,1),(BP405-BH405)/BH405)</f>
        <v>0</v>
      </c>
      <c r="BY405" s="32" t="n">
        <f aca="false">IF(BI405=0,IF(BQ405=0,0,1),(BQ405-BI405)/BI405)</f>
        <v>0</v>
      </c>
      <c r="BZ405" s="32" t="n">
        <f aca="false">IF(BJ405=0,IF(BR405=0,0,1),(BR405-BJ405)/BJ405)</f>
        <v>0</v>
      </c>
      <c r="CA405" s="32" t="n">
        <f aca="false">IF(BK405=0,IF(BS405=0,0,1),(BS405-BK405)/BK405)</f>
        <v>0</v>
      </c>
      <c r="CB405" s="32" t="n">
        <f aca="false">IF(BL405=0,IF(BT405=0,0,1),(BT405-BL405)/BL405)</f>
        <v>0</v>
      </c>
      <c r="CC405" s="32" t="n">
        <f aca="false">IF(BM405=0,IF(BU405=0,0,1),(BU405-BM405)/BM405)</f>
        <v>0</v>
      </c>
      <c r="CD405" s="32" t="n">
        <f aca="false">MAX(MAX(BV405:CC405),-MIN(BV405:CC405))</f>
        <v>-0</v>
      </c>
      <c r="CE405" s="31" t="n">
        <f aca="false">IF(CI405="","",SUMIFS($CF$7:$CF$696,$A$7:$A$696,CI405,$B$7:$B$696,B405))</f>
        <v>188772</v>
      </c>
      <c r="CF405" s="31" t="n">
        <f aca="false">SUM(AU405:BE405)</f>
        <v>200890</v>
      </c>
      <c r="CG405" s="33" t="str">
        <f aca="false">A405&amp;"|"&amp;B405</f>
        <v>2026-11 月例|広島県市長会</v>
      </c>
      <c r="CH405" s="34" t="str">
        <f aca="false">IFERROR(INDEX(設定!$D$61:$D$106,MATCH(B405,設定!$B$61:$B$106,0)),"Y")</f>
        <v>Y</v>
      </c>
      <c r="CI405" s="34" t="str">
        <f aca="false">IFERROR(INDEX(設定!$D$20:$D$34,MATCH(A405,設定!$A$20:$A$34,0))&amp;"","")</f>
        <v>2026-10 月例</v>
      </c>
    </row>
    <row r="406" customFormat="false" ht="15" hidden="true" customHeight="false" outlineLevel="0" collapsed="false">
      <c r="A406" s="22" t="s">
        <v>215</v>
      </c>
      <c r="B406" s="23" t="s">
        <v>192</v>
      </c>
      <c r="C406" s="10" t="str">
        <f aca="false">IF(G406="","未受領",IF(G406="なし","報告なし",IF(AH406="○","起票済",IF(OR(AG406="○",F406="一致",F406="入金不要"),"入金確認済","受領済"))))</f>
        <v>未受領</v>
      </c>
      <c r="D406" s="10" t="str">
        <f aca="false">IF(OR(G406="",G406="なし"),"―",IF(CH406="N","対象外",IF(AND(I406="",J406="",K406=""),"標報未入力",IF(CD406&gt;=設定!$B$4,"要確認","問題なし"))))</f>
        <v>―</v>
      </c>
      <c r="E406" s="24" t="str">
        <f aca="false">IF(OR(G406="",G406="なし",CE406="",CF406=0),"―",IF(CF406=CE406,"前月同額",IF(CE406=0,"―",IF(ABS(CF406/CE406-1)&gt;=設定!$B$5,"変動大 "&amp;TEXT(CF406/CE406-1,"+0%;-0%"),"〇"))))</f>
        <v>―</v>
      </c>
      <c r="F406" s="10" t="str">
        <f aca="false">IF(OR(G406="",G406="なし"),"―",IF(CF406=0,"入金不要",IF(COUNT(Z406,AB406,AD406,AF406)=0,IF(AG406="○","手動確認","未入金"),IF(AND(N(Z406)=Y406,IF(AA406="",TRUE(),N(AB406)=AA406),IF(AC406="",TRUE(),N(AD406)=AC406),IF(AE406="",TRUE(),N(AF406)=AE406)),"一致","不一致"))))</f>
        <v>―</v>
      </c>
      <c r="G406" s="25"/>
      <c r="H406" s="26"/>
      <c r="I406" s="27"/>
      <c r="J406" s="27"/>
      <c r="K406" s="27"/>
      <c r="L406" s="27"/>
      <c r="M406" s="27"/>
      <c r="N406" s="27"/>
      <c r="O406" s="27"/>
      <c r="P406" s="27"/>
      <c r="Q406" s="27"/>
      <c r="R406" s="27"/>
      <c r="S406" s="27"/>
      <c r="T406" s="27"/>
      <c r="U406" s="27"/>
      <c r="V406" s="27"/>
      <c r="W406" s="10" t="str">
        <f aca="false">IFERROR(INDEX(設定!$E$61:$E$106,MATCH(B406,設定!$B$61:$B$106,0)),"合算")</f>
        <v>合算</v>
      </c>
      <c r="X406" s="28"/>
      <c r="Y406" s="29" t="str">
        <f aca="false">IF(OR(G406="",G406="なし"),"",IF(W406="合算",CF406,IF(W406="掛金・負担金別",(AU406+AV406+AZ406+BB406+BD406),SUM(AU406:AY406))))</f>
        <v/>
      </c>
      <c r="Z406" s="27"/>
      <c r="AA406" s="29" t="str">
        <f aca="false">IF(OR(G406="",G406="なし"),"",IF(W406="掛金・負担金別",(AW406+AX406+AY406+BA406+BC406+BE406),IF(W406="経理区分別",AZ406+BA406,"")))</f>
        <v/>
      </c>
      <c r="AB406" s="27"/>
      <c r="AC406" s="29" t="str">
        <f aca="false">IF(OR(G406="",G406="なし"),"",IF(W406="経理区分別",BB406+BC406,""))</f>
        <v/>
      </c>
      <c r="AD406" s="27"/>
      <c r="AE406" s="29" t="str">
        <f aca="false">IF(OR(G406="",G406="なし"),"",IF(W406="経理区分別",BD406+BE406,""))</f>
        <v/>
      </c>
      <c r="AF406" s="27"/>
      <c r="AG406" s="26"/>
      <c r="AH406" s="26"/>
      <c r="AI406" s="30"/>
      <c r="AJ406" s="31" t="n">
        <v>59475</v>
      </c>
      <c r="AK406" s="31" t="n">
        <v>4875</v>
      </c>
      <c r="AL406" s="31" t="n">
        <v>59475</v>
      </c>
      <c r="AM406" s="31" t="n">
        <v>4875</v>
      </c>
      <c r="AN406" s="31" t="n">
        <v>61</v>
      </c>
      <c r="AO406" s="31" t="n">
        <v>41257</v>
      </c>
      <c r="AP406" s="31" t="n">
        <v>41332</v>
      </c>
      <c r="AQ406" s="31" t="n">
        <v>5925</v>
      </c>
      <c r="AR406" s="31" t="n">
        <v>5925</v>
      </c>
      <c r="AS406" s="31" t="n">
        <v>1</v>
      </c>
      <c r="AT406" s="31" t="n">
        <v>1</v>
      </c>
      <c r="AU406" s="31" t="n">
        <f aca="false">IF($G406="",AJ406,L406)</f>
        <v>59475</v>
      </c>
      <c r="AV406" s="31" t="n">
        <f aca="false">IF($G406="",AK406,M406)</f>
        <v>4875</v>
      </c>
      <c r="AW406" s="31" t="n">
        <f aca="false">IF($G406="",AL406,N406)</f>
        <v>59475</v>
      </c>
      <c r="AX406" s="31" t="n">
        <f aca="false">IF($G406="",AM406,O406)</f>
        <v>4875</v>
      </c>
      <c r="AY406" s="31" t="n">
        <f aca="false">IF($G406="",AN406,P406)</f>
        <v>61</v>
      </c>
      <c r="AZ406" s="31" t="n">
        <f aca="false">IF($G406="",AO406,Q406)</f>
        <v>41257</v>
      </c>
      <c r="BA406" s="31" t="n">
        <f aca="false">IF($G406="",AP406,R406)</f>
        <v>41332</v>
      </c>
      <c r="BB406" s="31" t="n">
        <f aca="false">IF($G406="",AQ406,S406)</f>
        <v>5925</v>
      </c>
      <c r="BC406" s="31" t="n">
        <f aca="false">IF($G406="",AR406,T406)</f>
        <v>5925</v>
      </c>
      <c r="BD406" s="31" t="n">
        <f aca="false">IF($G406="",AS406,U406)</f>
        <v>1</v>
      </c>
      <c r="BE406" s="31" t="n">
        <f aca="false">IF($G406="",AT406,V406)</f>
        <v>1</v>
      </c>
      <c r="BF406" s="31" t="n">
        <f aca="false">ROUNDDOWN(I406*設定!$B$10/1000,0)+ROUNDDOWN(I406*設定!$B$11/1000,0)</f>
        <v>0</v>
      </c>
      <c r="BG406" s="31" t="n">
        <f aca="false">ROUNDDOWN(I406*設定!$C$10/1000,0)+ROUNDDOWN(I406*設定!$C$11/1000,0)+ROUNDDOWN(I406*設定!$C$12/1000,0)</f>
        <v>0</v>
      </c>
      <c r="BH406" s="31" t="n">
        <f aca="false">ROUNDDOWN(J406*設定!$B$13/1000,0)</f>
        <v>0</v>
      </c>
      <c r="BI406" s="31" t="n">
        <f aca="false">ROUNDDOWN(J406*設定!$C$13/1000,0)</f>
        <v>0</v>
      </c>
      <c r="BJ406" s="31" t="n">
        <f aca="false">ROUNDDOWN(K406*設定!$B$14/1000,0)</f>
        <v>0</v>
      </c>
      <c r="BK406" s="31" t="n">
        <f aca="false">ROUNDDOWN(K406*設定!$C$14/1000,0)</f>
        <v>0</v>
      </c>
      <c r="BL406" s="31" t="n">
        <f aca="false">ROUNDDOWN(J406*設定!$B$15/1000,0)</f>
        <v>0</v>
      </c>
      <c r="BM406" s="31" t="n">
        <f aca="false">ROUNDDOWN(J406*設定!$C$15/1000,0)</f>
        <v>0</v>
      </c>
      <c r="BN406" s="31" t="n">
        <f aca="false">L406+M406</f>
        <v>0</v>
      </c>
      <c r="BO406" s="31" t="n">
        <f aca="false">N406+O406+P406</f>
        <v>0</v>
      </c>
      <c r="BP406" s="31" t="n">
        <f aca="false">Q406</f>
        <v>0</v>
      </c>
      <c r="BQ406" s="31" t="n">
        <f aca="false">R406</f>
        <v>0</v>
      </c>
      <c r="BR406" s="31" t="n">
        <f aca="false">S406</f>
        <v>0</v>
      </c>
      <c r="BS406" s="31" t="n">
        <f aca="false">T406</f>
        <v>0</v>
      </c>
      <c r="BT406" s="31" t="n">
        <f aca="false">U406</f>
        <v>0</v>
      </c>
      <c r="BU406" s="31" t="n">
        <f aca="false">V406</f>
        <v>0</v>
      </c>
      <c r="BV406" s="32" t="n">
        <f aca="false">IF(BF406=0,IF(BN406=0,0,1),(BN406-BF406)/BF406)</f>
        <v>0</v>
      </c>
      <c r="BW406" s="32" t="n">
        <f aca="false">IF(BG406=0,IF(BO406=0,0,1),(BO406-BG406)/BG406)</f>
        <v>0</v>
      </c>
      <c r="BX406" s="32" t="n">
        <f aca="false">IF(BH406=0,IF(BP406=0,0,1),(BP406-BH406)/BH406)</f>
        <v>0</v>
      </c>
      <c r="BY406" s="32" t="n">
        <f aca="false">IF(BI406=0,IF(BQ406=0,0,1),(BQ406-BI406)/BI406)</f>
        <v>0</v>
      </c>
      <c r="BZ406" s="32" t="n">
        <f aca="false">IF(BJ406=0,IF(BR406=0,0,1),(BR406-BJ406)/BJ406)</f>
        <v>0</v>
      </c>
      <c r="CA406" s="32" t="n">
        <f aca="false">IF(BK406=0,IF(BS406=0,0,1),(BS406-BK406)/BK406)</f>
        <v>0</v>
      </c>
      <c r="CB406" s="32" t="n">
        <f aca="false">IF(BL406=0,IF(BT406=0,0,1),(BT406-BL406)/BL406)</f>
        <v>0</v>
      </c>
      <c r="CC406" s="32" t="n">
        <f aca="false">IF(BM406=0,IF(BU406=0,0,1),(BU406-BM406)/BM406)</f>
        <v>0</v>
      </c>
      <c r="CD406" s="32" t="n">
        <f aca="false">MAX(MAX(BV406:CC406),-MIN(BV406:CC406))</f>
        <v>-0</v>
      </c>
      <c r="CE406" s="31" t="n">
        <f aca="false">IF(CI406="","",SUMIFS($CF$7:$CF$696,$A$7:$A$696,CI406,$B$7:$B$696,B406))</f>
        <v>215282</v>
      </c>
      <c r="CF406" s="31" t="n">
        <f aca="false">SUM(AU406:BE406)</f>
        <v>223202</v>
      </c>
      <c r="CG406" s="33" t="str">
        <f aca="false">A406&amp;"|"&amp;B406</f>
        <v>2026-11 月例|全国市町村研修財団</v>
      </c>
      <c r="CH406" s="34" t="str">
        <f aca="false">IFERROR(INDEX(設定!$D$61:$D$106,MATCH(B406,設定!$B$61:$B$106,0)),"Y")</f>
        <v>Y</v>
      </c>
      <c r="CI406" s="34" t="str">
        <f aca="false">IFERROR(INDEX(設定!$D$20:$D$34,MATCH(A406,設定!$A$20:$A$34,0))&amp;"","")</f>
        <v>2026-10 月例</v>
      </c>
    </row>
    <row r="407" customFormat="false" ht="15" hidden="true" customHeight="false" outlineLevel="0" collapsed="false">
      <c r="A407" s="22" t="s">
        <v>215</v>
      </c>
      <c r="B407" s="23" t="s">
        <v>193</v>
      </c>
      <c r="C407" s="10" t="str">
        <f aca="false">IF(G407="","未受領",IF(G407="なし","報告なし",IF(AH407="○","起票済",IF(OR(AG407="○",F407="一致",F407="入金不要"),"入金確認済","受領済"))))</f>
        <v>未受領</v>
      </c>
      <c r="D407" s="10" t="str">
        <f aca="false">IF(OR(G407="",G407="なし"),"―",IF(CH407="N","対象外",IF(AND(I407="",J407="",K407=""),"標報未入力",IF(CD407&gt;=設定!$B$4,"要確認","問題なし"))))</f>
        <v>―</v>
      </c>
      <c r="E407" s="24" t="str">
        <f aca="false">IF(OR(G407="",G407="なし",CE407="",CF407=0),"―",IF(CF407=CE407,"前月同額",IF(CE407=0,"―",IF(ABS(CF407/CE407-1)&gt;=設定!$B$5,"変動大 "&amp;TEXT(CF407/CE407-1,"+0%;-0%"),"〇"))))</f>
        <v>―</v>
      </c>
      <c r="F407" s="10" t="str">
        <f aca="false">IF(OR(G407="",G407="なし"),"―",IF(CF407=0,"入金不要",IF(COUNT(Z407,AB407,AD407,AF407)=0,IF(AG407="○","手動確認","未入金"),IF(AND(N(Z407)=Y407,IF(AA407="",TRUE(),N(AB407)=AA407),IF(AC407="",TRUE(),N(AD407)=AC407),IF(AE407="",TRUE(),N(AF407)=AE407)),"一致","不一致"))))</f>
        <v>―</v>
      </c>
      <c r="G407" s="25"/>
      <c r="H407" s="26"/>
      <c r="I407" s="27"/>
      <c r="J407" s="27"/>
      <c r="K407" s="27"/>
      <c r="L407" s="27"/>
      <c r="M407" s="27"/>
      <c r="N407" s="27"/>
      <c r="O407" s="27"/>
      <c r="P407" s="27"/>
      <c r="Q407" s="27"/>
      <c r="R407" s="27"/>
      <c r="S407" s="27"/>
      <c r="T407" s="27"/>
      <c r="U407" s="27"/>
      <c r="V407" s="27"/>
      <c r="W407" s="10" t="str">
        <f aca="false">IFERROR(INDEX(設定!$E$61:$E$106,MATCH(B407,設定!$B$61:$B$106,0)),"合算")</f>
        <v>合算</v>
      </c>
      <c r="X407" s="28"/>
      <c r="Y407" s="29" t="str">
        <f aca="false">IF(OR(G407="",G407="なし"),"",IF(W407="合算",CF407,IF(W407="掛金・負担金別",(AU407+AV407+AZ407+BB407+BD407),SUM(AU407:AY407))))</f>
        <v/>
      </c>
      <c r="Z407" s="27"/>
      <c r="AA407" s="29" t="str">
        <f aca="false">IF(OR(G407="",G407="なし"),"",IF(W407="掛金・負担金別",(AW407+AX407+AY407+BA407+BC407+BE407),IF(W407="経理区分別",AZ407+BA407,"")))</f>
        <v/>
      </c>
      <c r="AB407" s="27"/>
      <c r="AC407" s="29" t="str">
        <f aca="false">IF(OR(G407="",G407="なし"),"",IF(W407="経理区分別",BB407+BC407,""))</f>
        <v/>
      </c>
      <c r="AD407" s="27"/>
      <c r="AE407" s="29" t="str">
        <f aca="false">IF(OR(G407="",G407="なし"),"",IF(W407="経理区分別",BD407+BE407,""))</f>
        <v/>
      </c>
      <c r="AF407" s="27"/>
      <c r="AG407" s="26"/>
      <c r="AH407" s="26"/>
      <c r="AI407" s="30"/>
      <c r="AJ407" s="31" t="n">
        <v>48495</v>
      </c>
      <c r="AK407" s="31" t="n">
        <v>3975</v>
      </c>
      <c r="AL407" s="31" t="n">
        <v>48495</v>
      </c>
      <c r="AM407" s="31" t="n">
        <v>3975</v>
      </c>
      <c r="AN407" s="31" t="n">
        <v>49</v>
      </c>
      <c r="AO407" s="31" t="n">
        <v>29155</v>
      </c>
      <c r="AP407" s="31" t="n">
        <v>29208</v>
      </c>
      <c r="AQ407" s="31" t="n">
        <v>0</v>
      </c>
      <c r="AR407" s="31" t="n">
        <v>0</v>
      </c>
      <c r="AS407" s="31" t="n">
        <v>1</v>
      </c>
      <c r="AT407" s="31" t="n">
        <v>1</v>
      </c>
      <c r="AU407" s="31" t="n">
        <f aca="false">IF($G407="",AJ407,L407)</f>
        <v>48495</v>
      </c>
      <c r="AV407" s="31" t="n">
        <f aca="false">IF($G407="",AK407,M407)</f>
        <v>3975</v>
      </c>
      <c r="AW407" s="31" t="n">
        <f aca="false">IF($G407="",AL407,N407)</f>
        <v>48495</v>
      </c>
      <c r="AX407" s="31" t="n">
        <f aca="false">IF($G407="",AM407,O407)</f>
        <v>3975</v>
      </c>
      <c r="AY407" s="31" t="n">
        <f aca="false">IF($G407="",AN407,P407)</f>
        <v>49</v>
      </c>
      <c r="AZ407" s="31" t="n">
        <f aca="false">IF($G407="",AO407,Q407)</f>
        <v>29155</v>
      </c>
      <c r="BA407" s="31" t="n">
        <f aca="false">IF($G407="",AP407,R407)</f>
        <v>29208</v>
      </c>
      <c r="BB407" s="31" t="n">
        <f aca="false">IF($G407="",AQ407,S407)</f>
        <v>0</v>
      </c>
      <c r="BC407" s="31" t="n">
        <f aca="false">IF($G407="",AR407,T407)</f>
        <v>0</v>
      </c>
      <c r="BD407" s="31" t="n">
        <f aca="false">IF($G407="",AS407,U407)</f>
        <v>1</v>
      </c>
      <c r="BE407" s="31" t="n">
        <f aca="false">IF($G407="",AT407,V407)</f>
        <v>1</v>
      </c>
      <c r="BF407" s="31" t="n">
        <f aca="false">ROUNDDOWN(I407*設定!$B$10/1000,0)+ROUNDDOWN(I407*設定!$B$11/1000,0)</f>
        <v>0</v>
      </c>
      <c r="BG407" s="31" t="n">
        <f aca="false">ROUNDDOWN(I407*設定!$C$10/1000,0)+ROUNDDOWN(I407*設定!$C$11/1000,0)+ROUNDDOWN(I407*設定!$C$12/1000,0)</f>
        <v>0</v>
      </c>
      <c r="BH407" s="31" t="n">
        <f aca="false">ROUNDDOWN(J407*設定!$B$13/1000,0)</f>
        <v>0</v>
      </c>
      <c r="BI407" s="31" t="n">
        <f aca="false">ROUNDDOWN(J407*設定!$C$13/1000,0)</f>
        <v>0</v>
      </c>
      <c r="BJ407" s="31" t="n">
        <f aca="false">ROUNDDOWN(K407*設定!$B$14/1000,0)</f>
        <v>0</v>
      </c>
      <c r="BK407" s="31" t="n">
        <f aca="false">ROUNDDOWN(K407*設定!$C$14/1000,0)</f>
        <v>0</v>
      </c>
      <c r="BL407" s="31" t="n">
        <f aca="false">ROUNDDOWN(J407*設定!$B$15/1000,0)</f>
        <v>0</v>
      </c>
      <c r="BM407" s="31" t="n">
        <f aca="false">ROUNDDOWN(J407*設定!$C$15/1000,0)</f>
        <v>0</v>
      </c>
      <c r="BN407" s="31" t="n">
        <f aca="false">L407+M407</f>
        <v>0</v>
      </c>
      <c r="BO407" s="31" t="n">
        <f aca="false">N407+O407+P407</f>
        <v>0</v>
      </c>
      <c r="BP407" s="31" t="n">
        <f aca="false">Q407</f>
        <v>0</v>
      </c>
      <c r="BQ407" s="31" t="n">
        <f aca="false">R407</f>
        <v>0</v>
      </c>
      <c r="BR407" s="31" t="n">
        <f aca="false">S407</f>
        <v>0</v>
      </c>
      <c r="BS407" s="31" t="n">
        <f aca="false">T407</f>
        <v>0</v>
      </c>
      <c r="BT407" s="31" t="n">
        <f aca="false">U407</f>
        <v>0</v>
      </c>
      <c r="BU407" s="31" t="n">
        <f aca="false">V407</f>
        <v>0</v>
      </c>
      <c r="BV407" s="32" t="n">
        <f aca="false">IF(BF407=0,IF(BN407=0,0,1),(BN407-BF407)/BF407)</f>
        <v>0</v>
      </c>
      <c r="BW407" s="32" t="n">
        <f aca="false">IF(BG407=0,IF(BO407=0,0,1),(BO407-BG407)/BG407)</f>
        <v>0</v>
      </c>
      <c r="BX407" s="32" t="n">
        <f aca="false">IF(BH407=0,IF(BP407=0,0,1),(BP407-BH407)/BH407)</f>
        <v>0</v>
      </c>
      <c r="BY407" s="32" t="n">
        <f aca="false">IF(BI407=0,IF(BQ407=0,0,1),(BQ407-BI407)/BI407)</f>
        <v>0</v>
      </c>
      <c r="BZ407" s="32" t="n">
        <f aca="false">IF(BJ407=0,IF(BR407=0,0,1),(BR407-BJ407)/BJ407)</f>
        <v>0</v>
      </c>
      <c r="CA407" s="32" t="n">
        <f aca="false">IF(BK407=0,IF(BS407=0,0,1),(BS407-BK407)/BK407)</f>
        <v>0</v>
      </c>
      <c r="CB407" s="32" t="n">
        <f aca="false">IF(BL407=0,IF(BT407=0,0,1),(BT407-BL407)/BL407)</f>
        <v>0</v>
      </c>
      <c r="CC407" s="32" t="n">
        <f aca="false">IF(BM407=0,IF(BU407=0,0,1),(BU407-BM407)/BM407)</f>
        <v>0</v>
      </c>
      <c r="CD407" s="32" t="n">
        <f aca="false">MAX(MAX(BV407:CC407),-MIN(BV407:CC407))</f>
        <v>-0</v>
      </c>
      <c r="CE407" s="31" t="n">
        <f aca="false">IF(CI407="","",SUMIFS($CF$7:$CF$696,$A$7:$A$696,CI407,$B$7:$B$696,B407))</f>
        <v>152078</v>
      </c>
      <c r="CF407" s="31" t="n">
        <f aca="false">SUM(AU407:BE407)</f>
        <v>163354</v>
      </c>
      <c r="CG407" s="33" t="str">
        <f aca="false">A407&amp;"|"&amp;B407</f>
        <v>2026-11 月例|都市再生機構</v>
      </c>
      <c r="CH407" s="34" t="str">
        <f aca="false">IFERROR(INDEX(設定!$D$61:$D$106,MATCH(B407,設定!$B$61:$B$106,0)),"Y")</f>
        <v>Y</v>
      </c>
      <c r="CI407" s="34" t="str">
        <f aca="false">IFERROR(INDEX(設定!$D$20:$D$34,MATCH(A407,設定!$A$20:$A$34,0))&amp;"","")</f>
        <v>2026-10 月例</v>
      </c>
    </row>
    <row r="408" customFormat="false" ht="15" hidden="true" customHeight="false" outlineLevel="0" collapsed="false">
      <c r="A408" s="22" t="s">
        <v>215</v>
      </c>
      <c r="B408" s="23" t="s">
        <v>194</v>
      </c>
      <c r="C408" s="10" t="str">
        <f aca="false">IF(G408="","未受領",IF(G408="なし","報告なし",IF(AH408="○","起票済",IF(OR(AG408="○",F408="一致",F408="入金不要"),"入金確認済","受領済"))))</f>
        <v>未受領</v>
      </c>
      <c r="D408" s="10" t="str">
        <f aca="false">IF(OR(G408="",G408="なし"),"―",IF(CH408="N","対象外",IF(AND(I408="",J408="",K408=""),"標報未入力",IF(CD408&gt;=設定!$B$4,"要確認","問題なし"))))</f>
        <v>―</v>
      </c>
      <c r="E408" s="24" t="str">
        <f aca="false">IF(OR(G408="",G408="なし",CE408="",CF408=0),"―",IF(CF408=CE408,"前月同額",IF(CE408=0,"―",IF(ABS(CF408/CE408-1)&gt;=設定!$B$5,"変動大 "&amp;TEXT(CF408/CE408-1,"+0%;-0%"),"〇"))))</f>
        <v>―</v>
      </c>
      <c r="F408" s="10" t="str">
        <f aca="false">IF(OR(G408="",G408="なし"),"―",IF(CF408=0,"入金不要",IF(COUNT(Z408,AB408,AD408,AF408)=0,IF(AG408="○","手動確認","未入金"),IF(AND(N(Z408)=Y408,IF(AA408="",TRUE(),N(AB408)=AA408),IF(AC408="",TRUE(),N(AD408)=AC408),IF(AE408="",TRUE(),N(AF408)=AE408)),"一致","不一致"))))</f>
        <v>―</v>
      </c>
      <c r="G408" s="25"/>
      <c r="H408" s="26"/>
      <c r="I408" s="27"/>
      <c r="J408" s="27"/>
      <c r="K408" s="27"/>
      <c r="L408" s="27"/>
      <c r="M408" s="27"/>
      <c r="N408" s="27"/>
      <c r="O408" s="27"/>
      <c r="P408" s="27"/>
      <c r="Q408" s="27"/>
      <c r="R408" s="27"/>
      <c r="S408" s="27"/>
      <c r="T408" s="27"/>
      <c r="U408" s="27"/>
      <c r="V408" s="27"/>
      <c r="W408" s="10" t="str">
        <f aca="false">IFERROR(INDEX(設定!$E$61:$E$106,MATCH(B408,設定!$B$61:$B$106,0)),"合算")</f>
        <v>合算</v>
      </c>
      <c r="X408" s="28"/>
      <c r="Y408" s="29" t="str">
        <f aca="false">IF(OR(G408="",G408="なし"),"",IF(W408="合算",CF408,IF(W408="掛金・負担金別",(AU408+AV408+AZ408+BB408+BD408),SUM(AU408:AY408))))</f>
        <v/>
      </c>
      <c r="Z408" s="27"/>
      <c r="AA408" s="29" t="str">
        <f aca="false">IF(OR(G408="",G408="なし"),"",IF(W408="掛金・負担金別",(AW408+AX408+AY408+BA408+BC408+BE408),IF(W408="経理区分別",AZ408+BA408,"")))</f>
        <v/>
      </c>
      <c r="AB408" s="27"/>
      <c r="AC408" s="29" t="str">
        <f aca="false">IF(OR(G408="",G408="なし"),"",IF(W408="経理区分別",BB408+BC408,""))</f>
        <v/>
      </c>
      <c r="AD408" s="27"/>
      <c r="AE408" s="29" t="str">
        <f aca="false">IF(OR(G408="",G408="なし"),"",IF(W408="経理区分別",BD408+BE408,""))</f>
        <v/>
      </c>
      <c r="AF408" s="27"/>
      <c r="AG408" s="26"/>
      <c r="AH408" s="26"/>
      <c r="AI408" s="30"/>
      <c r="AJ408" s="31" t="n">
        <v>1122705</v>
      </c>
      <c r="AK408" s="31" t="n">
        <v>92025</v>
      </c>
      <c r="AL408" s="31" t="n">
        <v>1122705</v>
      </c>
      <c r="AM408" s="31" t="n">
        <v>92025</v>
      </c>
      <c r="AN408" s="31" t="n">
        <v>1337</v>
      </c>
      <c r="AO408" s="31" t="n">
        <v>674963</v>
      </c>
      <c r="AP408" s="31" t="n">
        <v>676398</v>
      </c>
      <c r="AQ408" s="31" t="n">
        <v>64227</v>
      </c>
      <c r="AR408" s="31" t="n">
        <v>64227</v>
      </c>
      <c r="AS408" s="31" t="n">
        <v>1</v>
      </c>
      <c r="AT408" s="31" t="n">
        <v>1</v>
      </c>
      <c r="AU408" s="31" t="n">
        <f aca="false">IF($G408="",AJ408,L408)</f>
        <v>1122705</v>
      </c>
      <c r="AV408" s="31" t="n">
        <f aca="false">IF($G408="",AK408,M408)</f>
        <v>92025</v>
      </c>
      <c r="AW408" s="31" t="n">
        <f aca="false">IF($G408="",AL408,N408)</f>
        <v>1122705</v>
      </c>
      <c r="AX408" s="31" t="n">
        <f aca="false">IF($G408="",AM408,O408)</f>
        <v>92025</v>
      </c>
      <c r="AY408" s="31" t="n">
        <f aca="false">IF($G408="",AN408,P408)</f>
        <v>1337</v>
      </c>
      <c r="AZ408" s="31" t="n">
        <f aca="false">IF($G408="",AO408,Q408)</f>
        <v>674963</v>
      </c>
      <c r="BA408" s="31" t="n">
        <f aca="false">IF($G408="",AP408,R408)</f>
        <v>676398</v>
      </c>
      <c r="BB408" s="31" t="n">
        <f aca="false">IF($G408="",AQ408,S408)</f>
        <v>64227</v>
      </c>
      <c r="BC408" s="31" t="n">
        <f aca="false">IF($G408="",AR408,T408)</f>
        <v>64227</v>
      </c>
      <c r="BD408" s="31" t="n">
        <f aca="false">IF($G408="",AS408,U408)</f>
        <v>1</v>
      </c>
      <c r="BE408" s="31" t="n">
        <f aca="false">IF($G408="",AT408,V408)</f>
        <v>1</v>
      </c>
      <c r="BF408" s="31" t="n">
        <f aca="false">ROUNDDOWN(I408*設定!$B$10/1000,0)+ROUNDDOWN(I408*設定!$B$11/1000,0)</f>
        <v>0</v>
      </c>
      <c r="BG408" s="31" t="n">
        <f aca="false">ROUNDDOWN(I408*設定!$C$10/1000,0)+ROUNDDOWN(I408*設定!$C$11/1000,0)+ROUNDDOWN(I408*設定!$C$12/1000,0)</f>
        <v>0</v>
      </c>
      <c r="BH408" s="31" t="n">
        <f aca="false">ROUNDDOWN(J408*設定!$B$13/1000,0)</f>
        <v>0</v>
      </c>
      <c r="BI408" s="31" t="n">
        <f aca="false">ROUNDDOWN(J408*設定!$C$13/1000,0)</f>
        <v>0</v>
      </c>
      <c r="BJ408" s="31" t="n">
        <f aca="false">ROUNDDOWN(K408*設定!$B$14/1000,0)</f>
        <v>0</v>
      </c>
      <c r="BK408" s="31" t="n">
        <f aca="false">ROUNDDOWN(K408*設定!$C$14/1000,0)</f>
        <v>0</v>
      </c>
      <c r="BL408" s="31" t="n">
        <f aca="false">ROUNDDOWN(J408*設定!$B$15/1000,0)</f>
        <v>0</v>
      </c>
      <c r="BM408" s="31" t="n">
        <f aca="false">ROUNDDOWN(J408*設定!$C$15/1000,0)</f>
        <v>0</v>
      </c>
      <c r="BN408" s="31" t="n">
        <f aca="false">L408+M408</f>
        <v>0</v>
      </c>
      <c r="BO408" s="31" t="n">
        <f aca="false">N408+O408+P408</f>
        <v>0</v>
      </c>
      <c r="BP408" s="31" t="n">
        <f aca="false">Q408</f>
        <v>0</v>
      </c>
      <c r="BQ408" s="31" t="n">
        <f aca="false">R408</f>
        <v>0</v>
      </c>
      <c r="BR408" s="31" t="n">
        <f aca="false">S408</f>
        <v>0</v>
      </c>
      <c r="BS408" s="31" t="n">
        <f aca="false">T408</f>
        <v>0</v>
      </c>
      <c r="BT408" s="31" t="n">
        <f aca="false">U408</f>
        <v>0</v>
      </c>
      <c r="BU408" s="31" t="n">
        <f aca="false">V408</f>
        <v>0</v>
      </c>
      <c r="BV408" s="32" t="n">
        <f aca="false">IF(BF408=0,IF(BN408=0,0,1),(BN408-BF408)/BF408)</f>
        <v>0</v>
      </c>
      <c r="BW408" s="32" t="n">
        <f aca="false">IF(BG408=0,IF(BO408=0,0,1),(BO408-BG408)/BG408)</f>
        <v>0</v>
      </c>
      <c r="BX408" s="32" t="n">
        <f aca="false">IF(BH408=0,IF(BP408=0,0,1),(BP408-BH408)/BH408)</f>
        <v>0</v>
      </c>
      <c r="BY408" s="32" t="n">
        <f aca="false">IF(BI408=0,IF(BQ408=0,0,1),(BQ408-BI408)/BI408)</f>
        <v>0</v>
      </c>
      <c r="BZ408" s="32" t="n">
        <f aca="false">IF(BJ408=0,IF(BR408=0,0,1),(BR408-BJ408)/BJ408)</f>
        <v>0</v>
      </c>
      <c r="CA408" s="32" t="n">
        <f aca="false">IF(BK408=0,IF(BS408=0,0,1),(BS408-BK408)/BK408)</f>
        <v>0</v>
      </c>
      <c r="CB408" s="32" t="n">
        <f aca="false">IF(BL408=0,IF(BT408=0,0,1),(BT408-BL408)/BL408)</f>
        <v>0</v>
      </c>
      <c r="CC408" s="32" t="n">
        <f aca="false">IF(BM408=0,IF(BU408=0,0,1),(BU408-BM408)/BM408)</f>
        <v>0</v>
      </c>
      <c r="CD408" s="32" t="n">
        <f aca="false">MAX(MAX(BV408:CC408),-MIN(BV408:CC408))</f>
        <v>-0</v>
      </c>
      <c r="CE408" s="31" t="n">
        <f aca="false">IF(CI408="","",SUMIFS($CF$7:$CF$696,$A$7:$A$696,CI408,$B$7:$B$696,B408))</f>
        <v>4286396</v>
      </c>
      <c r="CF408" s="31" t="n">
        <f aca="false">SUM(AU408:BE408)</f>
        <v>3910614</v>
      </c>
      <c r="CG408" s="33" t="str">
        <f aca="false">A408&amp;"|"&amp;B408</f>
        <v>2026-11 月例|広島市立大学</v>
      </c>
      <c r="CH408" s="34" t="str">
        <f aca="false">IFERROR(INDEX(設定!$D$61:$D$106,MATCH(B408,設定!$B$61:$B$106,0)),"Y")</f>
        <v>Y</v>
      </c>
      <c r="CI408" s="34" t="str">
        <f aca="false">IFERROR(INDEX(設定!$D$20:$D$34,MATCH(A408,設定!$A$20:$A$34,0))&amp;"","")</f>
        <v>2026-10 月例</v>
      </c>
    </row>
    <row r="409" customFormat="false" ht="15" hidden="true" customHeight="false" outlineLevel="0" collapsed="false">
      <c r="A409" s="22" t="s">
        <v>215</v>
      </c>
      <c r="B409" s="23" t="s">
        <v>195</v>
      </c>
      <c r="C409" s="10" t="str">
        <f aca="false">IF(G409="","未受領",IF(G409="なし","報告なし",IF(AH409="○","起票済",IF(OR(AG409="○",F409="一致",F409="入金不要"),"入金確認済","受領済"))))</f>
        <v>未受領</v>
      </c>
      <c r="D409" s="10" t="str">
        <f aca="false">IF(OR(G409="",G409="なし"),"―",IF(CH409="N","対象外",IF(AND(I409="",J409="",K409=""),"標報未入力",IF(CD409&gt;=設定!$B$4,"要確認","問題なし"))))</f>
        <v>―</v>
      </c>
      <c r="E409" s="24" t="str">
        <f aca="false">IF(OR(G409="",G409="なし",CE409="",CF409=0),"―",IF(CF409=CE409,"前月同額",IF(CE409=0,"―",IF(ABS(CF409/CE409-1)&gt;=設定!$B$5,"変動大 "&amp;TEXT(CF409/CE409-1,"+0%;-0%"),"〇"))))</f>
        <v>―</v>
      </c>
      <c r="F409" s="10" t="str">
        <f aca="false">IF(OR(G409="",G409="なし"),"―",IF(CF409=0,"入金不要",IF(COUNT(Z409,AB409,AD409,AF409)=0,IF(AG409="○","手動確認","未入金"),IF(AND(N(Z409)=Y409,IF(AA409="",TRUE(),N(AB409)=AA409),IF(AC409="",TRUE(),N(AD409)=AC409),IF(AE409="",TRUE(),N(AF409)=AE409)),"一致","不一致"))))</f>
        <v>―</v>
      </c>
      <c r="G409" s="25"/>
      <c r="H409" s="26"/>
      <c r="I409" s="27"/>
      <c r="J409" s="27"/>
      <c r="K409" s="27"/>
      <c r="L409" s="27"/>
      <c r="M409" s="27"/>
      <c r="N409" s="27"/>
      <c r="O409" s="27"/>
      <c r="P409" s="27"/>
      <c r="Q409" s="27"/>
      <c r="R409" s="27"/>
      <c r="S409" s="27"/>
      <c r="T409" s="27"/>
      <c r="U409" s="27"/>
      <c r="V409" s="27"/>
      <c r="W409" s="10" t="str">
        <f aca="false">IFERROR(INDEX(設定!$E$61:$E$106,MATCH(B409,設定!$B$61:$B$106,0)),"合算")</f>
        <v>合算</v>
      </c>
      <c r="X409" s="28"/>
      <c r="Y409" s="29" t="str">
        <f aca="false">IF(OR(G409="",G409="なし"),"",IF(W409="合算",CF409,IF(W409="掛金・負担金別",(AU409+AV409+AZ409+BB409+BD409),SUM(AU409:AY409))))</f>
        <v/>
      </c>
      <c r="Z409" s="27"/>
      <c r="AA409" s="29" t="str">
        <f aca="false">IF(OR(G409="",G409="なし"),"",IF(W409="掛金・負担金別",(AW409+AX409+AY409+BA409+BC409+BE409),IF(W409="経理区分別",AZ409+BA409,"")))</f>
        <v/>
      </c>
      <c r="AB409" s="27"/>
      <c r="AC409" s="29" t="str">
        <f aca="false">IF(OR(G409="",G409="なし"),"",IF(W409="経理区分別",BB409+BC409,""))</f>
        <v/>
      </c>
      <c r="AD409" s="27"/>
      <c r="AE409" s="29" t="str">
        <f aca="false">IF(OR(G409="",G409="なし"),"",IF(W409="経理区分別",BD409+BE409,""))</f>
        <v/>
      </c>
      <c r="AF409" s="27"/>
      <c r="AG409" s="26"/>
      <c r="AH409" s="26"/>
      <c r="AI409" s="30"/>
      <c r="AJ409" s="31"/>
      <c r="AK409" s="31"/>
      <c r="AL409" s="31" t="n">
        <v>245220</v>
      </c>
      <c r="AM409" s="31" t="n">
        <v>20100</v>
      </c>
      <c r="AN409" s="31" t="n">
        <v>251</v>
      </c>
      <c r="AO409" s="31"/>
      <c r="AP409" s="31" t="n">
        <v>151001</v>
      </c>
      <c r="AQ409" s="31"/>
      <c r="AR409" s="31" t="n">
        <v>10744</v>
      </c>
      <c r="AS409" s="31"/>
      <c r="AT409" s="31" t="n">
        <v>1</v>
      </c>
      <c r="AU409" s="31" t="n">
        <f aca="false">IF($G409="",AJ409,L409)</f>
        <v>0</v>
      </c>
      <c r="AV409" s="31" t="n">
        <f aca="false">IF($G409="",AK409,M409)</f>
        <v>0</v>
      </c>
      <c r="AW409" s="31" t="n">
        <f aca="false">IF($G409="",AL409,N409)</f>
        <v>245220</v>
      </c>
      <c r="AX409" s="31" t="n">
        <f aca="false">IF($G409="",AM409,O409)</f>
        <v>20100</v>
      </c>
      <c r="AY409" s="31" t="n">
        <f aca="false">IF($G409="",AN409,P409)</f>
        <v>251</v>
      </c>
      <c r="AZ409" s="31" t="n">
        <f aca="false">IF($G409="",AO409,Q409)</f>
        <v>0</v>
      </c>
      <c r="BA409" s="31" t="n">
        <f aca="false">IF($G409="",AP409,R409)</f>
        <v>151001</v>
      </c>
      <c r="BB409" s="31" t="n">
        <f aca="false">IF($G409="",AQ409,S409)</f>
        <v>0</v>
      </c>
      <c r="BC409" s="31" t="n">
        <f aca="false">IF($G409="",AR409,T409)</f>
        <v>10744</v>
      </c>
      <c r="BD409" s="31" t="n">
        <f aca="false">IF($G409="",AS409,U409)</f>
        <v>0</v>
      </c>
      <c r="BE409" s="31" t="n">
        <f aca="false">IF($G409="",AT409,V409)</f>
        <v>1</v>
      </c>
      <c r="BF409" s="31" t="n">
        <f aca="false">ROUNDDOWN(I409*設定!$B$10/1000,0)+ROUNDDOWN(I409*設定!$B$11/1000,0)</f>
        <v>0</v>
      </c>
      <c r="BG409" s="31" t="n">
        <f aca="false">ROUNDDOWN(I409*設定!$C$10/1000,0)+ROUNDDOWN(I409*設定!$C$11/1000,0)+ROUNDDOWN(I409*設定!$C$12/1000,0)</f>
        <v>0</v>
      </c>
      <c r="BH409" s="31" t="n">
        <f aca="false">ROUNDDOWN(J409*設定!$B$13/1000,0)</f>
        <v>0</v>
      </c>
      <c r="BI409" s="31" t="n">
        <f aca="false">ROUNDDOWN(J409*設定!$C$13/1000,0)</f>
        <v>0</v>
      </c>
      <c r="BJ409" s="31" t="n">
        <f aca="false">ROUNDDOWN(K409*設定!$B$14/1000,0)</f>
        <v>0</v>
      </c>
      <c r="BK409" s="31" t="n">
        <f aca="false">ROUNDDOWN(K409*設定!$C$14/1000,0)</f>
        <v>0</v>
      </c>
      <c r="BL409" s="31" t="n">
        <f aca="false">ROUNDDOWN(J409*設定!$B$15/1000,0)</f>
        <v>0</v>
      </c>
      <c r="BM409" s="31" t="n">
        <f aca="false">ROUNDDOWN(J409*設定!$C$15/1000,0)</f>
        <v>0</v>
      </c>
      <c r="BN409" s="31" t="n">
        <f aca="false">L409+M409</f>
        <v>0</v>
      </c>
      <c r="BO409" s="31" t="n">
        <f aca="false">N409+O409+P409</f>
        <v>0</v>
      </c>
      <c r="BP409" s="31" t="n">
        <f aca="false">Q409</f>
        <v>0</v>
      </c>
      <c r="BQ409" s="31" t="n">
        <f aca="false">R409</f>
        <v>0</v>
      </c>
      <c r="BR409" s="31" t="n">
        <f aca="false">S409</f>
        <v>0</v>
      </c>
      <c r="BS409" s="31" t="n">
        <f aca="false">T409</f>
        <v>0</v>
      </c>
      <c r="BT409" s="31" t="n">
        <f aca="false">U409</f>
        <v>0</v>
      </c>
      <c r="BU409" s="31" t="n">
        <f aca="false">V409</f>
        <v>0</v>
      </c>
      <c r="BV409" s="32" t="n">
        <f aca="false">IF(BF409=0,IF(BN409=0,0,1),(BN409-BF409)/BF409)</f>
        <v>0</v>
      </c>
      <c r="BW409" s="32" t="n">
        <f aca="false">IF(BG409=0,IF(BO409=0,0,1),(BO409-BG409)/BG409)</f>
        <v>0</v>
      </c>
      <c r="BX409" s="32" t="n">
        <f aca="false">IF(BH409=0,IF(BP409=0,0,1),(BP409-BH409)/BH409)</f>
        <v>0</v>
      </c>
      <c r="BY409" s="32" t="n">
        <f aca="false">IF(BI409=0,IF(BQ409=0,0,1),(BQ409-BI409)/BI409)</f>
        <v>0</v>
      </c>
      <c r="BZ409" s="32" t="n">
        <f aca="false">IF(BJ409=0,IF(BR409=0,0,1),(BR409-BJ409)/BJ409)</f>
        <v>0</v>
      </c>
      <c r="CA409" s="32" t="n">
        <f aca="false">IF(BK409=0,IF(BS409=0,0,1),(BS409-BK409)/BK409)</f>
        <v>0</v>
      </c>
      <c r="CB409" s="32" t="n">
        <f aca="false">IF(BL409=0,IF(BT409=0,0,1),(BT409-BL409)/BL409)</f>
        <v>0</v>
      </c>
      <c r="CC409" s="32" t="n">
        <f aca="false">IF(BM409=0,IF(BU409=0,0,1),(BU409-BM409)/BM409)</f>
        <v>0</v>
      </c>
      <c r="CD409" s="32" t="n">
        <f aca="false">MAX(MAX(BV409:CC409),-MIN(BV409:CC409))</f>
        <v>-0</v>
      </c>
      <c r="CE409" s="31" t="n">
        <f aca="false">IF(CI409="","",SUMIFS($CF$7:$CF$696,$A$7:$A$696,CI409,$B$7:$B$696,B409))</f>
        <v>427317</v>
      </c>
      <c r="CF409" s="31" t="n">
        <f aca="false">SUM(AU409:BE409)</f>
        <v>427317</v>
      </c>
      <c r="CG409" s="33" t="str">
        <f aca="false">A409&amp;"|"&amp;B409</f>
        <v>2026-11 月例|社会福祉協議会</v>
      </c>
      <c r="CH409" s="34" t="str">
        <f aca="false">IFERROR(INDEX(設定!$D$61:$D$106,MATCH(B409,設定!$B$61:$B$106,0)),"Y")</f>
        <v>Y</v>
      </c>
      <c r="CI409" s="34" t="str">
        <f aca="false">IFERROR(INDEX(設定!$D$20:$D$34,MATCH(A409,設定!$A$20:$A$34,0))&amp;"","")</f>
        <v>2026-10 月例</v>
      </c>
    </row>
    <row r="410" customFormat="false" ht="15" hidden="true" customHeight="false" outlineLevel="0" collapsed="false">
      <c r="A410" s="22" t="s">
        <v>215</v>
      </c>
      <c r="B410" s="23" t="s">
        <v>196</v>
      </c>
      <c r="C410" s="10" t="str">
        <f aca="false">IF(G410="","未受領",IF(G410="なし","報告なし",IF(AH410="○","起票済",IF(OR(AG410="○",F410="一致",F410="入金不要"),"入金確認済","受領済"))))</f>
        <v>未受領</v>
      </c>
      <c r="D410" s="10" t="str">
        <f aca="false">IF(OR(G410="",G410="なし"),"―",IF(CH410="N","対象外",IF(AND(I410="",J410="",K410=""),"標報未入力",IF(CD410&gt;=設定!$B$4,"要確認","問題なし"))))</f>
        <v>―</v>
      </c>
      <c r="E410" s="24" t="str">
        <f aca="false">IF(OR(G410="",G410="なし",CE410="",CF410=0),"―",IF(CF410=CE410,"前月同額",IF(CE410=0,"―",IF(ABS(CF410/CE410-1)&gt;=設定!$B$5,"変動大 "&amp;TEXT(CF410/CE410-1,"+0%;-0%"),"〇"))))</f>
        <v>―</v>
      </c>
      <c r="F410" s="10" t="str">
        <f aca="false">IF(OR(G410="",G410="なし"),"―",IF(CF410=0,"入金不要",IF(COUNT(Z410,AB410,AD410,AF410)=0,IF(AG410="○","手動確認","未入金"),IF(AND(N(Z410)=Y410,IF(AA410="",TRUE(),N(AB410)=AA410),IF(AC410="",TRUE(),N(AD410)=AC410),IF(AE410="",TRUE(),N(AF410)=AE410)),"一致","不一致"))))</f>
        <v>―</v>
      </c>
      <c r="G410" s="25"/>
      <c r="H410" s="26"/>
      <c r="I410" s="27"/>
      <c r="J410" s="27"/>
      <c r="K410" s="27"/>
      <c r="L410" s="27"/>
      <c r="M410" s="27"/>
      <c r="N410" s="27"/>
      <c r="O410" s="27"/>
      <c r="P410" s="27"/>
      <c r="Q410" s="27"/>
      <c r="R410" s="27"/>
      <c r="S410" s="27"/>
      <c r="T410" s="27"/>
      <c r="U410" s="27"/>
      <c r="V410" s="27"/>
      <c r="W410" s="10" t="str">
        <f aca="false">IFERROR(INDEX(設定!$E$61:$E$106,MATCH(B410,設定!$B$61:$B$106,0)),"合算")</f>
        <v>合算</v>
      </c>
      <c r="X410" s="28"/>
      <c r="Y410" s="29" t="str">
        <f aca="false">IF(OR(G410="",G410="なし"),"",IF(W410="合算",CF410,IF(W410="掛金・負担金別",(AU410+AV410+AZ410+BB410+BD410),SUM(AU410:AY410))))</f>
        <v/>
      </c>
      <c r="Z410" s="27"/>
      <c r="AA410" s="29" t="str">
        <f aca="false">IF(OR(G410="",G410="なし"),"",IF(W410="掛金・負担金別",(AW410+AX410+AY410+BA410+BC410+BE410),IF(W410="経理区分別",AZ410+BA410,"")))</f>
        <v/>
      </c>
      <c r="AB410" s="27"/>
      <c r="AC410" s="29" t="str">
        <f aca="false">IF(OR(G410="",G410="なし"),"",IF(W410="経理区分別",BB410+BC410,""))</f>
        <v/>
      </c>
      <c r="AD410" s="27"/>
      <c r="AE410" s="29" t="str">
        <f aca="false">IF(OR(G410="",G410="なし"),"",IF(W410="経理区分別",BD410+BE410,""))</f>
        <v/>
      </c>
      <c r="AF410" s="27"/>
      <c r="AG410" s="26"/>
      <c r="AH410" s="26"/>
      <c r="AI410" s="30"/>
      <c r="AJ410" s="31" t="n">
        <v>123858792</v>
      </c>
      <c r="AK410" s="31" t="n">
        <v>10152360</v>
      </c>
      <c r="AL410" s="31" t="n">
        <v>183351440</v>
      </c>
      <c r="AM410" s="31" t="n">
        <v>10152360</v>
      </c>
      <c r="AN410" s="31" t="n">
        <v>134503</v>
      </c>
      <c r="AO410" s="31" t="n">
        <v>96232987</v>
      </c>
      <c r="AP410" s="31" t="n">
        <v>96420754</v>
      </c>
      <c r="AQ410" s="31" t="n">
        <v>7770719</v>
      </c>
      <c r="AR410" s="31" t="n">
        <v>7770719</v>
      </c>
      <c r="AS410" s="31" t="n">
        <v>1</v>
      </c>
      <c r="AT410" s="31" t="n">
        <v>1</v>
      </c>
      <c r="AU410" s="31" t="n">
        <f aca="false">IF($G410="",AJ410,L410)</f>
        <v>123858792</v>
      </c>
      <c r="AV410" s="31" t="n">
        <f aca="false">IF($G410="",AK410,M410)</f>
        <v>10152360</v>
      </c>
      <c r="AW410" s="31" t="n">
        <f aca="false">IF($G410="",AL410,N410)</f>
        <v>183351440</v>
      </c>
      <c r="AX410" s="31" t="n">
        <f aca="false">IF($G410="",AM410,O410)</f>
        <v>10152360</v>
      </c>
      <c r="AY410" s="31" t="n">
        <f aca="false">IF($G410="",AN410,P410)</f>
        <v>134503</v>
      </c>
      <c r="AZ410" s="31" t="n">
        <f aca="false">IF($G410="",AO410,Q410)</f>
        <v>96232987</v>
      </c>
      <c r="BA410" s="31" t="n">
        <f aca="false">IF($G410="",AP410,R410)</f>
        <v>96420754</v>
      </c>
      <c r="BB410" s="31" t="n">
        <f aca="false">IF($G410="",AQ410,S410)</f>
        <v>7770719</v>
      </c>
      <c r="BC410" s="31" t="n">
        <f aca="false">IF($G410="",AR410,T410)</f>
        <v>7770719</v>
      </c>
      <c r="BD410" s="31" t="n">
        <f aca="false">IF($G410="",AS410,U410)</f>
        <v>1</v>
      </c>
      <c r="BE410" s="31" t="n">
        <f aca="false">IF($G410="",AT410,V410)</f>
        <v>1</v>
      </c>
      <c r="BF410" s="31" t="n">
        <f aca="false">ROUNDDOWN(I410*設定!$B$10/1000,0)+ROUNDDOWN(I410*設定!$B$11/1000,0)</f>
        <v>0</v>
      </c>
      <c r="BG410" s="31" t="n">
        <f aca="false">ROUNDDOWN(I410*設定!$C$10/1000,0)+ROUNDDOWN(I410*設定!$C$11/1000,0)+ROUNDDOWN(I410*設定!$C$12/1000,0)</f>
        <v>0</v>
      </c>
      <c r="BH410" s="31" t="n">
        <f aca="false">ROUNDDOWN(J410*設定!$B$13/1000,0)</f>
        <v>0</v>
      </c>
      <c r="BI410" s="31" t="n">
        <f aca="false">ROUNDDOWN(J410*設定!$C$13/1000,0)</f>
        <v>0</v>
      </c>
      <c r="BJ410" s="31" t="n">
        <f aca="false">ROUNDDOWN(K410*設定!$B$14/1000,0)</f>
        <v>0</v>
      </c>
      <c r="BK410" s="31" t="n">
        <f aca="false">ROUNDDOWN(K410*設定!$C$14/1000,0)</f>
        <v>0</v>
      </c>
      <c r="BL410" s="31" t="n">
        <f aca="false">ROUNDDOWN(J410*設定!$B$15/1000,0)</f>
        <v>0</v>
      </c>
      <c r="BM410" s="31" t="n">
        <f aca="false">ROUNDDOWN(J410*設定!$C$15/1000,0)</f>
        <v>0</v>
      </c>
      <c r="BN410" s="31" t="n">
        <f aca="false">L410+M410</f>
        <v>0</v>
      </c>
      <c r="BO410" s="31" t="n">
        <f aca="false">N410+O410+P410</f>
        <v>0</v>
      </c>
      <c r="BP410" s="31" t="n">
        <f aca="false">Q410</f>
        <v>0</v>
      </c>
      <c r="BQ410" s="31" t="n">
        <f aca="false">R410</f>
        <v>0</v>
      </c>
      <c r="BR410" s="31" t="n">
        <f aca="false">S410</f>
        <v>0</v>
      </c>
      <c r="BS410" s="31" t="n">
        <f aca="false">T410</f>
        <v>0</v>
      </c>
      <c r="BT410" s="31" t="n">
        <f aca="false">U410</f>
        <v>0</v>
      </c>
      <c r="BU410" s="31" t="n">
        <f aca="false">V410</f>
        <v>0</v>
      </c>
      <c r="BV410" s="32" t="n">
        <f aca="false">IF(BF410=0,IF(BN410=0,0,1),(BN410-BF410)/BF410)</f>
        <v>0</v>
      </c>
      <c r="BW410" s="32" t="n">
        <f aca="false">IF(BG410=0,IF(BO410=0,0,1),(BO410-BG410)/BG410)</f>
        <v>0</v>
      </c>
      <c r="BX410" s="32" t="n">
        <f aca="false">IF(BH410=0,IF(BP410=0,0,1),(BP410-BH410)/BH410)</f>
        <v>0</v>
      </c>
      <c r="BY410" s="32" t="n">
        <f aca="false">IF(BI410=0,IF(BQ410=0,0,1),(BQ410-BI410)/BI410)</f>
        <v>0</v>
      </c>
      <c r="BZ410" s="32" t="n">
        <f aca="false">IF(BJ410=0,IF(BR410=0,0,1),(BR410-BJ410)/BJ410)</f>
        <v>0</v>
      </c>
      <c r="CA410" s="32" t="n">
        <f aca="false">IF(BK410=0,IF(BS410=0,0,1),(BS410-BK410)/BK410)</f>
        <v>0</v>
      </c>
      <c r="CB410" s="32" t="n">
        <f aca="false">IF(BL410=0,IF(BT410=0,0,1),(BT410-BL410)/BL410)</f>
        <v>0</v>
      </c>
      <c r="CC410" s="32" t="n">
        <f aca="false">IF(BM410=0,IF(BU410=0,0,1),(BU410-BM410)/BM410)</f>
        <v>0</v>
      </c>
      <c r="CD410" s="32" t="n">
        <f aca="false">MAX(MAX(BV410:CC410),-MIN(BV410:CC410))</f>
        <v>-0</v>
      </c>
      <c r="CE410" s="31" t="n">
        <f aca="false">IF(CI410="","",SUMIFS($CF$7:$CF$696,$A$7:$A$696,CI410,$B$7:$B$696,B410))</f>
        <v>536466148</v>
      </c>
      <c r="CF410" s="31" t="n">
        <f aca="false">SUM(AU410:BE410)</f>
        <v>535844636</v>
      </c>
      <c r="CG410" s="33" t="str">
        <f aca="false">A410&amp;"|"&amp;B410</f>
        <v>2026-11 月例|市立病院機構</v>
      </c>
      <c r="CH410" s="34" t="str">
        <f aca="false">IFERROR(INDEX(設定!$D$61:$D$106,MATCH(B410,設定!$B$61:$B$106,0)),"Y")</f>
        <v>N</v>
      </c>
      <c r="CI410" s="34" t="str">
        <f aca="false">IFERROR(INDEX(設定!$D$20:$D$34,MATCH(A410,設定!$A$20:$A$34,0))&amp;"","")</f>
        <v>2026-10 月例</v>
      </c>
    </row>
    <row r="411" customFormat="false" ht="15" hidden="true" customHeight="false" outlineLevel="0" collapsed="false">
      <c r="A411" s="22" t="s">
        <v>215</v>
      </c>
      <c r="B411" s="23" t="s">
        <v>197</v>
      </c>
      <c r="C411" s="10" t="str">
        <f aca="false">IF(G411="","未受領",IF(G411="なし","報告なし",IF(AH411="○","起票済",IF(OR(AG411="○",F411="一致",F411="入金不要"),"入金確認済","受領済"))))</f>
        <v>未受領</v>
      </c>
      <c r="D411" s="10" t="str">
        <f aca="false">IF(OR(G411="",G411="なし"),"―",IF(CH411="N","対象外",IF(AND(I411="",J411="",K411=""),"標報未入力",IF(CD411&gt;=設定!$B$4,"要確認","問題なし"))))</f>
        <v>―</v>
      </c>
      <c r="E411" s="24" t="str">
        <f aca="false">IF(OR(G411="",G411="なし",CE411="",CF411=0),"―",IF(CF411=CE411,"前月同額",IF(CE411=0,"―",IF(ABS(CF411/CE411-1)&gt;=設定!$B$5,"変動大 "&amp;TEXT(CF411/CE411-1,"+0%;-0%"),"〇"))))</f>
        <v>―</v>
      </c>
      <c r="F411" s="10" t="str">
        <f aca="false">IF(OR(G411="",G411="なし"),"―",IF(CF411=0,"入金不要",IF(COUNT(Z411,AB411,AD411,AF411)=0,IF(AG411="○","手動確認","未入金"),IF(AND(N(Z411)=Y411,IF(AA411="",TRUE(),N(AB411)=AA411),IF(AC411="",TRUE(),N(AD411)=AC411),IF(AE411="",TRUE(),N(AF411)=AE411)),"一致","不一致"))))</f>
        <v>―</v>
      </c>
      <c r="G411" s="25"/>
      <c r="H411" s="26"/>
      <c r="I411" s="27"/>
      <c r="J411" s="27"/>
      <c r="K411" s="27"/>
      <c r="L411" s="27"/>
      <c r="M411" s="27"/>
      <c r="N411" s="27"/>
      <c r="O411" s="27"/>
      <c r="P411" s="27"/>
      <c r="Q411" s="27"/>
      <c r="R411" s="27"/>
      <c r="S411" s="27"/>
      <c r="T411" s="27"/>
      <c r="U411" s="27"/>
      <c r="V411" s="27"/>
      <c r="W411" s="10" t="str">
        <f aca="false">IFERROR(INDEX(設定!$E$61:$E$106,MATCH(B411,設定!$B$61:$B$106,0)),"合算")</f>
        <v>合算</v>
      </c>
      <c r="X411" s="28"/>
      <c r="Y411" s="29" t="str">
        <f aca="false">IF(OR(G411="",G411="なし"),"",IF(W411="合算",CF411,IF(W411="掛金・負担金別",(AU411+AV411+AZ411+BB411+BD411),SUM(AU411:AY411))))</f>
        <v/>
      </c>
      <c r="Z411" s="27"/>
      <c r="AA411" s="29" t="str">
        <f aca="false">IF(OR(G411="",G411="なし"),"",IF(W411="掛金・負担金別",(AW411+AX411+AY411+BA411+BC411+BE411),IF(W411="経理区分別",AZ411+BA411,"")))</f>
        <v/>
      </c>
      <c r="AB411" s="27"/>
      <c r="AC411" s="29" t="str">
        <f aca="false">IF(OR(G411="",G411="なし"),"",IF(W411="経理区分別",BB411+BC411,""))</f>
        <v/>
      </c>
      <c r="AD411" s="27"/>
      <c r="AE411" s="29" t="str">
        <f aca="false">IF(OR(G411="",G411="なし"),"",IF(W411="経理区分別",BD411+BE411,""))</f>
        <v/>
      </c>
      <c r="AF411" s="27"/>
      <c r="AG411" s="26"/>
      <c r="AH411" s="26"/>
      <c r="AI411" s="30"/>
      <c r="AJ411" s="31"/>
      <c r="AK411" s="31"/>
      <c r="AL411" s="31"/>
      <c r="AM411" s="31"/>
      <c r="AN411" s="31"/>
      <c r="AO411" s="31" t="n">
        <v>128716</v>
      </c>
      <c r="AP411" s="31" t="n">
        <v>108566</v>
      </c>
      <c r="AQ411" s="31" t="n">
        <v>15168</v>
      </c>
      <c r="AR411" s="31" t="n">
        <v>12245</v>
      </c>
      <c r="AS411" s="31" t="n">
        <v>1</v>
      </c>
      <c r="AT411" s="31" t="n">
        <v>1</v>
      </c>
      <c r="AU411" s="31" t="n">
        <f aca="false">IF($G411="",AJ411,L411)</f>
        <v>0</v>
      </c>
      <c r="AV411" s="31" t="n">
        <f aca="false">IF($G411="",AK411,M411)</f>
        <v>0</v>
      </c>
      <c r="AW411" s="31" t="n">
        <f aca="false">IF($G411="",AL411,N411)</f>
        <v>0</v>
      </c>
      <c r="AX411" s="31" t="n">
        <f aca="false">IF($G411="",AM411,O411)</f>
        <v>0</v>
      </c>
      <c r="AY411" s="31" t="n">
        <f aca="false">IF($G411="",AN411,P411)</f>
        <v>0</v>
      </c>
      <c r="AZ411" s="31" t="n">
        <f aca="false">IF($G411="",AO411,Q411)</f>
        <v>128716</v>
      </c>
      <c r="BA411" s="31" t="n">
        <f aca="false">IF($G411="",AP411,R411)</f>
        <v>108566</v>
      </c>
      <c r="BB411" s="31" t="n">
        <f aca="false">IF($G411="",AQ411,S411)</f>
        <v>15168</v>
      </c>
      <c r="BC411" s="31" t="n">
        <f aca="false">IF($G411="",AR411,T411)</f>
        <v>12245</v>
      </c>
      <c r="BD411" s="31" t="n">
        <f aca="false">IF($G411="",AS411,U411)</f>
        <v>1</v>
      </c>
      <c r="BE411" s="31" t="n">
        <f aca="false">IF($G411="",AT411,V411)</f>
        <v>1</v>
      </c>
      <c r="BF411" s="31" t="n">
        <f aca="false">ROUNDDOWN(I411*設定!$B$10/1000,0)+ROUNDDOWN(I411*設定!$B$11/1000,0)</f>
        <v>0</v>
      </c>
      <c r="BG411" s="31" t="n">
        <f aca="false">ROUNDDOWN(I411*設定!$C$10/1000,0)+ROUNDDOWN(I411*設定!$C$11/1000,0)+ROUNDDOWN(I411*設定!$C$12/1000,0)</f>
        <v>0</v>
      </c>
      <c r="BH411" s="31" t="n">
        <f aca="false">ROUNDDOWN(J411*設定!$B$13/1000,0)</f>
        <v>0</v>
      </c>
      <c r="BI411" s="31" t="n">
        <f aca="false">ROUNDDOWN(J411*設定!$C$13/1000,0)</f>
        <v>0</v>
      </c>
      <c r="BJ411" s="31" t="n">
        <f aca="false">ROUNDDOWN(K411*設定!$B$14/1000,0)</f>
        <v>0</v>
      </c>
      <c r="BK411" s="31" t="n">
        <f aca="false">ROUNDDOWN(K411*設定!$C$14/1000,0)</f>
        <v>0</v>
      </c>
      <c r="BL411" s="31" t="n">
        <f aca="false">ROUNDDOWN(J411*設定!$B$15/1000,0)</f>
        <v>0</v>
      </c>
      <c r="BM411" s="31" t="n">
        <f aca="false">ROUNDDOWN(J411*設定!$C$15/1000,0)</f>
        <v>0</v>
      </c>
      <c r="BN411" s="31" t="n">
        <f aca="false">L411+M411</f>
        <v>0</v>
      </c>
      <c r="BO411" s="31" t="n">
        <f aca="false">N411+O411+P411</f>
        <v>0</v>
      </c>
      <c r="BP411" s="31" t="n">
        <f aca="false">Q411</f>
        <v>0</v>
      </c>
      <c r="BQ411" s="31" t="n">
        <f aca="false">R411</f>
        <v>0</v>
      </c>
      <c r="BR411" s="31" t="n">
        <f aca="false">S411</f>
        <v>0</v>
      </c>
      <c r="BS411" s="31" t="n">
        <f aca="false">T411</f>
        <v>0</v>
      </c>
      <c r="BT411" s="31" t="n">
        <f aca="false">U411</f>
        <v>0</v>
      </c>
      <c r="BU411" s="31" t="n">
        <f aca="false">V411</f>
        <v>0</v>
      </c>
      <c r="BV411" s="32" t="n">
        <f aca="false">IF(BF411=0,IF(BN411=0,0,1),(BN411-BF411)/BF411)</f>
        <v>0</v>
      </c>
      <c r="BW411" s="32" t="n">
        <f aca="false">IF(BG411=0,IF(BO411=0,0,1),(BO411-BG411)/BG411)</f>
        <v>0</v>
      </c>
      <c r="BX411" s="32" t="n">
        <f aca="false">IF(BH411=0,IF(BP411=0,0,1),(BP411-BH411)/BH411)</f>
        <v>0</v>
      </c>
      <c r="BY411" s="32" t="n">
        <f aca="false">IF(BI411=0,IF(BQ411=0,0,1),(BQ411-BI411)/BI411)</f>
        <v>0</v>
      </c>
      <c r="BZ411" s="32" t="n">
        <f aca="false">IF(BJ411=0,IF(BR411=0,0,1),(BR411-BJ411)/BJ411)</f>
        <v>0</v>
      </c>
      <c r="CA411" s="32" t="n">
        <f aca="false">IF(BK411=0,IF(BS411=0,0,1),(BS411-BK411)/BK411)</f>
        <v>0</v>
      </c>
      <c r="CB411" s="32" t="n">
        <f aca="false">IF(BL411=0,IF(BT411=0,0,1),(BT411-BL411)/BL411)</f>
        <v>0</v>
      </c>
      <c r="CC411" s="32" t="n">
        <f aca="false">IF(BM411=0,IF(BU411=0,0,1),(BU411-BM411)/BM411)</f>
        <v>0</v>
      </c>
      <c r="CD411" s="32" t="n">
        <f aca="false">MAX(MAX(BV411:CC411),-MIN(BV411:CC411))</f>
        <v>-0</v>
      </c>
      <c r="CE411" s="31" t="n">
        <f aca="false">IF(CI411="","",SUMIFS($CF$7:$CF$696,$A$7:$A$696,CI411,$B$7:$B$696,B411))</f>
        <v>218147</v>
      </c>
      <c r="CF411" s="31" t="n">
        <f aca="false">SUM(AU411:BE411)</f>
        <v>264697</v>
      </c>
      <c r="CG411" s="33" t="str">
        <f aca="false">A411&amp;"|"&amp;B411</f>
        <v>2026-11 月例|職員共済組合</v>
      </c>
      <c r="CH411" s="34" t="str">
        <f aca="false">IFERROR(INDEX(設定!$D$61:$D$106,MATCH(B411,設定!$B$61:$B$106,0)),"Y")</f>
        <v>Y</v>
      </c>
      <c r="CI411" s="34" t="str">
        <f aca="false">IFERROR(INDEX(設定!$D$20:$D$34,MATCH(A411,設定!$A$20:$A$34,0))&amp;"","")</f>
        <v>2026-10 月例</v>
      </c>
    </row>
    <row r="412" customFormat="false" ht="26.85" hidden="true" customHeight="false" outlineLevel="0" collapsed="false">
      <c r="A412" s="22" t="s">
        <v>215</v>
      </c>
      <c r="B412" s="35" t="s">
        <v>216</v>
      </c>
      <c r="C412" s="10" t="str">
        <f aca="false">IF(G412="","未受領",IF(G412="なし","報告なし",IF(AH412="○","起票済",IF(OR(AG412="○",F412="一致",F412="入金不要"),"入金確認済","受領済"))))</f>
        <v>報告なし</v>
      </c>
      <c r="D412" s="10" t="str">
        <f aca="false">IF(OR(G412="",G412="なし"),"―",IF(CH412="N","対象外",IF(AND(I412="",J412="",K412=""),"標報未入力",IF(CD412&gt;=設定!$B$4,"要確認","問題なし"))))</f>
        <v>―</v>
      </c>
      <c r="E412" s="24" t="str">
        <f aca="false">IF(OR(G412="",G412="なし",CE412="",CF412=0),"―",IF(CF412=CE412,"前月同額",IF(CE412=0,"―",IF(ABS(CF412/CE412-1)&gt;=設定!$B$5,"変動大 "&amp;TEXT(CF412/CE412-1,"+0%;-0%"),"〇"))))</f>
        <v>―</v>
      </c>
      <c r="F412" s="10" t="str">
        <f aca="false">IF(OR(G412="",G412="なし"),"―",IF(CF412=0,"入金不要",IF(COUNT(Z412,AB412,AD412,AF412)=0,IF(AG412="○","手動確認","未入金"),IF(AND(N(Z412)=Y412,IF(AA412="",TRUE(),N(AB412)=AA412),IF(AC412="",TRUE(),N(AD412)=AC412),IF(AE412="",TRUE(),N(AF412)=AE412)),"一致","不一致"))))</f>
        <v>―</v>
      </c>
      <c r="G412" s="25" t="s">
        <v>173</v>
      </c>
      <c r="H412" s="26"/>
      <c r="I412" s="27"/>
      <c r="J412" s="27"/>
      <c r="K412" s="27"/>
      <c r="L412" s="27"/>
      <c r="M412" s="27"/>
      <c r="N412" s="27"/>
      <c r="O412" s="27"/>
      <c r="P412" s="27"/>
      <c r="Q412" s="27"/>
      <c r="R412" s="27"/>
      <c r="S412" s="27"/>
      <c r="T412" s="27"/>
      <c r="U412" s="27"/>
      <c r="V412" s="27"/>
      <c r="W412" s="10" t="str">
        <f aca="false">IFERROR(INDEX(設定!$E$61:$E$106,MATCH(B412,設定!$B$61:$B$106,0)),"合算")</f>
        <v>合算</v>
      </c>
      <c r="X412" s="28"/>
      <c r="Y412" s="29" t="str">
        <f aca="false">IF(OR(G412="",G412="なし"),"",IF(W412="合算",CF412,IF(W412="掛金・負担金別",(AU412+AV412+AZ412+BB412+BD412),SUM(AU412:AY412))))</f>
        <v/>
      </c>
      <c r="Z412" s="27"/>
      <c r="AA412" s="29" t="str">
        <f aca="false">IF(OR(G412="",G412="なし"),"",IF(W412="掛金・負担金別",(AW412+AX412+AY412+BA412+BC412+BE412),IF(W412="経理区分別",AZ412+BA412,"")))</f>
        <v/>
      </c>
      <c r="AB412" s="27"/>
      <c r="AC412" s="29" t="str">
        <f aca="false">IF(OR(G412="",G412="なし"),"",IF(W412="経理区分別",BB412+BC412,""))</f>
        <v/>
      </c>
      <c r="AD412" s="27"/>
      <c r="AE412" s="29" t="str">
        <f aca="false">IF(OR(G412="",G412="なし"),"",IF(W412="経理区分別",BD412+BE412,""))</f>
        <v/>
      </c>
      <c r="AF412" s="27"/>
      <c r="AG412" s="26"/>
      <c r="AH412" s="26"/>
      <c r="AI412" s="30"/>
      <c r="AJ412" s="31"/>
      <c r="AK412" s="31"/>
      <c r="AL412" s="31"/>
      <c r="AM412" s="31"/>
      <c r="AN412" s="31"/>
      <c r="AO412" s="31"/>
      <c r="AP412" s="31"/>
      <c r="AQ412" s="31"/>
      <c r="AR412" s="31"/>
      <c r="AS412" s="31"/>
      <c r="AT412" s="31"/>
      <c r="AU412" s="31" t="n">
        <f aca="false">IF($G412="",AJ412,L412)</f>
        <v>0</v>
      </c>
      <c r="AV412" s="31" t="n">
        <f aca="false">IF($G412="",AK412,M412)</f>
        <v>0</v>
      </c>
      <c r="AW412" s="31" t="n">
        <f aca="false">IF($G412="",AL412,N412)</f>
        <v>0</v>
      </c>
      <c r="AX412" s="31" t="n">
        <f aca="false">IF($G412="",AM412,O412)</f>
        <v>0</v>
      </c>
      <c r="AY412" s="31" t="n">
        <f aca="false">IF($G412="",AN412,P412)</f>
        <v>0</v>
      </c>
      <c r="AZ412" s="31" t="n">
        <f aca="false">IF($G412="",AO412,Q412)</f>
        <v>0</v>
      </c>
      <c r="BA412" s="31" t="n">
        <f aca="false">IF($G412="",AP412,R412)</f>
        <v>0</v>
      </c>
      <c r="BB412" s="31" t="n">
        <f aca="false">IF($G412="",AQ412,S412)</f>
        <v>0</v>
      </c>
      <c r="BC412" s="31" t="n">
        <f aca="false">IF($G412="",AR412,T412)</f>
        <v>0</v>
      </c>
      <c r="BD412" s="31" t="n">
        <f aca="false">IF($G412="",AS412,U412)</f>
        <v>0</v>
      </c>
      <c r="BE412" s="31" t="n">
        <f aca="false">IF($G412="",AT412,V412)</f>
        <v>0</v>
      </c>
      <c r="BF412" s="31" t="n">
        <f aca="false">ROUNDDOWN(I412*設定!$B$10/1000,0)+ROUNDDOWN(I412*設定!$B$11/1000,0)</f>
        <v>0</v>
      </c>
      <c r="BG412" s="31" t="n">
        <f aca="false">ROUNDDOWN(I412*設定!$C$10/1000,0)+ROUNDDOWN(I412*設定!$C$11/1000,0)+ROUNDDOWN(I412*設定!$C$12/1000,0)</f>
        <v>0</v>
      </c>
      <c r="BH412" s="31" t="n">
        <f aca="false">ROUNDDOWN(J412*設定!$B$13/1000,0)</f>
        <v>0</v>
      </c>
      <c r="BI412" s="31" t="n">
        <f aca="false">ROUNDDOWN(J412*設定!$C$13/1000,0)</f>
        <v>0</v>
      </c>
      <c r="BJ412" s="31" t="n">
        <f aca="false">ROUNDDOWN(K412*設定!$B$14/1000,0)</f>
        <v>0</v>
      </c>
      <c r="BK412" s="31" t="n">
        <f aca="false">ROUNDDOWN(K412*設定!$C$14/1000,0)</f>
        <v>0</v>
      </c>
      <c r="BL412" s="31" t="n">
        <f aca="false">ROUNDDOWN(J412*設定!$B$15/1000,0)</f>
        <v>0</v>
      </c>
      <c r="BM412" s="31" t="n">
        <f aca="false">ROUNDDOWN(J412*設定!$C$15/1000,0)</f>
        <v>0</v>
      </c>
      <c r="BN412" s="31" t="n">
        <f aca="false">L412+M412</f>
        <v>0</v>
      </c>
      <c r="BO412" s="31" t="n">
        <f aca="false">N412+O412+P412</f>
        <v>0</v>
      </c>
      <c r="BP412" s="31" t="n">
        <f aca="false">Q412</f>
        <v>0</v>
      </c>
      <c r="BQ412" s="31" t="n">
        <f aca="false">R412</f>
        <v>0</v>
      </c>
      <c r="BR412" s="31" t="n">
        <f aca="false">S412</f>
        <v>0</v>
      </c>
      <c r="BS412" s="31" t="n">
        <f aca="false">T412</f>
        <v>0</v>
      </c>
      <c r="BT412" s="31" t="n">
        <f aca="false">U412</f>
        <v>0</v>
      </c>
      <c r="BU412" s="31" t="n">
        <f aca="false">V412</f>
        <v>0</v>
      </c>
      <c r="BV412" s="32" t="n">
        <f aca="false">IF(BF412=0,IF(BN412=0,0,1),(BN412-BF412)/BF412)</f>
        <v>0</v>
      </c>
      <c r="BW412" s="32" t="n">
        <f aca="false">IF(BG412=0,IF(BO412=0,0,1),(BO412-BG412)/BG412)</f>
        <v>0</v>
      </c>
      <c r="BX412" s="32" t="n">
        <f aca="false">IF(BH412=0,IF(BP412=0,0,1),(BP412-BH412)/BH412)</f>
        <v>0</v>
      </c>
      <c r="BY412" s="32" t="n">
        <f aca="false">IF(BI412=0,IF(BQ412=0,0,1),(BQ412-BI412)/BI412)</f>
        <v>0</v>
      </c>
      <c r="BZ412" s="32" t="n">
        <f aca="false">IF(BJ412=0,IF(BR412=0,0,1),(BR412-BJ412)/BJ412)</f>
        <v>0</v>
      </c>
      <c r="CA412" s="32" t="n">
        <f aca="false">IF(BK412=0,IF(BS412=0,0,1),(BS412-BK412)/BK412)</f>
        <v>0</v>
      </c>
      <c r="CB412" s="32" t="n">
        <f aca="false">IF(BL412=0,IF(BT412=0,0,1),(BT412-BL412)/BL412)</f>
        <v>0</v>
      </c>
      <c r="CC412" s="32" t="n">
        <f aca="false">IF(BM412=0,IF(BU412=0,0,1),(BU412-BM412)/BM412)</f>
        <v>0</v>
      </c>
      <c r="CD412" s="32" t="n">
        <f aca="false">MAX(MAX(BV412:CC412),-MIN(BV412:CC412))</f>
        <v>-0</v>
      </c>
      <c r="CE412" s="31" t="n">
        <f aca="false">IF(CI412="","",SUMIFS($CF$7:$CF$696,$A$7:$A$696,CI412,$B$7:$B$696,B412))</f>
        <v>0</v>
      </c>
      <c r="CF412" s="31" t="n">
        <f aca="false">SUM(AU412:BE412)</f>
        <v>0</v>
      </c>
      <c r="CG412" s="36" t="str">
        <f aca="false">A412&amp;"|"&amp;B412</f>
        <v>2026-11 月例|地方公共団体
情報システム機構</v>
      </c>
      <c r="CH412" s="34" t="str">
        <f aca="false">IFERROR(INDEX(設定!$D$61:$D$106,MATCH(B412,設定!$B$61:$B$106,0)),"Y")</f>
        <v>Y</v>
      </c>
      <c r="CI412" s="34" t="str">
        <f aca="false">IFERROR(INDEX(設定!$D$20:$D$34,MATCH(A412,設定!$A$20:$A$34,0))&amp;"","")</f>
        <v>2026-10 月例</v>
      </c>
    </row>
    <row r="413" customFormat="false" ht="15" hidden="true" customHeight="false" outlineLevel="0" collapsed="false">
      <c r="A413" s="22" t="s">
        <v>215</v>
      </c>
      <c r="B413" s="23" t="s">
        <v>199</v>
      </c>
      <c r="C413" s="10" t="str">
        <f aca="false">IF(G413="","未受領",IF(G413="なし","報告なし",IF(AH413="○","起票済",IF(OR(AG413="○",F413="一致",F413="入金不要"),"入金確認済","受領済"))))</f>
        <v>未受領</v>
      </c>
      <c r="D413" s="10" t="str">
        <f aca="false">IF(OR(G413="",G413="なし"),"―",IF(CH413="N","対象外",IF(AND(I413="",J413="",K413=""),"標報未入力",IF(CD413&gt;=設定!$B$4,"要確認","問題なし"))))</f>
        <v>―</v>
      </c>
      <c r="E413" s="24" t="str">
        <f aca="false">IF(OR(G413="",G413="なし",CE413="",CF413=0),"―",IF(CF413=CE413,"前月同額",IF(CE413=0,"―",IF(ABS(CF413/CE413-1)&gt;=設定!$B$5,"変動大 "&amp;TEXT(CF413/CE413-1,"+0%;-0%"),"〇"))))</f>
        <v>―</v>
      </c>
      <c r="F413" s="10" t="str">
        <f aca="false">IF(OR(G413="",G413="なし"),"―",IF(CF413=0,"入金不要",IF(COUNT(Z413,AB413,AD413,AF413)=0,IF(AG413="○","手動確認","未入金"),IF(AND(N(Z413)=Y413,IF(AA413="",TRUE(),N(AB413)=AA413),IF(AC413="",TRUE(),N(AD413)=AC413),IF(AE413="",TRUE(),N(AF413)=AE413)),"一致","不一致"))))</f>
        <v>―</v>
      </c>
      <c r="G413" s="25"/>
      <c r="H413" s="26"/>
      <c r="I413" s="27"/>
      <c r="J413" s="27"/>
      <c r="K413" s="27"/>
      <c r="L413" s="27"/>
      <c r="M413" s="27"/>
      <c r="N413" s="27"/>
      <c r="O413" s="27"/>
      <c r="P413" s="27"/>
      <c r="Q413" s="27"/>
      <c r="R413" s="27"/>
      <c r="S413" s="27"/>
      <c r="T413" s="27"/>
      <c r="U413" s="27"/>
      <c r="V413" s="27"/>
      <c r="W413" s="10" t="str">
        <f aca="false">IFERROR(INDEX(設定!$E$61:$E$106,MATCH(B413,設定!$B$61:$B$106,0)),"合算")</f>
        <v>合算</v>
      </c>
      <c r="X413" s="28"/>
      <c r="Y413" s="29" t="str">
        <f aca="false">IF(OR(G413="",G413="なし"),"",IF(W413="合算",CF413,IF(W413="掛金・負担金別",(AU413+AV413+AZ413+BB413+BD413),SUM(AU413:AY413))))</f>
        <v/>
      </c>
      <c r="Z413" s="27"/>
      <c r="AA413" s="29" t="str">
        <f aca="false">IF(OR(G413="",G413="なし"),"",IF(W413="掛金・負担金別",(AW413+AX413+AY413+BA413+BC413+BE413),IF(W413="経理区分別",AZ413+BA413,"")))</f>
        <v/>
      </c>
      <c r="AB413" s="27"/>
      <c r="AC413" s="29" t="str">
        <f aca="false">IF(OR(G413="",G413="なし"),"",IF(W413="経理区分別",BB413+BC413,""))</f>
        <v/>
      </c>
      <c r="AD413" s="27"/>
      <c r="AE413" s="29" t="str">
        <f aca="false">IF(OR(G413="",G413="なし"),"",IF(W413="経理区分別",BD413+BE413,""))</f>
        <v/>
      </c>
      <c r="AF413" s="27"/>
      <c r="AG413" s="26"/>
      <c r="AH413" s="26"/>
      <c r="AI413" s="30"/>
      <c r="AJ413" s="31" t="n">
        <v>59475</v>
      </c>
      <c r="AK413" s="31" t="n">
        <v>4875</v>
      </c>
      <c r="AL413" s="31" t="n">
        <v>59475</v>
      </c>
      <c r="AM413" s="31" t="n">
        <v>4875</v>
      </c>
      <c r="AN413" s="31" t="n">
        <v>61</v>
      </c>
      <c r="AO413" s="31" t="n">
        <v>41257</v>
      </c>
      <c r="AP413" s="31" t="n">
        <v>41332</v>
      </c>
      <c r="AQ413" s="31" t="n">
        <v>5925</v>
      </c>
      <c r="AR413" s="31" t="n">
        <v>5925</v>
      </c>
      <c r="AS413" s="31" t="n">
        <v>1</v>
      </c>
      <c r="AT413" s="31" t="n">
        <v>1</v>
      </c>
      <c r="AU413" s="31" t="n">
        <f aca="false">IF($G413="",AJ413,L413)</f>
        <v>59475</v>
      </c>
      <c r="AV413" s="31" t="n">
        <f aca="false">IF($G413="",AK413,M413)</f>
        <v>4875</v>
      </c>
      <c r="AW413" s="31" t="n">
        <f aca="false">IF($G413="",AL413,N413)</f>
        <v>59475</v>
      </c>
      <c r="AX413" s="31" t="n">
        <f aca="false">IF($G413="",AM413,O413)</f>
        <v>4875</v>
      </c>
      <c r="AY413" s="31" t="n">
        <f aca="false">IF($G413="",AN413,P413)</f>
        <v>61</v>
      </c>
      <c r="AZ413" s="31" t="n">
        <f aca="false">IF($G413="",AO413,Q413)</f>
        <v>41257</v>
      </c>
      <c r="BA413" s="31" t="n">
        <f aca="false">IF($G413="",AP413,R413)</f>
        <v>41332</v>
      </c>
      <c r="BB413" s="31" t="n">
        <f aca="false">IF($G413="",AQ413,S413)</f>
        <v>5925</v>
      </c>
      <c r="BC413" s="31" t="n">
        <f aca="false">IF($G413="",AR413,T413)</f>
        <v>5925</v>
      </c>
      <c r="BD413" s="31" t="n">
        <f aca="false">IF($G413="",AS413,U413)</f>
        <v>1</v>
      </c>
      <c r="BE413" s="31" t="n">
        <f aca="false">IF($G413="",AT413,V413)</f>
        <v>1</v>
      </c>
      <c r="BF413" s="31" t="n">
        <f aca="false">ROUNDDOWN(I413*設定!$B$10/1000,0)+ROUNDDOWN(I413*設定!$B$11/1000,0)</f>
        <v>0</v>
      </c>
      <c r="BG413" s="31" t="n">
        <f aca="false">ROUNDDOWN(I413*設定!$C$10/1000,0)+ROUNDDOWN(I413*設定!$C$11/1000,0)+ROUNDDOWN(I413*設定!$C$12/1000,0)</f>
        <v>0</v>
      </c>
      <c r="BH413" s="31" t="n">
        <f aca="false">ROUNDDOWN(J413*設定!$B$13/1000,0)</f>
        <v>0</v>
      </c>
      <c r="BI413" s="31" t="n">
        <f aca="false">ROUNDDOWN(J413*設定!$C$13/1000,0)</f>
        <v>0</v>
      </c>
      <c r="BJ413" s="31" t="n">
        <f aca="false">ROUNDDOWN(K413*設定!$B$14/1000,0)</f>
        <v>0</v>
      </c>
      <c r="BK413" s="31" t="n">
        <f aca="false">ROUNDDOWN(K413*設定!$C$14/1000,0)</f>
        <v>0</v>
      </c>
      <c r="BL413" s="31" t="n">
        <f aca="false">ROUNDDOWN(J413*設定!$B$15/1000,0)</f>
        <v>0</v>
      </c>
      <c r="BM413" s="31" t="n">
        <f aca="false">ROUNDDOWN(J413*設定!$C$15/1000,0)</f>
        <v>0</v>
      </c>
      <c r="BN413" s="31" t="n">
        <f aca="false">L413+M413</f>
        <v>0</v>
      </c>
      <c r="BO413" s="31" t="n">
        <f aca="false">N413+O413+P413</f>
        <v>0</v>
      </c>
      <c r="BP413" s="31" t="n">
        <f aca="false">Q413</f>
        <v>0</v>
      </c>
      <c r="BQ413" s="31" t="n">
        <f aca="false">R413</f>
        <v>0</v>
      </c>
      <c r="BR413" s="31" t="n">
        <f aca="false">S413</f>
        <v>0</v>
      </c>
      <c r="BS413" s="31" t="n">
        <f aca="false">T413</f>
        <v>0</v>
      </c>
      <c r="BT413" s="31" t="n">
        <f aca="false">U413</f>
        <v>0</v>
      </c>
      <c r="BU413" s="31" t="n">
        <f aca="false">V413</f>
        <v>0</v>
      </c>
      <c r="BV413" s="32" t="n">
        <f aca="false">IF(BF413=0,IF(BN413=0,0,1),(BN413-BF413)/BF413)</f>
        <v>0</v>
      </c>
      <c r="BW413" s="32" t="n">
        <f aca="false">IF(BG413=0,IF(BO413=0,0,1),(BO413-BG413)/BG413)</f>
        <v>0</v>
      </c>
      <c r="BX413" s="32" t="n">
        <f aca="false">IF(BH413=0,IF(BP413=0,0,1),(BP413-BH413)/BH413)</f>
        <v>0</v>
      </c>
      <c r="BY413" s="32" t="n">
        <f aca="false">IF(BI413=0,IF(BQ413=0,0,1),(BQ413-BI413)/BI413)</f>
        <v>0</v>
      </c>
      <c r="BZ413" s="32" t="n">
        <f aca="false">IF(BJ413=0,IF(BR413=0,0,1),(BR413-BJ413)/BJ413)</f>
        <v>0</v>
      </c>
      <c r="CA413" s="32" t="n">
        <f aca="false">IF(BK413=0,IF(BS413=0,0,1),(BS413-BK413)/BK413)</f>
        <v>0</v>
      </c>
      <c r="CB413" s="32" t="n">
        <f aca="false">IF(BL413=0,IF(BT413=0,0,1),(BT413-BL413)/BL413)</f>
        <v>0</v>
      </c>
      <c r="CC413" s="32" t="n">
        <f aca="false">IF(BM413=0,IF(BU413=0,0,1),(BU413-BM413)/BM413)</f>
        <v>0</v>
      </c>
      <c r="CD413" s="32" t="n">
        <f aca="false">MAX(MAX(BV413:CC413),-MIN(BV413:CC413))</f>
        <v>-0</v>
      </c>
      <c r="CE413" s="31" t="n">
        <f aca="false">IF(CI413="","",SUMIFS($CF$7:$CF$696,$A$7:$A$696,CI413,$B$7:$B$696,B413))</f>
        <v>461032</v>
      </c>
      <c r="CF413" s="31" t="n">
        <f aca="false">SUM(AU413:BE413)</f>
        <v>223202</v>
      </c>
      <c r="CG413" s="33" t="str">
        <f aca="false">A413&amp;"|"&amp;B413</f>
        <v>2026-11 月例|全国市長会</v>
      </c>
      <c r="CH413" s="34" t="str">
        <f aca="false">IFERROR(INDEX(設定!$D$61:$D$106,MATCH(B413,設定!$B$61:$B$106,0)),"Y")</f>
        <v>Y</v>
      </c>
      <c r="CI413" s="34" t="str">
        <f aca="false">IFERROR(INDEX(設定!$D$20:$D$34,MATCH(A413,設定!$A$20:$A$34,0))&amp;"","")</f>
        <v>2026-10 月例</v>
      </c>
    </row>
    <row r="414" customFormat="false" ht="15" hidden="true" customHeight="false" outlineLevel="0" collapsed="false">
      <c r="A414" s="22" t="s">
        <v>215</v>
      </c>
      <c r="B414" s="23" t="s">
        <v>200</v>
      </c>
      <c r="C414" s="10" t="str">
        <f aca="false">IF(G414="","未受領",IF(G414="なし","報告なし",IF(AH414="○","起票済",IF(OR(AG414="○",F414="一致",F414="入金不要"),"入金確認済","受領済"))))</f>
        <v>未受領</v>
      </c>
      <c r="D414" s="10" t="str">
        <f aca="false">IF(OR(G414="",G414="なし"),"―",IF(CH414="N","対象外",IF(AND(I414="",J414="",K414=""),"標報未入力",IF(CD414&gt;=設定!$B$4,"要確認","問題なし"))))</f>
        <v>―</v>
      </c>
      <c r="E414" s="24" t="str">
        <f aca="false">IF(OR(G414="",G414="なし",CE414="",CF414=0),"―",IF(CF414=CE414,"前月同額",IF(CE414=0,"―",IF(ABS(CF414/CE414-1)&gt;=設定!$B$5,"変動大 "&amp;TEXT(CF414/CE414-1,"+0%;-0%"),"〇"))))</f>
        <v>―</v>
      </c>
      <c r="F414" s="10" t="str">
        <f aca="false">IF(OR(G414="",G414="なし"),"―",IF(CF414=0,"入金不要",IF(COUNT(Z414,AB414,AD414,AF414)=0,IF(AG414="○","手動確認","未入金"),IF(AND(N(Z414)=Y414,IF(AA414="",TRUE(),N(AB414)=AA414),IF(AC414="",TRUE(),N(AD414)=AC414),IF(AE414="",TRUE(),N(AF414)=AE414)),"一致","不一致"))))</f>
        <v>―</v>
      </c>
      <c r="G414" s="25"/>
      <c r="H414" s="26"/>
      <c r="I414" s="27"/>
      <c r="J414" s="27"/>
      <c r="K414" s="27"/>
      <c r="L414" s="27"/>
      <c r="M414" s="27"/>
      <c r="N414" s="27"/>
      <c r="O414" s="27"/>
      <c r="P414" s="27"/>
      <c r="Q414" s="27"/>
      <c r="R414" s="27"/>
      <c r="S414" s="27"/>
      <c r="T414" s="27"/>
      <c r="U414" s="27"/>
      <c r="V414" s="27"/>
      <c r="W414" s="10" t="str">
        <f aca="false">IFERROR(INDEX(設定!$E$61:$E$106,MATCH(B414,設定!$B$61:$B$106,0)),"合算")</f>
        <v>合算</v>
      </c>
      <c r="X414" s="28"/>
      <c r="Y414" s="29" t="str">
        <f aca="false">IF(OR(G414="",G414="なし"),"",IF(W414="合算",CF414,IF(W414="掛金・負担金別",(AU414+AV414+AZ414+BB414+BD414),SUM(AU414:AY414))))</f>
        <v/>
      </c>
      <c r="Z414" s="27"/>
      <c r="AA414" s="29" t="str">
        <f aca="false">IF(OR(G414="",G414="なし"),"",IF(W414="掛金・負担金別",(AW414+AX414+AY414+BA414+BC414+BE414),IF(W414="経理区分別",AZ414+BA414,"")))</f>
        <v/>
      </c>
      <c r="AB414" s="27"/>
      <c r="AC414" s="29" t="str">
        <f aca="false">IF(OR(G414="",G414="なし"),"",IF(W414="経理区分別",BB414+BC414,""))</f>
        <v/>
      </c>
      <c r="AD414" s="27"/>
      <c r="AE414" s="29" t="str">
        <f aca="false">IF(OR(G414="",G414="なし"),"",IF(W414="経理区分別",BD414+BE414,""))</f>
        <v/>
      </c>
      <c r="AF414" s="27"/>
      <c r="AG414" s="26"/>
      <c r="AH414" s="26"/>
      <c r="AI414" s="30"/>
      <c r="AJ414" s="31" t="n">
        <v>145485</v>
      </c>
      <c r="AK414" s="31" t="n">
        <v>11925</v>
      </c>
      <c r="AL414" s="31" t="n">
        <v>145485</v>
      </c>
      <c r="AM414" s="31" t="n">
        <v>11925</v>
      </c>
      <c r="AN414" s="31" t="n">
        <v>149</v>
      </c>
      <c r="AO414" s="31"/>
      <c r="AP414" s="31"/>
      <c r="AQ414" s="31"/>
      <c r="AR414" s="31"/>
      <c r="AS414" s="31"/>
      <c r="AT414" s="31"/>
      <c r="AU414" s="31" t="n">
        <f aca="false">IF($G414="",AJ414,L414)</f>
        <v>145485</v>
      </c>
      <c r="AV414" s="31" t="n">
        <f aca="false">IF($G414="",AK414,M414)</f>
        <v>11925</v>
      </c>
      <c r="AW414" s="31" t="n">
        <f aca="false">IF($G414="",AL414,N414)</f>
        <v>145485</v>
      </c>
      <c r="AX414" s="31" t="n">
        <f aca="false">IF($G414="",AM414,O414)</f>
        <v>11925</v>
      </c>
      <c r="AY414" s="31" t="n">
        <f aca="false">IF($G414="",AN414,P414)</f>
        <v>149</v>
      </c>
      <c r="AZ414" s="31" t="n">
        <f aca="false">IF($G414="",AO414,Q414)</f>
        <v>0</v>
      </c>
      <c r="BA414" s="31" t="n">
        <f aca="false">IF($G414="",AP414,R414)</f>
        <v>0</v>
      </c>
      <c r="BB414" s="31" t="n">
        <f aca="false">IF($G414="",AQ414,S414)</f>
        <v>0</v>
      </c>
      <c r="BC414" s="31" t="n">
        <f aca="false">IF($G414="",AR414,T414)</f>
        <v>0</v>
      </c>
      <c r="BD414" s="31" t="n">
        <f aca="false">IF($G414="",AS414,U414)</f>
        <v>0</v>
      </c>
      <c r="BE414" s="31" t="n">
        <f aca="false">IF($G414="",AT414,V414)</f>
        <v>0</v>
      </c>
      <c r="BF414" s="31" t="n">
        <f aca="false">ROUNDDOWN(I414*設定!$B$10/1000,0)+ROUNDDOWN(I414*設定!$B$11/1000,0)</f>
        <v>0</v>
      </c>
      <c r="BG414" s="31" t="n">
        <f aca="false">ROUNDDOWN(I414*設定!$C$10/1000,0)+ROUNDDOWN(I414*設定!$C$11/1000,0)+ROUNDDOWN(I414*設定!$C$12/1000,0)</f>
        <v>0</v>
      </c>
      <c r="BH414" s="31" t="n">
        <f aca="false">ROUNDDOWN(J414*設定!$B$13/1000,0)</f>
        <v>0</v>
      </c>
      <c r="BI414" s="31" t="n">
        <f aca="false">ROUNDDOWN(J414*設定!$C$13/1000,0)</f>
        <v>0</v>
      </c>
      <c r="BJ414" s="31" t="n">
        <f aca="false">ROUNDDOWN(K414*設定!$B$14/1000,0)</f>
        <v>0</v>
      </c>
      <c r="BK414" s="31" t="n">
        <f aca="false">ROUNDDOWN(K414*設定!$C$14/1000,0)</f>
        <v>0</v>
      </c>
      <c r="BL414" s="31" t="n">
        <f aca="false">ROUNDDOWN(J414*設定!$B$15/1000,0)</f>
        <v>0</v>
      </c>
      <c r="BM414" s="31" t="n">
        <f aca="false">ROUNDDOWN(J414*設定!$C$15/1000,0)</f>
        <v>0</v>
      </c>
      <c r="BN414" s="31" t="n">
        <f aca="false">L414+M414</f>
        <v>0</v>
      </c>
      <c r="BO414" s="31" t="n">
        <f aca="false">N414+O414+P414</f>
        <v>0</v>
      </c>
      <c r="BP414" s="31" t="n">
        <f aca="false">Q414</f>
        <v>0</v>
      </c>
      <c r="BQ414" s="31" t="n">
        <f aca="false">R414</f>
        <v>0</v>
      </c>
      <c r="BR414" s="31" t="n">
        <f aca="false">S414</f>
        <v>0</v>
      </c>
      <c r="BS414" s="31" t="n">
        <f aca="false">T414</f>
        <v>0</v>
      </c>
      <c r="BT414" s="31" t="n">
        <f aca="false">U414</f>
        <v>0</v>
      </c>
      <c r="BU414" s="31" t="n">
        <f aca="false">V414</f>
        <v>0</v>
      </c>
      <c r="BV414" s="32" t="n">
        <f aca="false">IF(BF414=0,IF(BN414=0,0,1),(BN414-BF414)/BF414)</f>
        <v>0</v>
      </c>
      <c r="BW414" s="32" t="n">
        <f aca="false">IF(BG414=0,IF(BO414=0,0,1),(BO414-BG414)/BG414)</f>
        <v>0</v>
      </c>
      <c r="BX414" s="32" t="n">
        <f aca="false">IF(BH414=0,IF(BP414=0,0,1),(BP414-BH414)/BH414)</f>
        <v>0</v>
      </c>
      <c r="BY414" s="32" t="n">
        <f aca="false">IF(BI414=0,IF(BQ414=0,0,1),(BQ414-BI414)/BI414)</f>
        <v>0</v>
      </c>
      <c r="BZ414" s="32" t="n">
        <f aca="false">IF(BJ414=0,IF(BR414=0,0,1),(BR414-BJ414)/BJ414)</f>
        <v>0</v>
      </c>
      <c r="CA414" s="32" t="n">
        <f aca="false">IF(BK414=0,IF(BS414=0,0,1),(BS414-BK414)/BK414)</f>
        <v>0</v>
      </c>
      <c r="CB414" s="32" t="n">
        <f aca="false">IF(BL414=0,IF(BT414=0,0,1),(BT414-BL414)/BL414)</f>
        <v>0</v>
      </c>
      <c r="CC414" s="32" t="n">
        <f aca="false">IF(BM414=0,IF(BU414=0,0,1),(BU414-BM414)/BM414)</f>
        <v>0</v>
      </c>
      <c r="CD414" s="32" t="n">
        <f aca="false">MAX(MAX(BV414:CC414),-MIN(BV414:CC414))</f>
        <v>-0</v>
      </c>
      <c r="CE414" s="31" t="n">
        <f aca="false">IF(CI414="","",SUMIFS($CF$7:$CF$696,$A$7:$A$696,CI414,$B$7:$B$696,B414))</f>
        <v>314969</v>
      </c>
      <c r="CF414" s="31" t="n">
        <f aca="false">SUM(AU414:BE414)</f>
        <v>314969</v>
      </c>
      <c r="CG414" s="33" t="str">
        <f aca="false">A414&amp;"|"&amp;B414</f>
        <v>2026-11 月例|高速交通（株）</v>
      </c>
      <c r="CH414" s="34" t="str">
        <f aca="false">IFERROR(INDEX(設定!$D$61:$D$106,MATCH(B414,設定!$B$61:$B$106,0)),"Y")</f>
        <v>Y</v>
      </c>
      <c r="CI414" s="34" t="str">
        <f aca="false">IFERROR(INDEX(設定!$D$20:$D$34,MATCH(A414,設定!$A$20:$A$34,0))&amp;"","")</f>
        <v>2026-10 月例</v>
      </c>
    </row>
    <row r="415" customFormat="false" ht="15" hidden="true" customHeight="false" outlineLevel="0" collapsed="false">
      <c r="A415" s="22" t="s">
        <v>215</v>
      </c>
      <c r="B415" s="23" t="s">
        <v>201</v>
      </c>
      <c r="C415" s="10" t="str">
        <f aca="false">IF(G415="","未受領",IF(G415="なし","報告なし",IF(AH415="○","起票済",IF(OR(AG415="○",F415="一致",F415="入金不要"),"入金確認済","受領済"))))</f>
        <v>未受領</v>
      </c>
      <c r="D415" s="10" t="str">
        <f aca="false">IF(OR(G415="",G415="なし"),"―",IF(CH415="N","対象外",IF(AND(I415="",J415="",K415=""),"標報未入力",IF(CD415&gt;=設定!$B$4,"要確認","問題なし"))))</f>
        <v>―</v>
      </c>
      <c r="E415" s="24" t="str">
        <f aca="false">IF(OR(G415="",G415="なし",CE415="",CF415=0),"―",IF(CF415=CE415,"前月同額",IF(CE415=0,"―",IF(ABS(CF415/CE415-1)&gt;=設定!$B$5,"変動大 "&amp;TEXT(CF415/CE415-1,"+0%;-0%"),"〇"))))</f>
        <v>―</v>
      </c>
      <c r="F415" s="10" t="str">
        <f aca="false">IF(OR(G415="",G415="なし"),"―",IF(CF415=0,"入金不要",IF(COUNT(Z415,AB415,AD415,AF415)=0,IF(AG415="○","手動確認","未入金"),IF(AND(N(Z415)=Y415,IF(AA415="",TRUE(),N(AB415)=AA415),IF(AC415="",TRUE(),N(AD415)=AC415),IF(AE415="",TRUE(),N(AF415)=AE415)),"一致","不一致"))))</f>
        <v>―</v>
      </c>
      <c r="G415" s="25"/>
      <c r="H415" s="26"/>
      <c r="I415" s="27"/>
      <c r="J415" s="27"/>
      <c r="K415" s="27"/>
      <c r="L415" s="27"/>
      <c r="M415" s="27"/>
      <c r="N415" s="27"/>
      <c r="O415" s="27"/>
      <c r="P415" s="27"/>
      <c r="Q415" s="27"/>
      <c r="R415" s="27"/>
      <c r="S415" s="27"/>
      <c r="T415" s="27"/>
      <c r="U415" s="27"/>
      <c r="V415" s="27"/>
      <c r="W415" s="10" t="str">
        <f aca="false">IFERROR(INDEX(設定!$E$61:$E$106,MATCH(B415,設定!$B$61:$B$106,0)),"合算")</f>
        <v>合算</v>
      </c>
      <c r="X415" s="28"/>
      <c r="Y415" s="29" t="str">
        <f aca="false">IF(OR(G415="",G415="なし"),"",IF(W415="合算",CF415,IF(W415="掛金・負担金別",(AU415+AV415+AZ415+BB415+BD415),SUM(AU415:AY415))))</f>
        <v/>
      </c>
      <c r="Z415" s="27"/>
      <c r="AA415" s="29" t="str">
        <f aca="false">IF(OR(G415="",G415="なし"),"",IF(W415="掛金・負担金別",(AW415+AX415+AY415+BA415+BC415+BE415),IF(W415="経理区分別",AZ415+BA415,"")))</f>
        <v/>
      </c>
      <c r="AB415" s="27"/>
      <c r="AC415" s="29" t="str">
        <f aca="false">IF(OR(G415="",G415="なし"),"",IF(W415="経理区分別",BB415+BC415,""))</f>
        <v/>
      </c>
      <c r="AD415" s="27"/>
      <c r="AE415" s="29" t="str">
        <f aca="false">IF(OR(G415="",G415="なし"),"",IF(W415="経理区分別",BD415+BE415,""))</f>
        <v/>
      </c>
      <c r="AF415" s="27"/>
      <c r="AG415" s="26"/>
      <c r="AH415" s="26"/>
      <c r="AI415" s="30"/>
      <c r="AJ415" s="31" t="n">
        <v>53985</v>
      </c>
      <c r="AK415" s="31" t="n">
        <v>4425</v>
      </c>
      <c r="AL415" s="31" t="n">
        <v>53985</v>
      </c>
      <c r="AM415" s="31" t="n">
        <v>4425</v>
      </c>
      <c r="AN415" s="31" t="n">
        <v>55</v>
      </c>
      <c r="AO415" s="31"/>
      <c r="AP415" s="31"/>
      <c r="AQ415" s="31"/>
      <c r="AR415" s="31"/>
      <c r="AS415" s="31"/>
      <c r="AT415" s="31"/>
      <c r="AU415" s="31" t="n">
        <f aca="false">IF($G415="",AJ415,L415)</f>
        <v>53985</v>
      </c>
      <c r="AV415" s="31" t="n">
        <f aca="false">IF($G415="",AK415,M415)</f>
        <v>4425</v>
      </c>
      <c r="AW415" s="31" t="n">
        <f aca="false">IF($G415="",AL415,N415)</f>
        <v>53985</v>
      </c>
      <c r="AX415" s="31" t="n">
        <f aca="false">IF($G415="",AM415,O415)</f>
        <v>4425</v>
      </c>
      <c r="AY415" s="31" t="n">
        <f aca="false">IF($G415="",AN415,P415)</f>
        <v>55</v>
      </c>
      <c r="AZ415" s="31" t="n">
        <f aca="false">IF($G415="",AO415,Q415)</f>
        <v>0</v>
      </c>
      <c r="BA415" s="31" t="n">
        <f aca="false">IF($G415="",AP415,R415)</f>
        <v>0</v>
      </c>
      <c r="BB415" s="31" t="n">
        <f aca="false">IF($G415="",AQ415,S415)</f>
        <v>0</v>
      </c>
      <c r="BC415" s="31" t="n">
        <f aca="false">IF($G415="",AR415,T415)</f>
        <v>0</v>
      </c>
      <c r="BD415" s="31" t="n">
        <f aca="false">IF($G415="",AS415,U415)</f>
        <v>0</v>
      </c>
      <c r="BE415" s="31" t="n">
        <f aca="false">IF($G415="",AT415,V415)</f>
        <v>0</v>
      </c>
      <c r="BF415" s="31" t="n">
        <f aca="false">ROUNDDOWN(I415*設定!$B$10/1000,0)+ROUNDDOWN(I415*設定!$B$11/1000,0)</f>
        <v>0</v>
      </c>
      <c r="BG415" s="31" t="n">
        <f aca="false">ROUNDDOWN(I415*設定!$C$10/1000,0)+ROUNDDOWN(I415*設定!$C$11/1000,0)+ROUNDDOWN(I415*設定!$C$12/1000,0)</f>
        <v>0</v>
      </c>
      <c r="BH415" s="31" t="n">
        <f aca="false">ROUNDDOWN(J415*設定!$B$13/1000,0)</f>
        <v>0</v>
      </c>
      <c r="BI415" s="31" t="n">
        <f aca="false">ROUNDDOWN(J415*設定!$C$13/1000,0)</f>
        <v>0</v>
      </c>
      <c r="BJ415" s="31" t="n">
        <f aca="false">ROUNDDOWN(K415*設定!$B$14/1000,0)</f>
        <v>0</v>
      </c>
      <c r="BK415" s="31" t="n">
        <f aca="false">ROUNDDOWN(K415*設定!$C$14/1000,0)</f>
        <v>0</v>
      </c>
      <c r="BL415" s="31" t="n">
        <f aca="false">ROUNDDOWN(J415*設定!$B$15/1000,0)</f>
        <v>0</v>
      </c>
      <c r="BM415" s="31" t="n">
        <f aca="false">ROUNDDOWN(J415*設定!$C$15/1000,0)</f>
        <v>0</v>
      </c>
      <c r="BN415" s="31" t="n">
        <f aca="false">L415+M415</f>
        <v>0</v>
      </c>
      <c r="BO415" s="31" t="n">
        <f aca="false">N415+O415+P415</f>
        <v>0</v>
      </c>
      <c r="BP415" s="31" t="n">
        <f aca="false">Q415</f>
        <v>0</v>
      </c>
      <c r="BQ415" s="31" t="n">
        <f aca="false">R415</f>
        <v>0</v>
      </c>
      <c r="BR415" s="31" t="n">
        <f aca="false">S415</f>
        <v>0</v>
      </c>
      <c r="BS415" s="31" t="n">
        <f aca="false">T415</f>
        <v>0</v>
      </c>
      <c r="BT415" s="31" t="n">
        <f aca="false">U415</f>
        <v>0</v>
      </c>
      <c r="BU415" s="31" t="n">
        <f aca="false">V415</f>
        <v>0</v>
      </c>
      <c r="BV415" s="32" t="n">
        <f aca="false">IF(BF415=0,IF(BN415=0,0,1),(BN415-BF415)/BF415)</f>
        <v>0</v>
      </c>
      <c r="BW415" s="32" t="n">
        <f aca="false">IF(BG415=0,IF(BO415=0,0,1),(BO415-BG415)/BG415)</f>
        <v>0</v>
      </c>
      <c r="BX415" s="32" t="n">
        <f aca="false">IF(BH415=0,IF(BP415=0,0,1),(BP415-BH415)/BH415)</f>
        <v>0</v>
      </c>
      <c r="BY415" s="32" t="n">
        <f aca="false">IF(BI415=0,IF(BQ415=0,0,1),(BQ415-BI415)/BI415)</f>
        <v>0</v>
      </c>
      <c r="BZ415" s="32" t="n">
        <f aca="false">IF(BJ415=0,IF(BR415=0,0,1),(BR415-BJ415)/BJ415)</f>
        <v>0</v>
      </c>
      <c r="CA415" s="32" t="n">
        <f aca="false">IF(BK415=0,IF(BS415=0,0,1),(BS415-BK415)/BK415)</f>
        <v>0</v>
      </c>
      <c r="CB415" s="32" t="n">
        <f aca="false">IF(BL415=0,IF(BT415=0,0,1),(BT415-BL415)/BL415)</f>
        <v>0</v>
      </c>
      <c r="CC415" s="32" t="n">
        <f aca="false">IF(BM415=0,IF(BU415=0,0,1),(BU415-BM415)/BM415)</f>
        <v>0</v>
      </c>
      <c r="CD415" s="32" t="n">
        <f aca="false">MAX(MAX(BV415:CC415),-MIN(BV415:CC415))</f>
        <v>-0</v>
      </c>
      <c r="CE415" s="31" t="n">
        <f aca="false">IF(CI415="","",SUMIFS($CF$7:$CF$696,$A$7:$A$696,CI415,$B$7:$B$696,B415))</f>
        <v>116871</v>
      </c>
      <c r="CF415" s="31" t="n">
        <f aca="false">SUM(AU415:BE415)</f>
        <v>116875</v>
      </c>
      <c r="CG415" s="33" t="str">
        <f aca="false">A415&amp;"|"&amp;B415</f>
        <v>2026-11 月例|広島駅南口開発（株）</v>
      </c>
      <c r="CH415" s="34" t="str">
        <f aca="false">IFERROR(INDEX(設定!$D$61:$D$106,MATCH(B415,設定!$B$61:$B$106,0)),"Y")</f>
        <v>Y</v>
      </c>
      <c r="CI415" s="34" t="str">
        <f aca="false">IFERROR(INDEX(設定!$D$20:$D$34,MATCH(A415,設定!$A$20:$A$34,0))&amp;"","")</f>
        <v>2026-10 月例</v>
      </c>
    </row>
    <row r="416" customFormat="false" ht="15" hidden="true" customHeight="false" outlineLevel="0" collapsed="false">
      <c r="A416" s="22" t="s">
        <v>215</v>
      </c>
      <c r="B416" s="23" t="s">
        <v>202</v>
      </c>
      <c r="C416" s="10" t="str">
        <f aca="false">IF(G416="","未受領",IF(G416="なし","報告なし",IF(AH416="○","起票済",IF(OR(AG416="○",F416="一致",F416="入金不要"),"入金確認済","受領済"))))</f>
        <v>未受領</v>
      </c>
      <c r="D416" s="10" t="str">
        <f aca="false">IF(OR(G416="",G416="なし"),"―",IF(CH416="N","対象外",IF(AND(I416="",J416="",K416=""),"標報未入力",IF(CD416&gt;=設定!$B$4,"要確認","問題なし"))))</f>
        <v>―</v>
      </c>
      <c r="E416" s="24" t="str">
        <f aca="false">IF(OR(G416="",G416="なし",CE416="",CF416=0),"―",IF(CF416=CE416,"前月同額",IF(CE416=0,"―",IF(ABS(CF416/CE416-1)&gt;=設定!$B$5,"変動大 "&amp;TEXT(CF416/CE416-1,"+0%;-0%"),"〇"))))</f>
        <v>―</v>
      </c>
      <c r="F416" s="10" t="str">
        <f aca="false">IF(OR(G416="",G416="なし"),"―",IF(CF416=0,"入金不要",IF(COUNT(Z416,AB416,AD416,AF416)=0,IF(AG416="○","手動確認","未入金"),IF(AND(N(Z416)=Y416,IF(AA416="",TRUE(),N(AB416)=AA416),IF(AC416="",TRUE(),N(AD416)=AC416),IF(AE416="",TRUE(),N(AF416)=AE416)),"一致","不一致"))))</f>
        <v>―</v>
      </c>
      <c r="G416" s="25"/>
      <c r="H416" s="26"/>
      <c r="I416" s="27"/>
      <c r="J416" s="27"/>
      <c r="K416" s="27"/>
      <c r="L416" s="27"/>
      <c r="M416" s="27"/>
      <c r="N416" s="27"/>
      <c r="O416" s="27"/>
      <c r="P416" s="27"/>
      <c r="Q416" s="27"/>
      <c r="R416" s="27"/>
      <c r="S416" s="27"/>
      <c r="T416" s="27"/>
      <c r="U416" s="27"/>
      <c r="V416" s="27"/>
      <c r="W416" s="10" t="str">
        <f aca="false">IFERROR(INDEX(設定!$E$61:$E$106,MATCH(B416,設定!$B$61:$B$106,0)),"合算")</f>
        <v>合算</v>
      </c>
      <c r="X416" s="28"/>
      <c r="Y416" s="29" t="str">
        <f aca="false">IF(OR(G416="",G416="なし"),"",IF(W416="合算",CF416,IF(W416="掛金・負担金別",(AU416+AV416+AZ416+BB416+BD416),SUM(AU416:AY416))))</f>
        <v/>
      </c>
      <c r="Z416" s="27"/>
      <c r="AA416" s="29" t="str">
        <f aca="false">IF(OR(G416="",G416="なし"),"",IF(W416="掛金・負担金別",(AW416+AX416+AY416+BA416+BC416+BE416),IF(W416="経理区分別",AZ416+BA416,"")))</f>
        <v/>
      </c>
      <c r="AB416" s="27"/>
      <c r="AC416" s="29" t="str">
        <f aca="false">IF(OR(G416="",G416="なし"),"",IF(W416="経理区分別",BB416+BC416,""))</f>
        <v/>
      </c>
      <c r="AD416" s="27"/>
      <c r="AE416" s="29" t="str">
        <f aca="false">IF(OR(G416="",G416="なし"),"",IF(W416="経理区分別",BD416+BE416,""))</f>
        <v/>
      </c>
      <c r="AF416" s="27"/>
      <c r="AG416" s="26"/>
      <c r="AH416" s="26"/>
      <c r="AI416" s="30"/>
      <c r="AJ416" s="31" t="n">
        <v>29280</v>
      </c>
      <c r="AK416" s="31" t="n">
        <v>2400</v>
      </c>
      <c r="AL416" s="31" t="n">
        <v>29280</v>
      </c>
      <c r="AM416" s="31" t="n">
        <v>2400</v>
      </c>
      <c r="AN416" s="31"/>
      <c r="AO416" s="31" t="n">
        <v>17603</v>
      </c>
      <c r="AP416" s="31" t="n">
        <v>17635</v>
      </c>
      <c r="AQ416" s="31" t="n">
        <v>2528</v>
      </c>
      <c r="AR416" s="31" t="n">
        <v>2528</v>
      </c>
      <c r="AS416" s="31" t="n">
        <v>1</v>
      </c>
      <c r="AT416" s="31" t="n">
        <v>1</v>
      </c>
      <c r="AU416" s="31" t="n">
        <f aca="false">IF($G416="",AJ416,L416)</f>
        <v>29280</v>
      </c>
      <c r="AV416" s="31" t="n">
        <f aca="false">IF($G416="",AK416,M416)</f>
        <v>2400</v>
      </c>
      <c r="AW416" s="31" t="n">
        <f aca="false">IF($G416="",AL416,N416)</f>
        <v>29280</v>
      </c>
      <c r="AX416" s="31" t="n">
        <f aca="false">IF($G416="",AM416,O416)</f>
        <v>2400</v>
      </c>
      <c r="AY416" s="31" t="n">
        <f aca="false">IF($G416="",AN416,P416)</f>
        <v>0</v>
      </c>
      <c r="AZ416" s="31" t="n">
        <f aca="false">IF($G416="",AO416,Q416)</f>
        <v>17603</v>
      </c>
      <c r="BA416" s="31" t="n">
        <f aca="false">IF($G416="",AP416,R416)</f>
        <v>17635</v>
      </c>
      <c r="BB416" s="31" t="n">
        <f aca="false">IF($G416="",AQ416,S416)</f>
        <v>2528</v>
      </c>
      <c r="BC416" s="31" t="n">
        <f aca="false">IF($G416="",AR416,T416)</f>
        <v>2528</v>
      </c>
      <c r="BD416" s="31" t="n">
        <f aca="false">IF($G416="",AS416,U416)</f>
        <v>1</v>
      </c>
      <c r="BE416" s="31" t="n">
        <f aca="false">IF($G416="",AT416,V416)</f>
        <v>1</v>
      </c>
      <c r="BF416" s="31" t="n">
        <f aca="false">ROUNDDOWN(I416*設定!$B$10/1000,0)+ROUNDDOWN(I416*設定!$B$11/1000,0)</f>
        <v>0</v>
      </c>
      <c r="BG416" s="31" t="n">
        <f aca="false">ROUNDDOWN(I416*設定!$C$10/1000,0)+ROUNDDOWN(I416*設定!$C$11/1000,0)+ROUNDDOWN(I416*設定!$C$12/1000,0)</f>
        <v>0</v>
      </c>
      <c r="BH416" s="31" t="n">
        <f aca="false">ROUNDDOWN(J416*設定!$B$13/1000,0)</f>
        <v>0</v>
      </c>
      <c r="BI416" s="31" t="n">
        <f aca="false">ROUNDDOWN(J416*設定!$C$13/1000,0)</f>
        <v>0</v>
      </c>
      <c r="BJ416" s="31" t="n">
        <f aca="false">ROUNDDOWN(K416*設定!$B$14/1000,0)</f>
        <v>0</v>
      </c>
      <c r="BK416" s="31" t="n">
        <f aca="false">ROUNDDOWN(K416*設定!$C$14/1000,0)</f>
        <v>0</v>
      </c>
      <c r="BL416" s="31" t="n">
        <f aca="false">ROUNDDOWN(J416*設定!$B$15/1000,0)</f>
        <v>0</v>
      </c>
      <c r="BM416" s="31" t="n">
        <f aca="false">ROUNDDOWN(J416*設定!$C$15/1000,0)</f>
        <v>0</v>
      </c>
      <c r="BN416" s="31" t="n">
        <f aca="false">L416+M416</f>
        <v>0</v>
      </c>
      <c r="BO416" s="31" t="n">
        <f aca="false">N416+O416+P416</f>
        <v>0</v>
      </c>
      <c r="BP416" s="31" t="n">
        <f aca="false">Q416</f>
        <v>0</v>
      </c>
      <c r="BQ416" s="31" t="n">
        <f aca="false">R416</f>
        <v>0</v>
      </c>
      <c r="BR416" s="31" t="n">
        <f aca="false">S416</f>
        <v>0</v>
      </c>
      <c r="BS416" s="31" t="n">
        <f aca="false">T416</f>
        <v>0</v>
      </c>
      <c r="BT416" s="31" t="n">
        <f aca="false">U416</f>
        <v>0</v>
      </c>
      <c r="BU416" s="31" t="n">
        <f aca="false">V416</f>
        <v>0</v>
      </c>
      <c r="BV416" s="32" t="n">
        <f aca="false">IF(BF416=0,IF(BN416=0,0,1),(BN416-BF416)/BF416)</f>
        <v>0</v>
      </c>
      <c r="BW416" s="32" t="n">
        <f aca="false">IF(BG416=0,IF(BO416=0,0,1),(BO416-BG416)/BG416)</f>
        <v>0</v>
      </c>
      <c r="BX416" s="32" t="n">
        <f aca="false">IF(BH416=0,IF(BP416=0,0,1),(BP416-BH416)/BH416)</f>
        <v>0</v>
      </c>
      <c r="BY416" s="32" t="n">
        <f aca="false">IF(BI416=0,IF(BQ416=0,0,1),(BQ416-BI416)/BI416)</f>
        <v>0</v>
      </c>
      <c r="BZ416" s="32" t="n">
        <f aca="false">IF(BJ416=0,IF(BR416=0,0,1),(BR416-BJ416)/BJ416)</f>
        <v>0</v>
      </c>
      <c r="CA416" s="32" t="n">
        <f aca="false">IF(BK416=0,IF(BS416=0,0,1),(BS416-BK416)/BK416)</f>
        <v>0</v>
      </c>
      <c r="CB416" s="32" t="n">
        <f aca="false">IF(BL416=0,IF(BT416=0,0,1),(BT416-BL416)/BL416)</f>
        <v>0</v>
      </c>
      <c r="CC416" s="32" t="n">
        <f aca="false">IF(BM416=0,IF(BU416=0,0,1),(BU416-BM416)/BM416)</f>
        <v>0</v>
      </c>
      <c r="CD416" s="32" t="n">
        <f aca="false">MAX(MAX(BV416:CC416),-MIN(BV416:CC416))</f>
        <v>-0</v>
      </c>
      <c r="CE416" s="31" t="n">
        <f aca="false">IF(CI416="","",SUMIFS($CF$7:$CF$696,$A$7:$A$696,CI416,$B$7:$B$696,B416))</f>
        <v>103656</v>
      </c>
      <c r="CF416" s="31" t="n">
        <f aca="false">SUM(AU416:BE416)</f>
        <v>103656</v>
      </c>
      <c r="CG416" s="33" t="str">
        <f aca="false">A416&amp;"|"&amp;B416</f>
        <v>2026-11 月例|市職員労働組合</v>
      </c>
      <c r="CH416" s="34" t="str">
        <f aca="false">IFERROR(INDEX(設定!$D$61:$D$106,MATCH(B416,設定!$B$61:$B$106,0)),"Y")</f>
        <v>Y</v>
      </c>
      <c r="CI416" s="34" t="str">
        <f aca="false">IFERROR(INDEX(設定!$D$20:$D$34,MATCH(A416,設定!$A$20:$A$34,0))&amp;"","")</f>
        <v>2026-10 月例</v>
      </c>
    </row>
    <row r="417" customFormat="false" ht="15" hidden="true" customHeight="false" outlineLevel="0" collapsed="false">
      <c r="A417" s="22" t="s">
        <v>215</v>
      </c>
      <c r="B417" s="23" t="s">
        <v>203</v>
      </c>
      <c r="C417" s="10" t="str">
        <f aca="false">IF(G417="","未受領",IF(G417="なし","報告なし",IF(AH417="○","起票済",IF(OR(AG417="○",F417="一致",F417="入金不要"),"入金確認済","受領済"))))</f>
        <v>報告なし</v>
      </c>
      <c r="D417" s="10" t="str">
        <f aca="false">IF(OR(G417="",G417="なし"),"―",IF(CH417="N","対象外",IF(AND(I417="",J417="",K417=""),"標報未入力",IF(CD417&gt;=設定!$B$4,"要確認","問題なし"))))</f>
        <v>―</v>
      </c>
      <c r="E417" s="24" t="str">
        <f aca="false">IF(OR(G417="",G417="なし",CE417="",CF417=0),"―",IF(CF417=CE417,"前月同額",IF(CE417=0,"―",IF(ABS(CF417/CE417-1)&gt;=設定!$B$5,"変動大 "&amp;TEXT(CF417/CE417-1,"+0%;-0%"),"〇"))))</f>
        <v>―</v>
      </c>
      <c r="F417" s="10" t="str">
        <f aca="false">IF(OR(G417="",G417="なし"),"―",IF(CF417=0,"入金不要",IF(COUNT(Z417,AB417,AD417,AF417)=0,IF(AG417="○","手動確認","未入金"),IF(AND(N(Z417)=Y417,IF(AA417="",TRUE(),N(AB417)=AA417),IF(AC417="",TRUE(),N(AD417)=AC417),IF(AE417="",TRUE(),N(AF417)=AE417)),"一致","不一致"))))</f>
        <v>―</v>
      </c>
      <c r="G417" s="25" t="s">
        <v>173</v>
      </c>
      <c r="H417" s="26"/>
      <c r="I417" s="27"/>
      <c r="J417" s="27"/>
      <c r="K417" s="27"/>
      <c r="L417" s="27"/>
      <c r="M417" s="27"/>
      <c r="N417" s="27"/>
      <c r="O417" s="27"/>
      <c r="P417" s="27"/>
      <c r="Q417" s="27"/>
      <c r="R417" s="27"/>
      <c r="S417" s="27"/>
      <c r="T417" s="27"/>
      <c r="U417" s="27"/>
      <c r="V417" s="27"/>
      <c r="W417" s="10" t="str">
        <f aca="false">IFERROR(INDEX(設定!$E$61:$E$106,MATCH(B417,設定!$B$61:$B$106,0)),"合算")</f>
        <v>合算</v>
      </c>
      <c r="X417" s="28"/>
      <c r="Y417" s="29" t="str">
        <f aca="false">IF(OR(G417="",G417="なし"),"",IF(W417="合算",CF417,IF(W417="掛金・負担金別",(AU417+AV417+AZ417+BB417+BD417),SUM(AU417:AY417))))</f>
        <v/>
      </c>
      <c r="Z417" s="27"/>
      <c r="AA417" s="29" t="str">
        <f aca="false">IF(OR(G417="",G417="なし"),"",IF(W417="掛金・負担金別",(AW417+AX417+AY417+BA417+BC417+BE417),IF(W417="経理区分別",AZ417+BA417,"")))</f>
        <v/>
      </c>
      <c r="AB417" s="27"/>
      <c r="AC417" s="29" t="str">
        <f aca="false">IF(OR(G417="",G417="なし"),"",IF(W417="経理区分別",BB417+BC417,""))</f>
        <v/>
      </c>
      <c r="AD417" s="27"/>
      <c r="AE417" s="29" t="str">
        <f aca="false">IF(OR(G417="",G417="なし"),"",IF(W417="経理区分別",BD417+BE417,""))</f>
        <v/>
      </c>
      <c r="AF417" s="27"/>
      <c r="AG417" s="26"/>
      <c r="AH417" s="26"/>
      <c r="AI417" s="30"/>
      <c r="AJ417" s="31"/>
      <c r="AK417" s="31"/>
      <c r="AL417" s="31"/>
      <c r="AM417" s="31"/>
      <c r="AN417" s="31"/>
      <c r="AO417" s="31"/>
      <c r="AP417" s="31"/>
      <c r="AQ417" s="31"/>
      <c r="AR417" s="31"/>
      <c r="AS417" s="31"/>
      <c r="AT417" s="31"/>
      <c r="AU417" s="31" t="n">
        <f aca="false">IF($G417="",AJ417,L417)</f>
        <v>0</v>
      </c>
      <c r="AV417" s="31" t="n">
        <f aca="false">IF($G417="",AK417,M417)</f>
        <v>0</v>
      </c>
      <c r="AW417" s="31" t="n">
        <f aca="false">IF($G417="",AL417,N417)</f>
        <v>0</v>
      </c>
      <c r="AX417" s="31" t="n">
        <f aca="false">IF($G417="",AM417,O417)</f>
        <v>0</v>
      </c>
      <c r="AY417" s="31" t="n">
        <f aca="false">IF($G417="",AN417,P417)</f>
        <v>0</v>
      </c>
      <c r="AZ417" s="31" t="n">
        <f aca="false">IF($G417="",AO417,Q417)</f>
        <v>0</v>
      </c>
      <c r="BA417" s="31" t="n">
        <f aca="false">IF($G417="",AP417,R417)</f>
        <v>0</v>
      </c>
      <c r="BB417" s="31" t="n">
        <f aca="false">IF($G417="",AQ417,S417)</f>
        <v>0</v>
      </c>
      <c r="BC417" s="31" t="n">
        <f aca="false">IF($G417="",AR417,T417)</f>
        <v>0</v>
      </c>
      <c r="BD417" s="31" t="n">
        <f aca="false">IF($G417="",AS417,U417)</f>
        <v>0</v>
      </c>
      <c r="BE417" s="31" t="n">
        <f aca="false">IF($G417="",AT417,V417)</f>
        <v>0</v>
      </c>
      <c r="BF417" s="31" t="n">
        <f aca="false">ROUNDDOWN(I417*設定!$B$10/1000,0)+ROUNDDOWN(I417*設定!$B$11/1000,0)</f>
        <v>0</v>
      </c>
      <c r="BG417" s="31" t="n">
        <f aca="false">ROUNDDOWN(I417*設定!$C$10/1000,0)+ROUNDDOWN(I417*設定!$C$11/1000,0)+ROUNDDOWN(I417*設定!$C$12/1000,0)</f>
        <v>0</v>
      </c>
      <c r="BH417" s="31" t="n">
        <f aca="false">ROUNDDOWN(J417*設定!$B$13/1000,0)</f>
        <v>0</v>
      </c>
      <c r="BI417" s="31" t="n">
        <f aca="false">ROUNDDOWN(J417*設定!$C$13/1000,0)</f>
        <v>0</v>
      </c>
      <c r="BJ417" s="31" t="n">
        <f aca="false">ROUNDDOWN(K417*設定!$B$14/1000,0)</f>
        <v>0</v>
      </c>
      <c r="BK417" s="31" t="n">
        <f aca="false">ROUNDDOWN(K417*設定!$C$14/1000,0)</f>
        <v>0</v>
      </c>
      <c r="BL417" s="31" t="n">
        <f aca="false">ROUNDDOWN(J417*設定!$B$15/1000,0)</f>
        <v>0</v>
      </c>
      <c r="BM417" s="31" t="n">
        <f aca="false">ROUNDDOWN(J417*設定!$C$15/1000,0)</f>
        <v>0</v>
      </c>
      <c r="BN417" s="31" t="n">
        <f aca="false">L417+M417</f>
        <v>0</v>
      </c>
      <c r="BO417" s="31" t="n">
        <f aca="false">N417+O417+P417</f>
        <v>0</v>
      </c>
      <c r="BP417" s="31" t="n">
        <f aca="false">Q417</f>
        <v>0</v>
      </c>
      <c r="BQ417" s="31" t="n">
        <f aca="false">R417</f>
        <v>0</v>
      </c>
      <c r="BR417" s="31" t="n">
        <f aca="false">S417</f>
        <v>0</v>
      </c>
      <c r="BS417" s="31" t="n">
        <f aca="false">T417</f>
        <v>0</v>
      </c>
      <c r="BT417" s="31" t="n">
        <f aca="false">U417</f>
        <v>0</v>
      </c>
      <c r="BU417" s="31" t="n">
        <f aca="false">V417</f>
        <v>0</v>
      </c>
      <c r="BV417" s="32" t="n">
        <f aca="false">IF(BF417=0,IF(BN417=0,0,1),(BN417-BF417)/BF417)</f>
        <v>0</v>
      </c>
      <c r="BW417" s="32" t="n">
        <f aca="false">IF(BG417=0,IF(BO417=0,0,1),(BO417-BG417)/BG417)</f>
        <v>0</v>
      </c>
      <c r="BX417" s="32" t="n">
        <f aca="false">IF(BH417=0,IF(BP417=0,0,1),(BP417-BH417)/BH417)</f>
        <v>0</v>
      </c>
      <c r="BY417" s="32" t="n">
        <f aca="false">IF(BI417=0,IF(BQ417=0,0,1),(BQ417-BI417)/BI417)</f>
        <v>0</v>
      </c>
      <c r="BZ417" s="32" t="n">
        <f aca="false">IF(BJ417=0,IF(BR417=0,0,1),(BR417-BJ417)/BJ417)</f>
        <v>0</v>
      </c>
      <c r="CA417" s="32" t="n">
        <f aca="false">IF(BK417=0,IF(BS417=0,0,1),(BS417-BK417)/BK417)</f>
        <v>0</v>
      </c>
      <c r="CB417" s="32" t="n">
        <f aca="false">IF(BL417=0,IF(BT417=0,0,1),(BT417-BL417)/BL417)</f>
        <v>0</v>
      </c>
      <c r="CC417" s="32" t="n">
        <f aca="false">IF(BM417=0,IF(BU417=0,0,1),(BU417-BM417)/BM417)</f>
        <v>0</v>
      </c>
      <c r="CD417" s="32" t="n">
        <f aca="false">MAX(MAX(BV417:CC417),-MIN(BV417:CC417))</f>
        <v>-0</v>
      </c>
      <c r="CE417" s="31" t="n">
        <f aca="false">IF(CI417="","",SUMIFS($CF$7:$CF$696,$A$7:$A$696,CI417,$B$7:$B$696,B417))</f>
        <v>0</v>
      </c>
      <c r="CF417" s="31" t="n">
        <f aca="false">SUM(AU417:BE417)</f>
        <v>0</v>
      </c>
      <c r="CG417" s="33" t="str">
        <f aca="false">A417&amp;"|"&amp;B417</f>
        <v>2026-11 月例|自治労労働組合</v>
      </c>
      <c r="CH417" s="34" t="str">
        <f aca="false">IFERROR(INDEX(設定!$D$61:$D$106,MATCH(B417,設定!$B$61:$B$106,0)),"Y")</f>
        <v>Y</v>
      </c>
      <c r="CI417" s="34" t="str">
        <f aca="false">IFERROR(INDEX(設定!$D$20:$D$34,MATCH(A417,設定!$A$20:$A$34,0))&amp;"","")</f>
        <v>2026-10 月例</v>
      </c>
    </row>
    <row r="418" customFormat="false" ht="15" hidden="true" customHeight="false" outlineLevel="0" collapsed="false">
      <c r="A418" s="22" t="s">
        <v>215</v>
      </c>
      <c r="B418" s="23" t="s">
        <v>204</v>
      </c>
      <c r="C418" s="10" t="str">
        <f aca="false">IF(G418="","未受領",IF(G418="なし","報告なし",IF(AH418="○","起票済",IF(OR(AG418="○",F418="一致",F418="入金不要"),"入金確認済","受領済"))))</f>
        <v>未受領</v>
      </c>
      <c r="D418" s="10" t="str">
        <f aca="false">IF(OR(G418="",G418="なし"),"―",IF(CH418="N","対象外",IF(AND(I418="",J418="",K418=""),"標報未入力",IF(CD418&gt;=設定!$B$4,"要確認","問題なし"))))</f>
        <v>―</v>
      </c>
      <c r="E418" s="24" t="str">
        <f aca="false">IF(OR(G418="",G418="なし",CE418="",CF418=0),"―",IF(CF418=CE418,"前月同額",IF(CE418=0,"―",IF(ABS(CF418/CE418-1)&gt;=設定!$B$5,"変動大 "&amp;TEXT(CF418/CE418-1,"+0%;-0%"),"〇"))))</f>
        <v>―</v>
      </c>
      <c r="F418" s="10" t="str">
        <f aca="false">IF(OR(G418="",G418="なし"),"―",IF(CF418=0,"入金不要",IF(COUNT(Z418,AB418,AD418,AF418)=0,IF(AG418="○","手動確認","未入金"),IF(AND(N(Z418)=Y418,IF(AA418="",TRUE(),N(AB418)=AA418),IF(AC418="",TRUE(),N(AD418)=AC418),IF(AE418="",TRUE(),N(AF418)=AE418)),"一致","不一致"))))</f>
        <v>―</v>
      </c>
      <c r="G418" s="25"/>
      <c r="H418" s="26"/>
      <c r="I418" s="27"/>
      <c r="J418" s="27"/>
      <c r="K418" s="27"/>
      <c r="L418" s="27"/>
      <c r="M418" s="27"/>
      <c r="N418" s="27"/>
      <c r="O418" s="27"/>
      <c r="P418" s="27"/>
      <c r="Q418" s="27"/>
      <c r="R418" s="27"/>
      <c r="S418" s="27"/>
      <c r="T418" s="27"/>
      <c r="U418" s="27"/>
      <c r="V418" s="27"/>
      <c r="W418" s="10" t="str">
        <f aca="false">IFERROR(INDEX(設定!$E$61:$E$106,MATCH(B418,設定!$B$61:$B$106,0)),"合算")</f>
        <v>合算</v>
      </c>
      <c r="X418" s="28"/>
      <c r="Y418" s="29" t="str">
        <f aca="false">IF(OR(G418="",G418="なし"),"",IF(W418="合算",CF418,IF(W418="掛金・負担金別",(AU418+AV418+AZ418+BB418+BD418),SUM(AU418:AY418))))</f>
        <v/>
      </c>
      <c r="Z418" s="27"/>
      <c r="AA418" s="29" t="str">
        <f aca="false">IF(OR(G418="",G418="なし"),"",IF(W418="掛金・負担金別",(AW418+AX418+AY418+BA418+BC418+BE418),IF(W418="経理区分別",AZ418+BA418,"")))</f>
        <v/>
      </c>
      <c r="AB418" s="27"/>
      <c r="AC418" s="29" t="str">
        <f aca="false">IF(OR(G418="",G418="なし"),"",IF(W418="経理区分別",BB418+BC418,""))</f>
        <v/>
      </c>
      <c r="AD418" s="27"/>
      <c r="AE418" s="29" t="str">
        <f aca="false">IF(OR(G418="",G418="なし"),"",IF(W418="経理区分別",BD418+BE418,""))</f>
        <v/>
      </c>
      <c r="AF418" s="27"/>
      <c r="AG418" s="26"/>
      <c r="AH418" s="26"/>
      <c r="AI418" s="30"/>
      <c r="AJ418" s="31" t="n">
        <v>23790</v>
      </c>
      <c r="AK418" s="31" t="n">
        <v>1950</v>
      </c>
      <c r="AL418" s="31" t="n">
        <v>23790</v>
      </c>
      <c r="AM418" s="31" t="n">
        <v>1950</v>
      </c>
      <c r="AN418" s="31"/>
      <c r="AO418" s="31" t="n">
        <v>30805</v>
      </c>
      <c r="AP418" s="31" t="n">
        <v>30861</v>
      </c>
      <c r="AQ418" s="31" t="n">
        <v>2370</v>
      </c>
      <c r="AR418" s="31" t="n">
        <v>2370</v>
      </c>
      <c r="AS418" s="31" t="n">
        <v>1</v>
      </c>
      <c r="AT418" s="31" t="n">
        <v>1</v>
      </c>
      <c r="AU418" s="31" t="n">
        <f aca="false">IF($G418="",AJ418,L418)</f>
        <v>23790</v>
      </c>
      <c r="AV418" s="31" t="n">
        <f aca="false">IF($G418="",AK418,M418)</f>
        <v>1950</v>
      </c>
      <c r="AW418" s="31" t="n">
        <f aca="false">IF($G418="",AL418,N418)</f>
        <v>23790</v>
      </c>
      <c r="AX418" s="31" t="n">
        <f aca="false">IF($G418="",AM418,O418)</f>
        <v>1950</v>
      </c>
      <c r="AY418" s="31" t="n">
        <f aca="false">IF($G418="",AN418,P418)</f>
        <v>0</v>
      </c>
      <c r="AZ418" s="31" t="n">
        <f aca="false">IF($G418="",AO418,Q418)</f>
        <v>30805</v>
      </c>
      <c r="BA418" s="31" t="n">
        <f aca="false">IF($G418="",AP418,R418)</f>
        <v>30861</v>
      </c>
      <c r="BB418" s="31" t="n">
        <f aca="false">IF($G418="",AQ418,S418)</f>
        <v>2370</v>
      </c>
      <c r="BC418" s="31" t="n">
        <f aca="false">IF($G418="",AR418,T418)</f>
        <v>2370</v>
      </c>
      <c r="BD418" s="31" t="n">
        <f aca="false">IF($G418="",AS418,U418)</f>
        <v>1</v>
      </c>
      <c r="BE418" s="31" t="n">
        <f aca="false">IF($G418="",AT418,V418)</f>
        <v>1</v>
      </c>
      <c r="BF418" s="31" t="n">
        <f aca="false">ROUNDDOWN(I418*設定!$B$10/1000,0)+ROUNDDOWN(I418*設定!$B$11/1000,0)</f>
        <v>0</v>
      </c>
      <c r="BG418" s="31" t="n">
        <f aca="false">ROUNDDOWN(I418*設定!$C$10/1000,0)+ROUNDDOWN(I418*設定!$C$11/1000,0)+ROUNDDOWN(I418*設定!$C$12/1000,0)</f>
        <v>0</v>
      </c>
      <c r="BH418" s="31" t="n">
        <f aca="false">ROUNDDOWN(J418*設定!$B$13/1000,0)</f>
        <v>0</v>
      </c>
      <c r="BI418" s="31" t="n">
        <f aca="false">ROUNDDOWN(J418*設定!$C$13/1000,0)</f>
        <v>0</v>
      </c>
      <c r="BJ418" s="31" t="n">
        <f aca="false">ROUNDDOWN(K418*設定!$B$14/1000,0)</f>
        <v>0</v>
      </c>
      <c r="BK418" s="31" t="n">
        <f aca="false">ROUNDDOWN(K418*設定!$C$14/1000,0)</f>
        <v>0</v>
      </c>
      <c r="BL418" s="31" t="n">
        <f aca="false">ROUNDDOWN(J418*設定!$B$15/1000,0)</f>
        <v>0</v>
      </c>
      <c r="BM418" s="31" t="n">
        <f aca="false">ROUNDDOWN(J418*設定!$C$15/1000,0)</f>
        <v>0</v>
      </c>
      <c r="BN418" s="31" t="n">
        <f aca="false">L418+M418</f>
        <v>0</v>
      </c>
      <c r="BO418" s="31" t="n">
        <f aca="false">N418+O418+P418</f>
        <v>0</v>
      </c>
      <c r="BP418" s="31" t="n">
        <f aca="false">Q418</f>
        <v>0</v>
      </c>
      <c r="BQ418" s="31" t="n">
        <f aca="false">R418</f>
        <v>0</v>
      </c>
      <c r="BR418" s="31" t="n">
        <f aca="false">S418</f>
        <v>0</v>
      </c>
      <c r="BS418" s="31" t="n">
        <f aca="false">T418</f>
        <v>0</v>
      </c>
      <c r="BT418" s="31" t="n">
        <f aca="false">U418</f>
        <v>0</v>
      </c>
      <c r="BU418" s="31" t="n">
        <f aca="false">V418</f>
        <v>0</v>
      </c>
      <c r="BV418" s="32" t="n">
        <f aca="false">IF(BF418=0,IF(BN418=0,0,1),(BN418-BF418)/BF418)</f>
        <v>0</v>
      </c>
      <c r="BW418" s="32" t="n">
        <f aca="false">IF(BG418=0,IF(BO418=0,0,1),(BO418-BG418)/BG418)</f>
        <v>0</v>
      </c>
      <c r="BX418" s="32" t="n">
        <f aca="false">IF(BH418=0,IF(BP418=0,0,1),(BP418-BH418)/BH418)</f>
        <v>0</v>
      </c>
      <c r="BY418" s="32" t="n">
        <f aca="false">IF(BI418=0,IF(BQ418=0,0,1),(BQ418-BI418)/BI418)</f>
        <v>0</v>
      </c>
      <c r="BZ418" s="32" t="n">
        <f aca="false">IF(BJ418=0,IF(BR418=0,0,1),(BR418-BJ418)/BJ418)</f>
        <v>0</v>
      </c>
      <c r="CA418" s="32" t="n">
        <f aca="false">IF(BK418=0,IF(BS418=0,0,1),(BS418-BK418)/BK418)</f>
        <v>0</v>
      </c>
      <c r="CB418" s="32" t="n">
        <f aca="false">IF(BL418=0,IF(BT418=0,0,1),(BT418-BL418)/BL418)</f>
        <v>0</v>
      </c>
      <c r="CC418" s="32" t="n">
        <f aca="false">IF(BM418=0,IF(BU418=0,0,1),(BU418-BM418)/BM418)</f>
        <v>0</v>
      </c>
      <c r="CD418" s="32" t="n">
        <f aca="false">MAX(MAX(BV418:CC418),-MIN(BV418:CC418))</f>
        <v>-0</v>
      </c>
      <c r="CE418" s="31" t="n">
        <f aca="false">IF(CI418="","",SUMIFS($CF$7:$CF$696,$A$7:$A$696,CI418,$B$7:$B$696,B418))</f>
        <v>133863</v>
      </c>
      <c r="CF418" s="31" t="n">
        <f aca="false">SUM(AU418:BE418)</f>
        <v>117888</v>
      </c>
      <c r="CG418" s="33" t="str">
        <f aca="false">A418&amp;"|"&amp;B418</f>
        <v>2026-11 月例|病院労働組合</v>
      </c>
      <c r="CH418" s="34" t="str">
        <f aca="false">IFERROR(INDEX(設定!$D$61:$D$106,MATCH(B418,設定!$B$61:$B$106,0)),"Y")</f>
        <v>Y</v>
      </c>
      <c r="CI418" s="34" t="str">
        <f aca="false">IFERROR(INDEX(設定!$D$20:$D$34,MATCH(A418,設定!$A$20:$A$34,0))&amp;"","")</f>
        <v>2026-10 月例</v>
      </c>
    </row>
    <row r="419" customFormat="false" ht="15" hidden="true" customHeight="false" outlineLevel="0" collapsed="false">
      <c r="A419" s="22" t="s">
        <v>215</v>
      </c>
      <c r="B419" s="23" t="s">
        <v>205</v>
      </c>
      <c r="C419" s="10" t="str">
        <f aca="false">IF(G419="","未受領",IF(G419="なし","報告なし",IF(AH419="○","起票済",IF(OR(AG419="○",F419="一致",F419="入金不要"),"入金確認済","受領済"))))</f>
        <v>報告なし</v>
      </c>
      <c r="D419" s="10" t="str">
        <f aca="false">IF(OR(G419="",G419="なし"),"―",IF(CH419="N","対象外",IF(AND(I419="",J419="",K419=""),"標報未入力",IF(CD419&gt;=設定!$B$4,"要確認","問題なし"))))</f>
        <v>―</v>
      </c>
      <c r="E419" s="24" t="str">
        <f aca="false">IF(OR(G419="",G419="なし",CE419="",CF419=0),"―",IF(CF419=CE419,"前月同額",IF(CE419=0,"―",IF(ABS(CF419/CE419-1)&gt;=設定!$B$5,"変動大 "&amp;TEXT(CF419/CE419-1,"+0%;-0%"),"〇"))))</f>
        <v>―</v>
      </c>
      <c r="F419" s="10" t="str">
        <f aca="false">IF(OR(G419="",G419="なし"),"―",IF(CF419=0,"入金不要",IF(COUNT(Z419,AB419,AD419,AF419)=0,IF(AG419="○","手動確認","未入金"),IF(AND(N(Z419)=Y419,IF(AA419="",TRUE(),N(AB419)=AA419),IF(AC419="",TRUE(),N(AD419)=AC419),IF(AE419="",TRUE(),N(AF419)=AE419)),"一致","不一致"))))</f>
        <v>―</v>
      </c>
      <c r="G419" s="25" t="s">
        <v>173</v>
      </c>
      <c r="H419" s="26"/>
      <c r="I419" s="27"/>
      <c r="J419" s="27"/>
      <c r="K419" s="27"/>
      <c r="L419" s="27"/>
      <c r="M419" s="27"/>
      <c r="N419" s="27"/>
      <c r="O419" s="27"/>
      <c r="P419" s="27"/>
      <c r="Q419" s="27"/>
      <c r="R419" s="27"/>
      <c r="S419" s="27"/>
      <c r="T419" s="27"/>
      <c r="U419" s="27"/>
      <c r="V419" s="27"/>
      <c r="W419" s="10" t="str">
        <f aca="false">IFERROR(INDEX(設定!$E$61:$E$106,MATCH(B419,設定!$B$61:$B$106,0)),"合算")</f>
        <v>合算</v>
      </c>
      <c r="X419" s="28"/>
      <c r="Y419" s="29" t="str">
        <f aca="false">IF(OR(G419="",G419="なし"),"",IF(W419="合算",CF419,IF(W419="掛金・負担金別",(AU419+AV419+AZ419+BB419+BD419),SUM(AU419:AY419))))</f>
        <v/>
      </c>
      <c r="Z419" s="27"/>
      <c r="AA419" s="29" t="str">
        <f aca="false">IF(OR(G419="",G419="なし"),"",IF(W419="掛金・負担金別",(AW419+AX419+AY419+BA419+BC419+BE419),IF(W419="経理区分別",AZ419+BA419,"")))</f>
        <v/>
      </c>
      <c r="AB419" s="27"/>
      <c r="AC419" s="29" t="str">
        <f aca="false">IF(OR(G419="",G419="なし"),"",IF(W419="経理区分別",BB419+BC419,""))</f>
        <v/>
      </c>
      <c r="AD419" s="27"/>
      <c r="AE419" s="29" t="str">
        <f aca="false">IF(OR(G419="",G419="なし"),"",IF(W419="経理区分別",BD419+BE419,""))</f>
        <v/>
      </c>
      <c r="AF419" s="27"/>
      <c r="AG419" s="26"/>
      <c r="AH419" s="26"/>
      <c r="AI419" s="30"/>
      <c r="AJ419" s="31"/>
      <c r="AK419" s="31"/>
      <c r="AL419" s="31"/>
      <c r="AM419" s="31"/>
      <c r="AN419" s="31"/>
      <c r="AO419" s="31"/>
      <c r="AP419" s="31"/>
      <c r="AQ419" s="31"/>
      <c r="AR419" s="31"/>
      <c r="AS419" s="31"/>
      <c r="AT419" s="31"/>
      <c r="AU419" s="31" t="n">
        <f aca="false">IF($G419="",AJ419,L419)</f>
        <v>0</v>
      </c>
      <c r="AV419" s="31" t="n">
        <f aca="false">IF($G419="",AK419,M419)</f>
        <v>0</v>
      </c>
      <c r="AW419" s="31" t="n">
        <f aca="false">IF($G419="",AL419,N419)</f>
        <v>0</v>
      </c>
      <c r="AX419" s="31" t="n">
        <f aca="false">IF($G419="",AM419,O419)</f>
        <v>0</v>
      </c>
      <c r="AY419" s="31" t="n">
        <f aca="false">IF($G419="",AN419,P419)</f>
        <v>0</v>
      </c>
      <c r="AZ419" s="31" t="n">
        <f aca="false">IF($G419="",AO419,Q419)</f>
        <v>0</v>
      </c>
      <c r="BA419" s="31" t="n">
        <f aca="false">IF($G419="",AP419,R419)</f>
        <v>0</v>
      </c>
      <c r="BB419" s="31" t="n">
        <f aca="false">IF($G419="",AQ419,S419)</f>
        <v>0</v>
      </c>
      <c r="BC419" s="31" t="n">
        <f aca="false">IF($G419="",AR419,T419)</f>
        <v>0</v>
      </c>
      <c r="BD419" s="31" t="n">
        <f aca="false">IF($G419="",AS419,U419)</f>
        <v>0</v>
      </c>
      <c r="BE419" s="31" t="n">
        <f aca="false">IF($G419="",AT419,V419)</f>
        <v>0</v>
      </c>
      <c r="BF419" s="31" t="n">
        <f aca="false">ROUNDDOWN(I419*設定!$B$10/1000,0)+ROUNDDOWN(I419*設定!$B$11/1000,0)</f>
        <v>0</v>
      </c>
      <c r="BG419" s="31" t="n">
        <f aca="false">ROUNDDOWN(I419*設定!$C$10/1000,0)+ROUNDDOWN(I419*設定!$C$11/1000,0)+ROUNDDOWN(I419*設定!$C$12/1000,0)</f>
        <v>0</v>
      </c>
      <c r="BH419" s="31" t="n">
        <f aca="false">ROUNDDOWN(J419*設定!$B$13/1000,0)</f>
        <v>0</v>
      </c>
      <c r="BI419" s="31" t="n">
        <f aca="false">ROUNDDOWN(J419*設定!$C$13/1000,0)</f>
        <v>0</v>
      </c>
      <c r="BJ419" s="31" t="n">
        <f aca="false">ROUNDDOWN(K419*設定!$B$14/1000,0)</f>
        <v>0</v>
      </c>
      <c r="BK419" s="31" t="n">
        <f aca="false">ROUNDDOWN(K419*設定!$C$14/1000,0)</f>
        <v>0</v>
      </c>
      <c r="BL419" s="31" t="n">
        <f aca="false">ROUNDDOWN(J419*設定!$B$15/1000,0)</f>
        <v>0</v>
      </c>
      <c r="BM419" s="31" t="n">
        <f aca="false">ROUNDDOWN(J419*設定!$C$15/1000,0)</f>
        <v>0</v>
      </c>
      <c r="BN419" s="31" t="n">
        <f aca="false">L419+M419</f>
        <v>0</v>
      </c>
      <c r="BO419" s="31" t="n">
        <f aca="false">N419+O419+P419</f>
        <v>0</v>
      </c>
      <c r="BP419" s="31" t="n">
        <f aca="false">Q419</f>
        <v>0</v>
      </c>
      <c r="BQ419" s="31" t="n">
        <f aca="false">R419</f>
        <v>0</v>
      </c>
      <c r="BR419" s="31" t="n">
        <f aca="false">S419</f>
        <v>0</v>
      </c>
      <c r="BS419" s="31" t="n">
        <f aca="false">T419</f>
        <v>0</v>
      </c>
      <c r="BT419" s="31" t="n">
        <f aca="false">U419</f>
        <v>0</v>
      </c>
      <c r="BU419" s="31" t="n">
        <f aca="false">V419</f>
        <v>0</v>
      </c>
      <c r="BV419" s="32" t="n">
        <f aca="false">IF(BF419=0,IF(BN419=0,0,1),(BN419-BF419)/BF419)</f>
        <v>0</v>
      </c>
      <c r="BW419" s="32" t="n">
        <f aca="false">IF(BG419=0,IF(BO419=0,0,1),(BO419-BG419)/BG419)</f>
        <v>0</v>
      </c>
      <c r="BX419" s="32" t="n">
        <f aca="false">IF(BH419=0,IF(BP419=0,0,1),(BP419-BH419)/BH419)</f>
        <v>0</v>
      </c>
      <c r="BY419" s="32" t="n">
        <f aca="false">IF(BI419=0,IF(BQ419=0,0,1),(BQ419-BI419)/BI419)</f>
        <v>0</v>
      </c>
      <c r="BZ419" s="32" t="n">
        <f aca="false">IF(BJ419=0,IF(BR419=0,0,1),(BR419-BJ419)/BJ419)</f>
        <v>0</v>
      </c>
      <c r="CA419" s="32" t="n">
        <f aca="false">IF(BK419=0,IF(BS419=0,0,1),(BS419-BK419)/BK419)</f>
        <v>0</v>
      </c>
      <c r="CB419" s="32" t="n">
        <f aca="false">IF(BL419=0,IF(BT419=0,0,1),(BT419-BL419)/BL419)</f>
        <v>0</v>
      </c>
      <c r="CC419" s="32" t="n">
        <f aca="false">IF(BM419=0,IF(BU419=0,0,1),(BU419-BM419)/BM419)</f>
        <v>0</v>
      </c>
      <c r="CD419" s="32" t="n">
        <f aca="false">MAX(MAX(BV419:CC419),-MIN(BV419:CC419))</f>
        <v>-0</v>
      </c>
      <c r="CE419" s="31" t="n">
        <f aca="false">IF(CI419="","",SUMIFS($CF$7:$CF$696,$A$7:$A$696,CI419,$B$7:$B$696,B419))</f>
        <v>0</v>
      </c>
      <c r="CF419" s="31" t="n">
        <f aca="false">SUM(AU419:BE419)</f>
        <v>0</v>
      </c>
      <c r="CG419" s="33" t="str">
        <f aca="false">A419&amp;"|"&amp;B419</f>
        <v>2026-11 月例|水道労働組合</v>
      </c>
      <c r="CH419" s="34" t="str">
        <f aca="false">IFERROR(INDEX(設定!$D$61:$D$106,MATCH(B419,設定!$B$61:$B$106,0)),"Y")</f>
        <v>Y</v>
      </c>
      <c r="CI419" s="34" t="str">
        <f aca="false">IFERROR(INDEX(設定!$D$20:$D$34,MATCH(A419,設定!$A$20:$A$34,0))&amp;"","")</f>
        <v>2026-10 月例</v>
      </c>
    </row>
    <row r="420" customFormat="false" ht="15" hidden="true" customHeight="false" outlineLevel="0" collapsed="false">
      <c r="A420" s="22" t="s">
        <v>215</v>
      </c>
      <c r="B420" s="23" t="s">
        <v>206</v>
      </c>
      <c r="C420" s="10" t="str">
        <f aca="false">IF(G420="","未受領",IF(G420="なし","報告なし",IF(AH420="○","起票済",IF(OR(AG420="○",F420="一致",F420="入金不要"),"入金確認済","受領済"))))</f>
        <v>未受領</v>
      </c>
      <c r="D420" s="10" t="str">
        <f aca="false">IF(OR(G420="",G420="なし"),"―",IF(CH420="N","対象外",IF(AND(I420="",J420="",K420=""),"標報未入力",IF(CD420&gt;=設定!$B$4,"要確認","問題なし"))))</f>
        <v>―</v>
      </c>
      <c r="E420" s="24" t="str">
        <f aca="false">IF(OR(G420="",G420="なし",CE420="",CF420=0),"―",IF(CF420=CE420,"前月同額",IF(CE420=0,"―",IF(ABS(CF420/CE420-1)&gt;=設定!$B$5,"変動大 "&amp;TEXT(CF420/CE420-1,"+0%;-0%"),"〇"))))</f>
        <v>―</v>
      </c>
      <c r="F420" s="10" t="str">
        <f aca="false">IF(OR(G420="",G420="なし"),"―",IF(CF420=0,"入金不要",IF(COUNT(Z420,AB420,AD420,AF420)=0,IF(AG420="○","手動確認","未入金"),IF(AND(N(Z420)=Y420,IF(AA420="",TRUE(),N(AB420)=AA420),IF(AC420="",TRUE(),N(AD420)=AC420),IF(AE420="",TRUE(),N(AF420)=AE420)),"一致","不一致"))))</f>
        <v>―</v>
      </c>
      <c r="G420" s="25"/>
      <c r="H420" s="26"/>
      <c r="I420" s="27"/>
      <c r="J420" s="27"/>
      <c r="K420" s="27"/>
      <c r="L420" s="27"/>
      <c r="M420" s="27"/>
      <c r="N420" s="27"/>
      <c r="O420" s="27"/>
      <c r="P420" s="27"/>
      <c r="Q420" s="27"/>
      <c r="R420" s="27"/>
      <c r="S420" s="27"/>
      <c r="T420" s="27"/>
      <c r="U420" s="27"/>
      <c r="V420" s="27"/>
      <c r="W420" s="10" t="str">
        <f aca="false">IFERROR(INDEX(設定!$E$61:$E$106,MATCH(B420,設定!$B$61:$B$106,0)),"合算")</f>
        <v>合算</v>
      </c>
      <c r="X420" s="28"/>
      <c r="Y420" s="29" t="str">
        <f aca="false">IF(OR(G420="",G420="なし"),"",IF(W420="合算",CF420,IF(W420="掛金・負担金別",(AU420+AV420+AZ420+BB420+BD420),SUM(AU420:AY420))))</f>
        <v/>
      </c>
      <c r="Z420" s="27"/>
      <c r="AA420" s="29" t="str">
        <f aca="false">IF(OR(G420="",G420="なし"),"",IF(W420="掛金・負担金別",(AW420+AX420+AY420+BA420+BC420+BE420),IF(W420="経理区分別",AZ420+BA420,"")))</f>
        <v/>
      </c>
      <c r="AB420" s="27"/>
      <c r="AC420" s="29" t="str">
        <f aca="false">IF(OR(G420="",G420="なし"),"",IF(W420="経理区分別",BB420+BC420,""))</f>
        <v/>
      </c>
      <c r="AD420" s="27"/>
      <c r="AE420" s="29" t="str">
        <f aca="false">IF(OR(G420="",G420="なし"),"",IF(W420="経理区分別",BD420+BE420,""))</f>
        <v/>
      </c>
      <c r="AF420" s="27"/>
      <c r="AG420" s="26"/>
      <c r="AH420" s="26"/>
      <c r="AI420" s="30"/>
      <c r="AJ420" s="31"/>
      <c r="AK420" s="31"/>
      <c r="AL420" s="31"/>
      <c r="AM420" s="31"/>
      <c r="AN420" s="31"/>
      <c r="AO420" s="31" t="n">
        <v>1365918</v>
      </c>
      <c r="AP420" s="31"/>
      <c r="AQ420" s="31" t="n">
        <v>91032</v>
      </c>
      <c r="AR420" s="31"/>
      <c r="AS420" s="31" t="n">
        <v>1</v>
      </c>
      <c r="AT420" s="31"/>
      <c r="AU420" s="31" t="n">
        <f aca="false">IF($G420="",AJ420,L420)</f>
        <v>0</v>
      </c>
      <c r="AV420" s="31" t="n">
        <f aca="false">IF($G420="",AK420,M420)</f>
        <v>0</v>
      </c>
      <c r="AW420" s="31" t="n">
        <f aca="false">IF($G420="",AL420,N420)</f>
        <v>0</v>
      </c>
      <c r="AX420" s="31" t="n">
        <f aca="false">IF($G420="",AM420,O420)</f>
        <v>0</v>
      </c>
      <c r="AY420" s="31" t="n">
        <f aca="false">IF($G420="",AN420,P420)</f>
        <v>0</v>
      </c>
      <c r="AZ420" s="31" t="n">
        <f aca="false">IF($G420="",AO420,Q420)</f>
        <v>1365918</v>
      </c>
      <c r="BA420" s="31" t="n">
        <f aca="false">IF($G420="",AP420,R420)</f>
        <v>0</v>
      </c>
      <c r="BB420" s="31" t="n">
        <f aca="false">IF($G420="",AQ420,S420)</f>
        <v>91032</v>
      </c>
      <c r="BC420" s="31" t="n">
        <f aca="false">IF($G420="",AR420,T420)</f>
        <v>0</v>
      </c>
      <c r="BD420" s="31" t="n">
        <f aca="false">IF($G420="",AS420,U420)</f>
        <v>1</v>
      </c>
      <c r="BE420" s="31" t="n">
        <f aca="false">IF($G420="",AT420,V420)</f>
        <v>0</v>
      </c>
      <c r="BF420" s="31" t="n">
        <f aca="false">ROUNDDOWN(I420*設定!$B$10/1000,0)+ROUNDDOWN(I420*設定!$B$11/1000,0)</f>
        <v>0</v>
      </c>
      <c r="BG420" s="31" t="n">
        <f aca="false">ROUNDDOWN(I420*設定!$C$10/1000,0)+ROUNDDOWN(I420*設定!$C$11/1000,0)+ROUNDDOWN(I420*設定!$C$12/1000,0)</f>
        <v>0</v>
      </c>
      <c r="BH420" s="31" t="n">
        <f aca="false">ROUNDDOWN(J420*設定!$B$13/1000,0)</f>
        <v>0</v>
      </c>
      <c r="BI420" s="31" t="n">
        <f aca="false">ROUNDDOWN(J420*設定!$C$13/1000,0)</f>
        <v>0</v>
      </c>
      <c r="BJ420" s="31" t="n">
        <f aca="false">ROUNDDOWN(K420*設定!$B$14/1000,0)</f>
        <v>0</v>
      </c>
      <c r="BK420" s="31" t="n">
        <f aca="false">ROUNDDOWN(K420*設定!$C$14/1000,0)</f>
        <v>0</v>
      </c>
      <c r="BL420" s="31" t="n">
        <f aca="false">ROUNDDOWN(J420*設定!$B$15/1000,0)</f>
        <v>0</v>
      </c>
      <c r="BM420" s="31" t="n">
        <f aca="false">ROUNDDOWN(J420*設定!$C$15/1000,0)</f>
        <v>0</v>
      </c>
      <c r="BN420" s="31" t="n">
        <f aca="false">L420+M420</f>
        <v>0</v>
      </c>
      <c r="BO420" s="31" t="n">
        <f aca="false">N420+O420+P420</f>
        <v>0</v>
      </c>
      <c r="BP420" s="31" t="n">
        <f aca="false">Q420</f>
        <v>0</v>
      </c>
      <c r="BQ420" s="31" t="n">
        <f aca="false">R420</f>
        <v>0</v>
      </c>
      <c r="BR420" s="31" t="n">
        <f aca="false">S420</f>
        <v>0</v>
      </c>
      <c r="BS420" s="31" t="n">
        <f aca="false">T420</f>
        <v>0</v>
      </c>
      <c r="BT420" s="31" t="n">
        <f aca="false">U420</f>
        <v>0</v>
      </c>
      <c r="BU420" s="31" t="n">
        <f aca="false">V420</f>
        <v>0</v>
      </c>
      <c r="BV420" s="32" t="n">
        <f aca="false">IF(BF420=0,IF(BN420=0,0,1),(BN420-BF420)/BF420)</f>
        <v>0</v>
      </c>
      <c r="BW420" s="32" t="n">
        <f aca="false">IF(BG420=0,IF(BO420=0,0,1),(BO420-BG420)/BG420)</f>
        <v>0</v>
      </c>
      <c r="BX420" s="32" t="n">
        <f aca="false">IF(BH420=0,IF(BP420=0,0,1),(BP420-BH420)/BH420)</f>
        <v>0</v>
      </c>
      <c r="BY420" s="32" t="n">
        <f aca="false">IF(BI420=0,IF(BQ420=0,0,1),(BQ420-BI420)/BI420)</f>
        <v>0</v>
      </c>
      <c r="BZ420" s="32" t="n">
        <f aca="false">IF(BJ420=0,IF(BR420=0,0,1),(BR420-BJ420)/BJ420)</f>
        <v>0</v>
      </c>
      <c r="CA420" s="32" t="n">
        <f aca="false">IF(BK420=0,IF(BS420=0,0,1),(BS420-BK420)/BK420)</f>
        <v>0</v>
      </c>
      <c r="CB420" s="32" t="n">
        <f aca="false">IF(BL420=0,IF(BT420=0,0,1),(BT420-BL420)/BL420)</f>
        <v>0</v>
      </c>
      <c r="CC420" s="32" t="n">
        <f aca="false">IF(BM420=0,IF(BU420=0,0,1),(BU420-BM420)/BM420)</f>
        <v>0</v>
      </c>
      <c r="CD420" s="32" t="n">
        <f aca="false">MAX(MAX(BV420:CC420),-MIN(BV420:CC420))</f>
        <v>-0</v>
      </c>
      <c r="CE420" s="31" t="n">
        <f aca="false">IF(CI420="","",SUMIFS($CF$7:$CF$696,$A$7:$A$696,CI420,$B$7:$B$696,B420))</f>
        <v>2760715</v>
      </c>
      <c r="CF420" s="31" t="n">
        <f aca="false">SUM(AU420:BE420)</f>
        <v>1456951</v>
      </c>
      <c r="CG420" s="33" t="str">
        <f aca="false">A420&amp;"|"&amp;B420</f>
        <v>2026-11 月例|任意継続組合員</v>
      </c>
      <c r="CH420" s="34" t="str">
        <f aca="false">IFERROR(INDEX(設定!$D$61:$D$106,MATCH(B420,設定!$B$61:$B$106,0)),"Y")</f>
        <v>N</v>
      </c>
      <c r="CI420" s="34" t="str">
        <f aca="false">IFERROR(INDEX(設定!$D$20:$D$34,MATCH(A420,設定!$A$20:$A$34,0))&amp;"","")</f>
        <v>2026-10 月例</v>
      </c>
    </row>
    <row r="421" customFormat="false" ht="15" hidden="true" customHeight="false" outlineLevel="0" collapsed="false">
      <c r="A421" s="22" t="s">
        <v>217</v>
      </c>
      <c r="B421" s="23" t="s">
        <v>158</v>
      </c>
      <c r="C421" s="10" t="str">
        <f aca="false">IF(G421="","未受領",IF(G421="なし","報告なし",IF(AH421="○","起票済",IF(OR(AG421="○",F421="一致",F421="入金不要"),"入金確認済","受領済"))))</f>
        <v>未受領</v>
      </c>
      <c r="D421" s="10" t="str">
        <f aca="false">IF(OR(G421="",G421="なし"),"―",IF(CH421="N","対象外",IF(AND(I421="",J421="",K421=""),"標報未入力",IF(CD421&gt;=設定!$B$4,"要確認","問題なし"))))</f>
        <v>―</v>
      </c>
      <c r="E421" s="24" t="str">
        <f aca="false">IF(OR(G421="",G421="なし",CE421="",CF421=0),"―",IF(CF421=CE421,"前月同額",IF(CE421=0,"―",IF(ABS(CF421/CE421-1)&gt;=設定!$B$5,"変動大 "&amp;TEXT(CF421/CE421-1,"+0%;-0%"),"〇"))))</f>
        <v>―</v>
      </c>
      <c r="F421" s="10" t="str">
        <f aca="false">IF(OR(G421="",G421="なし"),"―",IF(CF421=0,"入金不要",IF(COUNT(Z421,AB421,AD421,AF421)=0,IF(AG421="○","手動確認","未入金"),IF(AND(N(Z421)=Y421,IF(AA421="",TRUE(),N(AB421)=AA421),IF(AC421="",TRUE(),N(AD421)=AC421),IF(AE421="",TRUE(),N(AF421)=AE421)),"一致","不一致"))))</f>
        <v>―</v>
      </c>
      <c r="G421" s="25"/>
      <c r="H421" s="26"/>
      <c r="I421" s="27"/>
      <c r="J421" s="27"/>
      <c r="K421" s="27"/>
      <c r="L421" s="27"/>
      <c r="M421" s="27"/>
      <c r="N421" s="27"/>
      <c r="O421" s="27"/>
      <c r="P421" s="27"/>
      <c r="Q421" s="27"/>
      <c r="R421" s="27"/>
      <c r="S421" s="27"/>
      <c r="T421" s="27"/>
      <c r="U421" s="27"/>
      <c r="V421" s="27"/>
      <c r="W421" s="10" t="str">
        <f aca="false">IFERROR(INDEX(設定!$E$61:$E$106,MATCH(B421,設定!$B$61:$B$106,0)),"合算")</f>
        <v>合算</v>
      </c>
      <c r="X421" s="28"/>
      <c r="Y421" s="29" t="str">
        <f aca="false">IF(OR(G421="",G421="なし"),"",IF(W421="合算",CF421,IF(W421="掛金・負担金別",(AU421+AV421+AZ421+BB421+BD421),SUM(AU421:AY421))))</f>
        <v/>
      </c>
      <c r="Z421" s="27"/>
      <c r="AA421" s="29" t="str">
        <f aca="false">IF(OR(G421="",G421="なし"),"",IF(W421="掛金・負担金別",(AW421+AX421+AY421+BA421+BC421+BE421),IF(W421="経理区分別",AZ421+BA421,"")))</f>
        <v/>
      </c>
      <c r="AB421" s="27"/>
      <c r="AC421" s="29" t="str">
        <f aca="false">IF(OR(G421="",G421="なし"),"",IF(W421="経理区分別",BB421+BC421,""))</f>
        <v/>
      </c>
      <c r="AD421" s="27"/>
      <c r="AE421" s="29" t="str">
        <f aca="false">IF(OR(G421="",G421="なし"),"",IF(W421="経理区分別",BD421+BE421,""))</f>
        <v/>
      </c>
      <c r="AF421" s="27"/>
      <c r="AG421" s="26"/>
      <c r="AH421" s="26"/>
      <c r="AI421" s="30"/>
      <c r="AJ421" s="31" t="n">
        <v>435917995</v>
      </c>
      <c r="AK421" s="31" t="n">
        <v>35740897</v>
      </c>
      <c r="AL421" s="31" t="n">
        <v>627554698</v>
      </c>
      <c r="AM421" s="31" t="n">
        <v>34768215</v>
      </c>
      <c r="AN421" s="31" t="n">
        <v>442176</v>
      </c>
      <c r="AO421" s="31" t="n">
        <v>336211683</v>
      </c>
      <c r="AP421" s="31" t="n">
        <v>335081107</v>
      </c>
      <c r="AQ421" s="31" t="n">
        <v>30330019</v>
      </c>
      <c r="AR421" s="31" t="n">
        <v>29480520</v>
      </c>
      <c r="AS421" s="31" t="n">
        <v>1</v>
      </c>
      <c r="AT421" s="31" t="n">
        <v>1</v>
      </c>
      <c r="AU421" s="31" t="n">
        <f aca="false">IF($G421="",AJ421,L421)</f>
        <v>435917995</v>
      </c>
      <c r="AV421" s="31" t="n">
        <f aca="false">IF($G421="",AK421,M421)</f>
        <v>35740897</v>
      </c>
      <c r="AW421" s="31" t="n">
        <f aca="false">IF($G421="",AL421,N421)</f>
        <v>627554698</v>
      </c>
      <c r="AX421" s="31" t="n">
        <f aca="false">IF($G421="",AM421,O421)</f>
        <v>34768215</v>
      </c>
      <c r="AY421" s="31" t="n">
        <f aca="false">IF($G421="",AN421,P421)</f>
        <v>442176</v>
      </c>
      <c r="AZ421" s="31" t="n">
        <f aca="false">IF($G421="",AO421,Q421)</f>
        <v>336211683</v>
      </c>
      <c r="BA421" s="31" t="n">
        <f aca="false">IF($G421="",AP421,R421)</f>
        <v>335081107</v>
      </c>
      <c r="BB421" s="31" t="n">
        <f aca="false">IF($G421="",AQ421,S421)</f>
        <v>30330019</v>
      </c>
      <c r="BC421" s="31" t="n">
        <f aca="false">IF($G421="",AR421,T421)</f>
        <v>29480520</v>
      </c>
      <c r="BD421" s="31" t="n">
        <f aca="false">IF($G421="",AS421,U421)</f>
        <v>1</v>
      </c>
      <c r="BE421" s="31" t="n">
        <f aca="false">IF($G421="",AT421,V421)</f>
        <v>1</v>
      </c>
      <c r="BF421" s="31" t="n">
        <f aca="false">ROUNDDOWN(I421*設定!$B$10/1000,0)+ROUNDDOWN(I421*設定!$B$11/1000,0)</f>
        <v>0</v>
      </c>
      <c r="BG421" s="31" t="n">
        <f aca="false">ROUNDDOWN(I421*設定!$C$10/1000,0)+ROUNDDOWN(I421*設定!$C$11/1000,0)+ROUNDDOWN(I421*設定!$C$12/1000,0)</f>
        <v>0</v>
      </c>
      <c r="BH421" s="31" t="n">
        <f aca="false">ROUNDDOWN(J421*設定!$B$13/1000,0)</f>
        <v>0</v>
      </c>
      <c r="BI421" s="31" t="n">
        <f aca="false">ROUNDDOWN(J421*設定!$C$13/1000,0)</f>
        <v>0</v>
      </c>
      <c r="BJ421" s="31" t="n">
        <f aca="false">ROUNDDOWN(K421*設定!$B$14/1000,0)</f>
        <v>0</v>
      </c>
      <c r="BK421" s="31" t="n">
        <f aca="false">ROUNDDOWN(K421*設定!$C$14/1000,0)</f>
        <v>0</v>
      </c>
      <c r="BL421" s="31" t="n">
        <f aca="false">ROUNDDOWN(J421*設定!$B$15/1000,0)</f>
        <v>0</v>
      </c>
      <c r="BM421" s="31" t="n">
        <f aca="false">ROUNDDOWN(J421*設定!$C$15/1000,0)</f>
        <v>0</v>
      </c>
      <c r="BN421" s="31" t="n">
        <f aca="false">L421+M421</f>
        <v>0</v>
      </c>
      <c r="BO421" s="31" t="n">
        <f aca="false">N421+O421+P421</f>
        <v>0</v>
      </c>
      <c r="BP421" s="31" t="n">
        <f aca="false">Q421</f>
        <v>0</v>
      </c>
      <c r="BQ421" s="31" t="n">
        <f aca="false">R421</f>
        <v>0</v>
      </c>
      <c r="BR421" s="31" t="n">
        <f aca="false">S421</f>
        <v>0</v>
      </c>
      <c r="BS421" s="31" t="n">
        <f aca="false">T421</f>
        <v>0</v>
      </c>
      <c r="BT421" s="31" t="n">
        <f aca="false">U421</f>
        <v>0</v>
      </c>
      <c r="BU421" s="31" t="n">
        <f aca="false">V421</f>
        <v>0</v>
      </c>
      <c r="BV421" s="32" t="n">
        <f aca="false">IF(BF421=0,IF(BN421=0,0,1),(BN421-BF421)/BF421)</f>
        <v>0</v>
      </c>
      <c r="BW421" s="32" t="n">
        <f aca="false">IF(BG421=0,IF(BO421=0,0,1),(BO421-BG421)/BG421)</f>
        <v>0</v>
      </c>
      <c r="BX421" s="32" t="n">
        <f aca="false">IF(BH421=0,IF(BP421=0,0,1),(BP421-BH421)/BH421)</f>
        <v>0</v>
      </c>
      <c r="BY421" s="32" t="n">
        <f aca="false">IF(BI421=0,IF(BQ421=0,0,1),(BQ421-BI421)/BI421)</f>
        <v>0</v>
      </c>
      <c r="BZ421" s="32" t="n">
        <f aca="false">IF(BJ421=0,IF(BR421=0,0,1),(BR421-BJ421)/BJ421)</f>
        <v>0</v>
      </c>
      <c r="CA421" s="32" t="n">
        <f aca="false">IF(BK421=0,IF(BS421=0,0,1),(BS421-BK421)/BK421)</f>
        <v>0</v>
      </c>
      <c r="CB421" s="32" t="n">
        <f aca="false">IF(BL421=0,IF(BT421=0,0,1),(BT421-BL421)/BL421)</f>
        <v>0</v>
      </c>
      <c r="CC421" s="32" t="n">
        <f aca="false">IF(BM421=0,IF(BU421=0,0,1),(BU421-BM421)/BM421)</f>
        <v>0</v>
      </c>
      <c r="CD421" s="32" t="n">
        <f aca="false">MAX(MAX(BV421:CC421),-MIN(BV421:CC421))</f>
        <v>-0</v>
      </c>
      <c r="CE421" s="31" t="str">
        <f aca="false">IF(CI421="","",SUMIFS($CF$7:$CF$696,$A$7:$A$696,CI421,$B$7:$B$696,B421))</f>
        <v/>
      </c>
      <c r="CF421" s="31" t="n">
        <f aca="false">SUM(AU421:BE421)</f>
        <v>1865527312</v>
      </c>
      <c r="CG421" s="33" t="str">
        <f aca="false">A421&amp;"|"&amp;B421</f>
        <v>2026-12 賞与|市長部局</v>
      </c>
      <c r="CH421" s="34" t="str">
        <f aca="false">IFERROR(INDEX(設定!$D$61:$D$106,MATCH(B421,設定!$B$61:$B$106,0)),"Y")</f>
        <v>N</v>
      </c>
      <c r="CI421" s="34" t="str">
        <f aca="false">IFERROR(INDEX(設定!$D$20:$D$34,MATCH(A421,設定!$A$20:$A$34,0))&amp;"","")</f>
        <v/>
      </c>
    </row>
    <row r="422" customFormat="false" ht="15" hidden="true" customHeight="false" outlineLevel="0" collapsed="false">
      <c r="A422" s="22" t="s">
        <v>217</v>
      </c>
      <c r="B422" s="23" t="s">
        <v>161</v>
      </c>
      <c r="C422" s="10" t="str">
        <f aca="false">IF(G422="","未受領",IF(G422="なし","報告なし",IF(AH422="○","起票済",IF(OR(AG422="○",F422="一致",F422="入金不要"),"入金確認済","受領済"))))</f>
        <v>未受領</v>
      </c>
      <c r="D422" s="10" t="str">
        <f aca="false">IF(OR(G422="",G422="なし"),"―",IF(CH422="N","対象外",IF(AND(I422="",J422="",K422=""),"標報未入力",IF(CD422&gt;=設定!$B$4,"要確認","問題なし"))))</f>
        <v>―</v>
      </c>
      <c r="E422" s="24" t="str">
        <f aca="false">IF(OR(G422="",G422="なし",CE422="",CF422=0),"―",IF(CF422=CE422,"前月同額",IF(CE422=0,"―",IF(ABS(CF422/CE422-1)&gt;=設定!$B$5,"変動大 "&amp;TEXT(CF422/CE422-1,"+0%;-0%"),"〇"))))</f>
        <v>―</v>
      </c>
      <c r="F422" s="10" t="str">
        <f aca="false">IF(OR(G422="",G422="なし"),"―",IF(CF422=0,"入金不要",IF(COUNT(Z422,AB422,AD422,AF422)=0,IF(AG422="○","手動確認","未入金"),IF(AND(N(Z422)=Y422,IF(AA422="",TRUE(),N(AB422)=AA422),IF(AC422="",TRUE(),N(AD422)=AC422),IF(AE422="",TRUE(),N(AF422)=AE422)),"一致","不一致"))))</f>
        <v>―</v>
      </c>
      <c r="G422" s="25"/>
      <c r="H422" s="26"/>
      <c r="I422" s="27"/>
      <c r="J422" s="27"/>
      <c r="K422" s="27"/>
      <c r="L422" s="27"/>
      <c r="M422" s="27"/>
      <c r="N422" s="27"/>
      <c r="O422" s="27"/>
      <c r="P422" s="27"/>
      <c r="Q422" s="27"/>
      <c r="R422" s="27"/>
      <c r="S422" s="27"/>
      <c r="T422" s="27"/>
      <c r="U422" s="27"/>
      <c r="V422" s="27"/>
      <c r="W422" s="10" t="str">
        <f aca="false">IFERROR(INDEX(設定!$E$61:$E$106,MATCH(B422,設定!$B$61:$B$106,0)),"合算")</f>
        <v>合算</v>
      </c>
      <c r="X422" s="28"/>
      <c r="Y422" s="29" t="str">
        <f aca="false">IF(OR(G422="",G422="なし"),"",IF(W422="合算",CF422,IF(W422="掛金・負担金別",(AU422+AV422+AZ422+BB422+BD422),SUM(AU422:AY422))))</f>
        <v/>
      </c>
      <c r="Z422" s="27"/>
      <c r="AA422" s="29" t="str">
        <f aca="false">IF(OR(G422="",G422="なし"),"",IF(W422="掛金・負担金別",(AW422+AX422+AY422+BA422+BC422+BE422),IF(W422="経理区分別",AZ422+BA422,"")))</f>
        <v/>
      </c>
      <c r="AB422" s="27"/>
      <c r="AC422" s="29" t="str">
        <f aca="false">IF(OR(G422="",G422="なし"),"",IF(W422="経理区分別",BB422+BC422,""))</f>
        <v/>
      </c>
      <c r="AD422" s="27"/>
      <c r="AE422" s="29" t="str">
        <f aca="false">IF(OR(G422="",G422="なし"),"",IF(W422="経理区分別",BD422+BE422,""))</f>
        <v/>
      </c>
      <c r="AF422" s="27"/>
      <c r="AG422" s="26"/>
      <c r="AH422" s="26"/>
      <c r="AI422" s="30"/>
      <c r="AJ422" s="31" t="n">
        <v>29227117</v>
      </c>
      <c r="AK422" s="31" t="n">
        <v>2395585</v>
      </c>
      <c r="AL422" s="31" t="n">
        <v>42483252</v>
      </c>
      <c r="AM422" s="31" t="n">
        <v>2395669</v>
      </c>
      <c r="AN422" s="31" t="n">
        <v>29988</v>
      </c>
      <c r="AO422" s="31" t="n">
        <v>18194146</v>
      </c>
      <c r="AP422" s="31" t="n">
        <v>18515147</v>
      </c>
      <c r="AQ422" s="31" t="n">
        <v>1869293</v>
      </c>
      <c r="AR422" s="31" t="n">
        <v>1869401</v>
      </c>
      <c r="AS422" s="31" t="n">
        <v>1</v>
      </c>
      <c r="AT422" s="31" t="n">
        <v>1</v>
      </c>
      <c r="AU422" s="31" t="n">
        <f aca="false">IF($G422="",AJ422,L422)</f>
        <v>29227117</v>
      </c>
      <c r="AV422" s="31" t="n">
        <f aca="false">IF($G422="",AK422,M422)</f>
        <v>2395585</v>
      </c>
      <c r="AW422" s="31" t="n">
        <f aca="false">IF($G422="",AL422,N422)</f>
        <v>42483252</v>
      </c>
      <c r="AX422" s="31" t="n">
        <f aca="false">IF($G422="",AM422,O422)</f>
        <v>2395669</v>
      </c>
      <c r="AY422" s="31" t="n">
        <f aca="false">IF($G422="",AN422,P422)</f>
        <v>29988</v>
      </c>
      <c r="AZ422" s="31" t="n">
        <f aca="false">IF($G422="",AO422,Q422)</f>
        <v>18194146</v>
      </c>
      <c r="BA422" s="31" t="n">
        <f aca="false">IF($G422="",AP422,R422)</f>
        <v>18515147</v>
      </c>
      <c r="BB422" s="31" t="n">
        <f aca="false">IF($G422="",AQ422,S422)</f>
        <v>1869293</v>
      </c>
      <c r="BC422" s="31" t="n">
        <f aca="false">IF($G422="",AR422,T422)</f>
        <v>1869401</v>
      </c>
      <c r="BD422" s="31" t="n">
        <f aca="false">IF($G422="",AS422,U422)</f>
        <v>1</v>
      </c>
      <c r="BE422" s="31" t="n">
        <f aca="false">IF($G422="",AT422,V422)</f>
        <v>1</v>
      </c>
      <c r="BF422" s="31" t="n">
        <f aca="false">ROUNDDOWN(I422*設定!$B$10/1000,0)+ROUNDDOWN(I422*設定!$B$11/1000,0)</f>
        <v>0</v>
      </c>
      <c r="BG422" s="31" t="n">
        <f aca="false">ROUNDDOWN(I422*設定!$C$10/1000,0)+ROUNDDOWN(I422*設定!$C$11/1000,0)+ROUNDDOWN(I422*設定!$C$12/1000,0)</f>
        <v>0</v>
      </c>
      <c r="BH422" s="31" t="n">
        <f aca="false">ROUNDDOWN(J422*設定!$B$13/1000,0)</f>
        <v>0</v>
      </c>
      <c r="BI422" s="31" t="n">
        <f aca="false">ROUNDDOWN(J422*設定!$C$13/1000,0)</f>
        <v>0</v>
      </c>
      <c r="BJ422" s="31" t="n">
        <f aca="false">ROUNDDOWN(K422*設定!$B$14/1000,0)</f>
        <v>0</v>
      </c>
      <c r="BK422" s="31" t="n">
        <f aca="false">ROUNDDOWN(K422*設定!$C$14/1000,0)</f>
        <v>0</v>
      </c>
      <c r="BL422" s="31" t="n">
        <f aca="false">ROUNDDOWN(J422*設定!$B$15/1000,0)</f>
        <v>0</v>
      </c>
      <c r="BM422" s="31" t="n">
        <f aca="false">ROUNDDOWN(J422*設定!$C$15/1000,0)</f>
        <v>0</v>
      </c>
      <c r="BN422" s="31" t="n">
        <f aca="false">L422+M422</f>
        <v>0</v>
      </c>
      <c r="BO422" s="31" t="n">
        <f aca="false">N422+O422+P422</f>
        <v>0</v>
      </c>
      <c r="BP422" s="31" t="n">
        <f aca="false">Q422</f>
        <v>0</v>
      </c>
      <c r="BQ422" s="31" t="n">
        <f aca="false">R422</f>
        <v>0</v>
      </c>
      <c r="BR422" s="31" t="n">
        <f aca="false">S422</f>
        <v>0</v>
      </c>
      <c r="BS422" s="31" t="n">
        <f aca="false">T422</f>
        <v>0</v>
      </c>
      <c r="BT422" s="31" t="n">
        <f aca="false">U422</f>
        <v>0</v>
      </c>
      <c r="BU422" s="31" t="n">
        <f aca="false">V422</f>
        <v>0</v>
      </c>
      <c r="BV422" s="32" t="n">
        <f aca="false">IF(BF422=0,IF(BN422=0,0,1),(BN422-BF422)/BF422)</f>
        <v>0</v>
      </c>
      <c r="BW422" s="32" t="n">
        <f aca="false">IF(BG422=0,IF(BO422=0,0,1),(BO422-BG422)/BG422)</f>
        <v>0</v>
      </c>
      <c r="BX422" s="32" t="n">
        <f aca="false">IF(BH422=0,IF(BP422=0,0,1),(BP422-BH422)/BH422)</f>
        <v>0</v>
      </c>
      <c r="BY422" s="32" t="n">
        <f aca="false">IF(BI422=0,IF(BQ422=0,0,1),(BQ422-BI422)/BI422)</f>
        <v>0</v>
      </c>
      <c r="BZ422" s="32" t="n">
        <f aca="false">IF(BJ422=0,IF(BR422=0,0,1),(BR422-BJ422)/BJ422)</f>
        <v>0</v>
      </c>
      <c r="CA422" s="32" t="n">
        <f aca="false">IF(BK422=0,IF(BS422=0,0,1),(BS422-BK422)/BK422)</f>
        <v>0</v>
      </c>
      <c r="CB422" s="32" t="n">
        <f aca="false">IF(BL422=0,IF(BT422=0,0,1),(BT422-BL422)/BL422)</f>
        <v>0</v>
      </c>
      <c r="CC422" s="32" t="n">
        <f aca="false">IF(BM422=0,IF(BU422=0,0,1),(BU422-BM422)/BM422)</f>
        <v>0</v>
      </c>
      <c r="CD422" s="32" t="n">
        <f aca="false">MAX(MAX(BV422:CC422),-MIN(BV422:CC422))</f>
        <v>-0</v>
      </c>
      <c r="CE422" s="31" t="str">
        <f aca="false">IF(CI422="","",SUMIFS($CF$7:$CF$696,$A$7:$A$696,CI422,$B$7:$B$696,B422))</f>
        <v/>
      </c>
      <c r="CF422" s="31" t="n">
        <f aca="false">SUM(AU422:BE422)</f>
        <v>116979600</v>
      </c>
      <c r="CG422" s="33" t="str">
        <f aca="false">A422&amp;"|"&amp;B422</f>
        <v>2026-12 賞与|下水道局</v>
      </c>
      <c r="CH422" s="34" t="str">
        <f aca="false">IFERROR(INDEX(設定!$D$61:$D$106,MATCH(B422,設定!$B$61:$B$106,0)),"Y")</f>
        <v>Y</v>
      </c>
      <c r="CI422" s="34" t="str">
        <f aca="false">IFERROR(INDEX(設定!$D$20:$D$34,MATCH(A422,設定!$A$20:$A$34,0))&amp;"","")</f>
        <v/>
      </c>
    </row>
    <row r="423" customFormat="false" ht="15" hidden="true" customHeight="false" outlineLevel="0" collapsed="false">
      <c r="A423" s="22" t="s">
        <v>217</v>
      </c>
      <c r="B423" s="23" t="s">
        <v>162</v>
      </c>
      <c r="C423" s="10" t="str">
        <f aca="false">IF(G423="","未受領",IF(G423="なし","報告なし",IF(AH423="○","起票済",IF(OR(AG423="○",F423="一致",F423="入金不要"),"入金確認済","受領済"))))</f>
        <v>未受領</v>
      </c>
      <c r="D423" s="10" t="str">
        <f aca="false">IF(OR(G423="",G423="なし"),"―",IF(CH423="N","対象外",IF(AND(I423="",J423="",K423=""),"標報未入力",IF(CD423&gt;=設定!$B$4,"要確認","問題なし"))))</f>
        <v>―</v>
      </c>
      <c r="E423" s="24" t="str">
        <f aca="false">IF(OR(G423="",G423="なし",CE423="",CF423=0),"―",IF(CF423=CE423,"前月同額",IF(CE423=0,"―",IF(ABS(CF423/CE423-1)&gt;=設定!$B$5,"変動大 "&amp;TEXT(CF423/CE423-1,"+0%;-0%"),"〇"))))</f>
        <v>―</v>
      </c>
      <c r="F423" s="10" t="str">
        <f aca="false">IF(OR(G423="",G423="なし"),"―",IF(CF423=0,"入金不要",IF(COUNT(Z423,AB423,AD423,AF423)=0,IF(AG423="○","手動確認","未入金"),IF(AND(N(Z423)=Y423,IF(AA423="",TRUE(),N(AB423)=AA423),IF(AC423="",TRUE(),N(AD423)=AC423),IF(AE423="",TRUE(),N(AF423)=AE423)),"一致","不一致"))))</f>
        <v>―</v>
      </c>
      <c r="G423" s="25"/>
      <c r="H423" s="26"/>
      <c r="I423" s="27"/>
      <c r="J423" s="27"/>
      <c r="K423" s="27"/>
      <c r="L423" s="27"/>
      <c r="M423" s="27"/>
      <c r="N423" s="27"/>
      <c r="O423" s="27"/>
      <c r="P423" s="27"/>
      <c r="Q423" s="27"/>
      <c r="R423" s="27"/>
      <c r="S423" s="27"/>
      <c r="T423" s="27"/>
      <c r="U423" s="27"/>
      <c r="V423" s="27"/>
      <c r="W423" s="10" t="str">
        <f aca="false">IFERROR(INDEX(設定!$E$61:$E$106,MATCH(B423,設定!$B$61:$B$106,0)),"合算")</f>
        <v>合算</v>
      </c>
      <c r="X423" s="28"/>
      <c r="Y423" s="29" t="str">
        <f aca="false">IF(OR(G423="",G423="なし"),"",IF(W423="合算",CF423,IF(W423="掛金・負担金別",(AU423+AV423+AZ423+BB423+BD423),SUM(AU423:AY423))))</f>
        <v/>
      </c>
      <c r="Z423" s="27"/>
      <c r="AA423" s="29" t="str">
        <f aca="false">IF(OR(G423="",G423="なし"),"",IF(W423="掛金・負担金別",(AW423+AX423+AY423+BA423+BC423+BE423),IF(W423="経理区分別",AZ423+BA423,"")))</f>
        <v/>
      </c>
      <c r="AB423" s="27"/>
      <c r="AC423" s="29" t="str">
        <f aca="false">IF(OR(G423="",G423="なし"),"",IF(W423="経理区分別",BB423+BC423,""))</f>
        <v/>
      </c>
      <c r="AD423" s="27"/>
      <c r="AE423" s="29" t="str">
        <f aca="false">IF(OR(G423="",G423="なし"),"",IF(W423="経理区分別",BD423+BE423,""))</f>
        <v/>
      </c>
      <c r="AF423" s="27"/>
      <c r="AG423" s="26"/>
      <c r="AH423" s="26"/>
      <c r="AI423" s="30"/>
      <c r="AJ423" s="31" t="n">
        <v>93890932</v>
      </c>
      <c r="AK423" s="31" t="n">
        <v>7695676</v>
      </c>
      <c r="AL423" s="31" t="n">
        <v>136397911</v>
      </c>
      <c r="AM423" s="31" t="n">
        <v>7675343</v>
      </c>
      <c r="AN423" s="31" t="n">
        <v>96295</v>
      </c>
      <c r="AO423" s="31" t="n">
        <v>57727100</v>
      </c>
      <c r="AP423" s="31" t="n">
        <v>58597723</v>
      </c>
      <c r="AQ423" s="31" t="n">
        <v>3696794</v>
      </c>
      <c r="AR423" s="31" t="n">
        <v>3682228</v>
      </c>
      <c r="AS423" s="31" t="n">
        <v>1</v>
      </c>
      <c r="AT423" s="31" t="n">
        <v>1</v>
      </c>
      <c r="AU423" s="31" t="n">
        <f aca="false">IF($G423="",AJ423,L423)</f>
        <v>93890932</v>
      </c>
      <c r="AV423" s="31" t="n">
        <f aca="false">IF($G423="",AK423,M423)</f>
        <v>7695676</v>
      </c>
      <c r="AW423" s="31" t="n">
        <f aca="false">IF($G423="",AL423,N423)</f>
        <v>136397911</v>
      </c>
      <c r="AX423" s="31" t="n">
        <f aca="false">IF($G423="",AM423,O423)</f>
        <v>7675343</v>
      </c>
      <c r="AY423" s="31" t="n">
        <f aca="false">IF($G423="",AN423,P423)</f>
        <v>96295</v>
      </c>
      <c r="AZ423" s="31" t="n">
        <f aca="false">IF($G423="",AO423,Q423)</f>
        <v>57727100</v>
      </c>
      <c r="BA423" s="31" t="n">
        <f aca="false">IF($G423="",AP423,R423)</f>
        <v>58597723</v>
      </c>
      <c r="BB423" s="31" t="n">
        <f aca="false">IF($G423="",AQ423,S423)</f>
        <v>3696794</v>
      </c>
      <c r="BC423" s="31" t="n">
        <f aca="false">IF($G423="",AR423,T423)</f>
        <v>3682228</v>
      </c>
      <c r="BD423" s="31" t="n">
        <f aca="false">IF($G423="",AS423,U423)</f>
        <v>1</v>
      </c>
      <c r="BE423" s="31" t="n">
        <f aca="false">IF($G423="",AT423,V423)</f>
        <v>1</v>
      </c>
      <c r="BF423" s="31" t="n">
        <f aca="false">ROUNDDOWN(I423*設定!$B$10/1000,0)+ROUNDDOWN(I423*設定!$B$11/1000,0)</f>
        <v>0</v>
      </c>
      <c r="BG423" s="31" t="n">
        <f aca="false">ROUNDDOWN(I423*設定!$C$10/1000,0)+ROUNDDOWN(I423*設定!$C$11/1000,0)+ROUNDDOWN(I423*設定!$C$12/1000,0)</f>
        <v>0</v>
      </c>
      <c r="BH423" s="31" t="n">
        <f aca="false">ROUNDDOWN(J423*設定!$B$13/1000,0)</f>
        <v>0</v>
      </c>
      <c r="BI423" s="31" t="n">
        <f aca="false">ROUNDDOWN(J423*設定!$C$13/1000,0)</f>
        <v>0</v>
      </c>
      <c r="BJ423" s="31" t="n">
        <f aca="false">ROUNDDOWN(K423*設定!$B$14/1000,0)</f>
        <v>0</v>
      </c>
      <c r="BK423" s="31" t="n">
        <f aca="false">ROUNDDOWN(K423*設定!$C$14/1000,0)</f>
        <v>0</v>
      </c>
      <c r="BL423" s="31" t="n">
        <f aca="false">ROUNDDOWN(J423*設定!$B$15/1000,0)</f>
        <v>0</v>
      </c>
      <c r="BM423" s="31" t="n">
        <f aca="false">ROUNDDOWN(J423*設定!$C$15/1000,0)</f>
        <v>0</v>
      </c>
      <c r="BN423" s="31" t="n">
        <f aca="false">L423+M423</f>
        <v>0</v>
      </c>
      <c r="BO423" s="31" t="n">
        <f aca="false">N423+O423+P423</f>
        <v>0</v>
      </c>
      <c r="BP423" s="31" t="n">
        <f aca="false">Q423</f>
        <v>0</v>
      </c>
      <c r="BQ423" s="31" t="n">
        <f aca="false">R423</f>
        <v>0</v>
      </c>
      <c r="BR423" s="31" t="n">
        <f aca="false">S423</f>
        <v>0</v>
      </c>
      <c r="BS423" s="31" t="n">
        <f aca="false">T423</f>
        <v>0</v>
      </c>
      <c r="BT423" s="31" t="n">
        <f aca="false">U423</f>
        <v>0</v>
      </c>
      <c r="BU423" s="31" t="n">
        <f aca="false">V423</f>
        <v>0</v>
      </c>
      <c r="BV423" s="32" t="n">
        <f aca="false">IF(BF423=0,IF(BN423=0,0,1),(BN423-BF423)/BF423)</f>
        <v>0</v>
      </c>
      <c r="BW423" s="32" t="n">
        <f aca="false">IF(BG423=0,IF(BO423=0,0,1),(BO423-BG423)/BG423)</f>
        <v>0</v>
      </c>
      <c r="BX423" s="32" t="n">
        <f aca="false">IF(BH423=0,IF(BP423=0,0,1),(BP423-BH423)/BH423)</f>
        <v>0</v>
      </c>
      <c r="BY423" s="32" t="n">
        <f aca="false">IF(BI423=0,IF(BQ423=0,0,1),(BQ423-BI423)/BI423)</f>
        <v>0</v>
      </c>
      <c r="BZ423" s="32" t="n">
        <f aca="false">IF(BJ423=0,IF(BR423=0,0,1),(BR423-BJ423)/BJ423)</f>
        <v>0</v>
      </c>
      <c r="CA423" s="32" t="n">
        <f aca="false">IF(BK423=0,IF(BS423=0,0,1),(BS423-BK423)/BK423)</f>
        <v>0</v>
      </c>
      <c r="CB423" s="32" t="n">
        <f aca="false">IF(BL423=0,IF(BT423=0,0,1),(BT423-BL423)/BL423)</f>
        <v>0</v>
      </c>
      <c r="CC423" s="32" t="n">
        <f aca="false">IF(BM423=0,IF(BU423=0,0,1),(BU423-BM423)/BM423)</f>
        <v>0</v>
      </c>
      <c r="CD423" s="32" t="n">
        <f aca="false">MAX(MAX(BV423:CC423),-MIN(BV423:CC423))</f>
        <v>-0</v>
      </c>
      <c r="CE423" s="31" t="str">
        <f aca="false">IF(CI423="","",SUMIFS($CF$7:$CF$696,$A$7:$A$696,CI423,$B$7:$B$696,B423))</f>
        <v/>
      </c>
      <c r="CF423" s="31" t="n">
        <f aca="false">SUM(AU423:BE423)</f>
        <v>369460004</v>
      </c>
      <c r="CG423" s="33" t="str">
        <f aca="false">A423&amp;"|"&amp;B423</f>
        <v>2026-12 賞与|消防局</v>
      </c>
      <c r="CH423" s="34" t="str">
        <f aca="false">IFERROR(INDEX(設定!$D$61:$D$106,MATCH(B423,設定!$B$61:$B$106,0)),"Y")</f>
        <v>N</v>
      </c>
      <c r="CI423" s="34" t="str">
        <f aca="false">IFERROR(INDEX(設定!$D$20:$D$34,MATCH(A423,設定!$A$20:$A$34,0))&amp;"","")</f>
        <v/>
      </c>
    </row>
    <row r="424" customFormat="false" ht="15" hidden="true" customHeight="false" outlineLevel="0" collapsed="false">
      <c r="A424" s="22" t="s">
        <v>217</v>
      </c>
      <c r="B424" s="23" t="s">
        <v>163</v>
      </c>
      <c r="C424" s="10" t="str">
        <f aca="false">IF(G424="","未受領",IF(G424="なし","報告なし",IF(AH424="○","起票済",IF(OR(AG424="○",F424="一致",F424="入金不要"),"入金確認済","受領済"))))</f>
        <v>未受領</v>
      </c>
      <c r="D424" s="10" t="str">
        <f aca="false">IF(OR(G424="",G424="なし"),"―",IF(CH424="N","対象外",IF(AND(I424="",J424="",K424=""),"標報未入力",IF(CD424&gt;=設定!$B$4,"要確認","問題なし"))))</f>
        <v>―</v>
      </c>
      <c r="E424" s="24" t="str">
        <f aca="false">IF(OR(G424="",G424="なし",CE424="",CF424=0),"―",IF(CF424=CE424,"前月同額",IF(CE424=0,"―",IF(ABS(CF424/CE424-1)&gt;=設定!$B$5,"変動大 "&amp;TEXT(CF424/CE424-1,"+0%;-0%"),"〇"))))</f>
        <v>―</v>
      </c>
      <c r="F424" s="10" t="str">
        <f aca="false">IF(OR(G424="",G424="なし"),"―",IF(CF424=0,"入金不要",IF(COUNT(Z424,AB424,AD424,AF424)=0,IF(AG424="○","手動確認","未入金"),IF(AND(N(Z424)=Y424,IF(AA424="",TRUE(),N(AB424)=AA424),IF(AC424="",TRUE(),N(AD424)=AC424),IF(AE424="",TRUE(),N(AF424)=AE424)),"一致","不一致"))))</f>
        <v>―</v>
      </c>
      <c r="G424" s="25"/>
      <c r="H424" s="26"/>
      <c r="I424" s="27"/>
      <c r="J424" s="27"/>
      <c r="K424" s="27"/>
      <c r="L424" s="27"/>
      <c r="M424" s="27"/>
      <c r="N424" s="27"/>
      <c r="O424" s="27"/>
      <c r="P424" s="27"/>
      <c r="Q424" s="27"/>
      <c r="R424" s="27"/>
      <c r="S424" s="27"/>
      <c r="T424" s="27"/>
      <c r="U424" s="27"/>
      <c r="V424" s="27"/>
      <c r="W424" s="10" t="str">
        <f aca="false">IFERROR(INDEX(設定!$E$61:$E$106,MATCH(B424,設定!$B$61:$B$106,0)),"合算")</f>
        <v>合算</v>
      </c>
      <c r="X424" s="28"/>
      <c r="Y424" s="29" t="str">
        <f aca="false">IF(OR(G424="",G424="なし"),"",IF(W424="合算",CF424,IF(W424="掛金・負担金別",(AU424+AV424+AZ424+BB424+BD424),SUM(AU424:AY424))))</f>
        <v/>
      </c>
      <c r="Z424" s="27"/>
      <c r="AA424" s="29" t="str">
        <f aca="false">IF(OR(G424="",G424="なし"),"",IF(W424="掛金・負担金別",(AW424+AX424+AY424+BA424+BC424+BE424),IF(W424="経理区分別",AZ424+BA424,"")))</f>
        <v/>
      </c>
      <c r="AB424" s="27"/>
      <c r="AC424" s="29" t="str">
        <f aca="false">IF(OR(G424="",G424="なし"),"",IF(W424="経理区分別",BB424+BC424,""))</f>
        <v/>
      </c>
      <c r="AD424" s="27"/>
      <c r="AE424" s="29" t="str">
        <f aca="false">IF(OR(G424="",G424="なし"),"",IF(W424="経理区分別",BD424+BE424,""))</f>
        <v/>
      </c>
      <c r="AF424" s="27"/>
      <c r="AG424" s="26"/>
      <c r="AH424" s="26"/>
      <c r="AI424" s="30"/>
      <c r="AJ424" s="31" t="n">
        <v>3447894</v>
      </c>
      <c r="AK424" s="31" t="n">
        <v>282606</v>
      </c>
      <c r="AL424" s="31" t="n">
        <v>5011706</v>
      </c>
      <c r="AM424" s="31" t="n">
        <v>282615</v>
      </c>
      <c r="AN424" s="31" t="n">
        <v>3538</v>
      </c>
      <c r="AO424" s="31" t="n">
        <v>2082544</v>
      </c>
      <c r="AP424" s="31" t="n">
        <v>2119290</v>
      </c>
      <c r="AQ424" s="31" t="n">
        <v>204837</v>
      </c>
      <c r="AR424" s="31" t="n">
        <v>204847</v>
      </c>
      <c r="AS424" s="31" t="n">
        <v>1</v>
      </c>
      <c r="AT424" s="31" t="n">
        <v>1</v>
      </c>
      <c r="AU424" s="31" t="n">
        <f aca="false">IF($G424="",AJ424,L424)</f>
        <v>3447894</v>
      </c>
      <c r="AV424" s="31" t="n">
        <f aca="false">IF($G424="",AK424,M424)</f>
        <v>282606</v>
      </c>
      <c r="AW424" s="31" t="n">
        <f aca="false">IF($G424="",AL424,N424)</f>
        <v>5011706</v>
      </c>
      <c r="AX424" s="31" t="n">
        <f aca="false">IF($G424="",AM424,O424)</f>
        <v>282615</v>
      </c>
      <c r="AY424" s="31" t="n">
        <f aca="false">IF($G424="",AN424,P424)</f>
        <v>3538</v>
      </c>
      <c r="AZ424" s="31" t="n">
        <f aca="false">IF($G424="",AO424,Q424)</f>
        <v>2082544</v>
      </c>
      <c r="BA424" s="31" t="n">
        <f aca="false">IF($G424="",AP424,R424)</f>
        <v>2119290</v>
      </c>
      <c r="BB424" s="31" t="n">
        <f aca="false">IF($G424="",AQ424,S424)</f>
        <v>204837</v>
      </c>
      <c r="BC424" s="31" t="n">
        <f aca="false">IF($G424="",AR424,T424)</f>
        <v>204847</v>
      </c>
      <c r="BD424" s="31" t="n">
        <f aca="false">IF($G424="",AS424,U424)</f>
        <v>1</v>
      </c>
      <c r="BE424" s="31" t="n">
        <f aca="false">IF($G424="",AT424,V424)</f>
        <v>1</v>
      </c>
      <c r="BF424" s="31" t="n">
        <f aca="false">ROUNDDOWN(I424*設定!$B$10/1000,0)+ROUNDDOWN(I424*設定!$B$11/1000,0)</f>
        <v>0</v>
      </c>
      <c r="BG424" s="31" t="n">
        <f aca="false">ROUNDDOWN(I424*設定!$C$10/1000,0)+ROUNDDOWN(I424*設定!$C$11/1000,0)+ROUNDDOWN(I424*設定!$C$12/1000,0)</f>
        <v>0</v>
      </c>
      <c r="BH424" s="31" t="n">
        <f aca="false">ROUNDDOWN(J424*設定!$B$13/1000,0)</f>
        <v>0</v>
      </c>
      <c r="BI424" s="31" t="n">
        <f aca="false">ROUNDDOWN(J424*設定!$C$13/1000,0)</f>
        <v>0</v>
      </c>
      <c r="BJ424" s="31" t="n">
        <f aca="false">ROUNDDOWN(K424*設定!$B$14/1000,0)</f>
        <v>0</v>
      </c>
      <c r="BK424" s="31" t="n">
        <f aca="false">ROUNDDOWN(K424*設定!$C$14/1000,0)</f>
        <v>0</v>
      </c>
      <c r="BL424" s="31" t="n">
        <f aca="false">ROUNDDOWN(J424*設定!$B$15/1000,0)</f>
        <v>0</v>
      </c>
      <c r="BM424" s="31" t="n">
        <f aca="false">ROUNDDOWN(J424*設定!$C$15/1000,0)</f>
        <v>0</v>
      </c>
      <c r="BN424" s="31" t="n">
        <f aca="false">L424+M424</f>
        <v>0</v>
      </c>
      <c r="BO424" s="31" t="n">
        <f aca="false">N424+O424+P424</f>
        <v>0</v>
      </c>
      <c r="BP424" s="31" t="n">
        <f aca="false">Q424</f>
        <v>0</v>
      </c>
      <c r="BQ424" s="31" t="n">
        <f aca="false">R424</f>
        <v>0</v>
      </c>
      <c r="BR424" s="31" t="n">
        <f aca="false">S424</f>
        <v>0</v>
      </c>
      <c r="BS424" s="31" t="n">
        <f aca="false">T424</f>
        <v>0</v>
      </c>
      <c r="BT424" s="31" t="n">
        <f aca="false">U424</f>
        <v>0</v>
      </c>
      <c r="BU424" s="31" t="n">
        <f aca="false">V424</f>
        <v>0</v>
      </c>
      <c r="BV424" s="32" t="n">
        <f aca="false">IF(BF424=0,IF(BN424=0,0,1),(BN424-BF424)/BF424)</f>
        <v>0</v>
      </c>
      <c r="BW424" s="32" t="n">
        <f aca="false">IF(BG424=0,IF(BO424=0,0,1),(BO424-BG424)/BG424)</f>
        <v>0</v>
      </c>
      <c r="BX424" s="32" t="n">
        <f aca="false">IF(BH424=0,IF(BP424=0,0,1),(BP424-BH424)/BH424)</f>
        <v>0</v>
      </c>
      <c r="BY424" s="32" t="n">
        <f aca="false">IF(BI424=0,IF(BQ424=0,0,1),(BQ424-BI424)/BI424)</f>
        <v>0</v>
      </c>
      <c r="BZ424" s="32" t="n">
        <f aca="false">IF(BJ424=0,IF(BR424=0,0,1),(BR424-BJ424)/BJ424)</f>
        <v>0</v>
      </c>
      <c r="CA424" s="32" t="n">
        <f aca="false">IF(BK424=0,IF(BS424=0,0,1),(BS424-BK424)/BK424)</f>
        <v>0</v>
      </c>
      <c r="CB424" s="32" t="n">
        <f aca="false">IF(BL424=0,IF(BT424=0,0,1),(BT424-BL424)/BL424)</f>
        <v>0</v>
      </c>
      <c r="CC424" s="32" t="n">
        <f aca="false">IF(BM424=0,IF(BU424=0,0,1),(BU424-BM424)/BM424)</f>
        <v>0</v>
      </c>
      <c r="CD424" s="32" t="n">
        <f aca="false">MAX(MAX(BV424:CC424),-MIN(BV424:CC424))</f>
        <v>-0</v>
      </c>
      <c r="CE424" s="31" t="str">
        <f aca="false">IF(CI424="","",SUMIFS($CF$7:$CF$696,$A$7:$A$696,CI424,$B$7:$B$696,B424))</f>
        <v/>
      </c>
      <c r="CF424" s="31" t="n">
        <f aca="false">SUM(AU424:BE424)</f>
        <v>13639879</v>
      </c>
      <c r="CG424" s="33" t="str">
        <f aca="false">A424&amp;"|"&amp;B424</f>
        <v>2026-12 賞与|議会事務局</v>
      </c>
      <c r="CH424" s="34" t="str">
        <f aca="false">IFERROR(INDEX(設定!$D$61:$D$106,MATCH(B424,設定!$B$61:$B$106,0)),"Y")</f>
        <v>Y</v>
      </c>
      <c r="CI424" s="34" t="str">
        <f aca="false">IFERROR(INDEX(設定!$D$20:$D$34,MATCH(A424,設定!$A$20:$A$34,0))&amp;"","")</f>
        <v/>
      </c>
    </row>
    <row r="425" customFormat="false" ht="15" hidden="true" customHeight="false" outlineLevel="0" collapsed="false">
      <c r="A425" s="22" t="s">
        <v>217</v>
      </c>
      <c r="B425" s="23" t="s">
        <v>164</v>
      </c>
      <c r="C425" s="10" t="str">
        <f aca="false">IF(G425="","未受領",IF(G425="なし","報告なし",IF(AH425="○","起票済",IF(OR(AG425="○",F425="一致",F425="入金不要"),"入金確認済","受領済"))))</f>
        <v>未受領</v>
      </c>
      <c r="D425" s="10" t="str">
        <f aca="false">IF(OR(G425="",G425="なし"),"―",IF(CH425="N","対象外",IF(AND(I425="",J425="",K425=""),"標報未入力",IF(CD425&gt;=設定!$B$4,"要確認","問題なし"))))</f>
        <v>―</v>
      </c>
      <c r="E425" s="24" t="str">
        <f aca="false">IF(OR(G425="",G425="なし",CE425="",CF425=0),"―",IF(CF425=CE425,"前月同額",IF(CE425=0,"―",IF(ABS(CF425/CE425-1)&gt;=設定!$B$5,"変動大 "&amp;TEXT(CF425/CE425-1,"+0%;-0%"),"〇"))))</f>
        <v>―</v>
      </c>
      <c r="F425" s="10" t="str">
        <f aca="false">IF(OR(G425="",G425="なし"),"―",IF(CF425=0,"入金不要",IF(COUNT(Z425,AB425,AD425,AF425)=0,IF(AG425="○","手動確認","未入金"),IF(AND(N(Z425)=Y425,IF(AA425="",TRUE(),N(AB425)=AA425),IF(AC425="",TRUE(),N(AD425)=AC425),IF(AE425="",TRUE(),N(AF425)=AE425)),"一致","不一致"))))</f>
        <v>―</v>
      </c>
      <c r="G425" s="25"/>
      <c r="H425" s="26"/>
      <c r="I425" s="27"/>
      <c r="J425" s="27"/>
      <c r="K425" s="27"/>
      <c r="L425" s="27"/>
      <c r="M425" s="27"/>
      <c r="N425" s="27"/>
      <c r="O425" s="27"/>
      <c r="P425" s="27"/>
      <c r="Q425" s="27"/>
      <c r="R425" s="27"/>
      <c r="S425" s="27"/>
      <c r="T425" s="27"/>
      <c r="U425" s="27"/>
      <c r="V425" s="27"/>
      <c r="W425" s="10" t="str">
        <f aca="false">IFERROR(INDEX(設定!$E$61:$E$106,MATCH(B425,設定!$B$61:$B$106,0)),"合算")</f>
        <v>合算</v>
      </c>
      <c r="X425" s="28"/>
      <c r="Y425" s="29" t="str">
        <f aca="false">IF(OR(G425="",G425="なし"),"",IF(W425="合算",CF425,IF(W425="掛金・負担金別",(AU425+AV425+AZ425+BB425+BD425),SUM(AU425:AY425))))</f>
        <v/>
      </c>
      <c r="Z425" s="27"/>
      <c r="AA425" s="29" t="str">
        <f aca="false">IF(OR(G425="",G425="なし"),"",IF(W425="掛金・負担金別",(AW425+AX425+AY425+BA425+BC425+BE425),IF(W425="経理区分別",AZ425+BA425,"")))</f>
        <v/>
      </c>
      <c r="AB425" s="27"/>
      <c r="AC425" s="29" t="str">
        <f aca="false">IF(OR(G425="",G425="なし"),"",IF(W425="経理区分別",BB425+BC425,""))</f>
        <v/>
      </c>
      <c r="AD425" s="27"/>
      <c r="AE425" s="29" t="str">
        <f aca="false">IF(OR(G425="",G425="なし"),"",IF(W425="経理区分別",BD425+BE425,""))</f>
        <v/>
      </c>
      <c r="AF425" s="27"/>
      <c r="AG425" s="26"/>
      <c r="AH425" s="26"/>
      <c r="AI425" s="30"/>
      <c r="AJ425" s="31" t="n">
        <v>45885450</v>
      </c>
      <c r="AK425" s="31" t="n">
        <v>3760962</v>
      </c>
      <c r="AL425" s="31" t="n">
        <v>66761387</v>
      </c>
      <c r="AM425" s="31" t="n">
        <v>3761114</v>
      </c>
      <c r="AN425" s="31" t="n">
        <v>47227</v>
      </c>
      <c r="AO425" s="31" t="n">
        <v>46934335</v>
      </c>
      <c r="AP425" s="31" t="n">
        <v>47766260</v>
      </c>
      <c r="AQ425" s="31" t="n">
        <v>5175632</v>
      </c>
      <c r="AR425" s="31" t="n">
        <v>5176190</v>
      </c>
      <c r="AS425" s="31" t="n">
        <v>1</v>
      </c>
      <c r="AT425" s="31" t="n">
        <v>1</v>
      </c>
      <c r="AU425" s="31" t="n">
        <f aca="false">IF($G425="",AJ425,L425)</f>
        <v>45885450</v>
      </c>
      <c r="AV425" s="31" t="n">
        <f aca="false">IF($G425="",AK425,M425)</f>
        <v>3760962</v>
      </c>
      <c r="AW425" s="31" t="n">
        <f aca="false">IF($G425="",AL425,N425)</f>
        <v>66761387</v>
      </c>
      <c r="AX425" s="31" t="n">
        <f aca="false">IF($G425="",AM425,O425)</f>
        <v>3761114</v>
      </c>
      <c r="AY425" s="31" t="n">
        <f aca="false">IF($G425="",AN425,P425)</f>
        <v>47227</v>
      </c>
      <c r="AZ425" s="31" t="n">
        <f aca="false">IF($G425="",AO425,Q425)</f>
        <v>46934335</v>
      </c>
      <c r="BA425" s="31" t="n">
        <f aca="false">IF($G425="",AP425,R425)</f>
        <v>47766260</v>
      </c>
      <c r="BB425" s="31" t="n">
        <f aca="false">IF($G425="",AQ425,S425)</f>
        <v>5175632</v>
      </c>
      <c r="BC425" s="31" t="n">
        <f aca="false">IF($G425="",AR425,T425)</f>
        <v>5176190</v>
      </c>
      <c r="BD425" s="31" t="n">
        <f aca="false">IF($G425="",AS425,U425)</f>
        <v>1</v>
      </c>
      <c r="BE425" s="31" t="n">
        <f aca="false">IF($G425="",AT425,V425)</f>
        <v>1</v>
      </c>
      <c r="BF425" s="31" t="n">
        <f aca="false">ROUNDDOWN(I425*設定!$B$10/1000,0)+ROUNDDOWN(I425*設定!$B$11/1000,0)</f>
        <v>0</v>
      </c>
      <c r="BG425" s="31" t="n">
        <f aca="false">ROUNDDOWN(I425*設定!$C$10/1000,0)+ROUNDDOWN(I425*設定!$C$11/1000,0)+ROUNDDOWN(I425*設定!$C$12/1000,0)</f>
        <v>0</v>
      </c>
      <c r="BH425" s="31" t="n">
        <f aca="false">ROUNDDOWN(J425*設定!$B$13/1000,0)</f>
        <v>0</v>
      </c>
      <c r="BI425" s="31" t="n">
        <f aca="false">ROUNDDOWN(J425*設定!$C$13/1000,0)</f>
        <v>0</v>
      </c>
      <c r="BJ425" s="31" t="n">
        <f aca="false">ROUNDDOWN(K425*設定!$B$14/1000,0)</f>
        <v>0</v>
      </c>
      <c r="BK425" s="31" t="n">
        <f aca="false">ROUNDDOWN(K425*設定!$C$14/1000,0)</f>
        <v>0</v>
      </c>
      <c r="BL425" s="31" t="n">
        <f aca="false">ROUNDDOWN(J425*設定!$B$15/1000,0)</f>
        <v>0</v>
      </c>
      <c r="BM425" s="31" t="n">
        <f aca="false">ROUNDDOWN(J425*設定!$C$15/1000,0)</f>
        <v>0</v>
      </c>
      <c r="BN425" s="31" t="n">
        <f aca="false">L425+M425</f>
        <v>0</v>
      </c>
      <c r="BO425" s="31" t="n">
        <f aca="false">N425+O425+P425</f>
        <v>0</v>
      </c>
      <c r="BP425" s="31" t="n">
        <f aca="false">Q425</f>
        <v>0</v>
      </c>
      <c r="BQ425" s="31" t="n">
        <f aca="false">R425</f>
        <v>0</v>
      </c>
      <c r="BR425" s="31" t="n">
        <f aca="false">S425</f>
        <v>0</v>
      </c>
      <c r="BS425" s="31" t="n">
        <f aca="false">T425</f>
        <v>0</v>
      </c>
      <c r="BT425" s="31" t="n">
        <f aca="false">U425</f>
        <v>0</v>
      </c>
      <c r="BU425" s="31" t="n">
        <f aca="false">V425</f>
        <v>0</v>
      </c>
      <c r="BV425" s="32" t="n">
        <f aca="false">IF(BF425=0,IF(BN425=0,0,1),(BN425-BF425)/BF425)</f>
        <v>0</v>
      </c>
      <c r="BW425" s="32" t="n">
        <f aca="false">IF(BG425=0,IF(BO425=0,0,1),(BO425-BG425)/BG425)</f>
        <v>0</v>
      </c>
      <c r="BX425" s="32" t="n">
        <f aca="false">IF(BH425=0,IF(BP425=0,0,1),(BP425-BH425)/BH425)</f>
        <v>0</v>
      </c>
      <c r="BY425" s="32" t="n">
        <f aca="false">IF(BI425=0,IF(BQ425=0,0,1),(BQ425-BI425)/BI425)</f>
        <v>0</v>
      </c>
      <c r="BZ425" s="32" t="n">
        <f aca="false">IF(BJ425=0,IF(BR425=0,0,1),(BR425-BJ425)/BJ425)</f>
        <v>0</v>
      </c>
      <c r="CA425" s="32" t="n">
        <f aca="false">IF(BK425=0,IF(BS425=0,0,1),(BS425-BK425)/BK425)</f>
        <v>0</v>
      </c>
      <c r="CB425" s="32" t="n">
        <f aca="false">IF(BL425=0,IF(BT425=0,0,1),(BT425-BL425)/BL425)</f>
        <v>0</v>
      </c>
      <c r="CC425" s="32" t="n">
        <f aca="false">IF(BM425=0,IF(BU425=0,0,1),(BU425-BM425)/BM425)</f>
        <v>0</v>
      </c>
      <c r="CD425" s="32" t="n">
        <f aca="false">MAX(MAX(BV425:CC425),-MIN(BV425:CC425))</f>
        <v>-0</v>
      </c>
      <c r="CE425" s="31" t="str">
        <f aca="false">IF(CI425="","",SUMIFS($CF$7:$CF$696,$A$7:$A$696,CI425,$B$7:$B$696,B425))</f>
        <v/>
      </c>
      <c r="CF425" s="31" t="n">
        <f aca="false">SUM(AU425:BE425)</f>
        <v>225268559</v>
      </c>
      <c r="CG425" s="33" t="str">
        <f aca="false">A425&amp;"|"&amp;B425</f>
        <v>2026-12 賞与|教育委員会（総務課）</v>
      </c>
      <c r="CH425" s="34" t="str">
        <f aca="false">IFERROR(INDEX(設定!$D$61:$D$106,MATCH(B425,設定!$B$61:$B$106,0)),"Y")</f>
        <v>N</v>
      </c>
      <c r="CI425" s="34" t="str">
        <f aca="false">IFERROR(INDEX(設定!$D$20:$D$34,MATCH(A425,設定!$A$20:$A$34,0))&amp;"","")</f>
        <v/>
      </c>
    </row>
    <row r="426" customFormat="false" ht="15" hidden="true" customHeight="false" outlineLevel="0" collapsed="false">
      <c r="A426" s="22" t="s">
        <v>217</v>
      </c>
      <c r="B426" s="23" t="s">
        <v>165</v>
      </c>
      <c r="C426" s="10" t="str">
        <f aca="false">IF(G426="","未受領",IF(G426="なし","報告なし",IF(AH426="○","起票済",IF(OR(AG426="○",F426="一致",F426="入金不要"),"入金確認済","受領済"))))</f>
        <v>未受領</v>
      </c>
      <c r="D426" s="10" t="str">
        <f aca="false">IF(OR(G426="",G426="なし"),"―",IF(CH426="N","対象外",IF(AND(I426="",J426="",K426=""),"標報未入力",IF(CD426&gt;=設定!$B$4,"要確認","問題なし"))))</f>
        <v>―</v>
      </c>
      <c r="E426" s="24" t="str">
        <f aca="false">IF(OR(G426="",G426="なし",CE426="",CF426=0),"―",IF(CF426=CE426,"前月同額",IF(CE426=0,"―",IF(ABS(CF426/CE426-1)&gt;=設定!$B$5,"変動大 "&amp;TEXT(CF426/CE426-1,"+0%;-0%"),"〇"))))</f>
        <v>―</v>
      </c>
      <c r="F426" s="10" t="str">
        <f aca="false">IF(OR(G426="",G426="なし"),"―",IF(CF426=0,"入金不要",IF(COUNT(Z426,AB426,AD426,AF426)=0,IF(AG426="○","手動確認","未入金"),IF(AND(N(Z426)=Y426,IF(AA426="",TRUE(),N(AB426)=AA426),IF(AC426="",TRUE(),N(AD426)=AC426),IF(AE426="",TRUE(),N(AF426)=AE426)),"一致","不一致"))))</f>
        <v>―</v>
      </c>
      <c r="G426" s="25"/>
      <c r="H426" s="26"/>
      <c r="I426" s="27"/>
      <c r="J426" s="27"/>
      <c r="K426" s="27"/>
      <c r="L426" s="27"/>
      <c r="M426" s="27"/>
      <c r="N426" s="27"/>
      <c r="O426" s="27"/>
      <c r="P426" s="27"/>
      <c r="Q426" s="27"/>
      <c r="R426" s="27"/>
      <c r="S426" s="27"/>
      <c r="T426" s="27"/>
      <c r="U426" s="27"/>
      <c r="V426" s="27"/>
      <c r="W426" s="10" t="str">
        <f aca="false">IFERROR(INDEX(設定!$E$61:$E$106,MATCH(B426,設定!$B$61:$B$106,0)),"合算")</f>
        <v>合算</v>
      </c>
      <c r="X426" s="28"/>
      <c r="Y426" s="29" t="str">
        <f aca="false">IF(OR(G426="",G426="なし"),"",IF(W426="合算",CF426,IF(W426="掛金・負担金別",(AU426+AV426+AZ426+BB426+BD426),SUM(AU426:AY426))))</f>
        <v/>
      </c>
      <c r="Z426" s="27"/>
      <c r="AA426" s="29" t="str">
        <f aca="false">IF(OR(G426="",G426="なし"),"",IF(W426="掛金・負担金別",(AW426+AX426+AY426+BA426+BC426+BE426),IF(W426="経理区分別",AZ426+BA426,"")))</f>
        <v/>
      </c>
      <c r="AB426" s="27"/>
      <c r="AC426" s="29" t="str">
        <f aca="false">IF(OR(G426="",G426="なし"),"",IF(W426="経理区分別",BB426+BC426,""))</f>
        <v/>
      </c>
      <c r="AD426" s="27"/>
      <c r="AE426" s="29" t="str">
        <f aca="false">IF(OR(G426="",G426="なし"),"",IF(W426="経理区分別",BD426+BE426,""))</f>
        <v/>
      </c>
      <c r="AF426" s="27"/>
      <c r="AG426" s="26"/>
      <c r="AH426" s="26"/>
      <c r="AI426" s="30"/>
      <c r="AJ426" s="31" t="n">
        <v>541129</v>
      </c>
      <c r="AK426" s="31" t="n">
        <v>44353</v>
      </c>
      <c r="AL426" s="31" t="n">
        <v>786562</v>
      </c>
      <c r="AM426" s="31" t="n">
        <v>44355</v>
      </c>
      <c r="AN426" s="31" t="n">
        <v>555</v>
      </c>
      <c r="AO426" s="31" t="n">
        <v>363611</v>
      </c>
      <c r="AP426" s="31" t="n">
        <v>370027</v>
      </c>
      <c r="AQ426" s="31" t="n">
        <v>32214</v>
      </c>
      <c r="AR426" s="31" t="n">
        <v>32215</v>
      </c>
      <c r="AS426" s="31" t="n">
        <v>1</v>
      </c>
      <c r="AT426" s="31" t="n">
        <v>1</v>
      </c>
      <c r="AU426" s="31" t="n">
        <f aca="false">IF($G426="",AJ426,L426)</f>
        <v>541129</v>
      </c>
      <c r="AV426" s="31" t="n">
        <f aca="false">IF($G426="",AK426,M426)</f>
        <v>44353</v>
      </c>
      <c r="AW426" s="31" t="n">
        <f aca="false">IF($G426="",AL426,N426)</f>
        <v>786562</v>
      </c>
      <c r="AX426" s="31" t="n">
        <f aca="false">IF($G426="",AM426,O426)</f>
        <v>44355</v>
      </c>
      <c r="AY426" s="31" t="n">
        <f aca="false">IF($G426="",AN426,P426)</f>
        <v>555</v>
      </c>
      <c r="AZ426" s="31" t="n">
        <f aca="false">IF($G426="",AO426,Q426)</f>
        <v>363611</v>
      </c>
      <c r="BA426" s="31" t="n">
        <f aca="false">IF($G426="",AP426,R426)</f>
        <v>370027</v>
      </c>
      <c r="BB426" s="31" t="n">
        <f aca="false">IF($G426="",AQ426,S426)</f>
        <v>32214</v>
      </c>
      <c r="BC426" s="31" t="n">
        <f aca="false">IF($G426="",AR426,T426)</f>
        <v>32215</v>
      </c>
      <c r="BD426" s="31" t="n">
        <f aca="false">IF($G426="",AS426,U426)</f>
        <v>1</v>
      </c>
      <c r="BE426" s="31" t="n">
        <f aca="false">IF($G426="",AT426,V426)</f>
        <v>1</v>
      </c>
      <c r="BF426" s="31" t="n">
        <f aca="false">ROUNDDOWN(I426*設定!$B$10/1000,0)+ROUNDDOWN(I426*設定!$B$11/1000,0)</f>
        <v>0</v>
      </c>
      <c r="BG426" s="31" t="n">
        <f aca="false">ROUNDDOWN(I426*設定!$C$10/1000,0)+ROUNDDOWN(I426*設定!$C$11/1000,0)+ROUNDDOWN(I426*設定!$C$12/1000,0)</f>
        <v>0</v>
      </c>
      <c r="BH426" s="31" t="n">
        <f aca="false">ROUNDDOWN(J426*設定!$B$13/1000,0)</f>
        <v>0</v>
      </c>
      <c r="BI426" s="31" t="n">
        <f aca="false">ROUNDDOWN(J426*設定!$C$13/1000,0)</f>
        <v>0</v>
      </c>
      <c r="BJ426" s="31" t="n">
        <f aca="false">ROUNDDOWN(K426*設定!$B$14/1000,0)</f>
        <v>0</v>
      </c>
      <c r="BK426" s="31" t="n">
        <f aca="false">ROUNDDOWN(K426*設定!$C$14/1000,0)</f>
        <v>0</v>
      </c>
      <c r="BL426" s="31" t="n">
        <f aca="false">ROUNDDOWN(J426*設定!$B$15/1000,0)</f>
        <v>0</v>
      </c>
      <c r="BM426" s="31" t="n">
        <f aca="false">ROUNDDOWN(J426*設定!$C$15/1000,0)</f>
        <v>0</v>
      </c>
      <c r="BN426" s="31" t="n">
        <f aca="false">L426+M426</f>
        <v>0</v>
      </c>
      <c r="BO426" s="31" t="n">
        <f aca="false">N426+O426+P426</f>
        <v>0</v>
      </c>
      <c r="BP426" s="31" t="n">
        <f aca="false">Q426</f>
        <v>0</v>
      </c>
      <c r="BQ426" s="31" t="n">
        <f aca="false">R426</f>
        <v>0</v>
      </c>
      <c r="BR426" s="31" t="n">
        <f aca="false">S426</f>
        <v>0</v>
      </c>
      <c r="BS426" s="31" t="n">
        <f aca="false">T426</f>
        <v>0</v>
      </c>
      <c r="BT426" s="31" t="n">
        <f aca="false">U426</f>
        <v>0</v>
      </c>
      <c r="BU426" s="31" t="n">
        <f aca="false">V426</f>
        <v>0</v>
      </c>
      <c r="BV426" s="32" t="n">
        <f aca="false">IF(BF426=0,IF(BN426=0,0,1),(BN426-BF426)/BF426)</f>
        <v>0</v>
      </c>
      <c r="BW426" s="32" t="n">
        <f aca="false">IF(BG426=0,IF(BO426=0,0,1),(BO426-BG426)/BG426)</f>
        <v>0</v>
      </c>
      <c r="BX426" s="32" t="n">
        <f aca="false">IF(BH426=0,IF(BP426=0,0,1),(BP426-BH426)/BH426)</f>
        <v>0</v>
      </c>
      <c r="BY426" s="32" t="n">
        <f aca="false">IF(BI426=0,IF(BQ426=0,0,1),(BQ426-BI426)/BI426)</f>
        <v>0</v>
      </c>
      <c r="BZ426" s="32" t="n">
        <f aca="false">IF(BJ426=0,IF(BR426=0,0,1),(BR426-BJ426)/BJ426)</f>
        <v>0</v>
      </c>
      <c r="CA426" s="32" t="n">
        <f aca="false">IF(BK426=0,IF(BS426=0,0,1),(BS426-BK426)/BK426)</f>
        <v>0</v>
      </c>
      <c r="CB426" s="32" t="n">
        <f aca="false">IF(BL426=0,IF(BT426=0,0,1),(BT426-BL426)/BL426)</f>
        <v>0</v>
      </c>
      <c r="CC426" s="32" t="n">
        <f aca="false">IF(BM426=0,IF(BU426=0,0,1),(BU426-BM426)/BM426)</f>
        <v>0</v>
      </c>
      <c r="CD426" s="32" t="n">
        <f aca="false">MAX(MAX(BV426:CC426),-MIN(BV426:CC426))</f>
        <v>-0</v>
      </c>
      <c r="CE426" s="31" t="str">
        <f aca="false">IF(CI426="","",SUMIFS($CF$7:$CF$696,$A$7:$A$696,CI426,$B$7:$B$696,B426))</f>
        <v/>
      </c>
      <c r="CF426" s="31" t="n">
        <f aca="false">SUM(AU426:BE426)</f>
        <v>2215023</v>
      </c>
      <c r="CG426" s="33" t="str">
        <f aca="false">A426&amp;"|"&amp;B426</f>
        <v>2026-12 賞与|選挙管理委員会</v>
      </c>
      <c r="CH426" s="34" t="str">
        <f aca="false">IFERROR(INDEX(設定!$D$61:$D$106,MATCH(B426,設定!$B$61:$B$106,0)),"Y")</f>
        <v>Y</v>
      </c>
      <c r="CI426" s="34" t="str">
        <f aca="false">IFERROR(INDEX(設定!$D$20:$D$34,MATCH(A426,設定!$A$20:$A$34,0))&amp;"","")</f>
        <v/>
      </c>
    </row>
    <row r="427" customFormat="false" ht="15" hidden="true" customHeight="false" outlineLevel="0" collapsed="false">
      <c r="A427" s="22" t="s">
        <v>217</v>
      </c>
      <c r="B427" s="23" t="s">
        <v>166</v>
      </c>
      <c r="C427" s="10" t="str">
        <f aca="false">IF(G427="","未受領",IF(G427="なし","報告なし",IF(AH427="○","起票済",IF(OR(AG427="○",F427="一致",F427="入金不要"),"入金確認済","受領済"))))</f>
        <v>未受領</v>
      </c>
      <c r="D427" s="10" t="str">
        <f aca="false">IF(OR(G427="",G427="なし"),"―",IF(CH427="N","対象外",IF(AND(I427="",J427="",K427=""),"標報未入力",IF(CD427&gt;=設定!$B$4,"要確認","問題なし"))))</f>
        <v>―</v>
      </c>
      <c r="E427" s="24" t="str">
        <f aca="false">IF(OR(G427="",G427="なし",CE427="",CF427=0),"―",IF(CF427=CE427,"前月同額",IF(CE427=0,"―",IF(ABS(CF427/CE427-1)&gt;=設定!$B$5,"変動大 "&amp;TEXT(CF427/CE427-1,"+0%;-0%"),"〇"))))</f>
        <v>―</v>
      </c>
      <c r="F427" s="10" t="str">
        <f aca="false">IF(OR(G427="",G427="なし"),"―",IF(CF427=0,"入金不要",IF(COUNT(Z427,AB427,AD427,AF427)=0,IF(AG427="○","手動確認","未入金"),IF(AND(N(Z427)=Y427,IF(AA427="",TRUE(),N(AB427)=AA427),IF(AC427="",TRUE(),N(AD427)=AC427),IF(AE427="",TRUE(),N(AF427)=AE427)),"一致","不一致"))))</f>
        <v>―</v>
      </c>
      <c r="G427" s="25"/>
      <c r="H427" s="26"/>
      <c r="I427" s="27"/>
      <c r="J427" s="27"/>
      <c r="K427" s="27"/>
      <c r="L427" s="27"/>
      <c r="M427" s="27"/>
      <c r="N427" s="27"/>
      <c r="O427" s="27"/>
      <c r="P427" s="27"/>
      <c r="Q427" s="27"/>
      <c r="R427" s="27"/>
      <c r="S427" s="27"/>
      <c r="T427" s="27"/>
      <c r="U427" s="27"/>
      <c r="V427" s="27"/>
      <c r="W427" s="10" t="str">
        <f aca="false">IFERROR(INDEX(設定!$E$61:$E$106,MATCH(B427,設定!$B$61:$B$106,0)),"合算")</f>
        <v>合算</v>
      </c>
      <c r="X427" s="28"/>
      <c r="Y427" s="29" t="str">
        <f aca="false">IF(OR(G427="",G427="なし"),"",IF(W427="合算",CF427,IF(W427="掛金・負担金別",(AU427+AV427+AZ427+BB427+BD427),SUM(AU427:AY427))))</f>
        <v/>
      </c>
      <c r="Z427" s="27"/>
      <c r="AA427" s="29" t="str">
        <f aca="false">IF(OR(G427="",G427="なし"),"",IF(W427="掛金・負担金別",(AW427+AX427+AY427+BA427+BC427+BE427),IF(W427="経理区分別",AZ427+BA427,"")))</f>
        <v/>
      </c>
      <c r="AB427" s="27"/>
      <c r="AC427" s="29" t="str">
        <f aca="false">IF(OR(G427="",G427="なし"),"",IF(W427="経理区分別",BB427+BC427,""))</f>
        <v/>
      </c>
      <c r="AD427" s="27"/>
      <c r="AE427" s="29" t="str">
        <f aca="false">IF(OR(G427="",G427="なし"),"",IF(W427="経理区分別",BD427+BE427,""))</f>
        <v/>
      </c>
      <c r="AF427" s="27"/>
      <c r="AG427" s="26"/>
      <c r="AH427" s="26"/>
      <c r="AI427" s="30"/>
      <c r="AJ427" s="31" t="n">
        <v>1109161</v>
      </c>
      <c r="AK427" s="31" t="n">
        <v>90913</v>
      </c>
      <c r="AL427" s="31" t="n">
        <v>1612226</v>
      </c>
      <c r="AM427" s="31" t="n">
        <v>90915</v>
      </c>
      <c r="AN427" s="31" t="n">
        <v>1138</v>
      </c>
      <c r="AO427" s="31" t="n">
        <v>679368</v>
      </c>
      <c r="AP427" s="31" t="n">
        <v>691353</v>
      </c>
      <c r="AQ427" s="31" t="n">
        <v>66024</v>
      </c>
      <c r="AR427" s="31" t="n">
        <v>66028</v>
      </c>
      <c r="AS427" s="31" t="n">
        <v>1</v>
      </c>
      <c r="AT427" s="31" t="n">
        <v>1</v>
      </c>
      <c r="AU427" s="31" t="n">
        <f aca="false">IF($G427="",AJ427,L427)</f>
        <v>1109161</v>
      </c>
      <c r="AV427" s="31" t="n">
        <f aca="false">IF($G427="",AK427,M427)</f>
        <v>90913</v>
      </c>
      <c r="AW427" s="31" t="n">
        <f aca="false">IF($G427="",AL427,N427)</f>
        <v>1612226</v>
      </c>
      <c r="AX427" s="31" t="n">
        <f aca="false">IF($G427="",AM427,O427)</f>
        <v>90915</v>
      </c>
      <c r="AY427" s="31" t="n">
        <f aca="false">IF($G427="",AN427,P427)</f>
        <v>1138</v>
      </c>
      <c r="AZ427" s="31" t="n">
        <f aca="false">IF($G427="",AO427,Q427)</f>
        <v>679368</v>
      </c>
      <c r="BA427" s="31" t="n">
        <f aca="false">IF($G427="",AP427,R427)</f>
        <v>691353</v>
      </c>
      <c r="BB427" s="31" t="n">
        <f aca="false">IF($G427="",AQ427,S427)</f>
        <v>66024</v>
      </c>
      <c r="BC427" s="31" t="n">
        <f aca="false">IF($G427="",AR427,T427)</f>
        <v>66028</v>
      </c>
      <c r="BD427" s="31" t="n">
        <f aca="false">IF($G427="",AS427,U427)</f>
        <v>1</v>
      </c>
      <c r="BE427" s="31" t="n">
        <f aca="false">IF($G427="",AT427,V427)</f>
        <v>1</v>
      </c>
      <c r="BF427" s="31" t="n">
        <f aca="false">ROUNDDOWN(I427*設定!$B$10/1000,0)+ROUNDDOWN(I427*設定!$B$11/1000,0)</f>
        <v>0</v>
      </c>
      <c r="BG427" s="31" t="n">
        <f aca="false">ROUNDDOWN(I427*設定!$C$10/1000,0)+ROUNDDOWN(I427*設定!$C$11/1000,0)+ROUNDDOWN(I427*設定!$C$12/1000,0)</f>
        <v>0</v>
      </c>
      <c r="BH427" s="31" t="n">
        <f aca="false">ROUNDDOWN(J427*設定!$B$13/1000,0)</f>
        <v>0</v>
      </c>
      <c r="BI427" s="31" t="n">
        <f aca="false">ROUNDDOWN(J427*設定!$C$13/1000,0)</f>
        <v>0</v>
      </c>
      <c r="BJ427" s="31" t="n">
        <f aca="false">ROUNDDOWN(K427*設定!$B$14/1000,0)</f>
        <v>0</v>
      </c>
      <c r="BK427" s="31" t="n">
        <f aca="false">ROUNDDOWN(K427*設定!$C$14/1000,0)</f>
        <v>0</v>
      </c>
      <c r="BL427" s="31" t="n">
        <f aca="false">ROUNDDOWN(J427*設定!$B$15/1000,0)</f>
        <v>0</v>
      </c>
      <c r="BM427" s="31" t="n">
        <f aca="false">ROUNDDOWN(J427*設定!$C$15/1000,0)</f>
        <v>0</v>
      </c>
      <c r="BN427" s="31" t="n">
        <f aca="false">L427+M427</f>
        <v>0</v>
      </c>
      <c r="BO427" s="31" t="n">
        <f aca="false">N427+O427+P427</f>
        <v>0</v>
      </c>
      <c r="BP427" s="31" t="n">
        <f aca="false">Q427</f>
        <v>0</v>
      </c>
      <c r="BQ427" s="31" t="n">
        <f aca="false">R427</f>
        <v>0</v>
      </c>
      <c r="BR427" s="31" t="n">
        <f aca="false">S427</f>
        <v>0</v>
      </c>
      <c r="BS427" s="31" t="n">
        <f aca="false">T427</f>
        <v>0</v>
      </c>
      <c r="BT427" s="31" t="n">
        <f aca="false">U427</f>
        <v>0</v>
      </c>
      <c r="BU427" s="31" t="n">
        <f aca="false">V427</f>
        <v>0</v>
      </c>
      <c r="BV427" s="32" t="n">
        <f aca="false">IF(BF427=0,IF(BN427=0,0,1),(BN427-BF427)/BF427)</f>
        <v>0</v>
      </c>
      <c r="BW427" s="32" t="n">
        <f aca="false">IF(BG427=0,IF(BO427=0,0,1),(BO427-BG427)/BG427)</f>
        <v>0</v>
      </c>
      <c r="BX427" s="32" t="n">
        <f aca="false">IF(BH427=0,IF(BP427=0,0,1),(BP427-BH427)/BH427)</f>
        <v>0</v>
      </c>
      <c r="BY427" s="32" t="n">
        <f aca="false">IF(BI427=0,IF(BQ427=0,0,1),(BQ427-BI427)/BI427)</f>
        <v>0</v>
      </c>
      <c r="BZ427" s="32" t="n">
        <f aca="false">IF(BJ427=0,IF(BR427=0,0,1),(BR427-BJ427)/BJ427)</f>
        <v>0</v>
      </c>
      <c r="CA427" s="32" t="n">
        <f aca="false">IF(BK427=0,IF(BS427=0,0,1),(BS427-BK427)/BK427)</f>
        <v>0</v>
      </c>
      <c r="CB427" s="32" t="n">
        <f aca="false">IF(BL427=0,IF(BT427=0,0,1),(BT427-BL427)/BL427)</f>
        <v>0</v>
      </c>
      <c r="CC427" s="32" t="n">
        <f aca="false">IF(BM427=0,IF(BU427=0,0,1),(BU427-BM427)/BM427)</f>
        <v>0</v>
      </c>
      <c r="CD427" s="32" t="n">
        <f aca="false">MAX(MAX(BV427:CC427),-MIN(BV427:CC427))</f>
        <v>-0</v>
      </c>
      <c r="CE427" s="31" t="str">
        <f aca="false">IF(CI427="","",SUMIFS($CF$7:$CF$696,$A$7:$A$696,CI427,$B$7:$B$696,B427))</f>
        <v/>
      </c>
      <c r="CF427" s="31" t="n">
        <f aca="false">SUM(AU427:BE427)</f>
        <v>4407128</v>
      </c>
      <c r="CG427" s="33" t="str">
        <f aca="false">A427&amp;"|"&amp;B427</f>
        <v>2026-12 賞与|人事委員会</v>
      </c>
      <c r="CH427" s="34" t="str">
        <f aca="false">IFERROR(INDEX(設定!$D$61:$D$106,MATCH(B427,設定!$B$61:$B$106,0)),"Y")</f>
        <v>Y</v>
      </c>
      <c r="CI427" s="34" t="str">
        <f aca="false">IFERROR(INDEX(設定!$D$20:$D$34,MATCH(A427,設定!$A$20:$A$34,0))&amp;"","")</f>
        <v/>
      </c>
    </row>
    <row r="428" customFormat="false" ht="15" hidden="true" customHeight="false" outlineLevel="0" collapsed="false">
      <c r="A428" s="22" t="s">
        <v>217</v>
      </c>
      <c r="B428" s="23" t="s">
        <v>167</v>
      </c>
      <c r="C428" s="10" t="str">
        <f aca="false">IF(G428="","未受領",IF(G428="なし","報告なし",IF(AH428="○","起票済",IF(OR(AG428="○",F428="一致",F428="入金不要"),"入金確認済","受領済"))))</f>
        <v>未受領</v>
      </c>
      <c r="D428" s="10" t="str">
        <f aca="false">IF(OR(G428="",G428="なし"),"―",IF(CH428="N","対象外",IF(AND(I428="",J428="",K428=""),"標報未入力",IF(CD428&gt;=設定!$B$4,"要確認","問題なし"))))</f>
        <v>―</v>
      </c>
      <c r="E428" s="24" t="str">
        <f aca="false">IF(OR(G428="",G428="なし",CE428="",CF428=0),"―",IF(CF428=CE428,"前月同額",IF(CE428=0,"―",IF(ABS(CF428/CE428-1)&gt;=設定!$B$5,"変動大 "&amp;TEXT(CF428/CE428-1,"+0%;-0%"),"〇"))))</f>
        <v>―</v>
      </c>
      <c r="F428" s="10" t="str">
        <f aca="false">IF(OR(G428="",G428="なし"),"―",IF(CF428=0,"入金不要",IF(COUNT(Z428,AB428,AD428,AF428)=0,IF(AG428="○","手動確認","未入金"),IF(AND(N(Z428)=Y428,IF(AA428="",TRUE(),N(AB428)=AA428),IF(AC428="",TRUE(),N(AD428)=AC428),IF(AE428="",TRUE(),N(AF428)=AE428)),"一致","不一致"))))</f>
        <v>―</v>
      </c>
      <c r="G428" s="25"/>
      <c r="H428" s="26"/>
      <c r="I428" s="27"/>
      <c r="J428" s="27"/>
      <c r="K428" s="27"/>
      <c r="L428" s="27"/>
      <c r="M428" s="27"/>
      <c r="N428" s="27"/>
      <c r="O428" s="27"/>
      <c r="P428" s="27"/>
      <c r="Q428" s="27"/>
      <c r="R428" s="27"/>
      <c r="S428" s="27"/>
      <c r="T428" s="27"/>
      <c r="U428" s="27"/>
      <c r="V428" s="27"/>
      <c r="W428" s="10" t="str">
        <f aca="false">IFERROR(INDEX(設定!$E$61:$E$106,MATCH(B428,設定!$B$61:$B$106,0)),"合算")</f>
        <v>合算</v>
      </c>
      <c r="X428" s="28"/>
      <c r="Y428" s="29" t="str">
        <f aca="false">IF(OR(G428="",G428="なし"),"",IF(W428="合算",CF428,IF(W428="掛金・負担金別",(AU428+AV428+AZ428+BB428+BD428),SUM(AU428:AY428))))</f>
        <v/>
      </c>
      <c r="Z428" s="27"/>
      <c r="AA428" s="29" t="str">
        <f aca="false">IF(OR(G428="",G428="なし"),"",IF(W428="掛金・負担金別",(AW428+AX428+AY428+BA428+BC428+BE428),IF(W428="経理区分別",AZ428+BA428,"")))</f>
        <v/>
      </c>
      <c r="AB428" s="27"/>
      <c r="AC428" s="29" t="str">
        <f aca="false">IF(OR(G428="",G428="なし"),"",IF(W428="経理区分別",BB428+BC428,""))</f>
        <v/>
      </c>
      <c r="AD428" s="27"/>
      <c r="AE428" s="29" t="str">
        <f aca="false">IF(OR(G428="",G428="なし"),"",IF(W428="経理区分別",BD428+BE428,""))</f>
        <v/>
      </c>
      <c r="AF428" s="27"/>
      <c r="AG428" s="26"/>
      <c r="AH428" s="26"/>
      <c r="AI428" s="30"/>
      <c r="AJ428" s="31" t="n">
        <v>2686433</v>
      </c>
      <c r="AK428" s="31" t="n">
        <v>220193</v>
      </c>
      <c r="AL428" s="31" t="n">
        <v>3904880</v>
      </c>
      <c r="AM428" s="31" t="n">
        <v>220200</v>
      </c>
      <c r="AN428" s="31" t="n">
        <v>2756</v>
      </c>
      <c r="AO428" s="31" t="n">
        <v>1670805</v>
      </c>
      <c r="AP428" s="31" t="n">
        <v>1700280</v>
      </c>
      <c r="AQ428" s="31" t="n">
        <v>217229</v>
      </c>
      <c r="AR428" s="31" t="n">
        <v>217241</v>
      </c>
      <c r="AS428" s="31" t="n">
        <v>1</v>
      </c>
      <c r="AT428" s="31" t="n">
        <v>1</v>
      </c>
      <c r="AU428" s="31" t="n">
        <f aca="false">IF($G428="",AJ428,L428)</f>
        <v>2686433</v>
      </c>
      <c r="AV428" s="31" t="n">
        <f aca="false">IF($G428="",AK428,M428)</f>
        <v>220193</v>
      </c>
      <c r="AW428" s="31" t="n">
        <f aca="false">IF($G428="",AL428,N428)</f>
        <v>3904880</v>
      </c>
      <c r="AX428" s="31" t="n">
        <f aca="false">IF($G428="",AM428,O428)</f>
        <v>220200</v>
      </c>
      <c r="AY428" s="31" t="n">
        <f aca="false">IF($G428="",AN428,P428)</f>
        <v>2756</v>
      </c>
      <c r="AZ428" s="31" t="n">
        <f aca="false">IF($G428="",AO428,Q428)</f>
        <v>1670805</v>
      </c>
      <c r="BA428" s="31" t="n">
        <f aca="false">IF($G428="",AP428,R428)</f>
        <v>1700280</v>
      </c>
      <c r="BB428" s="31" t="n">
        <f aca="false">IF($G428="",AQ428,S428)</f>
        <v>217229</v>
      </c>
      <c r="BC428" s="31" t="n">
        <f aca="false">IF($G428="",AR428,T428)</f>
        <v>217241</v>
      </c>
      <c r="BD428" s="31" t="n">
        <f aca="false">IF($G428="",AS428,U428)</f>
        <v>1</v>
      </c>
      <c r="BE428" s="31" t="n">
        <f aca="false">IF($G428="",AT428,V428)</f>
        <v>1</v>
      </c>
      <c r="BF428" s="31" t="n">
        <f aca="false">ROUNDDOWN(I428*設定!$B$10/1000,0)+ROUNDDOWN(I428*設定!$B$11/1000,0)</f>
        <v>0</v>
      </c>
      <c r="BG428" s="31" t="n">
        <f aca="false">ROUNDDOWN(I428*設定!$C$10/1000,0)+ROUNDDOWN(I428*設定!$C$11/1000,0)+ROUNDDOWN(I428*設定!$C$12/1000,0)</f>
        <v>0</v>
      </c>
      <c r="BH428" s="31" t="n">
        <f aca="false">ROUNDDOWN(J428*設定!$B$13/1000,0)</f>
        <v>0</v>
      </c>
      <c r="BI428" s="31" t="n">
        <f aca="false">ROUNDDOWN(J428*設定!$C$13/1000,0)</f>
        <v>0</v>
      </c>
      <c r="BJ428" s="31" t="n">
        <f aca="false">ROUNDDOWN(K428*設定!$B$14/1000,0)</f>
        <v>0</v>
      </c>
      <c r="BK428" s="31" t="n">
        <f aca="false">ROUNDDOWN(K428*設定!$C$14/1000,0)</f>
        <v>0</v>
      </c>
      <c r="BL428" s="31" t="n">
        <f aca="false">ROUNDDOWN(J428*設定!$B$15/1000,0)</f>
        <v>0</v>
      </c>
      <c r="BM428" s="31" t="n">
        <f aca="false">ROUNDDOWN(J428*設定!$C$15/1000,0)</f>
        <v>0</v>
      </c>
      <c r="BN428" s="31" t="n">
        <f aca="false">L428+M428</f>
        <v>0</v>
      </c>
      <c r="BO428" s="31" t="n">
        <f aca="false">N428+O428+P428</f>
        <v>0</v>
      </c>
      <c r="BP428" s="31" t="n">
        <f aca="false">Q428</f>
        <v>0</v>
      </c>
      <c r="BQ428" s="31" t="n">
        <f aca="false">R428</f>
        <v>0</v>
      </c>
      <c r="BR428" s="31" t="n">
        <f aca="false">S428</f>
        <v>0</v>
      </c>
      <c r="BS428" s="31" t="n">
        <f aca="false">T428</f>
        <v>0</v>
      </c>
      <c r="BT428" s="31" t="n">
        <f aca="false">U428</f>
        <v>0</v>
      </c>
      <c r="BU428" s="31" t="n">
        <f aca="false">V428</f>
        <v>0</v>
      </c>
      <c r="BV428" s="32" t="n">
        <f aca="false">IF(BF428=0,IF(BN428=0,0,1),(BN428-BF428)/BF428)</f>
        <v>0</v>
      </c>
      <c r="BW428" s="32" t="n">
        <f aca="false">IF(BG428=0,IF(BO428=0,0,1),(BO428-BG428)/BG428)</f>
        <v>0</v>
      </c>
      <c r="BX428" s="32" t="n">
        <f aca="false">IF(BH428=0,IF(BP428=0,0,1),(BP428-BH428)/BH428)</f>
        <v>0</v>
      </c>
      <c r="BY428" s="32" t="n">
        <f aca="false">IF(BI428=0,IF(BQ428=0,0,1),(BQ428-BI428)/BI428)</f>
        <v>0</v>
      </c>
      <c r="BZ428" s="32" t="n">
        <f aca="false">IF(BJ428=0,IF(BR428=0,0,1),(BR428-BJ428)/BJ428)</f>
        <v>0</v>
      </c>
      <c r="CA428" s="32" t="n">
        <f aca="false">IF(BK428=0,IF(BS428=0,0,1),(BS428-BK428)/BK428)</f>
        <v>0</v>
      </c>
      <c r="CB428" s="32" t="n">
        <f aca="false">IF(BL428=0,IF(BT428=0,0,1),(BT428-BL428)/BL428)</f>
        <v>0</v>
      </c>
      <c r="CC428" s="32" t="n">
        <f aca="false">IF(BM428=0,IF(BU428=0,0,1),(BU428-BM428)/BM428)</f>
        <v>0</v>
      </c>
      <c r="CD428" s="32" t="n">
        <f aca="false">MAX(MAX(BV428:CC428),-MIN(BV428:CC428))</f>
        <v>-0</v>
      </c>
      <c r="CE428" s="31" t="str">
        <f aca="false">IF(CI428="","",SUMIFS($CF$7:$CF$696,$A$7:$A$696,CI428,$B$7:$B$696,B428))</f>
        <v/>
      </c>
      <c r="CF428" s="31" t="n">
        <f aca="false">SUM(AU428:BE428)</f>
        <v>10840019</v>
      </c>
      <c r="CG428" s="33" t="str">
        <f aca="false">A428&amp;"|"&amp;B428</f>
        <v>2026-12 賞与|監査事務局</v>
      </c>
      <c r="CH428" s="34" t="str">
        <f aca="false">IFERROR(INDEX(設定!$D$61:$D$106,MATCH(B428,設定!$B$61:$B$106,0)),"Y")</f>
        <v>Y</v>
      </c>
      <c r="CI428" s="34" t="str">
        <f aca="false">IFERROR(INDEX(設定!$D$20:$D$34,MATCH(A428,設定!$A$20:$A$34,0))&amp;"","")</f>
        <v/>
      </c>
    </row>
    <row r="429" customFormat="false" ht="15" hidden="true" customHeight="false" outlineLevel="0" collapsed="false">
      <c r="A429" s="22" t="s">
        <v>217</v>
      </c>
      <c r="B429" s="23" t="s">
        <v>168</v>
      </c>
      <c r="C429" s="10" t="str">
        <f aca="false">IF(G429="","未受領",IF(G429="なし","報告なし",IF(AH429="○","起票済",IF(OR(AG429="○",F429="一致",F429="入金不要"),"入金確認済","受領済"))))</f>
        <v>未受領</v>
      </c>
      <c r="D429" s="10" t="str">
        <f aca="false">IF(OR(G429="",G429="なし"),"―",IF(CH429="N","対象外",IF(AND(I429="",J429="",K429=""),"標報未入力",IF(CD429&gt;=設定!$B$4,"要確認","問題なし"))))</f>
        <v>―</v>
      </c>
      <c r="E429" s="24" t="str">
        <f aca="false">IF(OR(G429="",G429="なし",CE429="",CF429=0),"―",IF(CF429=CE429,"前月同額",IF(CE429=0,"―",IF(ABS(CF429/CE429-1)&gt;=設定!$B$5,"変動大 "&amp;TEXT(CF429/CE429-1,"+0%;-0%"),"〇"))))</f>
        <v>―</v>
      </c>
      <c r="F429" s="10" t="str">
        <f aca="false">IF(OR(G429="",G429="なし"),"―",IF(CF429=0,"入金不要",IF(COUNT(Z429,AB429,AD429,AF429)=0,IF(AG429="○","手動確認","未入金"),IF(AND(N(Z429)=Y429,IF(AA429="",TRUE(),N(AB429)=AA429),IF(AC429="",TRUE(),N(AD429)=AC429),IF(AE429="",TRUE(),N(AF429)=AE429)),"一致","不一致"))))</f>
        <v>―</v>
      </c>
      <c r="G429" s="25"/>
      <c r="H429" s="26"/>
      <c r="I429" s="27"/>
      <c r="J429" s="27"/>
      <c r="K429" s="27"/>
      <c r="L429" s="27"/>
      <c r="M429" s="27"/>
      <c r="N429" s="27"/>
      <c r="O429" s="27"/>
      <c r="P429" s="27"/>
      <c r="Q429" s="27"/>
      <c r="R429" s="27"/>
      <c r="S429" s="27"/>
      <c r="T429" s="27"/>
      <c r="U429" s="27"/>
      <c r="V429" s="27"/>
      <c r="W429" s="10" t="str">
        <f aca="false">IFERROR(INDEX(設定!$E$61:$E$106,MATCH(B429,設定!$B$61:$B$106,0)),"合算")</f>
        <v>合算</v>
      </c>
      <c r="X429" s="28"/>
      <c r="Y429" s="29" t="str">
        <f aca="false">IF(OR(G429="",G429="なし"),"",IF(W429="合算",CF429,IF(W429="掛金・負担金別",(AU429+AV429+AZ429+BB429+BD429),SUM(AU429:AY429))))</f>
        <v/>
      </c>
      <c r="Z429" s="27"/>
      <c r="AA429" s="29" t="str">
        <f aca="false">IF(OR(G429="",G429="なし"),"",IF(W429="掛金・負担金別",(AW429+AX429+AY429+BA429+BC429+BE429),IF(W429="経理区分別",AZ429+BA429,"")))</f>
        <v/>
      </c>
      <c r="AB429" s="27"/>
      <c r="AC429" s="29" t="str">
        <f aca="false">IF(OR(G429="",G429="なし"),"",IF(W429="経理区分別",BB429+BC429,""))</f>
        <v/>
      </c>
      <c r="AD429" s="27"/>
      <c r="AE429" s="29" t="str">
        <f aca="false">IF(OR(G429="",G429="なし"),"",IF(W429="経理区分別",BD429+BE429,""))</f>
        <v/>
      </c>
      <c r="AF429" s="27"/>
      <c r="AG429" s="26"/>
      <c r="AH429" s="26"/>
      <c r="AI429" s="30"/>
      <c r="AJ429" s="31" t="n">
        <v>763383</v>
      </c>
      <c r="AK429" s="31" t="n">
        <v>62571</v>
      </c>
      <c r="AL429" s="31" t="n">
        <v>1109618</v>
      </c>
      <c r="AM429" s="31" t="n">
        <v>62572</v>
      </c>
      <c r="AN429" s="31" t="n">
        <v>783</v>
      </c>
      <c r="AO429" s="31" t="n">
        <v>609062</v>
      </c>
      <c r="AP429" s="31" t="n">
        <v>619810</v>
      </c>
      <c r="AQ429" s="31" t="n">
        <v>66757</v>
      </c>
      <c r="AR429" s="31" t="n">
        <v>66762</v>
      </c>
      <c r="AS429" s="31" t="n">
        <v>1</v>
      </c>
      <c r="AT429" s="31" t="n">
        <v>1</v>
      </c>
      <c r="AU429" s="31" t="n">
        <f aca="false">IF($G429="",AJ429,L429)</f>
        <v>763383</v>
      </c>
      <c r="AV429" s="31" t="n">
        <f aca="false">IF($G429="",AK429,M429)</f>
        <v>62571</v>
      </c>
      <c r="AW429" s="31" t="n">
        <f aca="false">IF($G429="",AL429,N429)</f>
        <v>1109618</v>
      </c>
      <c r="AX429" s="31" t="n">
        <f aca="false">IF($G429="",AM429,O429)</f>
        <v>62572</v>
      </c>
      <c r="AY429" s="31" t="n">
        <f aca="false">IF($G429="",AN429,P429)</f>
        <v>783</v>
      </c>
      <c r="AZ429" s="31" t="n">
        <f aca="false">IF($G429="",AO429,Q429)</f>
        <v>609062</v>
      </c>
      <c r="BA429" s="31" t="n">
        <f aca="false">IF($G429="",AP429,R429)</f>
        <v>619810</v>
      </c>
      <c r="BB429" s="31" t="n">
        <f aca="false">IF($G429="",AQ429,S429)</f>
        <v>66757</v>
      </c>
      <c r="BC429" s="31" t="n">
        <f aca="false">IF($G429="",AR429,T429)</f>
        <v>66762</v>
      </c>
      <c r="BD429" s="31" t="n">
        <f aca="false">IF($G429="",AS429,U429)</f>
        <v>1</v>
      </c>
      <c r="BE429" s="31" t="n">
        <f aca="false">IF($G429="",AT429,V429)</f>
        <v>1</v>
      </c>
      <c r="BF429" s="31" t="n">
        <f aca="false">ROUNDDOWN(I429*設定!$B$10/1000,0)+ROUNDDOWN(I429*設定!$B$11/1000,0)</f>
        <v>0</v>
      </c>
      <c r="BG429" s="31" t="n">
        <f aca="false">ROUNDDOWN(I429*設定!$C$10/1000,0)+ROUNDDOWN(I429*設定!$C$11/1000,0)+ROUNDDOWN(I429*設定!$C$12/1000,0)</f>
        <v>0</v>
      </c>
      <c r="BH429" s="31" t="n">
        <f aca="false">ROUNDDOWN(J429*設定!$B$13/1000,0)</f>
        <v>0</v>
      </c>
      <c r="BI429" s="31" t="n">
        <f aca="false">ROUNDDOWN(J429*設定!$C$13/1000,0)</f>
        <v>0</v>
      </c>
      <c r="BJ429" s="31" t="n">
        <f aca="false">ROUNDDOWN(K429*設定!$B$14/1000,0)</f>
        <v>0</v>
      </c>
      <c r="BK429" s="31" t="n">
        <f aca="false">ROUNDDOWN(K429*設定!$C$14/1000,0)</f>
        <v>0</v>
      </c>
      <c r="BL429" s="31" t="n">
        <f aca="false">ROUNDDOWN(J429*設定!$B$15/1000,0)</f>
        <v>0</v>
      </c>
      <c r="BM429" s="31" t="n">
        <f aca="false">ROUNDDOWN(J429*設定!$C$15/1000,0)</f>
        <v>0</v>
      </c>
      <c r="BN429" s="31" t="n">
        <f aca="false">L429+M429</f>
        <v>0</v>
      </c>
      <c r="BO429" s="31" t="n">
        <f aca="false">N429+O429+P429</f>
        <v>0</v>
      </c>
      <c r="BP429" s="31" t="n">
        <f aca="false">Q429</f>
        <v>0</v>
      </c>
      <c r="BQ429" s="31" t="n">
        <f aca="false">R429</f>
        <v>0</v>
      </c>
      <c r="BR429" s="31" t="n">
        <f aca="false">S429</f>
        <v>0</v>
      </c>
      <c r="BS429" s="31" t="n">
        <f aca="false">T429</f>
        <v>0</v>
      </c>
      <c r="BT429" s="31" t="n">
        <f aca="false">U429</f>
        <v>0</v>
      </c>
      <c r="BU429" s="31" t="n">
        <f aca="false">V429</f>
        <v>0</v>
      </c>
      <c r="BV429" s="32" t="n">
        <f aca="false">IF(BF429=0,IF(BN429=0,0,1),(BN429-BF429)/BF429)</f>
        <v>0</v>
      </c>
      <c r="BW429" s="32" t="n">
        <f aca="false">IF(BG429=0,IF(BO429=0,0,1),(BO429-BG429)/BG429)</f>
        <v>0</v>
      </c>
      <c r="BX429" s="32" t="n">
        <f aca="false">IF(BH429=0,IF(BP429=0,0,1),(BP429-BH429)/BH429)</f>
        <v>0</v>
      </c>
      <c r="BY429" s="32" t="n">
        <f aca="false">IF(BI429=0,IF(BQ429=0,0,1),(BQ429-BI429)/BI429)</f>
        <v>0</v>
      </c>
      <c r="BZ429" s="32" t="n">
        <f aca="false">IF(BJ429=0,IF(BR429=0,0,1),(BR429-BJ429)/BJ429)</f>
        <v>0</v>
      </c>
      <c r="CA429" s="32" t="n">
        <f aca="false">IF(BK429=0,IF(BS429=0,0,1),(BS429-BK429)/BK429)</f>
        <v>0</v>
      </c>
      <c r="CB429" s="32" t="n">
        <f aca="false">IF(BL429=0,IF(BT429=0,0,1),(BT429-BL429)/BL429)</f>
        <v>0</v>
      </c>
      <c r="CC429" s="32" t="n">
        <f aca="false">IF(BM429=0,IF(BU429=0,0,1),(BU429-BM429)/BM429)</f>
        <v>0</v>
      </c>
      <c r="CD429" s="32" t="n">
        <f aca="false">MAX(MAX(BV429:CC429),-MIN(BV429:CC429))</f>
        <v>-0</v>
      </c>
      <c r="CE429" s="31" t="str">
        <f aca="false">IF(CI429="","",SUMIFS($CF$7:$CF$696,$A$7:$A$696,CI429,$B$7:$B$696,B429))</f>
        <v/>
      </c>
      <c r="CF429" s="31" t="n">
        <f aca="false">SUM(AU429:BE429)</f>
        <v>3361320</v>
      </c>
      <c r="CG429" s="33" t="str">
        <f aca="false">A429&amp;"|"&amp;B429</f>
        <v>2026-12 賞与|農業委員会</v>
      </c>
      <c r="CH429" s="34" t="str">
        <f aca="false">IFERROR(INDEX(設定!$D$61:$D$106,MATCH(B429,設定!$B$61:$B$106,0)),"Y")</f>
        <v>Y</v>
      </c>
      <c r="CI429" s="34" t="str">
        <f aca="false">IFERROR(INDEX(設定!$D$20:$D$34,MATCH(A429,設定!$A$20:$A$34,0))&amp;"","")</f>
        <v/>
      </c>
    </row>
    <row r="430" customFormat="false" ht="15" hidden="true" customHeight="false" outlineLevel="0" collapsed="false">
      <c r="A430" s="22" t="s">
        <v>217</v>
      </c>
      <c r="B430" s="23" t="s">
        <v>169</v>
      </c>
      <c r="C430" s="10" t="str">
        <f aca="false">IF(G430="","未受領",IF(G430="なし","報告なし",IF(AH430="○","起票済",IF(OR(AG430="○",F430="一致",F430="入金不要"),"入金確認済","受領済"))))</f>
        <v>未受領</v>
      </c>
      <c r="D430" s="10" t="str">
        <f aca="false">IF(OR(G430="",G430="なし"),"―",IF(CH430="N","対象外",IF(AND(I430="",J430="",K430=""),"標報未入力",IF(CD430&gt;=設定!$B$4,"要確認","問題なし"))))</f>
        <v>―</v>
      </c>
      <c r="E430" s="24" t="str">
        <f aca="false">IF(OR(G430="",G430="なし",CE430="",CF430=0),"―",IF(CF430=CE430,"前月同額",IF(CE430=0,"―",IF(ABS(CF430/CE430-1)&gt;=設定!$B$5,"変動大 "&amp;TEXT(CF430/CE430-1,"+0%;-0%"),"〇"))))</f>
        <v>―</v>
      </c>
      <c r="F430" s="10" t="str">
        <f aca="false">IF(OR(G430="",G430="なし"),"―",IF(CF430=0,"入金不要",IF(COUNT(Z430,AB430,AD430,AF430)=0,IF(AG430="○","手動確認","未入金"),IF(AND(N(Z430)=Y430,IF(AA430="",TRUE(),N(AB430)=AA430),IF(AC430="",TRUE(),N(AD430)=AC430),IF(AE430="",TRUE(),N(AF430)=AE430)),"一致","不一致"))))</f>
        <v>―</v>
      </c>
      <c r="G430" s="25"/>
      <c r="H430" s="26"/>
      <c r="I430" s="27"/>
      <c r="J430" s="27"/>
      <c r="K430" s="27"/>
      <c r="L430" s="27"/>
      <c r="M430" s="27"/>
      <c r="N430" s="27"/>
      <c r="O430" s="27"/>
      <c r="P430" s="27"/>
      <c r="Q430" s="27"/>
      <c r="R430" s="27"/>
      <c r="S430" s="27"/>
      <c r="T430" s="27"/>
      <c r="U430" s="27"/>
      <c r="V430" s="27"/>
      <c r="W430" s="10" t="str">
        <f aca="false">IFERROR(INDEX(設定!$E$61:$E$106,MATCH(B430,設定!$B$61:$B$106,0)),"合算")</f>
        <v>合算</v>
      </c>
      <c r="X430" s="28"/>
      <c r="Y430" s="29" t="str">
        <f aca="false">IF(OR(G430="",G430="なし"),"",IF(W430="合算",CF430,IF(W430="掛金・負担金別",(AU430+AV430+AZ430+BB430+BD430),SUM(AU430:AY430))))</f>
        <v/>
      </c>
      <c r="Z430" s="27"/>
      <c r="AA430" s="29" t="str">
        <f aca="false">IF(OR(G430="",G430="なし"),"",IF(W430="掛金・負担金別",(AW430+AX430+AY430+BA430+BC430+BE430),IF(W430="経理区分別",AZ430+BA430,"")))</f>
        <v/>
      </c>
      <c r="AB430" s="27"/>
      <c r="AC430" s="29" t="str">
        <f aca="false">IF(OR(G430="",G430="なし"),"",IF(W430="経理区分別",BB430+BC430,""))</f>
        <v/>
      </c>
      <c r="AD430" s="27"/>
      <c r="AE430" s="29" t="str">
        <f aca="false">IF(OR(G430="",G430="なし"),"",IF(W430="経理区分別",BD430+BE430,""))</f>
        <v/>
      </c>
      <c r="AF430" s="27"/>
      <c r="AG430" s="26"/>
      <c r="AH430" s="26"/>
      <c r="AI430" s="30"/>
      <c r="AJ430" s="31" t="n">
        <v>45078163</v>
      </c>
      <c r="AK430" s="31" t="n">
        <v>3694807</v>
      </c>
      <c r="AL430" s="31" t="n">
        <v>65628029</v>
      </c>
      <c r="AM430" s="31" t="n">
        <v>3694940</v>
      </c>
      <c r="AN430" s="31" t="n">
        <v>46490</v>
      </c>
      <c r="AO430" s="31" t="n">
        <v>28168338</v>
      </c>
      <c r="AP430" s="31" t="n">
        <v>28667777</v>
      </c>
      <c r="AQ430" s="31" t="n">
        <v>2740609</v>
      </c>
      <c r="AR430" s="31" t="n">
        <v>2740766</v>
      </c>
      <c r="AS430" s="31" t="n">
        <v>1</v>
      </c>
      <c r="AT430" s="31" t="n">
        <v>1</v>
      </c>
      <c r="AU430" s="31" t="n">
        <f aca="false">IF($G430="",AJ430,L430)</f>
        <v>45078163</v>
      </c>
      <c r="AV430" s="31" t="n">
        <f aca="false">IF($G430="",AK430,M430)</f>
        <v>3694807</v>
      </c>
      <c r="AW430" s="31" t="n">
        <f aca="false">IF($G430="",AL430,N430)</f>
        <v>65628029</v>
      </c>
      <c r="AX430" s="31" t="n">
        <f aca="false">IF($G430="",AM430,O430)</f>
        <v>3694940</v>
      </c>
      <c r="AY430" s="31" t="n">
        <f aca="false">IF($G430="",AN430,P430)</f>
        <v>46490</v>
      </c>
      <c r="AZ430" s="31" t="n">
        <f aca="false">IF($G430="",AO430,Q430)</f>
        <v>28168338</v>
      </c>
      <c r="BA430" s="31" t="n">
        <f aca="false">IF($G430="",AP430,R430)</f>
        <v>28667777</v>
      </c>
      <c r="BB430" s="31" t="n">
        <f aca="false">IF($G430="",AQ430,S430)</f>
        <v>2740609</v>
      </c>
      <c r="BC430" s="31" t="n">
        <f aca="false">IF($G430="",AR430,T430)</f>
        <v>2740766</v>
      </c>
      <c r="BD430" s="31" t="n">
        <f aca="false">IF($G430="",AS430,U430)</f>
        <v>1</v>
      </c>
      <c r="BE430" s="31" t="n">
        <f aca="false">IF($G430="",AT430,V430)</f>
        <v>1</v>
      </c>
      <c r="BF430" s="31" t="n">
        <f aca="false">ROUNDDOWN(I430*設定!$B$10/1000,0)+ROUNDDOWN(I430*設定!$B$11/1000,0)</f>
        <v>0</v>
      </c>
      <c r="BG430" s="31" t="n">
        <f aca="false">ROUNDDOWN(I430*設定!$C$10/1000,0)+ROUNDDOWN(I430*設定!$C$11/1000,0)+ROUNDDOWN(I430*設定!$C$12/1000,0)</f>
        <v>0</v>
      </c>
      <c r="BH430" s="31" t="n">
        <f aca="false">ROUNDDOWN(J430*設定!$B$13/1000,0)</f>
        <v>0</v>
      </c>
      <c r="BI430" s="31" t="n">
        <f aca="false">ROUNDDOWN(J430*設定!$C$13/1000,0)</f>
        <v>0</v>
      </c>
      <c r="BJ430" s="31" t="n">
        <f aca="false">ROUNDDOWN(K430*設定!$B$14/1000,0)</f>
        <v>0</v>
      </c>
      <c r="BK430" s="31" t="n">
        <f aca="false">ROUNDDOWN(K430*設定!$C$14/1000,0)</f>
        <v>0</v>
      </c>
      <c r="BL430" s="31" t="n">
        <f aca="false">ROUNDDOWN(J430*設定!$B$15/1000,0)</f>
        <v>0</v>
      </c>
      <c r="BM430" s="31" t="n">
        <f aca="false">ROUNDDOWN(J430*設定!$C$15/1000,0)</f>
        <v>0</v>
      </c>
      <c r="BN430" s="31" t="n">
        <f aca="false">L430+M430</f>
        <v>0</v>
      </c>
      <c r="BO430" s="31" t="n">
        <f aca="false">N430+O430+P430</f>
        <v>0</v>
      </c>
      <c r="BP430" s="31" t="n">
        <f aca="false">Q430</f>
        <v>0</v>
      </c>
      <c r="BQ430" s="31" t="n">
        <f aca="false">R430</f>
        <v>0</v>
      </c>
      <c r="BR430" s="31" t="n">
        <f aca="false">S430</f>
        <v>0</v>
      </c>
      <c r="BS430" s="31" t="n">
        <f aca="false">T430</f>
        <v>0</v>
      </c>
      <c r="BT430" s="31" t="n">
        <f aca="false">U430</f>
        <v>0</v>
      </c>
      <c r="BU430" s="31" t="n">
        <f aca="false">V430</f>
        <v>0</v>
      </c>
      <c r="BV430" s="32" t="n">
        <f aca="false">IF(BF430=0,IF(BN430=0,0,1),(BN430-BF430)/BF430)</f>
        <v>0</v>
      </c>
      <c r="BW430" s="32" t="n">
        <f aca="false">IF(BG430=0,IF(BO430=0,0,1),(BO430-BG430)/BG430)</f>
        <v>0</v>
      </c>
      <c r="BX430" s="32" t="n">
        <f aca="false">IF(BH430=0,IF(BP430=0,0,1),(BP430-BH430)/BH430)</f>
        <v>0</v>
      </c>
      <c r="BY430" s="32" t="n">
        <f aca="false">IF(BI430=0,IF(BQ430=0,0,1),(BQ430-BI430)/BI430)</f>
        <v>0</v>
      </c>
      <c r="BZ430" s="32" t="n">
        <f aca="false">IF(BJ430=0,IF(BR430=0,0,1),(BR430-BJ430)/BJ430)</f>
        <v>0</v>
      </c>
      <c r="CA430" s="32" t="n">
        <f aca="false">IF(BK430=0,IF(BS430=0,0,1),(BS430-BK430)/BK430)</f>
        <v>0</v>
      </c>
      <c r="CB430" s="32" t="n">
        <f aca="false">IF(BL430=0,IF(BT430=0,0,1),(BT430-BL430)/BL430)</f>
        <v>0</v>
      </c>
      <c r="CC430" s="32" t="n">
        <f aca="false">IF(BM430=0,IF(BU430=0,0,1),(BU430-BM430)/BM430)</f>
        <v>0</v>
      </c>
      <c r="CD430" s="32" t="n">
        <f aca="false">MAX(MAX(BV430:CC430),-MIN(BV430:CC430))</f>
        <v>-0</v>
      </c>
      <c r="CE430" s="31" t="str">
        <f aca="false">IF(CI430="","",SUMIFS($CF$7:$CF$696,$A$7:$A$696,CI430,$B$7:$B$696,B430))</f>
        <v/>
      </c>
      <c r="CF430" s="31" t="n">
        <f aca="false">SUM(AU430:BE430)</f>
        <v>180459921</v>
      </c>
      <c r="CG430" s="33" t="str">
        <f aca="false">A430&amp;"|"&amp;B430</f>
        <v>2026-12 賞与|水道局</v>
      </c>
      <c r="CH430" s="34" t="str">
        <f aca="false">IFERROR(INDEX(設定!$D$61:$D$106,MATCH(B430,設定!$B$61:$B$106,0)),"Y")</f>
        <v>N</v>
      </c>
      <c r="CI430" s="34" t="str">
        <f aca="false">IFERROR(INDEX(設定!$D$20:$D$34,MATCH(A430,設定!$A$20:$A$34,0))&amp;"","")</f>
        <v/>
      </c>
    </row>
    <row r="431" customFormat="false" ht="15" hidden="true" customHeight="false" outlineLevel="0" collapsed="false">
      <c r="A431" s="22" t="s">
        <v>217</v>
      </c>
      <c r="B431" s="23" t="s">
        <v>170</v>
      </c>
      <c r="C431" s="10" t="str">
        <f aca="false">IF(G431="","未受領",IF(G431="なし","報告なし",IF(AH431="○","起票済",IF(OR(AG431="○",F431="一致",F431="入金不要"),"入金確認済","受領済"))))</f>
        <v>未受領</v>
      </c>
      <c r="D431" s="10" t="str">
        <f aca="false">IF(OR(G431="",G431="なし"),"―",IF(CH431="N","対象外",IF(AND(I431="",J431="",K431=""),"標報未入力",IF(CD431&gt;=設定!$B$4,"要確認","問題なし"))))</f>
        <v>―</v>
      </c>
      <c r="E431" s="24" t="str">
        <f aca="false">IF(OR(G431="",G431="なし",CE431="",CF431=0),"―",IF(CF431=CE431,"前月同額",IF(CE431=0,"―",IF(ABS(CF431/CE431-1)&gt;=設定!$B$5,"変動大 "&amp;TEXT(CF431/CE431-1,"+0%;-0%"),"〇"))))</f>
        <v>―</v>
      </c>
      <c r="F431" s="10" t="str">
        <f aca="false">IF(OR(G431="",G431="なし"),"―",IF(CF431=0,"入金不要",IF(COUNT(Z431,AB431,AD431,AF431)=0,IF(AG431="○","手動確認","未入金"),IF(AND(N(Z431)=Y431,IF(AA431="",TRUE(),N(AB431)=AA431),IF(AC431="",TRUE(),N(AD431)=AC431),IF(AE431="",TRUE(),N(AF431)=AE431)),"一致","不一致"))))</f>
        <v>―</v>
      </c>
      <c r="G431" s="25"/>
      <c r="H431" s="26"/>
      <c r="I431" s="27"/>
      <c r="J431" s="27"/>
      <c r="K431" s="27"/>
      <c r="L431" s="27"/>
      <c r="M431" s="27"/>
      <c r="N431" s="27"/>
      <c r="O431" s="27"/>
      <c r="P431" s="27"/>
      <c r="Q431" s="27"/>
      <c r="R431" s="27"/>
      <c r="S431" s="27"/>
      <c r="T431" s="27"/>
      <c r="U431" s="27"/>
      <c r="V431" s="27"/>
      <c r="W431" s="10" t="str">
        <f aca="false">IFERROR(INDEX(設定!$E$61:$E$106,MATCH(B431,設定!$B$61:$B$106,0)),"合算")</f>
        <v>合算</v>
      </c>
      <c r="X431" s="28"/>
      <c r="Y431" s="29" t="str">
        <f aca="false">IF(OR(G431="",G431="なし"),"",IF(W431="合算",CF431,IF(W431="掛金・負担金別",(AU431+AV431+AZ431+BB431+BD431),SUM(AU431:AY431))))</f>
        <v/>
      </c>
      <c r="Z431" s="27"/>
      <c r="AA431" s="29" t="str">
        <f aca="false">IF(OR(G431="",G431="なし"),"",IF(W431="掛金・負担金別",(AW431+AX431+AY431+BA431+BC431+BE431),IF(W431="経理区分別",AZ431+BA431,"")))</f>
        <v/>
      </c>
      <c r="AB431" s="27"/>
      <c r="AC431" s="29" t="str">
        <f aca="false">IF(OR(G431="",G431="なし"),"",IF(W431="経理区分別",BB431+BC431,""))</f>
        <v/>
      </c>
      <c r="AD431" s="27"/>
      <c r="AE431" s="29" t="str">
        <f aca="false">IF(OR(G431="",G431="なし"),"",IF(W431="経理区分別",BD431+BE431,""))</f>
        <v/>
      </c>
      <c r="AF431" s="27"/>
      <c r="AG431" s="26"/>
      <c r="AH431" s="26"/>
      <c r="AI431" s="30"/>
      <c r="AJ431" s="31" t="n">
        <v>71461</v>
      </c>
      <c r="AK431" s="31" t="n">
        <v>5857</v>
      </c>
      <c r="AL431" s="31" t="n">
        <v>103873</v>
      </c>
      <c r="AM431" s="31" t="n">
        <v>5857</v>
      </c>
      <c r="AN431" s="31" t="n">
        <v>73</v>
      </c>
      <c r="AO431" s="31" t="n">
        <v>42962</v>
      </c>
      <c r="AP431" s="31" t="n">
        <v>43720</v>
      </c>
      <c r="AQ431" s="31" t="n">
        <v>6169</v>
      </c>
      <c r="AR431" s="31" t="n">
        <v>6169</v>
      </c>
      <c r="AS431" s="31" t="n">
        <v>1</v>
      </c>
      <c r="AT431" s="31" t="n">
        <v>1</v>
      </c>
      <c r="AU431" s="31" t="n">
        <f aca="false">IF($G431="",AJ431,L431)</f>
        <v>71461</v>
      </c>
      <c r="AV431" s="31" t="n">
        <f aca="false">IF($G431="",AK431,M431)</f>
        <v>5857</v>
      </c>
      <c r="AW431" s="31" t="n">
        <f aca="false">IF($G431="",AL431,N431)</f>
        <v>103873</v>
      </c>
      <c r="AX431" s="31" t="n">
        <f aca="false">IF($G431="",AM431,O431)</f>
        <v>5857</v>
      </c>
      <c r="AY431" s="31" t="n">
        <f aca="false">IF($G431="",AN431,P431)</f>
        <v>73</v>
      </c>
      <c r="AZ431" s="31" t="n">
        <f aca="false">IF($G431="",AO431,Q431)</f>
        <v>42962</v>
      </c>
      <c r="BA431" s="31" t="n">
        <f aca="false">IF($G431="",AP431,R431)</f>
        <v>43720</v>
      </c>
      <c r="BB431" s="31" t="n">
        <f aca="false">IF($G431="",AQ431,S431)</f>
        <v>6169</v>
      </c>
      <c r="BC431" s="31" t="n">
        <f aca="false">IF($G431="",AR431,T431)</f>
        <v>6169</v>
      </c>
      <c r="BD431" s="31" t="n">
        <f aca="false">IF($G431="",AS431,U431)</f>
        <v>1</v>
      </c>
      <c r="BE431" s="31" t="n">
        <f aca="false">IF($G431="",AT431,V431)</f>
        <v>1</v>
      </c>
      <c r="BF431" s="31" t="n">
        <f aca="false">ROUNDDOWN(I431*設定!$B$10/1000,0)+ROUNDDOWN(I431*設定!$B$11/1000,0)</f>
        <v>0</v>
      </c>
      <c r="BG431" s="31" t="n">
        <f aca="false">ROUNDDOWN(I431*設定!$C$10/1000,0)+ROUNDDOWN(I431*設定!$C$11/1000,0)+ROUNDDOWN(I431*設定!$C$12/1000,0)</f>
        <v>0</v>
      </c>
      <c r="BH431" s="31" t="n">
        <f aca="false">ROUNDDOWN(J431*設定!$B$13/1000,0)</f>
        <v>0</v>
      </c>
      <c r="BI431" s="31" t="n">
        <f aca="false">ROUNDDOWN(J431*設定!$C$13/1000,0)</f>
        <v>0</v>
      </c>
      <c r="BJ431" s="31" t="n">
        <f aca="false">ROUNDDOWN(K431*設定!$B$14/1000,0)</f>
        <v>0</v>
      </c>
      <c r="BK431" s="31" t="n">
        <f aca="false">ROUNDDOWN(K431*設定!$C$14/1000,0)</f>
        <v>0</v>
      </c>
      <c r="BL431" s="31" t="n">
        <f aca="false">ROUNDDOWN(J431*設定!$B$15/1000,0)</f>
        <v>0</v>
      </c>
      <c r="BM431" s="31" t="n">
        <f aca="false">ROUNDDOWN(J431*設定!$C$15/1000,0)</f>
        <v>0</v>
      </c>
      <c r="BN431" s="31" t="n">
        <f aca="false">L431+M431</f>
        <v>0</v>
      </c>
      <c r="BO431" s="31" t="n">
        <f aca="false">N431+O431+P431</f>
        <v>0</v>
      </c>
      <c r="BP431" s="31" t="n">
        <f aca="false">Q431</f>
        <v>0</v>
      </c>
      <c r="BQ431" s="31" t="n">
        <f aca="false">R431</f>
        <v>0</v>
      </c>
      <c r="BR431" s="31" t="n">
        <f aca="false">S431</f>
        <v>0</v>
      </c>
      <c r="BS431" s="31" t="n">
        <f aca="false">T431</f>
        <v>0</v>
      </c>
      <c r="BT431" s="31" t="n">
        <f aca="false">U431</f>
        <v>0</v>
      </c>
      <c r="BU431" s="31" t="n">
        <f aca="false">V431</f>
        <v>0</v>
      </c>
      <c r="BV431" s="32" t="n">
        <f aca="false">IF(BF431=0,IF(BN431=0,0,1),(BN431-BF431)/BF431)</f>
        <v>0</v>
      </c>
      <c r="BW431" s="32" t="n">
        <f aca="false">IF(BG431=0,IF(BO431=0,0,1),(BO431-BG431)/BG431)</f>
        <v>0</v>
      </c>
      <c r="BX431" s="32" t="n">
        <f aca="false">IF(BH431=0,IF(BP431=0,0,1),(BP431-BH431)/BH431)</f>
        <v>0</v>
      </c>
      <c r="BY431" s="32" t="n">
        <f aca="false">IF(BI431=0,IF(BQ431=0,0,1),(BQ431-BI431)/BI431)</f>
        <v>0</v>
      </c>
      <c r="BZ431" s="32" t="n">
        <f aca="false">IF(BJ431=0,IF(BR431=0,0,1),(BR431-BJ431)/BJ431)</f>
        <v>0</v>
      </c>
      <c r="CA431" s="32" t="n">
        <f aca="false">IF(BK431=0,IF(BS431=0,0,1),(BS431-BK431)/BK431)</f>
        <v>0</v>
      </c>
      <c r="CB431" s="32" t="n">
        <f aca="false">IF(BL431=0,IF(BT431=0,0,1),(BT431-BL431)/BL431)</f>
        <v>0</v>
      </c>
      <c r="CC431" s="32" t="n">
        <f aca="false">IF(BM431=0,IF(BU431=0,0,1),(BU431-BM431)/BM431)</f>
        <v>0</v>
      </c>
      <c r="CD431" s="32" t="n">
        <f aca="false">MAX(MAX(BV431:CC431),-MIN(BV431:CC431))</f>
        <v>-0</v>
      </c>
      <c r="CE431" s="31" t="str">
        <f aca="false">IF(CI431="","",SUMIFS($CF$7:$CF$696,$A$7:$A$696,CI431,$B$7:$B$696,B431))</f>
        <v/>
      </c>
      <c r="CF431" s="31" t="n">
        <f aca="false">SUM(AU431:BE431)</f>
        <v>286143</v>
      </c>
      <c r="CG431" s="33" t="str">
        <f aca="false">A431&amp;"|"&amp;B431</f>
        <v>2026-12 賞与|医療政策課(安芸市民)</v>
      </c>
      <c r="CH431" s="34" t="str">
        <f aca="false">IFERROR(INDEX(設定!$D$61:$D$106,MATCH(B431,設定!$B$61:$B$106,0)),"Y")</f>
        <v>Y</v>
      </c>
      <c r="CI431" s="34" t="str">
        <f aca="false">IFERROR(INDEX(設定!$D$20:$D$34,MATCH(A431,設定!$A$20:$A$34,0))&amp;"","")</f>
        <v/>
      </c>
    </row>
    <row r="432" customFormat="false" ht="15" hidden="true" customHeight="false" outlineLevel="0" collapsed="false">
      <c r="A432" s="22" t="s">
        <v>217</v>
      </c>
      <c r="B432" s="23" t="s">
        <v>171</v>
      </c>
      <c r="C432" s="10" t="str">
        <f aca="false">IF(G432="","未受領",IF(G432="なし","報告なし",IF(AH432="○","起票済",IF(OR(AG432="○",F432="一致",F432="入金不要"),"入金確認済","受領済"))))</f>
        <v>未受領</v>
      </c>
      <c r="D432" s="10" t="str">
        <f aca="false">IF(OR(G432="",G432="なし"),"―",IF(CH432="N","対象外",IF(AND(I432="",J432="",K432=""),"標報未入力",IF(CD432&gt;=設定!$B$4,"要確認","問題なし"))))</f>
        <v>―</v>
      </c>
      <c r="E432" s="24" t="str">
        <f aca="false">IF(OR(G432="",G432="なし",CE432="",CF432=0),"―",IF(CF432=CE432,"前月同額",IF(CE432=0,"―",IF(ABS(CF432/CE432-1)&gt;=設定!$B$5,"変動大 "&amp;TEXT(CF432/CE432-1,"+0%;-0%"),"〇"))))</f>
        <v>―</v>
      </c>
      <c r="F432" s="10" t="str">
        <f aca="false">IF(OR(G432="",G432="なし"),"―",IF(CF432=0,"入金不要",IF(COUNT(Z432,AB432,AD432,AF432)=0,IF(AG432="○","手動確認","未入金"),IF(AND(N(Z432)=Y432,IF(AA432="",TRUE(),N(AB432)=AA432),IF(AC432="",TRUE(),N(AD432)=AC432),IF(AE432="",TRUE(),N(AF432)=AE432)),"一致","不一致"))))</f>
        <v>―</v>
      </c>
      <c r="G432" s="25"/>
      <c r="H432" s="26"/>
      <c r="I432" s="27"/>
      <c r="J432" s="27"/>
      <c r="K432" s="27"/>
      <c r="L432" s="27"/>
      <c r="M432" s="27"/>
      <c r="N432" s="27"/>
      <c r="O432" s="27"/>
      <c r="P432" s="27"/>
      <c r="Q432" s="27"/>
      <c r="R432" s="27"/>
      <c r="S432" s="27"/>
      <c r="T432" s="27"/>
      <c r="U432" s="27"/>
      <c r="V432" s="27"/>
      <c r="W432" s="10" t="str">
        <f aca="false">IFERROR(INDEX(設定!$E$61:$E$106,MATCH(B432,設定!$B$61:$B$106,0)),"合算")</f>
        <v>合算</v>
      </c>
      <c r="X432" s="28"/>
      <c r="Y432" s="29" t="str">
        <f aca="false">IF(OR(G432="",G432="なし"),"",IF(W432="合算",CF432,IF(W432="掛金・負担金別",(AU432+AV432+AZ432+BB432+BD432),SUM(AU432:AY432))))</f>
        <v/>
      </c>
      <c r="Z432" s="27"/>
      <c r="AA432" s="29" t="str">
        <f aca="false">IF(OR(G432="",G432="なし"),"",IF(W432="掛金・負担金別",(AW432+AX432+AY432+BA432+BC432+BE432),IF(W432="経理区分別",AZ432+BA432,"")))</f>
        <v/>
      </c>
      <c r="AB432" s="27"/>
      <c r="AC432" s="29" t="str">
        <f aca="false">IF(OR(G432="",G432="なし"),"",IF(W432="経理区分別",BB432+BC432,""))</f>
        <v/>
      </c>
      <c r="AD432" s="27"/>
      <c r="AE432" s="29" t="str">
        <f aca="false">IF(OR(G432="",G432="なし"),"",IF(W432="経理区分別",BD432+BE432,""))</f>
        <v/>
      </c>
      <c r="AF432" s="27"/>
      <c r="AG432" s="26"/>
      <c r="AH432" s="26"/>
      <c r="AI432" s="30"/>
      <c r="AJ432" s="31" t="n">
        <v>0</v>
      </c>
      <c r="AK432" s="31" t="n">
        <v>0</v>
      </c>
      <c r="AL432" s="31"/>
      <c r="AM432" s="31"/>
      <c r="AN432" s="31" t="n">
        <v>0</v>
      </c>
      <c r="AO432" s="31" t="n">
        <v>397155</v>
      </c>
      <c r="AP432" s="31" t="n">
        <v>404459</v>
      </c>
      <c r="AQ432" s="31" t="n">
        <v>10385</v>
      </c>
      <c r="AR432" s="31" t="n">
        <v>10388</v>
      </c>
      <c r="AS432" s="31" t="n">
        <v>1</v>
      </c>
      <c r="AT432" s="31" t="n">
        <v>1</v>
      </c>
      <c r="AU432" s="31" t="n">
        <f aca="false">IF($G432="",AJ432,L432)</f>
        <v>0</v>
      </c>
      <c r="AV432" s="31" t="n">
        <f aca="false">IF($G432="",AK432,M432)</f>
        <v>0</v>
      </c>
      <c r="AW432" s="31" t="n">
        <f aca="false">IF($G432="",AL432,N432)</f>
        <v>0</v>
      </c>
      <c r="AX432" s="31" t="n">
        <f aca="false">IF($G432="",AM432,O432)</f>
        <v>0</v>
      </c>
      <c r="AY432" s="31" t="n">
        <f aca="false">IF($G432="",AN432,P432)</f>
        <v>0</v>
      </c>
      <c r="AZ432" s="31" t="n">
        <f aca="false">IF($G432="",AO432,Q432)</f>
        <v>397155</v>
      </c>
      <c r="BA432" s="31" t="n">
        <f aca="false">IF($G432="",AP432,R432)</f>
        <v>404459</v>
      </c>
      <c r="BB432" s="31" t="n">
        <f aca="false">IF($G432="",AQ432,S432)</f>
        <v>10385</v>
      </c>
      <c r="BC432" s="31" t="n">
        <f aca="false">IF($G432="",AR432,T432)</f>
        <v>10388</v>
      </c>
      <c r="BD432" s="31" t="n">
        <f aca="false">IF($G432="",AS432,U432)</f>
        <v>1</v>
      </c>
      <c r="BE432" s="31" t="n">
        <f aca="false">IF($G432="",AT432,V432)</f>
        <v>1</v>
      </c>
      <c r="BF432" s="31" t="n">
        <f aca="false">ROUNDDOWN(I432*設定!$B$10/1000,0)+ROUNDDOWN(I432*設定!$B$11/1000,0)</f>
        <v>0</v>
      </c>
      <c r="BG432" s="31" t="n">
        <f aca="false">ROUNDDOWN(I432*設定!$C$10/1000,0)+ROUNDDOWN(I432*設定!$C$11/1000,0)+ROUNDDOWN(I432*設定!$C$12/1000,0)</f>
        <v>0</v>
      </c>
      <c r="BH432" s="31" t="n">
        <f aca="false">ROUNDDOWN(J432*設定!$B$13/1000,0)</f>
        <v>0</v>
      </c>
      <c r="BI432" s="31" t="n">
        <f aca="false">ROUNDDOWN(J432*設定!$C$13/1000,0)</f>
        <v>0</v>
      </c>
      <c r="BJ432" s="31" t="n">
        <f aca="false">ROUNDDOWN(K432*設定!$B$14/1000,0)</f>
        <v>0</v>
      </c>
      <c r="BK432" s="31" t="n">
        <f aca="false">ROUNDDOWN(K432*設定!$C$14/1000,0)</f>
        <v>0</v>
      </c>
      <c r="BL432" s="31" t="n">
        <f aca="false">ROUNDDOWN(J432*設定!$B$15/1000,0)</f>
        <v>0</v>
      </c>
      <c r="BM432" s="31" t="n">
        <f aca="false">ROUNDDOWN(J432*設定!$C$15/1000,0)</f>
        <v>0</v>
      </c>
      <c r="BN432" s="31" t="n">
        <f aca="false">L432+M432</f>
        <v>0</v>
      </c>
      <c r="BO432" s="31" t="n">
        <f aca="false">N432+O432+P432</f>
        <v>0</v>
      </c>
      <c r="BP432" s="31" t="n">
        <f aca="false">Q432</f>
        <v>0</v>
      </c>
      <c r="BQ432" s="31" t="n">
        <f aca="false">R432</f>
        <v>0</v>
      </c>
      <c r="BR432" s="31" t="n">
        <f aca="false">S432</f>
        <v>0</v>
      </c>
      <c r="BS432" s="31" t="n">
        <f aca="false">T432</f>
        <v>0</v>
      </c>
      <c r="BT432" s="31" t="n">
        <f aca="false">U432</f>
        <v>0</v>
      </c>
      <c r="BU432" s="31" t="n">
        <f aca="false">V432</f>
        <v>0</v>
      </c>
      <c r="BV432" s="32" t="n">
        <f aca="false">IF(BF432=0,IF(BN432=0,0,1),(BN432-BF432)/BF432)</f>
        <v>0</v>
      </c>
      <c r="BW432" s="32" t="n">
        <f aca="false">IF(BG432=0,IF(BO432=0,0,1),(BO432-BG432)/BG432)</f>
        <v>0</v>
      </c>
      <c r="BX432" s="32" t="n">
        <f aca="false">IF(BH432=0,IF(BP432=0,0,1),(BP432-BH432)/BH432)</f>
        <v>0</v>
      </c>
      <c r="BY432" s="32" t="n">
        <f aca="false">IF(BI432=0,IF(BQ432=0,0,1),(BQ432-BI432)/BI432)</f>
        <v>0</v>
      </c>
      <c r="BZ432" s="32" t="n">
        <f aca="false">IF(BJ432=0,IF(BR432=0,0,1),(BR432-BJ432)/BJ432)</f>
        <v>0</v>
      </c>
      <c r="CA432" s="32" t="n">
        <f aca="false">IF(BK432=0,IF(BS432=0,0,1),(BS432-BK432)/BK432)</f>
        <v>0</v>
      </c>
      <c r="CB432" s="32" t="n">
        <f aca="false">IF(BL432=0,IF(BT432=0,0,1),(BT432-BL432)/BL432)</f>
        <v>0</v>
      </c>
      <c r="CC432" s="32" t="n">
        <f aca="false">IF(BM432=0,IF(BU432=0,0,1),(BU432-BM432)/BM432)</f>
        <v>0</v>
      </c>
      <c r="CD432" s="32" t="n">
        <f aca="false">MAX(MAX(BV432:CC432),-MIN(BV432:CC432))</f>
        <v>-0</v>
      </c>
      <c r="CE432" s="31" t="str">
        <f aca="false">IF(CI432="","",SUMIFS($CF$7:$CF$696,$A$7:$A$696,CI432,$B$7:$B$696,B432))</f>
        <v/>
      </c>
      <c r="CF432" s="31" t="n">
        <f aca="false">SUM(AU432:BE432)</f>
        <v>822389</v>
      </c>
      <c r="CG432" s="33" t="str">
        <f aca="false">A432&amp;"|"&amp;B432</f>
        <v>2026-12 賞与|教育委員会（教育給与課）</v>
      </c>
      <c r="CH432" s="34" t="str">
        <f aca="false">IFERROR(INDEX(設定!$D$61:$D$106,MATCH(B432,設定!$B$61:$B$106,0)),"Y")</f>
        <v>Y</v>
      </c>
      <c r="CI432" s="34" t="str">
        <f aca="false">IFERROR(INDEX(設定!$D$20:$D$34,MATCH(A432,設定!$A$20:$A$34,0))&amp;"","")</f>
        <v/>
      </c>
    </row>
    <row r="433" customFormat="false" ht="15" hidden="true" customHeight="false" outlineLevel="0" collapsed="false">
      <c r="A433" s="22" t="s">
        <v>217</v>
      </c>
      <c r="B433" s="23" t="s">
        <v>172</v>
      </c>
      <c r="C433" s="10" t="str">
        <f aca="false">IF(G433="","未受領",IF(G433="なし","報告なし",IF(AH433="○","起票済",IF(OR(AG433="○",F433="一致",F433="入金不要"),"入金確認済","受領済"))))</f>
        <v>報告なし</v>
      </c>
      <c r="D433" s="10" t="str">
        <f aca="false">IF(OR(G433="",G433="なし"),"―",IF(CH433="N","対象外",IF(AND(I433="",J433="",K433=""),"標報未入力",IF(CD433&gt;=設定!$B$4,"要確認","問題なし"))))</f>
        <v>―</v>
      </c>
      <c r="E433" s="24" t="str">
        <f aca="false">IF(OR(G433="",G433="なし",CE433="",CF433=0),"―",IF(CF433=CE433,"前月同額",IF(CE433=0,"―",IF(ABS(CF433/CE433-1)&gt;=設定!$B$5,"変動大 "&amp;TEXT(CF433/CE433-1,"+0%;-0%"),"〇"))))</f>
        <v>―</v>
      </c>
      <c r="F433" s="10" t="str">
        <f aca="false">IF(OR(G433="",G433="なし"),"―",IF(CF433=0,"入金不要",IF(COUNT(Z433,AB433,AD433,AF433)=0,IF(AG433="○","手動確認","未入金"),IF(AND(N(Z433)=Y433,IF(AA433="",TRUE(),N(AB433)=AA433),IF(AC433="",TRUE(),N(AD433)=AC433),IF(AE433="",TRUE(),N(AF433)=AE433)),"一致","不一致"))))</f>
        <v>―</v>
      </c>
      <c r="G433" s="25" t="s">
        <v>173</v>
      </c>
      <c r="H433" s="26"/>
      <c r="I433" s="27"/>
      <c r="J433" s="27"/>
      <c r="K433" s="27"/>
      <c r="L433" s="27"/>
      <c r="M433" s="27"/>
      <c r="N433" s="27"/>
      <c r="O433" s="27"/>
      <c r="P433" s="27"/>
      <c r="Q433" s="27"/>
      <c r="R433" s="27"/>
      <c r="S433" s="27"/>
      <c r="T433" s="27"/>
      <c r="U433" s="27"/>
      <c r="V433" s="27"/>
      <c r="W433" s="10" t="str">
        <f aca="false">IFERROR(INDEX(設定!$E$61:$E$106,MATCH(B433,設定!$B$61:$B$106,0)),"合算")</f>
        <v>合算</v>
      </c>
      <c r="X433" s="28"/>
      <c r="Y433" s="29" t="str">
        <f aca="false">IF(OR(G433="",G433="なし"),"",IF(W433="合算",CF433,IF(W433="掛金・負担金別",(AU433+AV433+AZ433+BB433+BD433),SUM(AU433:AY433))))</f>
        <v/>
      </c>
      <c r="Z433" s="27"/>
      <c r="AA433" s="29" t="str">
        <f aca="false">IF(OR(G433="",G433="なし"),"",IF(W433="掛金・負担金別",(AW433+AX433+AY433+BA433+BC433+BE433),IF(W433="経理区分別",AZ433+BA433,"")))</f>
        <v/>
      </c>
      <c r="AB433" s="27"/>
      <c r="AC433" s="29" t="str">
        <f aca="false">IF(OR(G433="",G433="なし"),"",IF(W433="経理区分別",BB433+BC433,""))</f>
        <v/>
      </c>
      <c r="AD433" s="27"/>
      <c r="AE433" s="29" t="str">
        <f aca="false">IF(OR(G433="",G433="なし"),"",IF(W433="経理区分別",BD433+BE433,""))</f>
        <v/>
      </c>
      <c r="AF433" s="27"/>
      <c r="AG433" s="26"/>
      <c r="AH433" s="26"/>
      <c r="AI433" s="30"/>
      <c r="AJ433" s="31"/>
      <c r="AK433" s="31"/>
      <c r="AL433" s="31"/>
      <c r="AM433" s="31"/>
      <c r="AN433" s="31"/>
      <c r="AO433" s="31"/>
      <c r="AP433" s="31"/>
      <c r="AQ433" s="31"/>
      <c r="AR433" s="31"/>
      <c r="AS433" s="31"/>
      <c r="AT433" s="31"/>
      <c r="AU433" s="31" t="n">
        <f aca="false">IF($G433="",AJ433,L433)</f>
        <v>0</v>
      </c>
      <c r="AV433" s="31" t="n">
        <f aca="false">IF($G433="",AK433,M433)</f>
        <v>0</v>
      </c>
      <c r="AW433" s="31" t="n">
        <f aca="false">IF($G433="",AL433,N433)</f>
        <v>0</v>
      </c>
      <c r="AX433" s="31" t="n">
        <f aca="false">IF($G433="",AM433,O433)</f>
        <v>0</v>
      </c>
      <c r="AY433" s="31" t="n">
        <f aca="false">IF($G433="",AN433,P433)</f>
        <v>0</v>
      </c>
      <c r="AZ433" s="31" t="n">
        <f aca="false">IF($G433="",AO433,Q433)</f>
        <v>0</v>
      </c>
      <c r="BA433" s="31" t="n">
        <f aca="false">IF($G433="",AP433,R433)</f>
        <v>0</v>
      </c>
      <c r="BB433" s="31" t="n">
        <f aca="false">IF($G433="",AQ433,S433)</f>
        <v>0</v>
      </c>
      <c r="BC433" s="31" t="n">
        <f aca="false">IF($G433="",AR433,T433)</f>
        <v>0</v>
      </c>
      <c r="BD433" s="31" t="n">
        <f aca="false">IF($G433="",AS433,U433)</f>
        <v>0</v>
      </c>
      <c r="BE433" s="31" t="n">
        <f aca="false">IF($G433="",AT433,V433)</f>
        <v>0</v>
      </c>
      <c r="BF433" s="31" t="n">
        <f aca="false">ROUNDDOWN(I433*設定!$B$10/1000,0)+ROUNDDOWN(I433*設定!$B$11/1000,0)</f>
        <v>0</v>
      </c>
      <c r="BG433" s="31" t="n">
        <f aca="false">ROUNDDOWN(I433*設定!$C$10/1000,0)+ROUNDDOWN(I433*設定!$C$11/1000,0)+ROUNDDOWN(I433*設定!$C$12/1000,0)</f>
        <v>0</v>
      </c>
      <c r="BH433" s="31" t="n">
        <f aca="false">ROUNDDOWN(J433*設定!$B$13/1000,0)</f>
        <v>0</v>
      </c>
      <c r="BI433" s="31" t="n">
        <f aca="false">ROUNDDOWN(J433*設定!$C$13/1000,0)</f>
        <v>0</v>
      </c>
      <c r="BJ433" s="31" t="n">
        <f aca="false">ROUNDDOWN(K433*設定!$B$14/1000,0)</f>
        <v>0</v>
      </c>
      <c r="BK433" s="31" t="n">
        <f aca="false">ROUNDDOWN(K433*設定!$C$14/1000,0)</f>
        <v>0</v>
      </c>
      <c r="BL433" s="31" t="n">
        <f aca="false">ROUNDDOWN(J433*設定!$B$15/1000,0)</f>
        <v>0</v>
      </c>
      <c r="BM433" s="31" t="n">
        <f aca="false">ROUNDDOWN(J433*設定!$C$15/1000,0)</f>
        <v>0</v>
      </c>
      <c r="BN433" s="31" t="n">
        <f aca="false">L433+M433</f>
        <v>0</v>
      </c>
      <c r="BO433" s="31" t="n">
        <f aca="false">N433+O433+P433</f>
        <v>0</v>
      </c>
      <c r="BP433" s="31" t="n">
        <f aca="false">Q433</f>
        <v>0</v>
      </c>
      <c r="BQ433" s="31" t="n">
        <f aca="false">R433</f>
        <v>0</v>
      </c>
      <c r="BR433" s="31" t="n">
        <f aca="false">S433</f>
        <v>0</v>
      </c>
      <c r="BS433" s="31" t="n">
        <f aca="false">T433</f>
        <v>0</v>
      </c>
      <c r="BT433" s="31" t="n">
        <f aca="false">U433</f>
        <v>0</v>
      </c>
      <c r="BU433" s="31" t="n">
        <f aca="false">V433</f>
        <v>0</v>
      </c>
      <c r="BV433" s="32" t="n">
        <f aca="false">IF(BF433=0,IF(BN433=0,0,1),(BN433-BF433)/BF433)</f>
        <v>0</v>
      </c>
      <c r="BW433" s="32" t="n">
        <f aca="false">IF(BG433=0,IF(BO433=0,0,1),(BO433-BG433)/BG433)</f>
        <v>0</v>
      </c>
      <c r="BX433" s="32" t="n">
        <f aca="false">IF(BH433=0,IF(BP433=0,0,1),(BP433-BH433)/BH433)</f>
        <v>0</v>
      </c>
      <c r="BY433" s="32" t="n">
        <f aca="false">IF(BI433=0,IF(BQ433=0,0,1),(BQ433-BI433)/BI433)</f>
        <v>0</v>
      </c>
      <c r="BZ433" s="32" t="n">
        <f aca="false">IF(BJ433=0,IF(BR433=0,0,1),(BR433-BJ433)/BJ433)</f>
        <v>0</v>
      </c>
      <c r="CA433" s="32" t="n">
        <f aca="false">IF(BK433=0,IF(BS433=0,0,1),(BS433-BK433)/BK433)</f>
        <v>0</v>
      </c>
      <c r="CB433" s="32" t="n">
        <f aca="false">IF(BL433=0,IF(BT433=0,0,1),(BT433-BL433)/BL433)</f>
        <v>0</v>
      </c>
      <c r="CC433" s="32" t="n">
        <f aca="false">IF(BM433=0,IF(BU433=0,0,1),(BU433-BM433)/BM433)</f>
        <v>0</v>
      </c>
      <c r="CD433" s="32" t="n">
        <f aca="false">MAX(MAX(BV433:CC433),-MIN(BV433:CC433))</f>
        <v>-0</v>
      </c>
      <c r="CE433" s="31" t="str">
        <f aca="false">IF(CI433="","",SUMIFS($CF$7:$CF$696,$A$7:$A$696,CI433,$B$7:$B$696,B433))</f>
        <v/>
      </c>
      <c r="CF433" s="31" t="n">
        <f aca="false">SUM(AU433:BE433)</f>
        <v>0</v>
      </c>
      <c r="CG433" s="33" t="str">
        <f aca="false">A433&amp;"|"&amp;B433</f>
        <v>2026-12 賞与|地方税共同機構</v>
      </c>
      <c r="CH433" s="34" t="str">
        <f aca="false">IFERROR(INDEX(設定!$D$61:$D$106,MATCH(B433,設定!$B$61:$B$106,0)),"Y")</f>
        <v>Y</v>
      </c>
      <c r="CI433" s="34" t="str">
        <f aca="false">IFERROR(INDEX(設定!$D$20:$D$34,MATCH(A433,設定!$A$20:$A$34,0))&amp;"","")</f>
        <v/>
      </c>
    </row>
    <row r="434" customFormat="false" ht="15" hidden="true" customHeight="false" outlineLevel="0" collapsed="false">
      <c r="A434" s="22" t="s">
        <v>217</v>
      </c>
      <c r="B434" s="23" t="s">
        <v>174</v>
      </c>
      <c r="C434" s="10" t="str">
        <f aca="false">IF(G434="","未受領",IF(G434="なし","報告なし",IF(AH434="○","起票済",IF(OR(AG434="○",F434="一致",F434="入金不要"),"入金確認済","受領済"))))</f>
        <v>未受領</v>
      </c>
      <c r="D434" s="10" t="str">
        <f aca="false">IF(OR(G434="",G434="なし"),"―",IF(CH434="N","対象外",IF(AND(I434="",J434="",K434=""),"標報未入力",IF(CD434&gt;=設定!$B$4,"要確認","問題なし"))))</f>
        <v>―</v>
      </c>
      <c r="E434" s="24" t="str">
        <f aca="false">IF(OR(G434="",G434="なし",CE434="",CF434=0),"―",IF(CF434=CE434,"前月同額",IF(CE434=0,"―",IF(ABS(CF434/CE434-1)&gt;=設定!$B$5,"変動大 "&amp;TEXT(CF434/CE434-1,"+0%;-0%"),"〇"))))</f>
        <v>―</v>
      </c>
      <c r="F434" s="10" t="str">
        <f aca="false">IF(OR(G434="",G434="なし"),"―",IF(CF434=0,"入金不要",IF(COUNT(Z434,AB434,AD434,AF434)=0,IF(AG434="○","手動確認","未入金"),IF(AND(N(Z434)=Y434,IF(AA434="",TRUE(),N(AB434)=AA434),IF(AC434="",TRUE(),N(AD434)=AC434),IF(AE434="",TRUE(),N(AF434)=AE434)),"一致","不一致"))))</f>
        <v>―</v>
      </c>
      <c r="G434" s="25"/>
      <c r="H434" s="26"/>
      <c r="I434" s="27"/>
      <c r="J434" s="27"/>
      <c r="K434" s="27"/>
      <c r="L434" s="27"/>
      <c r="M434" s="27"/>
      <c r="N434" s="27"/>
      <c r="O434" s="27"/>
      <c r="P434" s="27"/>
      <c r="Q434" s="27"/>
      <c r="R434" s="27"/>
      <c r="S434" s="27"/>
      <c r="T434" s="27"/>
      <c r="U434" s="27"/>
      <c r="V434" s="27"/>
      <c r="W434" s="10" t="str">
        <f aca="false">IFERROR(INDEX(設定!$E$61:$E$106,MATCH(B434,設定!$B$61:$B$106,0)),"合算")</f>
        <v>合算</v>
      </c>
      <c r="X434" s="28"/>
      <c r="Y434" s="29" t="str">
        <f aca="false">IF(OR(G434="",G434="なし"),"",IF(W434="合算",CF434,IF(W434="掛金・負担金別",(AU434+AV434+AZ434+BB434+BD434),SUM(AU434:AY434))))</f>
        <v/>
      </c>
      <c r="Z434" s="27"/>
      <c r="AA434" s="29" t="str">
        <f aca="false">IF(OR(G434="",G434="なし"),"",IF(W434="掛金・負担金別",(AW434+AX434+AY434+BA434+BC434+BE434),IF(W434="経理区分別",AZ434+BA434,"")))</f>
        <v/>
      </c>
      <c r="AB434" s="27"/>
      <c r="AC434" s="29" t="str">
        <f aca="false">IF(OR(G434="",G434="なし"),"",IF(W434="経理区分別",BB434+BC434,""))</f>
        <v/>
      </c>
      <c r="AD434" s="27"/>
      <c r="AE434" s="29" t="str">
        <f aca="false">IF(OR(G434="",G434="なし"),"",IF(W434="経理区分別",BD434+BE434,""))</f>
        <v/>
      </c>
      <c r="AF434" s="27"/>
      <c r="AG434" s="26"/>
      <c r="AH434" s="26"/>
      <c r="AI434" s="30"/>
      <c r="AJ434" s="31" t="n">
        <v>0</v>
      </c>
      <c r="AK434" s="31" t="n">
        <v>0</v>
      </c>
      <c r="AL434" s="31" t="n">
        <v>1159671</v>
      </c>
      <c r="AM434" s="31" t="n">
        <v>95056</v>
      </c>
      <c r="AN434" s="31" t="n">
        <v>1306</v>
      </c>
      <c r="AO434" s="31" t="n">
        <v>0</v>
      </c>
      <c r="AP434" s="31" t="n">
        <v>698465</v>
      </c>
      <c r="AQ434" s="31" t="n">
        <v>0</v>
      </c>
      <c r="AR434" s="31" t="n">
        <v>95329</v>
      </c>
      <c r="AS434" s="31" t="n">
        <v>0</v>
      </c>
      <c r="AT434" s="31" t="n">
        <v>1</v>
      </c>
      <c r="AU434" s="31" t="n">
        <f aca="false">IF($G434="",AJ434,L434)</f>
        <v>0</v>
      </c>
      <c r="AV434" s="31" t="n">
        <f aca="false">IF($G434="",AK434,M434)</f>
        <v>0</v>
      </c>
      <c r="AW434" s="31" t="n">
        <f aca="false">IF($G434="",AL434,N434)</f>
        <v>1159671</v>
      </c>
      <c r="AX434" s="31" t="n">
        <f aca="false">IF($G434="",AM434,O434)</f>
        <v>95056</v>
      </c>
      <c r="AY434" s="31" t="n">
        <f aca="false">IF($G434="",AN434,P434)</f>
        <v>1306</v>
      </c>
      <c r="AZ434" s="31" t="n">
        <f aca="false">IF($G434="",AO434,Q434)</f>
        <v>0</v>
      </c>
      <c r="BA434" s="31" t="n">
        <f aca="false">IF($G434="",AP434,R434)</f>
        <v>698465</v>
      </c>
      <c r="BB434" s="31" t="n">
        <f aca="false">IF($G434="",AQ434,S434)</f>
        <v>0</v>
      </c>
      <c r="BC434" s="31" t="n">
        <f aca="false">IF($G434="",AR434,T434)</f>
        <v>95329</v>
      </c>
      <c r="BD434" s="31" t="n">
        <f aca="false">IF($G434="",AS434,U434)</f>
        <v>0</v>
      </c>
      <c r="BE434" s="31" t="n">
        <f aca="false">IF($G434="",AT434,V434)</f>
        <v>1</v>
      </c>
      <c r="BF434" s="31" t="n">
        <f aca="false">ROUNDDOWN(I434*設定!$B$10/1000,0)+ROUNDDOWN(I434*設定!$B$11/1000,0)</f>
        <v>0</v>
      </c>
      <c r="BG434" s="31" t="n">
        <f aca="false">ROUNDDOWN(I434*設定!$C$10/1000,0)+ROUNDDOWN(I434*設定!$C$11/1000,0)+ROUNDDOWN(I434*設定!$C$12/1000,0)</f>
        <v>0</v>
      </c>
      <c r="BH434" s="31" t="n">
        <f aca="false">ROUNDDOWN(J434*設定!$B$13/1000,0)</f>
        <v>0</v>
      </c>
      <c r="BI434" s="31" t="n">
        <f aca="false">ROUNDDOWN(J434*設定!$C$13/1000,0)</f>
        <v>0</v>
      </c>
      <c r="BJ434" s="31" t="n">
        <f aca="false">ROUNDDOWN(K434*設定!$B$14/1000,0)</f>
        <v>0</v>
      </c>
      <c r="BK434" s="31" t="n">
        <f aca="false">ROUNDDOWN(K434*設定!$C$14/1000,0)</f>
        <v>0</v>
      </c>
      <c r="BL434" s="31" t="n">
        <f aca="false">ROUNDDOWN(J434*設定!$B$15/1000,0)</f>
        <v>0</v>
      </c>
      <c r="BM434" s="31" t="n">
        <f aca="false">ROUNDDOWN(J434*設定!$C$15/1000,0)</f>
        <v>0</v>
      </c>
      <c r="BN434" s="31" t="n">
        <f aca="false">L434+M434</f>
        <v>0</v>
      </c>
      <c r="BO434" s="31" t="n">
        <f aca="false">N434+O434+P434</f>
        <v>0</v>
      </c>
      <c r="BP434" s="31" t="n">
        <f aca="false">Q434</f>
        <v>0</v>
      </c>
      <c r="BQ434" s="31" t="n">
        <f aca="false">R434</f>
        <v>0</v>
      </c>
      <c r="BR434" s="31" t="n">
        <f aca="false">S434</f>
        <v>0</v>
      </c>
      <c r="BS434" s="31" t="n">
        <f aca="false">T434</f>
        <v>0</v>
      </c>
      <c r="BT434" s="31" t="n">
        <f aca="false">U434</f>
        <v>0</v>
      </c>
      <c r="BU434" s="31" t="n">
        <f aca="false">V434</f>
        <v>0</v>
      </c>
      <c r="BV434" s="32" t="n">
        <f aca="false">IF(BF434=0,IF(BN434=0,0,1),(BN434-BF434)/BF434)</f>
        <v>0</v>
      </c>
      <c r="BW434" s="32" t="n">
        <f aca="false">IF(BG434=0,IF(BO434=0,0,1),(BO434-BG434)/BG434)</f>
        <v>0</v>
      </c>
      <c r="BX434" s="32" t="n">
        <f aca="false">IF(BH434=0,IF(BP434=0,0,1),(BP434-BH434)/BH434)</f>
        <v>0</v>
      </c>
      <c r="BY434" s="32" t="n">
        <f aca="false">IF(BI434=0,IF(BQ434=0,0,1),(BQ434-BI434)/BI434)</f>
        <v>0</v>
      </c>
      <c r="BZ434" s="32" t="n">
        <f aca="false">IF(BJ434=0,IF(BR434=0,0,1),(BR434-BJ434)/BJ434)</f>
        <v>0</v>
      </c>
      <c r="CA434" s="32" t="n">
        <f aca="false">IF(BK434=0,IF(BS434=0,0,1),(BS434-BK434)/BK434)</f>
        <v>0</v>
      </c>
      <c r="CB434" s="32" t="n">
        <f aca="false">IF(BL434=0,IF(BT434=0,0,1),(BT434-BL434)/BL434)</f>
        <v>0</v>
      </c>
      <c r="CC434" s="32" t="n">
        <f aca="false">IF(BM434=0,IF(BU434=0,0,1),(BU434-BM434)/BM434)</f>
        <v>0</v>
      </c>
      <c r="CD434" s="32" t="n">
        <f aca="false">MAX(MAX(BV434:CC434),-MIN(BV434:CC434))</f>
        <v>-0</v>
      </c>
      <c r="CE434" s="31" t="str">
        <f aca="false">IF(CI434="","",SUMIFS($CF$7:$CF$696,$A$7:$A$696,CI434,$B$7:$B$696,B434))</f>
        <v/>
      </c>
      <c r="CF434" s="31" t="n">
        <f aca="false">SUM(AU434:BE434)</f>
        <v>2049828</v>
      </c>
      <c r="CG434" s="33" t="str">
        <f aca="false">A434&amp;"|"&amp;B434</f>
        <v>2026-12 賞与|平和文化センター</v>
      </c>
      <c r="CH434" s="34" t="str">
        <f aca="false">IFERROR(INDEX(設定!$D$61:$D$106,MATCH(B434,設定!$B$61:$B$106,0)),"Y")</f>
        <v>Y</v>
      </c>
      <c r="CI434" s="34" t="str">
        <f aca="false">IFERROR(INDEX(設定!$D$20:$D$34,MATCH(A434,設定!$A$20:$A$34,0))&amp;"","")</f>
        <v/>
      </c>
    </row>
    <row r="435" customFormat="false" ht="15" hidden="true" customHeight="false" outlineLevel="0" collapsed="false">
      <c r="A435" s="22" t="s">
        <v>217</v>
      </c>
      <c r="B435" s="23" t="s">
        <v>175</v>
      </c>
      <c r="C435" s="10" t="str">
        <f aca="false">IF(G435="","未受領",IF(G435="なし","報告なし",IF(AH435="○","起票済",IF(OR(AG435="○",F435="一致",F435="入金不要"),"入金確認済","受領済"))))</f>
        <v>未受領</v>
      </c>
      <c r="D435" s="10" t="str">
        <f aca="false">IF(OR(G435="",G435="なし"),"―",IF(CH435="N","対象外",IF(AND(I435="",J435="",K435=""),"標報未入力",IF(CD435&gt;=設定!$B$4,"要確認","問題なし"))))</f>
        <v>―</v>
      </c>
      <c r="E435" s="24" t="str">
        <f aca="false">IF(OR(G435="",G435="なし",CE435="",CF435=0),"―",IF(CF435=CE435,"前月同額",IF(CE435=0,"―",IF(ABS(CF435/CE435-1)&gt;=設定!$B$5,"変動大 "&amp;TEXT(CF435/CE435-1,"+0%;-0%"),"〇"))))</f>
        <v>―</v>
      </c>
      <c r="F435" s="10" t="str">
        <f aca="false">IF(OR(G435="",G435="なし"),"―",IF(CF435=0,"入金不要",IF(COUNT(Z435,AB435,AD435,AF435)=0,IF(AG435="○","手動確認","未入金"),IF(AND(N(Z435)=Y435,IF(AA435="",TRUE(),N(AB435)=AA435),IF(AC435="",TRUE(),N(AD435)=AC435),IF(AE435="",TRUE(),N(AF435)=AE435)),"一致","不一致"))))</f>
        <v>―</v>
      </c>
      <c r="G435" s="25"/>
      <c r="H435" s="26"/>
      <c r="I435" s="27"/>
      <c r="J435" s="27"/>
      <c r="K435" s="27"/>
      <c r="L435" s="27"/>
      <c r="M435" s="27"/>
      <c r="N435" s="27"/>
      <c r="O435" s="27"/>
      <c r="P435" s="27"/>
      <c r="Q435" s="27"/>
      <c r="R435" s="27"/>
      <c r="S435" s="27"/>
      <c r="T435" s="27"/>
      <c r="U435" s="27"/>
      <c r="V435" s="27"/>
      <c r="W435" s="10" t="str">
        <f aca="false">IFERROR(INDEX(設定!$E$61:$E$106,MATCH(B435,設定!$B$61:$B$106,0)),"合算")</f>
        <v>合算</v>
      </c>
      <c r="X435" s="28"/>
      <c r="Y435" s="29" t="str">
        <f aca="false">IF(OR(G435="",G435="なし"),"",IF(W435="合算",CF435,IF(W435="掛金・負担金別",(AU435+AV435+AZ435+BB435+BD435),SUM(AU435:AY435))))</f>
        <v/>
      </c>
      <c r="Z435" s="27"/>
      <c r="AA435" s="29" t="str">
        <f aca="false">IF(OR(G435="",G435="なし"),"",IF(W435="掛金・負担金別",(AW435+AX435+AY435+BA435+BC435+BE435),IF(W435="経理区分別",AZ435+BA435,"")))</f>
        <v/>
      </c>
      <c r="AB435" s="27"/>
      <c r="AC435" s="29" t="str">
        <f aca="false">IF(OR(G435="",G435="なし"),"",IF(W435="経理区分別",BB435+BC435,""))</f>
        <v/>
      </c>
      <c r="AD435" s="27"/>
      <c r="AE435" s="29" t="str">
        <f aca="false">IF(OR(G435="",G435="なし"),"",IF(W435="経理区分別",BD435+BE435,""))</f>
        <v/>
      </c>
      <c r="AF435" s="27"/>
      <c r="AG435" s="26"/>
      <c r="AH435" s="26"/>
      <c r="AI435" s="30"/>
      <c r="AJ435" s="31"/>
      <c r="AK435" s="31"/>
      <c r="AL435" s="31" t="n">
        <v>3806683</v>
      </c>
      <c r="AM435" s="31" t="n">
        <v>312018</v>
      </c>
      <c r="AN435" s="31" t="n">
        <v>3974</v>
      </c>
      <c r="AO435" s="31"/>
      <c r="AP435" s="31" t="n">
        <v>2319101</v>
      </c>
      <c r="AQ435" s="31"/>
      <c r="AR435" s="31" t="n">
        <v>255827</v>
      </c>
      <c r="AS435" s="31"/>
      <c r="AT435" s="31" t="n">
        <v>1</v>
      </c>
      <c r="AU435" s="31" t="n">
        <f aca="false">IF($G435="",AJ435,L435)</f>
        <v>0</v>
      </c>
      <c r="AV435" s="31" t="n">
        <f aca="false">IF($G435="",AK435,M435)</f>
        <v>0</v>
      </c>
      <c r="AW435" s="31" t="n">
        <f aca="false">IF($G435="",AL435,N435)</f>
        <v>3806683</v>
      </c>
      <c r="AX435" s="31" t="n">
        <f aca="false">IF($G435="",AM435,O435)</f>
        <v>312018</v>
      </c>
      <c r="AY435" s="31" t="n">
        <f aca="false">IF($G435="",AN435,P435)</f>
        <v>3974</v>
      </c>
      <c r="AZ435" s="31" t="n">
        <f aca="false">IF($G435="",AO435,Q435)</f>
        <v>0</v>
      </c>
      <c r="BA435" s="31" t="n">
        <f aca="false">IF($G435="",AP435,R435)</f>
        <v>2319101</v>
      </c>
      <c r="BB435" s="31" t="n">
        <f aca="false">IF($G435="",AQ435,S435)</f>
        <v>0</v>
      </c>
      <c r="BC435" s="31" t="n">
        <f aca="false">IF($G435="",AR435,T435)</f>
        <v>255827</v>
      </c>
      <c r="BD435" s="31" t="n">
        <f aca="false">IF($G435="",AS435,U435)</f>
        <v>0</v>
      </c>
      <c r="BE435" s="31" t="n">
        <f aca="false">IF($G435="",AT435,V435)</f>
        <v>1</v>
      </c>
      <c r="BF435" s="31" t="n">
        <f aca="false">ROUNDDOWN(I435*設定!$B$10/1000,0)+ROUNDDOWN(I435*設定!$B$11/1000,0)</f>
        <v>0</v>
      </c>
      <c r="BG435" s="31" t="n">
        <f aca="false">ROUNDDOWN(I435*設定!$C$10/1000,0)+ROUNDDOWN(I435*設定!$C$11/1000,0)+ROUNDDOWN(I435*設定!$C$12/1000,0)</f>
        <v>0</v>
      </c>
      <c r="BH435" s="31" t="n">
        <f aca="false">ROUNDDOWN(J435*設定!$B$13/1000,0)</f>
        <v>0</v>
      </c>
      <c r="BI435" s="31" t="n">
        <f aca="false">ROUNDDOWN(J435*設定!$C$13/1000,0)</f>
        <v>0</v>
      </c>
      <c r="BJ435" s="31" t="n">
        <f aca="false">ROUNDDOWN(K435*設定!$B$14/1000,0)</f>
        <v>0</v>
      </c>
      <c r="BK435" s="31" t="n">
        <f aca="false">ROUNDDOWN(K435*設定!$C$14/1000,0)</f>
        <v>0</v>
      </c>
      <c r="BL435" s="31" t="n">
        <f aca="false">ROUNDDOWN(J435*設定!$B$15/1000,0)</f>
        <v>0</v>
      </c>
      <c r="BM435" s="31" t="n">
        <f aca="false">ROUNDDOWN(J435*設定!$C$15/1000,0)</f>
        <v>0</v>
      </c>
      <c r="BN435" s="31" t="n">
        <f aca="false">L435+M435</f>
        <v>0</v>
      </c>
      <c r="BO435" s="31" t="n">
        <f aca="false">N435+O435+P435</f>
        <v>0</v>
      </c>
      <c r="BP435" s="31" t="n">
        <f aca="false">Q435</f>
        <v>0</v>
      </c>
      <c r="BQ435" s="31" t="n">
        <f aca="false">R435</f>
        <v>0</v>
      </c>
      <c r="BR435" s="31" t="n">
        <f aca="false">S435</f>
        <v>0</v>
      </c>
      <c r="BS435" s="31" t="n">
        <f aca="false">T435</f>
        <v>0</v>
      </c>
      <c r="BT435" s="31" t="n">
        <f aca="false">U435</f>
        <v>0</v>
      </c>
      <c r="BU435" s="31" t="n">
        <f aca="false">V435</f>
        <v>0</v>
      </c>
      <c r="BV435" s="32" t="n">
        <f aca="false">IF(BF435=0,IF(BN435=0,0,1),(BN435-BF435)/BF435)</f>
        <v>0</v>
      </c>
      <c r="BW435" s="32" t="n">
        <f aca="false">IF(BG435=0,IF(BO435=0,0,1),(BO435-BG435)/BG435)</f>
        <v>0</v>
      </c>
      <c r="BX435" s="32" t="n">
        <f aca="false">IF(BH435=0,IF(BP435=0,0,1),(BP435-BH435)/BH435)</f>
        <v>0</v>
      </c>
      <c r="BY435" s="32" t="n">
        <f aca="false">IF(BI435=0,IF(BQ435=0,0,1),(BQ435-BI435)/BI435)</f>
        <v>0</v>
      </c>
      <c r="BZ435" s="32" t="n">
        <f aca="false">IF(BJ435=0,IF(BR435=0,0,1),(BR435-BJ435)/BJ435)</f>
        <v>0</v>
      </c>
      <c r="CA435" s="32" t="n">
        <f aca="false">IF(BK435=0,IF(BS435=0,0,1),(BS435-BK435)/BK435)</f>
        <v>0</v>
      </c>
      <c r="CB435" s="32" t="n">
        <f aca="false">IF(BL435=0,IF(BT435=0,0,1),(BT435-BL435)/BL435)</f>
        <v>0</v>
      </c>
      <c r="CC435" s="32" t="n">
        <f aca="false">IF(BM435=0,IF(BU435=0,0,1),(BU435-BM435)/BM435)</f>
        <v>0</v>
      </c>
      <c r="CD435" s="32" t="n">
        <f aca="false">MAX(MAX(BV435:CC435),-MIN(BV435:CC435))</f>
        <v>-0</v>
      </c>
      <c r="CE435" s="31" t="str">
        <f aca="false">IF(CI435="","",SUMIFS($CF$7:$CF$696,$A$7:$A$696,CI435,$B$7:$B$696,B435))</f>
        <v/>
      </c>
      <c r="CF435" s="31" t="n">
        <f aca="false">SUM(AU435:BE435)</f>
        <v>6697604</v>
      </c>
      <c r="CG435" s="33" t="str">
        <f aca="false">A435&amp;"|"&amp;B435</f>
        <v>2026-12 賞与|社会福祉事業団</v>
      </c>
      <c r="CH435" s="34" t="str">
        <f aca="false">IFERROR(INDEX(設定!$D$61:$D$106,MATCH(B435,設定!$B$61:$B$106,0)),"Y")</f>
        <v>Y</v>
      </c>
      <c r="CI435" s="34" t="str">
        <f aca="false">IFERROR(INDEX(設定!$D$20:$D$34,MATCH(A435,設定!$A$20:$A$34,0))&amp;"","")</f>
        <v/>
      </c>
    </row>
    <row r="436" customFormat="false" ht="15" hidden="true" customHeight="false" outlineLevel="0" collapsed="false">
      <c r="A436" s="22" t="s">
        <v>217</v>
      </c>
      <c r="B436" s="23" t="s">
        <v>176</v>
      </c>
      <c r="C436" s="10" t="str">
        <f aca="false">IF(G436="","未受領",IF(G436="なし","報告なし",IF(AH436="○","起票済",IF(OR(AG436="○",F436="一致",F436="入金不要"),"入金確認済","受領済"))))</f>
        <v>未受領</v>
      </c>
      <c r="D436" s="10" t="str">
        <f aca="false">IF(OR(G436="",G436="なし"),"―",IF(CH436="N","対象外",IF(AND(I436="",J436="",K436=""),"標報未入力",IF(CD436&gt;=設定!$B$4,"要確認","問題なし"))))</f>
        <v>―</v>
      </c>
      <c r="E436" s="24" t="str">
        <f aca="false">IF(OR(G436="",G436="なし",CE436="",CF436=0),"―",IF(CF436=CE436,"前月同額",IF(CE436=0,"―",IF(ABS(CF436/CE436-1)&gt;=設定!$B$5,"変動大 "&amp;TEXT(CF436/CE436-1,"+0%;-0%"),"〇"))))</f>
        <v>―</v>
      </c>
      <c r="F436" s="10" t="str">
        <f aca="false">IF(OR(G436="",G436="なし"),"―",IF(CF436=0,"入金不要",IF(COUNT(Z436,AB436,AD436,AF436)=0,IF(AG436="○","手動確認","未入金"),IF(AND(N(Z436)=Y436,IF(AA436="",TRUE(),N(AB436)=AA436),IF(AC436="",TRUE(),N(AD436)=AC436),IF(AE436="",TRUE(),N(AF436)=AE436)),"一致","不一致"))))</f>
        <v>―</v>
      </c>
      <c r="G436" s="25"/>
      <c r="H436" s="26"/>
      <c r="I436" s="27"/>
      <c r="J436" s="27"/>
      <c r="K436" s="27"/>
      <c r="L436" s="27"/>
      <c r="M436" s="27"/>
      <c r="N436" s="27"/>
      <c r="O436" s="27"/>
      <c r="P436" s="27"/>
      <c r="Q436" s="27"/>
      <c r="R436" s="27"/>
      <c r="S436" s="27"/>
      <c r="T436" s="27"/>
      <c r="U436" s="27"/>
      <c r="V436" s="27"/>
      <c r="W436" s="10" t="str">
        <f aca="false">IFERROR(INDEX(設定!$E$61:$E$106,MATCH(B436,設定!$B$61:$B$106,0)),"合算")</f>
        <v>合算</v>
      </c>
      <c r="X436" s="28"/>
      <c r="Y436" s="29" t="str">
        <f aca="false">IF(OR(G436="",G436="なし"),"",IF(W436="合算",CF436,IF(W436="掛金・負担金別",(AU436+AV436+AZ436+BB436+BD436),SUM(AU436:AY436))))</f>
        <v/>
      </c>
      <c r="Z436" s="27"/>
      <c r="AA436" s="29" t="str">
        <f aca="false">IF(OR(G436="",G436="なし"),"",IF(W436="掛金・負担金別",(AW436+AX436+AY436+BA436+BC436+BE436),IF(W436="経理区分別",AZ436+BA436,"")))</f>
        <v/>
      </c>
      <c r="AB436" s="27"/>
      <c r="AC436" s="29" t="str">
        <f aca="false">IF(OR(G436="",G436="なし"),"",IF(W436="経理区分別",BB436+BC436,""))</f>
        <v/>
      </c>
      <c r="AD436" s="27"/>
      <c r="AE436" s="29" t="str">
        <f aca="false">IF(OR(G436="",G436="なし"),"",IF(W436="経理区分別",BD436+BE436,""))</f>
        <v/>
      </c>
      <c r="AF436" s="27"/>
      <c r="AG436" s="26"/>
      <c r="AH436" s="26"/>
      <c r="AI436" s="30"/>
      <c r="AJ436" s="31"/>
      <c r="AK436" s="31"/>
      <c r="AL436" s="31" t="n">
        <v>102755</v>
      </c>
      <c r="AM436" s="31" t="n">
        <v>8422</v>
      </c>
      <c r="AN436" s="31" t="n">
        <v>105</v>
      </c>
      <c r="AO436" s="31"/>
      <c r="AP436" s="31" t="n">
        <v>61888</v>
      </c>
      <c r="AQ436" s="31"/>
      <c r="AR436" s="31" t="n">
        <v>8871</v>
      </c>
      <c r="AS436" s="31"/>
      <c r="AT436" s="31" t="n">
        <v>1</v>
      </c>
      <c r="AU436" s="31" t="n">
        <f aca="false">IF($G436="",AJ436,L436)</f>
        <v>0</v>
      </c>
      <c r="AV436" s="31" t="n">
        <f aca="false">IF($G436="",AK436,M436)</f>
        <v>0</v>
      </c>
      <c r="AW436" s="31" t="n">
        <f aca="false">IF($G436="",AL436,N436)</f>
        <v>102755</v>
      </c>
      <c r="AX436" s="31" t="n">
        <f aca="false">IF($G436="",AM436,O436)</f>
        <v>8422</v>
      </c>
      <c r="AY436" s="31" t="n">
        <f aca="false">IF($G436="",AN436,P436)</f>
        <v>105</v>
      </c>
      <c r="AZ436" s="31" t="n">
        <f aca="false">IF($G436="",AO436,Q436)</f>
        <v>0</v>
      </c>
      <c r="BA436" s="31" t="n">
        <f aca="false">IF($G436="",AP436,R436)</f>
        <v>61888</v>
      </c>
      <c r="BB436" s="31" t="n">
        <f aca="false">IF($G436="",AQ436,S436)</f>
        <v>0</v>
      </c>
      <c r="BC436" s="31" t="n">
        <f aca="false">IF($G436="",AR436,T436)</f>
        <v>8871</v>
      </c>
      <c r="BD436" s="31" t="n">
        <f aca="false">IF($G436="",AS436,U436)</f>
        <v>0</v>
      </c>
      <c r="BE436" s="31" t="n">
        <f aca="false">IF($G436="",AT436,V436)</f>
        <v>1</v>
      </c>
      <c r="BF436" s="31" t="n">
        <f aca="false">ROUNDDOWN(I436*設定!$B$10/1000,0)+ROUNDDOWN(I436*設定!$B$11/1000,0)</f>
        <v>0</v>
      </c>
      <c r="BG436" s="31" t="n">
        <f aca="false">ROUNDDOWN(I436*設定!$C$10/1000,0)+ROUNDDOWN(I436*設定!$C$11/1000,0)+ROUNDDOWN(I436*設定!$C$12/1000,0)</f>
        <v>0</v>
      </c>
      <c r="BH436" s="31" t="n">
        <f aca="false">ROUNDDOWN(J436*設定!$B$13/1000,0)</f>
        <v>0</v>
      </c>
      <c r="BI436" s="31" t="n">
        <f aca="false">ROUNDDOWN(J436*設定!$C$13/1000,0)</f>
        <v>0</v>
      </c>
      <c r="BJ436" s="31" t="n">
        <f aca="false">ROUNDDOWN(K436*設定!$B$14/1000,0)</f>
        <v>0</v>
      </c>
      <c r="BK436" s="31" t="n">
        <f aca="false">ROUNDDOWN(K436*設定!$C$14/1000,0)</f>
        <v>0</v>
      </c>
      <c r="BL436" s="31" t="n">
        <f aca="false">ROUNDDOWN(J436*設定!$B$15/1000,0)</f>
        <v>0</v>
      </c>
      <c r="BM436" s="31" t="n">
        <f aca="false">ROUNDDOWN(J436*設定!$C$15/1000,0)</f>
        <v>0</v>
      </c>
      <c r="BN436" s="31" t="n">
        <f aca="false">L436+M436</f>
        <v>0</v>
      </c>
      <c r="BO436" s="31" t="n">
        <f aca="false">N436+O436+P436</f>
        <v>0</v>
      </c>
      <c r="BP436" s="31" t="n">
        <f aca="false">Q436</f>
        <v>0</v>
      </c>
      <c r="BQ436" s="31" t="n">
        <f aca="false">R436</f>
        <v>0</v>
      </c>
      <c r="BR436" s="31" t="n">
        <f aca="false">S436</f>
        <v>0</v>
      </c>
      <c r="BS436" s="31" t="n">
        <f aca="false">T436</f>
        <v>0</v>
      </c>
      <c r="BT436" s="31" t="n">
        <f aca="false">U436</f>
        <v>0</v>
      </c>
      <c r="BU436" s="31" t="n">
        <f aca="false">V436</f>
        <v>0</v>
      </c>
      <c r="BV436" s="32" t="n">
        <f aca="false">IF(BF436=0,IF(BN436=0,0,1),(BN436-BF436)/BF436)</f>
        <v>0</v>
      </c>
      <c r="BW436" s="32" t="n">
        <f aca="false">IF(BG436=0,IF(BO436=0,0,1),(BO436-BG436)/BG436)</f>
        <v>0</v>
      </c>
      <c r="BX436" s="32" t="n">
        <f aca="false">IF(BH436=0,IF(BP436=0,0,1),(BP436-BH436)/BH436)</f>
        <v>0</v>
      </c>
      <c r="BY436" s="32" t="n">
        <f aca="false">IF(BI436=0,IF(BQ436=0,0,1),(BQ436-BI436)/BI436)</f>
        <v>0</v>
      </c>
      <c r="BZ436" s="32" t="n">
        <f aca="false">IF(BJ436=0,IF(BR436=0,0,1),(BR436-BJ436)/BJ436)</f>
        <v>0</v>
      </c>
      <c r="CA436" s="32" t="n">
        <f aca="false">IF(BK436=0,IF(BS436=0,0,1),(BS436-BK436)/BK436)</f>
        <v>0</v>
      </c>
      <c r="CB436" s="32" t="n">
        <f aca="false">IF(BL436=0,IF(BT436=0,0,1),(BT436-BL436)/BL436)</f>
        <v>0</v>
      </c>
      <c r="CC436" s="32" t="n">
        <f aca="false">IF(BM436=0,IF(BU436=0,0,1),(BU436-BM436)/BM436)</f>
        <v>0</v>
      </c>
      <c r="CD436" s="32" t="n">
        <f aca="false">MAX(MAX(BV436:CC436),-MIN(BV436:CC436))</f>
        <v>-0</v>
      </c>
      <c r="CE436" s="31" t="str">
        <f aca="false">IF(CI436="","",SUMIFS($CF$7:$CF$696,$A$7:$A$696,CI436,$B$7:$B$696,B436))</f>
        <v/>
      </c>
      <c r="CF436" s="31" t="n">
        <f aca="false">SUM(AU436:BE436)</f>
        <v>182042</v>
      </c>
      <c r="CG436" s="33" t="str">
        <f aca="false">A436&amp;"|"&amp;B436</f>
        <v>2026-12 賞与|原爆障害対策協議会</v>
      </c>
      <c r="CH436" s="34" t="str">
        <f aca="false">IFERROR(INDEX(設定!$D$61:$D$106,MATCH(B436,設定!$B$61:$B$106,0)),"Y")</f>
        <v>Y</v>
      </c>
      <c r="CI436" s="34" t="str">
        <f aca="false">IFERROR(INDEX(設定!$D$20:$D$34,MATCH(A436,設定!$A$20:$A$34,0))&amp;"","")</f>
        <v/>
      </c>
    </row>
    <row r="437" customFormat="false" ht="15" hidden="true" customHeight="false" outlineLevel="0" collapsed="false">
      <c r="A437" s="22" t="s">
        <v>217</v>
      </c>
      <c r="B437" s="23" t="s">
        <v>177</v>
      </c>
      <c r="C437" s="10" t="str">
        <f aca="false">IF(G437="","未受領",IF(G437="なし","報告なし",IF(AH437="○","起票済",IF(OR(AG437="○",F437="一致",F437="入金不要"),"入金確認済","受領済"))))</f>
        <v>未受領</v>
      </c>
      <c r="D437" s="10" t="str">
        <f aca="false">IF(OR(G437="",G437="なし"),"―",IF(CH437="N","対象外",IF(AND(I437="",J437="",K437=""),"標報未入力",IF(CD437&gt;=設定!$B$4,"要確認","問題なし"))))</f>
        <v>―</v>
      </c>
      <c r="E437" s="24" t="str">
        <f aca="false">IF(OR(G437="",G437="なし",CE437="",CF437=0),"―",IF(CF437=CE437,"前月同額",IF(CE437=0,"―",IF(ABS(CF437/CE437-1)&gt;=設定!$B$5,"変動大 "&amp;TEXT(CF437/CE437-1,"+0%;-0%"),"〇"))))</f>
        <v>―</v>
      </c>
      <c r="F437" s="10" t="str">
        <f aca="false">IF(OR(G437="",G437="なし"),"―",IF(CF437=0,"入金不要",IF(COUNT(Z437,AB437,AD437,AF437)=0,IF(AG437="○","手動確認","未入金"),IF(AND(N(Z437)=Y437,IF(AA437="",TRUE(),N(AB437)=AA437),IF(AC437="",TRUE(),N(AD437)=AC437),IF(AE437="",TRUE(),N(AF437)=AE437)),"一致","不一致"))))</f>
        <v>―</v>
      </c>
      <c r="G437" s="25"/>
      <c r="H437" s="26"/>
      <c r="I437" s="27"/>
      <c r="J437" s="27"/>
      <c r="K437" s="27"/>
      <c r="L437" s="27"/>
      <c r="M437" s="27"/>
      <c r="N437" s="27"/>
      <c r="O437" s="27"/>
      <c r="P437" s="27"/>
      <c r="Q437" s="27"/>
      <c r="R437" s="27"/>
      <c r="S437" s="27"/>
      <c r="T437" s="27"/>
      <c r="U437" s="27"/>
      <c r="V437" s="27"/>
      <c r="W437" s="10" t="str">
        <f aca="false">IFERROR(INDEX(設定!$E$61:$E$106,MATCH(B437,設定!$B$61:$B$106,0)),"合算")</f>
        <v>合算</v>
      </c>
      <c r="X437" s="28"/>
      <c r="Y437" s="29" t="str">
        <f aca="false">IF(OR(G437="",G437="なし"),"",IF(W437="合算",CF437,IF(W437="掛金・負担金別",(AU437+AV437+AZ437+BB437+BD437),SUM(AU437:AY437))))</f>
        <v/>
      </c>
      <c r="Z437" s="27"/>
      <c r="AA437" s="29" t="str">
        <f aca="false">IF(OR(G437="",G437="なし"),"",IF(W437="掛金・負担金別",(AW437+AX437+AY437+BA437+BC437+BE437),IF(W437="経理区分別",AZ437+BA437,"")))</f>
        <v/>
      </c>
      <c r="AB437" s="27"/>
      <c r="AC437" s="29" t="str">
        <f aca="false">IF(OR(G437="",G437="なし"),"",IF(W437="経理区分別",BB437+BC437,""))</f>
        <v/>
      </c>
      <c r="AD437" s="27"/>
      <c r="AE437" s="29" t="str">
        <f aca="false">IF(OR(G437="",G437="なし"),"",IF(W437="経理区分別",BD437+BE437,""))</f>
        <v/>
      </c>
      <c r="AF437" s="27"/>
      <c r="AG437" s="26"/>
      <c r="AH437" s="26"/>
      <c r="AI437" s="30"/>
      <c r="AJ437" s="31"/>
      <c r="AK437" s="31"/>
      <c r="AL437" s="31" t="n">
        <v>847109</v>
      </c>
      <c r="AM437" s="31" t="n">
        <v>69435</v>
      </c>
      <c r="AN437" s="31" t="n">
        <v>868</v>
      </c>
      <c r="AO437" s="31"/>
      <c r="AP437" s="31" t="n">
        <v>510207</v>
      </c>
      <c r="AQ437" s="31"/>
      <c r="AR437" s="31" t="n">
        <v>68753</v>
      </c>
      <c r="AS437" s="31"/>
      <c r="AT437" s="31" t="n">
        <v>1</v>
      </c>
      <c r="AU437" s="31" t="n">
        <f aca="false">IF($G437="",AJ437,L437)</f>
        <v>0</v>
      </c>
      <c r="AV437" s="31" t="n">
        <f aca="false">IF($G437="",AK437,M437)</f>
        <v>0</v>
      </c>
      <c r="AW437" s="31" t="n">
        <f aca="false">IF($G437="",AL437,N437)</f>
        <v>847109</v>
      </c>
      <c r="AX437" s="31" t="n">
        <f aca="false">IF($G437="",AM437,O437)</f>
        <v>69435</v>
      </c>
      <c r="AY437" s="31" t="n">
        <f aca="false">IF($G437="",AN437,P437)</f>
        <v>868</v>
      </c>
      <c r="AZ437" s="31" t="n">
        <f aca="false">IF($G437="",AO437,Q437)</f>
        <v>0</v>
      </c>
      <c r="BA437" s="31" t="n">
        <f aca="false">IF($G437="",AP437,R437)</f>
        <v>510207</v>
      </c>
      <c r="BB437" s="31" t="n">
        <f aca="false">IF($G437="",AQ437,S437)</f>
        <v>0</v>
      </c>
      <c r="BC437" s="31" t="n">
        <f aca="false">IF($G437="",AR437,T437)</f>
        <v>68753</v>
      </c>
      <c r="BD437" s="31" t="n">
        <f aca="false">IF($G437="",AS437,U437)</f>
        <v>0</v>
      </c>
      <c r="BE437" s="31" t="n">
        <f aca="false">IF($G437="",AT437,V437)</f>
        <v>1</v>
      </c>
      <c r="BF437" s="31" t="n">
        <f aca="false">ROUNDDOWN(I437*設定!$B$10/1000,0)+ROUNDDOWN(I437*設定!$B$11/1000,0)</f>
        <v>0</v>
      </c>
      <c r="BG437" s="31" t="n">
        <f aca="false">ROUNDDOWN(I437*設定!$C$10/1000,0)+ROUNDDOWN(I437*設定!$C$11/1000,0)+ROUNDDOWN(I437*設定!$C$12/1000,0)</f>
        <v>0</v>
      </c>
      <c r="BH437" s="31" t="n">
        <f aca="false">ROUNDDOWN(J437*設定!$B$13/1000,0)</f>
        <v>0</v>
      </c>
      <c r="BI437" s="31" t="n">
        <f aca="false">ROUNDDOWN(J437*設定!$C$13/1000,0)</f>
        <v>0</v>
      </c>
      <c r="BJ437" s="31" t="n">
        <f aca="false">ROUNDDOWN(K437*設定!$B$14/1000,0)</f>
        <v>0</v>
      </c>
      <c r="BK437" s="31" t="n">
        <f aca="false">ROUNDDOWN(K437*設定!$C$14/1000,0)</f>
        <v>0</v>
      </c>
      <c r="BL437" s="31" t="n">
        <f aca="false">ROUNDDOWN(J437*設定!$B$15/1000,0)</f>
        <v>0</v>
      </c>
      <c r="BM437" s="31" t="n">
        <f aca="false">ROUNDDOWN(J437*設定!$C$15/1000,0)</f>
        <v>0</v>
      </c>
      <c r="BN437" s="31" t="n">
        <f aca="false">L437+M437</f>
        <v>0</v>
      </c>
      <c r="BO437" s="31" t="n">
        <f aca="false">N437+O437+P437</f>
        <v>0</v>
      </c>
      <c r="BP437" s="31" t="n">
        <f aca="false">Q437</f>
        <v>0</v>
      </c>
      <c r="BQ437" s="31" t="n">
        <f aca="false">R437</f>
        <v>0</v>
      </c>
      <c r="BR437" s="31" t="n">
        <f aca="false">S437</f>
        <v>0</v>
      </c>
      <c r="BS437" s="31" t="n">
        <f aca="false">T437</f>
        <v>0</v>
      </c>
      <c r="BT437" s="31" t="n">
        <f aca="false">U437</f>
        <v>0</v>
      </c>
      <c r="BU437" s="31" t="n">
        <f aca="false">V437</f>
        <v>0</v>
      </c>
      <c r="BV437" s="32" t="n">
        <f aca="false">IF(BF437=0,IF(BN437=0,0,1),(BN437-BF437)/BF437)</f>
        <v>0</v>
      </c>
      <c r="BW437" s="32" t="n">
        <f aca="false">IF(BG437=0,IF(BO437=0,0,1),(BO437-BG437)/BG437)</f>
        <v>0</v>
      </c>
      <c r="BX437" s="32" t="n">
        <f aca="false">IF(BH437=0,IF(BP437=0,0,1),(BP437-BH437)/BH437)</f>
        <v>0</v>
      </c>
      <c r="BY437" s="32" t="n">
        <f aca="false">IF(BI437=0,IF(BQ437=0,0,1),(BQ437-BI437)/BI437)</f>
        <v>0</v>
      </c>
      <c r="BZ437" s="32" t="n">
        <f aca="false">IF(BJ437=0,IF(BR437=0,0,1),(BR437-BJ437)/BJ437)</f>
        <v>0</v>
      </c>
      <c r="CA437" s="32" t="n">
        <f aca="false">IF(BK437=0,IF(BS437=0,0,1),(BS437-BK437)/BK437)</f>
        <v>0</v>
      </c>
      <c r="CB437" s="32" t="n">
        <f aca="false">IF(BL437=0,IF(BT437=0,0,1),(BT437-BL437)/BL437)</f>
        <v>0</v>
      </c>
      <c r="CC437" s="32" t="n">
        <f aca="false">IF(BM437=0,IF(BU437=0,0,1),(BU437-BM437)/BM437)</f>
        <v>0</v>
      </c>
      <c r="CD437" s="32" t="n">
        <f aca="false">MAX(MAX(BV437:CC437),-MIN(BV437:CC437))</f>
        <v>-0</v>
      </c>
      <c r="CE437" s="31" t="str">
        <f aca="false">IF(CI437="","",SUMIFS($CF$7:$CF$696,$A$7:$A$696,CI437,$B$7:$B$696,B437))</f>
        <v/>
      </c>
      <c r="CF437" s="31" t="n">
        <f aca="false">SUM(AU437:BE437)</f>
        <v>1496373</v>
      </c>
      <c r="CG437" s="33" t="str">
        <f aca="false">A437&amp;"|"&amp;B437</f>
        <v>2026-12 賞与|産業振興センター</v>
      </c>
      <c r="CH437" s="34" t="str">
        <f aca="false">IFERROR(INDEX(設定!$D$61:$D$106,MATCH(B437,設定!$B$61:$B$106,0)),"Y")</f>
        <v>Y</v>
      </c>
      <c r="CI437" s="34" t="str">
        <f aca="false">IFERROR(INDEX(設定!$D$20:$D$34,MATCH(A437,設定!$A$20:$A$34,0))&amp;"","")</f>
        <v/>
      </c>
    </row>
    <row r="438" customFormat="false" ht="15" hidden="true" customHeight="false" outlineLevel="0" collapsed="false">
      <c r="A438" s="22" t="s">
        <v>217</v>
      </c>
      <c r="B438" s="23" t="s">
        <v>178</v>
      </c>
      <c r="C438" s="10" t="str">
        <f aca="false">IF(G438="","未受領",IF(G438="なし","報告なし",IF(AH438="○","起票済",IF(OR(AG438="○",F438="一致",F438="入金不要"),"入金確認済","受領済"))))</f>
        <v>未受領</v>
      </c>
      <c r="D438" s="10" t="str">
        <f aca="false">IF(OR(G438="",G438="なし"),"―",IF(CH438="N","対象外",IF(AND(I438="",J438="",K438=""),"標報未入力",IF(CD438&gt;=設定!$B$4,"要確認","問題なし"))))</f>
        <v>―</v>
      </c>
      <c r="E438" s="24" t="str">
        <f aca="false">IF(OR(G438="",G438="なし",CE438="",CF438=0),"―",IF(CF438=CE438,"前月同額",IF(CE438=0,"―",IF(ABS(CF438/CE438-1)&gt;=設定!$B$5,"変動大 "&amp;TEXT(CF438/CE438-1,"+0%;-0%"),"〇"))))</f>
        <v>―</v>
      </c>
      <c r="F438" s="10" t="str">
        <f aca="false">IF(OR(G438="",G438="なし"),"―",IF(CF438=0,"入金不要",IF(COUNT(Z438,AB438,AD438,AF438)=0,IF(AG438="○","手動確認","未入金"),IF(AND(N(Z438)=Y438,IF(AA438="",TRUE(),N(AB438)=AA438),IF(AC438="",TRUE(),N(AD438)=AC438),IF(AE438="",TRUE(),N(AF438)=AE438)),"一致","不一致"))))</f>
        <v>―</v>
      </c>
      <c r="G438" s="25"/>
      <c r="H438" s="26"/>
      <c r="I438" s="27"/>
      <c r="J438" s="27"/>
      <c r="K438" s="27"/>
      <c r="L438" s="27"/>
      <c r="M438" s="27"/>
      <c r="N438" s="27"/>
      <c r="O438" s="27"/>
      <c r="P438" s="27"/>
      <c r="Q438" s="27"/>
      <c r="R438" s="27"/>
      <c r="S438" s="27"/>
      <c r="T438" s="27"/>
      <c r="U438" s="27"/>
      <c r="V438" s="27"/>
      <c r="W438" s="10" t="str">
        <f aca="false">IFERROR(INDEX(設定!$E$61:$E$106,MATCH(B438,設定!$B$61:$B$106,0)),"合算")</f>
        <v>合算</v>
      </c>
      <c r="X438" s="28"/>
      <c r="Y438" s="29" t="str">
        <f aca="false">IF(OR(G438="",G438="なし"),"",IF(W438="合算",CF438,IF(W438="掛金・負担金別",(AU438+AV438+AZ438+BB438+BD438),SUM(AU438:AY438))))</f>
        <v/>
      </c>
      <c r="Z438" s="27"/>
      <c r="AA438" s="29" t="str">
        <f aca="false">IF(OR(G438="",G438="なし"),"",IF(W438="掛金・負担金別",(AW438+AX438+AY438+BA438+BC438+BE438),IF(W438="経理区分別",AZ438+BA438,"")))</f>
        <v/>
      </c>
      <c r="AB438" s="27"/>
      <c r="AC438" s="29" t="str">
        <f aca="false">IF(OR(G438="",G438="なし"),"",IF(W438="経理区分別",BB438+BC438,""))</f>
        <v/>
      </c>
      <c r="AD438" s="27"/>
      <c r="AE438" s="29" t="str">
        <f aca="false">IF(OR(G438="",G438="なし"),"",IF(W438="経理区分別",BD438+BE438,""))</f>
        <v/>
      </c>
      <c r="AF438" s="27"/>
      <c r="AG438" s="26"/>
      <c r="AH438" s="26"/>
      <c r="AI438" s="30"/>
      <c r="AJ438" s="31"/>
      <c r="AK438" s="31"/>
      <c r="AL438" s="31" t="n">
        <v>183641</v>
      </c>
      <c r="AM438" s="31" t="n">
        <v>15052</v>
      </c>
      <c r="AN438" s="31" t="n">
        <v>188</v>
      </c>
      <c r="AO438" s="31"/>
      <c r="AP438" s="31" t="n">
        <v>110605</v>
      </c>
      <c r="AQ438" s="31"/>
      <c r="AR438" s="31" t="n">
        <v>15855</v>
      </c>
      <c r="AS438" s="31"/>
      <c r="AT438" s="31" t="n">
        <v>1</v>
      </c>
      <c r="AU438" s="31" t="n">
        <f aca="false">IF($G438="",AJ438,L438)</f>
        <v>0</v>
      </c>
      <c r="AV438" s="31" t="n">
        <f aca="false">IF($G438="",AK438,M438)</f>
        <v>0</v>
      </c>
      <c r="AW438" s="31" t="n">
        <f aca="false">IF($G438="",AL438,N438)</f>
        <v>183641</v>
      </c>
      <c r="AX438" s="31" t="n">
        <f aca="false">IF($G438="",AM438,O438)</f>
        <v>15052</v>
      </c>
      <c r="AY438" s="31" t="n">
        <f aca="false">IF($G438="",AN438,P438)</f>
        <v>188</v>
      </c>
      <c r="AZ438" s="31" t="n">
        <f aca="false">IF($G438="",AO438,Q438)</f>
        <v>0</v>
      </c>
      <c r="BA438" s="31" t="n">
        <f aca="false">IF($G438="",AP438,R438)</f>
        <v>110605</v>
      </c>
      <c r="BB438" s="31" t="n">
        <f aca="false">IF($G438="",AQ438,S438)</f>
        <v>0</v>
      </c>
      <c r="BC438" s="31" t="n">
        <f aca="false">IF($G438="",AR438,T438)</f>
        <v>15855</v>
      </c>
      <c r="BD438" s="31" t="n">
        <f aca="false">IF($G438="",AS438,U438)</f>
        <v>0</v>
      </c>
      <c r="BE438" s="31" t="n">
        <f aca="false">IF($G438="",AT438,V438)</f>
        <v>1</v>
      </c>
      <c r="BF438" s="31" t="n">
        <f aca="false">ROUNDDOWN(I438*設定!$B$10/1000,0)+ROUNDDOWN(I438*設定!$B$11/1000,0)</f>
        <v>0</v>
      </c>
      <c r="BG438" s="31" t="n">
        <f aca="false">ROUNDDOWN(I438*設定!$C$10/1000,0)+ROUNDDOWN(I438*設定!$C$11/1000,0)+ROUNDDOWN(I438*設定!$C$12/1000,0)</f>
        <v>0</v>
      </c>
      <c r="BH438" s="31" t="n">
        <f aca="false">ROUNDDOWN(J438*設定!$B$13/1000,0)</f>
        <v>0</v>
      </c>
      <c r="BI438" s="31" t="n">
        <f aca="false">ROUNDDOWN(J438*設定!$C$13/1000,0)</f>
        <v>0</v>
      </c>
      <c r="BJ438" s="31" t="n">
        <f aca="false">ROUNDDOWN(K438*設定!$B$14/1000,0)</f>
        <v>0</v>
      </c>
      <c r="BK438" s="31" t="n">
        <f aca="false">ROUNDDOWN(K438*設定!$C$14/1000,0)</f>
        <v>0</v>
      </c>
      <c r="BL438" s="31" t="n">
        <f aca="false">ROUNDDOWN(J438*設定!$B$15/1000,0)</f>
        <v>0</v>
      </c>
      <c r="BM438" s="31" t="n">
        <f aca="false">ROUNDDOWN(J438*設定!$C$15/1000,0)</f>
        <v>0</v>
      </c>
      <c r="BN438" s="31" t="n">
        <f aca="false">L438+M438</f>
        <v>0</v>
      </c>
      <c r="BO438" s="31" t="n">
        <f aca="false">N438+O438+P438</f>
        <v>0</v>
      </c>
      <c r="BP438" s="31" t="n">
        <f aca="false">Q438</f>
        <v>0</v>
      </c>
      <c r="BQ438" s="31" t="n">
        <f aca="false">R438</f>
        <v>0</v>
      </c>
      <c r="BR438" s="31" t="n">
        <f aca="false">S438</f>
        <v>0</v>
      </c>
      <c r="BS438" s="31" t="n">
        <f aca="false">T438</f>
        <v>0</v>
      </c>
      <c r="BT438" s="31" t="n">
        <f aca="false">U438</f>
        <v>0</v>
      </c>
      <c r="BU438" s="31" t="n">
        <f aca="false">V438</f>
        <v>0</v>
      </c>
      <c r="BV438" s="32" t="n">
        <f aca="false">IF(BF438=0,IF(BN438=0,0,1),(BN438-BF438)/BF438)</f>
        <v>0</v>
      </c>
      <c r="BW438" s="32" t="n">
        <f aca="false">IF(BG438=0,IF(BO438=0,0,1),(BO438-BG438)/BG438)</f>
        <v>0</v>
      </c>
      <c r="BX438" s="32" t="n">
        <f aca="false">IF(BH438=0,IF(BP438=0,0,1),(BP438-BH438)/BH438)</f>
        <v>0</v>
      </c>
      <c r="BY438" s="32" t="n">
        <f aca="false">IF(BI438=0,IF(BQ438=0,0,1),(BQ438-BI438)/BI438)</f>
        <v>0</v>
      </c>
      <c r="BZ438" s="32" t="n">
        <f aca="false">IF(BJ438=0,IF(BR438=0,0,1),(BR438-BJ438)/BJ438)</f>
        <v>0</v>
      </c>
      <c r="CA438" s="32" t="n">
        <f aca="false">IF(BK438=0,IF(BS438=0,0,1),(BS438-BK438)/BK438)</f>
        <v>0</v>
      </c>
      <c r="CB438" s="32" t="n">
        <f aca="false">IF(BL438=0,IF(BT438=0,0,1),(BT438-BL438)/BL438)</f>
        <v>0</v>
      </c>
      <c r="CC438" s="32" t="n">
        <f aca="false">IF(BM438=0,IF(BU438=0,0,1),(BU438-BM438)/BM438)</f>
        <v>0</v>
      </c>
      <c r="CD438" s="32" t="n">
        <f aca="false">MAX(MAX(BV438:CC438),-MIN(BV438:CC438))</f>
        <v>-0</v>
      </c>
      <c r="CE438" s="31" t="str">
        <f aca="false">IF(CI438="","",SUMIFS($CF$7:$CF$696,$A$7:$A$696,CI438,$B$7:$B$696,B438))</f>
        <v/>
      </c>
      <c r="CF438" s="31" t="n">
        <f aca="false">SUM(AU438:BE438)</f>
        <v>325342</v>
      </c>
      <c r="CG438" s="33" t="str">
        <f aca="false">A438&amp;"|"&amp;B438</f>
        <v>2026-12 賞与|ひろしま産業振興</v>
      </c>
      <c r="CH438" s="34" t="str">
        <f aca="false">IFERROR(INDEX(設定!$D$61:$D$106,MATCH(B438,設定!$B$61:$B$106,0)),"Y")</f>
        <v>Y</v>
      </c>
      <c r="CI438" s="34" t="str">
        <f aca="false">IFERROR(INDEX(設定!$D$20:$D$34,MATCH(A438,設定!$A$20:$A$34,0))&amp;"","")</f>
        <v/>
      </c>
    </row>
    <row r="439" customFormat="false" ht="15" hidden="true" customHeight="false" outlineLevel="0" collapsed="false">
      <c r="A439" s="22" t="s">
        <v>217</v>
      </c>
      <c r="B439" s="23" t="s">
        <v>179</v>
      </c>
      <c r="C439" s="10" t="str">
        <f aca="false">IF(G439="","未受領",IF(G439="なし","報告なし",IF(AH439="○","起票済",IF(OR(AG439="○",F439="一致",F439="入金不要"),"入金確認済","受領済"))))</f>
        <v>未受領</v>
      </c>
      <c r="D439" s="10" t="str">
        <f aca="false">IF(OR(G439="",G439="なし"),"―",IF(CH439="N","対象外",IF(AND(I439="",J439="",K439=""),"標報未入力",IF(CD439&gt;=設定!$B$4,"要確認","問題なし"))))</f>
        <v>―</v>
      </c>
      <c r="E439" s="24" t="str">
        <f aca="false">IF(OR(G439="",G439="なし",CE439="",CF439=0),"―",IF(CF439=CE439,"前月同額",IF(CE439=0,"―",IF(ABS(CF439/CE439-1)&gt;=設定!$B$5,"変動大 "&amp;TEXT(CF439/CE439-1,"+0%;-0%"),"〇"))))</f>
        <v>―</v>
      </c>
      <c r="F439" s="10" t="str">
        <f aca="false">IF(OR(G439="",G439="なし"),"―",IF(CF439=0,"入金不要",IF(COUNT(Z439,AB439,AD439,AF439)=0,IF(AG439="○","手動確認","未入金"),IF(AND(N(Z439)=Y439,IF(AA439="",TRUE(),N(AB439)=AA439),IF(AC439="",TRUE(),N(AD439)=AC439),IF(AE439="",TRUE(),N(AF439)=AE439)),"一致","不一致"))))</f>
        <v>―</v>
      </c>
      <c r="G439" s="25"/>
      <c r="H439" s="26"/>
      <c r="I439" s="27"/>
      <c r="J439" s="27"/>
      <c r="K439" s="27"/>
      <c r="L439" s="27"/>
      <c r="M439" s="27"/>
      <c r="N439" s="27"/>
      <c r="O439" s="27"/>
      <c r="P439" s="27"/>
      <c r="Q439" s="27"/>
      <c r="R439" s="27"/>
      <c r="S439" s="27"/>
      <c r="T439" s="27"/>
      <c r="U439" s="27"/>
      <c r="V439" s="27"/>
      <c r="W439" s="10" t="str">
        <f aca="false">IFERROR(INDEX(設定!$E$61:$E$106,MATCH(B439,設定!$B$61:$B$106,0)),"合算")</f>
        <v>合算</v>
      </c>
      <c r="X439" s="28"/>
      <c r="Y439" s="29" t="str">
        <f aca="false">IF(OR(G439="",G439="なし"),"",IF(W439="合算",CF439,IF(W439="掛金・負担金別",(AU439+AV439+AZ439+BB439+BD439),SUM(AU439:AY439))))</f>
        <v/>
      </c>
      <c r="Z439" s="27"/>
      <c r="AA439" s="29" t="str">
        <f aca="false">IF(OR(G439="",G439="なし"),"",IF(W439="掛金・負担金別",(AW439+AX439+AY439+BA439+BC439+BE439),IF(W439="経理区分別",AZ439+BA439,"")))</f>
        <v/>
      </c>
      <c r="AB439" s="27"/>
      <c r="AC439" s="29" t="str">
        <f aca="false">IF(OR(G439="",G439="なし"),"",IF(W439="経理区分別",BB439+BC439,""))</f>
        <v/>
      </c>
      <c r="AD439" s="27"/>
      <c r="AE439" s="29" t="str">
        <f aca="false">IF(OR(G439="",G439="なし"),"",IF(W439="経理区分別",BD439+BE439,""))</f>
        <v/>
      </c>
      <c r="AF439" s="27"/>
      <c r="AG439" s="26"/>
      <c r="AH439" s="26"/>
      <c r="AI439" s="30"/>
      <c r="AJ439" s="31"/>
      <c r="AK439" s="31"/>
      <c r="AL439" s="31" t="n">
        <v>103944</v>
      </c>
      <c r="AM439" s="31" t="n">
        <v>8520</v>
      </c>
      <c r="AN439" s="31" t="n">
        <v>106</v>
      </c>
      <c r="AO439" s="31"/>
      <c r="AP439" s="31" t="n">
        <v>62604</v>
      </c>
      <c r="AQ439" s="31"/>
      <c r="AR439" s="31" t="n">
        <v>8974</v>
      </c>
      <c r="AS439" s="31"/>
      <c r="AT439" s="31" t="n">
        <v>1</v>
      </c>
      <c r="AU439" s="31" t="n">
        <f aca="false">IF($G439="",AJ439,L439)</f>
        <v>0</v>
      </c>
      <c r="AV439" s="31" t="n">
        <f aca="false">IF($G439="",AK439,M439)</f>
        <v>0</v>
      </c>
      <c r="AW439" s="31" t="n">
        <f aca="false">IF($G439="",AL439,N439)</f>
        <v>103944</v>
      </c>
      <c r="AX439" s="31" t="n">
        <f aca="false">IF($G439="",AM439,O439)</f>
        <v>8520</v>
      </c>
      <c r="AY439" s="31" t="n">
        <f aca="false">IF($G439="",AN439,P439)</f>
        <v>106</v>
      </c>
      <c r="AZ439" s="31" t="n">
        <f aca="false">IF($G439="",AO439,Q439)</f>
        <v>0</v>
      </c>
      <c r="BA439" s="31" t="n">
        <f aca="false">IF($G439="",AP439,R439)</f>
        <v>62604</v>
      </c>
      <c r="BB439" s="31" t="n">
        <f aca="false">IF($G439="",AQ439,S439)</f>
        <v>0</v>
      </c>
      <c r="BC439" s="31" t="n">
        <f aca="false">IF($G439="",AR439,T439)</f>
        <v>8974</v>
      </c>
      <c r="BD439" s="31" t="n">
        <f aca="false">IF($G439="",AS439,U439)</f>
        <v>0</v>
      </c>
      <c r="BE439" s="31" t="n">
        <f aca="false">IF($G439="",AT439,V439)</f>
        <v>1</v>
      </c>
      <c r="BF439" s="31" t="n">
        <f aca="false">ROUNDDOWN(I439*設定!$B$10/1000,0)+ROUNDDOWN(I439*設定!$B$11/1000,0)</f>
        <v>0</v>
      </c>
      <c r="BG439" s="31" t="n">
        <f aca="false">ROUNDDOWN(I439*設定!$C$10/1000,0)+ROUNDDOWN(I439*設定!$C$11/1000,0)+ROUNDDOWN(I439*設定!$C$12/1000,0)</f>
        <v>0</v>
      </c>
      <c r="BH439" s="31" t="n">
        <f aca="false">ROUNDDOWN(J439*設定!$B$13/1000,0)</f>
        <v>0</v>
      </c>
      <c r="BI439" s="31" t="n">
        <f aca="false">ROUNDDOWN(J439*設定!$C$13/1000,0)</f>
        <v>0</v>
      </c>
      <c r="BJ439" s="31" t="n">
        <f aca="false">ROUNDDOWN(K439*設定!$B$14/1000,0)</f>
        <v>0</v>
      </c>
      <c r="BK439" s="31" t="n">
        <f aca="false">ROUNDDOWN(K439*設定!$C$14/1000,0)</f>
        <v>0</v>
      </c>
      <c r="BL439" s="31" t="n">
        <f aca="false">ROUNDDOWN(J439*設定!$B$15/1000,0)</f>
        <v>0</v>
      </c>
      <c r="BM439" s="31" t="n">
        <f aca="false">ROUNDDOWN(J439*設定!$C$15/1000,0)</f>
        <v>0</v>
      </c>
      <c r="BN439" s="31" t="n">
        <f aca="false">L439+M439</f>
        <v>0</v>
      </c>
      <c r="BO439" s="31" t="n">
        <f aca="false">N439+O439+P439</f>
        <v>0</v>
      </c>
      <c r="BP439" s="31" t="n">
        <f aca="false">Q439</f>
        <v>0</v>
      </c>
      <c r="BQ439" s="31" t="n">
        <f aca="false">R439</f>
        <v>0</v>
      </c>
      <c r="BR439" s="31" t="n">
        <f aca="false">S439</f>
        <v>0</v>
      </c>
      <c r="BS439" s="31" t="n">
        <f aca="false">T439</f>
        <v>0</v>
      </c>
      <c r="BT439" s="31" t="n">
        <f aca="false">U439</f>
        <v>0</v>
      </c>
      <c r="BU439" s="31" t="n">
        <f aca="false">V439</f>
        <v>0</v>
      </c>
      <c r="BV439" s="32" t="n">
        <f aca="false">IF(BF439=0,IF(BN439=0,0,1),(BN439-BF439)/BF439)</f>
        <v>0</v>
      </c>
      <c r="BW439" s="32" t="n">
        <f aca="false">IF(BG439=0,IF(BO439=0,0,1),(BO439-BG439)/BG439)</f>
        <v>0</v>
      </c>
      <c r="BX439" s="32" t="n">
        <f aca="false">IF(BH439=0,IF(BP439=0,0,1),(BP439-BH439)/BH439)</f>
        <v>0</v>
      </c>
      <c r="BY439" s="32" t="n">
        <f aca="false">IF(BI439=0,IF(BQ439=0,0,1),(BQ439-BI439)/BI439)</f>
        <v>0</v>
      </c>
      <c r="BZ439" s="32" t="n">
        <f aca="false">IF(BJ439=0,IF(BR439=0,0,1),(BR439-BJ439)/BJ439)</f>
        <v>0</v>
      </c>
      <c r="CA439" s="32" t="n">
        <f aca="false">IF(BK439=0,IF(BS439=0,0,1),(BS439-BK439)/BK439)</f>
        <v>0</v>
      </c>
      <c r="CB439" s="32" t="n">
        <f aca="false">IF(BL439=0,IF(BT439=0,0,1),(BT439-BL439)/BL439)</f>
        <v>0</v>
      </c>
      <c r="CC439" s="32" t="n">
        <f aca="false">IF(BM439=0,IF(BU439=0,0,1),(BU439-BM439)/BM439)</f>
        <v>0</v>
      </c>
      <c r="CD439" s="32" t="n">
        <f aca="false">MAX(MAX(BV439:CC439),-MIN(BV439:CC439))</f>
        <v>-0</v>
      </c>
      <c r="CE439" s="31" t="str">
        <f aca="false">IF(CI439="","",SUMIFS($CF$7:$CF$696,$A$7:$A$696,CI439,$B$7:$B$696,B439))</f>
        <v/>
      </c>
      <c r="CF439" s="31" t="n">
        <f aca="false">SUM(AU439:BE439)</f>
        <v>184149</v>
      </c>
      <c r="CG439" s="33" t="str">
        <f aca="false">A439&amp;"|"&amp;B439</f>
        <v>2026-12 賞与|都市整備公社　市</v>
      </c>
      <c r="CH439" s="34" t="str">
        <f aca="false">IFERROR(INDEX(設定!$D$61:$D$106,MATCH(B439,設定!$B$61:$B$106,0)),"Y")</f>
        <v>Y</v>
      </c>
      <c r="CI439" s="34" t="str">
        <f aca="false">IFERROR(INDEX(設定!$D$20:$D$34,MATCH(A439,設定!$A$20:$A$34,0))&amp;"","")</f>
        <v/>
      </c>
    </row>
    <row r="440" customFormat="false" ht="15" hidden="true" customHeight="false" outlineLevel="0" collapsed="false">
      <c r="A440" s="22" t="s">
        <v>217</v>
      </c>
      <c r="B440" s="23" t="s">
        <v>180</v>
      </c>
      <c r="C440" s="10" t="str">
        <f aca="false">IF(G440="","未受領",IF(G440="なし","報告なし",IF(AH440="○","起票済",IF(OR(AG440="○",F440="一致",F440="入金不要"),"入金確認済","受領済"))))</f>
        <v>未受領</v>
      </c>
      <c r="D440" s="10" t="str">
        <f aca="false">IF(OR(G440="",G440="なし"),"―",IF(CH440="N","対象外",IF(AND(I440="",J440="",K440=""),"標報未入力",IF(CD440&gt;=設定!$B$4,"要確認","問題なし"))))</f>
        <v>―</v>
      </c>
      <c r="E440" s="24" t="str">
        <f aca="false">IF(OR(G440="",G440="なし",CE440="",CF440=0),"―",IF(CF440=CE440,"前月同額",IF(CE440=0,"―",IF(ABS(CF440/CE440-1)&gt;=設定!$B$5,"変動大 "&amp;TEXT(CF440/CE440-1,"+0%;-0%"),"〇"))))</f>
        <v>―</v>
      </c>
      <c r="F440" s="10" t="str">
        <f aca="false">IF(OR(G440="",G440="なし"),"―",IF(CF440=0,"入金不要",IF(COUNT(Z440,AB440,AD440,AF440)=0,IF(AG440="○","手動確認","未入金"),IF(AND(N(Z440)=Y440,IF(AA440="",TRUE(),N(AB440)=AA440),IF(AC440="",TRUE(),N(AD440)=AC440),IF(AE440="",TRUE(),N(AF440)=AE440)),"一致","不一致"))))</f>
        <v>―</v>
      </c>
      <c r="G440" s="25"/>
      <c r="H440" s="26"/>
      <c r="I440" s="27"/>
      <c r="J440" s="27"/>
      <c r="K440" s="27"/>
      <c r="L440" s="27"/>
      <c r="M440" s="27"/>
      <c r="N440" s="27"/>
      <c r="O440" s="27"/>
      <c r="P440" s="27"/>
      <c r="Q440" s="27"/>
      <c r="R440" s="27"/>
      <c r="S440" s="27"/>
      <c r="T440" s="27"/>
      <c r="U440" s="27"/>
      <c r="V440" s="27"/>
      <c r="W440" s="10" t="str">
        <f aca="false">IFERROR(INDEX(設定!$E$61:$E$106,MATCH(B440,設定!$B$61:$B$106,0)),"合算")</f>
        <v>合算</v>
      </c>
      <c r="X440" s="28"/>
      <c r="Y440" s="29" t="str">
        <f aca="false">IF(OR(G440="",G440="なし"),"",IF(W440="合算",CF440,IF(W440="掛金・負担金別",(AU440+AV440+AZ440+BB440+BD440),SUM(AU440:AY440))))</f>
        <v/>
      </c>
      <c r="Z440" s="27"/>
      <c r="AA440" s="29" t="str">
        <f aca="false">IF(OR(G440="",G440="なし"),"",IF(W440="掛金・負担金別",(AW440+AX440+AY440+BA440+BC440+BE440),IF(W440="経理区分別",AZ440+BA440,"")))</f>
        <v/>
      </c>
      <c r="AB440" s="27"/>
      <c r="AC440" s="29" t="str">
        <f aca="false">IF(OR(G440="",G440="なし"),"",IF(W440="経理区分別",BB440+BC440,""))</f>
        <v/>
      </c>
      <c r="AD440" s="27"/>
      <c r="AE440" s="29" t="str">
        <f aca="false">IF(OR(G440="",G440="なし"),"",IF(W440="経理区分別",BD440+BE440,""))</f>
        <v/>
      </c>
      <c r="AF440" s="27"/>
      <c r="AG440" s="26"/>
      <c r="AH440" s="26"/>
      <c r="AI440" s="30"/>
      <c r="AJ440" s="31"/>
      <c r="AK440" s="31"/>
      <c r="AL440" s="31" t="n">
        <v>252084</v>
      </c>
      <c r="AM440" s="31" t="n">
        <v>20662</v>
      </c>
      <c r="AN440" s="31" t="n">
        <v>258</v>
      </c>
      <c r="AO440" s="31"/>
      <c r="AP440" s="31" t="n">
        <v>151828</v>
      </c>
      <c r="AQ440" s="31"/>
      <c r="AR440" s="31" t="n">
        <v>14788</v>
      </c>
      <c r="AS440" s="31"/>
      <c r="AT440" s="31" t="n">
        <v>1</v>
      </c>
      <c r="AU440" s="31" t="n">
        <f aca="false">IF($G440="",AJ440,L440)</f>
        <v>0</v>
      </c>
      <c r="AV440" s="31" t="n">
        <f aca="false">IF($G440="",AK440,M440)</f>
        <v>0</v>
      </c>
      <c r="AW440" s="31" t="n">
        <f aca="false">IF($G440="",AL440,N440)</f>
        <v>252084</v>
      </c>
      <c r="AX440" s="31" t="n">
        <f aca="false">IF($G440="",AM440,O440)</f>
        <v>20662</v>
      </c>
      <c r="AY440" s="31" t="n">
        <f aca="false">IF($G440="",AN440,P440)</f>
        <v>258</v>
      </c>
      <c r="AZ440" s="31" t="n">
        <f aca="false">IF($G440="",AO440,Q440)</f>
        <v>0</v>
      </c>
      <c r="BA440" s="31" t="n">
        <f aca="false">IF($G440="",AP440,R440)</f>
        <v>151828</v>
      </c>
      <c r="BB440" s="31" t="n">
        <f aca="false">IF($G440="",AQ440,S440)</f>
        <v>0</v>
      </c>
      <c r="BC440" s="31" t="n">
        <f aca="false">IF($G440="",AR440,T440)</f>
        <v>14788</v>
      </c>
      <c r="BD440" s="31" t="n">
        <f aca="false">IF($G440="",AS440,U440)</f>
        <v>0</v>
      </c>
      <c r="BE440" s="31" t="n">
        <f aca="false">IF($G440="",AT440,V440)</f>
        <v>1</v>
      </c>
      <c r="BF440" s="31" t="n">
        <f aca="false">ROUNDDOWN(I440*設定!$B$10/1000,0)+ROUNDDOWN(I440*設定!$B$11/1000,0)</f>
        <v>0</v>
      </c>
      <c r="BG440" s="31" t="n">
        <f aca="false">ROUNDDOWN(I440*設定!$C$10/1000,0)+ROUNDDOWN(I440*設定!$C$11/1000,0)+ROUNDDOWN(I440*設定!$C$12/1000,0)</f>
        <v>0</v>
      </c>
      <c r="BH440" s="31" t="n">
        <f aca="false">ROUNDDOWN(J440*設定!$B$13/1000,0)</f>
        <v>0</v>
      </c>
      <c r="BI440" s="31" t="n">
        <f aca="false">ROUNDDOWN(J440*設定!$C$13/1000,0)</f>
        <v>0</v>
      </c>
      <c r="BJ440" s="31" t="n">
        <f aca="false">ROUNDDOWN(K440*設定!$B$14/1000,0)</f>
        <v>0</v>
      </c>
      <c r="BK440" s="31" t="n">
        <f aca="false">ROUNDDOWN(K440*設定!$C$14/1000,0)</f>
        <v>0</v>
      </c>
      <c r="BL440" s="31" t="n">
        <f aca="false">ROUNDDOWN(J440*設定!$B$15/1000,0)</f>
        <v>0</v>
      </c>
      <c r="BM440" s="31" t="n">
        <f aca="false">ROUNDDOWN(J440*設定!$C$15/1000,0)</f>
        <v>0</v>
      </c>
      <c r="BN440" s="31" t="n">
        <f aca="false">L440+M440</f>
        <v>0</v>
      </c>
      <c r="BO440" s="31" t="n">
        <f aca="false">N440+O440+P440</f>
        <v>0</v>
      </c>
      <c r="BP440" s="31" t="n">
        <f aca="false">Q440</f>
        <v>0</v>
      </c>
      <c r="BQ440" s="31" t="n">
        <f aca="false">R440</f>
        <v>0</v>
      </c>
      <c r="BR440" s="31" t="n">
        <f aca="false">S440</f>
        <v>0</v>
      </c>
      <c r="BS440" s="31" t="n">
        <f aca="false">T440</f>
        <v>0</v>
      </c>
      <c r="BT440" s="31" t="n">
        <f aca="false">U440</f>
        <v>0</v>
      </c>
      <c r="BU440" s="31" t="n">
        <f aca="false">V440</f>
        <v>0</v>
      </c>
      <c r="BV440" s="32" t="n">
        <f aca="false">IF(BF440=0,IF(BN440=0,0,1),(BN440-BF440)/BF440)</f>
        <v>0</v>
      </c>
      <c r="BW440" s="32" t="n">
        <f aca="false">IF(BG440=0,IF(BO440=0,0,1),(BO440-BG440)/BG440)</f>
        <v>0</v>
      </c>
      <c r="BX440" s="32" t="n">
        <f aca="false">IF(BH440=0,IF(BP440=0,0,1),(BP440-BH440)/BH440)</f>
        <v>0</v>
      </c>
      <c r="BY440" s="32" t="n">
        <f aca="false">IF(BI440=0,IF(BQ440=0,0,1),(BQ440-BI440)/BI440)</f>
        <v>0</v>
      </c>
      <c r="BZ440" s="32" t="n">
        <f aca="false">IF(BJ440=0,IF(BR440=0,0,1),(BR440-BJ440)/BJ440)</f>
        <v>0</v>
      </c>
      <c r="CA440" s="32" t="n">
        <f aca="false">IF(BK440=0,IF(BS440=0,0,1),(BS440-BK440)/BK440)</f>
        <v>0</v>
      </c>
      <c r="CB440" s="32" t="n">
        <f aca="false">IF(BL440=0,IF(BT440=0,0,1),(BT440-BL440)/BL440)</f>
        <v>0</v>
      </c>
      <c r="CC440" s="32" t="n">
        <f aca="false">IF(BM440=0,IF(BU440=0,0,1),(BU440-BM440)/BM440)</f>
        <v>0</v>
      </c>
      <c r="CD440" s="32" t="n">
        <f aca="false">MAX(MAX(BV440:CC440),-MIN(BV440:CC440))</f>
        <v>-0</v>
      </c>
      <c r="CE440" s="31" t="str">
        <f aca="false">IF(CI440="","",SUMIFS($CF$7:$CF$696,$A$7:$A$696,CI440,$B$7:$B$696,B440))</f>
        <v/>
      </c>
      <c r="CF440" s="31" t="n">
        <f aca="false">SUM(AU440:BE440)</f>
        <v>439621</v>
      </c>
      <c r="CG440" s="33" t="str">
        <f aca="false">A440&amp;"|"&amp;B440</f>
        <v>2026-12 賞与|都市整備公社　消防</v>
      </c>
      <c r="CH440" s="34" t="str">
        <f aca="false">IFERROR(INDEX(設定!$D$61:$D$106,MATCH(B440,設定!$B$61:$B$106,0)),"Y")</f>
        <v>Y</v>
      </c>
      <c r="CI440" s="34" t="str">
        <f aca="false">IFERROR(INDEX(設定!$D$20:$D$34,MATCH(A440,設定!$A$20:$A$34,0))&amp;"","")</f>
        <v/>
      </c>
    </row>
    <row r="441" customFormat="false" ht="15" hidden="true" customHeight="false" outlineLevel="0" collapsed="false">
      <c r="A441" s="22" t="s">
        <v>217</v>
      </c>
      <c r="B441" s="23" t="s">
        <v>181</v>
      </c>
      <c r="C441" s="10" t="str">
        <f aca="false">IF(G441="","未受領",IF(G441="なし","報告なし",IF(AH441="○","起票済",IF(OR(AG441="○",F441="一致",F441="入金不要"),"入金確認済","受領済"))))</f>
        <v>未受領</v>
      </c>
      <c r="D441" s="10" t="str">
        <f aca="false">IF(OR(G441="",G441="なし"),"―",IF(CH441="N","対象外",IF(AND(I441="",J441="",K441=""),"標報未入力",IF(CD441&gt;=設定!$B$4,"要確認","問題なし"))))</f>
        <v>―</v>
      </c>
      <c r="E441" s="24" t="str">
        <f aca="false">IF(OR(G441="",G441="なし",CE441="",CF441=0),"―",IF(CF441=CE441,"前月同額",IF(CE441=0,"―",IF(ABS(CF441/CE441-1)&gt;=設定!$B$5,"変動大 "&amp;TEXT(CF441/CE441-1,"+0%;-0%"),"〇"))))</f>
        <v>―</v>
      </c>
      <c r="F441" s="10" t="str">
        <f aca="false">IF(OR(G441="",G441="なし"),"―",IF(CF441=0,"入金不要",IF(COUNT(Z441,AB441,AD441,AF441)=0,IF(AG441="○","手動確認","未入金"),IF(AND(N(Z441)=Y441,IF(AA441="",TRUE(),N(AB441)=AA441),IF(AC441="",TRUE(),N(AD441)=AC441),IF(AE441="",TRUE(),N(AF441)=AE441)),"一致","不一致"))))</f>
        <v>―</v>
      </c>
      <c r="G441" s="25"/>
      <c r="H441" s="26"/>
      <c r="I441" s="27"/>
      <c r="J441" s="27"/>
      <c r="K441" s="27"/>
      <c r="L441" s="27"/>
      <c r="M441" s="27"/>
      <c r="N441" s="27"/>
      <c r="O441" s="27"/>
      <c r="P441" s="27"/>
      <c r="Q441" s="27"/>
      <c r="R441" s="27"/>
      <c r="S441" s="27"/>
      <c r="T441" s="27"/>
      <c r="U441" s="27"/>
      <c r="V441" s="27"/>
      <c r="W441" s="10" t="str">
        <f aca="false">IFERROR(INDEX(設定!$E$61:$E$106,MATCH(B441,設定!$B$61:$B$106,0)),"合算")</f>
        <v>合算</v>
      </c>
      <c r="X441" s="28"/>
      <c r="Y441" s="29" t="str">
        <f aca="false">IF(OR(G441="",G441="なし"),"",IF(W441="合算",CF441,IF(W441="掛金・負担金別",(AU441+AV441+AZ441+BB441+BD441),SUM(AU441:AY441))))</f>
        <v/>
      </c>
      <c r="Z441" s="27"/>
      <c r="AA441" s="29" t="str">
        <f aca="false">IF(OR(G441="",G441="なし"),"",IF(W441="掛金・負担金別",(AW441+AX441+AY441+BA441+BC441+BE441),IF(W441="経理区分別",AZ441+BA441,"")))</f>
        <v/>
      </c>
      <c r="AB441" s="27"/>
      <c r="AC441" s="29" t="str">
        <f aca="false">IF(OR(G441="",G441="なし"),"",IF(W441="経理区分別",BB441+BC441,""))</f>
        <v/>
      </c>
      <c r="AD441" s="27"/>
      <c r="AE441" s="29" t="str">
        <f aca="false">IF(OR(G441="",G441="なし"),"",IF(W441="経理区分別",BD441+BE441,""))</f>
        <v/>
      </c>
      <c r="AF441" s="27"/>
      <c r="AG441" s="26"/>
      <c r="AH441" s="26"/>
      <c r="AI441" s="30"/>
      <c r="AJ441" s="31" t="n">
        <v>475616</v>
      </c>
      <c r="AK441" s="31" t="n">
        <v>38984</v>
      </c>
      <c r="AL441" s="31" t="n">
        <v>475618</v>
      </c>
      <c r="AM441" s="31" t="n">
        <v>38985</v>
      </c>
      <c r="AN441" s="31" t="n">
        <v>488</v>
      </c>
      <c r="AO441" s="31" t="n">
        <v>285940</v>
      </c>
      <c r="AP441" s="31" t="n">
        <v>286461</v>
      </c>
      <c r="AQ441" s="31" t="n">
        <v>19433</v>
      </c>
      <c r="AR441" s="31" t="n">
        <v>19434</v>
      </c>
      <c r="AS441" s="31" t="n">
        <v>1</v>
      </c>
      <c r="AT441" s="31" t="n">
        <v>1</v>
      </c>
      <c r="AU441" s="31" t="n">
        <f aca="false">IF($G441="",AJ441,L441)</f>
        <v>475616</v>
      </c>
      <c r="AV441" s="31" t="n">
        <f aca="false">IF($G441="",AK441,M441)</f>
        <v>38984</v>
      </c>
      <c r="AW441" s="31" t="n">
        <f aca="false">IF($G441="",AL441,N441)</f>
        <v>475618</v>
      </c>
      <c r="AX441" s="31" t="n">
        <f aca="false">IF($G441="",AM441,O441)</f>
        <v>38985</v>
      </c>
      <c r="AY441" s="31" t="n">
        <f aca="false">IF($G441="",AN441,P441)</f>
        <v>488</v>
      </c>
      <c r="AZ441" s="31" t="n">
        <f aca="false">IF($G441="",AO441,Q441)</f>
        <v>285940</v>
      </c>
      <c r="BA441" s="31" t="n">
        <f aca="false">IF($G441="",AP441,R441)</f>
        <v>286461</v>
      </c>
      <c r="BB441" s="31" t="n">
        <f aca="false">IF($G441="",AQ441,S441)</f>
        <v>19433</v>
      </c>
      <c r="BC441" s="31" t="n">
        <f aca="false">IF($G441="",AR441,T441)</f>
        <v>19434</v>
      </c>
      <c r="BD441" s="31" t="n">
        <f aca="false">IF($G441="",AS441,U441)</f>
        <v>1</v>
      </c>
      <c r="BE441" s="31" t="n">
        <f aca="false">IF($G441="",AT441,V441)</f>
        <v>1</v>
      </c>
      <c r="BF441" s="31" t="n">
        <f aca="false">ROUNDDOWN(I441*設定!$B$10/1000,0)+ROUNDDOWN(I441*設定!$B$11/1000,0)</f>
        <v>0</v>
      </c>
      <c r="BG441" s="31" t="n">
        <f aca="false">ROUNDDOWN(I441*設定!$C$10/1000,0)+ROUNDDOWN(I441*設定!$C$11/1000,0)+ROUNDDOWN(I441*設定!$C$12/1000,0)</f>
        <v>0</v>
      </c>
      <c r="BH441" s="31" t="n">
        <f aca="false">ROUNDDOWN(J441*設定!$B$13/1000,0)</f>
        <v>0</v>
      </c>
      <c r="BI441" s="31" t="n">
        <f aca="false">ROUNDDOWN(J441*設定!$C$13/1000,0)</f>
        <v>0</v>
      </c>
      <c r="BJ441" s="31" t="n">
        <f aca="false">ROUNDDOWN(K441*設定!$B$14/1000,0)</f>
        <v>0</v>
      </c>
      <c r="BK441" s="31" t="n">
        <f aca="false">ROUNDDOWN(K441*設定!$C$14/1000,0)</f>
        <v>0</v>
      </c>
      <c r="BL441" s="31" t="n">
        <f aca="false">ROUNDDOWN(J441*設定!$B$15/1000,0)</f>
        <v>0</v>
      </c>
      <c r="BM441" s="31" t="n">
        <f aca="false">ROUNDDOWN(J441*設定!$C$15/1000,0)</f>
        <v>0</v>
      </c>
      <c r="BN441" s="31" t="n">
        <f aca="false">L441+M441</f>
        <v>0</v>
      </c>
      <c r="BO441" s="31" t="n">
        <f aca="false">N441+O441+P441</f>
        <v>0</v>
      </c>
      <c r="BP441" s="31" t="n">
        <f aca="false">Q441</f>
        <v>0</v>
      </c>
      <c r="BQ441" s="31" t="n">
        <f aca="false">R441</f>
        <v>0</v>
      </c>
      <c r="BR441" s="31" t="n">
        <f aca="false">S441</f>
        <v>0</v>
      </c>
      <c r="BS441" s="31" t="n">
        <f aca="false">T441</f>
        <v>0</v>
      </c>
      <c r="BT441" s="31" t="n">
        <f aca="false">U441</f>
        <v>0</v>
      </c>
      <c r="BU441" s="31" t="n">
        <f aca="false">V441</f>
        <v>0</v>
      </c>
      <c r="BV441" s="32" t="n">
        <f aca="false">IF(BF441=0,IF(BN441=0,0,1),(BN441-BF441)/BF441)</f>
        <v>0</v>
      </c>
      <c r="BW441" s="32" t="n">
        <f aca="false">IF(BG441=0,IF(BO441=0,0,1),(BO441-BG441)/BG441)</f>
        <v>0</v>
      </c>
      <c r="BX441" s="32" t="n">
        <f aca="false">IF(BH441=0,IF(BP441=0,0,1),(BP441-BH441)/BH441)</f>
        <v>0</v>
      </c>
      <c r="BY441" s="32" t="n">
        <f aca="false">IF(BI441=0,IF(BQ441=0,0,1),(BQ441-BI441)/BI441)</f>
        <v>0</v>
      </c>
      <c r="BZ441" s="32" t="n">
        <f aca="false">IF(BJ441=0,IF(BR441=0,0,1),(BR441-BJ441)/BJ441)</f>
        <v>0</v>
      </c>
      <c r="CA441" s="32" t="n">
        <f aca="false">IF(BK441=0,IF(BS441=0,0,1),(BS441-BK441)/BK441)</f>
        <v>0</v>
      </c>
      <c r="CB441" s="32" t="n">
        <f aca="false">IF(BL441=0,IF(BT441=0,0,1),(BT441-BL441)/BL441)</f>
        <v>0</v>
      </c>
      <c r="CC441" s="32" t="n">
        <f aca="false">IF(BM441=0,IF(BU441=0,0,1),(BU441-BM441)/BM441)</f>
        <v>0</v>
      </c>
      <c r="CD441" s="32" t="n">
        <f aca="false">MAX(MAX(BV441:CC441),-MIN(BV441:CC441))</f>
        <v>-0</v>
      </c>
      <c r="CE441" s="31" t="str">
        <f aca="false">IF(CI441="","",SUMIFS($CF$7:$CF$696,$A$7:$A$696,CI441,$B$7:$B$696,B441))</f>
        <v/>
      </c>
      <c r="CF441" s="31" t="n">
        <f aca="false">SUM(AU441:BE441)</f>
        <v>1640961</v>
      </c>
      <c r="CG441" s="33" t="str">
        <f aca="false">A441&amp;"|"&amp;B441</f>
        <v>2026-12 賞与|日本下水道事業団</v>
      </c>
      <c r="CH441" s="34" t="str">
        <f aca="false">IFERROR(INDEX(設定!$D$61:$D$106,MATCH(B441,設定!$B$61:$B$106,0)),"Y")</f>
        <v>Y</v>
      </c>
      <c r="CI441" s="34" t="str">
        <f aca="false">IFERROR(INDEX(設定!$D$20:$D$34,MATCH(A441,設定!$A$20:$A$34,0))&amp;"","")</f>
        <v/>
      </c>
    </row>
    <row r="442" customFormat="false" ht="15" hidden="true" customHeight="false" outlineLevel="0" collapsed="false">
      <c r="A442" s="22" t="s">
        <v>217</v>
      </c>
      <c r="B442" s="23" t="s">
        <v>182</v>
      </c>
      <c r="C442" s="10" t="str">
        <f aca="false">IF(G442="","未受領",IF(G442="なし","報告なし",IF(AH442="○","起票済",IF(OR(AG442="○",F442="一致",F442="入金不要"),"入金確認済","受領済"))))</f>
        <v>未受領</v>
      </c>
      <c r="D442" s="10" t="str">
        <f aca="false">IF(OR(G442="",G442="なし"),"―",IF(CH442="N","対象外",IF(AND(I442="",J442="",K442=""),"標報未入力",IF(CD442&gt;=設定!$B$4,"要確認","問題なし"))))</f>
        <v>―</v>
      </c>
      <c r="E442" s="24" t="str">
        <f aca="false">IF(OR(G442="",G442="なし",CE442="",CF442=0),"―",IF(CF442=CE442,"前月同額",IF(CE442=0,"―",IF(ABS(CF442/CE442-1)&gt;=設定!$B$5,"変動大 "&amp;TEXT(CF442/CE442-1,"+0%;-0%"),"〇"))))</f>
        <v>―</v>
      </c>
      <c r="F442" s="10" t="str">
        <f aca="false">IF(OR(G442="",G442="なし"),"―",IF(CF442=0,"入金不要",IF(COUNT(Z442,AB442,AD442,AF442)=0,IF(AG442="○","手動確認","未入金"),IF(AND(N(Z442)=Y442,IF(AA442="",TRUE(),N(AB442)=AA442),IF(AC442="",TRUE(),N(AD442)=AC442),IF(AE442="",TRUE(),N(AF442)=AE442)),"一致","不一致"))))</f>
        <v>―</v>
      </c>
      <c r="G442" s="25"/>
      <c r="H442" s="26"/>
      <c r="I442" s="27"/>
      <c r="J442" s="27"/>
      <c r="K442" s="27"/>
      <c r="L442" s="27"/>
      <c r="M442" s="27"/>
      <c r="N442" s="27"/>
      <c r="O442" s="27"/>
      <c r="P442" s="27"/>
      <c r="Q442" s="27"/>
      <c r="R442" s="27"/>
      <c r="S442" s="27"/>
      <c r="T442" s="27"/>
      <c r="U442" s="27"/>
      <c r="V442" s="27"/>
      <c r="W442" s="10" t="str">
        <f aca="false">IFERROR(INDEX(設定!$E$61:$E$106,MATCH(B442,設定!$B$61:$B$106,0)),"合算")</f>
        <v>合算</v>
      </c>
      <c r="X442" s="28"/>
      <c r="Y442" s="29" t="str">
        <f aca="false">IF(OR(G442="",G442="なし"),"",IF(W442="合算",CF442,IF(W442="掛金・負担金別",(AU442+AV442+AZ442+BB442+BD442),SUM(AU442:AY442))))</f>
        <v/>
      </c>
      <c r="Z442" s="27"/>
      <c r="AA442" s="29" t="str">
        <f aca="false">IF(OR(G442="",G442="なし"),"",IF(W442="掛金・負担金別",(AW442+AX442+AY442+BA442+BC442+BE442),IF(W442="経理区分別",AZ442+BA442,"")))</f>
        <v/>
      </c>
      <c r="AB442" s="27"/>
      <c r="AC442" s="29" t="str">
        <f aca="false">IF(OR(G442="",G442="なし"),"",IF(W442="経理区分別",BB442+BC442,""))</f>
        <v/>
      </c>
      <c r="AD442" s="27"/>
      <c r="AE442" s="29" t="str">
        <f aca="false">IF(OR(G442="",G442="なし"),"",IF(W442="経理区分別",BD442+BE442,""))</f>
        <v/>
      </c>
      <c r="AF442" s="27"/>
      <c r="AG442" s="26"/>
      <c r="AH442" s="26"/>
      <c r="AI442" s="30"/>
      <c r="AJ442" s="31" t="n">
        <v>66246</v>
      </c>
      <c r="AK442" s="31" t="n">
        <v>5430</v>
      </c>
      <c r="AL442" s="31" t="n">
        <v>66246</v>
      </c>
      <c r="AM442" s="31" t="n">
        <v>5430</v>
      </c>
      <c r="AN442" s="31" t="n">
        <v>67</v>
      </c>
      <c r="AO442" s="31" t="n">
        <v>39827</v>
      </c>
      <c r="AP442" s="31" t="n">
        <v>39899</v>
      </c>
      <c r="AQ442" s="31" t="n">
        <v>0</v>
      </c>
      <c r="AR442" s="31" t="n">
        <v>0</v>
      </c>
      <c r="AS442" s="31" t="n">
        <v>1</v>
      </c>
      <c r="AT442" s="31" t="n">
        <v>1</v>
      </c>
      <c r="AU442" s="31" t="n">
        <f aca="false">IF($G442="",AJ442,L442)</f>
        <v>66246</v>
      </c>
      <c r="AV442" s="31" t="n">
        <f aca="false">IF($G442="",AK442,M442)</f>
        <v>5430</v>
      </c>
      <c r="AW442" s="31" t="n">
        <f aca="false">IF($G442="",AL442,N442)</f>
        <v>66246</v>
      </c>
      <c r="AX442" s="31" t="n">
        <f aca="false">IF($G442="",AM442,O442)</f>
        <v>5430</v>
      </c>
      <c r="AY442" s="31" t="n">
        <f aca="false">IF($G442="",AN442,P442)</f>
        <v>67</v>
      </c>
      <c r="AZ442" s="31" t="n">
        <f aca="false">IF($G442="",AO442,Q442)</f>
        <v>39827</v>
      </c>
      <c r="BA442" s="31" t="n">
        <f aca="false">IF($G442="",AP442,R442)</f>
        <v>39899</v>
      </c>
      <c r="BB442" s="31" t="n">
        <f aca="false">IF($G442="",AQ442,S442)</f>
        <v>0</v>
      </c>
      <c r="BC442" s="31" t="n">
        <f aca="false">IF($G442="",AR442,T442)</f>
        <v>0</v>
      </c>
      <c r="BD442" s="31" t="n">
        <f aca="false">IF($G442="",AS442,U442)</f>
        <v>1</v>
      </c>
      <c r="BE442" s="31" t="n">
        <f aca="false">IF($G442="",AT442,V442)</f>
        <v>1</v>
      </c>
      <c r="BF442" s="31" t="n">
        <f aca="false">ROUNDDOWN(I442*設定!$B$10/1000,0)+ROUNDDOWN(I442*設定!$B$11/1000,0)</f>
        <v>0</v>
      </c>
      <c r="BG442" s="31" t="n">
        <f aca="false">ROUNDDOWN(I442*設定!$C$10/1000,0)+ROUNDDOWN(I442*設定!$C$11/1000,0)+ROUNDDOWN(I442*設定!$C$12/1000,0)</f>
        <v>0</v>
      </c>
      <c r="BH442" s="31" t="n">
        <f aca="false">ROUNDDOWN(J442*設定!$B$13/1000,0)</f>
        <v>0</v>
      </c>
      <c r="BI442" s="31" t="n">
        <f aca="false">ROUNDDOWN(J442*設定!$C$13/1000,0)</f>
        <v>0</v>
      </c>
      <c r="BJ442" s="31" t="n">
        <f aca="false">ROUNDDOWN(K442*設定!$B$14/1000,0)</f>
        <v>0</v>
      </c>
      <c r="BK442" s="31" t="n">
        <f aca="false">ROUNDDOWN(K442*設定!$C$14/1000,0)</f>
        <v>0</v>
      </c>
      <c r="BL442" s="31" t="n">
        <f aca="false">ROUNDDOWN(J442*設定!$B$15/1000,0)</f>
        <v>0</v>
      </c>
      <c r="BM442" s="31" t="n">
        <f aca="false">ROUNDDOWN(J442*設定!$C$15/1000,0)</f>
        <v>0</v>
      </c>
      <c r="BN442" s="31" t="n">
        <f aca="false">L442+M442</f>
        <v>0</v>
      </c>
      <c r="BO442" s="31" t="n">
        <f aca="false">N442+O442+P442</f>
        <v>0</v>
      </c>
      <c r="BP442" s="31" t="n">
        <f aca="false">Q442</f>
        <v>0</v>
      </c>
      <c r="BQ442" s="31" t="n">
        <f aca="false">R442</f>
        <v>0</v>
      </c>
      <c r="BR442" s="31" t="n">
        <f aca="false">S442</f>
        <v>0</v>
      </c>
      <c r="BS442" s="31" t="n">
        <f aca="false">T442</f>
        <v>0</v>
      </c>
      <c r="BT442" s="31" t="n">
        <f aca="false">U442</f>
        <v>0</v>
      </c>
      <c r="BU442" s="31" t="n">
        <f aca="false">V442</f>
        <v>0</v>
      </c>
      <c r="BV442" s="32" t="n">
        <f aca="false">IF(BF442=0,IF(BN442=0,0,1),(BN442-BF442)/BF442)</f>
        <v>0</v>
      </c>
      <c r="BW442" s="32" t="n">
        <f aca="false">IF(BG442=0,IF(BO442=0,0,1),(BO442-BG442)/BG442)</f>
        <v>0</v>
      </c>
      <c r="BX442" s="32" t="n">
        <f aca="false">IF(BH442=0,IF(BP442=0,0,1),(BP442-BH442)/BH442)</f>
        <v>0</v>
      </c>
      <c r="BY442" s="32" t="n">
        <f aca="false">IF(BI442=0,IF(BQ442=0,0,1),(BQ442-BI442)/BI442)</f>
        <v>0</v>
      </c>
      <c r="BZ442" s="32" t="n">
        <f aca="false">IF(BJ442=0,IF(BR442=0,0,1),(BR442-BJ442)/BJ442)</f>
        <v>0</v>
      </c>
      <c r="CA442" s="32" t="n">
        <f aca="false">IF(BK442=0,IF(BS442=0,0,1),(BS442-BK442)/BK442)</f>
        <v>0</v>
      </c>
      <c r="CB442" s="32" t="n">
        <f aca="false">IF(BL442=0,IF(BT442=0,0,1),(BT442-BL442)/BL442)</f>
        <v>0</v>
      </c>
      <c r="CC442" s="32" t="n">
        <f aca="false">IF(BM442=0,IF(BU442=0,0,1),(BU442-BM442)/BM442)</f>
        <v>0</v>
      </c>
      <c r="CD442" s="32" t="n">
        <f aca="false">MAX(MAX(BV442:CC442),-MIN(BV442:CC442))</f>
        <v>-0</v>
      </c>
      <c r="CE442" s="31" t="str">
        <f aca="false">IF(CI442="","",SUMIFS($CF$7:$CF$696,$A$7:$A$696,CI442,$B$7:$B$696,B442))</f>
        <v/>
      </c>
      <c r="CF442" s="31" t="n">
        <f aca="false">SUM(AU442:BE442)</f>
        <v>223147</v>
      </c>
      <c r="CG442" s="33" t="str">
        <f aca="false">A442&amp;"|"&amp;B442</f>
        <v>2026-12 賞与|地方公務員災害補償基金本部</v>
      </c>
      <c r="CH442" s="34" t="str">
        <f aca="false">IFERROR(INDEX(設定!$D$61:$D$106,MATCH(B442,設定!$B$61:$B$106,0)),"Y")</f>
        <v>Y</v>
      </c>
      <c r="CI442" s="34" t="str">
        <f aca="false">IFERROR(INDEX(設定!$D$20:$D$34,MATCH(A442,設定!$A$20:$A$34,0))&amp;"","")</f>
        <v/>
      </c>
    </row>
    <row r="443" customFormat="false" ht="15" hidden="true" customHeight="false" outlineLevel="0" collapsed="false">
      <c r="A443" s="22" t="s">
        <v>217</v>
      </c>
      <c r="B443" s="23" t="s">
        <v>183</v>
      </c>
      <c r="C443" s="10" t="str">
        <f aca="false">IF(G443="","未受領",IF(G443="なし","報告なし",IF(AH443="○","起票済",IF(OR(AG443="○",F443="一致",F443="入金不要"),"入金確認済","受領済"))))</f>
        <v>未受領</v>
      </c>
      <c r="D443" s="10" t="str">
        <f aca="false">IF(OR(G443="",G443="なし"),"―",IF(CH443="N","対象外",IF(AND(I443="",J443="",K443=""),"標報未入力",IF(CD443&gt;=設定!$B$4,"要確認","問題なし"))))</f>
        <v>―</v>
      </c>
      <c r="E443" s="24" t="str">
        <f aca="false">IF(OR(G443="",G443="なし",CE443="",CF443=0),"―",IF(CF443=CE443,"前月同額",IF(CE443=0,"―",IF(ABS(CF443/CE443-1)&gt;=設定!$B$5,"変動大 "&amp;TEXT(CF443/CE443-1,"+0%;-0%"),"〇"))))</f>
        <v>―</v>
      </c>
      <c r="F443" s="10" t="str">
        <f aca="false">IF(OR(G443="",G443="なし"),"―",IF(CF443=0,"入金不要",IF(COUNT(Z443,AB443,AD443,AF443)=0,IF(AG443="○","手動確認","未入金"),IF(AND(N(Z443)=Y443,IF(AA443="",TRUE(),N(AB443)=AA443),IF(AC443="",TRUE(),N(AD443)=AC443),IF(AE443="",TRUE(),N(AF443)=AE443)),"一致","不一致"))))</f>
        <v>―</v>
      </c>
      <c r="G443" s="25"/>
      <c r="H443" s="26"/>
      <c r="I443" s="27"/>
      <c r="J443" s="27"/>
      <c r="K443" s="27"/>
      <c r="L443" s="27"/>
      <c r="M443" s="27"/>
      <c r="N443" s="27"/>
      <c r="O443" s="27"/>
      <c r="P443" s="27"/>
      <c r="Q443" s="27"/>
      <c r="R443" s="27"/>
      <c r="S443" s="27"/>
      <c r="T443" s="27"/>
      <c r="U443" s="27"/>
      <c r="V443" s="27"/>
      <c r="W443" s="10" t="str">
        <f aca="false">IFERROR(INDEX(設定!$E$61:$E$106,MATCH(B443,設定!$B$61:$B$106,0)),"合算")</f>
        <v>合算</v>
      </c>
      <c r="X443" s="28"/>
      <c r="Y443" s="29" t="str">
        <f aca="false">IF(OR(G443="",G443="なし"),"",IF(W443="合算",CF443,IF(W443="掛金・負担金別",(AU443+AV443+AZ443+BB443+BD443),SUM(AU443:AY443))))</f>
        <v/>
      </c>
      <c r="Z443" s="27"/>
      <c r="AA443" s="29" t="str">
        <f aca="false">IF(OR(G443="",G443="なし"),"",IF(W443="掛金・負担金別",(AW443+AX443+AY443+BA443+BC443+BE443),IF(W443="経理区分別",AZ443+BA443,"")))</f>
        <v/>
      </c>
      <c r="AB443" s="27"/>
      <c r="AC443" s="29" t="str">
        <f aca="false">IF(OR(G443="",G443="なし"),"",IF(W443="経理区分別",BB443+BC443,""))</f>
        <v/>
      </c>
      <c r="AD443" s="27"/>
      <c r="AE443" s="29" t="str">
        <f aca="false">IF(OR(G443="",G443="なし"),"",IF(W443="経理区分別",BD443+BE443,""))</f>
        <v/>
      </c>
      <c r="AF443" s="27"/>
      <c r="AG443" s="26"/>
      <c r="AH443" s="26"/>
      <c r="AI443" s="30"/>
      <c r="AJ443" s="31" t="n">
        <v>171562</v>
      </c>
      <c r="AK443" s="31" t="n">
        <v>14062</v>
      </c>
      <c r="AL443" s="31" t="n">
        <v>171563</v>
      </c>
      <c r="AM443" s="31" t="n">
        <v>14062</v>
      </c>
      <c r="AN443" s="31" t="n">
        <v>176</v>
      </c>
      <c r="AO443" s="31" t="n">
        <v>103142</v>
      </c>
      <c r="AP443" s="31" t="n">
        <v>103331</v>
      </c>
      <c r="AQ443" s="31" t="n">
        <v>7828</v>
      </c>
      <c r="AR443" s="31" t="n">
        <v>7828</v>
      </c>
      <c r="AS443" s="31" t="n">
        <v>1</v>
      </c>
      <c r="AT443" s="31" t="n">
        <v>1</v>
      </c>
      <c r="AU443" s="31" t="n">
        <f aca="false">IF($G443="",AJ443,L443)</f>
        <v>171562</v>
      </c>
      <c r="AV443" s="31" t="n">
        <f aca="false">IF($G443="",AK443,M443)</f>
        <v>14062</v>
      </c>
      <c r="AW443" s="31" t="n">
        <f aca="false">IF($G443="",AL443,N443)</f>
        <v>171563</v>
      </c>
      <c r="AX443" s="31" t="n">
        <f aca="false">IF($G443="",AM443,O443)</f>
        <v>14062</v>
      </c>
      <c r="AY443" s="31" t="n">
        <f aca="false">IF($G443="",AN443,P443)</f>
        <v>176</v>
      </c>
      <c r="AZ443" s="31" t="n">
        <f aca="false">IF($G443="",AO443,Q443)</f>
        <v>103142</v>
      </c>
      <c r="BA443" s="31" t="n">
        <f aca="false">IF($G443="",AP443,R443)</f>
        <v>103331</v>
      </c>
      <c r="BB443" s="31" t="n">
        <f aca="false">IF($G443="",AQ443,S443)</f>
        <v>7828</v>
      </c>
      <c r="BC443" s="31" t="n">
        <f aca="false">IF($G443="",AR443,T443)</f>
        <v>7828</v>
      </c>
      <c r="BD443" s="31" t="n">
        <f aca="false">IF($G443="",AS443,U443)</f>
        <v>1</v>
      </c>
      <c r="BE443" s="31" t="n">
        <f aca="false">IF($G443="",AT443,V443)</f>
        <v>1</v>
      </c>
      <c r="BF443" s="31" t="n">
        <f aca="false">ROUNDDOWN(I443*設定!$B$10/1000,0)+ROUNDDOWN(I443*設定!$B$11/1000,0)</f>
        <v>0</v>
      </c>
      <c r="BG443" s="31" t="n">
        <f aca="false">ROUNDDOWN(I443*設定!$C$10/1000,0)+ROUNDDOWN(I443*設定!$C$11/1000,0)+ROUNDDOWN(I443*設定!$C$12/1000,0)</f>
        <v>0</v>
      </c>
      <c r="BH443" s="31" t="n">
        <f aca="false">ROUNDDOWN(J443*設定!$B$13/1000,0)</f>
        <v>0</v>
      </c>
      <c r="BI443" s="31" t="n">
        <f aca="false">ROUNDDOWN(J443*設定!$C$13/1000,0)</f>
        <v>0</v>
      </c>
      <c r="BJ443" s="31" t="n">
        <f aca="false">ROUNDDOWN(K443*設定!$B$14/1000,0)</f>
        <v>0</v>
      </c>
      <c r="BK443" s="31" t="n">
        <f aca="false">ROUNDDOWN(K443*設定!$C$14/1000,0)</f>
        <v>0</v>
      </c>
      <c r="BL443" s="31" t="n">
        <f aca="false">ROUNDDOWN(J443*設定!$B$15/1000,0)</f>
        <v>0</v>
      </c>
      <c r="BM443" s="31" t="n">
        <f aca="false">ROUNDDOWN(J443*設定!$C$15/1000,0)</f>
        <v>0</v>
      </c>
      <c r="BN443" s="31" t="n">
        <f aca="false">L443+M443</f>
        <v>0</v>
      </c>
      <c r="BO443" s="31" t="n">
        <f aca="false">N443+O443+P443</f>
        <v>0</v>
      </c>
      <c r="BP443" s="31" t="n">
        <f aca="false">Q443</f>
        <v>0</v>
      </c>
      <c r="BQ443" s="31" t="n">
        <f aca="false">R443</f>
        <v>0</v>
      </c>
      <c r="BR443" s="31" t="n">
        <f aca="false">S443</f>
        <v>0</v>
      </c>
      <c r="BS443" s="31" t="n">
        <f aca="false">T443</f>
        <v>0</v>
      </c>
      <c r="BT443" s="31" t="n">
        <f aca="false">U443</f>
        <v>0</v>
      </c>
      <c r="BU443" s="31" t="n">
        <f aca="false">V443</f>
        <v>0</v>
      </c>
      <c r="BV443" s="32" t="n">
        <f aca="false">IF(BF443=0,IF(BN443=0,0,1),(BN443-BF443)/BF443)</f>
        <v>0</v>
      </c>
      <c r="BW443" s="32" t="n">
        <f aca="false">IF(BG443=0,IF(BO443=0,0,1),(BO443-BG443)/BG443)</f>
        <v>0</v>
      </c>
      <c r="BX443" s="32" t="n">
        <f aca="false">IF(BH443=0,IF(BP443=0,0,1),(BP443-BH443)/BH443)</f>
        <v>0</v>
      </c>
      <c r="BY443" s="32" t="n">
        <f aca="false">IF(BI443=0,IF(BQ443=0,0,1),(BQ443-BI443)/BI443)</f>
        <v>0</v>
      </c>
      <c r="BZ443" s="32" t="n">
        <f aca="false">IF(BJ443=0,IF(BR443=0,0,1),(BR443-BJ443)/BJ443)</f>
        <v>0</v>
      </c>
      <c r="CA443" s="32" t="n">
        <f aca="false">IF(BK443=0,IF(BS443=0,0,1),(BS443-BK443)/BK443)</f>
        <v>0</v>
      </c>
      <c r="CB443" s="32" t="n">
        <f aca="false">IF(BL443=0,IF(BT443=0,0,1),(BT443-BL443)/BL443)</f>
        <v>0</v>
      </c>
      <c r="CC443" s="32" t="n">
        <f aca="false">IF(BM443=0,IF(BU443=0,0,1),(BU443-BM443)/BM443)</f>
        <v>0</v>
      </c>
      <c r="CD443" s="32" t="n">
        <f aca="false">MAX(MAX(BV443:CC443),-MIN(BV443:CC443))</f>
        <v>-0</v>
      </c>
      <c r="CE443" s="31" t="str">
        <f aca="false">IF(CI443="","",SUMIFS($CF$7:$CF$696,$A$7:$A$696,CI443,$B$7:$B$696,B443))</f>
        <v/>
      </c>
      <c r="CF443" s="31" t="n">
        <f aca="false">SUM(AU443:BE443)</f>
        <v>593556</v>
      </c>
      <c r="CG443" s="33" t="str">
        <f aca="false">A443&amp;"|"&amp;B443</f>
        <v>2026-12 賞与|救急振興財団</v>
      </c>
      <c r="CH443" s="34" t="str">
        <f aca="false">IFERROR(INDEX(設定!$D$61:$D$106,MATCH(B443,設定!$B$61:$B$106,0)),"Y")</f>
        <v>Y</v>
      </c>
      <c r="CI443" s="34" t="str">
        <f aca="false">IFERROR(INDEX(設定!$D$20:$D$34,MATCH(A443,設定!$A$20:$A$34,0))&amp;"","")</f>
        <v/>
      </c>
    </row>
    <row r="444" customFormat="false" ht="15" hidden="true" customHeight="false" outlineLevel="0" collapsed="false">
      <c r="A444" s="22" t="s">
        <v>217</v>
      </c>
      <c r="B444" s="23" t="s">
        <v>184</v>
      </c>
      <c r="C444" s="10" t="str">
        <f aca="false">IF(G444="","未受領",IF(G444="なし","報告なし",IF(AH444="○","起票済",IF(OR(AG444="○",F444="一致",F444="入金不要"),"入金確認済","受領済"))))</f>
        <v>未受領</v>
      </c>
      <c r="D444" s="10" t="str">
        <f aca="false">IF(OR(G444="",G444="なし"),"―",IF(CH444="N","対象外",IF(AND(I444="",J444="",K444=""),"標報未入力",IF(CD444&gt;=設定!$B$4,"要確認","問題なし"))))</f>
        <v>―</v>
      </c>
      <c r="E444" s="24" t="str">
        <f aca="false">IF(OR(G444="",G444="なし",CE444="",CF444=0),"―",IF(CF444=CE444,"前月同額",IF(CE444=0,"―",IF(ABS(CF444/CE444-1)&gt;=設定!$B$5,"変動大 "&amp;TEXT(CF444/CE444-1,"+0%;-0%"),"〇"))))</f>
        <v>―</v>
      </c>
      <c r="F444" s="10" t="str">
        <f aca="false">IF(OR(G444="",G444="なし"),"―",IF(CF444=0,"入金不要",IF(COUNT(Z444,AB444,AD444,AF444)=0,IF(AG444="○","手動確認","未入金"),IF(AND(N(Z444)=Y444,IF(AA444="",TRUE(),N(AB444)=AA444),IF(AC444="",TRUE(),N(AD444)=AC444),IF(AE444="",TRUE(),N(AF444)=AE444)),"一致","不一致"))))</f>
        <v>―</v>
      </c>
      <c r="G444" s="25"/>
      <c r="H444" s="26"/>
      <c r="I444" s="27"/>
      <c r="J444" s="27"/>
      <c r="K444" s="27"/>
      <c r="L444" s="27"/>
      <c r="M444" s="27"/>
      <c r="N444" s="27"/>
      <c r="O444" s="27"/>
      <c r="P444" s="27"/>
      <c r="Q444" s="27"/>
      <c r="R444" s="27"/>
      <c r="S444" s="27"/>
      <c r="T444" s="27"/>
      <c r="U444" s="27"/>
      <c r="V444" s="27"/>
      <c r="W444" s="10" t="str">
        <f aca="false">IFERROR(INDEX(設定!$E$61:$E$106,MATCH(B444,設定!$B$61:$B$106,0)),"合算")</f>
        <v>合算</v>
      </c>
      <c r="X444" s="28"/>
      <c r="Y444" s="29" t="str">
        <f aca="false">IF(OR(G444="",G444="なし"),"",IF(W444="合算",CF444,IF(W444="掛金・負担金別",(AU444+AV444+AZ444+BB444+BD444),SUM(AU444:AY444))))</f>
        <v/>
      </c>
      <c r="Z444" s="27"/>
      <c r="AA444" s="29" t="str">
        <f aca="false">IF(OR(G444="",G444="なし"),"",IF(W444="掛金・負担金別",(AW444+AX444+AY444+BA444+BC444+BE444),IF(W444="経理区分別",AZ444+BA444,"")))</f>
        <v/>
      </c>
      <c r="AB444" s="27"/>
      <c r="AC444" s="29" t="str">
        <f aca="false">IF(OR(G444="",G444="なし"),"",IF(W444="経理区分別",BB444+BC444,""))</f>
        <v/>
      </c>
      <c r="AD444" s="27"/>
      <c r="AE444" s="29" t="str">
        <f aca="false">IF(OR(G444="",G444="なし"),"",IF(W444="経理区分別",BD444+BE444,""))</f>
        <v/>
      </c>
      <c r="AF444" s="27"/>
      <c r="AG444" s="26"/>
      <c r="AH444" s="26"/>
      <c r="AI444" s="30"/>
      <c r="AJ444" s="31" t="n">
        <v>1785344</v>
      </c>
      <c r="AK444" s="31" t="n">
        <v>146336</v>
      </c>
      <c r="AL444" s="31" t="n">
        <v>1785348</v>
      </c>
      <c r="AM444" s="31" t="n">
        <v>146340</v>
      </c>
      <c r="AN444" s="31" t="n">
        <v>1832</v>
      </c>
      <c r="AO444" s="31" t="n">
        <v>1073346</v>
      </c>
      <c r="AP444" s="31" t="n">
        <v>1075306</v>
      </c>
      <c r="AQ444" s="31" t="n">
        <v>104204</v>
      </c>
      <c r="AR444" s="31" t="n">
        <v>104208</v>
      </c>
      <c r="AS444" s="31" t="n">
        <v>1</v>
      </c>
      <c r="AT444" s="31" t="n">
        <v>1</v>
      </c>
      <c r="AU444" s="31" t="n">
        <f aca="false">IF($G444="",AJ444,L444)</f>
        <v>1785344</v>
      </c>
      <c r="AV444" s="31" t="n">
        <f aca="false">IF($G444="",AK444,M444)</f>
        <v>146336</v>
      </c>
      <c r="AW444" s="31" t="n">
        <f aca="false">IF($G444="",AL444,N444)</f>
        <v>1785348</v>
      </c>
      <c r="AX444" s="31" t="n">
        <f aca="false">IF($G444="",AM444,O444)</f>
        <v>146340</v>
      </c>
      <c r="AY444" s="31" t="n">
        <f aca="false">IF($G444="",AN444,P444)</f>
        <v>1832</v>
      </c>
      <c r="AZ444" s="31" t="n">
        <f aca="false">IF($G444="",AO444,Q444)</f>
        <v>1073346</v>
      </c>
      <c r="BA444" s="31" t="n">
        <f aca="false">IF($G444="",AP444,R444)</f>
        <v>1075306</v>
      </c>
      <c r="BB444" s="31" t="n">
        <f aca="false">IF($G444="",AQ444,S444)</f>
        <v>104204</v>
      </c>
      <c r="BC444" s="31" t="n">
        <f aca="false">IF($G444="",AR444,T444)</f>
        <v>104208</v>
      </c>
      <c r="BD444" s="31" t="n">
        <f aca="false">IF($G444="",AS444,U444)</f>
        <v>1</v>
      </c>
      <c r="BE444" s="31" t="n">
        <f aca="false">IF($G444="",AT444,V444)</f>
        <v>1</v>
      </c>
      <c r="BF444" s="31" t="n">
        <f aca="false">ROUNDDOWN(I444*設定!$B$10/1000,0)+ROUNDDOWN(I444*設定!$B$11/1000,0)</f>
        <v>0</v>
      </c>
      <c r="BG444" s="31" t="n">
        <f aca="false">ROUNDDOWN(I444*設定!$C$10/1000,0)+ROUNDDOWN(I444*設定!$C$11/1000,0)+ROUNDDOWN(I444*設定!$C$12/1000,0)</f>
        <v>0</v>
      </c>
      <c r="BH444" s="31" t="n">
        <f aca="false">ROUNDDOWN(J444*設定!$B$13/1000,0)</f>
        <v>0</v>
      </c>
      <c r="BI444" s="31" t="n">
        <f aca="false">ROUNDDOWN(J444*設定!$C$13/1000,0)</f>
        <v>0</v>
      </c>
      <c r="BJ444" s="31" t="n">
        <f aca="false">ROUNDDOWN(K444*設定!$B$14/1000,0)</f>
        <v>0</v>
      </c>
      <c r="BK444" s="31" t="n">
        <f aca="false">ROUNDDOWN(K444*設定!$C$14/1000,0)</f>
        <v>0</v>
      </c>
      <c r="BL444" s="31" t="n">
        <f aca="false">ROUNDDOWN(J444*設定!$B$15/1000,0)</f>
        <v>0</v>
      </c>
      <c r="BM444" s="31" t="n">
        <f aca="false">ROUNDDOWN(J444*設定!$C$15/1000,0)</f>
        <v>0</v>
      </c>
      <c r="BN444" s="31" t="n">
        <f aca="false">L444+M444</f>
        <v>0</v>
      </c>
      <c r="BO444" s="31" t="n">
        <f aca="false">N444+O444+P444</f>
        <v>0</v>
      </c>
      <c r="BP444" s="31" t="n">
        <f aca="false">Q444</f>
        <v>0</v>
      </c>
      <c r="BQ444" s="31" t="n">
        <f aca="false">R444</f>
        <v>0</v>
      </c>
      <c r="BR444" s="31" t="n">
        <f aca="false">S444</f>
        <v>0</v>
      </c>
      <c r="BS444" s="31" t="n">
        <f aca="false">T444</f>
        <v>0</v>
      </c>
      <c r="BT444" s="31" t="n">
        <f aca="false">U444</f>
        <v>0</v>
      </c>
      <c r="BU444" s="31" t="n">
        <f aca="false">V444</f>
        <v>0</v>
      </c>
      <c r="BV444" s="32" t="n">
        <f aca="false">IF(BF444=0,IF(BN444=0,0,1),(BN444-BF444)/BF444)</f>
        <v>0</v>
      </c>
      <c r="BW444" s="32" t="n">
        <f aca="false">IF(BG444=0,IF(BO444=0,0,1),(BO444-BG444)/BG444)</f>
        <v>0</v>
      </c>
      <c r="BX444" s="32" t="n">
        <f aca="false">IF(BH444=0,IF(BP444=0,0,1),(BP444-BH444)/BH444)</f>
        <v>0</v>
      </c>
      <c r="BY444" s="32" t="n">
        <f aca="false">IF(BI444=0,IF(BQ444=0,0,1),(BQ444-BI444)/BI444)</f>
        <v>0</v>
      </c>
      <c r="BZ444" s="32" t="n">
        <f aca="false">IF(BJ444=0,IF(BR444=0,0,1),(BR444-BJ444)/BJ444)</f>
        <v>0</v>
      </c>
      <c r="CA444" s="32" t="n">
        <f aca="false">IF(BK444=0,IF(BS444=0,0,1),(BS444-BK444)/BK444)</f>
        <v>0</v>
      </c>
      <c r="CB444" s="32" t="n">
        <f aca="false">IF(BL444=0,IF(BT444=0,0,1),(BT444-BL444)/BL444)</f>
        <v>0</v>
      </c>
      <c r="CC444" s="32" t="n">
        <f aca="false">IF(BM444=0,IF(BU444=0,0,1),(BU444-BM444)/BM444)</f>
        <v>0</v>
      </c>
      <c r="CD444" s="32" t="n">
        <f aca="false">MAX(MAX(BV444:CC444),-MIN(BV444:CC444))</f>
        <v>-0</v>
      </c>
      <c r="CE444" s="31" t="str">
        <f aca="false">IF(CI444="","",SUMIFS($CF$7:$CF$696,$A$7:$A$696,CI444,$B$7:$B$696,B444))</f>
        <v/>
      </c>
      <c r="CF444" s="31" t="n">
        <f aca="false">SUM(AU444:BE444)</f>
        <v>6222266</v>
      </c>
      <c r="CG444" s="33" t="str">
        <f aca="false">A444&amp;"|"&amp;B444</f>
        <v>2026-12 賞与|高速道路公社</v>
      </c>
      <c r="CH444" s="34" t="str">
        <f aca="false">IFERROR(INDEX(設定!$D$61:$D$106,MATCH(B444,設定!$B$61:$B$106,0)),"Y")</f>
        <v>Y</v>
      </c>
      <c r="CI444" s="34" t="str">
        <f aca="false">IFERROR(INDEX(設定!$D$20:$D$34,MATCH(A444,設定!$A$20:$A$34,0))&amp;"","")</f>
        <v/>
      </c>
    </row>
    <row r="445" customFormat="false" ht="15" hidden="true" customHeight="false" outlineLevel="0" collapsed="false">
      <c r="A445" s="22" t="s">
        <v>217</v>
      </c>
      <c r="B445" s="23" t="s">
        <v>185</v>
      </c>
      <c r="C445" s="10" t="str">
        <f aca="false">IF(G445="","未受領",IF(G445="なし","報告なし",IF(AH445="○","起票済",IF(OR(AG445="○",F445="一致",F445="入金不要"),"入金確認済","受領済"))))</f>
        <v>未受領</v>
      </c>
      <c r="D445" s="10" t="str">
        <f aca="false">IF(OR(G445="",G445="なし"),"―",IF(CH445="N","対象外",IF(AND(I445="",J445="",K445=""),"標報未入力",IF(CD445&gt;=設定!$B$4,"要確認","問題なし"))))</f>
        <v>―</v>
      </c>
      <c r="E445" s="24" t="str">
        <f aca="false">IF(OR(G445="",G445="なし",CE445="",CF445=0),"―",IF(CF445=CE445,"前月同額",IF(CE445=0,"―",IF(ABS(CF445/CE445-1)&gt;=設定!$B$5,"変動大 "&amp;TEXT(CF445/CE445-1,"+0%;-0%"),"〇"))))</f>
        <v>―</v>
      </c>
      <c r="F445" s="10" t="str">
        <f aca="false">IF(OR(G445="",G445="なし"),"―",IF(CF445=0,"入金不要",IF(COUNT(Z445,AB445,AD445,AF445)=0,IF(AG445="○","手動確認","未入金"),IF(AND(N(Z445)=Y445,IF(AA445="",TRUE(),N(AB445)=AA445),IF(AC445="",TRUE(),N(AD445)=AC445),IF(AE445="",TRUE(),N(AF445)=AE445)),"一致","不一致"))))</f>
        <v>―</v>
      </c>
      <c r="G445" s="25"/>
      <c r="H445" s="26"/>
      <c r="I445" s="27"/>
      <c r="J445" s="27"/>
      <c r="K445" s="27"/>
      <c r="L445" s="27"/>
      <c r="M445" s="27"/>
      <c r="N445" s="27"/>
      <c r="O445" s="27"/>
      <c r="P445" s="27"/>
      <c r="Q445" s="27"/>
      <c r="R445" s="27"/>
      <c r="S445" s="27"/>
      <c r="T445" s="27"/>
      <c r="U445" s="27"/>
      <c r="V445" s="27"/>
      <c r="W445" s="10" t="str">
        <f aca="false">IFERROR(INDEX(設定!$E$61:$E$106,MATCH(B445,設定!$B$61:$B$106,0)),"合算")</f>
        <v>合算</v>
      </c>
      <c r="X445" s="28"/>
      <c r="Y445" s="29" t="str">
        <f aca="false">IF(OR(G445="",G445="なし"),"",IF(W445="合算",CF445,IF(W445="掛金・負担金別",(AU445+AV445+AZ445+BB445+BD445),SUM(AU445:AY445))))</f>
        <v/>
      </c>
      <c r="Z445" s="27"/>
      <c r="AA445" s="29" t="str">
        <f aca="false">IF(OR(G445="",G445="なし"),"",IF(W445="掛金・負担金別",(AW445+AX445+AY445+BA445+BC445+BE445),IF(W445="経理区分別",AZ445+BA445,"")))</f>
        <v/>
      </c>
      <c r="AB445" s="27"/>
      <c r="AC445" s="29" t="str">
        <f aca="false">IF(OR(G445="",G445="なし"),"",IF(W445="経理区分別",BB445+BC445,""))</f>
        <v/>
      </c>
      <c r="AD445" s="27"/>
      <c r="AE445" s="29" t="str">
        <f aca="false">IF(OR(G445="",G445="なし"),"",IF(W445="経理区分別",BD445+BE445,""))</f>
        <v/>
      </c>
      <c r="AF445" s="27"/>
      <c r="AG445" s="26"/>
      <c r="AH445" s="26"/>
      <c r="AI445" s="30"/>
      <c r="AJ445" s="31"/>
      <c r="AK445" s="31"/>
      <c r="AL445" s="31" t="n">
        <v>1116024</v>
      </c>
      <c r="AM445" s="31" t="n">
        <v>91476</v>
      </c>
      <c r="AN445" s="31" t="n">
        <v>1202</v>
      </c>
      <c r="AO445" s="31"/>
      <c r="AP445" s="31" t="n">
        <v>672237</v>
      </c>
      <c r="AQ445" s="31"/>
      <c r="AR445" s="31" t="n">
        <v>56215</v>
      </c>
      <c r="AS445" s="31"/>
      <c r="AT445" s="31" t="n">
        <v>1</v>
      </c>
      <c r="AU445" s="31" t="n">
        <f aca="false">IF($G445="",AJ445,L445)</f>
        <v>0</v>
      </c>
      <c r="AV445" s="31" t="n">
        <f aca="false">IF($G445="",AK445,M445)</f>
        <v>0</v>
      </c>
      <c r="AW445" s="31" t="n">
        <f aca="false">IF($G445="",AL445,N445)</f>
        <v>1116024</v>
      </c>
      <c r="AX445" s="31" t="n">
        <f aca="false">IF($G445="",AM445,O445)</f>
        <v>91476</v>
      </c>
      <c r="AY445" s="31" t="n">
        <f aca="false">IF($G445="",AN445,P445)</f>
        <v>1202</v>
      </c>
      <c r="AZ445" s="31" t="n">
        <f aca="false">IF($G445="",AO445,Q445)</f>
        <v>0</v>
      </c>
      <c r="BA445" s="31" t="n">
        <f aca="false">IF($G445="",AP445,R445)</f>
        <v>672237</v>
      </c>
      <c r="BB445" s="31" t="n">
        <f aca="false">IF($G445="",AQ445,S445)</f>
        <v>0</v>
      </c>
      <c r="BC445" s="31" t="n">
        <f aca="false">IF($G445="",AR445,T445)</f>
        <v>56215</v>
      </c>
      <c r="BD445" s="31" t="n">
        <f aca="false">IF($G445="",AS445,U445)</f>
        <v>0</v>
      </c>
      <c r="BE445" s="31" t="n">
        <f aca="false">IF($G445="",AT445,V445)</f>
        <v>1</v>
      </c>
      <c r="BF445" s="31" t="n">
        <f aca="false">ROUNDDOWN(I445*設定!$B$10/1000,0)+ROUNDDOWN(I445*設定!$B$11/1000,0)</f>
        <v>0</v>
      </c>
      <c r="BG445" s="31" t="n">
        <f aca="false">ROUNDDOWN(I445*設定!$C$10/1000,0)+ROUNDDOWN(I445*設定!$C$11/1000,0)+ROUNDDOWN(I445*設定!$C$12/1000,0)</f>
        <v>0</v>
      </c>
      <c r="BH445" s="31" t="n">
        <f aca="false">ROUNDDOWN(J445*設定!$B$13/1000,0)</f>
        <v>0</v>
      </c>
      <c r="BI445" s="31" t="n">
        <f aca="false">ROUNDDOWN(J445*設定!$C$13/1000,0)</f>
        <v>0</v>
      </c>
      <c r="BJ445" s="31" t="n">
        <f aca="false">ROUNDDOWN(K445*設定!$B$14/1000,0)</f>
        <v>0</v>
      </c>
      <c r="BK445" s="31" t="n">
        <f aca="false">ROUNDDOWN(K445*設定!$C$14/1000,0)</f>
        <v>0</v>
      </c>
      <c r="BL445" s="31" t="n">
        <f aca="false">ROUNDDOWN(J445*設定!$B$15/1000,0)</f>
        <v>0</v>
      </c>
      <c r="BM445" s="31" t="n">
        <f aca="false">ROUNDDOWN(J445*設定!$C$15/1000,0)</f>
        <v>0</v>
      </c>
      <c r="BN445" s="31" t="n">
        <f aca="false">L445+M445</f>
        <v>0</v>
      </c>
      <c r="BO445" s="31" t="n">
        <f aca="false">N445+O445+P445</f>
        <v>0</v>
      </c>
      <c r="BP445" s="31" t="n">
        <f aca="false">Q445</f>
        <v>0</v>
      </c>
      <c r="BQ445" s="31" t="n">
        <f aca="false">R445</f>
        <v>0</v>
      </c>
      <c r="BR445" s="31" t="n">
        <f aca="false">S445</f>
        <v>0</v>
      </c>
      <c r="BS445" s="31" t="n">
        <f aca="false">T445</f>
        <v>0</v>
      </c>
      <c r="BT445" s="31" t="n">
        <f aca="false">U445</f>
        <v>0</v>
      </c>
      <c r="BU445" s="31" t="n">
        <f aca="false">V445</f>
        <v>0</v>
      </c>
      <c r="BV445" s="32" t="n">
        <f aca="false">IF(BF445=0,IF(BN445=0,0,1),(BN445-BF445)/BF445)</f>
        <v>0</v>
      </c>
      <c r="BW445" s="32" t="n">
        <f aca="false">IF(BG445=0,IF(BO445=0,0,1),(BO445-BG445)/BG445)</f>
        <v>0</v>
      </c>
      <c r="BX445" s="32" t="n">
        <f aca="false">IF(BH445=0,IF(BP445=0,0,1),(BP445-BH445)/BH445)</f>
        <v>0</v>
      </c>
      <c r="BY445" s="32" t="n">
        <f aca="false">IF(BI445=0,IF(BQ445=0,0,1),(BQ445-BI445)/BI445)</f>
        <v>0</v>
      </c>
      <c r="BZ445" s="32" t="n">
        <f aca="false">IF(BJ445=0,IF(BR445=0,0,1),(BR445-BJ445)/BJ445)</f>
        <v>0</v>
      </c>
      <c r="CA445" s="32" t="n">
        <f aca="false">IF(BK445=0,IF(BS445=0,0,1),(BS445-BK445)/BK445)</f>
        <v>0</v>
      </c>
      <c r="CB445" s="32" t="n">
        <f aca="false">IF(BL445=0,IF(BT445=0,0,1),(BT445-BL445)/BL445)</f>
        <v>0</v>
      </c>
      <c r="CC445" s="32" t="n">
        <f aca="false">IF(BM445=0,IF(BU445=0,0,1),(BU445-BM445)/BM445)</f>
        <v>0</v>
      </c>
      <c r="CD445" s="32" t="n">
        <f aca="false">MAX(MAX(BV445:CC445),-MIN(BV445:CC445))</f>
        <v>-0</v>
      </c>
      <c r="CE445" s="31" t="str">
        <f aca="false">IF(CI445="","",SUMIFS($CF$7:$CF$696,$A$7:$A$696,CI445,$B$7:$B$696,B445))</f>
        <v/>
      </c>
      <c r="CF445" s="31" t="n">
        <f aca="false">SUM(AU445:BE445)</f>
        <v>1937155</v>
      </c>
      <c r="CG445" s="33" t="str">
        <f aca="false">A445&amp;"|"&amp;B445</f>
        <v>2026-12 賞与|農林水産振興センタ</v>
      </c>
      <c r="CH445" s="34" t="str">
        <f aca="false">IFERROR(INDEX(設定!$D$61:$D$106,MATCH(B445,設定!$B$61:$B$106,0)),"Y")</f>
        <v>Y</v>
      </c>
      <c r="CI445" s="34" t="str">
        <f aca="false">IFERROR(INDEX(設定!$D$20:$D$34,MATCH(A445,設定!$A$20:$A$34,0))&amp;"","")</f>
        <v/>
      </c>
    </row>
    <row r="446" customFormat="false" ht="15" hidden="true" customHeight="false" outlineLevel="0" collapsed="false">
      <c r="A446" s="22" t="s">
        <v>217</v>
      </c>
      <c r="B446" s="23" t="s">
        <v>186</v>
      </c>
      <c r="C446" s="10" t="str">
        <f aca="false">IF(G446="","未受領",IF(G446="なし","報告なし",IF(AH446="○","起票済",IF(OR(AG446="○",F446="一致",F446="入金不要"),"入金確認済","受領済"))))</f>
        <v>未受領</v>
      </c>
      <c r="D446" s="10" t="str">
        <f aca="false">IF(OR(G446="",G446="なし"),"―",IF(CH446="N","対象外",IF(AND(I446="",J446="",K446=""),"標報未入力",IF(CD446&gt;=設定!$B$4,"要確認","問題なし"))))</f>
        <v>―</v>
      </c>
      <c r="E446" s="24" t="str">
        <f aca="false">IF(OR(G446="",G446="なし",CE446="",CF446=0),"―",IF(CF446=CE446,"前月同額",IF(CE446=0,"―",IF(ABS(CF446/CE446-1)&gt;=設定!$B$5,"変動大 "&amp;TEXT(CF446/CE446-1,"+0%;-0%"),"〇"))))</f>
        <v>―</v>
      </c>
      <c r="F446" s="10" t="str">
        <f aca="false">IF(OR(G446="",G446="なし"),"―",IF(CF446=0,"入金不要",IF(COUNT(Z446,AB446,AD446,AF446)=0,IF(AG446="○","手動確認","未入金"),IF(AND(N(Z446)=Y446,IF(AA446="",TRUE(),N(AB446)=AA446),IF(AC446="",TRUE(),N(AD446)=AC446),IF(AE446="",TRUE(),N(AF446)=AE446)),"一致","不一致"))))</f>
        <v>―</v>
      </c>
      <c r="G446" s="25"/>
      <c r="H446" s="26"/>
      <c r="I446" s="27"/>
      <c r="J446" s="27"/>
      <c r="K446" s="27"/>
      <c r="L446" s="27"/>
      <c r="M446" s="27"/>
      <c r="N446" s="27"/>
      <c r="O446" s="27"/>
      <c r="P446" s="27"/>
      <c r="Q446" s="27"/>
      <c r="R446" s="27"/>
      <c r="S446" s="27"/>
      <c r="T446" s="27"/>
      <c r="U446" s="27"/>
      <c r="V446" s="27"/>
      <c r="W446" s="10" t="str">
        <f aca="false">IFERROR(INDEX(設定!$E$61:$E$106,MATCH(B446,設定!$B$61:$B$106,0)),"合算")</f>
        <v>合算</v>
      </c>
      <c r="X446" s="28"/>
      <c r="Y446" s="29" t="str">
        <f aca="false">IF(OR(G446="",G446="なし"),"",IF(W446="合算",CF446,IF(W446="掛金・負担金別",(AU446+AV446+AZ446+BB446+BD446),SUM(AU446:AY446))))</f>
        <v/>
      </c>
      <c r="Z446" s="27"/>
      <c r="AA446" s="29" t="str">
        <f aca="false">IF(OR(G446="",G446="なし"),"",IF(W446="掛金・負担金別",(AW446+AX446+AY446+BA446+BC446+BE446),IF(W446="経理区分別",AZ446+BA446,"")))</f>
        <v/>
      </c>
      <c r="AB446" s="27"/>
      <c r="AC446" s="29" t="str">
        <f aca="false">IF(OR(G446="",G446="なし"),"",IF(W446="経理区分別",BB446+BC446,""))</f>
        <v/>
      </c>
      <c r="AD446" s="27"/>
      <c r="AE446" s="29" t="str">
        <f aca="false">IF(OR(G446="",G446="なし"),"",IF(W446="経理区分別",BD446+BE446,""))</f>
        <v/>
      </c>
      <c r="AF446" s="27"/>
      <c r="AG446" s="26"/>
      <c r="AH446" s="26"/>
      <c r="AI446" s="30"/>
      <c r="AJ446" s="31"/>
      <c r="AK446" s="31"/>
      <c r="AL446" s="31" t="n">
        <v>2437384</v>
      </c>
      <c r="AM446" s="31" t="n">
        <v>199783</v>
      </c>
      <c r="AN446" s="31" t="n">
        <v>2496</v>
      </c>
      <c r="AO446" s="31"/>
      <c r="AP446" s="31" t="n">
        <v>1468017</v>
      </c>
      <c r="AQ446" s="31"/>
      <c r="AR446" s="31" t="n">
        <v>199629</v>
      </c>
      <c r="AS446" s="31"/>
      <c r="AT446" s="31" t="n">
        <v>1</v>
      </c>
      <c r="AU446" s="31" t="n">
        <f aca="false">IF($G446="",AJ446,L446)</f>
        <v>0</v>
      </c>
      <c r="AV446" s="31" t="n">
        <f aca="false">IF($G446="",AK446,M446)</f>
        <v>0</v>
      </c>
      <c r="AW446" s="31" t="n">
        <f aca="false">IF($G446="",AL446,N446)</f>
        <v>2437384</v>
      </c>
      <c r="AX446" s="31" t="n">
        <f aca="false">IF($G446="",AM446,O446)</f>
        <v>199783</v>
      </c>
      <c r="AY446" s="31" t="n">
        <f aca="false">IF($G446="",AN446,P446)</f>
        <v>2496</v>
      </c>
      <c r="AZ446" s="31" t="n">
        <f aca="false">IF($G446="",AO446,Q446)</f>
        <v>0</v>
      </c>
      <c r="BA446" s="31" t="n">
        <f aca="false">IF($G446="",AP446,R446)</f>
        <v>1468017</v>
      </c>
      <c r="BB446" s="31" t="n">
        <f aca="false">IF($G446="",AQ446,S446)</f>
        <v>0</v>
      </c>
      <c r="BC446" s="31" t="n">
        <f aca="false">IF($G446="",AR446,T446)</f>
        <v>199629</v>
      </c>
      <c r="BD446" s="31" t="n">
        <f aca="false">IF($G446="",AS446,U446)</f>
        <v>0</v>
      </c>
      <c r="BE446" s="31" t="n">
        <f aca="false">IF($G446="",AT446,V446)</f>
        <v>1</v>
      </c>
      <c r="BF446" s="31" t="n">
        <f aca="false">ROUNDDOWN(I446*設定!$B$10/1000,0)+ROUNDDOWN(I446*設定!$B$11/1000,0)</f>
        <v>0</v>
      </c>
      <c r="BG446" s="31" t="n">
        <f aca="false">ROUNDDOWN(I446*設定!$C$10/1000,0)+ROUNDDOWN(I446*設定!$C$11/1000,0)+ROUNDDOWN(I446*設定!$C$12/1000,0)</f>
        <v>0</v>
      </c>
      <c r="BH446" s="31" t="n">
        <f aca="false">ROUNDDOWN(J446*設定!$B$13/1000,0)</f>
        <v>0</v>
      </c>
      <c r="BI446" s="31" t="n">
        <f aca="false">ROUNDDOWN(J446*設定!$C$13/1000,0)</f>
        <v>0</v>
      </c>
      <c r="BJ446" s="31" t="n">
        <f aca="false">ROUNDDOWN(K446*設定!$B$14/1000,0)</f>
        <v>0</v>
      </c>
      <c r="BK446" s="31" t="n">
        <f aca="false">ROUNDDOWN(K446*設定!$C$14/1000,0)</f>
        <v>0</v>
      </c>
      <c r="BL446" s="31" t="n">
        <f aca="false">ROUNDDOWN(J446*設定!$B$15/1000,0)</f>
        <v>0</v>
      </c>
      <c r="BM446" s="31" t="n">
        <f aca="false">ROUNDDOWN(J446*設定!$C$15/1000,0)</f>
        <v>0</v>
      </c>
      <c r="BN446" s="31" t="n">
        <f aca="false">L446+M446</f>
        <v>0</v>
      </c>
      <c r="BO446" s="31" t="n">
        <f aca="false">N446+O446+P446</f>
        <v>0</v>
      </c>
      <c r="BP446" s="31" t="n">
        <f aca="false">Q446</f>
        <v>0</v>
      </c>
      <c r="BQ446" s="31" t="n">
        <f aca="false">R446</f>
        <v>0</v>
      </c>
      <c r="BR446" s="31" t="n">
        <f aca="false">S446</f>
        <v>0</v>
      </c>
      <c r="BS446" s="31" t="n">
        <f aca="false">T446</f>
        <v>0</v>
      </c>
      <c r="BT446" s="31" t="n">
        <f aca="false">U446</f>
        <v>0</v>
      </c>
      <c r="BU446" s="31" t="n">
        <f aca="false">V446</f>
        <v>0</v>
      </c>
      <c r="BV446" s="32" t="n">
        <f aca="false">IF(BF446=0,IF(BN446=0,0,1),(BN446-BF446)/BF446)</f>
        <v>0</v>
      </c>
      <c r="BW446" s="32" t="n">
        <f aca="false">IF(BG446=0,IF(BO446=0,0,1),(BO446-BG446)/BG446)</f>
        <v>0</v>
      </c>
      <c r="BX446" s="32" t="n">
        <f aca="false">IF(BH446=0,IF(BP446=0,0,1),(BP446-BH446)/BH446)</f>
        <v>0</v>
      </c>
      <c r="BY446" s="32" t="n">
        <f aca="false">IF(BI446=0,IF(BQ446=0,0,1),(BQ446-BI446)/BI446)</f>
        <v>0</v>
      </c>
      <c r="BZ446" s="32" t="n">
        <f aca="false">IF(BJ446=0,IF(BR446=0,0,1),(BR446-BJ446)/BJ446)</f>
        <v>0</v>
      </c>
      <c r="CA446" s="32" t="n">
        <f aca="false">IF(BK446=0,IF(BS446=0,0,1),(BS446-BK446)/BK446)</f>
        <v>0</v>
      </c>
      <c r="CB446" s="32" t="n">
        <f aca="false">IF(BL446=0,IF(BT446=0,0,1),(BT446-BL446)/BL446)</f>
        <v>0</v>
      </c>
      <c r="CC446" s="32" t="n">
        <f aca="false">IF(BM446=0,IF(BU446=0,0,1),(BU446-BM446)/BM446)</f>
        <v>0</v>
      </c>
      <c r="CD446" s="32" t="n">
        <f aca="false">MAX(MAX(BV446:CC446),-MIN(BV446:CC446))</f>
        <v>-0</v>
      </c>
      <c r="CE446" s="31" t="str">
        <f aca="false">IF(CI446="","",SUMIFS($CF$7:$CF$696,$A$7:$A$696,CI446,$B$7:$B$696,B446))</f>
        <v/>
      </c>
      <c r="CF446" s="31" t="n">
        <f aca="false">SUM(AU446:BE446)</f>
        <v>4307310</v>
      </c>
      <c r="CG446" s="33" t="str">
        <f aca="false">A446&amp;"|"&amp;B446</f>
        <v>2026-12 賞与|文化財団　市長部局</v>
      </c>
      <c r="CH446" s="34" t="str">
        <f aca="false">IFERROR(INDEX(設定!$D$61:$D$106,MATCH(B446,設定!$B$61:$B$106,0)),"Y")</f>
        <v>Y</v>
      </c>
      <c r="CI446" s="34" t="str">
        <f aca="false">IFERROR(INDEX(設定!$D$20:$D$34,MATCH(A446,設定!$A$20:$A$34,0))&amp;"","")</f>
        <v/>
      </c>
    </row>
    <row r="447" customFormat="false" ht="15" hidden="true" customHeight="false" outlineLevel="0" collapsed="false">
      <c r="A447" s="22" t="s">
        <v>217</v>
      </c>
      <c r="B447" s="23" t="s">
        <v>187</v>
      </c>
      <c r="C447" s="10" t="str">
        <f aca="false">IF(G447="","未受領",IF(G447="なし","報告なし",IF(AH447="○","起票済",IF(OR(AG447="○",F447="一致",F447="入金不要"),"入金確認済","受領済"))))</f>
        <v>未受領</v>
      </c>
      <c r="D447" s="10" t="str">
        <f aca="false">IF(OR(G447="",G447="なし"),"―",IF(CH447="N","対象外",IF(AND(I447="",J447="",K447=""),"標報未入力",IF(CD447&gt;=設定!$B$4,"要確認","問題なし"))))</f>
        <v>―</v>
      </c>
      <c r="E447" s="24" t="str">
        <f aca="false">IF(OR(G447="",G447="なし",CE447="",CF447=0),"―",IF(CF447=CE447,"前月同額",IF(CE447=0,"―",IF(ABS(CF447/CE447-1)&gt;=設定!$B$5,"変動大 "&amp;TEXT(CF447/CE447-1,"+0%;-0%"),"〇"))))</f>
        <v>―</v>
      </c>
      <c r="F447" s="10" t="str">
        <f aca="false">IF(OR(G447="",G447="なし"),"―",IF(CF447=0,"入金不要",IF(COUNT(Z447,AB447,AD447,AF447)=0,IF(AG447="○","手動確認","未入金"),IF(AND(N(Z447)=Y447,IF(AA447="",TRUE(),N(AB447)=AA447),IF(AC447="",TRUE(),N(AD447)=AC447),IF(AE447="",TRUE(),N(AF447)=AE447)),"一致","不一致"))))</f>
        <v>―</v>
      </c>
      <c r="G447" s="25"/>
      <c r="H447" s="26"/>
      <c r="I447" s="27"/>
      <c r="J447" s="27"/>
      <c r="K447" s="27"/>
      <c r="L447" s="27"/>
      <c r="M447" s="27"/>
      <c r="N447" s="27"/>
      <c r="O447" s="27"/>
      <c r="P447" s="27"/>
      <c r="Q447" s="27"/>
      <c r="R447" s="27"/>
      <c r="S447" s="27"/>
      <c r="T447" s="27"/>
      <c r="U447" s="27"/>
      <c r="V447" s="27"/>
      <c r="W447" s="10" t="str">
        <f aca="false">IFERROR(INDEX(設定!$E$61:$E$106,MATCH(B447,設定!$B$61:$B$106,0)),"合算")</f>
        <v>合算</v>
      </c>
      <c r="X447" s="28"/>
      <c r="Y447" s="29" t="str">
        <f aca="false">IF(OR(G447="",G447="なし"),"",IF(W447="合算",CF447,IF(W447="掛金・負担金別",(AU447+AV447+AZ447+BB447+BD447),SUM(AU447:AY447))))</f>
        <v/>
      </c>
      <c r="Z447" s="27"/>
      <c r="AA447" s="29" t="str">
        <f aca="false">IF(OR(G447="",G447="なし"),"",IF(W447="掛金・負担金別",(AW447+AX447+AY447+BA447+BC447+BE447),IF(W447="経理区分別",AZ447+BA447,"")))</f>
        <v/>
      </c>
      <c r="AB447" s="27"/>
      <c r="AC447" s="29" t="str">
        <f aca="false">IF(OR(G447="",G447="なし"),"",IF(W447="経理区分別",BB447+BC447,""))</f>
        <v/>
      </c>
      <c r="AD447" s="27"/>
      <c r="AE447" s="29" t="str">
        <f aca="false">IF(OR(G447="",G447="なし"),"",IF(W447="経理区分別",BD447+BE447,""))</f>
        <v/>
      </c>
      <c r="AF447" s="27"/>
      <c r="AG447" s="26"/>
      <c r="AH447" s="26"/>
      <c r="AI447" s="30"/>
      <c r="AJ447" s="31"/>
      <c r="AK447" s="31"/>
      <c r="AL447" s="31" t="n">
        <v>0</v>
      </c>
      <c r="AM447" s="31" t="n">
        <v>0</v>
      </c>
      <c r="AN447" s="31" t="n">
        <v>0</v>
      </c>
      <c r="AO447" s="31"/>
      <c r="AP447" s="31" t="n">
        <v>0</v>
      </c>
      <c r="AQ447" s="31"/>
      <c r="AR447" s="31" t="n">
        <v>0</v>
      </c>
      <c r="AS447" s="31"/>
      <c r="AT447" s="31" t="n">
        <v>0</v>
      </c>
      <c r="AU447" s="31" t="n">
        <f aca="false">IF($G447="",AJ447,L447)</f>
        <v>0</v>
      </c>
      <c r="AV447" s="31" t="n">
        <f aca="false">IF($G447="",AK447,M447)</f>
        <v>0</v>
      </c>
      <c r="AW447" s="31" t="n">
        <f aca="false">IF($G447="",AL447,N447)</f>
        <v>0</v>
      </c>
      <c r="AX447" s="31" t="n">
        <f aca="false">IF($G447="",AM447,O447)</f>
        <v>0</v>
      </c>
      <c r="AY447" s="31" t="n">
        <f aca="false">IF($G447="",AN447,P447)</f>
        <v>0</v>
      </c>
      <c r="AZ447" s="31" t="n">
        <f aca="false">IF($G447="",AO447,Q447)</f>
        <v>0</v>
      </c>
      <c r="BA447" s="31" t="n">
        <f aca="false">IF($G447="",AP447,R447)</f>
        <v>0</v>
      </c>
      <c r="BB447" s="31" t="n">
        <f aca="false">IF($G447="",AQ447,S447)</f>
        <v>0</v>
      </c>
      <c r="BC447" s="31" t="n">
        <f aca="false">IF($G447="",AR447,T447)</f>
        <v>0</v>
      </c>
      <c r="BD447" s="31" t="n">
        <f aca="false">IF($G447="",AS447,U447)</f>
        <v>0</v>
      </c>
      <c r="BE447" s="31" t="n">
        <f aca="false">IF($G447="",AT447,V447)</f>
        <v>0</v>
      </c>
      <c r="BF447" s="31" t="n">
        <f aca="false">ROUNDDOWN(I447*設定!$B$10/1000,0)+ROUNDDOWN(I447*設定!$B$11/1000,0)</f>
        <v>0</v>
      </c>
      <c r="BG447" s="31" t="n">
        <f aca="false">ROUNDDOWN(I447*設定!$C$10/1000,0)+ROUNDDOWN(I447*設定!$C$11/1000,0)+ROUNDDOWN(I447*設定!$C$12/1000,0)</f>
        <v>0</v>
      </c>
      <c r="BH447" s="31" t="n">
        <f aca="false">ROUNDDOWN(J447*設定!$B$13/1000,0)</f>
        <v>0</v>
      </c>
      <c r="BI447" s="31" t="n">
        <f aca="false">ROUNDDOWN(J447*設定!$C$13/1000,0)</f>
        <v>0</v>
      </c>
      <c r="BJ447" s="31" t="n">
        <f aca="false">ROUNDDOWN(K447*設定!$B$14/1000,0)</f>
        <v>0</v>
      </c>
      <c r="BK447" s="31" t="n">
        <f aca="false">ROUNDDOWN(K447*設定!$C$14/1000,0)</f>
        <v>0</v>
      </c>
      <c r="BL447" s="31" t="n">
        <f aca="false">ROUNDDOWN(J447*設定!$B$15/1000,0)</f>
        <v>0</v>
      </c>
      <c r="BM447" s="31" t="n">
        <f aca="false">ROUNDDOWN(J447*設定!$C$15/1000,0)</f>
        <v>0</v>
      </c>
      <c r="BN447" s="31" t="n">
        <f aca="false">L447+M447</f>
        <v>0</v>
      </c>
      <c r="BO447" s="31" t="n">
        <f aca="false">N447+O447+P447</f>
        <v>0</v>
      </c>
      <c r="BP447" s="31" t="n">
        <f aca="false">Q447</f>
        <v>0</v>
      </c>
      <c r="BQ447" s="31" t="n">
        <f aca="false">R447</f>
        <v>0</v>
      </c>
      <c r="BR447" s="31" t="n">
        <f aca="false">S447</f>
        <v>0</v>
      </c>
      <c r="BS447" s="31" t="n">
        <f aca="false">T447</f>
        <v>0</v>
      </c>
      <c r="BT447" s="31" t="n">
        <f aca="false">U447</f>
        <v>0</v>
      </c>
      <c r="BU447" s="31" t="n">
        <f aca="false">V447</f>
        <v>0</v>
      </c>
      <c r="BV447" s="32" t="n">
        <f aca="false">IF(BF447=0,IF(BN447=0,0,1),(BN447-BF447)/BF447)</f>
        <v>0</v>
      </c>
      <c r="BW447" s="32" t="n">
        <f aca="false">IF(BG447=0,IF(BO447=0,0,1),(BO447-BG447)/BG447)</f>
        <v>0</v>
      </c>
      <c r="BX447" s="32" t="n">
        <f aca="false">IF(BH447=0,IF(BP447=0,0,1),(BP447-BH447)/BH447)</f>
        <v>0</v>
      </c>
      <c r="BY447" s="32" t="n">
        <f aca="false">IF(BI447=0,IF(BQ447=0,0,1),(BQ447-BI447)/BI447)</f>
        <v>0</v>
      </c>
      <c r="BZ447" s="32" t="n">
        <f aca="false">IF(BJ447=0,IF(BR447=0,0,1),(BR447-BJ447)/BJ447)</f>
        <v>0</v>
      </c>
      <c r="CA447" s="32" t="n">
        <f aca="false">IF(BK447=0,IF(BS447=0,0,1),(BS447-BK447)/BK447)</f>
        <v>0</v>
      </c>
      <c r="CB447" s="32" t="n">
        <f aca="false">IF(BL447=0,IF(BT447=0,0,1),(BT447-BL447)/BL447)</f>
        <v>0</v>
      </c>
      <c r="CC447" s="32" t="n">
        <f aca="false">IF(BM447=0,IF(BU447=0,0,1),(BU447-BM447)/BM447)</f>
        <v>0</v>
      </c>
      <c r="CD447" s="32" t="n">
        <f aca="false">MAX(MAX(BV447:CC447),-MIN(BV447:CC447))</f>
        <v>-0</v>
      </c>
      <c r="CE447" s="31" t="str">
        <f aca="false">IF(CI447="","",SUMIFS($CF$7:$CF$696,$A$7:$A$696,CI447,$B$7:$B$696,B447))</f>
        <v/>
      </c>
      <c r="CF447" s="31" t="n">
        <f aca="false">SUM(AU447:BE447)</f>
        <v>0</v>
      </c>
      <c r="CG447" s="33" t="str">
        <f aca="false">A447&amp;"|"&amp;B447</f>
        <v>2026-12 賞与|文化財団　教育委員会</v>
      </c>
      <c r="CH447" s="34" t="str">
        <f aca="false">IFERROR(INDEX(設定!$D$61:$D$106,MATCH(B447,設定!$B$61:$B$106,0)),"Y")</f>
        <v>Y</v>
      </c>
      <c r="CI447" s="34" t="str">
        <f aca="false">IFERROR(INDEX(設定!$D$20:$D$34,MATCH(A447,設定!$A$20:$A$34,0))&amp;"","")</f>
        <v/>
      </c>
    </row>
    <row r="448" customFormat="false" ht="15" hidden="true" customHeight="false" outlineLevel="0" collapsed="false">
      <c r="A448" s="22" t="s">
        <v>217</v>
      </c>
      <c r="B448" s="23" t="s">
        <v>188</v>
      </c>
      <c r="C448" s="10" t="str">
        <f aca="false">IF(G448="","未受領",IF(G448="なし","報告なし",IF(AH448="○","起票済",IF(OR(AG448="○",F448="一致",F448="入金不要"),"入金確認済","受領済"))))</f>
        <v>未受領</v>
      </c>
      <c r="D448" s="10" t="str">
        <f aca="false">IF(OR(G448="",G448="なし"),"―",IF(CH448="N","対象外",IF(AND(I448="",J448="",K448=""),"標報未入力",IF(CD448&gt;=設定!$B$4,"要確認","問題なし"))))</f>
        <v>―</v>
      </c>
      <c r="E448" s="24" t="str">
        <f aca="false">IF(OR(G448="",G448="なし",CE448="",CF448=0),"―",IF(CF448=CE448,"前月同額",IF(CE448=0,"―",IF(ABS(CF448/CE448-1)&gt;=設定!$B$5,"変動大 "&amp;TEXT(CF448/CE448-1,"+0%;-0%"),"〇"))))</f>
        <v>―</v>
      </c>
      <c r="F448" s="10" t="str">
        <f aca="false">IF(OR(G448="",G448="なし"),"―",IF(CF448=0,"入金不要",IF(COUNT(Z448,AB448,AD448,AF448)=0,IF(AG448="○","手動確認","未入金"),IF(AND(N(Z448)=Y448,IF(AA448="",TRUE(),N(AB448)=AA448),IF(AC448="",TRUE(),N(AD448)=AC448),IF(AE448="",TRUE(),N(AF448)=AE448)),"一致","不一致"))))</f>
        <v>―</v>
      </c>
      <c r="G448" s="25"/>
      <c r="H448" s="26"/>
      <c r="I448" s="27"/>
      <c r="J448" s="27"/>
      <c r="K448" s="27"/>
      <c r="L448" s="27"/>
      <c r="M448" s="27"/>
      <c r="N448" s="27"/>
      <c r="O448" s="27"/>
      <c r="P448" s="27"/>
      <c r="Q448" s="27"/>
      <c r="R448" s="27"/>
      <c r="S448" s="27"/>
      <c r="T448" s="27"/>
      <c r="U448" s="27"/>
      <c r="V448" s="27"/>
      <c r="W448" s="10" t="str">
        <f aca="false">IFERROR(INDEX(設定!$E$61:$E$106,MATCH(B448,設定!$B$61:$B$106,0)),"合算")</f>
        <v>合算</v>
      </c>
      <c r="X448" s="28"/>
      <c r="Y448" s="29" t="str">
        <f aca="false">IF(OR(G448="",G448="なし"),"",IF(W448="合算",CF448,IF(W448="掛金・負担金別",(AU448+AV448+AZ448+BB448+BD448),SUM(AU448:AY448))))</f>
        <v/>
      </c>
      <c r="Z448" s="27"/>
      <c r="AA448" s="29" t="str">
        <f aca="false">IF(OR(G448="",G448="なし"),"",IF(W448="掛金・負担金別",(AW448+AX448+AY448+BA448+BC448+BE448),IF(W448="経理区分別",AZ448+BA448,"")))</f>
        <v/>
      </c>
      <c r="AB448" s="27"/>
      <c r="AC448" s="29" t="str">
        <f aca="false">IF(OR(G448="",G448="なし"),"",IF(W448="経理区分別",BB448+BC448,""))</f>
        <v/>
      </c>
      <c r="AD448" s="27"/>
      <c r="AE448" s="29" t="str">
        <f aca="false">IF(OR(G448="",G448="なし"),"",IF(W448="経理区分別",BD448+BE448,""))</f>
        <v/>
      </c>
      <c r="AF448" s="27"/>
      <c r="AG448" s="26"/>
      <c r="AH448" s="26"/>
      <c r="AI448" s="30"/>
      <c r="AJ448" s="31"/>
      <c r="AK448" s="31"/>
      <c r="AL448" s="31" t="n">
        <v>847292</v>
      </c>
      <c r="AM448" s="31" t="n">
        <v>69448</v>
      </c>
      <c r="AN448" s="31" t="n">
        <v>867</v>
      </c>
      <c r="AO448" s="31"/>
      <c r="AP448" s="31" t="n">
        <v>510316</v>
      </c>
      <c r="AQ448" s="31"/>
      <c r="AR448" s="31" t="n">
        <v>73152</v>
      </c>
      <c r="AS448" s="31"/>
      <c r="AT448" s="31" t="n">
        <v>1</v>
      </c>
      <c r="AU448" s="31" t="n">
        <f aca="false">IF($G448="",AJ448,L448)</f>
        <v>0</v>
      </c>
      <c r="AV448" s="31" t="n">
        <f aca="false">IF($G448="",AK448,M448)</f>
        <v>0</v>
      </c>
      <c r="AW448" s="31" t="n">
        <f aca="false">IF($G448="",AL448,N448)</f>
        <v>847292</v>
      </c>
      <c r="AX448" s="31" t="n">
        <f aca="false">IF($G448="",AM448,O448)</f>
        <v>69448</v>
      </c>
      <c r="AY448" s="31" t="n">
        <f aca="false">IF($G448="",AN448,P448)</f>
        <v>867</v>
      </c>
      <c r="AZ448" s="31" t="n">
        <f aca="false">IF($G448="",AO448,Q448)</f>
        <v>0</v>
      </c>
      <c r="BA448" s="31" t="n">
        <f aca="false">IF($G448="",AP448,R448)</f>
        <v>510316</v>
      </c>
      <c r="BB448" s="31" t="n">
        <f aca="false">IF($G448="",AQ448,S448)</f>
        <v>0</v>
      </c>
      <c r="BC448" s="31" t="n">
        <f aca="false">IF($G448="",AR448,T448)</f>
        <v>73152</v>
      </c>
      <c r="BD448" s="31" t="n">
        <f aca="false">IF($G448="",AS448,U448)</f>
        <v>0</v>
      </c>
      <c r="BE448" s="31" t="n">
        <f aca="false">IF($G448="",AT448,V448)</f>
        <v>1</v>
      </c>
      <c r="BF448" s="31" t="n">
        <f aca="false">ROUNDDOWN(I448*設定!$B$10/1000,0)+ROUNDDOWN(I448*設定!$B$11/1000,0)</f>
        <v>0</v>
      </c>
      <c r="BG448" s="31" t="n">
        <f aca="false">ROUNDDOWN(I448*設定!$C$10/1000,0)+ROUNDDOWN(I448*設定!$C$11/1000,0)+ROUNDDOWN(I448*設定!$C$12/1000,0)</f>
        <v>0</v>
      </c>
      <c r="BH448" s="31" t="n">
        <f aca="false">ROUNDDOWN(J448*設定!$B$13/1000,0)</f>
        <v>0</v>
      </c>
      <c r="BI448" s="31" t="n">
        <f aca="false">ROUNDDOWN(J448*設定!$C$13/1000,0)</f>
        <v>0</v>
      </c>
      <c r="BJ448" s="31" t="n">
        <f aca="false">ROUNDDOWN(K448*設定!$B$14/1000,0)</f>
        <v>0</v>
      </c>
      <c r="BK448" s="31" t="n">
        <f aca="false">ROUNDDOWN(K448*設定!$C$14/1000,0)</f>
        <v>0</v>
      </c>
      <c r="BL448" s="31" t="n">
        <f aca="false">ROUNDDOWN(J448*設定!$B$15/1000,0)</f>
        <v>0</v>
      </c>
      <c r="BM448" s="31" t="n">
        <f aca="false">ROUNDDOWN(J448*設定!$C$15/1000,0)</f>
        <v>0</v>
      </c>
      <c r="BN448" s="31" t="n">
        <f aca="false">L448+M448</f>
        <v>0</v>
      </c>
      <c r="BO448" s="31" t="n">
        <f aca="false">N448+O448+P448</f>
        <v>0</v>
      </c>
      <c r="BP448" s="31" t="n">
        <f aca="false">Q448</f>
        <v>0</v>
      </c>
      <c r="BQ448" s="31" t="n">
        <f aca="false">R448</f>
        <v>0</v>
      </c>
      <c r="BR448" s="31" t="n">
        <f aca="false">S448</f>
        <v>0</v>
      </c>
      <c r="BS448" s="31" t="n">
        <f aca="false">T448</f>
        <v>0</v>
      </c>
      <c r="BT448" s="31" t="n">
        <f aca="false">U448</f>
        <v>0</v>
      </c>
      <c r="BU448" s="31" t="n">
        <f aca="false">V448</f>
        <v>0</v>
      </c>
      <c r="BV448" s="32" t="n">
        <f aca="false">IF(BF448=0,IF(BN448=0,0,1),(BN448-BF448)/BF448)</f>
        <v>0</v>
      </c>
      <c r="BW448" s="32" t="n">
        <f aca="false">IF(BG448=0,IF(BO448=0,0,1),(BO448-BG448)/BG448)</f>
        <v>0</v>
      </c>
      <c r="BX448" s="32" t="n">
        <f aca="false">IF(BH448=0,IF(BP448=0,0,1),(BP448-BH448)/BH448)</f>
        <v>0</v>
      </c>
      <c r="BY448" s="32" t="n">
        <f aca="false">IF(BI448=0,IF(BQ448=0,0,1),(BQ448-BI448)/BI448)</f>
        <v>0</v>
      </c>
      <c r="BZ448" s="32" t="n">
        <f aca="false">IF(BJ448=0,IF(BR448=0,0,1),(BR448-BJ448)/BJ448)</f>
        <v>0</v>
      </c>
      <c r="CA448" s="32" t="n">
        <f aca="false">IF(BK448=0,IF(BS448=0,0,1),(BS448-BK448)/BK448)</f>
        <v>0</v>
      </c>
      <c r="CB448" s="32" t="n">
        <f aca="false">IF(BL448=0,IF(BT448=0,0,1),(BT448-BL448)/BL448)</f>
        <v>0</v>
      </c>
      <c r="CC448" s="32" t="n">
        <f aca="false">IF(BM448=0,IF(BU448=0,0,1),(BU448-BM448)/BM448)</f>
        <v>0</v>
      </c>
      <c r="CD448" s="32" t="n">
        <f aca="false">MAX(MAX(BV448:CC448),-MIN(BV448:CC448))</f>
        <v>-0</v>
      </c>
      <c r="CE448" s="31" t="str">
        <f aca="false">IF(CI448="","",SUMIFS($CF$7:$CF$696,$A$7:$A$696,CI448,$B$7:$B$696,B448))</f>
        <v/>
      </c>
      <c r="CF448" s="31" t="n">
        <f aca="false">SUM(AU448:BE448)</f>
        <v>1501076</v>
      </c>
      <c r="CG448" s="33" t="str">
        <f aca="false">A448&amp;"|"&amp;B448</f>
        <v>2026-12 賞与|みどり生きもの協会</v>
      </c>
      <c r="CH448" s="34" t="str">
        <f aca="false">IFERROR(INDEX(設定!$D$61:$D$106,MATCH(B448,設定!$B$61:$B$106,0)),"Y")</f>
        <v>Y</v>
      </c>
      <c r="CI448" s="34" t="str">
        <f aca="false">IFERROR(INDEX(設定!$D$20:$D$34,MATCH(A448,設定!$A$20:$A$34,0))&amp;"","")</f>
        <v/>
      </c>
    </row>
    <row r="449" customFormat="false" ht="15" hidden="true" customHeight="false" outlineLevel="0" collapsed="false">
      <c r="A449" s="22" t="s">
        <v>217</v>
      </c>
      <c r="B449" s="23" t="s">
        <v>189</v>
      </c>
      <c r="C449" s="10" t="str">
        <f aca="false">IF(G449="","未受領",IF(G449="なし","報告なし",IF(AH449="○","起票済",IF(OR(AG449="○",F449="一致",F449="入金不要"),"入金確認済","受領済"))))</f>
        <v>未受領</v>
      </c>
      <c r="D449" s="10" t="str">
        <f aca="false">IF(OR(G449="",G449="なし"),"―",IF(CH449="N","対象外",IF(AND(I449="",J449="",K449=""),"標報未入力",IF(CD449&gt;=設定!$B$4,"要確認","問題なし"))))</f>
        <v>―</v>
      </c>
      <c r="E449" s="24" t="str">
        <f aca="false">IF(OR(G449="",G449="なし",CE449="",CF449=0),"―",IF(CF449=CE449,"前月同額",IF(CE449=0,"―",IF(ABS(CF449/CE449-1)&gt;=設定!$B$5,"変動大 "&amp;TEXT(CF449/CE449-1,"+0%;-0%"),"〇"))))</f>
        <v>―</v>
      </c>
      <c r="F449" s="10" t="str">
        <f aca="false">IF(OR(G449="",G449="なし"),"―",IF(CF449=0,"入金不要",IF(COUNT(Z449,AB449,AD449,AF449)=0,IF(AG449="○","手動確認","未入金"),IF(AND(N(Z449)=Y449,IF(AA449="",TRUE(),N(AB449)=AA449),IF(AC449="",TRUE(),N(AD449)=AC449),IF(AE449="",TRUE(),N(AF449)=AE449)),"一致","不一致"))))</f>
        <v>―</v>
      </c>
      <c r="G449" s="25"/>
      <c r="H449" s="26"/>
      <c r="I449" s="27"/>
      <c r="J449" s="27"/>
      <c r="K449" s="27"/>
      <c r="L449" s="27"/>
      <c r="M449" s="27"/>
      <c r="N449" s="27"/>
      <c r="O449" s="27"/>
      <c r="P449" s="27"/>
      <c r="Q449" s="27"/>
      <c r="R449" s="27"/>
      <c r="S449" s="27"/>
      <c r="T449" s="27"/>
      <c r="U449" s="27"/>
      <c r="V449" s="27"/>
      <c r="W449" s="10" t="str">
        <f aca="false">IFERROR(INDEX(設定!$E$61:$E$106,MATCH(B449,設定!$B$61:$B$106,0)),"合算")</f>
        <v>合算</v>
      </c>
      <c r="X449" s="28"/>
      <c r="Y449" s="29" t="str">
        <f aca="false">IF(OR(G449="",G449="なし"),"",IF(W449="合算",CF449,IF(W449="掛金・負担金別",(AU449+AV449+AZ449+BB449+BD449),SUM(AU449:AY449))))</f>
        <v/>
      </c>
      <c r="Z449" s="27"/>
      <c r="AA449" s="29" t="str">
        <f aca="false">IF(OR(G449="",G449="なし"),"",IF(W449="掛金・負担金別",(AW449+AX449+AY449+BA449+BC449+BE449),IF(W449="経理区分別",AZ449+BA449,"")))</f>
        <v/>
      </c>
      <c r="AB449" s="27"/>
      <c r="AC449" s="29" t="str">
        <f aca="false">IF(OR(G449="",G449="なし"),"",IF(W449="経理区分別",BB449+BC449,""))</f>
        <v/>
      </c>
      <c r="AD449" s="27"/>
      <c r="AE449" s="29" t="str">
        <f aca="false">IF(OR(G449="",G449="なし"),"",IF(W449="経理区分別",BD449+BE449,""))</f>
        <v/>
      </c>
      <c r="AF449" s="27"/>
      <c r="AG449" s="26"/>
      <c r="AH449" s="26"/>
      <c r="AI449" s="30"/>
      <c r="AJ449" s="31" t="n">
        <v>281910</v>
      </c>
      <c r="AK449" s="31" t="n">
        <v>23106</v>
      </c>
      <c r="AL449" s="31" t="n">
        <v>281913</v>
      </c>
      <c r="AM449" s="31" t="n">
        <v>23107</v>
      </c>
      <c r="AN449" s="31" t="n">
        <v>289</v>
      </c>
      <c r="AO449" s="31" t="n">
        <v>169484</v>
      </c>
      <c r="AP449" s="31" t="n">
        <v>169793</v>
      </c>
      <c r="AQ449" s="31" t="n">
        <v>18233</v>
      </c>
      <c r="AR449" s="31" t="n">
        <v>18233</v>
      </c>
      <c r="AS449" s="31" t="n">
        <v>1</v>
      </c>
      <c r="AT449" s="31" t="n">
        <v>1</v>
      </c>
      <c r="AU449" s="31" t="n">
        <f aca="false">IF($G449="",AJ449,L449)</f>
        <v>281910</v>
      </c>
      <c r="AV449" s="31" t="n">
        <f aca="false">IF($G449="",AK449,M449)</f>
        <v>23106</v>
      </c>
      <c r="AW449" s="31" t="n">
        <f aca="false">IF($G449="",AL449,N449)</f>
        <v>281913</v>
      </c>
      <c r="AX449" s="31" t="n">
        <f aca="false">IF($G449="",AM449,O449)</f>
        <v>23107</v>
      </c>
      <c r="AY449" s="31" t="n">
        <f aca="false">IF($G449="",AN449,P449)</f>
        <v>289</v>
      </c>
      <c r="AZ449" s="31" t="n">
        <f aca="false">IF($G449="",AO449,Q449)</f>
        <v>169484</v>
      </c>
      <c r="BA449" s="31" t="n">
        <f aca="false">IF($G449="",AP449,R449)</f>
        <v>169793</v>
      </c>
      <c r="BB449" s="31" t="n">
        <f aca="false">IF($G449="",AQ449,S449)</f>
        <v>18233</v>
      </c>
      <c r="BC449" s="31" t="n">
        <f aca="false">IF($G449="",AR449,T449)</f>
        <v>18233</v>
      </c>
      <c r="BD449" s="31" t="n">
        <f aca="false">IF($G449="",AS449,U449)</f>
        <v>1</v>
      </c>
      <c r="BE449" s="31" t="n">
        <f aca="false">IF($G449="",AT449,V449)</f>
        <v>1</v>
      </c>
      <c r="BF449" s="31" t="n">
        <f aca="false">ROUNDDOWN(I449*設定!$B$10/1000,0)+ROUNDDOWN(I449*設定!$B$11/1000,0)</f>
        <v>0</v>
      </c>
      <c r="BG449" s="31" t="n">
        <f aca="false">ROUNDDOWN(I449*設定!$C$10/1000,0)+ROUNDDOWN(I449*設定!$C$11/1000,0)+ROUNDDOWN(I449*設定!$C$12/1000,0)</f>
        <v>0</v>
      </c>
      <c r="BH449" s="31" t="n">
        <f aca="false">ROUNDDOWN(J449*設定!$B$13/1000,0)</f>
        <v>0</v>
      </c>
      <c r="BI449" s="31" t="n">
        <f aca="false">ROUNDDOWN(J449*設定!$C$13/1000,0)</f>
        <v>0</v>
      </c>
      <c r="BJ449" s="31" t="n">
        <f aca="false">ROUNDDOWN(K449*設定!$B$14/1000,0)</f>
        <v>0</v>
      </c>
      <c r="BK449" s="31" t="n">
        <f aca="false">ROUNDDOWN(K449*設定!$C$14/1000,0)</f>
        <v>0</v>
      </c>
      <c r="BL449" s="31" t="n">
        <f aca="false">ROUNDDOWN(J449*設定!$B$15/1000,0)</f>
        <v>0</v>
      </c>
      <c r="BM449" s="31" t="n">
        <f aca="false">ROUNDDOWN(J449*設定!$C$15/1000,0)</f>
        <v>0</v>
      </c>
      <c r="BN449" s="31" t="n">
        <f aca="false">L449+M449</f>
        <v>0</v>
      </c>
      <c r="BO449" s="31" t="n">
        <f aca="false">N449+O449+P449</f>
        <v>0</v>
      </c>
      <c r="BP449" s="31" t="n">
        <f aca="false">Q449</f>
        <v>0</v>
      </c>
      <c r="BQ449" s="31" t="n">
        <f aca="false">R449</f>
        <v>0</v>
      </c>
      <c r="BR449" s="31" t="n">
        <f aca="false">S449</f>
        <v>0</v>
      </c>
      <c r="BS449" s="31" t="n">
        <f aca="false">T449</f>
        <v>0</v>
      </c>
      <c r="BT449" s="31" t="n">
        <f aca="false">U449</f>
        <v>0</v>
      </c>
      <c r="BU449" s="31" t="n">
        <f aca="false">V449</f>
        <v>0</v>
      </c>
      <c r="BV449" s="32" t="n">
        <f aca="false">IF(BF449=0,IF(BN449=0,0,1),(BN449-BF449)/BF449)</f>
        <v>0</v>
      </c>
      <c r="BW449" s="32" t="n">
        <f aca="false">IF(BG449=0,IF(BO449=0,0,1),(BO449-BG449)/BG449)</f>
        <v>0</v>
      </c>
      <c r="BX449" s="32" t="n">
        <f aca="false">IF(BH449=0,IF(BP449=0,0,1),(BP449-BH449)/BH449)</f>
        <v>0</v>
      </c>
      <c r="BY449" s="32" t="n">
        <f aca="false">IF(BI449=0,IF(BQ449=0,0,1),(BQ449-BI449)/BI449)</f>
        <v>0</v>
      </c>
      <c r="BZ449" s="32" t="n">
        <f aca="false">IF(BJ449=0,IF(BR449=0,0,1),(BR449-BJ449)/BJ449)</f>
        <v>0</v>
      </c>
      <c r="CA449" s="32" t="n">
        <f aca="false">IF(BK449=0,IF(BS449=0,0,1),(BS449-BK449)/BK449)</f>
        <v>0</v>
      </c>
      <c r="CB449" s="32" t="n">
        <f aca="false">IF(BL449=0,IF(BT449=0,0,1),(BT449-BL449)/BL449)</f>
        <v>0</v>
      </c>
      <c r="CC449" s="32" t="n">
        <f aca="false">IF(BM449=0,IF(BU449=0,0,1),(BU449-BM449)/BM449)</f>
        <v>0</v>
      </c>
      <c r="CD449" s="32" t="n">
        <f aca="false">MAX(MAX(BV449:CC449),-MIN(BV449:CC449))</f>
        <v>-0</v>
      </c>
      <c r="CE449" s="31" t="str">
        <f aca="false">IF(CI449="","",SUMIFS($CF$7:$CF$696,$A$7:$A$696,CI449,$B$7:$B$696,B449))</f>
        <v/>
      </c>
      <c r="CF449" s="31" t="n">
        <f aca="false">SUM(AU449:BE449)</f>
        <v>986070</v>
      </c>
      <c r="CG449" s="33" t="str">
        <f aca="false">A449&amp;"|"&amp;B449</f>
        <v>2026-12 賞与|県下水道公社</v>
      </c>
      <c r="CH449" s="34" t="str">
        <f aca="false">IFERROR(INDEX(設定!$D$61:$D$106,MATCH(B449,設定!$B$61:$B$106,0)),"Y")</f>
        <v>Y</v>
      </c>
      <c r="CI449" s="34" t="str">
        <f aca="false">IFERROR(INDEX(設定!$D$20:$D$34,MATCH(A449,設定!$A$20:$A$34,0))&amp;"","")</f>
        <v/>
      </c>
    </row>
    <row r="450" customFormat="false" ht="26.85" hidden="true" customHeight="false" outlineLevel="0" collapsed="false">
      <c r="A450" s="22" t="s">
        <v>217</v>
      </c>
      <c r="B450" s="35" t="s">
        <v>190</v>
      </c>
      <c r="C450" s="10" t="str">
        <f aca="false">IF(G450="","未受領",IF(G450="なし","報告なし",IF(AH450="○","起票済",IF(OR(AG450="○",F450="一致",F450="入金不要"),"入金確認済","受領済"))))</f>
        <v>未受領</v>
      </c>
      <c r="D450" s="10" t="str">
        <f aca="false">IF(OR(G450="",G450="なし"),"―",IF(CH450="N","対象外",IF(AND(I450="",J450="",K450=""),"標報未入力",IF(CD450&gt;=設定!$B$4,"要確認","問題なし"))))</f>
        <v>―</v>
      </c>
      <c r="E450" s="24" t="str">
        <f aca="false">IF(OR(G450="",G450="なし",CE450="",CF450=0),"―",IF(CF450=CE450,"前月同額",IF(CE450=0,"―",IF(ABS(CF450/CE450-1)&gt;=設定!$B$5,"変動大 "&amp;TEXT(CF450/CE450-1,"+0%;-0%"),"〇"))))</f>
        <v>―</v>
      </c>
      <c r="F450" s="10" t="str">
        <f aca="false">IF(OR(G450="",G450="なし"),"―",IF(CF450=0,"入金不要",IF(COUNT(Z450,AB450,AD450,AF450)=0,IF(AG450="○","手動確認","未入金"),IF(AND(N(Z450)=Y450,IF(AA450="",TRUE(),N(AB450)=AA450),IF(AC450="",TRUE(),N(AD450)=AC450),IF(AE450="",TRUE(),N(AF450)=AE450)),"一致","不一致"))))</f>
        <v>―</v>
      </c>
      <c r="G450" s="25"/>
      <c r="H450" s="26"/>
      <c r="I450" s="27"/>
      <c r="J450" s="27"/>
      <c r="K450" s="27"/>
      <c r="L450" s="27"/>
      <c r="M450" s="27"/>
      <c r="N450" s="27"/>
      <c r="O450" s="27"/>
      <c r="P450" s="27"/>
      <c r="Q450" s="27"/>
      <c r="R450" s="27"/>
      <c r="S450" s="27"/>
      <c r="T450" s="27"/>
      <c r="U450" s="27"/>
      <c r="V450" s="27"/>
      <c r="W450" s="10" t="str">
        <f aca="false">IFERROR(INDEX(設定!$E$61:$E$106,MATCH(B450,設定!$B$61:$B$106,0)),"合算")</f>
        <v>合算</v>
      </c>
      <c r="X450" s="28"/>
      <c r="Y450" s="29" t="str">
        <f aca="false">IF(OR(G450="",G450="なし"),"",IF(W450="合算",CF450,IF(W450="掛金・負担金別",(AU450+AV450+AZ450+BB450+BD450),SUM(AU450:AY450))))</f>
        <v/>
      </c>
      <c r="Z450" s="27"/>
      <c r="AA450" s="29" t="str">
        <f aca="false">IF(OR(G450="",G450="なし"),"",IF(W450="掛金・負担金別",(AW450+AX450+AY450+BA450+BC450+BE450),IF(W450="経理区分別",AZ450+BA450,"")))</f>
        <v/>
      </c>
      <c r="AB450" s="27"/>
      <c r="AC450" s="29" t="str">
        <f aca="false">IF(OR(G450="",G450="なし"),"",IF(W450="経理区分別",BB450+BC450,""))</f>
        <v/>
      </c>
      <c r="AD450" s="27"/>
      <c r="AE450" s="29" t="str">
        <f aca="false">IF(OR(G450="",G450="なし"),"",IF(W450="経理区分別",BD450+BE450,""))</f>
        <v/>
      </c>
      <c r="AF450" s="27"/>
      <c r="AG450" s="26"/>
      <c r="AH450" s="26"/>
      <c r="AI450" s="30"/>
      <c r="AJ450" s="31"/>
      <c r="AK450" s="31"/>
      <c r="AL450" s="31" t="n">
        <v>856624</v>
      </c>
      <c r="AM450" s="31" t="n">
        <v>70215</v>
      </c>
      <c r="AN450" s="31" t="n">
        <v>879</v>
      </c>
      <c r="AO450" s="31"/>
      <c r="AP450" s="31" t="n">
        <v>515939</v>
      </c>
      <c r="AQ450" s="31"/>
      <c r="AR450" s="31" t="n">
        <v>49343</v>
      </c>
      <c r="AS450" s="31"/>
      <c r="AT450" s="31" t="n">
        <v>1</v>
      </c>
      <c r="AU450" s="31" t="n">
        <f aca="false">IF($G450="",AJ450,L450)</f>
        <v>0</v>
      </c>
      <c r="AV450" s="31" t="n">
        <f aca="false">IF($G450="",AK450,M450)</f>
        <v>0</v>
      </c>
      <c r="AW450" s="31" t="n">
        <f aca="false">IF($G450="",AL450,N450)</f>
        <v>856624</v>
      </c>
      <c r="AX450" s="31" t="n">
        <f aca="false">IF($G450="",AM450,O450)</f>
        <v>70215</v>
      </c>
      <c r="AY450" s="31" t="n">
        <f aca="false">IF($G450="",AN450,P450)</f>
        <v>879</v>
      </c>
      <c r="AZ450" s="31" t="n">
        <f aca="false">IF($G450="",AO450,Q450)</f>
        <v>0</v>
      </c>
      <c r="BA450" s="31" t="n">
        <f aca="false">IF($G450="",AP450,R450)</f>
        <v>515939</v>
      </c>
      <c r="BB450" s="31" t="n">
        <f aca="false">IF($G450="",AQ450,S450)</f>
        <v>0</v>
      </c>
      <c r="BC450" s="31" t="n">
        <f aca="false">IF($G450="",AR450,T450)</f>
        <v>49343</v>
      </c>
      <c r="BD450" s="31" t="n">
        <f aca="false">IF($G450="",AS450,U450)</f>
        <v>0</v>
      </c>
      <c r="BE450" s="31" t="n">
        <f aca="false">IF($G450="",AT450,V450)</f>
        <v>1</v>
      </c>
      <c r="BF450" s="31" t="n">
        <f aca="false">ROUNDDOWN(I450*設定!$B$10/1000,0)+ROUNDDOWN(I450*設定!$B$11/1000,0)</f>
        <v>0</v>
      </c>
      <c r="BG450" s="31" t="n">
        <f aca="false">ROUNDDOWN(I450*設定!$C$10/1000,0)+ROUNDDOWN(I450*設定!$C$11/1000,0)+ROUNDDOWN(I450*設定!$C$12/1000,0)</f>
        <v>0</v>
      </c>
      <c r="BH450" s="31" t="n">
        <f aca="false">ROUNDDOWN(J450*設定!$B$13/1000,0)</f>
        <v>0</v>
      </c>
      <c r="BI450" s="31" t="n">
        <f aca="false">ROUNDDOWN(J450*設定!$C$13/1000,0)</f>
        <v>0</v>
      </c>
      <c r="BJ450" s="31" t="n">
        <f aca="false">ROUNDDOWN(K450*設定!$B$14/1000,0)</f>
        <v>0</v>
      </c>
      <c r="BK450" s="31" t="n">
        <f aca="false">ROUNDDOWN(K450*設定!$C$14/1000,0)</f>
        <v>0</v>
      </c>
      <c r="BL450" s="31" t="n">
        <f aca="false">ROUNDDOWN(J450*設定!$B$15/1000,0)</f>
        <v>0</v>
      </c>
      <c r="BM450" s="31" t="n">
        <f aca="false">ROUNDDOWN(J450*設定!$C$15/1000,0)</f>
        <v>0</v>
      </c>
      <c r="BN450" s="31" t="n">
        <f aca="false">L450+M450</f>
        <v>0</v>
      </c>
      <c r="BO450" s="31" t="n">
        <f aca="false">N450+O450+P450</f>
        <v>0</v>
      </c>
      <c r="BP450" s="31" t="n">
        <f aca="false">Q450</f>
        <v>0</v>
      </c>
      <c r="BQ450" s="31" t="n">
        <f aca="false">R450</f>
        <v>0</v>
      </c>
      <c r="BR450" s="31" t="n">
        <f aca="false">S450</f>
        <v>0</v>
      </c>
      <c r="BS450" s="31" t="n">
        <f aca="false">T450</f>
        <v>0</v>
      </c>
      <c r="BT450" s="31" t="n">
        <f aca="false">U450</f>
        <v>0</v>
      </c>
      <c r="BU450" s="31" t="n">
        <f aca="false">V450</f>
        <v>0</v>
      </c>
      <c r="BV450" s="32" t="n">
        <f aca="false">IF(BF450=0,IF(BN450=0,0,1),(BN450-BF450)/BF450)</f>
        <v>0</v>
      </c>
      <c r="BW450" s="32" t="n">
        <f aca="false">IF(BG450=0,IF(BO450=0,0,1),(BO450-BG450)/BG450)</f>
        <v>0</v>
      </c>
      <c r="BX450" s="32" t="n">
        <f aca="false">IF(BH450=0,IF(BP450=0,0,1),(BP450-BH450)/BH450)</f>
        <v>0</v>
      </c>
      <c r="BY450" s="32" t="n">
        <f aca="false">IF(BI450=0,IF(BQ450=0,0,1),(BQ450-BI450)/BI450)</f>
        <v>0</v>
      </c>
      <c r="BZ450" s="32" t="n">
        <f aca="false">IF(BJ450=0,IF(BR450=0,0,1),(BR450-BJ450)/BJ450)</f>
        <v>0</v>
      </c>
      <c r="CA450" s="32" t="n">
        <f aca="false">IF(BK450=0,IF(BS450=0,0,1),(BS450-BK450)/BK450)</f>
        <v>0</v>
      </c>
      <c r="CB450" s="32" t="n">
        <f aca="false">IF(BL450=0,IF(BT450=0,0,1),(BT450-BL450)/BL450)</f>
        <v>0</v>
      </c>
      <c r="CC450" s="32" t="n">
        <f aca="false">IF(BM450=0,IF(BU450=0,0,1),(BU450-BM450)/BM450)</f>
        <v>0</v>
      </c>
      <c r="CD450" s="32" t="n">
        <f aca="false">MAX(MAX(BV450:CC450),-MIN(BV450:CC450))</f>
        <v>-0</v>
      </c>
      <c r="CE450" s="31" t="str">
        <f aca="false">IF(CI450="","",SUMIFS($CF$7:$CF$696,$A$7:$A$696,CI450,$B$7:$B$696,B450))</f>
        <v/>
      </c>
      <c r="CF450" s="31" t="n">
        <f aca="false">SUM(AU450:BE450)</f>
        <v>1493001</v>
      </c>
      <c r="CG450" s="36" t="str">
        <f aca="false">A450&amp;"|"&amp;B450</f>
        <v>2026-12 賞与|バス協調・共創
プラットフォーム</v>
      </c>
      <c r="CH450" s="34" t="str">
        <f aca="false">IFERROR(INDEX(設定!$D$61:$D$106,MATCH(B450,設定!$B$61:$B$106,0)),"Y")</f>
        <v>Y</v>
      </c>
      <c r="CI450" s="34" t="str">
        <f aca="false">IFERROR(INDEX(設定!$D$20:$D$34,MATCH(A450,設定!$A$20:$A$34,0))&amp;"","")</f>
        <v/>
      </c>
    </row>
    <row r="451" customFormat="false" ht="15" hidden="true" customHeight="false" outlineLevel="0" collapsed="false">
      <c r="A451" s="22" t="s">
        <v>217</v>
      </c>
      <c r="B451" s="23" t="s">
        <v>191</v>
      </c>
      <c r="C451" s="10" t="str">
        <f aca="false">IF(G451="","未受領",IF(G451="なし","報告なし",IF(AH451="○","起票済",IF(OR(AG451="○",F451="一致",F451="入金不要"),"入金確認済","受領済"))))</f>
        <v>未受領</v>
      </c>
      <c r="D451" s="10" t="str">
        <f aca="false">IF(OR(G451="",G451="なし"),"―",IF(CH451="N","対象外",IF(AND(I451="",J451="",K451=""),"標報未入力",IF(CD451&gt;=設定!$B$4,"要確認","問題なし"))))</f>
        <v>―</v>
      </c>
      <c r="E451" s="24" t="str">
        <f aca="false">IF(OR(G451="",G451="なし",CE451="",CF451=0),"―",IF(CF451=CE451,"前月同額",IF(CE451=0,"―",IF(ABS(CF451/CE451-1)&gt;=設定!$B$5,"変動大 "&amp;TEXT(CF451/CE451-1,"+0%;-0%"),"〇"))))</f>
        <v>―</v>
      </c>
      <c r="F451" s="10" t="str">
        <f aca="false">IF(OR(G451="",G451="なし"),"―",IF(CF451=0,"入金不要",IF(COUNT(Z451,AB451,AD451,AF451)=0,IF(AG451="○","手動確認","未入金"),IF(AND(N(Z451)=Y451,IF(AA451="",TRUE(),N(AB451)=AA451),IF(AC451="",TRUE(),N(AD451)=AC451),IF(AE451="",TRUE(),N(AF451)=AE451)),"一致","不一致"))))</f>
        <v>―</v>
      </c>
      <c r="G451" s="25"/>
      <c r="H451" s="26"/>
      <c r="I451" s="27"/>
      <c r="J451" s="27"/>
      <c r="K451" s="27"/>
      <c r="L451" s="27"/>
      <c r="M451" s="27"/>
      <c r="N451" s="27"/>
      <c r="O451" s="27"/>
      <c r="P451" s="27"/>
      <c r="Q451" s="27"/>
      <c r="R451" s="27"/>
      <c r="S451" s="27"/>
      <c r="T451" s="27"/>
      <c r="U451" s="27"/>
      <c r="V451" s="27"/>
      <c r="W451" s="10" t="str">
        <f aca="false">IFERROR(INDEX(設定!$E$61:$E$106,MATCH(B451,設定!$B$61:$B$106,0)),"合算")</f>
        <v>合算</v>
      </c>
      <c r="X451" s="28"/>
      <c r="Y451" s="29" t="str">
        <f aca="false">IF(OR(G451="",G451="なし"),"",IF(W451="合算",CF451,IF(W451="掛金・負担金別",(AU451+AV451+AZ451+BB451+BD451),SUM(AU451:AY451))))</f>
        <v/>
      </c>
      <c r="Z451" s="27"/>
      <c r="AA451" s="29" t="str">
        <f aca="false">IF(OR(G451="",G451="なし"),"",IF(W451="掛金・負担金別",(AW451+AX451+AY451+BA451+BC451+BE451),IF(W451="経理区分別",AZ451+BA451,"")))</f>
        <v/>
      </c>
      <c r="AB451" s="27"/>
      <c r="AC451" s="29" t="str">
        <f aca="false">IF(OR(G451="",G451="なし"),"",IF(W451="経理区分別",BB451+BC451,""))</f>
        <v/>
      </c>
      <c r="AD451" s="27"/>
      <c r="AE451" s="29" t="str">
        <f aca="false">IF(OR(G451="",G451="なし"),"",IF(W451="経理区分別",BD451+BE451,""))</f>
        <v/>
      </c>
      <c r="AF451" s="27"/>
      <c r="AG451" s="26"/>
      <c r="AH451" s="26"/>
      <c r="AI451" s="30"/>
      <c r="AJ451" s="31" t="n">
        <v>117028</v>
      </c>
      <c r="AK451" s="31" t="n">
        <v>9592</v>
      </c>
      <c r="AL451" s="31" t="n">
        <v>117029</v>
      </c>
      <c r="AM451" s="31" t="n">
        <v>9592</v>
      </c>
      <c r="AN451" s="31" t="n">
        <v>120</v>
      </c>
      <c r="AO451" s="31" t="n">
        <v>70357</v>
      </c>
      <c r="AP451" s="31" t="n">
        <v>70485</v>
      </c>
      <c r="AQ451" s="31" t="n">
        <v>10104</v>
      </c>
      <c r="AR451" s="31" t="n">
        <v>10104</v>
      </c>
      <c r="AS451" s="31" t="n">
        <v>1</v>
      </c>
      <c r="AT451" s="31" t="n">
        <v>1</v>
      </c>
      <c r="AU451" s="31" t="n">
        <f aca="false">IF($G451="",AJ451,L451)</f>
        <v>117028</v>
      </c>
      <c r="AV451" s="31" t="n">
        <f aca="false">IF($G451="",AK451,M451)</f>
        <v>9592</v>
      </c>
      <c r="AW451" s="31" t="n">
        <f aca="false">IF($G451="",AL451,N451)</f>
        <v>117029</v>
      </c>
      <c r="AX451" s="31" t="n">
        <f aca="false">IF($G451="",AM451,O451)</f>
        <v>9592</v>
      </c>
      <c r="AY451" s="31" t="n">
        <f aca="false">IF($G451="",AN451,P451)</f>
        <v>120</v>
      </c>
      <c r="AZ451" s="31" t="n">
        <f aca="false">IF($G451="",AO451,Q451)</f>
        <v>70357</v>
      </c>
      <c r="BA451" s="31" t="n">
        <f aca="false">IF($G451="",AP451,R451)</f>
        <v>70485</v>
      </c>
      <c r="BB451" s="31" t="n">
        <f aca="false">IF($G451="",AQ451,S451)</f>
        <v>10104</v>
      </c>
      <c r="BC451" s="31" t="n">
        <f aca="false">IF($G451="",AR451,T451)</f>
        <v>10104</v>
      </c>
      <c r="BD451" s="31" t="n">
        <f aca="false">IF($G451="",AS451,U451)</f>
        <v>1</v>
      </c>
      <c r="BE451" s="31" t="n">
        <f aca="false">IF($G451="",AT451,V451)</f>
        <v>1</v>
      </c>
      <c r="BF451" s="31" t="n">
        <f aca="false">ROUNDDOWN(I451*設定!$B$10/1000,0)+ROUNDDOWN(I451*設定!$B$11/1000,0)</f>
        <v>0</v>
      </c>
      <c r="BG451" s="31" t="n">
        <f aca="false">ROUNDDOWN(I451*設定!$C$10/1000,0)+ROUNDDOWN(I451*設定!$C$11/1000,0)+ROUNDDOWN(I451*設定!$C$12/1000,0)</f>
        <v>0</v>
      </c>
      <c r="BH451" s="31" t="n">
        <f aca="false">ROUNDDOWN(J451*設定!$B$13/1000,0)</f>
        <v>0</v>
      </c>
      <c r="BI451" s="31" t="n">
        <f aca="false">ROUNDDOWN(J451*設定!$C$13/1000,0)</f>
        <v>0</v>
      </c>
      <c r="BJ451" s="31" t="n">
        <f aca="false">ROUNDDOWN(K451*設定!$B$14/1000,0)</f>
        <v>0</v>
      </c>
      <c r="BK451" s="31" t="n">
        <f aca="false">ROUNDDOWN(K451*設定!$C$14/1000,0)</f>
        <v>0</v>
      </c>
      <c r="BL451" s="31" t="n">
        <f aca="false">ROUNDDOWN(J451*設定!$B$15/1000,0)</f>
        <v>0</v>
      </c>
      <c r="BM451" s="31" t="n">
        <f aca="false">ROUNDDOWN(J451*設定!$C$15/1000,0)</f>
        <v>0</v>
      </c>
      <c r="BN451" s="31" t="n">
        <f aca="false">L451+M451</f>
        <v>0</v>
      </c>
      <c r="BO451" s="31" t="n">
        <f aca="false">N451+O451+P451</f>
        <v>0</v>
      </c>
      <c r="BP451" s="31" t="n">
        <f aca="false">Q451</f>
        <v>0</v>
      </c>
      <c r="BQ451" s="31" t="n">
        <f aca="false">R451</f>
        <v>0</v>
      </c>
      <c r="BR451" s="31" t="n">
        <f aca="false">S451</f>
        <v>0</v>
      </c>
      <c r="BS451" s="31" t="n">
        <f aca="false">T451</f>
        <v>0</v>
      </c>
      <c r="BT451" s="31" t="n">
        <f aca="false">U451</f>
        <v>0</v>
      </c>
      <c r="BU451" s="31" t="n">
        <f aca="false">V451</f>
        <v>0</v>
      </c>
      <c r="BV451" s="32" t="n">
        <f aca="false">IF(BF451=0,IF(BN451=0,0,1),(BN451-BF451)/BF451)</f>
        <v>0</v>
      </c>
      <c r="BW451" s="32" t="n">
        <f aca="false">IF(BG451=0,IF(BO451=0,0,1),(BO451-BG451)/BG451)</f>
        <v>0</v>
      </c>
      <c r="BX451" s="32" t="n">
        <f aca="false">IF(BH451=0,IF(BP451=0,0,1),(BP451-BH451)/BH451)</f>
        <v>0</v>
      </c>
      <c r="BY451" s="32" t="n">
        <f aca="false">IF(BI451=0,IF(BQ451=0,0,1),(BQ451-BI451)/BI451)</f>
        <v>0</v>
      </c>
      <c r="BZ451" s="32" t="n">
        <f aca="false">IF(BJ451=0,IF(BR451=0,0,1),(BR451-BJ451)/BJ451)</f>
        <v>0</v>
      </c>
      <c r="CA451" s="32" t="n">
        <f aca="false">IF(BK451=0,IF(BS451=0,0,1),(BS451-BK451)/BK451)</f>
        <v>0</v>
      </c>
      <c r="CB451" s="32" t="n">
        <f aca="false">IF(BL451=0,IF(BT451=0,0,1),(BT451-BL451)/BL451)</f>
        <v>0</v>
      </c>
      <c r="CC451" s="32" t="n">
        <f aca="false">IF(BM451=0,IF(BU451=0,0,1),(BU451-BM451)/BM451)</f>
        <v>0</v>
      </c>
      <c r="CD451" s="32" t="n">
        <f aca="false">MAX(MAX(BV451:CC451),-MIN(BV451:CC451))</f>
        <v>-0</v>
      </c>
      <c r="CE451" s="31" t="str">
        <f aca="false">IF(CI451="","",SUMIFS($CF$7:$CF$696,$A$7:$A$696,CI451,$B$7:$B$696,B451))</f>
        <v/>
      </c>
      <c r="CF451" s="31" t="n">
        <f aca="false">SUM(AU451:BE451)</f>
        <v>414413</v>
      </c>
      <c r="CG451" s="33" t="str">
        <f aca="false">A451&amp;"|"&amp;B451</f>
        <v>2026-12 賞与|広島県市長会</v>
      </c>
      <c r="CH451" s="34" t="str">
        <f aca="false">IFERROR(INDEX(設定!$D$61:$D$106,MATCH(B451,設定!$B$61:$B$106,0)),"Y")</f>
        <v>Y</v>
      </c>
      <c r="CI451" s="34" t="str">
        <f aca="false">IFERROR(INDEX(設定!$D$20:$D$34,MATCH(A451,設定!$A$20:$A$34,0))&amp;"","")</f>
        <v/>
      </c>
    </row>
    <row r="452" customFormat="false" ht="15" hidden="true" customHeight="false" outlineLevel="0" collapsed="false">
      <c r="A452" s="22" t="s">
        <v>217</v>
      </c>
      <c r="B452" s="23" t="s">
        <v>192</v>
      </c>
      <c r="C452" s="10" t="str">
        <f aca="false">IF(G452="","未受領",IF(G452="なし","報告なし",IF(AH452="○","起票済",IF(OR(AG452="○",F452="一致",F452="入金不要"),"入金確認済","受領済"))))</f>
        <v>未受領</v>
      </c>
      <c r="D452" s="10" t="str">
        <f aca="false">IF(OR(G452="",G452="なし"),"―",IF(CH452="N","対象外",IF(AND(I452="",J452="",K452=""),"標報未入力",IF(CD452&gt;=設定!$B$4,"要確認","問題なし"))))</f>
        <v>―</v>
      </c>
      <c r="E452" s="24" t="str">
        <f aca="false">IF(OR(G452="",G452="なし",CE452="",CF452=0),"―",IF(CF452=CE452,"前月同額",IF(CE452=0,"―",IF(ABS(CF452/CE452-1)&gt;=設定!$B$5,"変動大 "&amp;TEXT(CF452/CE452-1,"+0%;-0%"),"〇"))))</f>
        <v>―</v>
      </c>
      <c r="F452" s="10" t="str">
        <f aca="false">IF(OR(G452="",G452="なし"),"―",IF(CF452=0,"入金不要",IF(COUNT(Z452,AB452,AD452,AF452)=0,IF(AG452="○","手動確認","未入金"),IF(AND(N(Z452)=Y452,IF(AA452="",TRUE(),N(AB452)=AA452),IF(AC452="",TRUE(),N(AD452)=AC452),IF(AE452="",TRUE(),N(AF452)=AE452)),"一致","不一致"))))</f>
        <v>―</v>
      </c>
      <c r="G452" s="25"/>
      <c r="H452" s="26"/>
      <c r="I452" s="27"/>
      <c r="J452" s="27"/>
      <c r="K452" s="27"/>
      <c r="L452" s="27"/>
      <c r="M452" s="27"/>
      <c r="N452" s="27"/>
      <c r="O452" s="27"/>
      <c r="P452" s="27"/>
      <c r="Q452" s="27"/>
      <c r="R452" s="27"/>
      <c r="S452" s="27"/>
      <c r="T452" s="27"/>
      <c r="U452" s="27"/>
      <c r="V452" s="27"/>
      <c r="W452" s="10" t="str">
        <f aca="false">IFERROR(INDEX(設定!$E$61:$E$106,MATCH(B452,設定!$B$61:$B$106,0)),"合算")</f>
        <v>合算</v>
      </c>
      <c r="X452" s="28"/>
      <c r="Y452" s="29" t="str">
        <f aca="false">IF(OR(G452="",G452="なし"),"",IF(W452="合算",CF452,IF(W452="掛金・負担金別",(AU452+AV452+AZ452+BB452+BD452),SUM(AU452:AY452))))</f>
        <v/>
      </c>
      <c r="Z452" s="27"/>
      <c r="AA452" s="29" t="str">
        <f aca="false">IF(OR(G452="",G452="なし"),"",IF(W452="掛金・負担金別",(AW452+AX452+AY452+BA452+BC452+BE452),IF(W452="経理区分別",AZ452+BA452,"")))</f>
        <v/>
      </c>
      <c r="AB452" s="27"/>
      <c r="AC452" s="29" t="str">
        <f aca="false">IF(OR(G452="",G452="なし"),"",IF(W452="経理区分別",BB452+BC452,""))</f>
        <v/>
      </c>
      <c r="AD452" s="27"/>
      <c r="AE452" s="29" t="str">
        <f aca="false">IF(OR(G452="",G452="なし"),"",IF(W452="経理区分別",BD452+BE452,""))</f>
        <v/>
      </c>
      <c r="AF452" s="27"/>
      <c r="AG452" s="26"/>
      <c r="AH452" s="26"/>
      <c r="AI452" s="30"/>
      <c r="AJ452" s="31" t="n">
        <v>137250</v>
      </c>
      <c r="AK452" s="31" t="n">
        <v>11250</v>
      </c>
      <c r="AL452" s="31" t="n">
        <v>137250</v>
      </c>
      <c r="AM452" s="31" t="n">
        <v>11250</v>
      </c>
      <c r="AN452" s="31" t="n">
        <v>140</v>
      </c>
      <c r="AO452" s="31" t="n">
        <v>85375</v>
      </c>
      <c r="AP452" s="31" t="n">
        <v>85530</v>
      </c>
      <c r="AQ452" s="31" t="n">
        <v>12260</v>
      </c>
      <c r="AR452" s="31" t="n">
        <v>12260</v>
      </c>
      <c r="AS452" s="31" t="n">
        <v>1</v>
      </c>
      <c r="AT452" s="31" t="n">
        <v>1</v>
      </c>
      <c r="AU452" s="31" t="n">
        <f aca="false">IF($G452="",AJ452,L452)</f>
        <v>137250</v>
      </c>
      <c r="AV452" s="31" t="n">
        <f aca="false">IF($G452="",AK452,M452)</f>
        <v>11250</v>
      </c>
      <c r="AW452" s="31" t="n">
        <f aca="false">IF($G452="",AL452,N452)</f>
        <v>137250</v>
      </c>
      <c r="AX452" s="31" t="n">
        <f aca="false">IF($G452="",AM452,O452)</f>
        <v>11250</v>
      </c>
      <c r="AY452" s="31" t="n">
        <f aca="false">IF($G452="",AN452,P452)</f>
        <v>140</v>
      </c>
      <c r="AZ452" s="31" t="n">
        <f aca="false">IF($G452="",AO452,Q452)</f>
        <v>85375</v>
      </c>
      <c r="BA452" s="31" t="n">
        <f aca="false">IF($G452="",AP452,R452)</f>
        <v>85530</v>
      </c>
      <c r="BB452" s="31" t="n">
        <f aca="false">IF($G452="",AQ452,S452)</f>
        <v>12260</v>
      </c>
      <c r="BC452" s="31" t="n">
        <f aca="false">IF($G452="",AR452,T452)</f>
        <v>12260</v>
      </c>
      <c r="BD452" s="31" t="n">
        <f aca="false">IF($G452="",AS452,U452)</f>
        <v>1</v>
      </c>
      <c r="BE452" s="31" t="n">
        <f aca="false">IF($G452="",AT452,V452)</f>
        <v>1</v>
      </c>
      <c r="BF452" s="31" t="n">
        <f aca="false">ROUNDDOWN(I452*設定!$B$10/1000,0)+ROUNDDOWN(I452*設定!$B$11/1000,0)</f>
        <v>0</v>
      </c>
      <c r="BG452" s="31" t="n">
        <f aca="false">ROUNDDOWN(I452*設定!$C$10/1000,0)+ROUNDDOWN(I452*設定!$C$11/1000,0)+ROUNDDOWN(I452*設定!$C$12/1000,0)</f>
        <v>0</v>
      </c>
      <c r="BH452" s="31" t="n">
        <f aca="false">ROUNDDOWN(J452*設定!$B$13/1000,0)</f>
        <v>0</v>
      </c>
      <c r="BI452" s="31" t="n">
        <f aca="false">ROUNDDOWN(J452*設定!$C$13/1000,0)</f>
        <v>0</v>
      </c>
      <c r="BJ452" s="31" t="n">
        <f aca="false">ROUNDDOWN(K452*設定!$B$14/1000,0)</f>
        <v>0</v>
      </c>
      <c r="BK452" s="31" t="n">
        <f aca="false">ROUNDDOWN(K452*設定!$C$14/1000,0)</f>
        <v>0</v>
      </c>
      <c r="BL452" s="31" t="n">
        <f aca="false">ROUNDDOWN(J452*設定!$B$15/1000,0)</f>
        <v>0</v>
      </c>
      <c r="BM452" s="31" t="n">
        <f aca="false">ROUNDDOWN(J452*設定!$C$15/1000,0)</f>
        <v>0</v>
      </c>
      <c r="BN452" s="31" t="n">
        <f aca="false">L452+M452</f>
        <v>0</v>
      </c>
      <c r="BO452" s="31" t="n">
        <f aca="false">N452+O452+P452</f>
        <v>0</v>
      </c>
      <c r="BP452" s="31" t="n">
        <f aca="false">Q452</f>
        <v>0</v>
      </c>
      <c r="BQ452" s="31" t="n">
        <f aca="false">R452</f>
        <v>0</v>
      </c>
      <c r="BR452" s="31" t="n">
        <f aca="false">S452</f>
        <v>0</v>
      </c>
      <c r="BS452" s="31" t="n">
        <f aca="false">T452</f>
        <v>0</v>
      </c>
      <c r="BT452" s="31" t="n">
        <f aca="false">U452</f>
        <v>0</v>
      </c>
      <c r="BU452" s="31" t="n">
        <f aca="false">V452</f>
        <v>0</v>
      </c>
      <c r="BV452" s="32" t="n">
        <f aca="false">IF(BF452=0,IF(BN452=0,0,1),(BN452-BF452)/BF452)</f>
        <v>0</v>
      </c>
      <c r="BW452" s="32" t="n">
        <f aca="false">IF(BG452=0,IF(BO452=0,0,1),(BO452-BG452)/BG452)</f>
        <v>0</v>
      </c>
      <c r="BX452" s="32" t="n">
        <f aca="false">IF(BH452=0,IF(BP452=0,0,1),(BP452-BH452)/BH452)</f>
        <v>0</v>
      </c>
      <c r="BY452" s="32" t="n">
        <f aca="false">IF(BI452=0,IF(BQ452=0,0,1),(BQ452-BI452)/BI452)</f>
        <v>0</v>
      </c>
      <c r="BZ452" s="32" t="n">
        <f aca="false">IF(BJ452=0,IF(BR452=0,0,1),(BR452-BJ452)/BJ452)</f>
        <v>0</v>
      </c>
      <c r="CA452" s="32" t="n">
        <f aca="false">IF(BK452=0,IF(BS452=0,0,1),(BS452-BK452)/BK452)</f>
        <v>0</v>
      </c>
      <c r="CB452" s="32" t="n">
        <f aca="false">IF(BL452=0,IF(BT452=0,0,1),(BT452-BL452)/BL452)</f>
        <v>0</v>
      </c>
      <c r="CC452" s="32" t="n">
        <f aca="false">IF(BM452=0,IF(BU452=0,0,1),(BU452-BM452)/BM452)</f>
        <v>0</v>
      </c>
      <c r="CD452" s="32" t="n">
        <f aca="false">MAX(MAX(BV452:CC452),-MIN(BV452:CC452))</f>
        <v>-0</v>
      </c>
      <c r="CE452" s="31" t="str">
        <f aca="false">IF(CI452="","",SUMIFS($CF$7:$CF$696,$A$7:$A$696,CI452,$B$7:$B$696,B452))</f>
        <v/>
      </c>
      <c r="CF452" s="31" t="n">
        <f aca="false">SUM(AU452:BE452)</f>
        <v>492567</v>
      </c>
      <c r="CG452" s="33" t="str">
        <f aca="false">A452&amp;"|"&amp;B452</f>
        <v>2026-12 賞与|全国市町村研修財団</v>
      </c>
      <c r="CH452" s="34" t="str">
        <f aca="false">IFERROR(INDEX(設定!$D$61:$D$106,MATCH(B452,設定!$B$61:$B$106,0)),"Y")</f>
        <v>Y</v>
      </c>
      <c r="CI452" s="34" t="str">
        <f aca="false">IFERROR(INDEX(設定!$D$20:$D$34,MATCH(A452,設定!$A$20:$A$34,0))&amp;"","")</f>
        <v/>
      </c>
    </row>
    <row r="453" customFormat="false" ht="15" hidden="true" customHeight="false" outlineLevel="0" collapsed="false">
      <c r="A453" s="22" t="s">
        <v>217</v>
      </c>
      <c r="B453" s="23" t="s">
        <v>193</v>
      </c>
      <c r="C453" s="10" t="str">
        <f aca="false">IF(G453="","未受領",IF(G453="なし","報告なし",IF(AH453="○","起票済",IF(OR(AG453="○",F453="一致",F453="入金不要"),"入金確認済","受領済"))))</f>
        <v>未受領</v>
      </c>
      <c r="D453" s="10" t="str">
        <f aca="false">IF(OR(G453="",G453="なし"),"―",IF(CH453="N","対象外",IF(AND(I453="",J453="",K453=""),"標報未入力",IF(CD453&gt;=設定!$B$4,"要確認","問題なし"))))</f>
        <v>―</v>
      </c>
      <c r="E453" s="24" t="str">
        <f aca="false">IF(OR(G453="",G453="なし",CE453="",CF453=0),"―",IF(CF453=CE453,"前月同額",IF(CE453=0,"―",IF(ABS(CF453/CE453-1)&gt;=設定!$B$5,"変動大 "&amp;TEXT(CF453/CE453-1,"+0%;-0%"),"〇"))))</f>
        <v>―</v>
      </c>
      <c r="F453" s="10" t="str">
        <f aca="false">IF(OR(G453="",G453="なし"),"―",IF(CF453=0,"入金不要",IF(COUNT(Z453,AB453,AD453,AF453)=0,IF(AG453="○","手動確認","未入金"),IF(AND(N(Z453)=Y453,IF(AA453="",TRUE(),N(AB453)=AA453),IF(AC453="",TRUE(),N(AD453)=AC453),IF(AE453="",TRUE(),N(AF453)=AE453)),"一致","不一致"))))</f>
        <v>―</v>
      </c>
      <c r="G453" s="25"/>
      <c r="H453" s="26"/>
      <c r="I453" s="27"/>
      <c r="J453" s="27"/>
      <c r="K453" s="27"/>
      <c r="L453" s="27"/>
      <c r="M453" s="27"/>
      <c r="N453" s="27"/>
      <c r="O453" s="27"/>
      <c r="P453" s="27"/>
      <c r="Q453" s="27"/>
      <c r="R453" s="27"/>
      <c r="S453" s="27"/>
      <c r="T453" s="27"/>
      <c r="U453" s="27"/>
      <c r="V453" s="27"/>
      <c r="W453" s="10" t="str">
        <f aca="false">IFERROR(INDEX(設定!$E$61:$E$106,MATCH(B453,設定!$B$61:$B$106,0)),"合算")</f>
        <v>合算</v>
      </c>
      <c r="X453" s="28"/>
      <c r="Y453" s="29" t="str">
        <f aca="false">IF(OR(G453="",G453="なし"),"",IF(W453="合算",CF453,IF(W453="掛金・負担金別",(AU453+AV453+AZ453+BB453+BD453),SUM(AU453:AY453))))</f>
        <v/>
      </c>
      <c r="Z453" s="27"/>
      <c r="AA453" s="29" t="str">
        <f aca="false">IF(OR(G453="",G453="なし"),"",IF(W453="掛金・負担金別",(AW453+AX453+AY453+BA453+BC453+BE453),IF(W453="経理区分別",AZ453+BA453,"")))</f>
        <v/>
      </c>
      <c r="AB453" s="27"/>
      <c r="AC453" s="29" t="str">
        <f aca="false">IF(OR(G453="",G453="なし"),"",IF(W453="経理区分別",BB453+BC453,""))</f>
        <v/>
      </c>
      <c r="AD453" s="27"/>
      <c r="AE453" s="29" t="str">
        <f aca="false">IF(OR(G453="",G453="なし"),"",IF(W453="経理区分別",BD453+BE453,""))</f>
        <v/>
      </c>
      <c r="AF453" s="27"/>
      <c r="AG453" s="26"/>
      <c r="AH453" s="26"/>
      <c r="AI453" s="30"/>
      <c r="AJ453" s="31" t="n">
        <v>110989</v>
      </c>
      <c r="AK453" s="31" t="n">
        <v>9097</v>
      </c>
      <c r="AL453" s="31" t="n">
        <v>110990</v>
      </c>
      <c r="AM453" s="31" t="n">
        <v>9097</v>
      </c>
      <c r="AN453" s="31" t="n">
        <v>113</v>
      </c>
      <c r="AO453" s="31" t="n">
        <v>66727</v>
      </c>
      <c r="AP453" s="31" t="n">
        <v>66848</v>
      </c>
      <c r="AQ453" s="31" t="n">
        <v>0</v>
      </c>
      <c r="AR453" s="31" t="n">
        <v>0</v>
      </c>
      <c r="AS453" s="31" t="n">
        <v>1</v>
      </c>
      <c r="AT453" s="31" t="n">
        <v>1</v>
      </c>
      <c r="AU453" s="31" t="n">
        <f aca="false">IF($G453="",AJ453,L453)</f>
        <v>110989</v>
      </c>
      <c r="AV453" s="31" t="n">
        <f aca="false">IF($G453="",AK453,M453)</f>
        <v>9097</v>
      </c>
      <c r="AW453" s="31" t="n">
        <f aca="false">IF($G453="",AL453,N453)</f>
        <v>110990</v>
      </c>
      <c r="AX453" s="31" t="n">
        <f aca="false">IF($G453="",AM453,O453)</f>
        <v>9097</v>
      </c>
      <c r="AY453" s="31" t="n">
        <f aca="false">IF($G453="",AN453,P453)</f>
        <v>113</v>
      </c>
      <c r="AZ453" s="31" t="n">
        <f aca="false">IF($G453="",AO453,Q453)</f>
        <v>66727</v>
      </c>
      <c r="BA453" s="31" t="n">
        <f aca="false">IF($G453="",AP453,R453)</f>
        <v>66848</v>
      </c>
      <c r="BB453" s="31" t="n">
        <f aca="false">IF($G453="",AQ453,S453)</f>
        <v>0</v>
      </c>
      <c r="BC453" s="31" t="n">
        <f aca="false">IF($G453="",AR453,T453)</f>
        <v>0</v>
      </c>
      <c r="BD453" s="31" t="n">
        <f aca="false">IF($G453="",AS453,U453)</f>
        <v>1</v>
      </c>
      <c r="BE453" s="31" t="n">
        <f aca="false">IF($G453="",AT453,V453)</f>
        <v>1</v>
      </c>
      <c r="BF453" s="31" t="n">
        <f aca="false">ROUNDDOWN(I453*設定!$B$10/1000,0)+ROUNDDOWN(I453*設定!$B$11/1000,0)</f>
        <v>0</v>
      </c>
      <c r="BG453" s="31" t="n">
        <f aca="false">ROUNDDOWN(I453*設定!$C$10/1000,0)+ROUNDDOWN(I453*設定!$C$11/1000,0)+ROUNDDOWN(I453*設定!$C$12/1000,0)</f>
        <v>0</v>
      </c>
      <c r="BH453" s="31" t="n">
        <f aca="false">ROUNDDOWN(J453*設定!$B$13/1000,0)</f>
        <v>0</v>
      </c>
      <c r="BI453" s="31" t="n">
        <f aca="false">ROUNDDOWN(J453*設定!$C$13/1000,0)</f>
        <v>0</v>
      </c>
      <c r="BJ453" s="31" t="n">
        <f aca="false">ROUNDDOWN(K453*設定!$B$14/1000,0)</f>
        <v>0</v>
      </c>
      <c r="BK453" s="31" t="n">
        <f aca="false">ROUNDDOWN(K453*設定!$C$14/1000,0)</f>
        <v>0</v>
      </c>
      <c r="BL453" s="31" t="n">
        <f aca="false">ROUNDDOWN(J453*設定!$B$15/1000,0)</f>
        <v>0</v>
      </c>
      <c r="BM453" s="31" t="n">
        <f aca="false">ROUNDDOWN(J453*設定!$C$15/1000,0)</f>
        <v>0</v>
      </c>
      <c r="BN453" s="31" t="n">
        <f aca="false">L453+M453</f>
        <v>0</v>
      </c>
      <c r="BO453" s="31" t="n">
        <f aca="false">N453+O453+P453</f>
        <v>0</v>
      </c>
      <c r="BP453" s="31" t="n">
        <f aca="false">Q453</f>
        <v>0</v>
      </c>
      <c r="BQ453" s="31" t="n">
        <f aca="false">R453</f>
        <v>0</v>
      </c>
      <c r="BR453" s="31" t="n">
        <f aca="false">S453</f>
        <v>0</v>
      </c>
      <c r="BS453" s="31" t="n">
        <f aca="false">T453</f>
        <v>0</v>
      </c>
      <c r="BT453" s="31" t="n">
        <f aca="false">U453</f>
        <v>0</v>
      </c>
      <c r="BU453" s="31" t="n">
        <f aca="false">V453</f>
        <v>0</v>
      </c>
      <c r="BV453" s="32" t="n">
        <f aca="false">IF(BF453=0,IF(BN453=0,0,1),(BN453-BF453)/BF453)</f>
        <v>0</v>
      </c>
      <c r="BW453" s="32" t="n">
        <f aca="false">IF(BG453=0,IF(BO453=0,0,1),(BO453-BG453)/BG453)</f>
        <v>0</v>
      </c>
      <c r="BX453" s="32" t="n">
        <f aca="false">IF(BH453=0,IF(BP453=0,0,1),(BP453-BH453)/BH453)</f>
        <v>0</v>
      </c>
      <c r="BY453" s="32" t="n">
        <f aca="false">IF(BI453=0,IF(BQ453=0,0,1),(BQ453-BI453)/BI453)</f>
        <v>0</v>
      </c>
      <c r="BZ453" s="32" t="n">
        <f aca="false">IF(BJ453=0,IF(BR453=0,0,1),(BR453-BJ453)/BJ453)</f>
        <v>0</v>
      </c>
      <c r="CA453" s="32" t="n">
        <f aca="false">IF(BK453=0,IF(BS453=0,0,1),(BS453-BK453)/BK453)</f>
        <v>0</v>
      </c>
      <c r="CB453" s="32" t="n">
        <f aca="false">IF(BL453=0,IF(BT453=0,0,1),(BT453-BL453)/BL453)</f>
        <v>0</v>
      </c>
      <c r="CC453" s="32" t="n">
        <f aca="false">IF(BM453=0,IF(BU453=0,0,1),(BU453-BM453)/BM453)</f>
        <v>0</v>
      </c>
      <c r="CD453" s="32" t="n">
        <f aca="false">MAX(MAX(BV453:CC453),-MIN(BV453:CC453))</f>
        <v>-0</v>
      </c>
      <c r="CE453" s="31" t="str">
        <f aca="false">IF(CI453="","",SUMIFS($CF$7:$CF$696,$A$7:$A$696,CI453,$B$7:$B$696,B453))</f>
        <v/>
      </c>
      <c r="CF453" s="31" t="n">
        <f aca="false">SUM(AU453:BE453)</f>
        <v>373863</v>
      </c>
      <c r="CG453" s="33" t="str">
        <f aca="false">A453&amp;"|"&amp;B453</f>
        <v>2026-12 賞与|都市再生機構</v>
      </c>
      <c r="CH453" s="34" t="str">
        <f aca="false">IFERROR(INDEX(設定!$D$61:$D$106,MATCH(B453,設定!$B$61:$B$106,0)),"Y")</f>
        <v>Y</v>
      </c>
      <c r="CI453" s="34" t="str">
        <f aca="false">IFERROR(INDEX(設定!$D$20:$D$34,MATCH(A453,設定!$A$20:$A$34,0))&amp;"","")</f>
        <v/>
      </c>
    </row>
    <row r="454" customFormat="false" ht="15" hidden="true" customHeight="false" outlineLevel="0" collapsed="false">
      <c r="A454" s="22" t="s">
        <v>217</v>
      </c>
      <c r="B454" s="23" t="s">
        <v>194</v>
      </c>
      <c r="C454" s="10" t="str">
        <f aca="false">IF(G454="","未受領",IF(G454="なし","報告なし",IF(AH454="○","起票済",IF(OR(AG454="○",F454="一致",F454="入金不要"),"入金確認済","受領済"))))</f>
        <v>未受領</v>
      </c>
      <c r="D454" s="10" t="str">
        <f aca="false">IF(OR(G454="",G454="なし"),"―",IF(CH454="N","対象外",IF(AND(I454="",J454="",K454=""),"標報未入力",IF(CD454&gt;=設定!$B$4,"要確認","問題なし"))))</f>
        <v>―</v>
      </c>
      <c r="E454" s="24" t="str">
        <f aca="false">IF(OR(G454="",G454="なし",CE454="",CF454=0),"―",IF(CF454=CE454,"前月同額",IF(CE454=0,"―",IF(ABS(CF454/CE454-1)&gt;=設定!$B$5,"変動大 "&amp;TEXT(CF454/CE454-1,"+0%;-0%"),"〇"))))</f>
        <v>―</v>
      </c>
      <c r="F454" s="10" t="str">
        <f aca="false">IF(OR(G454="",G454="なし"),"―",IF(CF454=0,"入金不要",IF(COUNT(Z454,AB454,AD454,AF454)=0,IF(AG454="○","手動確認","未入金"),IF(AND(N(Z454)=Y454,IF(AA454="",TRUE(),N(AB454)=AA454),IF(AC454="",TRUE(),N(AD454)=AC454),IF(AE454="",TRUE(),N(AF454)=AE454)),"一致","不一致"))))</f>
        <v>―</v>
      </c>
      <c r="G454" s="25"/>
      <c r="H454" s="26"/>
      <c r="I454" s="27"/>
      <c r="J454" s="27"/>
      <c r="K454" s="27"/>
      <c r="L454" s="27"/>
      <c r="M454" s="27"/>
      <c r="N454" s="27"/>
      <c r="O454" s="27"/>
      <c r="P454" s="27"/>
      <c r="Q454" s="27"/>
      <c r="R454" s="27"/>
      <c r="S454" s="27"/>
      <c r="T454" s="27"/>
      <c r="U454" s="27"/>
      <c r="V454" s="27"/>
      <c r="W454" s="10" t="str">
        <f aca="false">IFERROR(INDEX(設定!$E$61:$E$106,MATCH(B454,設定!$B$61:$B$106,0)),"合算")</f>
        <v>合算</v>
      </c>
      <c r="X454" s="28"/>
      <c r="Y454" s="29" t="str">
        <f aca="false">IF(OR(G454="",G454="なし"),"",IF(W454="合算",CF454,IF(W454="掛金・負担金別",(AU454+AV454+AZ454+BB454+BD454),SUM(AU454:AY454))))</f>
        <v/>
      </c>
      <c r="Z454" s="27"/>
      <c r="AA454" s="29" t="str">
        <f aca="false">IF(OR(G454="",G454="なし"),"",IF(W454="掛金・負担金別",(AW454+AX454+AY454+BA454+BC454+BE454),IF(W454="経理区分別",AZ454+BA454,"")))</f>
        <v/>
      </c>
      <c r="AB454" s="27"/>
      <c r="AC454" s="29" t="str">
        <f aca="false">IF(OR(G454="",G454="なし"),"",IF(W454="経理区分別",BB454+BC454,""))</f>
        <v/>
      </c>
      <c r="AD454" s="27"/>
      <c r="AE454" s="29" t="str">
        <f aca="false">IF(OR(G454="",G454="なし"),"",IF(W454="経理区分別",BD454+BE454,""))</f>
        <v/>
      </c>
      <c r="AF454" s="27"/>
      <c r="AG454" s="26"/>
      <c r="AH454" s="26"/>
      <c r="AI454" s="30"/>
      <c r="AJ454" s="31" t="n">
        <v>2224906</v>
      </c>
      <c r="AK454" s="31" t="n">
        <v>182362</v>
      </c>
      <c r="AL454" s="31" t="n">
        <v>2224922</v>
      </c>
      <c r="AM454" s="31" t="n">
        <v>182370</v>
      </c>
      <c r="AN454" s="31" t="n">
        <v>2370</v>
      </c>
      <c r="AO454" s="31" t="n">
        <v>1337610</v>
      </c>
      <c r="AP454" s="31" t="n">
        <v>1340149</v>
      </c>
      <c r="AQ454" s="31" t="n">
        <v>125563</v>
      </c>
      <c r="AR454" s="31" t="n">
        <v>125570</v>
      </c>
      <c r="AS454" s="31" t="n">
        <v>1</v>
      </c>
      <c r="AT454" s="31" t="n">
        <v>1</v>
      </c>
      <c r="AU454" s="31" t="n">
        <f aca="false">IF($G454="",AJ454,L454)</f>
        <v>2224906</v>
      </c>
      <c r="AV454" s="31" t="n">
        <f aca="false">IF($G454="",AK454,M454)</f>
        <v>182362</v>
      </c>
      <c r="AW454" s="31" t="n">
        <f aca="false">IF($G454="",AL454,N454)</f>
        <v>2224922</v>
      </c>
      <c r="AX454" s="31" t="n">
        <f aca="false">IF($G454="",AM454,O454)</f>
        <v>182370</v>
      </c>
      <c r="AY454" s="31" t="n">
        <f aca="false">IF($G454="",AN454,P454)</f>
        <v>2370</v>
      </c>
      <c r="AZ454" s="31" t="n">
        <f aca="false">IF($G454="",AO454,Q454)</f>
        <v>1337610</v>
      </c>
      <c r="BA454" s="31" t="n">
        <f aca="false">IF($G454="",AP454,R454)</f>
        <v>1340149</v>
      </c>
      <c r="BB454" s="31" t="n">
        <f aca="false">IF($G454="",AQ454,S454)</f>
        <v>125563</v>
      </c>
      <c r="BC454" s="31" t="n">
        <f aca="false">IF($G454="",AR454,T454)</f>
        <v>125570</v>
      </c>
      <c r="BD454" s="31" t="n">
        <f aca="false">IF($G454="",AS454,U454)</f>
        <v>1</v>
      </c>
      <c r="BE454" s="31" t="n">
        <f aca="false">IF($G454="",AT454,V454)</f>
        <v>1</v>
      </c>
      <c r="BF454" s="31" t="n">
        <f aca="false">ROUNDDOWN(I454*設定!$B$10/1000,0)+ROUNDDOWN(I454*設定!$B$11/1000,0)</f>
        <v>0</v>
      </c>
      <c r="BG454" s="31" t="n">
        <f aca="false">ROUNDDOWN(I454*設定!$C$10/1000,0)+ROUNDDOWN(I454*設定!$C$11/1000,0)+ROUNDDOWN(I454*設定!$C$12/1000,0)</f>
        <v>0</v>
      </c>
      <c r="BH454" s="31" t="n">
        <f aca="false">ROUNDDOWN(J454*設定!$B$13/1000,0)</f>
        <v>0</v>
      </c>
      <c r="BI454" s="31" t="n">
        <f aca="false">ROUNDDOWN(J454*設定!$C$13/1000,0)</f>
        <v>0</v>
      </c>
      <c r="BJ454" s="31" t="n">
        <f aca="false">ROUNDDOWN(K454*設定!$B$14/1000,0)</f>
        <v>0</v>
      </c>
      <c r="BK454" s="31" t="n">
        <f aca="false">ROUNDDOWN(K454*設定!$C$14/1000,0)</f>
        <v>0</v>
      </c>
      <c r="BL454" s="31" t="n">
        <f aca="false">ROUNDDOWN(J454*設定!$B$15/1000,0)</f>
        <v>0</v>
      </c>
      <c r="BM454" s="31" t="n">
        <f aca="false">ROUNDDOWN(J454*設定!$C$15/1000,0)</f>
        <v>0</v>
      </c>
      <c r="BN454" s="31" t="n">
        <f aca="false">L454+M454</f>
        <v>0</v>
      </c>
      <c r="BO454" s="31" t="n">
        <f aca="false">N454+O454+P454</f>
        <v>0</v>
      </c>
      <c r="BP454" s="31" t="n">
        <f aca="false">Q454</f>
        <v>0</v>
      </c>
      <c r="BQ454" s="31" t="n">
        <f aca="false">R454</f>
        <v>0</v>
      </c>
      <c r="BR454" s="31" t="n">
        <f aca="false">S454</f>
        <v>0</v>
      </c>
      <c r="BS454" s="31" t="n">
        <f aca="false">T454</f>
        <v>0</v>
      </c>
      <c r="BT454" s="31" t="n">
        <f aca="false">U454</f>
        <v>0</v>
      </c>
      <c r="BU454" s="31" t="n">
        <f aca="false">V454</f>
        <v>0</v>
      </c>
      <c r="BV454" s="32" t="n">
        <f aca="false">IF(BF454=0,IF(BN454=0,0,1),(BN454-BF454)/BF454)</f>
        <v>0</v>
      </c>
      <c r="BW454" s="32" t="n">
        <f aca="false">IF(BG454=0,IF(BO454=0,0,1),(BO454-BG454)/BG454)</f>
        <v>0</v>
      </c>
      <c r="BX454" s="32" t="n">
        <f aca="false">IF(BH454=0,IF(BP454=0,0,1),(BP454-BH454)/BH454)</f>
        <v>0</v>
      </c>
      <c r="BY454" s="32" t="n">
        <f aca="false">IF(BI454=0,IF(BQ454=0,0,1),(BQ454-BI454)/BI454)</f>
        <v>0</v>
      </c>
      <c r="BZ454" s="32" t="n">
        <f aca="false">IF(BJ454=0,IF(BR454=0,0,1),(BR454-BJ454)/BJ454)</f>
        <v>0</v>
      </c>
      <c r="CA454" s="32" t="n">
        <f aca="false">IF(BK454=0,IF(BS454=0,0,1),(BS454-BK454)/BK454)</f>
        <v>0</v>
      </c>
      <c r="CB454" s="32" t="n">
        <f aca="false">IF(BL454=0,IF(BT454=0,0,1),(BT454-BL454)/BL454)</f>
        <v>0</v>
      </c>
      <c r="CC454" s="32" t="n">
        <f aca="false">IF(BM454=0,IF(BU454=0,0,1),(BU454-BM454)/BM454)</f>
        <v>0</v>
      </c>
      <c r="CD454" s="32" t="n">
        <f aca="false">MAX(MAX(BV454:CC454),-MIN(BV454:CC454))</f>
        <v>-0</v>
      </c>
      <c r="CE454" s="31" t="str">
        <f aca="false">IF(CI454="","",SUMIFS($CF$7:$CF$696,$A$7:$A$696,CI454,$B$7:$B$696,B454))</f>
        <v/>
      </c>
      <c r="CF454" s="31" t="n">
        <f aca="false">SUM(AU454:BE454)</f>
        <v>7745824</v>
      </c>
      <c r="CG454" s="33" t="str">
        <f aca="false">A454&amp;"|"&amp;B454</f>
        <v>2026-12 賞与|広島市立大学</v>
      </c>
      <c r="CH454" s="34" t="str">
        <f aca="false">IFERROR(INDEX(設定!$D$61:$D$106,MATCH(B454,設定!$B$61:$B$106,0)),"Y")</f>
        <v>Y</v>
      </c>
      <c r="CI454" s="34" t="str">
        <f aca="false">IFERROR(INDEX(設定!$D$20:$D$34,MATCH(A454,設定!$A$20:$A$34,0))&amp;"","")</f>
        <v/>
      </c>
    </row>
    <row r="455" customFormat="false" ht="15" hidden="true" customHeight="false" outlineLevel="0" collapsed="false">
      <c r="A455" s="22" t="s">
        <v>217</v>
      </c>
      <c r="B455" s="23" t="s">
        <v>195</v>
      </c>
      <c r="C455" s="10" t="str">
        <f aca="false">IF(G455="","未受領",IF(G455="なし","報告なし",IF(AH455="○","起票済",IF(OR(AG455="○",F455="一致",F455="入金不要"),"入金確認済","受領済"))))</f>
        <v>未受領</v>
      </c>
      <c r="D455" s="10" t="str">
        <f aca="false">IF(OR(G455="",G455="なし"),"―",IF(CH455="N","対象外",IF(AND(I455="",J455="",K455=""),"標報未入力",IF(CD455&gt;=設定!$B$4,"要確認","問題なし"))))</f>
        <v>―</v>
      </c>
      <c r="E455" s="24" t="str">
        <f aca="false">IF(OR(G455="",G455="なし",CE455="",CF455=0),"―",IF(CF455=CE455,"前月同額",IF(CE455=0,"―",IF(ABS(CF455/CE455-1)&gt;=設定!$B$5,"変動大 "&amp;TEXT(CF455/CE455-1,"+0%;-0%"),"〇"))))</f>
        <v>―</v>
      </c>
      <c r="F455" s="10" t="str">
        <f aca="false">IF(OR(G455="",G455="なし"),"―",IF(CF455=0,"入金不要",IF(COUNT(Z455,AB455,AD455,AF455)=0,IF(AG455="○","手動確認","未入金"),IF(AND(N(Z455)=Y455,IF(AA455="",TRUE(),N(AB455)=AA455),IF(AC455="",TRUE(),N(AD455)=AC455),IF(AE455="",TRUE(),N(AF455)=AE455)),"一致","不一致"))))</f>
        <v>―</v>
      </c>
      <c r="G455" s="25"/>
      <c r="H455" s="26"/>
      <c r="I455" s="27"/>
      <c r="J455" s="27"/>
      <c r="K455" s="27"/>
      <c r="L455" s="27"/>
      <c r="M455" s="27"/>
      <c r="N455" s="27"/>
      <c r="O455" s="27"/>
      <c r="P455" s="27"/>
      <c r="Q455" s="27"/>
      <c r="R455" s="27"/>
      <c r="S455" s="27"/>
      <c r="T455" s="27"/>
      <c r="U455" s="27"/>
      <c r="V455" s="27"/>
      <c r="W455" s="10" t="str">
        <f aca="false">IFERROR(INDEX(設定!$E$61:$E$106,MATCH(B455,設定!$B$61:$B$106,0)),"合算")</f>
        <v>合算</v>
      </c>
      <c r="X455" s="28"/>
      <c r="Y455" s="29" t="str">
        <f aca="false">IF(OR(G455="",G455="なし"),"",IF(W455="合算",CF455,IF(W455="掛金・負担金別",(AU455+AV455+AZ455+BB455+BD455),SUM(AU455:AY455))))</f>
        <v/>
      </c>
      <c r="Z455" s="27"/>
      <c r="AA455" s="29" t="str">
        <f aca="false">IF(OR(G455="",G455="なし"),"",IF(W455="掛金・負担金別",(AW455+AX455+AY455+BA455+BC455+BE455),IF(W455="経理区分別",AZ455+BA455,"")))</f>
        <v/>
      </c>
      <c r="AB455" s="27"/>
      <c r="AC455" s="29" t="str">
        <f aca="false">IF(OR(G455="",G455="なし"),"",IF(W455="経理区分別",BB455+BC455,""))</f>
        <v/>
      </c>
      <c r="AD455" s="27"/>
      <c r="AE455" s="29" t="str">
        <f aca="false">IF(OR(G455="",G455="なし"),"",IF(W455="経理区分別",BD455+BE455,""))</f>
        <v/>
      </c>
      <c r="AF455" s="27"/>
      <c r="AG455" s="26"/>
      <c r="AH455" s="26"/>
      <c r="AI455" s="30"/>
      <c r="AJ455" s="31"/>
      <c r="AK455" s="31"/>
      <c r="AL455" s="31" t="n">
        <v>438378</v>
      </c>
      <c r="AM455" s="31" t="n">
        <v>35932</v>
      </c>
      <c r="AN455" s="31" t="n">
        <v>449</v>
      </c>
      <c r="AO455" s="31"/>
      <c r="AP455" s="31" t="n">
        <v>276211</v>
      </c>
      <c r="AQ455" s="31"/>
      <c r="AR455" s="31" t="n">
        <v>21622</v>
      </c>
      <c r="AS455" s="31"/>
      <c r="AT455" s="31" t="n">
        <v>1</v>
      </c>
      <c r="AU455" s="31" t="n">
        <f aca="false">IF($G455="",AJ455,L455)</f>
        <v>0</v>
      </c>
      <c r="AV455" s="31" t="n">
        <f aca="false">IF($G455="",AK455,M455)</f>
        <v>0</v>
      </c>
      <c r="AW455" s="31" t="n">
        <f aca="false">IF($G455="",AL455,N455)</f>
        <v>438378</v>
      </c>
      <c r="AX455" s="31" t="n">
        <f aca="false">IF($G455="",AM455,O455)</f>
        <v>35932</v>
      </c>
      <c r="AY455" s="31" t="n">
        <f aca="false">IF($G455="",AN455,P455)</f>
        <v>449</v>
      </c>
      <c r="AZ455" s="31" t="n">
        <f aca="false">IF($G455="",AO455,Q455)</f>
        <v>0</v>
      </c>
      <c r="BA455" s="31" t="n">
        <f aca="false">IF($G455="",AP455,R455)</f>
        <v>276211</v>
      </c>
      <c r="BB455" s="31" t="n">
        <f aca="false">IF($G455="",AQ455,S455)</f>
        <v>0</v>
      </c>
      <c r="BC455" s="31" t="n">
        <f aca="false">IF($G455="",AR455,T455)</f>
        <v>21622</v>
      </c>
      <c r="BD455" s="31" t="n">
        <f aca="false">IF($G455="",AS455,U455)</f>
        <v>0</v>
      </c>
      <c r="BE455" s="31" t="n">
        <f aca="false">IF($G455="",AT455,V455)</f>
        <v>1</v>
      </c>
      <c r="BF455" s="31" t="n">
        <f aca="false">ROUNDDOWN(I455*設定!$B$10/1000,0)+ROUNDDOWN(I455*設定!$B$11/1000,0)</f>
        <v>0</v>
      </c>
      <c r="BG455" s="31" t="n">
        <f aca="false">ROUNDDOWN(I455*設定!$C$10/1000,0)+ROUNDDOWN(I455*設定!$C$11/1000,0)+ROUNDDOWN(I455*設定!$C$12/1000,0)</f>
        <v>0</v>
      </c>
      <c r="BH455" s="31" t="n">
        <f aca="false">ROUNDDOWN(J455*設定!$B$13/1000,0)</f>
        <v>0</v>
      </c>
      <c r="BI455" s="31" t="n">
        <f aca="false">ROUNDDOWN(J455*設定!$C$13/1000,0)</f>
        <v>0</v>
      </c>
      <c r="BJ455" s="31" t="n">
        <f aca="false">ROUNDDOWN(K455*設定!$B$14/1000,0)</f>
        <v>0</v>
      </c>
      <c r="BK455" s="31" t="n">
        <f aca="false">ROUNDDOWN(K455*設定!$C$14/1000,0)</f>
        <v>0</v>
      </c>
      <c r="BL455" s="31" t="n">
        <f aca="false">ROUNDDOWN(J455*設定!$B$15/1000,0)</f>
        <v>0</v>
      </c>
      <c r="BM455" s="31" t="n">
        <f aca="false">ROUNDDOWN(J455*設定!$C$15/1000,0)</f>
        <v>0</v>
      </c>
      <c r="BN455" s="31" t="n">
        <f aca="false">L455+M455</f>
        <v>0</v>
      </c>
      <c r="BO455" s="31" t="n">
        <f aca="false">N455+O455+P455</f>
        <v>0</v>
      </c>
      <c r="BP455" s="31" t="n">
        <f aca="false">Q455</f>
        <v>0</v>
      </c>
      <c r="BQ455" s="31" t="n">
        <f aca="false">R455</f>
        <v>0</v>
      </c>
      <c r="BR455" s="31" t="n">
        <f aca="false">S455</f>
        <v>0</v>
      </c>
      <c r="BS455" s="31" t="n">
        <f aca="false">T455</f>
        <v>0</v>
      </c>
      <c r="BT455" s="31" t="n">
        <f aca="false">U455</f>
        <v>0</v>
      </c>
      <c r="BU455" s="31" t="n">
        <f aca="false">V455</f>
        <v>0</v>
      </c>
      <c r="BV455" s="32" t="n">
        <f aca="false">IF(BF455=0,IF(BN455=0,0,1),(BN455-BF455)/BF455)</f>
        <v>0</v>
      </c>
      <c r="BW455" s="32" t="n">
        <f aca="false">IF(BG455=0,IF(BO455=0,0,1),(BO455-BG455)/BG455)</f>
        <v>0</v>
      </c>
      <c r="BX455" s="32" t="n">
        <f aca="false">IF(BH455=0,IF(BP455=0,0,1),(BP455-BH455)/BH455)</f>
        <v>0</v>
      </c>
      <c r="BY455" s="32" t="n">
        <f aca="false">IF(BI455=0,IF(BQ455=0,0,1),(BQ455-BI455)/BI455)</f>
        <v>0</v>
      </c>
      <c r="BZ455" s="32" t="n">
        <f aca="false">IF(BJ455=0,IF(BR455=0,0,1),(BR455-BJ455)/BJ455)</f>
        <v>0</v>
      </c>
      <c r="CA455" s="32" t="n">
        <f aca="false">IF(BK455=0,IF(BS455=0,0,1),(BS455-BK455)/BK455)</f>
        <v>0</v>
      </c>
      <c r="CB455" s="32" t="n">
        <f aca="false">IF(BL455=0,IF(BT455=0,0,1),(BT455-BL455)/BL455)</f>
        <v>0</v>
      </c>
      <c r="CC455" s="32" t="n">
        <f aca="false">IF(BM455=0,IF(BU455=0,0,1),(BU455-BM455)/BM455)</f>
        <v>0</v>
      </c>
      <c r="CD455" s="32" t="n">
        <f aca="false">MAX(MAX(BV455:CC455),-MIN(BV455:CC455))</f>
        <v>-0</v>
      </c>
      <c r="CE455" s="31" t="str">
        <f aca="false">IF(CI455="","",SUMIFS($CF$7:$CF$696,$A$7:$A$696,CI455,$B$7:$B$696,B455))</f>
        <v/>
      </c>
      <c r="CF455" s="31" t="n">
        <f aca="false">SUM(AU455:BE455)</f>
        <v>772593</v>
      </c>
      <c r="CG455" s="33" t="str">
        <f aca="false">A455&amp;"|"&amp;B455</f>
        <v>2026-12 賞与|社会福祉協議会</v>
      </c>
      <c r="CH455" s="34" t="str">
        <f aca="false">IFERROR(INDEX(設定!$D$61:$D$106,MATCH(B455,設定!$B$61:$B$106,0)),"Y")</f>
        <v>Y</v>
      </c>
      <c r="CI455" s="34" t="str">
        <f aca="false">IFERROR(INDEX(設定!$D$20:$D$34,MATCH(A455,設定!$A$20:$A$34,0))&amp;"","")</f>
        <v/>
      </c>
    </row>
    <row r="456" customFormat="false" ht="15" hidden="true" customHeight="false" outlineLevel="0" collapsed="false">
      <c r="A456" s="22" t="s">
        <v>217</v>
      </c>
      <c r="B456" s="23" t="s">
        <v>196</v>
      </c>
      <c r="C456" s="10" t="str">
        <f aca="false">IF(G456="","未受領",IF(G456="なし","報告なし",IF(AH456="○","起票済",IF(OR(AG456="○",F456="一致",F456="入金不要"),"入金確認済","受領済"))))</f>
        <v>未受領</v>
      </c>
      <c r="D456" s="10" t="str">
        <f aca="false">IF(OR(G456="",G456="なし"),"―",IF(CH456="N","対象外",IF(AND(I456="",J456="",K456=""),"標報未入力",IF(CD456&gt;=設定!$B$4,"要確認","問題なし"))))</f>
        <v>―</v>
      </c>
      <c r="E456" s="24" t="str">
        <f aca="false">IF(OR(G456="",G456="なし",CE456="",CF456=0),"―",IF(CF456=CE456,"前月同額",IF(CE456=0,"―",IF(ABS(CF456/CE456-1)&gt;=設定!$B$5,"変動大 "&amp;TEXT(CF456/CE456-1,"+0%;-0%"),"〇"))))</f>
        <v>―</v>
      </c>
      <c r="F456" s="10" t="str">
        <f aca="false">IF(OR(G456="",G456="なし"),"―",IF(CF456=0,"入金不要",IF(COUNT(Z456,AB456,AD456,AF456)=0,IF(AG456="○","手動確認","未入金"),IF(AND(N(Z456)=Y456,IF(AA456="",TRUE(),N(AB456)=AA456),IF(AC456="",TRUE(),N(AD456)=AC456),IF(AE456="",TRUE(),N(AF456)=AE456)),"一致","不一致"))))</f>
        <v>―</v>
      </c>
      <c r="G456" s="25"/>
      <c r="H456" s="26"/>
      <c r="I456" s="27"/>
      <c r="J456" s="27"/>
      <c r="K456" s="27"/>
      <c r="L456" s="27"/>
      <c r="M456" s="27"/>
      <c r="N456" s="27"/>
      <c r="O456" s="27"/>
      <c r="P456" s="27"/>
      <c r="Q456" s="27"/>
      <c r="R456" s="27"/>
      <c r="S456" s="27"/>
      <c r="T456" s="27"/>
      <c r="U456" s="27"/>
      <c r="V456" s="27"/>
      <c r="W456" s="10" t="str">
        <f aca="false">IFERROR(INDEX(設定!$E$61:$E$106,MATCH(B456,設定!$B$61:$B$106,0)),"合算")</f>
        <v>合算</v>
      </c>
      <c r="X456" s="28"/>
      <c r="Y456" s="29" t="str">
        <f aca="false">IF(OR(G456="",G456="なし"),"",IF(W456="合算",CF456,IF(W456="掛金・負担金別",(AU456+AV456+AZ456+BB456+BD456),SUM(AU456:AY456))))</f>
        <v/>
      </c>
      <c r="Z456" s="27"/>
      <c r="AA456" s="29" t="str">
        <f aca="false">IF(OR(G456="",G456="なし"),"",IF(W456="掛金・負担金別",(AW456+AX456+AY456+BA456+BC456+BE456),IF(W456="経理区分別",AZ456+BA456,"")))</f>
        <v/>
      </c>
      <c r="AB456" s="27"/>
      <c r="AC456" s="29" t="str">
        <f aca="false">IF(OR(G456="",G456="なし"),"",IF(W456="経理区分別",BB456+BC456,""))</f>
        <v/>
      </c>
      <c r="AD456" s="27"/>
      <c r="AE456" s="29" t="str">
        <f aca="false">IF(OR(G456="",G456="なし"),"",IF(W456="経理区分別",BD456+BE456,""))</f>
        <v/>
      </c>
      <c r="AF456" s="27"/>
      <c r="AG456" s="26"/>
      <c r="AH456" s="26"/>
      <c r="AI456" s="30"/>
      <c r="AJ456" s="31" t="n">
        <v>206247320</v>
      </c>
      <c r="AK456" s="31" t="n">
        <v>16904936</v>
      </c>
      <c r="AL456" s="31" t="n">
        <v>301635254</v>
      </c>
      <c r="AM456" s="31" t="n">
        <v>16904936</v>
      </c>
      <c r="AN456" s="31" t="n">
        <v>215827</v>
      </c>
      <c r="AO456" s="31" t="n">
        <v>131697105</v>
      </c>
      <c r="AP456" s="31" t="n">
        <v>131936571</v>
      </c>
      <c r="AQ456" s="31" t="n">
        <v>11352393</v>
      </c>
      <c r="AR456" s="31" t="n">
        <v>11352393</v>
      </c>
      <c r="AS456" s="31" t="n">
        <v>1</v>
      </c>
      <c r="AT456" s="31" t="n">
        <v>1</v>
      </c>
      <c r="AU456" s="31" t="n">
        <f aca="false">IF($G456="",AJ456,L456)</f>
        <v>206247320</v>
      </c>
      <c r="AV456" s="31" t="n">
        <f aca="false">IF($G456="",AK456,M456)</f>
        <v>16904936</v>
      </c>
      <c r="AW456" s="31" t="n">
        <f aca="false">IF($G456="",AL456,N456)</f>
        <v>301635254</v>
      </c>
      <c r="AX456" s="31" t="n">
        <f aca="false">IF($G456="",AM456,O456)</f>
        <v>16904936</v>
      </c>
      <c r="AY456" s="31" t="n">
        <f aca="false">IF($G456="",AN456,P456)</f>
        <v>215827</v>
      </c>
      <c r="AZ456" s="31" t="n">
        <f aca="false">IF($G456="",AO456,Q456)</f>
        <v>131697105</v>
      </c>
      <c r="BA456" s="31" t="n">
        <f aca="false">IF($G456="",AP456,R456)</f>
        <v>131936571</v>
      </c>
      <c r="BB456" s="31" t="n">
        <f aca="false">IF($G456="",AQ456,S456)</f>
        <v>11352393</v>
      </c>
      <c r="BC456" s="31" t="n">
        <f aca="false">IF($G456="",AR456,T456)</f>
        <v>11352393</v>
      </c>
      <c r="BD456" s="31" t="n">
        <f aca="false">IF($G456="",AS456,U456)</f>
        <v>1</v>
      </c>
      <c r="BE456" s="31" t="n">
        <f aca="false">IF($G456="",AT456,V456)</f>
        <v>1</v>
      </c>
      <c r="BF456" s="31" t="n">
        <f aca="false">ROUNDDOWN(I456*設定!$B$10/1000,0)+ROUNDDOWN(I456*設定!$B$11/1000,0)</f>
        <v>0</v>
      </c>
      <c r="BG456" s="31" t="n">
        <f aca="false">ROUNDDOWN(I456*設定!$C$10/1000,0)+ROUNDDOWN(I456*設定!$C$11/1000,0)+ROUNDDOWN(I456*設定!$C$12/1000,0)</f>
        <v>0</v>
      </c>
      <c r="BH456" s="31" t="n">
        <f aca="false">ROUNDDOWN(J456*設定!$B$13/1000,0)</f>
        <v>0</v>
      </c>
      <c r="BI456" s="31" t="n">
        <f aca="false">ROUNDDOWN(J456*設定!$C$13/1000,0)</f>
        <v>0</v>
      </c>
      <c r="BJ456" s="31" t="n">
        <f aca="false">ROUNDDOWN(K456*設定!$B$14/1000,0)</f>
        <v>0</v>
      </c>
      <c r="BK456" s="31" t="n">
        <f aca="false">ROUNDDOWN(K456*設定!$C$14/1000,0)</f>
        <v>0</v>
      </c>
      <c r="BL456" s="31" t="n">
        <f aca="false">ROUNDDOWN(J456*設定!$B$15/1000,0)</f>
        <v>0</v>
      </c>
      <c r="BM456" s="31" t="n">
        <f aca="false">ROUNDDOWN(J456*設定!$C$15/1000,0)</f>
        <v>0</v>
      </c>
      <c r="BN456" s="31" t="n">
        <f aca="false">L456+M456</f>
        <v>0</v>
      </c>
      <c r="BO456" s="31" t="n">
        <f aca="false">N456+O456+P456</f>
        <v>0</v>
      </c>
      <c r="BP456" s="31" t="n">
        <f aca="false">Q456</f>
        <v>0</v>
      </c>
      <c r="BQ456" s="31" t="n">
        <f aca="false">R456</f>
        <v>0</v>
      </c>
      <c r="BR456" s="31" t="n">
        <f aca="false">S456</f>
        <v>0</v>
      </c>
      <c r="BS456" s="31" t="n">
        <f aca="false">T456</f>
        <v>0</v>
      </c>
      <c r="BT456" s="31" t="n">
        <f aca="false">U456</f>
        <v>0</v>
      </c>
      <c r="BU456" s="31" t="n">
        <f aca="false">V456</f>
        <v>0</v>
      </c>
      <c r="BV456" s="32" t="n">
        <f aca="false">IF(BF456=0,IF(BN456=0,0,1),(BN456-BF456)/BF456)</f>
        <v>0</v>
      </c>
      <c r="BW456" s="32" t="n">
        <f aca="false">IF(BG456=0,IF(BO456=0,0,1),(BO456-BG456)/BG456)</f>
        <v>0</v>
      </c>
      <c r="BX456" s="32" t="n">
        <f aca="false">IF(BH456=0,IF(BP456=0,0,1),(BP456-BH456)/BH456)</f>
        <v>0</v>
      </c>
      <c r="BY456" s="32" t="n">
        <f aca="false">IF(BI456=0,IF(BQ456=0,0,1),(BQ456-BI456)/BI456)</f>
        <v>0</v>
      </c>
      <c r="BZ456" s="32" t="n">
        <f aca="false">IF(BJ456=0,IF(BR456=0,0,1),(BR456-BJ456)/BJ456)</f>
        <v>0</v>
      </c>
      <c r="CA456" s="32" t="n">
        <f aca="false">IF(BK456=0,IF(BS456=0,0,1),(BS456-BK456)/BK456)</f>
        <v>0</v>
      </c>
      <c r="CB456" s="32" t="n">
        <f aca="false">IF(BL456=0,IF(BT456=0,0,1),(BT456-BL456)/BL456)</f>
        <v>0</v>
      </c>
      <c r="CC456" s="32" t="n">
        <f aca="false">IF(BM456=0,IF(BU456=0,0,1),(BU456-BM456)/BM456)</f>
        <v>0</v>
      </c>
      <c r="CD456" s="32" t="n">
        <f aca="false">MAX(MAX(BV456:CC456),-MIN(BV456:CC456))</f>
        <v>-0</v>
      </c>
      <c r="CE456" s="31" t="str">
        <f aca="false">IF(CI456="","",SUMIFS($CF$7:$CF$696,$A$7:$A$696,CI456,$B$7:$B$696,B456))</f>
        <v/>
      </c>
      <c r="CF456" s="31" t="n">
        <f aca="false">SUM(AU456:BE456)</f>
        <v>828246737</v>
      </c>
      <c r="CG456" s="33" t="str">
        <f aca="false">A456&amp;"|"&amp;B456</f>
        <v>2026-12 賞与|市立病院機構</v>
      </c>
      <c r="CH456" s="34" t="str">
        <f aca="false">IFERROR(INDEX(設定!$D$61:$D$106,MATCH(B456,設定!$B$61:$B$106,0)),"Y")</f>
        <v>N</v>
      </c>
      <c r="CI456" s="34" t="str">
        <f aca="false">IFERROR(INDEX(設定!$D$20:$D$34,MATCH(A456,設定!$A$20:$A$34,0))&amp;"","")</f>
        <v/>
      </c>
    </row>
    <row r="457" customFormat="false" ht="15" hidden="true" customHeight="false" outlineLevel="0" collapsed="false">
      <c r="A457" s="22" t="s">
        <v>217</v>
      </c>
      <c r="B457" s="23" t="s">
        <v>197</v>
      </c>
      <c r="C457" s="10" t="str">
        <f aca="false">IF(G457="","未受領",IF(G457="なし","報告なし",IF(AH457="○","起票済",IF(OR(AG457="○",F457="一致",F457="入金不要"),"入金確認済","受領済"))))</f>
        <v>未受領</v>
      </c>
      <c r="D457" s="10" t="str">
        <f aca="false">IF(OR(G457="",G457="なし"),"―",IF(CH457="N","対象外",IF(AND(I457="",J457="",K457=""),"標報未入力",IF(CD457&gt;=設定!$B$4,"要確認","問題なし"))))</f>
        <v>―</v>
      </c>
      <c r="E457" s="24" t="str">
        <f aca="false">IF(OR(G457="",G457="なし",CE457="",CF457=0),"―",IF(CF457=CE457,"前月同額",IF(CE457=0,"―",IF(ABS(CF457/CE457-1)&gt;=設定!$B$5,"変動大 "&amp;TEXT(CF457/CE457-1,"+0%;-0%"),"〇"))))</f>
        <v>―</v>
      </c>
      <c r="F457" s="10" t="str">
        <f aca="false">IF(OR(G457="",G457="なし"),"―",IF(CF457=0,"入金不要",IF(COUNT(Z457,AB457,AD457,AF457)=0,IF(AG457="○","手動確認","未入金"),IF(AND(N(Z457)=Y457,IF(AA457="",TRUE(),N(AB457)=AA457),IF(AC457="",TRUE(),N(AD457)=AC457),IF(AE457="",TRUE(),N(AF457)=AE457)),"一致","不一致"))))</f>
        <v>―</v>
      </c>
      <c r="G457" s="25"/>
      <c r="H457" s="26"/>
      <c r="I457" s="27"/>
      <c r="J457" s="27"/>
      <c r="K457" s="27"/>
      <c r="L457" s="27"/>
      <c r="M457" s="27"/>
      <c r="N457" s="27"/>
      <c r="O457" s="27"/>
      <c r="P457" s="27"/>
      <c r="Q457" s="27"/>
      <c r="R457" s="27"/>
      <c r="S457" s="27"/>
      <c r="T457" s="27"/>
      <c r="U457" s="27"/>
      <c r="V457" s="27"/>
      <c r="W457" s="10" t="str">
        <f aca="false">IFERROR(INDEX(設定!$E$61:$E$106,MATCH(B457,設定!$B$61:$B$106,0)),"合算")</f>
        <v>合算</v>
      </c>
      <c r="X457" s="28"/>
      <c r="Y457" s="29" t="str">
        <f aca="false">IF(OR(G457="",G457="なし"),"",IF(W457="合算",CF457,IF(W457="掛金・負担金別",(AU457+AV457+AZ457+BB457+BD457),SUM(AU457:AY457))))</f>
        <v/>
      </c>
      <c r="Z457" s="27"/>
      <c r="AA457" s="29" t="str">
        <f aca="false">IF(OR(G457="",G457="なし"),"",IF(W457="掛金・負担金別",(AW457+AX457+AY457+BA457+BC457+BE457),IF(W457="経理区分別",AZ457+BA457,"")))</f>
        <v/>
      </c>
      <c r="AB457" s="27"/>
      <c r="AC457" s="29" t="str">
        <f aca="false">IF(OR(G457="",G457="なし"),"",IF(W457="経理区分別",BB457+BC457,""))</f>
        <v/>
      </c>
      <c r="AD457" s="27"/>
      <c r="AE457" s="29" t="str">
        <f aca="false">IF(OR(G457="",G457="なし"),"",IF(W457="経理区分別",BD457+BE457,""))</f>
        <v/>
      </c>
      <c r="AF457" s="27"/>
      <c r="AG457" s="26"/>
      <c r="AH457" s="26"/>
      <c r="AI457" s="30"/>
      <c r="AJ457" s="31"/>
      <c r="AK457" s="31"/>
      <c r="AL457" s="31"/>
      <c r="AM457" s="31"/>
      <c r="AN457" s="31"/>
      <c r="AO457" s="31" t="n">
        <v>129546</v>
      </c>
      <c r="AP457" s="31" t="n">
        <v>129782</v>
      </c>
      <c r="AQ457" s="31" t="n">
        <v>13041</v>
      </c>
      <c r="AR457" s="31" t="n">
        <v>13042</v>
      </c>
      <c r="AS457" s="31" t="n">
        <v>1</v>
      </c>
      <c r="AT457" s="31" t="n">
        <v>1</v>
      </c>
      <c r="AU457" s="31" t="n">
        <f aca="false">IF($G457="",AJ457,L457)</f>
        <v>0</v>
      </c>
      <c r="AV457" s="31" t="n">
        <f aca="false">IF($G457="",AK457,M457)</f>
        <v>0</v>
      </c>
      <c r="AW457" s="31" t="n">
        <f aca="false">IF($G457="",AL457,N457)</f>
        <v>0</v>
      </c>
      <c r="AX457" s="31" t="n">
        <f aca="false">IF($G457="",AM457,O457)</f>
        <v>0</v>
      </c>
      <c r="AY457" s="31" t="n">
        <f aca="false">IF($G457="",AN457,P457)</f>
        <v>0</v>
      </c>
      <c r="AZ457" s="31" t="n">
        <f aca="false">IF($G457="",AO457,Q457)</f>
        <v>129546</v>
      </c>
      <c r="BA457" s="31" t="n">
        <f aca="false">IF($G457="",AP457,R457)</f>
        <v>129782</v>
      </c>
      <c r="BB457" s="31" t="n">
        <f aca="false">IF($G457="",AQ457,S457)</f>
        <v>13041</v>
      </c>
      <c r="BC457" s="31" t="n">
        <f aca="false">IF($G457="",AR457,T457)</f>
        <v>13042</v>
      </c>
      <c r="BD457" s="31" t="n">
        <f aca="false">IF($G457="",AS457,U457)</f>
        <v>1</v>
      </c>
      <c r="BE457" s="31" t="n">
        <f aca="false">IF($G457="",AT457,V457)</f>
        <v>1</v>
      </c>
      <c r="BF457" s="31" t="n">
        <f aca="false">ROUNDDOWN(I457*設定!$B$10/1000,0)+ROUNDDOWN(I457*設定!$B$11/1000,0)</f>
        <v>0</v>
      </c>
      <c r="BG457" s="31" t="n">
        <f aca="false">ROUNDDOWN(I457*設定!$C$10/1000,0)+ROUNDDOWN(I457*設定!$C$11/1000,0)+ROUNDDOWN(I457*設定!$C$12/1000,0)</f>
        <v>0</v>
      </c>
      <c r="BH457" s="31" t="n">
        <f aca="false">ROUNDDOWN(J457*設定!$B$13/1000,0)</f>
        <v>0</v>
      </c>
      <c r="BI457" s="31" t="n">
        <f aca="false">ROUNDDOWN(J457*設定!$C$13/1000,0)</f>
        <v>0</v>
      </c>
      <c r="BJ457" s="31" t="n">
        <f aca="false">ROUNDDOWN(K457*設定!$B$14/1000,0)</f>
        <v>0</v>
      </c>
      <c r="BK457" s="31" t="n">
        <f aca="false">ROUNDDOWN(K457*設定!$C$14/1000,0)</f>
        <v>0</v>
      </c>
      <c r="BL457" s="31" t="n">
        <f aca="false">ROUNDDOWN(J457*設定!$B$15/1000,0)</f>
        <v>0</v>
      </c>
      <c r="BM457" s="31" t="n">
        <f aca="false">ROUNDDOWN(J457*設定!$C$15/1000,0)</f>
        <v>0</v>
      </c>
      <c r="BN457" s="31" t="n">
        <f aca="false">L457+M457</f>
        <v>0</v>
      </c>
      <c r="BO457" s="31" t="n">
        <f aca="false">N457+O457+P457</f>
        <v>0</v>
      </c>
      <c r="BP457" s="31" t="n">
        <f aca="false">Q457</f>
        <v>0</v>
      </c>
      <c r="BQ457" s="31" t="n">
        <f aca="false">R457</f>
        <v>0</v>
      </c>
      <c r="BR457" s="31" t="n">
        <f aca="false">S457</f>
        <v>0</v>
      </c>
      <c r="BS457" s="31" t="n">
        <f aca="false">T457</f>
        <v>0</v>
      </c>
      <c r="BT457" s="31" t="n">
        <f aca="false">U457</f>
        <v>0</v>
      </c>
      <c r="BU457" s="31" t="n">
        <f aca="false">V457</f>
        <v>0</v>
      </c>
      <c r="BV457" s="32" t="n">
        <f aca="false">IF(BF457=0,IF(BN457=0,0,1),(BN457-BF457)/BF457)</f>
        <v>0</v>
      </c>
      <c r="BW457" s="32" t="n">
        <f aca="false">IF(BG457=0,IF(BO457=0,0,1),(BO457-BG457)/BG457)</f>
        <v>0</v>
      </c>
      <c r="BX457" s="32" t="n">
        <f aca="false">IF(BH457=0,IF(BP457=0,0,1),(BP457-BH457)/BH457)</f>
        <v>0</v>
      </c>
      <c r="BY457" s="32" t="n">
        <f aca="false">IF(BI457=0,IF(BQ457=0,0,1),(BQ457-BI457)/BI457)</f>
        <v>0</v>
      </c>
      <c r="BZ457" s="32" t="n">
        <f aca="false">IF(BJ457=0,IF(BR457=0,0,1),(BR457-BJ457)/BJ457)</f>
        <v>0</v>
      </c>
      <c r="CA457" s="32" t="n">
        <f aca="false">IF(BK457=0,IF(BS457=0,0,1),(BS457-BK457)/BK457)</f>
        <v>0</v>
      </c>
      <c r="CB457" s="32" t="n">
        <f aca="false">IF(BL457=0,IF(BT457=0,0,1),(BT457-BL457)/BL457)</f>
        <v>0</v>
      </c>
      <c r="CC457" s="32" t="n">
        <f aca="false">IF(BM457=0,IF(BU457=0,0,1),(BU457-BM457)/BM457)</f>
        <v>0</v>
      </c>
      <c r="CD457" s="32" t="n">
        <f aca="false">MAX(MAX(BV457:CC457),-MIN(BV457:CC457))</f>
        <v>-0</v>
      </c>
      <c r="CE457" s="31" t="str">
        <f aca="false">IF(CI457="","",SUMIFS($CF$7:$CF$696,$A$7:$A$696,CI457,$B$7:$B$696,B457))</f>
        <v/>
      </c>
      <c r="CF457" s="31" t="n">
        <f aca="false">SUM(AU457:BE457)</f>
        <v>285413</v>
      </c>
      <c r="CG457" s="33" t="str">
        <f aca="false">A457&amp;"|"&amp;B457</f>
        <v>2026-12 賞与|職員共済組合</v>
      </c>
      <c r="CH457" s="34" t="str">
        <f aca="false">IFERROR(INDEX(設定!$D$61:$D$106,MATCH(B457,設定!$B$61:$B$106,0)),"Y")</f>
        <v>Y</v>
      </c>
      <c r="CI457" s="34" t="str">
        <f aca="false">IFERROR(INDEX(設定!$D$20:$D$34,MATCH(A457,設定!$A$20:$A$34,0))&amp;"","")</f>
        <v/>
      </c>
    </row>
    <row r="458" customFormat="false" ht="26.85" hidden="true" customHeight="false" outlineLevel="0" collapsed="false">
      <c r="A458" s="22" t="s">
        <v>217</v>
      </c>
      <c r="B458" s="35" t="s">
        <v>216</v>
      </c>
      <c r="C458" s="10" t="str">
        <f aca="false">IF(G458="","未受領",IF(G458="なし","報告なし",IF(AH458="○","起票済",IF(OR(AG458="○",F458="一致",F458="入金不要"),"入金確認済","受領済"))))</f>
        <v>報告なし</v>
      </c>
      <c r="D458" s="10" t="str">
        <f aca="false">IF(OR(G458="",G458="なし"),"―",IF(CH458="N","対象外",IF(AND(I458="",J458="",K458=""),"標報未入力",IF(CD458&gt;=設定!$B$4,"要確認","問題なし"))))</f>
        <v>―</v>
      </c>
      <c r="E458" s="24" t="str">
        <f aca="false">IF(OR(G458="",G458="なし",CE458="",CF458=0),"―",IF(CF458=CE458,"前月同額",IF(CE458=0,"―",IF(ABS(CF458/CE458-1)&gt;=設定!$B$5,"変動大 "&amp;TEXT(CF458/CE458-1,"+0%;-0%"),"〇"))))</f>
        <v>―</v>
      </c>
      <c r="F458" s="10" t="str">
        <f aca="false">IF(OR(G458="",G458="なし"),"―",IF(CF458=0,"入金不要",IF(COUNT(Z458,AB458,AD458,AF458)=0,IF(AG458="○","手動確認","未入金"),IF(AND(N(Z458)=Y458,IF(AA458="",TRUE(),N(AB458)=AA458),IF(AC458="",TRUE(),N(AD458)=AC458),IF(AE458="",TRUE(),N(AF458)=AE458)),"一致","不一致"))))</f>
        <v>―</v>
      </c>
      <c r="G458" s="25" t="s">
        <v>173</v>
      </c>
      <c r="H458" s="26"/>
      <c r="I458" s="27"/>
      <c r="J458" s="27"/>
      <c r="K458" s="27"/>
      <c r="L458" s="27"/>
      <c r="M458" s="27"/>
      <c r="N458" s="27"/>
      <c r="O458" s="27"/>
      <c r="P458" s="27"/>
      <c r="Q458" s="27"/>
      <c r="R458" s="27"/>
      <c r="S458" s="27"/>
      <c r="T458" s="27"/>
      <c r="U458" s="27"/>
      <c r="V458" s="27"/>
      <c r="W458" s="10" t="str">
        <f aca="false">IFERROR(INDEX(設定!$E$61:$E$106,MATCH(B458,設定!$B$61:$B$106,0)),"合算")</f>
        <v>合算</v>
      </c>
      <c r="X458" s="28"/>
      <c r="Y458" s="29" t="str">
        <f aca="false">IF(OR(G458="",G458="なし"),"",IF(W458="合算",CF458,IF(W458="掛金・負担金別",(AU458+AV458+AZ458+BB458+BD458),SUM(AU458:AY458))))</f>
        <v/>
      </c>
      <c r="Z458" s="27"/>
      <c r="AA458" s="29" t="str">
        <f aca="false">IF(OR(G458="",G458="なし"),"",IF(W458="掛金・負担金別",(AW458+AX458+AY458+BA458+BC458+BE458),IF(W458="経理区分別",AZ458+BA458,"")))</f>
        <v/>
      </c>
      <c r="AB458" s="27"/>
      <c r="AC458" s="29" t="str">
        <f aca="false">IF(OR(G458="",G458="なし"),"",IF(W458="経理区分別",BB458+BC458,""))</f>
        <v/>
      </c>
      <c r="AD458" s="27"/>
      <c r="AE458" s="29" t="str">
        <f aca="false">IF(OR(G458="",G458="なし"),"",IF(W458="経理区分別",BD458+BE458,""))</f>
        <v/>
      </c>
      <c r="AF458" s="27"/>
      <c r="AG458" s="26"/>
      <c r="AH458" s="26"/>
      <c r="AI458" s="30"/>
      <c r="AJ458" s="31"/>
      <c r="AK458" s="31"/>
      <c r="AL458" s="31"/>
      <c r="AM458" s="31"/>
      <c r="AN458" s="31"/>
      <c r="AO458" s="31"/>
      <c r="AP458" s="31"/>
      <c r="AQ458" s="31"/>
      <c r="AR458" s="31"/>
      <c r="AS458" s="31"/>
      <c r="AT458" s="31"/>
      <c r="AU458" s="31" t="n">
        <f aca="false">IF($G458="",AJ458,L458)</f>
        <v>0</v>
      </c>
      <c r="AV458" s="31" t="n">
        <f aca="false">IF($G458="",AK458,M458)</f>
        <v>0</v>
      </c>
      <c r="AW458" s="31" t="n">
        <f aca="false">IF($G458="",AL458,N458)</f>
        <v>0</v>
      </c>
      <c r="AX458" s="31" t="n">
        <f aca="false">IF($G458="",AM458,O458)</f>
        <v>0</v>
      </c>
      <c r="AY458" s="31" t="n">
        <f aca="false">IF($G458="",AN458,P458)</f>
        <v>0</v>
      </c>
      <c r="AZ458" s="31" t="n">
        <f aca="false">IF($G458="",AO458,Q458)</f>
        <v>0</v>
      </c>
      <c r="BA458" s="31" t="n">
        <f aca="false">IF($G458="",AP458,R458)</f>
        <v>0</v>
      </c>
      <c r="BB458" s="31" t="n">
        <f aca="false">IF($G458="",AQ458,S458)</f>
        <v>0</v>
      </c>
      <c r="BC458" s="31" t="n">
        <f aca="false">IF($G458="",AR458,T458)</f>
        <v>0</v>
      </c>
      <c r="BD458" s="31" t="n">
        <f aca="false">IF($G458="",AS458,U458)</f>
        <v>0</v>
      </c>
      <c r="BE458" s="31" t="n">
        <f aca="false">IF($G458="",AT458,V458)</f>
        <v>0</v>
      </c>
      <c r="BF458" s="31" t="n">
        <f aca="false">ROUNDDOWN(I458*設定!$B$10/1000,0)+ROUNDDOWN(I458*設定!$B$11/1000,0)</f>
        <v>0</v>
      </c>
      <c r="BG458" s="31" t="n">
        <f aca="false">ROUNDDOWN(I458*設定!$C$10/1000,0)+ROUNDDOWN(I458*設定!$C$11/1000,0)+ROUNDDOWN(I458*設定!$C$12/1000,0)</f>
        <v>0</v>
      </c>
      <c r="BH458" s="31" t="n">
        <f aca="false">ROUNDDOWN(J458*設定!$B$13/1000,0)</f>
        <v>0</v>
      </c>
      <c r="BI458" s="31" t="n">
        <f aca="false">ROUNDDOWN(J458*設定!$C$13/1000,0)</f>
        <v>0</v>
      </c>
      <c r="BJ458" s="31" t="n">
        <f aca="false">ROUNDDOWN(K458*設定!$B$14/1000,0)</f>
        <v>0</v>
      </c>
      <c r="BK458" s="31" t="n">
        <f aca="false">ROUNDDOWN(K458*設定!$C$14/1000,0)</f>
        <v>0</v>
      </c>
      <c r="BL458" s="31" t="n">
        <f aca="false">ROUNDDOWN(J458*設定!$B$15/1000,0)</f>
        <v>0</v>
      </c>
      <c r="BM458" s="31" t="n">
        <f aca="false">ROUNDDOWN(J458*設定!$C$15/1000,0)</f>
        <v>0</v>
      </c>
      <c r="BN458" s="31" t="n">
        <f aca="false">L458+M458</f>
        <v>0</v>
      </c>
      <c r="BO458" s="31" t="n">
        <f aca="false">N458+O458+P458</f>
        <v>0</v>
      </c>
      <c r="BP458" s="31" t="n">
        <f aca="false">Q458</f>
        <v>0</v>
      </c>
      <c r="BQ458" s="31" t="n">
        <f aca="false">R458</f>
        <v>0</v>
      </c>
      <c r="BR458" s="31" t="n">
        <f aca="false">S458</f>
        <v>0</v>
      </c>
      <c r="BS458" s="31" t="n">
        <f aca="false">T458</f>
        <v>0</v>
      </c>
      <c r="BT458" s="31" t="n">
        <f aca="false">U458</f>
        <v>0</v>
      </c>
      <c r="BU458" s="31" t="n">
        <f aca="false">V458</f>
        <v>0</v>
      </c>
      <c r="BV458" s="32" t="n">
        <f aca="false">IF(BF458=0,IF(BN458=0,0,1),(BN458-BF458)/BF458)</f>
        <v>0</v>
      </c>
      <c r="BW458" s="32" t="n">
        <f aca="false">IF(BG458=0,IF(BO458=0,0,1),(BO458-BG458)/BG458)</f>
        <v>0</v>
      </c>
      <c r="BX458" s="32" t="n">
        <f aca="false">IF(BH458=0,IF(BP458=0,0,1),(BP458-BH458)/BH458)</f>
        <v>0</v>
      </c>
      <c r="BY458" s="32" t="n">
        <f aca="false">IF(BI458=0,IF(BQ458=0,0,1),(BQ458-BI458)/BI458)</f>
        <v>0</v>
      </c>
      <c r="BZ458" s="32" t="n">
        <f aca="false">IF(BJ458=0,IF(BR458=0,0,1),(BR458-BJ458)/BJ458)</f>
        <v>0</v>
      </c>
      <c r="CA458" s="32" t="n">
        <f aca="false">IF(BK458=0,IF(BS458=0,0,1),(BS458-BK458)/BK458)</f>
        <v>0</v>
      </c>
      <c r="CB458" s="32" t="n">
        <f aca="false">IF(BL458=0,IF(BT458=0,0,1),(BT458-BL458)/BL458)</f>
        <v>0</v>
      </c>
      <c r="CC458" s="32" t="n">
        <f aca="false">IF(BM458=0,IF(BU458=0,0,1),(BU458-BM458)/BM458)</f>
        <v>0</v>
      </c>
      <c r="CD458" s="32" t="n">
        <f aca="false">MAX(MAX(BV458:CC458),-MIN(BV458:CC458))</f>
        <v>-0</v>
      </c>
      <c r="CE458" s="31" t="str">
        <f aca="false">IF(CI458="","",SUMIFS($CF$7:$CF$696,$A$7:$A$696,CI458,$B$7:$B$696,B458))</f>
        <v/>
      </c>
      <c r="CF458" s="31" t="n">
        <f aca="false">SUM(AU458:BE458)</f>
        <v>0</v>
      </c>
      <c r="CG458" s="36" t="str">
        <f aca="false">A458&amp;"|"&amp;B458</f>
        <v>2026-12 賞与|地方公共団体
情報システム機構</v>
      </c>
      <c r="CH458" s="34" t="str">
        <f aca="false">IFERROR(INDEX(設定!$D$61:$D$106,MATCH(B458,設定!$B$61:$B$106,0)),"Y")</f>
        <v>Y</v>
      </c>
      <c r="CI458" s="34" t="str">
        <f aca="false">IFERROR(INDEX(設定!$D$20:$D$34,MATCH(A458,設定!$A$20:$A$34,0))&amp;"","")</f>
        <v/>
      </c>
    </row>
    <row r="459" customFormat="false" ht="15" hidden="true" customHeight="false" outlineLevel="0" collapsed="false">
      <c r="A459" s="22" t="s">
        <v>217</v>
      </c>
      <c r="B459" s="23" t="s">
        <v>199</v>
      </c>
      <c r="C459" s="10" t="str">
        <f aca="false">IF(G459="","未受領",IF(G459="なし","報告なし",IF(AH459="○","起票済",IF(OR(AG459="○",F459="一致",F459="入金不要"),"入金確認済","受領済"))))</f>
        <v>未受領</v>
      </c>
      <c r="D459" s="10" t="str">
        <f aca="false">IF(OR(G459="",G459="なし"),"―",IF(CH459="N","対象外",IF(AND(I459="",J459="",K459=""),"標報未入力",IF(CD459&gt;=設定!$B$4,"要確認","問題なし"))))</f>
        <v>―</v>
      </c>
      <c r="E459" s="24" t="str">
        <f aca="false">IF(OR(G459="",G459="なし",CE459="",CF459=0),"―",IF(CF459=CE459,"前月同額",IF(CE459=0,"―",IF(ABS(CF459/CE459-1)&gt;=設定!$B$5,"変動大 "&amp;TEXT(CF459/CE459-1,"+0%;-0%"),"〇"))))</f>
        <v>―</v>
      </c>
      <c r="F459" s="10" t="str">
        <f aca="false">IF(OR(G459="",G459="なし"),"―",IF(CF459=0,"入金不要",IF(COUNT(Z459,AB459,AD459,AF459)=0,IF(AG459="○","手動確認","未入金"),IF(AND(N(Z459)=Y459,IF(AA459="",TRUE(),N(AB459)=AA459),IF(AC459="",TRUE(),N(AD459)=AC459),IF(AE459="",TRUE(),N(AF459)=AE459)),"一致","不一致"))))</f>
        <v>―</v>
      </c>
      <c r="G459" s="25"/>
      <c r="H459" s="26"/>
      <c r="I459" s="27"/>
      <c r="J459" s="27"/>
      <c r="K459" s="27"/>
      <c r="L459" s="27"/>
      <c r="M459" s="27"/>
      <c r="N459" s="27"/>
      <c r="O459" s="27"/>
      <c r="P459" s="27"/>
      <c r="Q459" s="27"/>
      <c r="R459" s="27"/>
      <c r="S459" s="27"/>
      <c r="T459" s="27"/>
      <c r="U459" s="27"/>
      <c r="V459" s="27"/>
      <c r="W459" s="10" t="str">
        <f aca="false">IFERROR(INDEX(設定!$E$61:$E$106,MATCH(B459,設定!$B$61:$B$106,0)),"合算")</f>
        <v>合算</v>
      </c>
      <c r="X459" s="28"/>
      <c r="Y459" s="29" t="str">
        <f aca="false">IF(OR(G459="",G459="なし"),"",IF(W459="合算",CF459,IF(W459="掛金・負担金別",(AU459+AV459+AZ459+BB459+BD459),SUM(AU459:AY459))))</f>
        <v/>
      </c>
      <c r="Z459" s="27"/>
      <c r="AA459" s="29" t="str">
        <f aca="false">IF(OR(G459="",G459="なし"),"",IF(W459="掛金・負担金別",(AW459+AX459+AY459+BA459+BC459+BE459),IF(W459="経理区分別",AZ459+BA459,"")))</f>
        <v/>
      </c>
      <c r="AB459" s="27"/>
      <c r="AC459" s="29" t="str">
        <f aca="false">IF(OR(G459="",G459="なし"),"",IF(W459="経理区分別",BB459+BC459,""))</f>
        <v/>
      </c>
      <c r="AD459" s="27"/>
      <c r="AE459" s="29" t="str">
        <f aca="false">IF(OR(G459="",G459="なし"),"",IF(W459="経理区分別",BD459+BE459,""))</f>
        <v/>
      </c>
      <c r="AF459" s="27"/>
      <c r="AG459" s="26"/>
      <c r="AH459" s="26"/>
      <c r="AI459" s="30"/>
      <c r="AJ459" s="31" t="n">
        <v>137250</v>
      </c>
      <c r="AK459" s="31" t="n">
        <v>11250</v>
      </c>
      <c r="AL459" s="31" t="n">
        <v>137250</v>
      </c>
      <c r="AM459" s="31" t="n">
        <v>11250</v>
      </c>
      <c r="AN459" s="31" t="n">
        <v>140</v>
      </c>
      <c r="AO459" s="31" t="n">
        <v>103253</v>
      </c>
      <c r="AP459" s="31" t="n">
        <v>103441</v>
      </c>
      <c r="AQ459" s="31" t="n">
        <v>14828</v>
      </c>
      <c r="AR459" s="31" t="n">
        <v>14828</v>
      </c>
      <c r="AS459" s="31" t="n">
        <v>1</v>
      </c>
      <c r="AT459" s="31" t="n">
        <v>1</v>
      </c>
      <c r="AU459" s="31" t="n">
        <f aca="false">IF($G459="",AJ459,L459)</f>
        <v>137250</v>
      </c>
      <c r="AV459" s="31" t="n">
        <f aca="false">IF($G459="",AK459,M459)</f>
        <v>11250</v>
      </c>
      <c r="AW459" s="31" t="n">
        <f aca="false">IF($G459="",AL459,N459)</f>
        <v>137250</v>
      </c>
      <c r="AX459" s="31" t="n">
        <f aca="false">IF($G459="",AM459,O459)</f>
        <v>11250</v>
      </c>
      <c r="AY459" s="31" t="n">
        <f aca="false">IF($G459="",AN459,P459)</f>
        <v>140</v>
      </c>
      <c r="AZ459" s="31" t="n">
        <f aca="false">IF($G459="",AO459,Q459)</f>
        <v>103253</v>
      </c>
      <c r="BA459" s="31" t="n">
        <f aca="false">IF($G459="",AP459,R459)</f>
        <v>103441</v>
      </c>
      <c r="BB459" s="31" t="n">
        <f aca="false">IF($G459="",AQ459,S459)</f>
        <v>14828</v>
      </c>
      <c r="BC459" s="31" t="n">
        <f aca="false">IF($G459="",AR459,T459)</f>
        <v>14828</v>
      </c>
      <c r="BD459" s="31" t="n">
        <f aca="false">IF($G459="",AS459,U459)</f>
        <v>1</v>
      </c>
      <c r="BE459" s="31" t="n">
        <f aca="false">IF($G459="",AT459,V459)</f>
        <v>1</v>
      </c>
      <c r="BF459" s="31" t="n">
        <f aca="false">ROUNDDOWN(I459*設定!$B$10/1000,0)+ROUNDDOWN(I459*設定!$B$11/1000,0)</f>
        <v>0</v>
      </c>
      <c r="BG459" s="31" t="n">
        <f aca="false">ROUNDDOWN(I459*設定!$C$10/1000,0)+ROUNDDOWN(I459*設定!$C$11/1000,0)+ROUNDDOWN(I459*設定!$C$12/1000,0)</f>
        <v>0</v>
      </c>
      <c r="BH459" s="31" t="n">
        <f aca="false">ROUNDDOWN(J459*設定!$B$13/1000,0)</f>
        <v>0</v>
      </c>
      <c r="BI459" s="31" t="n">
        <f aca="false">ROUNDDOWN(J459*設定!$C$13/1000,0)</f>
        <v>0</v>
      </c>
      <c r="BJ459" s="31" t="n">
        <f aca="false">ROUNDDOWN(K459*設定!$B$14/1000,0)</f>
        <v>0</v>
      </c>
      <c r="BK459" s="31" t="n">
        <f aca="false">ROUNDDOWN(K459*設定!$C$14/1000,0)</f>
        <v>0</v>
      </c>
      <c r="BL459" s="31" t="n">
        <f aca="false">ROUNDDOWN(J459*設定!$B$15/1000,0)</f>
        <v>0</v>
      </c>
      <c r="BM459" s="31" t="n">
        <f aca="false">ROUNDDOWN(J459*設定!$C$15/1000,0)</f>
        <v>0</v>
      </c>
      <c r="BN459" s="31" t="n">
        <f aca="false">L459+M459</f>
        <v>0</v>
      </c>
      <c r="BO459" s="31" t="n">
        <f aca="false">N459+O459+P459</f>
        <v>0</v>
      </c>
      <c r="BP459" s="31" t="n">
        <f aca="false">Q459</f>
        <v>0</v>
      </c>
      <c r="BQ459" s="31" t="n">
        <f aca="false">R459</f>
        <v>0</v>
      </c>
      <c r="BR459" s="31" t="n">
        <f aca="false">S459</f>
        <v>0</v>
      </c>
      <c r="BS459" s="31" t="n">
        <f aca="false">T459</f>
        <v>0</v>
      </c>
      <c r="BT459" s="31" t="n">
        <f aca="false">U459</f>
        <v>0</v>
      </c>
      <c r="BU459" s="31" t="n">
        <f aca="false">V459</f>
        <v>0</v>
      </c>
      <c r="BV459" s="32" t="n">
        <f aca="false">IF(BF459=0,IF(BN459=0,0,1),(BN459-BF459)/BF459)</f>
        <v>0</v>
      </c>
      <c r="BW459" s="32" t="n">
        <f aca="false">IF(BG459=0,IF(BO459=0,0,1),(BO459-BG459)/BG459)</f>
        <v>0</v>
      </c>
      <c r="BX459" s="32" t="n">
        <f aca="false">IF(BH459=0,IF(BP459=0,0,1),(BP459-BH459)/BH459)</f>
        <v>0</v>
      </c>
      <c r="BY459" s="32" t="n">
        <f aca="false">IF(BI459=0,IF(BQ459=0,0,1),(BQ459-BI459)/BI459)</f>
        <v>0</v>
      </c>
      <c r="BZ459" s="32" t="n">
        <f aca="false">IF(BJ459=0,IF(BR459=0,0,1),(BR459-BJ459)/BJ459)</f>
        <v>0</v>
      </c>
      <c r="CA459" s="32" t="n">
        <f aca="false">IF(BK459=0,IF(BS459=0,0,1),(BS459-BK459)/BK459)</f>
        <v>0</v>
      </c>
      <c r="CB459" s="32" t="n">
        <f aca="false">IF(BL459=0,IF(BT459=0,0,1),(BT459-BL459)/BL459)</f>
        <v>0</v>
      </c>
      <c r="CC459" s="32" t="n">
        <f aca="false">IF(BM459=0,IF(BU459=0,0,1),(BU459-BM459)/BM459)</f>
        <v>0</v>
      </c>
      <c r="CD459" s="32" t="n">
        <f aca="false">MAX(MAX(BV459:CC459),-MIN(BV459:CC459))</f>
        <v>-0</v>
      </c>
      <c r="CE459" s="31" t="str">
        <f aca="false">IF(CI459="","",SUMIFS($CF$7:$CF$696,$A$7:$A$696,CI459,$B$7:$B$696,B459))</f>
        <v/>
      </c>
      <c r="CF459" s="31" t="n">
        <f aca="false">SUM(AU459:BE459)</f>
        <v>533492</v>
      </c>
      <c r="CG459" s="33" t="str">
        <f aca="false">A459&amp;"|"&amp;B459</f>
        <v>2026-12 賞与|全国市長会</v>
      </c>
      <c r="CH459" s="34" t="str">
        <f aca="false">IFERROR(INDEX(設定!$D$61:$D$106,MATCH(B459,設定!$B$61:$B$106,0)),"Y")</f>
        <v>Y</v>
      </c>
      <c r="CI459" s="34" t="str">
        <f aca="false">IFERROR(INDEX(設定!$D$20:$D$34,MATCH(A459,設定!$A$20:$A$34,0))&amp;"","")</f>
        <v/>
      </c>
    </row>
    <row r="460" customFormat="false" ht="15" hidden="true" customHeight="false" outlineLevel="0" collapsed="false">
      <c r="A460" s="22" t="s">
        <v>217</v>
      </c>
      <c r="B460" s="23" t="s">
        <v>200</v>
      </c>
      <c r="C460" s="10" t="str">
        <f aca="false">IF(G460="","未受領",IF(G460="なし","報告なし",IF(AH460="○","起票済",IF(OR(AG460="○",F460="一致",F460="入金不要"),"入金確認済","受領済"))))</f>
        <v>未受領</v>
      </c>
      <c r="D460" s="10" t="str">
        <f aca="false">IF(OR(G460="",G460="なし"),"―",IF(CH460="N","対象外",IF(AND(I460="",J460="",K460=""),"標報未入力",IF(CD460&gt;=設定!$B$4,"要確認","問題なし"))))</f>
        <v>―</v>
      </c>
      <c r="E460" s="24" t="str">
        <f aca="false">IF(OR(G460="",G460="なし",CE460="",CF460=0),"―",IF(CF460=CE460,"前月同額",IF(CE460=0,"―",IF(ABS(CF460/CE460-1)&gt;=設定!$B$5,"変動大 "&amp;TEXT(CF460/CE460-1,"+0%;-0%"),"〇"))))</f>
        <v>―</v>
      </c>
      <c r="F460" s="10" t="str">
        <f aca="false">IF(OR(G460="",G460="なし"),"―",IF(CF460=0,"入金不要",IF(COUNT(Z460,AB460,AD460,AF460)=0,IF(AG460="○","手動確認","未入金"),IF(AND(N(Z460)=Y460,IF(AA460="",TRUE(),N(AB460)=AA460),IF(AC460="",TRUE(),N(AD460)=AC460),IF(AE460="",TRUE(),N(AF460)=AE460)),"一致","不一致"))))</f>
        <v>―</v>
      </c>
      <c r="G460" s="25"/>
      <c r="H460" s="26"/>
      <c r="I460" s="27"/>
      <c r="J460" s="27"/>
      <c r="K460" s="27"/>
      <c r="L460" s="27"/>
      <c r="M460" s="27"/>
      <c r="N460" s="27"/>
      <c r="O460" s="27"/>
      <c r="P460" s="27"/>
      <c r="Q460" s="27"/>
      <c r="R460" s="27"/>
      <c r="S460" s="27"/>
      <c r="T460" s="27"/>
      <c r="U460" s="27"/>
      <c r="V460" s="27"/>
      <c r="W460" s="10" t="str">
        <f aca="false">IFERROR(INDEX(設定!$E$61:$E$106,MATCH(B460,設定!$B$61:$B$106,0)),"合算")</f>
        <v>合算</v>
      </c>
      <c r="X460" s="28"/>
      <c r="Y460" s="29" t="str">
        <f aca="false">IF(OR(G460="",G460="なし"),"",IF(W460="合算",CF460,IF(W460="掛金・負担金別",(AU460+AV460+AZ460+BB460+BD460),SUM(AU460:AY460))))</f>
        <v/>
      </c>
      <c r="Z460" s="27"/>
      <c r="AA460" s="29" t="str">
        <f aca="false">IF(OR(G460="",G460="なし"),"",IF(W460="掛金・負担金別",(AW460+AX460+AY460+BA460+BC460+BE460),IF(W460="経理区分別",AZ460+BA460,"")))</f>
        <v/>
      </c>
      <c r="AB460" s="27"/>
      <c r="AC460" s="29" t="str">
        <f aca="false">IF(OR(G460="",G460="なし"),"",IF(W460="経理区分別",BB460+BC460,""))</f>
        <v/>
      </c>
      <c r="AD460" s="27"/>
      <c r="AE460" s="29" t="str">
        <f aca="false">IF(OR(G460="",G460="なし"),"",IF(W460="経理区分別",BD460+BE460,""))</f>
        <v/>
      </c>
      <c r="AF460" s="27"/>
      <c r="AG460" s="26"/>
      <c r="AH460" s="26"/>
      <c r="AI460" s="30"/>
      <c r="AJ460" s="31" t="n">
        <v>293806</v>
      </c>
      <c r="AK460" s="31" t="n">
        <v>24082</v>
      </c>
      <c r="AL460" s="31" t="n">
        <v>293807</v>
      </c>
      <c r="AM460" s="31" t="n">
        <v>24082</v>
      </c>
      <c r="AN460" s="31" t="n">
        <v>301</v>
      </c>
      <c r="AO460" s="31"/>
      <c r="AP460" s="31"/>
      <c r="AQ460" s="31"/>
      <c r="AR460" s="31"/>
      <c r="AS460" s="31"/>
      <c r="AT460" s="31"/>
      <c r="AU460" s="31" t="n">
        <f aca="false">IF($G460="",AJ460,L460)</f>
        <v>293806</v>
      </c>
      <c r="AV460" s="31" t="n">
        <f aca="false">IF($G460="",AK460,M460)</f>
        <v>24082</v>
      </c>
      <c r="AW460" s="31" t="n">
        <f aca="false">IF($G460="",AL460,N460)</f>
        <v>293807</v>
      </c>
      <c r="AX460" s="31" t="n">
        <f aca="false">IF($G460="",AM460,O460)</f>
        <v>24082</v>
      </c>
      <c r="AY460" s="31" t="n">
        <f aca="false">IF($G460="",AN460,P460)</f>
        <v>301</v>
      </c>
      <c r="AZ460" s="31" t="n">
        <f aca="false">IF($G460="",AO460,Q460)</f>
        <v>0</v>
      </c>
      <c r="BA460" s="31" t="n">
        <f aca="false">IF($G460="",AP460,R460)</f>
        <v>0</v>
      </c>
      <c r="BB460" s="31" t="n">
        <f aca="false">IF($G460="",AQ460,S460)</f>
        <v>0</v>
      </c>
      <c r="BC460" s="31" t="n">
        <f aca="false">IF($G460="",AR460,T460)</f>
        <v>0</v>
      </c>
      <c r="BD460" s="31" t="n">
        <f aca="false">IF($G460="",AS460,U460)</f>
        <v>0</v>
      </c>
      <c r="BE460" s="31" t="n">
        <f aca="false">IF($G460="",AT460,V460)</f>
        <v>0</v>
      </c>
      <c r="BF460" s="31" t="n">
        <f aca="false">ROUNDDOWN(I460*設定!$B$10/1000,0)+ROUNDDOWN(I460*設定!$B$11/1000,0)</f>
        <v>0</v>
      </c>
      <c r="BG460" s="31" t="n">
        <f aca="false">ROUNDDOWN(I460*設定!$C$10/1000,0)+ROUNDDOWN(I460*設定!$C$11/1000,0)+ROUNDDOWN(I460*設定!$C$12/1000,0)</f>
        <v>0</v>
      </c>
      <c r="BH460" s="31" t="n">
        <f aca="false">ROUNDDOWN(J460*設定!$B$13/1000,0)</f>
        <v>0</v>
      </c>
      <c r="BI460" s="31" t="n">
        <f aca="false">ROUNDDOWN(J460*設定!$C$13/1000,0)</f>
        <v>0</v>
      </c>
      <c r="BJ460" s="31" t="n">
        <f aca="false">ROUNDDOWN(K460*設定!$B$14/1000,0)</f>
        <v>0</v>
      </c>
      <c r="BK460" s="31" t="n">
        <f aca="false">ROUNDDOWN(K460*設定!$C$14/1000,0)</f>
        <v>0</v>
      </c>
      <c r="BL460" s="31" t="n">
        <f aca="false">ROUNDDOWN(J460*設定!$B$15/1000,0)</f>
        <v>0</v>
      </c>
      <c r="BM460" s="31" t="n">
        <f aca="false">ROUNDDOWN(J460*設定!$C$15/1000,0)</f>
        <v>0</v>
      </c>
      <c r="BN460" s="31" t="n">
        <f aca="false">L460+M460</f>
        <v>0</v>
      </c>
      <c r="BO460" s="31" t="n">
        <f aca="false">N460+O460+P460</f>
        <v>0</v>
      </c>
      <c r="BP460" s="31" t="n">
        <f aca="false">Q460</f>
        <v>0</v>
      </c>
      <c r="BQ460" s="31" t="n">
        <f aca="false">R460</f>
        <v>0</v>
      </c>
      <c r="BR460" s="31" t="n">
        <f aca="false">S460</f>
        <v>0</v>
      </c>
      <c r="BS460" s="31" t="n">
        <f aca="false">T460</f>
        <v>0</v>
      </c>
      <c r="BT460" s="31" t="n">
        <f aca="false">U460</f>
        <v>0</v>
      </c>
      <c r="BU460" s="31" t="n">
        <f aca="false">V460</f>
        <v>0</v>
      </c>
      <c r="BV460" s="32" t="n">
        <f aca="false">IF(BF460=0,IF(BN460=0,0,1),(BN460-BF460)/BF460)</f>
        <v>0</v>
      </c>
      <c r="BW460" s="32" t="n">
        <f aca="false">IF(BG460=0,IF(BO460=0,0,1),(BO460-BG460)/BG460)</f>
        <v>0</v>
      </c>
      <c r="BX460" s="32" t="n">
        <f aca="false">IF(BH460=0,IF(BP460=0,0,1),(BP460-BH460)/BH460)</f>
        <v>0</v>
      </c>
      <c r="BY460" s="32" t="n">
        <f aca="false">IF(BI460=0,IF(BQ460=0,0,1),(BQ460-BI460)/BI460)</f>
        <v>0</v>
      </c>
      <c r="BZ460" s="32" t="n">
        <f aca="false">IF(BJ460=0,IF(BR460=0,0,1),(BR460-BJ460)/BJ460)</f>
        <v>0</v>
      </c>
      <c r="CA460" s="32" t="n">
        <f aca="false">IF(BK460=0,IF(BS460=0,0,1),(BS460-BK460)/BK460)</f>
        <v>0</v>
      </c>
      <c r="CB460" s="32" t="n">
        <f aca="false">IF(BL460=0,IF(BT460=0,0,1),(BT460-BL460)/BL460)</f>
        <v>0</v>
      </c>
      <c r="CC460" s="32" t="n">
        <f aca="false">IF(BM460=0,IF(BU460=0,0,1),(BU460-BM460)/BM460)</f>
        <v>0</v>
      </c>
      <c r="CD460" s="32" t="n">
        <f aca="false">MAX(MAX(BV460:CC460),-MIN(BV460:CC460))</f>
        <v>-0</v>
      </c>
      <c r="CE460" s="31" t="str">
        <f aca="false">IF(CI460="","",SUMIFS($CF$7:$CF$696,$A$7:$A$696,CI460,$B$7:$B$696,B460))</f>
        <v/>
      </c>
      <c r="CF460" s="31" t="n">
        <f aca="false">SUM(AU460:BE460)</f>
        <v>636078</v>
      </c>
      <c r="CG460" s="33" t="str">
        <f aca="false">A460&amp;"|"&amp;B460</f>
        <v>2026-12 賞与|高速交通（株）</v>
      </c>
      <c r="CH460" s="34" t="str">
        <f aca="false">IFERROR(INDEX(設定!$D$61:$D$106,MATCH(B460,設定!$B$61:$B$106,0)),"Y")</f>
        <v>Y</v>
      </c>
      <c r="CI460" s="34" t="str">
        <f aca="false">IFERROR(INDEX(設定!$D$20:$D$34,MATCH(A460,設定!$A$20:$A$34,0))&amp;"","")</f>
        <v/>
      </c>
    </row>
    <row r="461" customFormat="false" ht="15" hidden="true" customHeight="false" outlineLevel="0" collapsed="false">
      <c r="A461" s="22" t="s">
        <v>217</v>
      </c>
      <c r="B461" s="23" t="s">
        <v>201</v>
      </c>
      <c r="C461" s="10" t="str">
        <f aca="false">IF(G461="","未受領",IF(G461="なし","報告なし",IF(AH461="○","起票済",IF(OR(AG461="○",F461="一致",F461="入金不要"),"入金確認済","受領済"))))</f>
        <v>未受領</v>
      </c>
      <c r="D461" s="10" t="str">
        <f aca="false">IF(OR(G461="",G461="なし"),"―",IF(CH461="N","対象外",IF(AND(I461="",J461="",K461=""),"標報未入力",IF(CD461&gt;=設定!$B$4,"要確認","問題なし"))))</f>
        <v>―</v>
      </c>
      <c r="E461" s="24" t="str">
        <f aca="false">IF(OR(G461="",G461="なし",CE461="",CF461=0),"―",IF(CF461=CE461,"前月同額",IF(CE461=0,"―",IF(ABS(CF461/CE461-1)&gt;=設定!$B$5,"変動大 "&amp;TEXT(CF461/CE461-1,"+0%;-0%"),"〇"))))</f>
        <v>―</v>
      </c>
      <c r="F461" s="10" t="str">
        <f aca="false">IF(OR(G461="",G461="なし"),"―",IF(CF461=0,"入金不要",IF(COUNT(Z461,AB461,AD461,AF461)=0,IF(AG461="○","手動確認","未入金"),IF(AND(N(Z461)=Y461,IF(AA461="",TRUE(),N(AB461)=AA461),IF(AC461="",TRUE(),N(AD461)=AC461),IF(AE461="",TRUE(),N(AF461)=AE461)),"一致","不一致"))))</f>
        <v>―</v>
      </c>
      <c r="G461" s="25"/>
      <c r="H461" s="26"/>
      <c r="I461" s="27"/>
      <c r="J461" s="27"/>
      <c r="K461" s="27"/>
      <c r="L461" s="27"/>
      <c r="M461" s="27"/>
      <c r="N461" s="27"/>
      <c r="O461" s="27"/>
      <c r="P461" s="27"/>
      <c r="Q461" s="27"/>
      <c r="R461" s="27"/>
      <c r="S461" s="27"/>
      <c r="T461" s="27"/>
      <c r="U461" s="27"/>
      <c r="V461" s="27"/>
      <c r="W461" s="10" t="str">
        <f aca="false">IFERROR(INDEX(設定!$E$61:$E$106,MATCH(B461,設定!$B$61:$B$106,0)),"合算")</f>
        <v>合算</v>
      </c>
      <c r="X461" s="28"/>
      <c r="Y461" s="29" t="str">
        <f aca="false">IF(OR(G461="",G461="なし"),"",IF(W461="合算",CF461,IF(W461="掛金・負担金別",(AU461+AV461+AZ461+BB461+BD461),SUM(AU461:AY461))))</f>
        <v/>
      </c>
      <c r="Z461" s="27"/>
      <c r="AA461" s="29" t="str">
        <f aca="false">IF(OR(G461="",G461="なし"),"",IF(W461="掛金・負担金別",(AW461+AX461+AY461+BA461+BC461+BE461),IF(W461="経理区分別",AZ461+BA461,"")))</f>
        <v/>
      </c>
      <c r="AB461" s="27"/>
      <c r="AC461" s="29" t="str">
        <f aca="false">IF(OR(G461="",G461="なし"),"",IF(W461="経理区分別",BB461+BC461,""))</f>
        <v/>
      </c>
      <c r="AD461" s="27"/>
      <c r="AE461" s="29" t="str">
        <f aca="false">IF(OR(G461="",G461="なし"),"",IF(W461="経理区分別",BD461+BE461,""))</f>
        <v/>
      </c>
      <c r="AF461" s="27"/>
      <c r="AG461" s="26"/>
      <c r="AH461" s="26"/>
      <c r="AI461" s="30"/>
      <c r="AJ461" s="31" t="n">
        <v>119773</v>
      </c>
      <c r="AK461" s="31" t="n">
        <v>9817</v>
      </c>
      <c r="AL461" s="31" t="n">
        <v>119774</v>
      </c>
      <c r="AM461" s="31" t="n">
        <v>9817</v>
      </c>
      <c r="AN461" s="31" t="n">
        <v>122</v>
      </c>
      <c r="AO461" s="31"/>
      <c r="AP461" s="31"/>
      <c r="AQ461" s="31"/>
      <c r="AR461" s="31"/>
      <c r="AS461" s="31"/>
      <c r="AT461" s="31"/>
      <c r="AU461" s="31" t="n">
        <f aca="false">IF($G461="",AJ461,L461)</f>
        <v>119773</v>
      </c>
      <c r="AV461" s="31" t="n">
        <f aca="false">IF($G461="",AK461,M461)</f>
        <v>9817</v>
      </c>
      <c r="AW461" s="31" t="n">
        <f aca="false">IF($G461="",AL461,N461)</f>
        <v>119774</v>
      </c>
      <c r="AX461" s="31" t="n">
        <f aca="false">IF($G461="",AM461,O461)</f>
        <v>9817</v>
      </c>
      <c r="AY461" s="31" t="n">
        <f aca="false">IF($G461="",AN461,P461)</f>
        <v>122</v>
      </c>
      <c r="AZ461" s="31" t="n">
        <f aca="false">IF($G461="",AO461,Q461)</f>
        <v>0</v>
      </c>
      <c r="BA461" s="31" t="n">
        <f aca="false">IF($G461="",AP461,R461)</f>
        <v>0</v>
      </c>
      <c r="BB461" s="31" t="n">
        <f aca="false">IF($G461="",AQ461,S461)</f>
        <v>0</v>
      </c>
      <c r="BC461" s="31" t="n">
        <f aca="false">IF($G461="",AR461,T461)</f>
        <v>0</v>
      </c>
      <c r="BD461" s="31" t="n">
        <f aca="false">IF($G461="",AS461,U461)</f>
        <v>0</v>
      </c>
      <c r="BE461" s="31" t="n">
        <f aca="false">IF($G461="",AT461,V461)</f>
        <v>0</v>
      </c>
      <c r="BF461" s="31" t="n">
        <f aca="false">ROUNDDOWN(I461*設定!$B$10/1000,0)+ROUNDDOWN(I461*設定!$B$11/1000,0)</f>
        <v>0</v>
      </c>
      <c r="BG461" s="31" t="n">
        <f aca="false">ROUNDDOWN(I461*設定!$C$10/1000,0)+ROUNDDOWN(I461*設定!$C$11/1000,0)+ROUNDDOWN(I461*設定!$C$12/1000,0)</f>
        <v>0</v>
      </c>
      <c r="BH461" s="31" t="n">
        <f aca="false">ROUNDDOWN(J461*設定!$B$13/1000,0)</f>
        <v>0</v>
      </c>
      <c r="BI461" s="31" t="n">
        <f aca="false">ROUNDDOWN(J461*設定!$C$13/1000,0)</f>
        <v>0</v>
      </c>
      <c r="BJ461" s="31" t="n">
        <f aca="false">ROUNDDOWN(K461*設定!$B$14/1000,0)</f>
        <v>0</v>
      </c>
      <c r="BK461" s="31" t="n">
        <f aca="false">ROUNDDOWN(K461*設定!$C$14/1000,0)</f>
        <v>0</v>
      </c>
      <c r="BL461" s="31" t="n">
        <f aca="false">ROUNDDOWN(J461*設定!$B$15/1000,0)</f>
        <v>0</v>
      </c>
      <c r="BM461" s="31" t="n">
        <f aca="false">ROUNDDOWN(J461*設定!$C$15/1000,0)</f>
        <v>0</v>
      </c>
      <c r="BN461" s="31" t="n">
        <f aca="false">L461+M461</f>
        <v>0</v>
      </c>
      <c r="BO461" s="31" t="n">
        <f aca="false">N461+O461+P461</f>
        <v>0</v>
      </c>
      <c r="BP461" s="31" t="n">
        <f aca="false">Q461</f>
        <v>0</v>
      </c>
      <c r="BQ461" s="31" t="n">
        <f aca="false">R461</f>
        <v>0</v>
      </c>
      <c r="BR461" s="31" t="n">
        <f aca="false">S461</f>
        <v>0</v>
      </c>
      <c r="BS461" s="31" t="n">
        <f aca="false">T461</f>
        <v>0</v>
      </c>
      <c r="BT461" s="31" t="n">
        <f aca="false">U461</f>
        <v>0</v>
      </c>
      <c r="BU461" s="31" t="n">
        <f aca="false">V461</f>
        <v>0</v>
      </c>
      <c r="BV461" s="32" t="n">
        <f aca="false">IF(BF461=0,IF(BN461=0,0,1),(BN461-BF461)/BF461)</f>
        <v>0</v>
      </c>
      <c r="BW461" s="32" t="n">
        <f aca="false">IF(BG461=0,IF(BO461=0,0,1),(BO461-BG461)/BG461)</f>
        <v>0</v>
      </c>
      <c r="BX461" s="32" t="n">
        <f aca="false">IF(BH461=0,IF(BP461=0,0,1),(BP461-BH461)/BH461)</f>
        <v>0</v>
      </c>
      <c r="BY461" s="32" t="n">
        <f aca="false">IF(BI461=0,IF(BQ461=0,0,1),(BQ461-BI461)/BI461)</f>
        <v>0</v>
      </c>
      <c r="BZ461" s="32" t="n">
        <f aca="false">IF(BJ461=0,IF(BR461=0,0,1),(BR461-BJ461)/BJ461)</f>
        <v>0</v>
      </c>
      <c r="CA461" s="32" t="n">
        <f aca="false">IF(BK461=0,IF(BS461=0,0,1),(BS461-BK461)/BK461)</f>
        <v>0</v>
      </c>
      <c r="CB461" s="32" t="n">
        <f aca="false">IF(BL461=0,IF(BT461=0,0,1),(BT461-BL461)/BL461)</f>
        <v>0</v>
      </c>
      <c r="CC461" s="32" t="n">
        <f aca="false">IF(BM461=0,IF(BU461=0,0,1),(BU461-BM461)/BM461)</f>
        <v>0</v>
      </c>
      <c r="CD461" s="32" t="n">
        <f aca="false">MAX(MAX(BV461:CC461),-MIN(BV461:CC461))</f>
        <v>-0</v>
      </c>
      <c r="CE461" s="31" t="str">
        <f aca="false">IF(CI461="","",SUMIFS($CF$7:$CF$696,$A$7:$A$696,CI461,$B$7:$B$696,B461))</f>
        <v/>
      </c>
      <c r="CF461" s="31" t="n">
        <f aca="false">SUM(AU461:BE461)</f>
        <v>259303</v>
      </c>
      <c r="CG461" s="33" t="str">
        <f aca="false">A461&amp;"|"&amp;B461</f>
        <v>2026-12 賞与|広島駅南口開発（株）</v>
      </c>
      <c r="CH461" s="34" t="str">
        <f aca="false">IFERROR(INDEX(設定!$D$61:$D$106,MATCH(B461,設定!$B$61:$B$106,0)),"Y")</f>
        <v>Y</v>
      </c>
      <c r="CI461" s="34" t="str">
        <f aca="false">IFERROR(INDEX(設定!$D$20:$D$34,MATCH(A461,設定!$A$20:$A$34,0))&amp;"","")</f>
        <v/>
      </c>
    </row>
    <row r="462" customFormat="false" ht="15" hidden="true" customHeight="false" outlineLevel="0" collapsed="false">
      <c r="A462" s="22" t="s">
        <v>217</v>
      </c>
      <c r="B462" s="23" t="s">
        <v>202</v>
      </c>
      <c r="C462" s="10" t="str">
        <f aca="false">IF(G462="","未受領",IF(G462="なし","報告なし",IF(AH462="○","起票済",IF(OR(AG462="○",F462="一致",F462="入金不要"),"入金確認済","受領済"))))</f>
        <v>未受領</v>
      </c>
      <c r="D462" s="10" t="str">
        <f aca="false">IF(OR(G462="",G462="なし"),"―",IF(CH462="N","対象外",IF(AND(I462="",J462="",K462=""),"標報未入力",IF(CD462&gt;=設定!$B$4,"要確認","問題なし"))))</f>
        <v>―</v>
      </c>
      <c r="E462" s="24" t="str">
        <f aca="false">IF(OR(G462="",G462="なし",CE462="",CF462=0),"―",IF(CF462=CE462,"前月同額",IF(CE462=0,"―",IF(ABS(CF462/CE462-1)&gt;=設定!$B$5,"変動大 "&amp;TEXT(CF462/CE462-1,"+0%;-0%"),"〇"))))</f>
        <v>―</v>
      </c>
      <c r="F462" s="10" t="str">
        <f aca="false">IF(OR(G462="",G462="なし"),"―",IF(CF462=0,"入金不要",IF(COUNT(Z462,AB462,AD462,AF462)=0,IF(AG462="○","手動確認","未入金"),IF(AND(N(Z462)=Y462,IF(AA462="",TRUE(),N(AB462)=AA462),IF(AC462="",TRUE(),N(AD462)=AC462),IF(AE462="",TRUE(),N(AF462)=AE462)),"一致","不一致"))))</f>
        <v>―</v>
      </c>
      <c r="G462" s="25"/>
      <c r="H462" s="26"/>
      <c r="I462" s="27"/>
      <c r="J462" s="27"/>
      <c r="K462" s="27"/>
      <c r="L462" s="27"/>
      <c r="M462" s="27"/>
      <c r="N462" s="27"/>
      <c r="O462" s="27"/>
      <c r="P462" s="27"/>
      <c r="Q462" s="27"/>
      <c r="R462" s="27"/>
      <c r="S462" s="27"/>
      <c r="T462" s="27"/>
      <c r="U462" s="27"/>
      <c r="V462" s="27"/>
      <c r="W462" s="10" t="str">
        <f aca="false">IFERROR(INDEX(設定!$E$61:$E$106,MATCH(B462,設定!$B$61:$B$106,0)),"合算")</f>
        <v>合算</v>
      </c>
      <c r="X462" s="28"/>
      <c r="Y462" s="29" t="str">
        <f aca="false">IF(OR(G462="",G462="なし"),"",IF(W462="合算",CF462,IF(W462="掛金・負担金別",(AU462+AV462+AZ462+BB462+BD462),SUM(AU462:AY462))))</f>
        <v/>
      </c>
      <c r="Z462" s="27"/>
      <c r="AA462" s="29" t="str">
        <f aca="false">IF(OR(G462="",G462="なし"),"",IF(W462="掛金・負担金別",(AW462+AX462+AY462+BA462+BC462+BE462),IF(W462="経理区分別",AZ462+BA462,"")))</f>
        <v/>
      </c>
      <c r="AB462" s="27"/>
      <c r="AC462" s="29" t="str">
        <f aca="false">IF(OR(G462="",G462="なし"),"",IF(W462="経理区分別",BB462+BC462,""))</f>
        <v/>
      </c>
      <c r="AD462" s="27"/>
      <c r="AE462" s="29" t="str">
        <f aca="false">IF(OR(G462="",G462="なし"),"",IF(W462="経理区分別",BD462+BE462,""))</f>
        <v/>
      </c>
      <c r="AF462" s="27"/>
      <c r="AG462" s="26"/>
      <c r="AH462" s="26"/>
      <c r="AI462" s="30"/>
      <c r="AJ462" s="31" t="n">
        <v>27907</v>
      </c>
      <c r="AK462" s="31" t="n">
        <v>2287</v>
      </c>
      <c r="AL462" s="31" t="n">
        <v>27908</v>
      </c>
      <c r="AM462" s="31" t="n">
        <v>2287</v>
      </c>
      <c r="AN462" s="31"/>
      <c r="AO462" s="31" t="n">
        <v>16778</v>
      </c>
      <c r="AP462" s="31" t="n">
        <v>16808</v>
      </c>
      <c r="AQ462" s="31" t="n">
        <v>2409</v>
      </c>
      <c r="AR462" s="31" t="n">
        <v>2409</v>
      </c>
      <c r="AS462" s="31" t="n">
        <v>1</v>
      </c>
      <c r="AT462" s="31" t="n">
        <v>1</v>
      </c>
      <c r="AU462" s="31" t="n">
        <f aca="false">IF($G462="",AJ462,L462)</f>
        <v>27907</v>
      </c>
      <c r="AV462" s="31" t="n">
        <f aca="false">IF($G462="",AK462,M462)</f>
        <v>2287</v>
      </c>
      <c r="AW462" s="31" t="n">
        <f aca="false">IF($G462="",AL462,N462)</f>
        <v>27908</v>
      </c>
      <c r="AX462" s="31" t="n">
        <f aca="false">IF($G462="",AM462,O462)</f>
        <v>2287</v>
      </c>
      <c r="AY462" s="31" t="n">
        <f aca="false">IF($G462="",AN462,P462)</f>
        <v>0</v>
      </c>
      <c r="AZ462" s="31" t="n">
        <f aca="false">IF($G462="",AO462,Q462)</f>
        <v>16778</v>
      </c>
      <c r="BA462" s="31" t="n">
        <f aca="false">IF($G462="",AP462,R462)</f>
        <v>16808</v>
      </c>
      <c r="BB462" s="31" t="n">
        <f aca="false">IF($G462="",AQ462,S462)</f>
        <v>2409</v>
      </c>
      <c r="BC462" s="31" t="n">
        <f aca="false">IF($G462="",AR462,T462)</f>
        <v>2409</v>
      </c>
      <c r="BD462" s="31" t="n">
        <f aca="false">IF($G462="",AS462,U462)</f>
        <v>1</v>
      </c>
      <c r="BE462" s="31" t="n">
        <f aca="false">IF($G462="",AT462,V462)</f>
        <v>1</v>
      </c>
      <c r="BF462" s="31" t="n">
        <f aca="false">ROUNDDOWN(I462*設定!$B$10/1000,0)+ROUNDDOWN(I462*設定!$B$11/1000,0)</f>
        <v>0</v>
      </c>
      <c r="BG462" s="31" t="n">
        <f aca="false">ROUNDDOWN(I462*設定!$C$10/1000,0)+ROUNDDOWN(I462*設定!$C$11/1000,0)+ROUNDDOWN(I462*設定!$C$12/1000,0)</f>
        <v>0</v>
      </c>
      <c r="BH462" s="31" t="n">
        <f aca="false">ROUNDDOWN(J462*設定!$B$13/1000,0)</f>
        <v>0</v>
      </c>
      <c r="BI462" s="31" t="n">
        <f aca="false">ROUNDDOWN(J462*設定!$C$13/1000,0)</f>
        <v>0</v>
      </c>
      <c r="BJ462" s="31" t="n">
        <f aca="false">ROUNDDOWN(K462*設定!$B$14/1000,0)</f>
        <v>0</v>
      </c>
      <c r="BK462" s="31" t="n">
        <f aca="false">ROUNDDOWN(K462*設定!$C$14/1000,0)</f>
        <v>0</v>
      </c>
      <c r="BL462" s="31" t="n">
        <f aca="false">ROUNDDOWN(J462*設定!$B$15/1000,0)</f>
        <v>0</v>
      </c>
      <c r="BM462" s="31" t="n">
        <f aca="false">ROUNDDOWN(J462*設定!$C$15/1000,0)</f>
        <v>0</v>
      </c>
      <c r="BN462" s="31" t="n">
        <f aca="false">L462+M462</f>
        <v>0</v>
      </c>
      <c r="BO462" s="31" t="n">
        <f aca="false">N462+O462+P462</f>
        <v>0</v>
      </c>
      <c r="BP462" s="31" t="n">
        <f aca="false">Q462</f>
        <v>0</v>
      </c>
      <c r="BQ462" s="31" t="n">
        <f aca="false">R462</f>
        <v>0</v>
      </c>
      <c r="BR462" s="31" t="n">
        <f aca="false">S462</f>
        <v>0</v>
      </c>
      <c r="BS462" s="31" t="n">
        <f aca="false">T462</f>
        <v>0</v>
      </c>
      <c r="BT462" s="31" t="n">
        <f aca="false">U462</f>
        <v>0</v>
      </c>
      <c r="BU462" s="31" t="n">
        <f aca="false">V462</f>
        <v>0</v>
      </c>
      <c r="BV462" s="32" t="n">
        <f aca="false">IF(BF462=0,IF(BN462=0,0,1),(BN462-BF462)/BF462)</f>
        <v>0</v>
      </c>
      <c r="BW462" s="32" t="n">
        <f aca="false">IF(BG462=0,IF(BO462=0,0,1),(BO462-BG462)/BG462)</f>
        <v>0</v>
      </c>
      <c r="BX462" s="32" t="n">
        <f aca="false">IF(BH462=0,IF(BP462=0,0,1),(BP462-BH462)/BH462)</f>
        <v>0</v>
      </c>
      <c r="BY462" s="32" t="n">
        <f aca="false">IF(BI462=0,IF(BQ462=0,0,1),(BQ462-BI462)/BI462)</f>
        <v>0</v>
      </c>
      <c r="BZ462" s="32" t="n">
        <f aca="false">IF(BJ462=0,IF(BR462=0,0,1),(BR462-BJ462)/BJ462)</f>
        <v>0</v>
      </c>
      <c r="CA462" s="32" t="n">
        <f aca="false">IF(BK462=0,IF(BS462=0,0,1),(BS462-BK462)/BK462)</f>
        <v>0</v>
      </c>
      <c r="CB462" s="32" t="n">
        <f aca="false">IF(BL462=0,IF(BT462=0,0,1),(BT462-BL462)/BL462)</f>
        <v>0</v>
      </c>
      <c r="CC462" s="32" t="n">
        <f aca="false">IF(BM462=0,IF(BU462=0,0,1),(BU462-BM462)/BM462)</f>
        <v>0</v>
      </c>
      <c r="CD462" s="32" t="n">
        <f aca="false">MAX(MAX(BV462:CC462),-MIN(BV462:CC462))</f>
        <v>-0</v>
      </c>
      <c r="CE462" s="31" t="str">
        <f aca="false">IF(CI462="","",SUMIFS($CF$7:$CF$696,$A$7:$A$696,CI462,$B$7:$B$696,B462))</f>
        <v/>
      </c>
      <c r="CF462" s="31" t="n">
        <f aca="false">SUM(AU462:BE462)</f>
        <v>98795</v>
      </c>
      <c r="CG462" s="33" t="str">
        <f aca="false">A462&amp;"|"&amp;B462</f>
        <v>2026-12 賞与|市職員労働組合</v>
      </c>
      <c r="CH462" s="34" t="str">
        <f aca="false">IFERROR(INDEX(設定!$D$61:$D$106,MATCH(B462,設定!$B$61:$B$106,0)),"Y")</f>
        <v>Y</v>
      </c>
      <c r="CI462" s="34" t="str">
        <f aca="false">IFERROR(INDEX(設定!$D$20:$D$34,MATCH(A462,設定!$A$20:$A$34,0))&amp;"","")</f>
        <v/>
      </c>
    </row>
    <row r="463" customFormat="false" ht="15" hidden="true" customHeight="false" outlineLevel="0" collapsed="false">
      <c r="A463" s="22" t="s">
        <v>217</v>
      </c>
      <c r="B463" s="23" t="s">
        <v>203</v>
      </c>
      <c r="C463" s="10" t="str">
        <f aca="false">IF(G463="","未受領",IF(G463="なし","報告なし",IF(AH463="○","起票済",IF(OR(AG463="○",F463="一致",F463="入金不要"),"入金確認済","受領済"))))</f>
        <v>報告なし</v>
      </c>
      <c r="D463" s="10" t="str">
        <f aca="false">IF(OR(G463="",G463="なし"),"―",IF(CH463="N","対象外",IF(AND(I463="",J463="",K463=""),"標報未入力",IF(CD463&gt;=設定!$B$4,"要確認","問題なし"))))</f>
        <v>―</v>
      </c>
      <c r="E463" s="24" t="str">
        <f aca="false">IF(OR(G463="",G463="なし",CE463="",CF463=0),"―",IF(CF463=CE463,"前月同額",IF(CE463=0,"―",IF(ABS(CF463/CE463-1)&gt;=設定!$B$5,"変動大 "&amp;TEXT(CF463/CE463-1,"+0%;-0%"),"〇"))))</f>
        <v>―</v>
      </c>
      <c r="F463" s="10" t="str">
        <f aca="false">IF(OR(G463="",G463="なし"),"―",IF(CF463=0,"入金不要",IF(COUNT(Z463,AB463,AD463,AF463)=0,IF(AG463="○","手動確認","未入金"),IF(AND(N(Z463)=Y463,IF(AA463="",TRUE(),N(AB463)=AA463),IF(AC463="",TRUE(),N(AD463)=AC463),IF(AE463="",TRUE(),N(AF463)=AE463)),"一致","不一致"))))</f>
        <v>―</v>
      </c>
      <c r="G463" s="25" t="s">
        <v>173</v>
      </c>
      <c r="H463" s="26"/>
      <c r="I463" s="27"/>
      <c r="J463" s="27"/>
      <c r="K463" s="27"/>
      <c r="L463" s="27"/>
      <c r="M463" s="27"/>
      <c r="N463" s="27"/>
      <c r="O463" s="27"/>
      <c r="P463" s="27"/>
      <c r="Q463" s="27"/>
      <c r="R463" s="27"/>
      <c r="S463" s="27"/>
      <c r="T463" s="27"/>
      <c r="U463" s="27"/>
      <c r="V463" s="27"/>
      <c r="W463" s="10" t="str">
        <f aca="false">IFERROR(INDEX(設定!$E$61:$E$106,MATCH(B463,設定!$B$61:$B$106,0)),"合算")</f>
        <v>合算</v>
      </c>
      <c r="X463" s="28"/>
      <c r="Y463" s="29" t="str">
        <f aca="false">IF(OR(G463="",G463="なし"),"",IF(W463="合算",CF463,IF(W463="掛金・負担金別",(AU463+AV463+AZ463+BB463+BD463),SUM(AU463:AY463))))</f>
        <v/>
      </c>
      <c r="Z463" s="27"/>
      <c r="AA463" s="29" t="str">
        <f aca="false">IF(OR(G463="",G463="なし"),"",IF(W463="掛金・負担金別",(AW463+AX463+AY463+BA463+BC463+BE463),IF(W463="経理区分別",AZ463+BA463,"")))</f>
        <v/>
      </c>
      <c r="AB463" s="27"/>
      <c r="AC463" s="29" t="str">
        <f aca="false">IF(OR(G463="",G463="なし"),"",IF(W463="経理区分別",BB463+BC463,""))</f>
        <v/>
      </c>
      <c r="AD463" s="27"/>
      <c r="AE463" s="29" t="str">
        <f aca="false">IF(OR(G463="",G463="なし"),"",IF(W463="経理区分別",BD463+BE463,""))</f>
        <v/>
      </c>
      <c r="AF463" s="27"/>
      <c r="AG463" s="26"/>
      <c r="AH463" s="26"/>
      <c r="AI463" s="30"/>
      <c r="AJ463" s="31"/>
      <c r="AK463" s="31"/>
      <c r="AL463" s="31"/>
      <c r="AM463" s="31"/>
      <c r="AN463" s="31"/>
      <c r="AO463" s="31"/>
      <c r="AP463" s="31"/>
      <c r="AQ463" s="31"/>
      <c r="AR463" s="31"/>
      <c r="AS463" s="31"/>
      <c r="AT463" s="31"/>
      <c r="AU463" s="31" t="n">
        <f aca="false">IF($G463="",AJ463,L463)</f>
        <v>0</v>
      </c>
      <c r="AV463" s="31" t="n">
        <f aca="false">IF($G463="",AK463,M463)</f>
        <v>0</v>
      </c>
      <c r="AW463" s="31" t="n">
        <f aca="false">IF($G463="",AL463,N463)</f>
        <v>0</v>
      </c>
      <c r="AX463" s="31" t="n">
        <f aca="false">IF($G463="",AM463,O463)</f>
        <v>0</v>
      </c>
      <c r="AY463" s="31" t="n">
        <f aca="false">IF($G463="",AN463,P463)</f>
        <v>0</v>
      </c>
      <c r="AZ463" s="31" t="n">
        <f aca="false">IF($G463="",AO463,Q463)</f>
        <v>0</v>
      </c>
      <c r="BA463" s="31" t="n">
        <f aca="false">IF($G463="",AP463,R463)</f>
        <v>0</v>
      </c>
      <c r="BB463" s="31" t="n">
        <f aca="false">IF($G463="",AQ463,S463)</f>
        <v>0</v>
      </c>
      <c r="BC463" s="31" t="n">
        <f aca="false">IF($G463="",AR463,T463)</f>
        <v>0</v>
      </c>
      <c r="BD463" s="31" t="n">
        <f aca="false">IF($G463="",AS463,U463)</f>
        <v>0</v>
      </c>
      <c r="BE463" s="31" t="n">
        <f aca="false">IF($G463="",AT463,V463)</f>
        <v>0</v>
      </c>
      <c r="BF463" s="31" t="n">
        <f aca="false">ROUNDDOWN(I463*設定!$B$10/1000,0)+ROUNDDOWN(I463*設定!$B$11/1000,0)</f>
        <v>0</v>
      </c>
      <c r="BG463" s="31" t="n">
        <f aca="false">ROUNDDOWN(I463*設定!$C$10/1000,0)+ROUNDDOWN(I463*設定!$C$11/1000,0)+ROUNDDOWN(I463*設定!$C$12/1000,0)</f>
        <v>0</v>
      </c>
      <c r="BH463" s="31" t="n">
        <f aca="false">ROUNDDOWN(J463*設定!$B$13/1000,0)</f>
        <v>0</v>
      </c>
      <c r="BI463" s="31" t="n">
        <f aca="false">ROUNDDOWN(J463*設定!$C$13/1000,0)</f>
        <v>0</v>
      </c>
      <c r="BJ463" s="31" t="n">
        <f aca="false">ROUNDDOWN(K463*設定!$B$14/1000,0)</f>
        <v>0</v>
      </c>
      <c r="BK463" s="31" t="n">
        <f aca="false">ROUNDDOWN(K463*設定!$C$14/1000,0)</f>
        <v>0</v>
      </c>
      <c r="BL463" s="31" t="n">
        <f aca="false">ROUNDDOWN(J463*設定!$B$15/1000,0)</f>
        <v>0</v>
      </c>
      <c r="BM463" s="31" t="n">
        <f aca="false">ROUNDDOWN(J463*設定!$C$15/1000,0)</f>
        <v>0</v>
      </c>
      <c r="BN463" s="31" t="n">
        <f aca="false">L463+M463</f>
        <v>0</v>
      </c>
      <c r="BO463" s="31" t="n">
        <f aca="false">N463+O463+P463</f>
        <v>0</v>
      </c>
      <c r="BP463" s="31" t="n">
        <f aca="false">Q463</f>
        <v>0</v>
      </c>
      <c r="BQ463" s="31" t="n">
        <f aca="false">R463</f>
        <v>0</v>
      </c>
      <c r="BR463" s="31" t="n">
        <f aca="false">S463</f>
        <v>0</v>
      </c>
      <c r="BS463" s="31" t="n">
        <f aca="false">T463</f>
        <v>0</v>
      </c>
      <c r="BT463" s="31" t="n">
        <f aca="false">U463</f>
        <v>0</v>
      </c>
      <c r="BU463" s="31" t="n">
        <f aca="false">V463</f>
        <v>0</v>
      </c>
      <c r="BV463" s="32" t="n">
        <f aca="false">IF(BF463=0,IF(BN463=0,0,1),(BN463-BF463)/BF463)</f>
        <v>0</v>
      </c>
      <c r="BW463" s="32" t="n">
        <f aca="false">IF(BG463=0,IF(BO463=0,0,1),(BO463-BG463)/BG463)</f>
        <v>0</v>
      </c>
      <c r="BX463" s="32" t="n">
        <f aca="false">IF(BH463=0,IF(BP463=0,0,1),(BP463-BH463)/BH463)</f>
        <v>0</v>
      </c>
      <c r="BY463" s="32" t="n">
        <f aca="false">IF(BI463=0,IF(BQ463=0,0,1),(BQ463-BI463)/BI463)</f>
        <v>0</v>
      </c>
      <c r="BZ463" s="32" t="n">
        <f aca="false">IF(BJ463=0,IF(BR463=0,0,1),(BR463-BJ463)/BJ463)</f>
        <v>0</v>
      </c>
      <c r="CA463" s="32" t="n">
        <f aca="false">IF(BK463=0,IF(BS463=0,0,1),(BS463-BK463)/BK463)</f>
        <v>0</v>
      </c>
      <c r="CB463" s="32" t="n">
        <f aca="false">IF(BL463=0,IF(BT463=0,0,1),(BT463-BL463)/BL463)</f>
        <v>0</v>
      </c>
      <c r="CC463" s="32" t="n">
        <f aca="false">IF(BM463=0,IF(BU463=0,0,1),(BU463-BM463)/BM463)</f>
        <v>0</v>
      </c>
      <c r="CD463" s="32" t="n">
        <f aca="false">MAX(MAX(BV463:CC463),-MIN(BV463:CC463))</f>
        <v>-0</v>
      </c>
      <c r="CE463" s="31" t="str">
        <f aca="false">IF(CI463="","",SUMIFS($CF$7:$CF$696,$A$7:$A$696,CI463,$B$7:$B$696,B463))</f>
        <v/>
      </c>
      <c r="CF463" s="31" t="n">
        <f aca="false">SUM(AU463:BE463)</f>
        <v>0</v>
      </c>
      <c r="CG463" s="33" t="str">
        <f aca="false">A463&amp;"|"&amp;B463</f>
        <v>2026-12 賞与|自治労労働組合</v>
      </c>
      <c r="CH463" s="34" t="str">
        <f aca="false">IFERROR(INDEX(設定!$D$61:$D$106,MATCH(B463,設定!$B$61:$B$106,0)),"Y")</f>
        <v>Y</v>
      </c>
      <c r="CI463" s="34" t="str">
        <f aca="false">IFERROR(INDEX(設定!$D$20:$D$34,MATCH(A463,設定!$A$20:$A$34,0))&amp;"","")</f>
        <v/>
      </c>
    </row>
    <row r="464" customFormat="false" ht="15" hidden="true" customHeight="false" outlineLevel="0" collapsed="false">
      <c r="A464" s="22" t="s">
        <v>217</v>
      </c>
      <c r="B464" s="23" t="s">
        <v>204</v>
      </c>
      <c r="C464" s="10" t="str">
        <f aca="false">IF(G464="","未受領",IF(G464="なし","報告なし",IF(AH464="○","起票済",IF(OR(AG464="○",F464="一致",F464="入金不要"),"入金確認済","受領済"))))</f>
        <v>未受領</v>
      </c>
      <c r="D464" s="10" t="str">
        <f aca="false">IF(OR(G464="",G464="なし"),"―",IF(CH464="N","対象外",IF(AND(I464="",J464="",K464=""),"標報未入力",IF(CD464&gt;=設定!$B$4,"要確認","問題なし"))))</f>
        <v>―</v>
      </c>
      <c r="E464" s="24" t="str">
        <f aca="false">IF(OR(G464="",G464="なし",CE464="",CF464=0),"―",IF(CF464=CE464,"前月同額",IF(CE464=0,"―",IF(ABS(CF464/CE464-1)&gt;=設定!$B$5,"変動大 "&amp;TEXT(CF464/CE464-1,"+0%;-0%"),"〇"))))</f>
        <v>―</v>
      </c>
      <c r="F464" s="10" t="str">
        <f aca="false">IF(OR(G464="",G464="なし"),"―",IF(CF464=0,"入金不要",IF(COUNT(Z464,AB464,AD464,AF464)=0,IF(AG464="○","手動確認","未入金"),IF(AND(N(Z464)=Y464,IF(AA464="",TRUE(),N(AB464)=AA464),IF(AC464="",TRUE(),N(AD464)=AC464),IF(AE464="",TRUE(),N(AF464)=AE464)),"一致","不一致"))))</f>
        <v>―</v>
      </c>
      <c r="G464" s="25"/>
      <c r="H464" s="26"/>
      <c r="I464" s="27"/>
      <c r="J464" s="27"/>
      <c r="K464" s="27"/>
      <c r="L464" s="27"/>
      <c r="M464" s="27"/>
      <c r="N464" s="27"/>
      <c r="O464" s="27"/>
      <c r="P464" s="27"/>
      <c r="Q464" s="27"/>
      <c r="R464" s="27"/>
      <c r="S464" s="27"/>
      <c r="T464" s="27"/>
      <c r="U464" s="27"/>
      <c r="V464" s="27"/>
      <c r="W464" s="10" t="str">
        <f aca="false">IFERROR(INDEX(設定!$E$61:$E$106,MATCH(B464,設定!$B$61:$B$106,0)),"合算")</f>
        <v>合算</v>
      </c>
      <c r="X464" s="28"/>
      <c r="Y464" s="29" t="str">
        <f aca="false">IF(OR(G464="",G464="なし"),"",IF(W464="合算",CF464,IF(W464="掛金・負担金別",(AU464+AV464+AZ464+BB464+BD464),SUM(AU464:AY464))))</f>
        <v/>
      </c>
      <c r="Z464" s="27"/>
      <c r="AA464" s="29" t="str">
        <f aca="false">IF(OR(G464="",G464="なし"),"",IF(W464="掛金・負担金別",(AW464+AX464+AY464+BA464+BC464+BE464),IF(W464="経理区分別",AZ464+BA464,"")))</f>
        <v/>
      </c>
      <c r="AB464" s="27"/>
      <c r="AC464" s="29" t="str">
        <f aca="false">IF(OR(G464="",G464="なし"),"",IF(W464="経理区分別",BB464+BC464,""))</f>
        <v/>
      </c>
      <c r="AD464" s="27"/>
      <c r="AE464" s="29" t="str">
        <f aca="false">IF(OR(G464="",G464="なし"),"",IF(W464="経理区分別",BD464+BE464,""))</f>
        <v/>
      </c>
      <c r="AF464" s="27"/>
      <c r="AG464" s="26"/>
      <c r="AH464" s="26"/>
      <c r="AI464" s="30"/>
      <c r="AJ464" s="31" t="n">
        <v>43005</v>
      </c>
      <c r="AK464" s="31" t="n">
        <v>3525</v>
      </c>
      <c r="AL464" s="31" t="n">
        <v>43005</v>
      </c>
      <c r="AM464" s="31" t="n">
        <v>3525</v>
      </c>
      <c r="AN464" s="31"/>
      <c r="AO464" s="31" t="n">
        <v>39936</v>
      </c>
      <c r="AP464" s="31" t="n">
        <v>40009</v>
      </c>
      <c r="AQ464" s="31" t="n">
        <v>2022</v>
      </c>
      <c r="AR464" s="31" t="n">
        <v>2022</v>
      </c>
      <c r="AS464" s="31" t="n">
        <v>1</v>
      </c>
      <c r="AT464" s="31" t="n">
        <v>1</v>
      </c>
      <c r="AU464" s="31" t="n">
        <f aca="false">IF($G464="",AJ464,L464)</f>
        <v>43005</v>
      </c>
      <c r="AV464" s="31" t="n">
        <f aca="false">IF($G464="",AK464,M464)</f>
        <v>3525</v>
      </c>
      <c r="AW464" s="31" t="n">
        <f aca="false">IF($G464="",AL464,N464)</f>
        <v>43005</v>
      </c>
      <c r="AX464" s="31" t="n">
        <f aca="false">IF($G464="",AM464,O464)</f>
        <v>3525</v>
      </c>
      <c r="AY464" s="31" t="n">
        <f aca="false">IF($G464="",AN464,P464)</f>
        <v>0</v>
      </c>
      <c r="AZ464" s="31" t="n">
        <f aca="false">IF($G464="",AO464,Q464)</f>
        <v>39936</v>
      </c>
      <c r="BA464" s="31" t="n">
        <f aca="false">IF($G464="",AP464,R464)</f>
        <v>40009</v>
      </c>
      <c r="BB464" s="31" t="n">
        <f aca="false">IF($G464="",AQ464,S464)</f>
        <v>2022</v>
      </c>
      <c r="BC464" s="31" t="n">
        <f aca="false">IF($G464="",AR464,T464)</f>
        <v>2022</v>
      </c>
      <c r="BD464" s="31" t="n">
        <f aca="false">IF($G464="",AS464,U464)</f>
        <v>1</v>
      </c>
      <c r="BE464" s="31" t="n">
        <f aca="false">IF($G464="",AT464,V464)</f>
        <v>1</v>
      </c>
      <c r="BF464" s="31" t="n">
        <f aca="false">ROUNDDOWN(I464*設定!$B$10/1000,0)+ROUNDDOWN(I464*設定!$B$11/1000,0)</f>
        <v>0</v>
      </c>
      <c r="BG464" s="31" t="n">
        <f aca="false">ROUNDDOWN(I464*設定!$C$10/1000,0)+ROUNDDOWN(I464*設定!$C$11/1000,0)+ROUNDDOWN(I464*設定!$C$12/1000,0)</f>
        <v>0</v>
      </c>
      <c r="BH464" s="31" t="n">
        <f aca="false">ROUNDDOWN(J464*設定!$B$13/1000,0)</f>
        <v>0</v>
      </c>
      <c r="BI464" s="31" t="n">
        <f aca="false">ROUNDDOWN(J464*設定!$C$13/1000,0)</f>
        <v>0</v>
      </c>
      <c r="BJ464" s="31" t="n">
        <f aca="false">ROUNDDOWN(K464*設定!$B$14/1000,0)</f>
        <v>0</v>
      </c>
      <c r="BK464" s="31" t="n">
        <f aca="false">ROUNDDOWN(K464*設定!$C$14/1000,0)</f>
        <v>0</v>
      </c>
      <c r="BL464" s="31" t="n">
        <f aca="false">ROUNDDOWN(J464*設定!$B$15/1000,0)</f>
        <v>0</v>
      </c>
      <c r="BM464" s="31" t="n">
        <f aca="false">ROUNDDOWN(J464*設定!$C$15/1000,0)</f>
        <v>0</v>
      </c>
      <c r="BN464" s="31" t="n">
        <f aca="false">L464+M464</f>
        <v>0</v>
      </c>
      <c r="BO464" s="31" t="n">
        <f aca="false">N464+O464+P464</f>
        <v>0</v>
      </c>
      <c r="BP464" s="31" t="n">
        <f aca="false">Q464</f>
        <v>0</v>
      </c>
      <c r="BQ464" s="31" t="n">
        <f aca="false">R464</f>
        <v>0</v>
      </c>
      <c r="BR464" s="31" t="n">
        <f aca="false">S464</f>
        <v>0</v>
      </c>
      <c r="BS464" s="31" t="n">
        <f aca="false">T464</f>
        <v>0</v>
      </c>
      <c r="BT464" s="31" t="n">
        <f aca="false">U464</f>
        <v>0</v>
      </c>
      <c r="BU464" s="31" t="n">
        <f aca="false">V464</f>
        <v>0</v>
      </c>
      <c r="BV464" s="32" t="n">
        <f aca="false">IF(BF464=0,IF(BN464=0,0,1),(BN464-BF464)/BF464)</f>
        <v>0</v>
      </c>
      <c r="BW464" s="32" t="n">
        <f aca="false">IF(BG464=0,IF(BO464=0,0,1),(BO464-BG464)/BG464)</f>
        <v>0</v>
      </c>
      <c r="BX464" s="32" t="n">
        <f aca="false">IF(BH464=0,IF(BP464=0,0,1),(BP464-BH464)/BH464)</f>
        <v>0</v>
      </c>
      <c r="BY464" s="32" t="n">
        <f aca="false">IF(BI464=0,IF(BQ464=0,0,1),(BQ464-BI464)/BI464)</f>
        <v>0</v>
      </c>
      <c r="BZ464" s="32" t="n">
        <f aca="false">IF(BJ464=0,IF(BR464=0,0,1),(BR464-BJ464)/BJ464)</f>
        <v>0</v>
      </c>
      <c r="CA464" s="32" t="n">
        <f aca="false">IF(BK464=0,IF(BS464=0,0,1),(BS464-BK464)/BK464)</f>
        <v>0</v>
      </c>
      <c r="CB464" s="32" t="n">
        <f aca="false">IF(BL464=0,IF(BT464=0,0,1),(BT464-BL464)/BL464)</f>
        <v>0</v>
      </c>
      <c r="CC464" s="32" t="n">
        <f aca="false">IF(BM464=0,IF(BU464=0,0,1),(BU464-BM464)/BM464)</f>
        <v>0</v>
      </c>
      <c r="CD464" s="32" t="n">
        <f aca="false">MAX(MAX(BV464:CC464),-MIN(BV464:CC464))</f>
        <v>-0</v>
      </c>
      <c r="CE464" s="31" t="str">
        <f aca="false">IF(CI464="","",SUMIFS($CF$7:$CF$696,$A$7:$A$696,CI464,$B$7:$B$696,B464))</f>
        <v/>
      </c>
      <c r="CF464" s="31" t="n">
        <f aca="false">SUM(AU464:BE464)</f>
        <v>177051</v>
      </c>
      <c r="CG464" s="33" t="str">
        <f aca="false">A464&amp;"|"&amp;B464</f>
        <v>2026-12 賞与|病院労働組合</v>
      </c>
      <c r="CH464" s="34" t="str">
        <f aca="false">IFERROR(INDEX(設定!$D$61:$D$106,MATCH(B464,設定!$B$61:$B$106,0)),"Y")</f>
        <v>Y</v>
      </c>
      <c r="CI464" s="34" t="str">
        <f aca="false">IFERROR(INDEX(設定!$D$20:$D$34,MATCH(A464,設定!$A$20:$A$34,0))&amp;"","")</f>
        <v/>
      </c>
    </row>
    <row r="465" customFormat="false" ht="15" hidden="true" customHeight="false" outlineLevel="0" collapsed="false">
      <c r="A465" s="22" t="s">
        <v>217</v>
      </c>
      <c r="B465" s="23" t="s">
        <v>205</v>
      </c>
      <c r="C465" s="10" t="str">
        <f aca="false">IF(G465="","未受領",IF(G465="なし","報告なし",IF(AH465="○","起票済",IF(OR(AG465="○",F465="一致",F465="入金不要"),"入金確認済","受領済"))))</f>
        <v>報告なし</v>
      </c>
      <c r="D465" s="10" t="str">
        <f aca="false">IF(OR(G465="",G465="なし"),"―",IF(CH465="N","対象外",IF(AND(I465="",J465="",K465=""),"標報未入力",IF(CD465&gt;=設定!$B$4,"要確認","問題なし"))))</f>
        <v>―</v>
      </c>
      <c r="E465" s="24" t="str">
        <f aca="false">IF(OR(G465="",G465="なし",CE465="",CF465=0),"―",IF(CF465=CE465,"前月同額",IF(CE465=0,"―",IF(ABS(CF465/CE465-1)&gt;=設定!$B$5,"変動大 "&amp;TEXT(CF465/CE465-1,"+0%;-0%"),"〇"))))</f>
        <v>―</v>
      </c>
      <c r="F465" s="10" t="str">
        <f aca="false">IF(OR(G465="",G465="なし"),"―",IF(CF465=0,"入金不要",IF(COUNT(Z465,AB465,AD465,AF465)=0,IF(AG465="○","手動確認","未入金"),IF(AND(N(Z465)=Y465,IF(AA465="",TRUE(),N(AB465)=AA465),IF(AC465="",TRUE(),N(AD465)=AC465),IF(AE465="",TRUE(),N(AF465)=AE465)),"一致","不一致"))))</f>
        <v>―</v>
      </c>
      <c r="G465" s="25" t="s">
        <v>173</v>
      </c>
      <c r="H465" s="26"/>
      <c r="I465" s="27"/>
      <c r="J465" s="27"/>
      <c r="K465" s="27"/>
      <c r="L465" s="27"/>
      <c r="M465" s="27"/>
      <c r="N465" s="27"/>
      <c r="O465" s="27"/>
      <c r="P465" s="27"/>
      <c r="Q465" s="27"/>
      <c r="R465" s="27"/>
      <c r="S465" s="27"/>
      <c r="T465" s="27"/>
      <c r="U465" s="27"/>
      <c r="V465" s="27"/>
      <c r="W465" s="10" t="str">
        <f aca="false">IFERROR(INDEX(設定!$E$61:$E$106,MATCH(B465,設定!$B$61:$B$106,0)),"合算")</f>
        <v>合算</v>
      </c>
      <c r="X465" s="28"/>
      <c r="Y465" s="29" t="str">
        <f aca="false">IF(OR(G465="",G465="なし"),"",IF(W465="合算",CF465,IF(W465="掛金・負担金別",(AU465+AV465+AZ465+BB465+BD465),SUM(AU465:AY465))))</f>
        <v/>
      </c>
      <c r="Z465" s="27"/>
      <c r="AA465" s="29" t="str">
        <f aca="false">IF(OR(G465="",G465="なし"),"",IF(W465="掛金・負担金別",(AW465+AX465+AY465+BA465+BC465+BE465),IF(W465="経理区分別",AZ465+BA465,"")))</f>
        <v/>
      </c>
      <c r="AB465" s="27"/>
      <c r="AC465" s="29" t="str">
        <f aca="false">IF(OR(G465="",G465="なし"),"",IF(W465="経理区分別",BB465+BC465,""))</f>
        <v/>
      </c>
      <c r="AD465" s="27"/>
      <c r="AE465" s="29" t="str">
        <f aca="false">IF(OR(G465="",G465="なし"),"",IF(W465="経理区分別",BD465+BE465,""))</f>
        <v/>
      </c>
      <c r="AF465" s="27"/>
      <c r="AG465" s="26"/>
      <c r="AH465" s="26"/>
      <c r="AI465" s="30"/>
      <c r="AJ465" s="31"/>
      <c r="AK465" s="31"/>
      <c r="AL465" s="31"/>
      <c r="AM465" s="31"/>
      <c r="AN465" s="31"/>
      <c r="AO465" s="31"/>
      <c r="AP465" s="31"/>
      <c r="AQ465" s="31"/>
      <c r="AR465" s="31"/>
      <c r="AS465" s="31"/>
      <c r="AT465" s="31"/>
      <c r="AU465" s="31" t="n">
        <f aca="false">IF($G465="",AJ465,L465)</f>
        <v>0</v>
      </c>
      <c r="AV465" s="31" t="n">
        <f aca="false">IF($G465="",AK465,M465)</f>
        <v>0</v>
      </c>
      <c r="AW465" s="31" t="n">
        <f aca="false">IF($G465="",AL465,N465)</f>
        <v>0</v>
      </c>
      <c r="AX465" s="31" t="n">
        <f aca="false">IF($G465="",AM465,O465)</f>
        <v>0</v>
      </c>
      <c r="AY465" s="31" t="n">
        <f aca="false">IF($G465="",AN465,P465)</f>
        <v>0</v>
      </c>
      <c r="AZ465" s="31" t="n">
        <f aca="false">IF($G465="",AO465,Q465)</f>
        <v>0</v>
      </c>
      <c r="BA465" s="31" t="n">
        <f aca="false">IF($G465="",AP465,R465)</f>
        <v>0</v>
      </c>
      <c r="BB465" s="31" t="n">
        <f aca="false">IF($G465="",AQ465,S465)</f>
        <v>0</v>
      </c>
      <c r="BC465" s="31" t="n">
        <f aca="false">IF($G465="",AR465,T465)</f>
        <v>0</v>
      </c>
      <c r="BD465" s="31" t="n">
        <f aca="false">IF($G465="",AS465,U465)</f>
        <v>0</v>
      </c>
      <c r="BE465" s="31" t="n">
        <f aca="false">IF($G465="",AT465,V465)</f>
        <v>0</v>
      </c>
      <c r="BF465" s="31" t="n">
        <f aca="false">ROUNDDOWN(I465*設定!$B$10/1000,0)+ROUNDDOWN(I465*設定!$B$11/1000,0)</f>
        <v>0</v>
      </c>
      <c r="BG465" s="31" t="n">
        <f aca="false">ROUNDDOWN(I465*設定!$C$10/1000,0)+ROUNDDOWN(I465*設定!$C$11/1000,0)+ROUNDDOWN(I465*設定!$C$12/1000,0)</f>
        <v>0</v>
      </c>
      <c r="BH465" s="31" t="n">
        <f aca="false">ROUNDDOWN(J465*設定!$B$13/1000,0)</f>
        <v>0</v>
      </c>
      <c r="BI465" s="31" t="n">
        <f aca="false">ROUNDDOWN(J465*設定!$C$13/1000,0)</f>
        <v>0</v>
      </c>
      <c r="BJ465" s="31" t="n">
        <f aca="false">ROUNDDOWN(K465*設定!$B$14/1000,0)</f>
        <v>0</v>
      </c>
      <c r="BK465" s="31" t="n">
        <f aca="false">ROUNDDOWN(K465*設定!$C$14/1000,0)</f>
        <v>0</v>
      </c>
      <c r="BL465" s="31" t="n">
        <f aca="false">ROUNDDOWN(J465*設定!$B$15/1000,0)</f>
        <v>0</v>
      </c>
      <c r="BM465" s="31" t="n">
        <f aca="false">ROUNDDOWN(J465*設定!$C$15/1000,0)</f>
        <v>0</v>
      </c>
      <c r="BN465" s="31" t="n">
        <f aca="false">L465+M465</f>
        <v>0</v>
      </c>
      <c r="BO465" s="31" t="n">
        <f aca="false">N465+O465+P465</f>
        <v>0</v>
      </c>
      <c r="BP465" s="31" t="n">
        <f aca="false">Q465</f>
        <v>0</v>
      </c>
      <c r="BQ465" s="31" t="n">
        <f aca="false">R465</f>
        <v>0</v>
      </c>
      <c r="BR465" s="31" t="n">
        <f aca="false">S465</f>
        <v>0</v>
      </c>
      <c r="BS465" s="31" t="n">
        <f aca="false">T465</f>
        <v>0</v>
      </c>
      <c r="BT465" s="31" t="n">
        <f aca="false">U465</f>
        <v>0</v>
      </c>
      <c r="BU465" s="31" t="n">
        <f aca="false">V465</f>
        <v>0</v>
      </c>
      <c r="BV465" s="32" t="n">
        <f aca="false">IF(BF465=0,IF(BN465=0,0,1),(BN465-BF465)/BF465)</f>
        <v>0</v>
      </c>
      <c r="BW465" s="32" t="n">
        <f aca="false">IF(BG465=0,IF(BO465=0,0,1),(BO465-BG465)/BG465)</f>
        <v>0</v>
      </c>
      <c r="BX465" s="32" t="n">
        <f aca="false">IF(BH465=0,IF(BP465=0,0,1),(BP465-BH465)/BH465)</f>
        <v>0</v>
      </c>
      <c r="BY465" s="32" t="n">
        <f aca="false">IF(BI465=0,IF(BQ465=0,0,1),(BQ465-BI465)/BI465)</f>
        <v>0</v>
      </c>
      <c r="BZ465" s="32" t="n">
        <f aca="false">IF(BJ465=0,IF(BR465=0,0,1),(BR465-BJ465)/BJ465)</f>
        <v>0</v>
      </c>
      <c r="CA465" s="32" t="n">
        <f aca="false">IF(BK465=0,IF(BS465=0,0,1),(BS465-BK465)/BK465)</f>
        <v>0</v>
      </c>
      <c r="CB465" s="32" t="n">
        <f aca="false">IF(BL465=0,IF(BT465=0,0,1),(BT465-BL465)/BL465)</f>
        <v>0</v>
      </c>
      <c r="CC465" s="32" t="n">
        <f aca="false">IF(BM465=0,IF(BU465=0,0,1),(BU465-BM465)/BM465)</f>
        <v>0</v>
      </c>
      <c r="CD465" s="32" t="n">
        <f aca="false">MAX(MAX(BV465:CC465),-MIN(BV465:CC465))</f>
        <v>-0</v>
      </c>
      <c r="CE465" s="31" t="str">
        <f aca="false">IF(CI465="","",SUMIFS($CF$7:$CF$696,$A$7:$A$696,CI465,$B$7:$B$696,B465))</f>
        <v/>
      </c>
      <c r="CF465" s="31" t="n">
        <f aca="false">SUM(AU465:BE465)</f>
        <v>0</v>
      </c>
      <c r="CG465" s="33" t="str">
        <f aca="false">A465&amp;"|"&amp;B465</f>
        <v>2026-12 賞与|水道労働組合</v>
      </c>
      <c r="CH465" s="34" t="str">
        <f aca="false">IFERROR(INDEX(設定!$D$61:$D$106,MATCH(B465,設定!$B$61:$B$106,0)),"Y")</f>
        <v>Y</v>
      </c>
      <c r="CI465" s="34" t="str">
        <f aca="false">IFERROR(INDEX(設定!$D$20:$D$34,MATCH(A465,設定!$A$20:$A$34,0))&amp;"","")</f>
        <v/>
      </c>
    </row>
    <row r="466" customFormat="false" ht="15" hidden="true" customHeight="false" outlineLevel="0" collapsed="false">
      <c r="A466" s="22" t="s">
        <v>217</v>
      </c>
      <c r="B466" s="23" t="s">
        <v>206</v>
      </c>
      <c r="C466" s="10" t="str">
        <f aca="false">IF(G466="","未受領",IF(G466="なし","報告なし",IF(AH466="○","起票済",IF(OR(AG466="○",F466="一致",F466="入金不要"),"入金確認済","受領済"))))</f>
        <v>報告なし</v>
      </c>
      <c r="D466" s="10" t="str">
        <f aca="false">IF(OR(G466="",G466="なし"),"―",IF(CH466="N","対象外",IF(AND(I466="",J466="",K466=""),"標報未入力",IF(CD466&gt;=設定!$B$4,"要確認","問題なし"))))</f>
        <v>―</v>
      </c>
      <c r="E466" s="24" t="str">
        <f aca="false">IF(OR(G466="",G466="なし",CE466="",CF466=0),"―",IF(CF466=CE466,"前月同額",IF(CE466=0,"―",IF(ABS(CF466/CE466-1)&gt;=設定!$B$5,"変動大 "&amp;TEXT(CF466/CE466-1,"+0%;-0%"),"〇"))))</f>
        <v>―</v>
      </c>
      <c r="F466" s="10" t="str">
        <f aca="false">IF(OR(G466="",G466="なし"),"―",IF(CF466=0,"入金不要",IF(COUNT(Z466,AB466,AD466,AF466)=0,IF(AG466="○","手動確認","未入金"),IF(AND(N(Z466)=Y466,IF(AA466="",TRUE(),N(AB466)=AA466),IF(AC466="",TRUE(),N(AD466)=AC466),IF(AE466="",TRUE(),N(AF466)=AE466)),"一致","不一致"))))</f>
        <v>―</v>
      </c>
      <c r="G466" s="25" t="s">
        <v>173</v>
      </c>
      <c r="H466" s="26"/>
      <c r="I466" s="27"/>
      <c r="J466" s="27"/>
      <c r="K466" s="27"/>
      <c r="L466" s="27"/>
      <c r="M466" s="27"/>
      <c r="N466" s="27"/>
      <c r="O466" s="27"/>
      <c r="P466" s="27"/>
      <c r="Q466" s="27"/>
      <c r="R466" s="27"/>
      <c r="S466" s="27"/>
      <c r="T466" s="27"/>
      <c r="U466" s="27"/>
      <c r="V466" s="27"/>
      <c r="W466" s="10" t="str">
        <f aca="false">IFERROR(INDEX(設定!$E$61:$E$106,MATCH(B466,設定!$B$61:$B$106,0)),"合算")</f>
        <v>合算</v>
      </c>
      <c r="X466" s="28"/>
      <c r="Y466" s="29" t="str">
        <f aca="false">IF(OR(G466="",G466="なし"),"",IF(W466="合算",CF466,IF(W466="掛金・負担金別",(AU466+AV466+AZ466+BB466+BD466),SUM(AU466:AY466))))</f>
        <v/>
      </c>
      <c r="Z466" s="27"/>
      <c r="AA466" s="29" t="str">
        <f aca="false">IF(OR(G466="",G466="なし"),"",IF(W466="掛金・負担金別",(AW466+AX466+AY466+BA466+BC466+BE466),IF(W466="経理区分別",AZ466+BA466,"")))</f>
        <v/>
      </c>
      <c r="AB466" s="27"/>
      <c r="AC466" s="29" t="str">
        <f aca="false">IF(OR(G466="",G466="なし"),"",IF(W466="経理区分別",BB466+BC466,""))</f>
        <v/>
      </c>
      <c r="AD466" s="27"/>
      <c r="AE466" s="29" t="str">
        <f aca="false">IF(OR(G466="",G466="なし"),"",IF(W466="経理区分別",BD466+BE466,""))</f>
        <v/>
      </c>
      <c r="AF466" s="27"/>
      <c r="AG466" s="26"/>
      <c r="AH466" s="26"/>
      <c r="AI466" s="30"/>
      <c r="AJ466" s="31"/>
      <c r="AK466" s="31"/>
      <c r="AL466" s="31"/>
      <c r="AM466" s="31"/>
      <c r="AN466" s="31"/>
      <c r="AO466" s="31"/>
      <c r="AP466" s="31"/>
      <c r="AQ466" s="31"/>
      <c r="AR466" s="31"/>
      <c r="AS466" s="31"/>
      <c r="AT466" s="31"/>
      <c r="AU466" s="31" t="n">
        <f aca="false">IF($G466="",AJ466,L466)</f>
        <v>0</v>
      </c>
      <c r="AV466" s="31" t="n">
        <f aca="false">IF($G466="",AK466,M466)</f>
        <v>0</v>
      </c>
      <c r="AW466" s="31" t="n">
        <f aca="false">IF($G466="",AL466,N466)</f>
        <v>0</v>
      </c>
      <c r="AX466" s="31" t="n">
        <f aca="false">IF($G466="",AM466,O466)</f>
        <v>0</v>
      </c>
      <c r="AY466" s="31" t="n">
        <f aca="false">IF($G466="",AN466,P466)</f>
        <v>0</v>
      </c>
      <c r="AZ466" s="31" t="n">
        <f aca="false">IF($G466="",AO466,Q466)</f>
        <v>0</v>
      </c>
      <c r="BA466" s="31" t="n">
        <f aca="false">IF($G466="",AP466,R466)</f>
        <v>0</v>
      </c>
      <c r="BB466" s="31" t="n">
        <f aca="false">IF($G466="",AQ466,S466)</f>
        <v>0</v>
      </c>
      <c r="BC466" s="31" t="n">
        <f aca="false">IF($G466="",AR466,T466)</f>
        <v>0</v>
      </c>
      <c r="BD466" s="31" t="n">
        <f aca="false">IF($G466="",AS466,U466)</f>
        <v>0</v>
      </c>
      <c r="BE466" s="31" t="n">
        <f aca="false">IF($G466="",AT466,V466)</f>
        <v>0</v>
      </c>
      <c r="BF466" s="31" t="n">
        <f aca="false">ROUNDDOWN(I466*設定!$B$10/1000,0)+ROUNDDOWN(I466*設定!$B$11/1000,0)</f>
        <v>0</v>
      </c>
      <c r="BG466" s="31" t="n">
        <f aca="false">ROUNDDOWN(I466*設定!$C$10/1000,0)+ROUNDDOWN(I466*設定!$C$11/1000,0)+ROUNDDOWN(I466*設定!$C$12/1000,0)</f>
        <v>0</v>
      </c>
      <c r="BH466" s="31" t="n">
        <f aca="false">ROUNDDOWN(J466*設定!$B$13/1000,0)</f>
        <v>0</v>
      </c>
      <c r="BI466" s="31" t="n">
        <f aca="false">ROUNDDOWN(J466*設定!$C$13/1000,0)</f>
        <v>0</v>
      </c>
      <c r="BJ466" s="31" t="n">
        <f aca="false">ROUNDDOWN(K466*設定!$B$14/1000,0)</f>
        <v>0</v>
      </c>
      <c r="BK466" s="31" t="n">
        <f aca="false">ROUNDDOWN(K466*設定!$C$14/1000,0)</f>
        <v>0</v>
      </c>
      <c r="BL466" s="31" t="n">
        <f aca="false">ROUNDDOWN(J466*設定!$B$15/1000,0)</f>
        <v>0</v>
      </c>
      <c r="BM466" s="31" t="n">
        <f aca="false">ROUNDDOWN(J466*設定!$C$15/1000,0)</f>
        <v>0</v>
      </c>
      <c r="BN466" s="31" t="n">
        <f aca="false">L466+M466</f>
        <v>0</v>
      </c>
      <c r="BO466" s="31" t="n">
        <f aca="false">N466+O466+P466</f>
        <v>0</v>
      </c>
      <c r="BP466" s="31" t="n">
        <f aca="false">Q466</f>
        <v>0</v>
      </c>
      <c r="BQ466" s="31" t="n">
        <f aca="false">R466</f>
        <v>0</v>
      </c>
      <c r="BR466" s="31" t="n">
        <f aca="false">S466</f>
        <v>0</v>
      </c>
      <c r="BS466" s="31" t="n">
        <f aca="false">T466</f>
        <v>0</v>
      </c>
      <c r="BT466" s="31" t="n">
        <f aca="false">U466</f>
        <v>0</v>
      </c>
      <c r="BU466" s="31" t="n">
        <f aca="false">V466</f>
        <v>0</v>
      </c>
      <c r="BV466" s="32" t="n">
        <f aca="false">IF(BF466=0,IF(BN466=0,0,1),(BN466-BF466)/BF466)</f>
        <v>0</v>
      </c>
      <c r="BW466" s="32" t="n">
        <f aca="false">IF(BG466=0,IF(BO466=0,0,1),(BO466-BG466)/BG466)</f>
        <v>0</v>
      </c>
      <c r="BX466" s="32" t="n">
        <f aca="false">IF(BH466=0,IF(BP466=0,0,1),(BP466-BH466)/BH466)</f>
        <v>0</v>
      </c>
      <c r="BY466" s="32" t="n">
        <f aca="false">IF(BI466=0,IF(BQ466=0,0,1),(BQ466-BI466)/BI466)</f>
        <v>0</v>
      </c>
      <c r="BZ466" s="32" t="n">
        <f aca="false">IF(BJ466=0,IF(BR466=0,0,1),(BR466-BJ466)/BJ466)</f>
        <v>0</v>
      </c>
      <c r="CA466" s="32" t="n">
        <f aca="false">IF(BK466=0,IF(BS466=0,0,1),(BS466-BK466)/BK466)</f>
        <v>0</v>
      </c>
      <c r="CB466" s="32" t="n">
        <f aca="false">IF(BL466=0,IF(BT466=0,0,1),(BT466-BL466)/BL466)</f>
        <v>0</v>
      </c>
      <c r="CC466" s="32" t="n">
        <f aca="false">IF(BM466=0,IF(BU466=0,0,1),(BU466-BM466)/BM466)</f>
        <v>0</v>
      </c>
      <c r="CD466" s="32" t="n">
        <f aca="false">MAX(MAX(BV466:CC466),-MIN(BV466:CC466))</f>
        <v>-0</v>
      </c>
      <c r="CE466" s="31" t="str">
        <f aca="false">IF(CI466="","",SUMIFS($CF$7:$CF$696,$A$7:$A$696,CI466,$B$7:$B$696,B466))</f>
        <v/>
      </c>
      <c r="CF466" s="31" t="n">
        <f aca="false">SUM(AU466:BE466)</f>
        <v>0</v>
      </c>
      <c r="CG466" s="33" t="str">
        <f aca="false">A466&amp;"|"&amp;B466</f>
        <v>2026-12 賞与|任意継続組合員</v>
      </c>
      <c r="CH466" s="34" t="str">
        <f aca="false">IFERROR(INDEX(設定!$D$61:$D$106,MATCH(B466,設定!$B$61:$B$106,0)),"Y")</f>
        <v>N</v>
      </c>
      <c r="CI466" s="34" t="str">
        <f aca="false">IFERROR(INDEX(設定!$D$20:$D$34,MATCH(A466,設定!$A$20:$A$34,0))&amp;"","")</f>
        <v/>
      </c>
    </row>
    <row r="467" customFormat="false" ht="15" hidden="true" customHeight="false" outlineLevel="0" collapsed="false">
      <c r="A467" s="22" t="s">
        <v>218</v>
      </c>
      <c r="B467" s="23" t="s">
        <v>158</v>
      </c>
      <c r="C467" s="10" t="str">
        <f aca="false">IF(G467="","未受領",IF(G467="なし","報告なし",IF(AH467="○","起票済",IF(OR(AG467="○",F467="一致",F467="入金不要"),"入金確認済","受領済"))))</f>
        <v>未受領</v>
      </c>
      <c r="D467" s="10" t="str">
        <f aca="false">IF(OR(G467="",G467="なし"),"―",IF(CH467="N","対象外",IF(AND(I467="",J467="",K467=""),"標報未入力",IF(CD467&gt;=設定!$B$4,"要確認","問題なし"))))</f>
        <v>―</v>
      </c>
      <c r="E467" s="24" t="str">
        <f aca="false">IF(OR(G467="",G467="なし",CE467="",CF467=0),"―",IF(CF467=CE467,"前月同額",IF(CE467=0,"―",IF(ABS(CF467/CE467-1)&gt;=設定!$B$5,"変動大 "&amp;TEXT(CF467/CE467-1,"+0%;-0%"),"〇"))))</f>
        <v>―</v>
      </c>
      <c r="F467" s="10" t="str">
        <f aca="false">IF(OR(G467="",G467="なし"),"―",IF(CF467=0,"入金不要",IF(COUNT(Z467,AB467,AD467,AF467)=0,IF(AG467="○","手動確認","未入金"),IF(AND(N(Z467)=Y467,IF(AA467="",TRUE(),N(AB467)=AA467),IF(AC467="",TRUE(),N(AD467)=AC467),IF(AE467="",TRUE(),N(AF467)=AE467)),"一致","不一致"))))</f>
        <v>―</v>
      </c>
      <c r="G467" s="25"/>
      <c r="H467" s="26"/>
      <c r="I467" s="27"/>
      <c r="J467" s="27"/>
      <c r="K467" s="27"/>
      <c r="L467" s="27"/>
      <c r="M467" s="27"/>
      <c r="N467" s="27"/>
      <c r="O467" s="27"/>
      <c r="P467" s="27"/>
      <c r="Q467" s="27"/>
      <c r="R467" s="27"/>
      <c r="S467" s="27"/>
      <c r="T467" s="27"/>
      <c r="U467" s="27"/>
      <c r="V467" s="27"/>
      <c r="W467" s="10" t="str">
        <f aca="false">IFERROR(INDEX(設定!$E$61:$E$106,MATCH(B467,設定!$B$61:$B$106,0)),"合算")</f>
        <v>合算</v>
      </c>
      <c r="X467" s="28"/>
      <c r="Y467" s="29" t="str">
        <f aca="false">IF(OR(G467="",G467="なし"),"",IF(W467="合算",CF467,IF(W467="掛金・負担金別",(AU467+AV467+AZ467+BB467+BD467),SUM(AU467:AY467))))</f>
        <v/>
      </c>
      <c r="Z467" s="27"/>
      <c r="AA467" s="29" t="str">
        <f aca="false">IF(OR(G467="",G467="なし"),"",IF(W467="掛金・負担金別",(AW467+AX467+AY467+BA467+BC467+BE467),IF(W467="経理区分別",AZ467+BA467,"")))</f>
        <v/>
      </c>
      <c r="AB467" s="27"/>
      <c r="AC467" s="29" t="str">
        <f aca="false">IF(OR(G467="",G467="なし"),"",IF(W467="経理区分別",BB467+BC467,""))</f>
        <v/>
      </c>
      <c r="AD467" s="27"/>
      <c r="AE467" s="29" t="str">
        <f aca="false">IF(OR(G467="",G467="なし"),"",IF(W467="経理区分別",BD467+BE467,""))</f>
        <v/>
      </c>
      <c r="AF467" s="27"/>
      <c r="AG467" s="26"/>
      <c r="AH467" s="26"/>
      <c r="AI467" s="30"/>
      <c r="AJ467" s="31" t="n">
        <v>233126170</v>
      </c>
      <c r="AK467" s="31" t="n">
        <v>19113577</v>
      </c>
      <c r="AL467" s="31" t="n">
        <v>339305043</v>
      </c>
      <c r="AM467" s="31" t="n">
        <v>18598079</v>
      </c>
      <c r="AN467" s="31" t="n">
        <v>244998</v>
      </c>
      <c r="AO467" s="31" t="n">
        <v>180684280</v>
      </c>
      <c r="AP467" s="31" t="n">
        <v>179903134</v>
      </c>
      <c r="AQ467" s="31" t="n">
        <v>15817033</v>
      </c>
      <c r="AR467" s="31" t="n">
        <v>15370794</v>
      </c>
      <c r="AS467" s="31" t="n">
        <v>1</v>
      </c>
      <c r="AT467" s="31" t="n">
        <v>1</v>
      </c>
      <c r="AU467" s="31" t="n">
        <f aca="false">IF($G467="",AJ467,L467)</f>
        <v>233126170</v>
      </c>
      <c r="AV467" s="31" t="n">
        <f aca="false">IF($G467="",AK467,M467)</f>
        <v>19113577</v>
      </c>
      <c r="AW467" s="31" t="n">
        <f aca="false">IF($G467="",AL467,N467)</f>
        <v>339305043</v>
      </c>
      <c r="AX467" s="31" t="n">
        <f aca="false">IF($G467="",AM467,O467)</f>
        <v>18598079</v>
      </c>
      <c r="AY467" s="31" t="n">
        <f aca="false">IF($G467="",AN467,P467)</f>
        <v>244998</v>
      </c>
      <c r="AZ467" s="31" t="n">
        <f aca="false">IF($G467="",AO467,Q467)</f>
        <v>180684280</v>
      </c>
      <c r="BA467" s="31" t="n">
        <f aca="false">IF($G467="",AP467,R467)</f>
        <v>179903134</v>
      </c>
      <c r="BB467" s="31" t="n">
        <f aca="false">IF($G467="",AQ467,S467)</f>
        <v>15817033</v>
      </c>
      <c r="BC467" s="31" t="n">
        <f aca="false">IF($G467="",AR467,T467)</f>
        <v>15370794</v>
      </c>
      <c r="BD467" s="31" t="n">
        <f aca="false">IF($G467="",AS467,U467)</f>
        <v>1</v>
      </c>
      <c r="BE467" s="31" t="n">
        <f aca="false">IF($G467="",AT467,V467)</f>
        <v>1</v>
      </c>
      <c r="BF467" s="31" t="n">
        <f aca="false">ROUNDDOWN(I467*設定!$B$10/1000,0)+ROUNDDOWN(I467*設定!$B$11/1000,0)</f>
        <v>0</v>
      </c>
      <c r="BG467" s="31" t="n">
        <f aca="false">ROUNDDOWN(I467*設定!$C$10/1000,0)+ROUNDDOWN(I467*設定!$C$11/1000,0)+ROUNDDOWN(I467*設定!$C$12/1000,0)</f>
        <v>0</v>
      </c>
      <c r="BH467" s="31" t="n">
        <f aca="false">ROUNDDOWN(J467*設定!$B$13/1000,0)</f>
        <v>0</v>
      </c>
      <c r="BI467" s="31" t="n">
        <f aca="false">ROUNDDOWN(J467*設定!$C$13/1000,0)</f>
        <v>0</v>
      </c>
      <c r="BJ467" s="31" t="n">
        <f aca="false">ROUNDDOWN(K467*設定!$B$14/1000,0)</f>
        <v>0</v>
      </c>
      <c r="BK467" s="31" t="n">
        <f aca="false">ROUNDDOWN(K467*設定!$C$14/1000,0)</f>
        <v>0</v>
      </c>
      <c r="BL467" s="31" t="n">
        <f aca="false">ROUNDDOWN(J467*設定!$B$15/1000,0)</f>
        <v>0</v>
      </c>
      <c r="BM467" s="31" t="n">
        <f aca="false">ROUNDDOWN(J467*設定!$C$15/1000,0)</f>
        <v>0</v>
      </c>
      <c r="BN467" s="31" t="n">
        <f aca="false">L467+M467</f>
        <v>0</v>
      </c>
      <c r="BO467" s="31" t="n">
        <f aca="false">N467+O467+P467</f>
        <v>0</v>
      </c>
      <c r="BP467" s="31" t="n">
        <f aca="false">Q467</f>
        <v>0</v>
      </c>
      <c r="BQ467" s="31" t="n">
        <f aca="false">R467</f>
        <v>0</v>
      </c>
      <c r="BR467" s="31" t="n">
        <f aca="false">S467</f>
        <v>0</v>
      </c>
      <c r="BS467" s="31" t="n">
        <f aca="false">T467</f>
        <v>0</v>
      </c>
      <c r="BT467" s="31" t="n">
        <f aca="false">U467</f>
        <v>0</v>
      </c>
      <c r="BU467" s="31" t="n">
        <f aca="false">V467</f>
        <v>0</v>
      </c>
      <c r="BV467" s="32" t="n">
        <f aca="false">IF(BF467=0,IF(BN467=0,0,1),(BN467-BF467)/BF467)</f>
        <v>0</v>
      </c>
      <c r="BW467" s="32" t="n">
        <f aca="false">IF(BG467=0,IF(BO467=0,0,1),(BO467-BG467)/BG467)</f>
        <v>0</v>
      </c>
      <c r="BX467" s="32" t="n">
        <f aca="false">IF(BH467=0,IF(BP467=0,0,1),(BP467-BH467)/BH467)</f>
        <v>0</v>
      </c>
      <c r="BY467" s="32" t="n">
        <f aca="false">IF(BI467=0,IF(BQ467=0,0,1),(BQ467-BI467)/BI467)</f>
        <v>0</v>
      </c>
      <c r="BZ467" s="32" t="n">
        <f aca="false">IF(BJ467=0,IF(BR467=0,0,1),(BR467-BJ467)/BJ467)</f>
        <v>0</v>
      </c>
      <c r="CA467" s="32" t="n">
        <f aca="false">IF(BK467=0,IF(BS467=0,0,1),(BS467-BK467)/BK467)</f>
        <v>0</v>
      </c>
      <c r="CB467" s="32" t="n">
        <f aca="false">IF(BL467=0,IF(BT467=0,0,1),(BT467-BL467)/BL467)</f>
        <v>0</v>
      </c>
      <c r="CC467" s="32" t="n">
        <f aca="false">IF(BM467=0,IF(BU467=0,0,1),(BU467-BM467)/BM467)</f>
        <v>0</v>
      </c>
      <c r="CD467" s="32" t="n">
        <f aca="false">MAX(MAX(BV467:CC467),-MIN(BV467:CC467))</f>
        <v>-0</v>
      </c>
      <c r="CE467" s="31" t="n">
        <f aca="false">IF(CI467="","",SUMIFS($CF$7:$CF$696,$A$7:$A$696,CI467,$B$7:$B$696,B467))</f>
        <v>1001127409</v>
      </c>
      <c r="CF467" s="31" t="n">
        <f aca="false">SUM(AU467:BE467)</f>
        <v>1002163110</v>
      </c>
      <c r="CG467" s="33" t="str">
        <f aca="false">A467&amp;"|"&amp;B467</f>
        <v>2026-12 月例|市長部局</v>
      </c>
      <c r="CH467" s="34" t="str">
        <f aca="false">IFERROR(INDEX(設定!$D$61:$D$106,MATCH(B467,設定!$B$61:$B$106,0)),"Y")</f>
        <v>N</v>
      </c>
      <c r="CI467" s="34" t="str">
        <f aca="false">IFERROR(INDEX(設定!$D$20:$D$34,MATCH(A467,設定!$A$20:$A$34,0))&amp;"","")</f>
        <v>2026-11 月例</v>
      </c>
    </row>
    <row r="468" customFormat="false" ht="15" hidden="true" customHeight="false" outlineLevel="0" collapsed="false">
      <c r="A468" s="22" t="s">
        <v>218</v>
      </c>
      <c r="B468" s="23" t="s">
        <v>161</v>
      </c>
      <c r="C468" s="10" t="str">
        <f aca="false">IF(G468="","未受領",IF(G468="なし","報告なし",IF(AH468="○","起票済",IF(OR(AG468="○",F468="一致",F468="入金不要"),"入金確認済","受領済"))))</f>
        <v>未受領</v>
      </c>
      <c r="D468" s="10" t="str">
        <f aca="false">IF(OR(G468="",G468="なし"),"―",IF(CH468="N","対象外",IF(AND(I468="",J468="",K468=""),"標報未入力",IF(CD468&gt;=設定!$B$4,"要確認","問題なし"))))</f>
        <v>―</v>
      </c>
      <c r="E468" s="24" t="str">
        <f aca="false">IF(OR(G468="",G468="なし",CE468="",CF468=0),"―",IF(CF468=CE468,"前月同額",IF(CE468=0,"―",IF(ABS(CF468/CE468-1)&gt;=設定!$B$5,"変動大 "&amp;TEXT(CF468/CE468-1,"+0%;-0%"),"〇"))))</f>
        <v>―</v>
      </c>
      <c r="F468" s="10" t="str">
        <f aca="false">IF(OR(G468="",G468="なし"),"―",IF(CF468=0,"入金不要",IF(COUNT(Z468,AB468,AD468,AF468)=0,IF(AG468="○","手動確認","未入金"),IF(AND(N(Z468)=Y468,IF(AA468="",TRUE(),N(AB468)=AA468),IF(AC468="",TRUE(),N(AD468)=AC468),IF(AE468="",TRUE(),N(AF468)=AE468)),"一致","不一致"))))</f>
        <v>―</v>
      </c>
      <c r="G468" s="25"/>
      <c r="H468" s="26"/>
      <c r="I468" s="27"/>
      <c r="J468" s="27"/>
      <c r="K468" s="27"/>
      <c r="L468" s="27"/>
      <c r="M468" s="27"/>
      <c r="N468" s="27"/>
      <c r="O468" s="27"/>
      <c r="P468" s="27"/>
      <c r="Q468" s="27"/>
      <c r="R468" s="27"/>
      <c r="S468" s="27"/>
      <c r="T468" s="27"/>
      <c r="U468" s="27"/>
      <c r="V468" s="27"/>
      <c r="W468" s="10" t="str">
        <f aca="false">IFERROR(INDEX(設定!$E$61:$E$106,MATCH(B468,設定!$B$61:$B$106,0)),"合算")</f>
        <v>合算</v>
      </c>
      <c r="X468" s="28"/>
      <c r="Y468" s="29" t="str">
        <f aca="false">IF(OR(G468="",G468="なし"),"",IF(W468="合算",CF468,IF(W468="掛金・負担金別",(AU468+AV468+AZ468+BB468+BD468),SUM(AU468:AY468))))</f>
        <v/>
      </c>
      <c r="Z468" s="27"/>
      <c r="AA468" s="29" t="str">
        <f aca="false">IF(OR(G468="",G468="なし"),"",IF(W468="掛金・負担金別",(AW468+AX468+AY468+BA468+BC468+BE468),IF(W468="経理区分別",AZ468+BA468,"")))</f>
        <v/>
      </c>
      <c r="AB468" s="27"/>
      <c r="AC468" s="29" t="str">
        <f aca="false">IF(OR(G468="",G468="なし"),"",IF(W468="経理区分別",BB468+BC468,""))</f>
        <v/>
      </c>
      <c r="AD468" s="27"/>
      <c r="AE468" s="29" t="str">
        <f aca="false">IF(OR(G468="",G468="なし"),"",IF(W468="経理区分別",BD468+BE468,""))</f>
        <v/>
      </c>
      <c r="AF468" s="27"/>
      <c r="AG468" s="26"/>
      <c r="AH468" s="26"/>
      <c r="AI468" s="30"/>
      <c r="AJ468" s="31" t="n">
        <v>16545945</v>
      </c>
      <c r="AK468" s="31" t="n">
        <v>1356225</v>
      </c>
      <c r="AL468" s="31" t="n">
        <v>24116790</v>
      </c>
      <c r="AM468" s="31" t="n">
        <v>1356225</v>
      </c>
      <c r="AN468" s="31" t="n">
        <v>17124</v>
      </c>
      <c r="AO468" s="31" t="n">
        <v>10364462</v>
      </c>
      <c r="AP468" s="31" t="n">
        <v>10548958</v>
      </c>
      <c r="AQ468" s="31" t="n">
        <v>1033666</v>
      </c>
      <c r="AR468" s="31" t="n">
        <v>1033666</v>
      </c>
      <c r="AS468" s="31" t="n">
        <v>1</v>
      </c>
      <c r="AT468" s="31" t="n">
        <v>1</v>
      </c>
      <c r="AU468" s="31" t="n">
        <f aca="false">IF($G468="",AJ468,L468)</f>
        <v>16545945</v>
      </c>
      <c r="AV468" s="31" t="n">
        <f aca="false">IF($G468="",AK468,M468)</f>
        <v>1356225</v>
      </c>
      <c r="AW468" s="31" t="n">
        <f aca="false">IF($G468="",AL468,N468)</f>
        <v>24116790</v>
      </c>
      <c r="AX468" s="31" t="n">
        <f aca="false">IF($G468="",AM468,O468)</f>
        <v>1356225</v>
      </c>
      <c r="AY468" s="31" t="n">
        <f aca="false">IF($G468="",AN468,P468)</f>
        <v>17124</v>
      </c>
      <c r="AZ468" s="31" t="n">
        <f aca="false">IF($G468="",AO468,Q468)</f>
        <v>10364462</v>
      </c>
      <c r="BA468" s="31" t="n">
        <f aca="false">IF($G468="",AP468,R468)</f>
        <v>10548958</v>
      </c>
      <c r="BB468" s="31" t="n">
        <f aca="false">IF($G468="",AQ468,S468)</f>
        <v>1033666</v>
      </c>
      <c r="BC468" s="31" t="n">
        <f aca="false">IF($G468="",AR468,T468)</f>
        <v>1033666</v>
      </c>
      <c r="BD468" s="31" t="n">
        <f aca="false">IF($G468="",AS468,U468)</f>
        <v>1</v>
      </c>
      <c r="BE468" s="31" t="n">
        <f aca="false">IF($G468="",AT468,V468)</f>
        <v>1</v>
      </c>
      <c r="BF468" s="31" t="n">
        <f aca="false">ROUNDDOWN(I468*設定!$B$10/1000,0)+ROUNDDOWN(I468*設定!$B$11/1000,0)</f>
        <v>0</v>
      </c>
      <c r="BG468" s="31" t="n">
        <f aca="false">ROUNDDOWN(I468*設定!$C$10/1000,0)+ROUNDDOWN(I468*設定!$C$11/1000,0)+ROUNDDOWN(I468*設定!$C$12/1000,0)</f>
        <v>0</v>
      </c>
      <c r="BH468" s="31" t="n">
        <f aca="false">ROUNDDOWN(J468*設定!$B$13/1000,0)</f>
        <v>0</v>
      </c>
      <c r="BI468" s="31" t="n">
        <f aca="false">ROUNDDOWN(J468*設定!$C$13/1000,0)</f>
        <v>0</v>
      </c>
      <c r="BJ468" s="31" t="n">
        <f aca="false">ROUNDDOWN(K468*設定!$B$14/1000,0)</f>
        <v>0</v>
      </c>
      <c r="BK468" s="31" t="n">
        <f aca="false">ROUNDDOWN(K468*設定!$C$14/1000,0)</f>
        <v>0</v>
      </c>
      <c r="BL468" s="31" t="n">
        <f aca="false">ROUNDDOWN(J468*設定!$B$15/1000,0)</f>
        <v>0</v>
      </c>
      <c r="BM468" s="31" t="n">
        <f aca="false">ROUNDDOWN(J468*設定!$C$15/1000,0)</f>
        <v>0</v>
      </c>
      <c r="BN468" s="31" t="n">
        <f aca="false">L468+M468</f>
        <v>0</v>
      </c>
      <c r="BO468" s="31" t="n">
        <f aca="false">N468+O468+P468</f>
        <v>0</v>
      </c>
      <c r="BP468" s="31" t="n">
        <f aca="false">Q468</f>
        <v>0</v>
      </c>
      <c r="BQ468" s="31" t="n">
        <f aca="false">R468</f>
        <v>0</v>
      </c>
      <c r="BR468" s="31" t="n">
        <f aca="false">S468</f>
        <v>0</v>
      </c>
      <c r="BS468" s="31" t="n">
        <f aca="false">T468</f>
        <v>0</v>
      </c>
      <c r="BT468" s="31" t="n">
        <f aca="false">U468</f>
        <v>0</v>
      </c>
      <c r="BU468" s="31" t="n">
        <f aca="false">V468</f>
        <v>0</v>
      </c>
      <c r="BV468" s="32" t="n">
        <f aca="false">IF(BF468=0,IF(BN468=0,0,1),(BN468-BF468)/BF468)</f>
        <v>0</v>
      </c>
      <c r="BW468" s="32" t="n">
        <f aca="false">IF(BG468=0,IF(BO468=0,0,1),(BO468-BG468)/BG468)</f>
        <v>0</v>
      </c>
      <c r="BX468" s="32" t="n">
        <f aca="false">IF(BH468=0,IF(BP468=0,0,1),(BP468-BH468)/BH468)</f>
        <v>0</v>
      </c>
      <c r="BY468" s="32" t="n">
        <f aca="false">IF(BI468=0,IF(BQ468=0,0,1),(BQ468-BI468)/BI468)</f>
        <v>0</v>
      </c>
      <c r="BZ468" s="32" t="n">
        <f aca="false">IF(BJ468=0,IF(BR468=0,0,1),(BR468-BJ468)/BJ468)</f>
        <v>0</v>
      </c>
      <c r="CA468" s="32" t="n">
        <f aca="false">IF(BK468=0,IF(BS468=0,0,1),(BS468-BK468)/BK468)</f>
        <v>0</v>
      </c>
      <c r="CB468" s="32" t="n">
        <f aca="false">IF(BL468=0,IF(BT468=0,0,1),(BT468-BL468)/BL468)</f>
        <v>0</v>
      </c>
      <c r="CC468" s="32" t="n">
        <f aca="false">IF(BM468=0,IF(BU468=0,0,1),(BU468-BM468)/BM468)</f>
        <v>0</v>
      </c>
      <c r="CD468" s="32" t="n">
        <f aca="false">MAX(MAX(BV468:CC468),-MIN(BV468:CC468))</f>
        <v>-0</v>
      </c>
      <c r="CE468" s="31" t="n">
        <f aca="false">IF(CI468="","",SUMIFS($CF$7:$CF$696,$A$7:$A$696,CI468,$B$7:$B$696,B468))</f>
        <v>66664601</v>
      </c>
      <c r="CF468" s="31" t="n">
        <f aca="false">SUM(AU468:BE468)</f>
        <v>66373063</v>
      </c>
      <c r="CG468" s="33" t="str">
        <f aca="false">A468&amp;"|"&amp;B468</f>
        <v>2026-12 月例|下水道局</v>
      </c>
      <c r="CH468" s="34" t="str">
        <f aca="false">IFERROR(INDEX(設定!$D$61:$D$106,MATCH(B468,設定!$B$61:$B$106,0)),"Y")</f>
        <v>Y</v>
      </c>
      <c r="CI468" s="34" t="str">
        <f aca="false">IFERROR(INDEX(設定!$D$20:$D$34,MATCH(A468,設定!$A$20:$A$34,0))&amp;"","")</f>
        <v>2026-11 月例</v>
      </c>
    </row>
    <row r="469" customFormat="false" ht="15" hidden="true" customHeight="false" outlineLevel="0" collapsed="false">
      <c r="A469" s="22" t="s">
        <v>218</v>
      </c>
      <c r="B469" s="23" t="s">
        <v>162</v>
      </c>
      <c r="C469" s="10" t="str">
        <f aca="false">IF(G469="","未受領",IF(G469="なし","報告なし",IF(AH469="○","起票済",IF(OR(AG469="○",F469="一致",F469="入金不要"),"入金確認済","受領済"))))</f>
        <v>未受領</v>
      </c>
      <c r="D469" s="10" t="str">
        <f aca="false">IF(OR(G469="",G469="なし"),"―",IF(CH469="N","対象外",IF(AND(I469="",J469="",K469=""),"標報未入力",IF(CD469&gt;=設定!$B$4,"要確認","問題なし"))))</f>
        <v>―</v>
      </c>
      <c r="E469" s="24" t="str">
        <f aca="false">IF(OR(G469="",G469="なし",CE469="",CF469=0),"―",IF(CF469=CE469,"前月同額",IF(CE469=0,"―",IF(ABS(CF469/CE469-1)&gt;=設定!$B$5,"変動大 "&amp;TEXT(CF469/CE469-1,"+0%;-0%"),"〇"))))</f>
        <v>―</v>
      </c>
      <c r="F469" s="10" t="str">
        <f aca="false">IF(OR(G469="",G469="なし"),"―",IF(CF469=0,"入金不要",IF(COUNT(Z469,AB469,AD469,AF469)=0,IF(AG469="○","手動確認","未入金"),IF(AND(N(Z469)=Y469,IF(AA469="",TRUE(),N(AB469)=AA469),IF(AC469="",TRUE(),N(AD469)=AC469),IF(AE469="",TRUE(),N(AF469)=AE469)),"一致","不一致"))))</f>
        <v>―</v>
      </c>
      <c r="G469" s="25"/>
      <c r="H469" s="26"/>
      <c r="I469" s="27"/>
      <c r="J469" s="27"/>
      <c r="K469" s="27"/>
      <c r="L469" s="27"/>
      <c r="M469" s="27"/>
      <c r="N469" s="27"/>
      <c r="O469" s="27"/>
      <c r="P469" s="27"/>
      <c r="Q469" s="27"/>
      <c r="R469" s="27"/>
      <c r="S469" s="27"/>
      <c r="T469" s="27"/>
      <c r="U469" s="27"/>
      <c r="V469" s="27"/>
      <c r="W469" s="10" t="str">
        <f aca="false">IFERROR(INDEX(設定!$E$61:$E$106,MATCH(B469,設定!$B$61:$B$106,0)),"合算")</f>
        <v>合算</v>
      </c>
      <c r="X469" s="28"/>
      <c r="Y469" s="29" t="str">
        <f aca="false">IF(OR(G469="",G469="なし"),"",IF(W469="合算",CF469,IF(W469="掛金・負担金別",(AU469+AV469+AZ469+BB469+BD469),SUM(AU469:AY469))))</f>
        <v/>
      </c>
      <c r="Z469" s="27"/>
      <c r="AA469" s="29" t="str">
        <f aca="false">IF(OR(G469="",G469="なし"),"",IF(W469="掛金・負担金別",(AW469+AX469+AY469+BA469+BC469+BE469),IF(W469="経理区分別",AZ469+BA469,"")))</f>
        <v/>
      </c>
      <c r="AB469" s="27"/>
      <c r="AC469" s="29" t="str">
        <f aca="false">IF(OR(G469="",G469="なし"),"",IF(W469="経理区分別",BB469+BC469,""))</f>
        <v/>
      </c>
      <c r="AD469" s="27"/>
      <c r="AE469" s="29" t="str">
        <f aca="false">IF(OR(G469="",G469="なし"),"",IF(W469="経理区分別",BD469+BE469,""))</f>
        <v/>
      </c>
      <c r="AF469" s="27"/>
      <c r="AG469" s="26"/>
      <c r="AH469" s="26"/>
      <c r="AI469" s="30"/>
      <c r="AJ469" s="31" t="n">
        <v>53599145</v>
      </c>
      <c r="AK469" s="31" t="n">
        <v>4393373</v>
      </c>
      <c r="AL469" s="31" t="n">
        <v>78064589</v>
      </c>
      <c r="AM469" s="31" t="n">
        <v>4380998</v>
      </c>
      <c r="AN469" s="31" t="n">
        <v>55464</v>
      </c>
      <c r="AO469" s="31" t="n">
        <v>32951456</v>
      </c>
      <c r="AP469" s="31" t="n">
        <v>33419569</v>
      </c>
      <c r="AQ469" s="31" t="n">
        <v>1989423</v>
      </c>
      <c r="AR469" s="31" t="n">
        <v>1982394</v>
      </c>
      <c r="AS469" s="31" t="n">
        <v>1</v>
      </c>
      <c r="AT469" s="31" t="n">
        <v>1</v>
      </c>
      <c r="AU469" s="31" t="n">
        <f aca="false">IF($G469="",AJ469,L469)</f>
        <v>53599145</v>
      </c>
      <c r="AV469" s="31" t="n">
        <f aca="false">IF($G469="",AK469,M469)</f>
        <v>4393373</v>
      </c>
      <c r="AW469" s="31" t="n">
        <f aca="false">IF($G469="",AL469,N469)</f>
        <v>78064589</v>
      </c>
      <c r="AX469" s="31" t="n">
        <f aca="false">IF($G469="",AM469,O469)</f>
        <v>4380998</v>
      </c>
      <c r="AY469" s="31" t="n">
        <f aca="false">IF($G469="",AN469,P469)</f>
        <v>55464</v>
      </c>
      <c r="AZ469" s="31" t="n">
        <f aca="false">IF($G469="",AO469,Q469)</f>
        <v>32951456</v>
      </c>
      <c r="BA469" s="31" t="n">
        <f aca="false">IF($G469="",AP469,R469)</f>
        <v>33419569</v>
      </c>
      <c r="BB469" s="31" t="n">
        <f aca="false">IF($G469="",AQ469,S469)</f>
        <v>1989423</v>
      </c>
      <c r="BC469" s="31" t="n">
        <f aca="false">IF($G469="",AR469,T469)</f>
        <v>1982394</v>
      </c>
      <c r="BD469" s="31" t="n">
        <f aca="false">IF($G469="",AS469,U469)</f>
        <v>1</v>
      </c>
      <c r="BE469" s="31" t="n">
        <f aca="false">IF($G469="",AT469,V469)</f>
        <v>1</v>
      </c>
      <c r="BF469" s="31" t="n">
        <f aca="false">ROUNDDOWN(I469*設定!$B$10/1000,0)+ROUNDDOWN(I469*設定!$B$11/1000,0)</f>
        <v>0</v>
      </c>
      <c r="BG469" s="31" t="n">
        <f aca="false">ROUNDDOWN(I469*設定!$C$10/1000,0)+ROUNDDOWN(I469*設定!$C$11/1000,0)+ROUNDDOWN(I469*設定!$C$12/1000,0)</f>
        <v>0</v>
      </c>
      <c r="BH469" s="31" t="n">
        <f aca="false">ROUNDDOWN(J469*設定!$B$13/1000,0)</f>
        <v>0</v>
      </c>
      <c r="BI469" s="31" t="n">
        <f aca="false">ROUNDDOWN(J469*設定!$C$13/1000,0)</f>
        <v>0</v>
      </c>
      <c r="BJ469" s="31" t="n">
        <f aca="false">ROUNDDOWN(K469*設定!$B$14/1000,0)</f>
        <v>0</v>
      </c>
      <c r="BK469" s="31" t="n">
        <f aca="false">ROUNDDOWN(K469*設定!$C$14/1000,0)</f>
        <v>0</v>
      </c>
      <c r="BL469" s="31" t="n">
        <f aca="false">ROUNDDOWN(J469*設定!$B$15/1000,0)</f>
        <v>0</v>
      </c>
      <c r="BM469" s="31" t="n">
        <f aca="false">ROUNDDOWN(J469*設定!$C$15/1000,0)</f>
        <v>0</v>
      </c>
      <c r="BN469" s="31" t="n">
        <f aca="false">L469+M469</f>
        <v>0</v>
      </c>
      <c r="BO469" s="31" t="n">
        <f aca="false">N469+O469+P469</f>
        <v>0</v>
      </c>
      <c r="BP469" s="31" t="n">
        <f aca="false">Q469</f>
        <v>0</v>
      </c>
      <c r="BQ469" s="31" t="n">
        <f aca="false">R469</f>
        <v>0</v>
      </c>
      <c r="BR469" s="31" t="n">
        <f aca="false">S469</f>
        <v>0</v>
      </c>
      <c r="BS469" s="31" t="n">
        <f aca="false">T469</f>
        <v>0</v>
      </c>
      <c r="BT469" s="31" t="n">
        <f aca="false">U469</f>
        <v>0</v>
      </c>
      <c r="BU469" s="31" t="n">
        <f aca="false">V469</f>
        <v>0</v>
      </c>
      <c r="BV469" s="32" t="n">
        <f aca="false">IF(BF469=0,IF(BN469=0,0,1),(BN469-BF469)/BF469)</f>
        <v>0</v>
      </c>
      <c r="BW469" s="32" t="n">
        <f aca="false">IF(BG469=0,IF(BO469=0,0,1),(BO469-BG469)/BG469)</f>
        <v>0</v>
      </c>
      <c r="BX469" s="32" t="n">
        <f aca="false">IF(BH469=0,IF(BP469=0,0,1),(BP469-BH469)/BH469)</f>
        <v>0</v>
      </c>
      <c r="BY469" s="32" t="n">
        <f aca="false">IF(BI469=0,IF(BQ469=0,0,1),(BQ469-BI469)/BI469)</f>
        <v>0</v>
      </c>
      <c r="BZ469" s="32" t="n">
        <f aca="false">IF(BJ469=0,IF(BR469=0,0,1),(BR469-BJ469)/BJ469)</f>
        <v>0</v>
      </c>
      <c r="CA469" s="32" t="n">
        <f aca="false">IF(BK469=0,IF(BS469=0,0,1),(BS469-BK469)/BK469)</f>
        <v>0</v>
      </c>
      <c r="CB469" s="32" t="n">
        <f aca="false">IF(BL469=0,IF(BT469=0,0,1),(BT469-BL469)/BL469)</f>
        <v>0</v>
      </c>
      <c r="CC469" s="32" t="n">
        <f aca="false">IF(BM469=0,IF(BU469=0,0,1),(BU469-BM469)/BM469)</f>
        <v>0</v>
      </c>
      <c r="CD469" s="32" t="n">
        <f aca="false">MAX(MAX(BV469:CC469),-MIN(BV469:CC469))</f>
        <v>-0</v>
      </c>
      <c r="CE469" s="31" t="n">
        <f aca="false">IF(CI469="","",SUMIFS($CF$7:$CF$696,$A$7:$A$696,CI469,$B$7:$B$696,B469))</f>
        <v>210975554</v>
      </c>
      <c r="CF469" s="31" t="n">
        <f aca="false">SUM(AU469:BE469)</f>
        <v>210836413</v>
      </c>
      <c r="CG469" s="33" t="str">
        <f aca="false">A469&amp;"|"&amp;B469</f>
        <v>2026-12 月例|消防局</v>
      </c>
      <c r="CH469" s="34" t="str">
        <f aca="false">IFERROR(INDEX(設定!$D$61:$D$106,MATCH(B469,設定!$B$61:$B$106,0)),"Y")</f>
        <v>N</v>
      </c>
      <c r="CI469" s="34" t="str">
        <f aca="false">IFERROR(INDEX(設定!$D$20:$D$34,MATCH(A469,設定!$A$20:$A$34,0))&amp;"","")</f>
        <v>2026-11 月例</v>
      </c>
    </row>
    <row r="470" customFormat="false" ht="15" hidden="true" customHeight="false" outlineLevel="0" collapsed="false">
      <c r="A470" s="22" t="s">
        <v>218</v>
      </c>
      <c r="B470" s="23" t="s">
        <v>163</v>
      </c>
      <c r="C470" s="10" t="str">
        <f aca="false">IF(G470="","未受領",IF(G470="なし","報告なし",IF(AH470="○","起票済",IF(OR(AG470="○",F470="一致",F470="入金不要"),"入金確認済","受領済"))))</f>
        <v>未受領</v>
      </c>
      <c r="D470" s="10" t="str">
        <f aca="false">IF(OR(G470="",G470="なし"),"―",IF(CH470="N","対象外",IF(AND(I470="",J470="",K470=""),"標報未入力",IF(CD470&gt;=設定!$B$4,"要確認","問題なし"))))</f>
        <v>―</v>
      </c>
      <c r="E470" s="24" t="str">
        <f aca="false">IF(OR(G470="",G470="なし",CE470="",CF470=0),"―",IF(CF470=CE470,"前月同額",IF(CE470=0,"―",IF(ABS(CF470/CE470-1)&gt;=設定!$B$5,"変動大 "&amp;TEXT(CF470/CE470-1,"+0%;-0%"),"〇"))))</f>
        <v>―</v>
      </c>
      <c r="F470" s="10" t="str">
        <f aca="false">IF(OR(G470="",G470="なし"),"―",IF(CF470=0,"入金不要",IF(COUNT(Z470,AB470,AD470,AF470)=0,IF(AG470="○","手動確認","未入金"),IF(AND(N(Z470)=Y470,IF(AA470="",TRUE(),N(AB470)=AA470),IF(AC470="",TRUE(),N(AD470)=AC470),IF(AE470="",TRUE(),N(AF470)=AE470)),"一致","不一致"))))</f>
        <v>―</v>
      </c>
      <c r="G470" s="25"/>
      <c r="H470" s="26"/>
      <c r="I470" s="27"/>
      <c r="J470" s="27"/>
      <c r="K470" s="27"/>
      <c r="L470" s="27"/>
      <c r="M470" s="27"/>
      <c r="N470" s="27"/>
      <c r="O470" s="27"/>
      <c r="P470" s="27"/>
      <c r="Q470" s="27"/>
      <c r="R470" s="27"/>
      <c r="S470" s="27"/>
      <c r="T470" s="27"/>
      <c r="U470" s="27"/>
      <c r="V470" s="27"/>
      <c r="W470" s="10" t="str">
        <f aca="false">IFERROR(INDEX(設定!$E$61:$E$106,MATCH(B470,設定!$B$61:$B$106,0)),"合算")</f>
        <v>合算</v>
      </c>
      <c r="X470" s="28"/>
      <c r="Y470" s="29" t="str">
        <f aca="false">IF(OR(G470="",G470="なし"),"",IF(W470="合算",CF470,IF(W470="掛金・負担金別",(AU470+AV470+AZ470+BB470+BD470),SUM(AU470:AY470))))</f>
        <v/>
      </c>
      <c r="Z470" s="27"/>
      <c r="AA470" s="29" t="str">
        <f aca="false">IF(OR(G470="",G470="なし"),"",IF(W470="掛金・負担金別",(AW470+AX470+AY470+BA470+BC470+BE470),IF(W470="経理区分別",AZ470+BA470,"")))</f>
        <v/>
      </c>
      <c r="AB470" s="27"/>
      <c r="AC470" s="29" t="str">
        <f aca="false">IF(OR(G470="",G470="なし"),"",IF(W470="経理区分別",BB470+BC470,""))</f>
        <v/>
      </c>
      <c r="AD470" s="27"/>
      <c r="AE470" s="29" t="str">
        <f aca="false">IF(OR(G470="",G470="なし"),"",IF(W470="経理区分別",BD470+BE470,""))</f>
        <v/>
      </c>
      <c r="AF470" s="27"/>
      <c r="AG470" s="26"/>
      <c r="AH470" s="26"/>
      <c r="AI470" s="30"/>
      <c r="AJ470" s="31" t="n">
        <v>1740330</v>
      </c>
      <c r="AK470" s="31" t="n">
        <v>142650</v>
      </c>
      <c r="AL470" s="31" t="n">
        <v>2539620</v>
      </c>
      <c r="AM470" s="31" t="n">
        <v>142650</v>
      </c>
      <c r="AN470" s="31" t="n">
        <v>1808</v>
      </c>
      <c r="AO470" s="31" t="n">
        <v>1055074</v>
      </c>
      <c r="AP470" s="31" t="n">
        <v>1073929</v>
      </c>
      <c r="AQ470" s="31" t="n">
        <v>99935</v>
      </c>
      <c r="AR470" s="31" t="n">
        <v>99935</v>
      </c>
      <c r="AS470" s="31" t="n">
        <v>1</v>
      </c>
      <c r="AT470" s="31" t="n">
        <v>1</v>
      </c>
      <c r="AU470" s="31" t="n">
        <f aca="false">IF($G470="",AJ470,L470)</f>
        <v>1740330</v>
      </c>
      <c r="AV470" s="31" t="n">
        <f aca="false">IF($G470="",AK470,M470)</f>
        <v>142650</v>
      </c>
      <c r="AW470" s="31" t="n">
        <f aca="false">IF($G470="",AL470,N470)</f>
        <v>2539620</v>
      </c>
      <c r="AX470" s="31" t="n">
        <f aca="false">IF($G470="",AM470,O470)</f>
        <v>142650</v>
      </c>
      <c r="AY470" s="31" t="n">
        <f aca="false">IF($G470="",AN470,P470)</f>
        <v>1808</v>
      </c>
      <c r="AZ470" s="31" t="n">
        <f aca="false">IF($G470="",AO470,Q470)</f>
        <v>1055074</v>
      </c>
      <c r="BA470" s="31" t="n">
        <f aca="false">IF($G470="",AP470,R470)</f>
        <v>1073929</v>
      </c>
      <c r="BB470" s="31" t="n">
        <f aca="false">IF($G470="",AQ470,S470)</f>
        <v>99935</v>
      </c>
      <c r="BC470" s="31" t="n">
        <f aca="false">IF($G470="",AR470,T470)</f>
        <v>99935</v>
      </c>
      <c r="BD470" s="31" t="n">
        <f aca="false">IF($G470="",AS470,U470)</f>
        <v>1</v>
      </c>
      <c r="BE470" s="31" t="n">
        <f aca="false">IF($G470="",AT470,V470)</f>
        <v>1</v>
      </c>
      <c r="BF470" s="31" t="n">
        <f aca="false">ROUNDDOWN(I470*設定!$B$10/1000,0)+ROUNDDOWN(I470*設定!$B$11/1000,0)</f>
        <v>0</v>
      </c>
      <c r="BG470" s="31" t="n">
        <f aca="false">ROUNDDOWN(I470*設定!$C$10/1000,0)+ROUNDDOWN(I470*設定!$C$11/1000,0)+ROUNDDOWN(I470*設定!$C$12/1000,0)</f>
        <v>0</v>
      </c>
      <c r="BH470" s="31" t="n">
        <f aca="false">ROUNDDOWN(J470*設定!$B$13/1000,0)</f>
        <v>0</v>
      </c>
      <c r="BI470" s="31" t="n">
        <f aca="false">ROUNDDOWN(J470*設定!$C$13/1000,0)</f>
        <v>0</v>
      </c>
      <c r="BJ470" s="31" t="n">
        <f aca="false">ROUNDDOWN(K470*設定!$B$14/1000,0)</f>
        <v>0</v>
      </c>
      <c r="BK470" s="31" t="n">
        <f aca="false">ROUNDDOWN(K470*設定!$C$14/1000,0)</f>
        <v>0</v>
      </c>
      <c r="BL470" s="31" t="n">
        <f aca="false">ROUNDDOWN(J470*設定!$B$15/1000,0)</f>
        <v>0</v>
      </c>
      <c r="BM470" s="31" t="n">
        <f aca="false">ROUNDDOWN(J470*設定!$C$15/1000,0)</f>
        <v>0</v>
      </c>
      <c r="BN470" s="31" t="n">
        <f aca="false">L470+M470</f>
        <v>0</v>
      </c>
      <c r="BO470" s="31" t="n">
        <f aca="false">N470+O470+P470</f>
        <v>0</v>
      </c>
      <c r="BP470" s="31" t="n">
        <f aca="false">Q470</f>
        <v>0</v>
      </c>
      <c r="BQ470" s="31" t="n">
        <f aca="false">R470</f>
        <v>0</v>
      </c>
      <c r="BR470" s="31" t="n">
        <f aca="false">S470</f>
        <v>0</v>
      </c>
      <c r="BS470" s="31" t="n">
        <f aca="false">T470</f>
        <v>0</v>
      </c>
      <c r="BT470" s="31" t="n">
        <f aca="false">U470</f>
        <v>0</v>
      </c>
      <c r="BU470" s="31" t="n">
        <f aca="false">V470</f>
        <v>0</v>
      </c>
      <c r="BV470" s="32" t="n">
        <f aca="false">IF(BF470=0,IF(BN470=0,0,1),(BN470-BF470)/BF470)</f>
        <v>0</v>
      </c>
      <c r="BW470" s="32" t="n">
        <f aca="false">IF(BG470=0,IF(BO470=0,0,1),(BO470-BG470)/BG470)</f>
        <v>0</v>
      </c>
      <c r="BX470" s="32" t="n">
        <f aca="false">IF(BH470=0,IF(BP470=0,0,1),(BP470-BH470)/BH470)</f>
        <v>0</v>
      </c>
      <c r="BY470" s="32" t="n">
        <f aca="false">IF(BI470=0,IF(BQ470=0,0,1),(BQ470-BI470)/BI470)</f>
        <v>0</v>
      </c>
      <c r="BZ470" s="32" t="n">
        <f aca="false">IF(BJ470=0,IF(BR470=0,0,1),(BR470-BJ470)/BJ470)</f>
        <v>0</v>
      </c>
      <c r="CA470" s="32" t="n">
        <f aca="false">IF(BK470=0,IF(BS470=0,0,1),(BS470-BK470)/BK470)</f>
        <v>0</v>
      </c>
      <c r="CB470" s="32" t="n">
        <f aca="false">IF(BL470=0,IF(BT470=0,0,1),(BT470-BL470)/BL470)</f>
        <v>0</v>
      </c>
      <c r="CC470" s="32" t="n">
        <f aca="false">IF(BM470=0,IF(BU470=0,0,1),(BU470-BM470)/BM470)</f>
        <v>0</v>
      </c>
      <c r="CD470" s="32" t="n">
        <f aca="false">MAX(MAX(BV470:CC470),-MIN(BV470:CC470))</f>
        <v>-0</v>
      </c>
      <c r="CE470" s="31" t="n">
        <f aca="false">IF(CI470="","",SUMIFS($CF$7:$CF$696,$A$7:$A$696,CI470,$B$7:$B$696,B470))</f>
        <v>6889455</v>
      </c>
      <c r="CF470" s="31" t="n">
        <f aca="false">SUM(AU470:BE470)</f>
        <v>6895933</v>
      </c>
      <c r="CG470" s="33" t="str">
        <f aca="false">A470&amp;"|"&amp;B470</f>
        <v>2026-12 月例|議会事務局</v>
      </c>
      <c r="CH470" s="34" t="str">
        <f aca="false">IFERROR(INDEX(設定!$D$61:$D$106,MATCH(B470,設定!$B$61:$B$106,0)),"Y")</f>
        <v>Y</v>
      </c>
      <c r="CI470" s="34" t="str">
        <f aca="false">IFERROR(INDEX(設定!$D$20:$D$34,MATCH(A470,設定!$A$20:$A$34,0))&amp;"","")</f>
        <v>2026-11 月例</v>
      </c>
    </row>
    <row r="471" customFormat="false" ht="15" hidden="true" customHeight="false" outlineLevel="0" collapsed="false">
      <c r="A471" s="22" t="s">
        <v>218</v>
      </c>
      <c r="B471" s="23" t="s">
        <v>164</v>
      </c>
      <c r="C471" s="10" t="str">
        <f aca="false">IF(G471="","未受領",IF(G471="なし","報告なし",IF(AH471="○","起票済",IF(OR(AG471="○",F471="一致",F471="入金不要"),"入金確認済","受領済"))))</f>
        <v>未受領</v>
      </c>
      <c r="D471" s="10" t="str">
        <f aca="false">IF(OR(G471="",G471="なし"),"―",IF(CH471="N","対象外",IF(AND(I471="",J471="",K471=""),"標報未入力",IF(CD471&gt;=設定!$B$4,"要確認","問題なし"))))</f>
        <v>―</v>
      </c>
      <c r="E471" s="24" t="str">
        <f aca="false">IF(OR(G471="",G471="なし",CE471="",CF471=0),"―",IF(CF471=CE471,"前月同額",IF(CE471=0,"―",IF(ABS(CF471/CE471-1)&gt;=設定!$B$5,"変動大 "&amp;TEXT(CF471/CE471-1,"+0%;-0%"),"〇"))))</f>
        <v>―</v>
      </c>
      <c r="F471" s="10" t="str">
        <f aca="false">IF(OR(G471="",G471="なし"),"―",IF(CF471=0,"入金不要",IF(COUNT(Z471,AB471,AD471,AF471)=0,IF(AG471="○","手動確認","未入金"),IF(AND(N(Z471)=Y471,IF(AA471="",TRUE(),N(AB471)=AA471),IF(AC471="",TRUE(),N(AD471)=AC471),IF(AE471="",TRUE(),N(AF471)=AE471)),"一致","不一致"))))</f>
        <v>―</v>
      </c>
      <c r="G471" s="25"/>
      <c r="H471" s="26"/>
      <c r="I471" s="27"/>
      <c r="J471" s="27"/>
      <c r="K471" s="27"/>
      <c r="L471" s="27"/>
      <c r="M471" s="27"/>
      <c r="N471" s="27"/>
      <c r="O471" s="27"/>
      <c r="P471" s="27"/>
      <c r="Q471" s="27"/>
      <c r="R471" s="27"/>
      <c r="S471" s="27"/>
      <c r="T471" s="27"/>
      <c r="U471" s="27"/>
      <c r="V471" s="27"/>
      <c r="W471" s="10" t="str">
        <f aca="false">IFERROR(INDEX(設定!$E$61:$E$106,MATCH(B471,設定!$B$61:$B$106,0)),"合算")</f>
        <v>合算</v>
      </c>
      <c r="X471" s="28"/>
      <c r="Y471" s="29" t="str">
        <f aca="false">IF(OR(G471="",G471="なし"),"",IF(W471="合算",CF471,IF(W471="掛金・負担金別",(AU471+AV471+AZ471+BB471+BD471),SUM(AU471:AY471))))</f>
        <v/>
      </c>
      <c r="Z471" s="27"/>
      <c r="AA471" s="29" t="str">
        <f aca="false">IF(OR(G471="",G471="なし"),"",IF(W471="掛金・負担金別",(AW471+AX471+AY471+BA471+BC471+BE471),IF(W471="経理区分別",AZ471+BA471,"")))</f>
        <v/>
      </c>
      <c r="AB471" s="27"/>
      <c r="AC471" s="29" t="str">
        <f aca="false">IF(OR(G471="",G471="なし"),"",IF(W471="経理区分別",BB471+BC471,""))</f>
        <v/>
      </c>
      <c r="AD471" s="27"/>
      <c r="AE471" s="29" t="str">
        <f aca="false">IF(OR(G471="",G471="なし"),"",IF(W471="経理区分別",BD471+BE471,""))</f>
        <v/>
      </c>
      <c r="AF471" s="27"/>
      <c r="AG471" s="26"/>
      <c r="AH471" s="26"/>
      <c r="AI471" s="30"/>
      <c r="AJ471" s="31" t="n">
        <v>24097440</v>
      </c>
      <c r="AK471" s="31" t="n">
        <v>1975200</v>
      </c>
      <c r="AL471" s="31" t="n">
        <v>35096235</v>
      </c>
      <c r="AM471" s="31" t="n">
        <v>1970850</v>
      </c>
      <c r="AN471" s="31" t="n">
        <v>25002</v>
      </c>
      <c r="AO471" s="31" t="n">
        <v>25721646</v>
      </c>
      <c r="AP471" s="31" t="n">
        <v>26142323</v>
      </c>
      <c r="AQ471" s="31" t="n">
        <v>2801399</v>
      </c>
      <c r="AR471" s="31" t="n">
        <v>2801572</v>
      </c>
      <c r="AS471" s="31" t="n">
        <v>1</v>
      </c>
      <c r="AT471" s="31" t="n">
        <v>1</v>
      </c>
      <c r="AU471" s="31" t="n">
        <f aca="false">IF($G471="",AJ471,L471)</f>
        <v>24097440</v>
      </c>
      <c r="AV471" s="31" t="n">
        <f aca="false">IF($G471="",AK471,M471)</f>
        <v>1975200</v>
      </c>
      <c r="AW471" s="31" t="n">
        <f aca="false">IF($G471="",AL471,N471)</f>
        <v>35096235</v>
      </c>
      <c r="AX471" s="31" t="n">
        <f aca="false">IF($G471="",AM471,O471)</f>
        <v>1970850</v>
      </c>
      <c r="AY471" s="31" t="n">
        <f aca="false">IF($G471="",AN471,P471)</f>
        <v>25002</v>
      </c>
      <c r="AZ471" s="31" t="n">
        <f aca="false">IF($G471="",AO471,Q471)</f>
        <v>25721646</v>
      </c>
      <c r="BA471" s="31" t="n">
        <f aca="false">IF($G471="",AP471,R471)</f>
        <v>26142323</v>
      </c>
      <c r="BB471" s="31" t="n">
        <f aca="false">IF($G471="",AQ471,S471)</f>
        <v>2801399</v>
      </c>
      <c r="BC471" s="31" t="n">
        <f aca="false">IF($G471="",AR471,T471)</f>
        <v>2801572</v>
      </c>
      <c r="BD471" s="31" t="n">
        <f aca="false">IF($G471="",AS471,U471)</f>
        <v>1</v>
      </c>
      <c r="BE471" s="31" t="n">
        <f aca="false">IF($G471="",AT471,V471)</f>
        <v>1</v>
      </c>
      <c r="BF471" s="31" t="n">
        <f aca="false">ROUNDDOWN(I471*設定!$B$10/1000,0)+ROUNDDOWN(I471*設定!$B$11/1000,0)</f>
        <v>0</v>
      </c>
      <c r="BG471" s="31" t="n">
        <f aca="false">ROUNDDOWN(I471*設定!$C$10/1000,0)+ROUNDDOWN(I471*設定!$C$11/1000,0)+ROUNDDOWN(I471*設定!$C$12/1000,0)</f>
        <v>0</v>
      </c>
      <c r="BH471" s="31" t="n">
        <f aca="false">ROUNDDOWN(J471*設定!$B$13/1000,0)</f>
        <v>0</v>
      </c>
      <c r="BI471" s="31" t="n">
        <f aca="false">ROUNDDOWN(J471*設定!$C$13/1000,0)</f>
        <v>0</v>
      </c>
      <c r="BJ471" s="31" t="n">
        <f aca="false">ROUNDDOWN(K471*設定!$B$14/1000,0)</f>
        <v>0</v>
      </c>
      <c r="BK471" s="31" t="n">
        <f aca="false">ROUNDDOWN(K471*設定!$C$14/1000,0)</f>
        <v>0</v>
      </c>
      <c r="BL471" s="31" t="n">
        <f aca="false">ROUNDDOWN(J471*設定!$B$15/1000,0)</f>
        <v>0</v>
      </c>
      <c r="BM471" s="31" t="n">
        <f aca="false">ROUNDDOWN(J471*設定!$C$15/1000,0)</f>
        <v>0</v>
      </c>
      <c r="BN471" s="31" t="n">
        <f aca="false">L471+M471</f>
        <v>0</v>
      </c>
      <c r="BO471" s="31" t="n">
        <f aca="false">N471+O471+P471</f>
        <v>0</v>
      </c>
      <c r="BP471" s="31" t="n">
        <f aca="false">Q471</f>
        <v>0</v>
      </c>
      <c r="BQ471" s="31" t="n">
        <f aca="false">R471</f>
        <v>0</v>
      </c>
      <c r="BR471" s="31" t="n">
        <f aca="false">S471</f>
        <v>0</v>
      </c>
      <c r="BS471" s="31" t="n">
        <f aca="false">T471</f>
        <v>0</v>
      </c>
      <c r="BT471" s="31" t="n">
        <f aca="false">U471</f>
        <v>0</v>
      </c>
      <c r="BU471" s="31" t="n">
        <f aca="false">V471</f>
        <v>0</v>
      </c>
      <c r="BV471" s="32" t="n">
        <f aca="false">IF(BF471=0,IF(BN471=0,0,1),(BN471-BF471)/BF471)</f>
        <v>0</v>
      </c>
      <c r="BW471" s="32" t="n">
        <f aca="false">IF(BG471=0,IF(BO471=0,0,1),(BO471-BG471)/BG471)</f>
        <v>0</v>
      </c>
      <c r="BX471" s="32" t="n">
        <f aca="false">IF(BH471=0,IF(BP471=0,0,1),(BP471-BH471)/BH471)</f>
        <v>0</v>
      </c>
      <c r="BY471" s="32" t="n">
        <f aca="false">IF(BI471=0,IF(BQ471=0,0,1),(BQ471-BI471)/BI471)</f>
        <v>0</v>
      </c>
      <c r="BZ471" s="32" t="n">
        <f aca="false">IF(BJ471=0,IF(BR471=0,0,1),(BR471-BJ471)/BJ471)</f>
        <v>0</v>
      </c>
      <c r="CA471" s="32" t="n">
        <f aca="false">IF(BK471=0,IF(BS471=0,0,1),(BS471-BK471)/BK471)</f>
        <v>0</v>
      </c>
      <c r="CB471" s="32" t="n">
        <f aca="false">IF(BL471=0,IF(BT471=0,0,1),(BT471-BL471)/BL471)</f>
        <v>0</v>
      </c>
      <c r="CC471" s="32" t="n">
        <f aca="false">IF(BM471=0,IF(BU471=0,0,1),(BU471-BM471)/BM471)</f>
        <v>0</v>
      </c>
      <c r="CD471" s="32" t="n">
        <f aca="false">MAX(MAX(BV471:CC471),-MIN(BV471:CC471))</f>
        <v>-0</v>
      </c>
      <c r="CE471" s="31" t="n">
        <f aca="false">IF(CI471="","",SUMIFS($CF$7:$CF$696,$A$7:$A$696,CI471,$B$7:$B$696,B471))</f>
        <v>120766862</v>
      </c>
      <c r="CF471" s="31" t="n">
        <f aca="false">SUM(AU471:BE471)</f>
        <v>120631669</v>
      </c>
      <c r="CG471" s="33" t="str">
        <f aca="false">A471&amp;"|"&amp;B471</f>
        <v>2026-12 月例|教育委員会（総務課）</v>
      </c>
      <c r="CH471" s="34" t="str">
        <f aca="false">IFERROR(INDEX(設定!$D$61:$D$106,MATCH(B471,設定!$B$61:$B$106,0)),"Y")</f>
        <v>N</v>
      </c>
      <c r="CI471" s="34" t="str">
        <f aca="false">IFERROR(INDEX(設定!$D$20:$D$34,MATCH(A471,設定!$A$20:$A$34,0))&amp;"","")</f>
        <v>2026-11 月例</v>
      </c>
    </row>
    <row r="472" customFormat="false" ht="15" hidden="true" customHeight="false" outlineLevel="0" collapsed="false">
      <c r="A472" s="22" t="s">
        <v>218</v>
      </c>
      <c r="B472" s="23" t="s">
        <v>165</v>
      </c>
      <c r="C472" s="10" t="str">
        <f aca="false">IF(G472="","未受領",IF(G472="なし","報告なし",IF(AH472="○","起票済",IF(OR(AG472="○",F472="一致",F472="入金不要"),"入金確認済","受領済"))))</f>
        <v>未受領</v>
      </c>
      <c r="D472" s="10" t="str">
        <f aca="false">IF(OR(G472="",G472="なし"),"―",IF(CH472="N","対象外",IF(AND(I472="",J472="",K472=""),"標報未入力",IF(CD472&gt;=設定!$B$4,"要確認","問題なし"))))</f>
        <v>―</v>
      </c>
      <c r="E472" s="24" t="str">
        <f aca="false">IF(OR(G472="",G472="なし",CE472="",CF472=0),"―",IF(CF472=CE472,"前月同額",IF(CE472=0,"―",IF(ABS(CF472/CE472-1)&gt;=設定!$B$5,"変動大 "&amp;TEXT(CF472/CE472-1,"+0%;-0%"),"〇"))))</f>
        <v>―</v>
      </c>
      <c r="F472" s="10" t="str">
        <f aca="false">IF(OR(G472="",G472="なし"),"―",IF(CF472=0,"入金不要",IF(COUNT(Z472,AB472,AD472,AF472)=0,IF(AG472="○","手動確認","未入金"),IF(AND(N(Z472)=Y472,IF(AA472="",TRUE(),N(AB472)=AA472),IF(AC472="",TRUE(),N(AD472)=AC472),IF(AE472="",TRUE(),N(AF472)=AE472)),"一致","不一致"))))</f>
        <v>―</v>
      </c>
      <c r="G472" s="25"/>
      <c r="H472" s="26"/>
      <c r="I472" s="27"/>
      <c r="J472" s="27"/>
      <c r="K472" s="27"/>
      <c r="L472" s="27"/>
      <c r="M472" s="27"/>
      <c r="N472" s="27"/>
      <c r="O472" s="27"/>
      <c r="P472" s="27"/>
      <c r="Q472" s="27"/>
      <c r="R472" s="27"/>
      <c r="S472" s="27"/>
      <c r="T472" s="27"/>
      <c r="U472" s="27"/>
      <c r="V472" s="27"/>
      <c r="W472" s="10" t="str">
        <f aca="false">IFERROR(INDEX(設定!$E$61:$E$106,MATCH(B472,設定!$B$61:$B$106,0)),"合算")</f>
        <v>合算</v>
      </c>
      <c r="X472" s="28"/>
      <c r="Y472" s="29" t="str">
        <f aca="false">IF(OR(G472="",G472="なし"),"",IF(W472="合算",CF472,IF(W472="掛金・負担金別",(AU472+AV472+AZ472+BB472+BD472),SUM(AU472:AY472))))</f>
        <v/>
      </c>
      <c r="Z472" s="27"/>
      <c r="AA472" s="29" t="str">
        <f aca="false">IF(OR(G472="",G472="なし"),"",IF(W472="掛金・負担金別",(AW472+AX472+AY472+BA472+BC472+BE472),IF(W472="経理区分別",AZ472+BA472,"")))</f>
        <v/>
      </c>
      <c r="AB472" s="27"/>
      <c r="AC472" s="29" t="str">
        <f aca="false">IF(OR(G472="",G472="なし"),"",IF(W472="経理区分別",BB472+BC472,""))</f>
        <v/>
      </c>
      <c r="AD472" s="27"/>
      <c r="AE472" s="29" t="str">
        <f aca="false">IF(OR(G472="",G472="なし"),"",IF(W472="経理区分別",BD472+BE472,""))</f>
        <v/>
      </c>
      <c r="AF472" s="27"/>
      <c r="AG472" s="26"/>
      <c r="AH472" s="26"/>
      <c r="AI472" s="30"/>
      <c r="AJ472" s="31" t="n">
        <v>280905</v>
      </c>
      <c r="AK472" s="31" t="n">
        <v>23025</v>
      </c>
      <c r="AL472" s="31" t="n">
        <v>408310</v>
      </c>
      <c r="AM472" s="31" t="n">
        <v>23025</v>
      </c>
      <c r="AN472" s="31" t="n">
        <v>288</v>
      </c>
      <c r="AO472" s="31" t="n">
        <v>190331</v>
      </c>
      <c r="AP472" s="31" t="n">
        <v>193690</v>
      </c>
      <c r="AQ472" s="31" t="n">
        <v>15326</v>
      </c>
      <c r="AR472" s="31" t="n">
        <v>15326</v>
      </c>
      <c r="AS472" s="31" t="n">
        <v>1</v>
      </c>
      <c r="AT472" s="31" t="n">
        <v>1</v>
      </c>
      <c r="AU472" s="31" t="n">
        <f aca="false">IF($G472="",AJ472,L472)</f>
        <v>280905</v>
      </c>
      <c r="AV472" s="31" t="n">
        <f aca="false">IF($G472="",AK472,M472)</f>
        <v>23025</v>
      </c>
      <c r="AW472" s="31" t="n">
        <f aca="false">IF($G472="",AL472,N472)</f>
        <v>408310</v>
      </c>
      <c r="AX472" s="31" t="n">
        <f aca="false">IF($G472="",AM472,O472)</f>
        <v>23025</v>
      </c>
      <c r="AY472" s="31" t="n">
        <f aca="false">IF($G472="",AN472,P472)</f>
        <v>288</v>
      </c>
      <c r="AZ472" s="31" t="n">
        <f aca="false">IF($G472="",AO472,Q472)</f>
        <v>190331</v>
      </c>
      <c r="BA472" s="31" t="n">
        <f aca="false">IF($G472="",AP472,R472)</f>
        <v>193690</v>
      </c>
      <c r="BB472" s="31" t="n">
        <f aca="false">IF($G472="",AQ472,S472)</f>
        <v>15326</v>
      </c>
      <c r="BC472" s="31" t="n">
        <f aca="false">IF($G472="",AR472,T472)</f>
        <v>15326</v>
      </c>
      <c r="BD472" s="31" t="n">
        <f aca="false">IF($G472="",AS472,U472)</f>
        <v>1</v>
      </c>
      <c r="BE472" s="31" t="n">
        <f aca="false">IF($G472="",AT472,V472)</f>
        <v>1</v>
      </c>
      <c r="BF472" s="31" t="n">
        <f aca="false">ROUNDDOWN(I472*設定!$B$10/1000,0)+ROUNDDOWN(I472*設定!$B$11/1000,0)</f>
        <v>0</v>
      </c>
      <c r="BG472" s="31" t="n">
        <f aca="false">ROUNDDOWN(I472*設定!$C$10/1000,0)+ROUNDDOWN(I472*設定!$C$11/1000,0)+ROUNDDOWN(I472*設定!$C$12/1000,0)</f>
        <v>0</v>
      </c>
      <c r="BH472" s="31" t="n">
        <f aca="false">ROUNDDOWN(J472*設定!$B$13/1000,0)</f>
        <v>0</v>
      </c>
      <c r="BI472" s="31" t="n">
        <f aca="false">ROUNDDOWN(J472*設定!$C$13/1000,0)</f>
        <v>0</v>
      </c>
      <c r="BJ472" s="31" t="n">
        <f aca="false">ROUNDDOWN(K472*設定!$B$14/1000,0)</f>
        <v>0</v>
      </c>
      <c r="BK472" s="31" t="n">
        <f aca="false">ROUNDDOWN(K472*設定!$C$14/1000,0)</f>
        <v>0</v>
      </c>
      <c r="BL472" s="31" t="n">
        <f aca="false">ROUNDDOWN(J472*設定!$B$15/1000,0)</f>
        <v>0</v>
      </c>
      <c r="BM472" s="31" t="n">
        <f aca="false">ROUNDDOWN(J472*設定!$C$15/1000,0)</f>
        <v>0</v>
      </c>
      <c r="BN472" s="31" t="n">
        <f aca="false">L472+M472</f>
        <v>0</v>
      </c>
      <c r="BO472" s="31" t="n">
        <f aca="false">N472+O472+P472</f>
        <v>0</v>
      </c>
      <c r="BP472" s="31" t="n">
        <f aca="false">Q472</f>
        <v>0</v>
      </c>
      <c r="BQ472" s="31" t="n">
        <f aca="false">R472</f>
        <v>0</v>
      </c>
      <c r="BR472" s="31" t="n">
        <f aca="false">S472</f>
        <v>0</v>
      </c>
      <c r="BS472" s="31" t="n">
        <f aca="false">T472</f>
        <v>0</v>
      </c>
      <c r="BT472" s="31" t="n">
        <f aca="false">U472</f>
        <v>0</v>
      </c>
      <c r="BU472" s="31" t="n">
        <f aca="false">V472</f>
        <v>0</v>
      </c>
      <c r="BV472" s="32" t="n">
        <f aca="false">IF(BF472=0,IF(BN472=0,0,1),(BN472-BF472)/BF472)</f>
        <v>0</v>
      </c>
      <c r="BW472" s="32" t="n">
        <f aca="false">IF(BG472=0,IF(BO472=0,0,1),(BO472-BG472)/BG472)</f>
        <v>0</v>
      </c>
      <c r="BX472" s="32" t="n">
        <f aca="false">IF(BH472=0,IF(BP472=0,0,1),(BP472-BH472)/BH472)</f>
        <v>0</v>
      </c>
      <c r="BY472" s="32" t="n">
        <f aca="false">IF(BI472=0,IF(BQ472=0,0,1),(BQ472-BI472)/BI472)</f>
        <v>0</v>
      </c>
      <c r="BZ472" s="32" t="n">
        <f aca="false">IF(BJ472=0,IF(BR472=0,0,1),(BR472-BJ472)/BJ472)</f>
        <v>0</v>
      </c>
      <c r="CA472" s="32" t="n">
        <f aca="false">IF(BK472=0,IF(BS472=0,0,1),(BS472-BK472)/BK472)</f>
        <v>0</v>
      </c>
      <c r="CB472" s="32" t="n">
        <f aca="false">IF(BL472=0,IF(BT472=0,0,1),(BT472-BL472)/BL472)</f>
        <v>0</v>
      </c>
      <c r="CC472" s="32" t="n">
        <f aca="false">IF(BM472=0,IF(BU472=0,0,1),(BU472-BM472)/BM472)</f>
        <v>0</v>
      </c>
      <c r="CD472" s="32" t="n">
        <f aca="false">MAX(MAX(BV472:CC472),-MIN(BV472:CC472))</f>
        <v>-0</v>
      </c>
      <c r="CE472" s="31" t="n">
        <f aca="false">IF(CI472="","",SUMIFS($CF$7:$CF$696,$A$7:$A$696,CI472,$B$7:$B$696,B472))</f>
        <v>1230286</v>
      </c>
      <c r="CF472" s="31" t="n">
        <f aca="false">SUM(AU472:BE472)</f>
        <v>1150228</v>
      </c>
      <c r="CG472" s="33" t="str">
        <f aca="false">A472&amp;"|"&amp;B472</f>
        <v>2026-12 月例|選挙管理委員会</v>
      </c>
      <c r="CH472" s="34" t="str">
        <f aca="false">IFERROR(INDEX(設定!$D$61:$D$106,MATCH(B472,設定!$B$61:$B$106,0)),"Y")</f>
        <v>Y</v>
      </c>
      <c r="CI472" s="34" t="str">
        <f aca="false">IFERROR(INDEX(設定!$D$20:$D$34,MATCH(A472,設定!$A$20:$A$34,0))&amp;"","")</f>
        <v>2026-11 月例</v>
      </c>
    </row>
    <row r="473" customFormat="false" ht="15" hidden="true" customHeight="false" outlineLevel="0" collapsed="false">
      <c r="A473" s="22" t="s">
        <v>218</v>
      </c>
      <c r="B473" s="23" t="s">
        <v>166</v>
      </c>
      <c r="C473" s="10" t="str">
        <f aca="false">IF(G473="","未受領",IF(G473="なし","報告なし",IF(AH473="○","起票済",IF(OR(AG473="○",F473="一致",F473="入金不要"),"入金確認済","受領済"))))</f>
        <v>未受領</v>
      </c>
      <c r="D473" s="10" t="str">
        <f aca="false">IF(OR(G473="",G473="なし"),"―",IF(CH473="N","対象外",IF(AND(I473="",J473="",K473=""),"標報未入力",IF(CD473&gt;=設定!$B$4,"要確認","問題なし"))))</f>
        <v>―</v>
      </c>
      <c r="E473" s="24" t="str">
        <f aca="false">IF(OR(G473="",G473="なし",CE473="",CF473=0),"―",IF(CF473=CE473,"前月同額",IF(CE473=0,"―",IF(ABS(CF473/CE473-1)&gt;=設定!$B$5,"変動大 "&amp;TEXT(CF473/CE473-1,"+0%;-0%"),"〇"))))</f>
        <v>―</v>
      </c>
      <c r="F473" s="10" t="str">
        <f aca="false">IF(OR(G473="",G473="なし"),"―",IF(CF473=0,"入金不要",IF(COUNT(Z473,AB473,AD473,AF473)=0,IF(AG473="○","手動確認","未入金"),IF(AND(N(Z473)=Y473,IF(AA473="",TRUE(),N(AB473)=AA473),IF(AC473="",TRUE(),N(AD473)=AC473),IF(AE473="",TRUE(),N(AF473)=AE473)),"一致","不一致"))))</f>
        <v>―</v>
      </c>
      <c r="G473" s="25"/>
      <c r="H473" s="26"/>
      <c r="I473" s="27"/>
      <c r="J473" s="27"/>
      <c r="K473" s="27"/>
      <c r="L473" s="27"/>
      <c r="M473" s="27"/>
      <c r="N473" s="27"/>
      <c r="O473" s="27"/>
      <c r="P473" s="27"/>
      <c r="Q473" s="27"/>
      <c r="R473" s="27"/>
      <c r="S473" s="27"/>
      <c r="T473" s="27"/>
      <c r="U473" s="27"/>
      <c r="V473" s="27"/>
      <c r="W473" s="10" t="str">
        <f aca="false">IFERROR(INDEX(設定!$E$61:$E$106,MATCH(B473,設定!$B$61:$B$106,0)),"合算")</f>
        <v>合算</v>
      </c>
      <c r="X473" s="28"/>
      <c r="Y473" s="29" t="str">
        <f aca="false">IF(OR(G473="",G473="なし"),"",IF(W473="合算",CF473,IF(W473="掛金・負担金別",(AU473+AV473+AZ473+BB473+BD473),SUM(AU473:AY473))))</f>
        <v/>
      </c>
      <c r="Z473" s="27"/>
      <c r="AA473" s="29" t="str">
        <f aca="false">IF(OR(G473="",G473="なし"),"",IF(W473="掛金・負担金別",(AW473+AX473+AY473+BA473+BC473+BE473),IF(W473="経理区分別",AZ473+BA473,"")))</f>
        <v/>
      </c>
      <c r="AB473" s="27"/>
      <c r="AC473" s="29" t="str">
        <f aca="false">IF(OR(G473="",G473="なし"),"",IF(W473="経理区分別",BB473+BC473,""))</f>
        <v/>
      </c>
      <c r="AD473" s="27"/>
      <c r="AE473" s="29" t="str">
        <f aca="false">IF(OR(G473="",G473="なし"),"",IF(W473="経理区分別",BD473+BE473,""))</f>
        <v/>
      </c>
      <c r="AF473" s="27"/>
      <c r="AG473" s="26"/>
      <c r="AH473" s="26"/>
      <c r="AI473" s="30"/>
      <c r="AJ473" s="31" t="n">
        <v>561810</v>
      </c>
      <c r="AK473" s="31" t="n">
        <v>46050</v>
      </c>
      <c r="AL473" s="31" t="n">
        <v>816620</v>
      </c>
      <c r="AM473" s="31" t="n">
        <v>46050</v>
      </c>
      <c r="AN473" s="31" t="n">
        <v>576</v>
      </c>
      <c r="AO473" s="31" t="n">
        <v>343259</v>
      </c>
      <c r="AP473" s="31" t="n">
        <v>349315</v>
      </c>
      <c r="AQ473" s="31" t="n">
        <v>32232</v>
      </c>
      <c r="AR473" s="31" t="n">
        <v>32232</v>
      </c>
      <c r="AS473" s="31" t="n">
        <v>1</v>
      </c>
      <c r="AT473" s="31" t="n">
        <v>1</v>
      </c>
      <c r="AU473" s="31" t="n">
        <f aca="false">IF($G473="",AJ473,L473)</f>
        <v>561810</v>
      </c>
      <c r="AV473" s="31" t="n">
        <f aca="false">IF($G473="",AK473,M473)</f>
        <v>46050</v>
      </c>
      <c r="AW473" s="31" t="n">
        <f aca="false">IF($G473="",AL473,N473)</f>
        <v>816620</v>
      </c>
      <c r="AX473" s="31" t="n">
        <f aca="false">IF($G473="",AM473,O473)</f>
        <v>46050</v>
      </c>
      <c r="AY473" s="31" t="n">
        <f aca="false">IF($G473="",AN473,P473)</f>
        <v>576</v>
      </c>
      <c r="AZ473" s="31" t="n">
        <f aca="false">IF($G473="",AO473,Q473)</f>
        <v>343259</v>
      </c>
      <c r="BA473" s="31" t="n">
        <f aca="false">IF($G473="",AP473,R473)</f>
        <v>349315</v>
      </c>
      <c r="BB473" s="31" t="n">
        <f aca="false">IF($G473="",AQ473,S473)</f>
        <v>32232</v>
      </c>
      <c r="BC473" s="31" t="n">
        <f aca="false">IF($G473="",AR473,T473)</f>
        <v>32232</v>
      </c>
      <c r="BD473" s="31" t="n">
        <f aca="false">IF($G473="",AS473,U473)</f>
        <v>1</v>
      </c>
      <c r="BE473" s="31" t="n">
        <f aca="false">IF($G473="",AT473,V473)</f>
        <v>1</v>
      </c>
      <c r="BF473" s="31" t="n">
        <f aca="false">ROUNDDOWN(I473*設定!$B$10/1000,0)+ROUNDDOWN(I473*設定!$B$11/1000,0)</f>
        <v>0</v>
      </c>
      <c r="BG473" s="31" t="n">
        <f aca="false">ROUNDDOWN(I473*設定!$C$10/1000,0)+ROUNDDOWN(I473*設定!$C$11/1000,0)+ROUNDDOWN(I473*設定!$C$12/1000,0)</f>
        <v>0</v>
      </c>
      <c r="BH473" s="31" t="n">
        <f aca="false">ROUNDDOWN(J473*設定!$B$13/1000,0)</f>
        <v>0</v>
      </c>
      <c r="BI473" s="31" t="n">
        <f aca="false">ROUNDDOWN(J473*設定!$C$13/1000,0)</f>
        <v>0</v>
      </c>
      <c r="BJ473" s="31" t="n">
        <f aca="false">ROUNDDOWN(K473*設定!$B$14/1000,0)</f>
        <v>0</v>
      </c>
      <c r="BK473" s="31" t="n">
        <f aca="false">ROUNDDOWN(K473*設定!$C$14/1000,0)</f>
        <v>0</v>
      </c>
      <c r="BL473" s="31" t="n">
        <f aca="false">ROUNDDOWN(J473*設定!$B$15/1000,0)</f>
        <v>0</v>
      </c>
      <c r="BM473" s="31" t="n">
        <f aca="false">ROUNDDOWN(J473*設定!$C$15/1000,0)</f>
        <v>0</v>
      </c>
      <c r="BN473" s="31" t="n">
        <f aca="false">L473+M473</f>
        <v>0</v>
      </c>
      <c r="BO473" s="31" t="n">
        <f aca="false">N473+O473+P473</f>
        <v>0</v>
      </c>
      <c r="BP473" s="31" t="n">
        <f aca="false">Q473</f>
        <v>0</v>
      </c>
      <c r="BQ473" s="31" t="n">
        <f aca="false">R473</f>
        <v>0</v>
      </c>
      <c r="BR473" s="31" t="n">
        <f aca="false">S473</f>
        <v>0</v>
      </c>
      <c r="BS473" s="31" t="n">
        <f aca="false">T473</f>
        <v>0</v>
      </c>
      <c r="BT473" s="31" t="n">
        <f aca="false">U473</f>
        <v>0</v>
      </c>
      <c r="BU473" s="31" t="n">
        <f aca="false">V473</f>
        <v>0</v>
      </c>
      <c r="BV473" s="32" t="n">
        <f aca="false">IF(BF473=0,IF(BN473=0,0,1),(BN473-BF473)/BF473)</f>
        <v>0</v>
      </c>
      <c r="BW473" s="32" t="n">
        <f aca="false">IF(BG473=0,IF(BO473=0,0,1),(BO473-BG473)/BG473)</f>
        <v>0</v>
      </c>
      <c r="BX473" s="32" t="n">
        <f aca="false">IF(BH473=0,IF(BP473=0,0,1),(BP473-BH473)/BH473)</f>
        <v>0</v>
      </c>
      <c r="BY473" s="32" t="n">
        <f aca="false">IF(BI473=0,IF(BQ473=0,0,1),(BQ473-BI473)/BI473)</f>
        <v>0</v>
      </c>
      <c r="BZ473" s="32" t="n">
        <f aca="false">IF(BJ473=0,IF(BR473=0,0,1),(BR473-BJ473)/BJ473)</f>
        <v>0</v>
      </c>
      <c r="CA473" s="32" t="n">
        <f aca="false">IF(BK473=0,IF(BS473=0,0,1),(BS473-BK473)/BK473)</f>
        <v>0</v>
      </c>
      <c r="CB473" s="32" t="n">
        <f aca="false">IF(BL473=0,IF(BT473=0,0,1),(BT473-BL473)/BL473)</f>
        <v>0</v>
      </c>
      <c r="CC473" s="32" t="n">
        <f aca="false">IF(BM473=0,IF(BU473=0,0,1),(BU473-BM473)/BM473)</f>
        <v>0</v>
      </c>
      <c r="CD473" s="32" t="n">
        <f aca="false">MAX(MAX(BV473:CC473),-MIN(BV473:CC473))</f>
        <v>-0</v>
      </c>
      <c r="CE473" s="31" t="n">
        <f aca="false">IF(CI473="","",SUMIFS($CF$7:$CF$696,$A$7:$A$696,CI473,$B$7:$B$696,B473))</f>
        <v>2246148</v>
      </c>
      <c r="CF473" s="31" t="n">
        <f aca="false">SUM(AU473:BE473)</f>
        <v>2228146</v>
      </c>
      <c r="CG473" s="33" t="str">
        <f aca="false">A473&amp;"|"&amp;B473</f>
        <v>2026-12 月例|人事委員会</v>
      </c>
      <c r="CH473" s="34" t="str">
        <f aca="false">IFERROR(INDEX(設定!$D$61:$D$106,MATCH(B473,設定!$B$61:$B$106,0)),"Y")</f>
        <v>Y</v>
      </c>
      <c r="CI473" s="34" t="str">
        <f aca="false">IFERROR(INDEX(設定!$D$20:$D$34,MATCH(A473,設定!$A$20:$A$34,0))&amp;"","")</f>
        <v>2026-11 月例</v>
      </c>
    </row>
    <row r="474" customFormat="false" ht="15" hidden="true" customHeight="false" outlineLevel="0" collapsed="false">
      <c r="A474" s="22" t="s">
        <v>218</v>
      </c>
      <c r="B474" s="23" t="s">
        <v>167</v>
      </c>
      <c r="C474" s="10" t="str">
        <f aca="false">IF(G474="","未受領",IF(G474="なし","報告なし",IF(AH474="○","起票済",IF(OR(AG474="○",F474="一致",F474="入金不要"),"入金確認済","受領済"))))</f>
        <v>未受領</v>
      </c>
      <c r="D474" s="10" t="str">
        <f aca="false">IF(OR(G474="",G474="なし"),"―",IF(CH474="N","対象外",IF(AND(I474="",J474="",K474=""),"標報未入力",IF(CD474&gt;=設定!$B$4,"要確認","問題なし"))))</f>
        <v>―</v>
      </c>
      <c r="E474" s="24" t="str">
        <f aca="false">IF(OR(G474="",G474="なし",CE474="",CF474=0),"―",IF(CF474=CE474,"前月同額",IF(CE474=0,"―",IF(ABS(CF474/CE474-1)&gt;=設定!$B$5,"変動大 "&amp;TEXT(CF474/CE474-1,"+0%;-0%"),"〇"))))</f>
        <v>―</v>
      </c>
      <c r="F474" s="10" t="str">
        <f aca="false">IF(OR(G474="",G474="なし"),"―",IF(CF474=0,"入金不要",IF(COUNT(Z474,AB474,AD474,AF474)=0,IF(AG474="○","手動確認","未入金"),IF(AND(N(Z474)=Y474,IF(AA474="",TRUE(),N(AB474)=AA474),IF(AC474="",TRUE(),N(AD474)=AC474),IF(AE474="",TRUE(),N(AF474)=AE474)),"一致","不一致"))))</f>
        <v>―</v>
      </c>
      <c r="G474" s="25"/>
      <c r="H474" s="26"/>
      <c r="I474" s="27"/>
      <c r="J474" s="27"/>
      <c r="K474" s="27"/>
      <c r="L474" s="27"/>
      <c r="M474" s="27"/>
      <c r="N474" s="27"/>
      <c r="O474" s="27"/>
      <c r="P474" s="27"/>
      <c r="Q474" s="27"/>
      <c r="R474" s="27"/>
      <c r="S474" s="27"/>
      <c r="T474" s="27"/>
      <c r="U474" s="27"/>
      <c r="V474" s="27"/>
      <c r="W474" s="10" t="str">
        <f aca="false">IFERROR(INDEX(設定!$E$61:$E$106,MATCH(B474,設定!$B$61:$B$106,0)),"合算")</f>
        <v>合算</v>
      </c>
      <c r="X474" s="28"/>
      <c r="Y474" s="29" t="str">
        <f aca="false">IF(OR(G474="",G474="なし"),"",IF(W474="合算",CF474,IF(W474="掛金・負担金別",(AU474+AV474+AZ474+BB474+BD474),SUM(AU474:AY474))))</f>
        <v/>
      </c>
      <c r="Z474" s="27"/>
      <c r="AA474" s="29" t="str">
        <f aca="false">IF(OR(G474="",G474="なし"),"",IF(W474="掛金・負担金別",(AW474+AX474+AY474+BA474+BC474+BE474),IF(W474="経理区分別",AZ474+BA474,"")))</f>
        <v/>
      </c>
      <c r="AB474" s="27"/>
      <c r="AC474" s="29" t="str">
        <f aca="false">IF(OR(G474="",G474="なし"),"",IF(W474="経理区分別",BB474+BC474,""))</f>
        <v/>
      </c>
      <c r="AD474" s="27"/>
      <c r="AE474" s="29" t="str">
        <f aca="false">IF(OR(G474="",G474="なし"),"",IF(W474="経理区分別",BD474+BE474,""))</f>
        <v/>
      </c>
      <c r="AF474" s="27"/>
      <c r="AG474" s="26"/>
      <c r="AH474" s="26"/>
      <c r="AI474" s="30"/>
      <c r="AJ474" s="31" t="n">
        <v>1344135</v>
      </c>
      <c r="AK474" s="31" t="n">
        <v>110175</v>
      </c>
      <c r="AL474" s="31" t="n">
        <v>1965390</v>
      </c>
      <c r="AM474" s="31" t="n">
        <v>110175</v>
      </c>
      <c r="AN474" s="31" t="n">
        <v>1405</v>
      </c>
      <c r="AO474" s="31" t="n">
        <v>836690</v>
      </c>
      <c r="AP474" s="31" t="n">
        <v>851727</v>
      </c>
      <c r="AQ474" s="31" t="n">
        <v>108309</v>
      </c>
      <c r="AR474" s="31" t="n">
        <v>108309</v>
      </c>
      <c r="AS474" s="31" t="n">
        <v>1</v>
      </c>
      <c r="AT474" s="31" t="n">
        <v>1</v>
      </c>
      <c r="AU474" s="31" t="n">
        <f aca="false">IF($G474="",AJ474,L474)</f>
        <v>1344135</v>
      </c>
      <c r="AV474" s="31" t="n">
        <f aca="false">IF($G474="",AK474,M474)</f>
        <v>110175</v>
      </c>
      <c r="AW474" s="31" t="n">
        <f aca="false">IF($G474="",AL474,N474)</f>
        <v>1965390</v>
      </c>
      <c r="AX474" s="31" t="n">
        <f aca="false">IF($G474="",AM474,O474)</f>
        <v>110175</v>
      </c>
      <c r="AY474" s="31" t="n">
        <f aca="false">IF($G474="",AN474,P474)</f>
        <v>1405</v>
      </c>
      <c r="AZ474" s="31" t="n">
        <f aca="false">IF($G474="",AO474,Q474)</f>
        <v>836690</v>
      </c>
      <c r="BA474" s="31" t="n">
        <f aca="false">IF($G474="",AP474,R474)</f>
        <v>851727</v>
      </c>
      <c r="BB474" s="31" t="n">
        <f aca="false">IF($G474="",AQ474,S474)</f>
        <v>108309</v>
      </c>
      <c r="BC474" s="31" t="n">
        <f aca="false">IF($G474="",AR474,T474)</f>
        <v>108309</v>
      </c>
      <c r="BD474" s="31" t="n">
        <f aca="false">IF($G474="",AS474,U474)</f>
        <v>1</v>
      </c>
      <c r="BE474" s="31" t="n">
        <f aca="false">IF($G474="",AT474,V474)</f>
        <v>1</v>
      </c>
      <c r="BF474" s="31" t="n">
        <f aca="false">ROUNDDOWN(I474*設定!$B$10/1000,0)+ROUNDDOWN(I474*設定!$B$11/1000,0)</f>
        <v>0</v>
      </c>
      <c r="BG474" s="31" t="n">
        <f aca="false">ROUNDDOWN(I474*設定!$C$10/1000,0)+ROUNDDOWN(I474*設定!$C$11/1000,0)+ROUNDDOWN(I474*設定!$C$12/1000,0)</f>
        <v>0</v>
      </c>
      <c r="BH474" s="31" t="n">
        <f aca="false">ROUNDDOWN(J474*設定!$B$13/1000,0)</f>
        <v>0</v>
      </c>
      <c r="BI474" s="31" t="n">
        <f aca="false">ROUNDDOWN(J474*設定!$C$13/1000,0)</f>
        <v>0</v>
      </c>
      <c r="BJ474" s="31" t="n">
        <f aca="false">ROUNDDOWN(K474*設定!$B$14/1000,0)</f>
        <v>0</v>
      </c>
      <c r="BK474" s="31" t="n">
        <f aca="false">ROUNDDOWN(K474*設定!$C$14/1000,0)</f>
        <v>0</v>
      </c>
      <c r="BL474" s="31" t="n">
        <f aca="false">ROUNDDOWN(J474*設定!$B$15/1000,0)</f>
        <v>0</v>
      </c>
      <c r="BM474" s="31" t="n">
        <f aca="false">ROUNDDOWN(J474*設定!$C$15/1000,0)</f>
        <v>0</v>
      </c>
      <c r="BN474" s="31" t="n">
        <f aca="false">L474+M474</f>
        <v>0</v>
      </c>
      <c r="BO474" s="31" t="n">
        <f aca="false">N474+O474+P474</f>
        <v>0</v>
      </c>
      <c r="BP474" s="31" t="n">
        <f aca="false">Q474</f>
        <v>0</v>
      </c>
      <c r="BQ474" s="31" t="n">
        <f aca="false">R474</f>
        <v>0</v>
      </c>
      <c r="BR474" s="31" t="n">
        <f aca="false">S474</f>
        <v>0</v>
      </c>
      <c r="BS474" s="31" t="n">
        <f aca="false">T474</f>
        <v>0</v>
      </c>
      <c r="BT474" s="31" t="n">
        <f aca="false">U474</f>
        <v>0</v>
      </c>
      <c r="BU474" s="31" t="n">
        <f aca="false">V474</f>
        <v>0</v>
      </c>
      <c r="BV474" s="32" t="n">
        <f aca="false">IF(BF474=0,IF(BN474=0,0,1),(BN474-BF474)/BF474)</f>
        <v>0</v>
      </c>
      <c r="BW474" s="32" t="n">
        <f aca="false">IF(BG474=0,IF(BO474=0,0,1),(BO474-BG474)/BG474)</f>
        <v>0</v>
      </c>
      <c r="BX474" s="32" t="n">
        <f aca="false">IF(BH474=0,IF(BP474=0,0,1),(BP474-BH474)/BH474)</f>
        <v>0</v>
      </c>
      <c r="BY474" s="32" t="n">
        <f aca="false">IF(BI474=0,IF(BQ474=0,0,1),(BQ474-BI474)/BI474)</f>
        <v>0</v>
      </c>
      <c r="BZ474" s="32" t="n">
        <f aca="false">IF(BJ474=0,IF(BR474=0,0,1),(BR474-BJ474)/BJ474)</f>
        <v>0</v>
      </c>
      <c r="CA474" s="32" t="n">
        <f aca="false">IF(BK474=0,IF(BS474=0,0,1),(BS474-BK474)/BK474)</f>
        <v>0</v>
      </c>
      <c r="CB474" s="32" t="n">
        <f aca="false">IF(BL474=0,IF(BT474=0,0,1),(BT474-BL474)/BL474)</f>
        <v>0</v>
      </c>
      <c r="CC474" s="32" t="n">
        <f aca="false">IF(BM474=0,IF(BU474=0,0,1),(BU474-BM474)/BM474)</f>
        <v>0</v>
      </c>
      <c r="CD474" s="32" t="n">
        <f aca="false">MAX(MAX(BV474:CC474),-MIN(BV474:CC474))</f>
        <v>-0</v>
      </c>
      <c r="CE474" s="31" t="n">
        <f aca="false">IF(CI474="","",SUMIFS($CF$7:$CF$696,$A$7:$A$696,CI474,$B$7:$B$696,B474))</f>
        <v>5436317</v>
      </c>
      <c r="CF474" s="31" t="n">
        <f aca="false">SUM(AU474:BE474)</f>
        <v>5436317</v>
      </c>
      <c r="CG474" s="33" t="str">
        <f aca="false">A474&amp;"|"&amp;B474</f>
        <v>2026-12 月例|監査事務局</v>
      </c>
      <c r="CH474" s="34" t="str">
        <f aca="false">IFERROR(INDEX(設定!$D$61:$D$106,MATCH(B474,設定!$B$61:$B$106,0)),"Y")</f>
        <v>Y</v>
      </c>
      <c r="CI474" s="34" t="str">
        <f aca="false">IFERROR(INDEX(設定!$D$20:$D$34,MATCH(A474,設定!$A$20:$A$34,0))&amp;"","")</f>
        <v>2026-11 月例</v>
      </c>
    </row>
    <row r="475" customFormat="false" ht="15" hidden="true" customHeight="false" outlineLevel="0" collapsed="false">
      <c r="A475" s="22" t="s">
        <v>218</v>
      </c>
      <c r="B475" s="23" t="s">
        <v>168</v>
      </c>
      <c r="C475" s="10" t="str">
        <f aca="false">IF(G475="","未受領",IF(G475="なし","報告なし",IF(AH475="○","起票済",IF(OR(AG475="○",F475="一致",F475="入金不要"),"入金確認済","受領済"))))</f>
        <v>未受領</v>
      </c>
      <c r="D475" s="10" t="str">
        <f aca="false">IF(OR(G475="",G475="なし"),"―",IF(CH475="N","対象外",IF(AND(I475="",J475="",K475=""),"標報未入力",IF(CD475&gt;=設定!$B$4,"要確認","問題なし"))))</f>
        <v>―</v>
      </c>
      <c r="E475" s="24" t="str">
        <f aca="false">IF(OR(G475="",G475="なし",CE475="",CF475=0),"―",IF(CF475=CE475,"前月同額",IF(CE475=0,"―",IF(ABS(CF475/CE475-1)&gt;=設定!$B$5,"変動大 "&amp;TEXT(CF475/CE475-1,"+0%;-0%"),"〇"))))</f>
        <v>―</v>
      </c>
      <c r="F475" s="10" t="str">
        <f aca="false">IF(OR(G475="",G475="なし"),"―",IF(CF475=0,"入金不要",IF(COUNT(Z475,AB475,AD475,AF475)=0,IF(AG475="○","手動確認","未入金"),IF(AND(N(Z475)=Y475,IF(AA475="",TRUE(),N(AB475)=AA475),IF(AC475="",TRUE(),N(AD475)=AC475),IF(AE475="",TRUE(),N(AF475)=AE475)),"一致","不一致"))))</f>
        <v>―</v>
      </c>
      <c r="G475" s="25"/>
      <c r="H475" s="26"/>
      <c r="I475" s="27"/>
      <c r="J475" s="27"/>
      <c r="K475" s="27"/>
      <c r="L475" s="27"/>
      <c r="M475" s="27"/>
      <c r="N475" s="27"/>
      <c r="O475" s="27"/>
      <c r="P475" s="27"/>
      <c r="Q475" s="27"/>
      <c r="R475" s="27"/>
      <c r="S475" s="27"/>
      <c r="T475" s="27"/>
      <c r="U475" s="27"/>
      <c r="V475" s="27"/>
      <c r="W475" s="10" t="str">
        <f aca="false">IFERROR(INDEX(設定!$E$61:$E$106,MATCH(B475,設定!$B$61:$B$106,0)),"合算")</f>
        <v>合算</v>
      </c>
      <c r="X475" s="28"/>
      <c r="Y475" s="29" t="str">
        <f aca="false">IF(OR(G475="",G475="なし"),"",IF(W475="合算",CF475,IF(W475="掛金・負担金別",(AU475+AV475+AZ475+BB475+BD475),SUM(AU475:AY475))))</f>
        <v/>
      </c>
      <c r="Z475" s="27"/>
      <c r="AA475" s="29" t="str">
        <f aca="false">IF(OR(G475="",G475="なし"),"",IF(W475="掛金・負担金別",(AW475+AX475+AY475+BA475+BC475+BE475),IF(W475="経理区分別",AZ475+BA475,"")))</f>
        <v/>
      </c>
      <c r="AB475" s="27"/>
      <c r="AC475" s="29" t="str">
        <f aca="false">IF(OR(G475="",G475="なし"),"",IF(W475="経理区分別",BB475+BC475,""))</f>
        <v/>
      </c>
      <c r="AD475" s="27"/>
      <c r="AE475" s="29" t="str">
        <f aca="false">IF(OR(G475="",G475="なし"),"",IF(W475="経理区分別",BD475+BE475,""))</f>
        <v/>
      </c>
      <c r="AF475" s="27"/>
      <c r="AG475" s="26"/>
      <c r="AH475" s="26"/>
      <c r="AI475" s="30"/>
      <c r="AJ475" s="31" t="n">
        <v>382470</v>
      </c>
      <c r="AK475" s="31" t="n">
        <v>31350</v>
      </c>
      <c r="AL475" s="31" t="n">
        <v>555940</v>
      </c>
      <c r="AM475" s="31" t="n">
        <v>31350</v>
      </c>
      <c r="AN475" s="31" t="n">
        <v>392</v>
      </c>
      <c r="AO475" s="31" t="n">
        <v>308930</v>
      </c>
      <c r="AP475" s="31" t="n">
        <v>314382</v>
      </c>
      <c r="AQ475" s="31" t="n">
        <v>32672</v>
      </c>
      <c r="AR475" s="31" t="n">
        <v>32674</v>
      </c>
      <c r="AS475" s="31" t="n">
        <v>1</v>
      </c>
      <c r="AT475" s="31" t="n">
        <v>1</v>
      </c>
      <c r="AU475" s="31" t="n">
        <f aca="false">IF($G475="",AJ475,L475)</f>
        <v>382470</v>
      </c>
      <c r="AV475" s="31" t="n">
        <f aca="false">IF($G475="",AK475,M475)</f>
        <v>31350</v>
      </c>
      <c r="AW475" s="31" t="n">
        <f aca="false">IF($G475="",AL475,N475)</f>
        <v>555940</v>
      </c>
      <c r="AX475" s="31" t="n">
        <f aca="false">IF($G475="",AM475,O475)</f>
        <v>31350</v>
      </c>
      <c r="AY475" s="31" t="n">
        <f aca="false">IF($G475="",AN475,P475)</f>
        <v>392</v>
      </c>
      <c r="AZ475" s="31" t="n">
        <f aca="false">IF($G475="",AO475,Q475)</f>
        <v>308930</v>
      </c>
      <c r="BA475" s="31" t="n">
        <f aca="false">IF($G475="",AP475,R475)</f>
        <v>314382</v>
      </c>
      <c r="BB475" s="31" t="n">
        <f aca="false">IF($G475="",AQ475,S475)</f>
        <v>32672</v>
      </c>
      <c r="BC475" s="31" t="n">
        <f aca="false">IF($G475="",AR475,T475)</f>
        <v>32674</v>
      </c>
      <c r="BD475" s="31" t="n">
        <f aca="false">IF($G475="",AS475,U475)</f>
        <v>1</v>
      </c>
      <c r="BE475" s="31" t="n">
        <f aca="false">IF($G475="",AT475,V475)</f>
        <v>1</v>
      </c>
      <c r="BF475" s="31" t="n">
        <f aca="false">ROUNDDOWN(I475*設定!$B$10/1000,0)+ROUNDDOWN(I475*設定!$B$11/1000,0)</f>
        <v>0</v>
      </c>
      <c r="BG475" s="31" t="n">
        <f aca="false">ROUNDDOWN(I475*設定!$C$10/1000,0)+ROUNDDOWN(I475*設定!$C$11/1000,0)+ROUNDDOWN(I475*設定!$C$12/1000,0)</f>
        <v>0</v>
      </c>
      <c r="BH475" s="31" t="n">
        <f aca="false">ROUNDDOWN(J475*設定!$B$13/1000,0)</f>
        <v>0</v>
      </c>
      <c r="BI475" s="31" t="n">
        <f aca="false">ROUNDDOWN(J475*設定!$C$13/1000,0)</f>
        <v>0</v>
      </c>
      <c r="BJ475" s="31" t="n">
        <f aca="false">ROUNDDOWN(K475*設定!$B$14/1000,0)</f>
        <v>0</v>
      </c>
      <c r="BK475" s="31" t="n">
        <f aca="false">ROUNDDOWN(K475*設定!$C$14/1000,0)</f>
        <v>0</v>
      </c>
      <c r="BL475" s="31" t="n">
        <f aca="false">ROUNDDOWN(J475*設定!$B$15/1000,0)</f>
        <v>0</v>
      </c>
      <c r="BM475" s="31" t="n">
        <f aca="false">ROUNDDOWN(J475*設定!$C$15/1000,0)</f>
        <v>0</v>
      </c>
      <c r="BN475" s="31" t="n">
        <f aca="false">L475+M475</f>
        <v>0</v>
      </c>
      <c r="BO475" s="31" t="n">
        <f aca="false">N475+O475+P475</f>
        <v>0</v>
      </c>
      <c r="BP475" s="31" t="n">
        <f aca="false">Q475</f>
        <v>0</v>
      </c>
      <c r="BQ475" s="31" t="n">
        <f aca="false">R475</f>
        <v>0</v>
      </c>
      <c r="BR475" s="31" t="n">
        <f aca="false">S475</f>
        <v>0</v>
      </c>
      <c r="BS475" s="31" t="n">
        <f aca="false">T475</f>
        <v>0</v>
      </c>
      <c r="BT475" s="31" t="n">
        <f aca="false">U475</f>
        <v>0</v>
      </c>
      <c r="BU475" s="31" t="n">
        <f aca="false">V475</f>
        <v>0</v>
      </c>
      <c r="BV475" s="32" t="n">
        <f aca="false">IF(BF475=0,IF(BN475=0,0,1),(BN475-BF475)/BF475)</f>
        <v>0</v>
      </c>
      <c r="BW475" s="32" t="n">
        <f aca="false">IF(BG475=0,IF(BO475=0,0,1),(BO475-BG475)/BG475)</f>
        <v>0</v>
      </c>
      <c r="BX475" s="32" t="n">
        <f aca="false">IF(BH475=0,IF(BP475=0,0,1),(BP475-BH475)/BH475)</f>
        <v>0</v>
      </c>
      <c r="BY475" s="32" t="n">
        <f aca="false">IF(BI475=0,IF(BQ475=0,0,1),(BQ475-BI475)/BI475)</f>
        <v>0</v>
      </c>
      <c r="BZ475" s="32" t="n">
        <f aca="false">IF(BJ475=0,IF(BR475=0,0,1),(BR475-BJ475)/BJ475)</f>
        <v>0</v>
      </c>
      <c r="CA475" s="32" t="n">
        <f aca="false">IF(BK475=0,IF(BS475=0,0,1),(BS475-BK475)/BK475)</f>
        <v>0</v>
      </c>
      <c r="CB475" s="32" t="n">
        <f aca="false">IF(BL475=0,IF(BT475=0,0,1),(BT475-BL475)/BL475)</f>
        <v>0</v>
      </c>
      <c r="CC475" s="32" t="n">
        <f aca="false">IF(BM475=0,IF(BU475=0,0,1),(BU475-BM475)/BM475)</f>
        <v>0</v>
      </c>
      <c r="CD475" s="32" t="n">
        <f aca="false">MAX(MAX(BV475:CC475),-MIN(BV475:CC475))</f>
        <v>-0</v>
      </c>
      <c r="CE475" s="31" t="n">
        <f aca="false">IF(CI475="","",SUMIFS($CF$7:$CF$696,$A$7:$A$696,CI475,$B$7:$B$696,B475))</f>
        <v>1690162</v>
      </c>
      <c r="CF475" s="31" t="n">
        <f aca="false">SUM(AU475:BE475)</f>
        <v>1690162</v>
      </c>
      <c r="CG475" s="33" t="str">
        <f aca="false">A475&amp;"|"&amp;B475</f>
        <v>2026-12 月例|農業委員会</v>
      </c>
      <c r="CH475" s="34" t="str">
        <f aca="false">IFERROR(INDEX(設定!$D$61:$D$106,MATCH(B475,設定!$B$61:$B$106,0)),"Y")</f>
        <v>Y</v>
      </c>
      <c r="CI475" s="34" t="str">
        <f aca="false">IFERROR(INDEX(設定!$D$20:$D$34,MATCH(A475,設定!$A$20:$A$34,0))&amp;"","")</f>
        <v>2026-11 月例</v>
      </c>
    </row>
    <row r="476" customFormat="false" ht="15" hidden="true" customHeight="false" outlineLevel="0" collapsed="false">
      <c r="A476" s="22" t="s">
        <v>218</v>
      </c>
      <c r="B476" s="23" t="s">
        <v>169</v>
      </c>
      <c r="C476" s="10" t="str">
        <f aca="false">IF(G476="","未受領",IF(G476="なし","報告なし",IF(AH476="○","起票済",IF(OR(AG476="○",F476="一致",F476="入金不要"),"入金確認済","受領済"))))</f>
        <v>未受領</v>
      </c>
      <c r="D476" s="10" t="str">
        <f aca="false">IF(OR(G476="",G476="なし"),"―",IF(CH476="N","対象外",IF(AND(I476="",J476="",K476=""),"標報未入力",IF(CD476&gt;=設定!$B$4,"要確認","問題なし"))))</f>
        <v>―</v>
      </c>
      <c r="E476" s="24" t="str">
        <f aca="false">IF(OR(G476="",G476="なし",CE476="",CF476=0),"―",IF(CF476=CE476,"前月同額",IF(CE476=0,"―",IF(ABS(CF476/CE476-1)&gt;=設定!$B$5,"変動大 "&amp;TEXT(CF476/CE476-1,"+0%;-0%"),"〇"))))</f>
        <v>―</v>
      </c>
      <c r="F476" s="10" t="str">
        <f aca="false">IF(OR(G476="",G476="なし"),"―",IF(CF476=0,"入金不要",IF(COUNT(Z476,AB476,AD476,AF476)=0,IF(AG476="○","手動確認","未入金"),IF(AND(N(Z476)=Y476,IF(AA476="",TRUE(),N(AB476)=AA476),IF(AC476="",TRUE(),N(AD476)=AC476),IF(AE476="",TRUE(),N(AF476)=AE476)),"一致","不一致"))))</f>
        <v>―</v>
      </c>
      <c r="G476" s="25"/>
      <c r="H476" s="26"/>
      <c r="I476" s="27"/>
      <c r="J476" s="27"/>
      <c r="K476" s="27"/>
      <c r="L476" s="27"/>
      <c r="M476" s="27"/>
      <c r="N476" s="27"/>
      <c r="O476" s="27"/>
      <c r="P476" s="27"/>
      <c r="Q476" s="27"/>
      <c r="R476" s="27"/>
      <c r="S476" s="27"/>
      <c r="T476" s="27"/>
      <c r="U476" s="27"/>
      <c r="V476" s="27"/>
      <c r="W476" s="10" t="str">
        <f aca="false">IFERROR(INDEX(設定!$E$61:$E$106,MATCH(B476,設定!$B$61:$B$106,0)),"合算")</f>
        <v>合算</v>
      </c>
      <c r="X476" s="28"/>
      <c r="Y476" s="29" t="str">
        <f aca="false">IF(OR(G476="",G476="なし"),"",IF(W476="合算",CF476,IF(W476="掛金・負担金別",(AU476+AV476+AZ476+BB476+BD476),SUM(AU476:AY476))))</f>
        <v/>
      </c>
      <c r="Z476" s="27"/>
      <c r="AA476" s="29" t="str">
        <f aca="false">IF(OR(G476="",G476="なし"),"",IF(W476="掛金・負担金別",(AW476+AX476+AY476+BA476+BC476+BE476),IF(W476="経理区分別",AZ476+BA476,"")))</f>
        <v/>
      </c>
      <c r="AB476" s="27"/>
      <c r="AC476" s="29" t="str">
        <f aca="false">IF(OR(G476="",G476="なし"),"",IF(W476="経理区分別",BB476+BC476,""))</f>
        <v/>
      </c>
      <c r="AD476" s="27"/>
      <c r="AE476" s="29" t="str">
        <f aca="false">IF(OR(G476="",G476="なし"),"",IF(W476="経理区分別",BD476+BE476,""))</f>
        <v/>
      </c>
      <c r="AF476" s="27"/>
      <c r="AG476" s="26"/>
      <c r="AH476" s="26"/>
      <c r="AI476" s="30"/>
      <c r="AJ476" s="31" t="n">
        <v>22420245</v>
      </c>
      <c r="AK476" s="31" t="n">
        <v>1837725</v>
      </c>
      <c r="AL476" s="31" t="n">
        <v>32718055</v>
      </c>
      <c r="AM476" s="31" t="n">
        <v>1837725</v>
      </c>
      <c r="AN476" s="31" t="n">
        <v>23294</v>
      </c>
      <c r="AO476" s="31" t="n">
        <v>14220373</v>
      </c>
      <c r="AP476" s="31" t="n">
        <v>14474405</v>
      </c>
      <c r="AQ476" s="31" t="n">
        <v>1341183</v>
      </c>
      <c r="AR476" s="31" t="n">
        <v>1341183</v>
      </c>
      <c r="AS476" s="31" t="n">
        <v>1</v>
      </c>
      <c r="AT476" s="31" t="n">
        <v>1</v>
      </c>
      <c r="AU476" s="31" t="n">
        <f aca="false">IF($G476="",AJ476,L476)</f>
        <v>22420245</v>
      </c>
      <c r="AV476" s="31" t="n">
        <f aca="false">IF($G476="",AK476,M476)</f>
        <v>1837725</v>
      </c>
      <c r="AW476" s="31" t="n">
        <f aca="false">IF($G476="",AL476,N476)</f>
        <v>32718055</v>
      </c>
      <c r="AX476" s="31" t="n">
        <f aca="false">IF($G476="",AM476,O476)</f>
        <v>1837725</v>
      </c>
      <c r="AY476" s="31" t="n">
        <f aca="false">IF($G476="",AN476,P476)</f>
        <v>23294</v>
      </c>
      <c r="AZ476" s="31" t="n">
        <f aca="false">IF($G476="",AO476,Q476)</f>
        <v>14220373</v>
      </c>
      <c r="BA476" s="31" t="n">
        <f aca="false">IF($G476="",AP476,R476)</f>
        <v>14474405</v>
      </c>
      <c r="BB476" s="31" t="n">
        <f aca="false">IF($G476="",AQ476,S476)</f>
        <v>1341183</v>
      </c>
      <c r="BC476" s="31" t="n">
        <f aca="false">IF($G476="",AR476,T476)</f>
        <v>1341183</v>
      </c>
      <c r="BD476" s="31" t="n">
        <f aca="false">IF($G476="",AS476,U476)</f>
        <v>1</v>
      </c>
      <c r="BE476" s="31" t="n">
        <f aca="false">IF($G476="",AT476,V476)</f>
        <v>1</v>
      </c>
      <c r="BF476" s="31" t="n">
        <f aca="false">ROUNDDOWN(I476*設定!$B$10/1000,0)+ROUNDDOWN(I476*設定!$B$11/1000,0)</f>
        <v>0</v>
      </c>
      <c r="BG476" s="31" t="n">
        <f aca="false">ROUNDDOWN(I476*設定!$C$10/1000,0)+ROUNDDOWN(I476*設定!$C$11/1000,0)+ROUNDDOWN(I476*設定!$C$12/1000,0)</f>
        <v>0</v>
      </c>
      <c r="BH476" s="31" t="n">
        <f aca="false">ROUNDDOWN(J476*設定!$B$13/1000,0)</f>
        <v>0</v>
      </c>
      <c r="BI476" s="31" t="n">
        <f aca="false">ROUNDDOWN(J476*設定!$C$13/1000,0)</f>
        <v>0</v>
      </c>
      <c r="BJ476" s="31" t="n">
        <f aca="false">ROUNDDOWN(K476*設定!$B$14/1000,0)</f>
        <v>0</v>
      </c>
      <c r="BK476" s="31" t="n">
        <f aca="false">ROUNDDOWN(K476*設定!$C$14/1000,0)</f>
        <v>0</v>
      </c>
      <c r="BL476" s="31" t="n">
        <f aca="false">ROUNDDOWN(J476*設定!$B$15/1000,0)</f>
        <v>0</v>
      </c>
      <c r="BM476" s="31" t="n">
        <f aca="false">ROUNDDOWN(J476*設定!$C$15/1000,0)</f>
        <v>0</v>
      </c>
      <c r="BN476" s="31" t="n">
        <f aca="false">L476+M476</f>
        <v>0</v>
      </c>
      <c r="BO476" s="31" t="n">
        <f aca="false">N476+O476+P476</f>
        <v>0</v>
      </c>
      <c r="BP476" s="31" t="n">
        <f aca="false">Q476</f>
        <v>0</v>
      </c>
      <c r="BQ476" s="31" t="n">
        <f aca="false">R476</f>
        <v>0</v>
      </c>
      <c r="BR476" s="31" t="n">
        <f aca="false">S476</f>
        <v>0</v>
      </c>
      <c r="BS476" s="31" t="n">
        <f aca="false">T476</f>
        <v>0</v>
      </c>
      <c r="BT476" s="31" t="n">
        <f aca="false">U476</f>
        <v>0</v>
      </c>
      <c r="BU476" s="31" t="n">
        <f aca="false">V476</f>
        <v>0</v>
      </c>
      <c r="BV476" s="32" t="n">
        <f aca="false">IF(BF476=0,IF(BN476=0,0,1),(BN476-BF476)/BF476)</f>
        <v>0</v>
      </c>
      <c r="BW476" s="32" t="n">
        <f aca="false">IF(BG476=0,IF(BO476=0,0,1),(BO476-BG476)/BG476)</f>
        <v>0</v>
      </c>
      <c r="BX476" s="32" t="n">
        <f aca="false">IF(BH476=0,IF(BP476=0,0,1),(BP476-BH476)/BH476)</f>
        <v>0</v>
      </c>
      <c r="BY476" s="32" t="n">
        <f aca="false">IF(BI476=0,IF(BQ476=0,0,1),(BQ476-BI476)/BI476)</f>
        <v>0</v>
      </c>
      <c r="BZ476" s="32" t="n">
        <f aca="false">IF(BJ476=0,IF(BR476=0,0,1),(BR476-BJ476)/BJ476)</f>
        <v>0</v>
      </c>
      <c r="CA476" s="32" t="n">
        <f aca="false">IF(BK476=0,IF(BS476=0,0,1),(BS476-BK476)/BK476)</f>
        <v>0</v>
      </c>
      <c r="CB476" s="32" t="n">
        <f aca="false">IF(BL476=0,IF(BT476=0,0,1),(BT476-BL476)/BL476)</f>
        <v>0</v>
      </c>
      <c r="CC476" s="32" t="n">
        <f aca="false">IF(BM476=0,IF(BU476=0,0,1),(BU476-BM476)/BM476)</f>
        <v>0</v>
      </c>
      <c r="CD476" s="32" t="n">
        <f aca="false">MAX(MAX(BV476:CC476),-MIN(BV476:CC476))</f>
        <v>-0</v>
      </c>
      <c r="CE476" s="31" t="n">
        <f aca="false">IF(CI476="","",SUMIFS($CF$7:$CF$696,$A$7:$A$696,CI476,$B$7:$B$696,B476))</f>
        <v>90146646</v>
      </c>
      <c r="CF476" s="31" t="n">
        <f aca="false">SUM(AU476:BE476)</f>
        <v>90214190</v>
      </c>
      <c r="CG476" s="33" t="str">
        <f aca="false">A476&amp;"|"&amp;B476</f>
        <v>2026-12 月例|水道局</v>
      </c>
      <c r="CH476" s="34" t="str">
        <f aca="false">IFERROR(INDEX(設定!$D$61:$D$106,MATCH(B476,設定!$B$61:$B$106,0)),"Y")</f>
        <v>N</v>
      </c>
      <c r="CI476" s="34" t="str">
        <f aca="false">IFERROR(INDEX(設定!$D$20:$D$34,MATCH(A476,設定!$A$20:$A$34,0))&amp;"","")</f>
        <v>2026-11 月例</v>
      </c>
    </row>
    <row r="477" customFormat="false" ht="15" hidden="true" customHeight="false" outlineLevel="0" collapsed="false">
      <c r="A477" s="22" t="s">
        <v>218</v>
      </c>
      <c r="B477" s="23" t="s">
        <v>170</v>
      </c>
      <c r="C477" s="10" t="str">
        <f aca="false">IF(G477="","未受領",IF(G477="なし","報告なし",IF(AH477="○","起票済",IF(OR(AG477="○",F477="一致",F477="入金不要"),"入金確認済","受領済"))))</f>
        <v>未受領</v>
      </c>
      <c r="D477" s="10" t="str">
        <f aca="false">IF(OR(G477="",G477="なし"),"―",IF(CH477="N","対象外",IF(AND(I477="",J477="",K477=""),"標報未入力",IF(CD477&gt;=設定!$B$4,"要確認","問題なし"))))</f>
        <v>―</v>
      </c>
      <c r="E477" s="24" t="str">
        <f aca="false">IF(OR(G477="",G477="なし",CE477="",CF477=0),"―",IF(CF477=CE477,"前月同額",IF(CE477=0,"―",IF(ABS(CF477/CE477-1)&gt;=設定!$B$5,"変動大 "&amp;TEXT(CF477/CE477-1,"+0%;-0%"),"〇"))))</f>
        <v>―</v>
      </c>
      <c r="F477" s="10" t="str">
        <f aca="false">IF(OR(G477="",G477="なし"),"―",IF(CF477=0,"入金不要",IF(COUNT(Z477,AB477,AD477,AF477)=0,IF(AG477="○","手動確認","未入金"),IF(AND(N(Z477)=Y477,IF(AA477="",TRUE(),N(AB477)=AA477),IF(AC477="",TRUE(),N(AD477)=AC477),IF(AE477="",TRUE(),N(AF477)=AE477)),"一致","不一致"))))</f>
        <v>―</v>
      </c>
      <c r="G477" s="25"/>
      <c r="H477" s="26"/>
      <c r="I477" s="27"/>
      <c r="J477" s="27"/>
      <c r="K477" s="27"/>
      <c r="L477" s="27"/>
      <c r="M477" s="27"/>
      <c r="N477" s="27"/>
      <c r="O477" s="27"/>
      <c r="P477" s="27"/>
      <c r="Q477" s="27"/>
      <c r="R477" s="27"/>
      <c r="S477" s="27"/>
      <c r="T477" s="27"/>
      <c r="U477" s="27"/>
      <c r="V477" s="27"/>
      <c r="W477" s="10" t="str">
        <f aca="false">IFERROR(INDEX(設定!$E$61:$E$106,MATCH(B477,設定!$B$61:$B$106,0)),"合算")</f>
        <v>合算</v>
      </c>
      <c r="X477" s="28"/>
      <c r="Y477" s="29" t="str">
        <f aca="false">IF(OR(G477="",G477="なし"),"",IF(W477="合算",CF477,IF(W477="掛金・負担金別",(AU477+AV477+AZ477+BB477+BD477),SUM(AU477:AY477))))</f>
        <v/>
      </c>
      <c r="Z477" s="27"/>
      <c r="AA477" s="29" t="str">
        <f aca="false">IF(OR(G477="",G477="なし"),"",IF(W477="掛金・負担金別",(AW477+AX477+AY477+BA477+BC477+BE477),IF(W477="経理区分別",AZ477+BA477,"")))</f>
        <v/>
      </c>
      <c r="AB477" s="27"/>
      <c r="AC477" s="29" t="str">
        <f aca="false">IF(OR(G477="",G477="なし"),"",IF(W477="経理区分別",BB477+BC477,""))</f>
        <v/>
      </c>
      <c r="AD477" s="27"/>
      <c r="AE477" s="29" t="str">
        <f aca="false">IF(OR(G477="",G477="なし"),"",IF(W477="経理区分別",BD477+BE477,""))</f>
        <v/>
      </c>
      <c r="AF477" s="27"/>
      <c r="AG477" s="26"/>
      <c r="AH477" s="26"/>
      <c r="AI477" s="30"/>
      <c r="AJ477" s="31" t="n">
        <v>48495</v>
      </c>
      <c r="AK477" s="31" t="n">
        <v>3975</v>
      </c>
      <c r="AL477" s="31" t="n">
        <v>70490</v>
      </c>
      <c r="AM477" s="31" t="n">
        <v>3975</v>
      </c>
      <c r="AN477" s="31" t="n">
        <v>49</v>
      </c>
      <c r="AO477" s="31" t="n">
        <v>29155</v>
      </c>
      <c r="AP477" s="31" t="n">
        <v>29669</v>
      </c>
      <c r="AQ477" s="31" t="n">
        <v>4187</v>
      </c>
      <c r="AR477" s="31" t="n">
        <v>4187</v>
      </c>
      <c r="AS477" s="31" t="n">
        <v>1</v>
      </c>
      <c r="AT477" s="31" t="n">
        <v>1</v>
      </c>
      <c r="AU477" s="31" t="n">
        <f aca="false">IF($G477="",AJ477,L477)</f>
        <v>48495</v>
      </c>
      <c r="AV477" s="31" t="n">
        <f aca="false">IF($G477="",AK477,M477)</f>
        <v>3975</v>
      </c>
      <c r="AW477" s="31" t="n">
        <f aca="false">IF($G477="",AL477,N477)</f>
        <v>70490</v>
      </c>
      <c r="AX477" s="31" t="n">
        <f aca="false">IF($G477="",AM477,O477)</f>
        <v>3975</v>
      </c>
      <c r="AY477" s="31" t="n">
        <f aca="false">IF($G477="",AN477,P477)</f>
        <v>49</v>
      </c>
      <c r="AZ477" s="31" t="n">
        <f aca="false">IF($G477="",AO477,Q477)</f>
        <v>29155</v>
      </c>
      <c r="BA477" s="31" t="n">
        <f aca="false">IF($G477="",AP477,R477)</f>
        <v>29669</v>
      </c>
      <c r="BB477" s="31" t="n">
        <f aca="false">IF($G477="",AQ477,S477)</f>
        <v>4187</v>
      </c>
      <c r="BC477" s="31" t="n">
        <f aca="false">IF($G477="",AR477,T477)</f>
        <v>4187</v>
      </c>
      <c r="BD477" s="31" t="n">
        <f aca="false">IF($G477="",AS477,U477)</f>
        <v>1</v>
      </c>
      <c r="BE477" s="31" t="n">
        <f aca="false">IF($G477="",AT477,V477)</f>
        <v>1</v>
      </c>
      <c r="BF477" s="31" t="n">
        <f aca="false">ROUNDDOWN(I477*設定!$B$10/1000,0)+ROUNDDOWN(I477*設定!$B$11/1000,0)</f>
        <v>0</v>
      </c>
      <c r="BG477" s="31" t="n">
        <f aca="false">ROUNDDOWN(I477*設定!$C$10/1000,0)+ROUNDDOWN(I477*設定!$C$11/1000,0)+ROUNDDOWN(I477*設定!$C$12/1000,0)</f>
        <v>0</v>
      </c>
      <c r="BH477" s="31" t="n">
        <f aca="false">ROUNDDOWN(J477*設定!$B$13/1000,0)</f>
        <v>0</v>
      </c>
      <c r="BI477" s="31" t="n">
        <f aca="false">ROUNDDOWN(J477*設定!$C$13/1000,0)</f>
        <v>0</v>
      </c>
      <c r="BJ477" s="31" t="n">
        <f aca="false">ROUNDDOWN(K477*設定!$B$14/1000,0)</f>
        <v>0</v>
      </c>
      <c r="BK477" s="31" t="n">
        <f aca="false">ROUNDDOWN(K477*設定!$C$14/1000,0)</f>
        <v>0</v>
      </c>
      <c r="BL477" s="31" t="n">
        <f aca="false">ROUNDDOWN(J477*設定!$B$15/1000,0)</f>
        <v>0</v>
      </c>
      <c r="BM477" s="31" t="n">
        <f aca="false">ROUNDDOWN(J477*設定!$C$15/1000,0)</f>
        <v>0</v>
      </c>
      <c r="BN477" s="31" t="n">
        <f aca="false">L477+M477</f>
        <v>0</v>
      </c>
      <c r="BO477" s="31" t="n">
        <f aca="false">N477+O477+P477</f>
        <v>0</v>
      </c>
      <c r="BP477" s="31" t="n">
        <f aca="false">Q477</f>
        <v>0</v>
      </c>
      <c r="BQ477" s="31" t="n">
        <f aca="false">R477</f>
        <v>0</v>
      </c>
      <c r="BR477" s="31" t="n">
        <f aca="false">S477</f>
        <v>0</v>
      </c>
      <c r="BS477" s="31" t="n">
        <f aca="false">T477</f>
        <v>0</v>
      </c>
      <c r="BT477" s="31" t="n">
        <f aca="false">U477</f>
        <v>0</v>
      </c>
      <c r="BU477" s="31" t="n">
        <f aca="false">V477</f>
        <v>0</v>
      </c>
      <c r="BV477" s="32" t="n">
        <f aca="false">IF(BF477=0,IF(BN477=0,0,1),(BN477-BF477)/BF477)</f>
        <v>0</v>
      </c>
      <c r="BW477" s="32" t="n">
        <f aca="false">IF(BG477=0,IF(BO477=0,0,1),(BO477-BG477)/BG477)</f>
        <v>0</v>
      </c>
      <c r="BX477" s="32" t="n">
        <f aca="false">IF(BH477=0,IF(BP477=0,0,1),(BP477-BH477)/BH477)</f>
        <v>0</v>
      </c>
      <c r="BY477" s="32" t="n">
        <f aca="false">IF(BI477=0,IF(BQ477=0,0,1),(BQ477-BI477)/BI477)</f>
        <v>0</v>
      </c>
      <c r="BZ477" s="32" t="n">
        <f aca="false">IF(BJ477=0,IF(BR477=0,0,1),(BR477-BJ477)/BJ477)</f>
        <v>0</v>
      </c>
      <c r="CA477" s="32" t="n">
        <f aca="false">IF(BK477=0,IF(BS477=0,0,1),(BS477-BK477)/BK477)</f>
        <v>0</v>
      </c>
      <c r="CB477" s="32" t="n">
        <f aca="false">IF(BL477=0,IF(BT477=0,0,1),(BT477-BL477)/BL477)</f>
        <v>0</v>
      </c>
      <c r="CC477" s="32" t="n">
        <f aca="false">IF(BM477=0,IF(BU477=0,0,1),(BU477-BM477)/BM477)</f>
        <v>0</v>
      </c>
      <c r="CD477" s="32" t="n">
        <f aca="false">MAX(MAX(BV477:CC477),-MIN(BV477:CC477))</f>
        <v>-0</v>
      </c>
      <c r="CE477" s="31" t="n">
        <f aca="false">IF(CI477="","",SUMIFS($CF$7:$CF$696,$A$7:$A$696,CI477,$B$7:$B$696,B477))</f>
        <v>194184</v>
      </c>
      <c r="CF477" s="31" t="n">
        <f aca="false">SUM(AU477:BE477)</f>
        <v>194184</v>
      </c>
      <c r="CG477" s="33" t="str">
        <f aca="false">A477&amp;"|"&amp;B477</f>
        <v>2026-12 月例|医療政策課(安芸市民)</v>
      </c>
      <c r="CH477" s="34" t="str">
        <f aca="false">IFERROR(INDEX(設定!$D$61:$D$106,MATCH(B477,設定!$B$61:$B$106,0)),"Y")</f>
        <v>Y</v>
      </c>
      <c r="CI477" s="34" t="str">
        <f aca="false">IFERROR(INDEX(設定!$D$20:$D$34,MATCH(A477,設定!$A$20:$A$34,0))&amp;"","")</f>
        <v>2026-11 月例</v>
      </c>
    </row>
    <row r="478" customFormat="false" ht="15" hidden="true" customHeight="false" outlineLevel="0" collapsed="false">
      <c r="A478" s="22" t="s">
        <v>218</v>
      </c>
      <c r="B478" s="23" t="s">
        <v>171</v>
      </c>
      <c r="C478" s="10" t="str">
        <f aca="false">IF(G478="","未受領",IF(G478="なし","報告なし",IF(AH478="○","起票済",IF(OR(AG478="○",F478="一致",F478="入金不要"),"入金確認済","受領済"))))</f>
        <v>未受領</v>
      </c>
      <c r="D478" s="10" t="str">
        <f aca="false">IF(OR(G478="",G478="なし"),"―",IF(CH478="N","対象外",IF(AND(I478="",J478="",K478=""),"標報未入力",IF(CD478&gt;=設定!$B$4,"要確認","問題なし"))))</f>
        <v>―</v>
      </c>
      <c r="E478" s="24" t="str">
        <f aca="false">IF(OR(G478="",G478="なし",CE478="",CF478=0),"―",IF(CF478=CE478,"前月同額",IF(CE478=0,"―",IF(ABS(CF478/CE478-1)&gt;=設定!$B$5,"変動大 "&amp;TEXT(CF478/CE478-1,"+0%;-0%"),"〇"))))</f>
        <v>―</v>
      </c>
      <c r="F478" s="10" t="str">
        <f aca="false">IF(OR(G478="",G478="なし"),"―",IF(CF478=0,"入金不要",IF(COUNT(Z478,AB478,AD478,AF478)=0,IF(AG478="○","手動確認","未入金"),IF(AND(N(Z478)=Y478,IF(AA478="",TRUE(),N(AB478)=AA478),IF(AC478="",TRUE(),N(AD478)=AC478),IF(AE478="",TRUE(),N(AF478)=AE478)),"一致","不一致"))))</f>
        <v>―</v>
      </c>
      <c r="G478" s="25"/>
      <c r="H478" s="26"/>
      <c r="I478" s="27"/>
      <c r="J478" s="27"/>
      <c r="K478" s="27"/>
      <c r="L478" s="27"/>
      <c r="M478" s="27"/>
      <c r="N478" s="27"/>
      <c r="O478" s="27"/>
      <c r="P478" s="27"/>
      <c r="Q478" s="27"/>
      <c r="R478" s="27"/>
      <c r="S478" s="27"/>
      <c r="T478" s="27"/>
      <c r="U478" s="27"/>
      <c r="V478" s="27"/>
      <c r="W478" s="10" t="str">
        <f aca="false">IFERROR(INDEX(設定!$E$61:$E$106,MATCH(B478,設定!$B$61:$B$106,0)),"合算")</f>
        <v>合算</v>
      </c>
      <c r="X478" s="28"/>
      <c r="Y478" s="29" t="str">
        <f aca="false">IF(OR(G478="",G478="なし"),"",IF(W478="合算",CF478,IF(W478="掛金・負担金別",(AU478+AV478+AZ478+BB478+BD478),SUM(AU478:AY478))))</f>
        <v/>
      </c>
      <c r="Z478" s="27"/>
      <c r="AA478" s="29" t="str">
        <f aca="false">IF(OR(G478="",G478="なし"),"",IF(W478="掛金・負担金別",(AW478+AX478+AY478+BA478+BC478+BE478),IF(W478="経理区分別",AZ478+BA478,"")))</f>
        <v/>
      </c>
      <c r="AB478" s="27"/>
      <c r="AC478" s="29" t="str">
        <f aca="false">IF(OR(G478="",G478="なし"),"",IF(W478="経理区分別",BB478+BC478,""))</f>
        <v/>
      </c>
      <c r="AD478" s="27"/>
      <c r="AE478" s="29" t="str">
        <f aca="false">IF(OR(G478="",G478="なし"),"",IF(W478="経理区分別",BD478+BE478,""))</f>
        <v/>
      </c>
      <c r="AF478" s="27"/>
      <c r="AG478" s="26"/>
      <c r="AH478" s="26"/>
      <c r="AI478" s="30"/>
      <c r="AJ478" s="31" t="n">
        <v>0</v>
      </c>
      <c r="AK478" s="31" t="n">
        <v>0</v>
      </c>
      <c r="AL478" s="31"/>
      <c r="AM478" s="31"/>
      <c r="AN478" s="31" t="n">
        <v>0</v>
      </c>
      <c r="AO478" s="31" t="n">
        <v>266011</v>
      </c>
      <c r="AP478" s="31" t="n">
        <v>270928</v>
      </c>
      <c r="AQ478" s="31" t="n">
        <v>7678</v>
      </c>
      <c r="AR478" s="31" t="n">
        <v>7678</v>
      </c>
      <c r="AS478" s="31" t="n">
        <v>1</v>
      </c>
      <c r="AT478" s="31" t="n">
        <v>1</v>
      </c>
      <c r="AU478" s="31" t="n">
        <f aca="false">IF($G478="",AJ478,L478)</f>
        <v>0</v>
      </c>
      <c r="AV478" s="31" t="n">
        <f aca="false">IF($G478="",AK478,M478)</f>
        <v>0</v>
      </c>
      <c r="AW478" s="31" t="n">
        <f aca="false">IF($G478="",AL478,N478)</f>
        <v>0</v>
      </c>
      <c r="AX478" s="31" t="n">
        <f aca="false">IF($G478="",AM478,O478)</f>
        <v>0</v>
      </c>
      <c r="AY478" s="31" t="n">
        <f aca="false">IF($G478="",AN478,P478)</f>
        <v>0</v>
      </c>
      <c r="AZ478" s="31" t="n">
        <f aca="false">IF($G478="",AO478,Q478)</f>
        <v>266011</v>
      </c>
      <c r="BA478" s="31" t="n">
        <f aca="false">IF($G478="",AP478,R478)</f>
        <v>270928</v>
      </c>
      <c r="BB478" s="31" t="n">
        <f aca="false">IF($G478="",AQ478,S478)</f>
        <v>7678</v>
      </c>
      <c r="BC478" s="31" t="n">
        <f aca="false">IF($G478="",AR478,T478)</f>
        <v>7678</v>
      </c>
      <c r="BD478" s="31" t="n">
        <f aca="false">IF($G478="",AS478,U478)</f>
        <v>1</v>
      </c>
      <c r="BE478" s="31" t="n">
        <f aca="false">IF($G478="",AT478,V478)</f>
        <v>1</v>
      </c>
      <c r="BF478" s="31" t="n">
        <f aca="false">ROUNDDOWN(I478*設定!$B$10/1000,0)+ROUNDDOWN(I478*設定!$B$11/1000,0)</f>
        <v>0</v>
      </c>
      <c r="BG478" s="31" t="n">
        <f aca="false">ROUNDDOWN(I478*設定!$C$10/1000,0)+ROUNDDOWN(I478*設定!$C$11/1000,0)+ROUNDDOWN(I478*設定!$C$12/1000,0)</f>
        <v>0</v>
      </c>
      <c r="BH478" s="31" t="n">
        <f aca="false">ROUNDDOWN(J478*設定!$B$13/1000,0)</f>
        <v>0</v>
      </c>
      <c r="BI478" s="31" t="n">
        <f aca="false">ROUNDDOWN(J478*設定!$C$13/1000,0)</f>
        <v>0</v>
      </c>
      <c r="BJ478" s="31" t="n">
        <f aca="false">ROUNDDOWN(K478*設定!$B$14/1000,0)</f>
        <v>0</v>
      </c>
      <c r="BK478" s="31" t="n">
        <f aca="false">ROUNDDOWN(K478*設定!$C$14/1000,0)</f>
        <v>0</v>
      </c>
      <c r="BL478" s="31" t="n">
        <f aca="false">ROUNDDOWN(J478*設定!$B$15/1000,0)</f>
        <v>0</v>
      </c>
      <c r="BM478" s="31" t="n">
        <f aca="false">ROUNDDOWN(J478*設定!$C$15/1000,0)</f>
        <v>0</v>
      </c>
      <c r="BN478" s="31" t="n">
        <f aca="false">L478+M478</f>
        <v>0</v>
      </c>
      <c r="BO478" s="31" t="n">
        <f aca="false">N478+O478+P478</f>
        <v>0</v>
      </c>
      <c r="BP478" s="31" t="n">
        <f aca="false">Q478</f>
        <v>0</v>
      </c>
      <c r="BQ478" s="31" t="n">
        <f aca="false">R478</f>
        <v>0</v>
      </c>
      <c r="BR478" s="31" t="n">
        <f aca="false">S478</f>
        <v>0</v>
      </c>
      <c r="BS478" s="31" t="n">
        <f aca="false">T478</f>
        <v>0</v>
      </c>
      <c r="BT478" s="31" t="n">
        <f aca="false">U478</f>
        <v>0</v>
      </c>
      <c r="BU478" s="31" t="n">
        <f aca="false">V478</f>
        <v>0</v>
      </c>
      <c r="BV478" s="32" t="n">
        <f aca="false">IF(BF478=0,IF(BN478=0,0,1),(BN478-BF478)/BF478)</f>
        <v>0</v>
      </c>
      <c r="BW478" s="32" t="n">
        <f aca="false">IF(BG478=0,IF(BO478=0,0,1),(BO478-BG478)/BG478)</f>
        <v>0</v>
      </c>
      <c r="BX478" s="32" t="n">
        <f aca="false">IF(BH478=0,IF(BP478=0,0,1),(BP478-BH478)/BH478)</f>
        <v>0</v>
      </c>
      <c r="BY478" s="32" t="n">
        <f aca="false">IF(BI478=0,IF(BQ478=0,0,1),(BQ478-BI478)/BI478)</f>
        <v>0</v>
      </c>
      <c r="BZ478" s="32" t="n">
        <f aca="false">IF(BJ478=0,IF(BR478=0,0,1),(BR478-BJ478)/BJ478)</f>
        <v>0</v>
      </c>
      <c r="CA478" s="32" t="n">
        <f aca="false">IF(BK478=0,IF(BS478=0,0,1),(BS478-BK478)/BK478)</f>
        <v>0</v>
      </c>
      <c r="CB478" s="32" t="n">
        <f aca="false">IF(BL478=0,IF(BT478=0,0,1),(BT478-BL478)/BL478)</f>
        <v>0</v>
      </c>
      <c r="CC478" s="32" t="n">
        <f aca="false">IF(BM478=0,IF(BU478=0,0,1),(BU478-BM478)/BM478)</f>
        <v>0</v>
      </c>
      <c r="CD478" s="32" t="n">
        <f aca="false">MAX(MAX(BV478:CC478),-MIN(BV478:CC478))</f>
        <v>-0</v>
      </c>
      <c r="CE478" s="31" t="n">
        <f aca="false">IF(CI478="","",SUMIFS($CF$7:$CF$696,$A$7:$A$696,CI478,$B$7:$B$696,B478))</f>
        <v>624610</v>
      </c>
      <c r="CF478" s="31" t="n">
        <f aca="false">SUM(AU478:BE478)</f>
        <v>552297</v>
      </c>
      <c r="CG478" s="33" t="str">
        <f aca="false">A478&amp;"|"&amp;B478</f>
        <v>2026-12 月例|教育委員会（教育給与課）</v>
      </c>
      <c r="CH478" s="34" t="str">
        <f aca="false">IFERROR(INDEX(設定!$D$61:$D$106,MATCH(B478,設定!$B$61:$B$106,0)),"Y")</f>
        <v>Y</v>
      </c>
      <c r="CI478" s="34" t="str">
        <f aca="false">IFERROR(INDEX(設定!$D$20:$D$34,MATCH(A478,設定!$A$20:$A$34,0))&amp;"","")</f>
        <v>2026-11 月例</v>
      </c>
    </row>
    <row r="479" customFormat="false" ht="15" hidden="true" customHeight="false" outlineLevel="0" collapsed="false">
      <c r="A479" s="22" t="s">
        <v>218</v>
      </c>
      <c r="B479" s="23" t="s">
        <v>172</v>
      </c>
      <c r="C479" s="10" t="str">
        <f aca="false">IF(G479="","未受領",IF(G479="なし","報告なし",IF(AH479="○","起票済",IF(OR(AG479="○",F479="一致",F479="入金不要"),"入金確認済","受領済"))))</f>
        <v>報告なし</v>
      </c>
      <c r="D479" s="10" t="str">
        <f aca="false">IF(OR(G479="",G479="なし"),"―",IF(CH479="N","対象外",IF(AND(I479="",J479="",K479=""),"標報未入力",IF(CD479&gt;=設定!$B$4,"要確認","問題なし"))))</f>
        <v>―</v>
      </c>
      <c r="E479" s="24" t="str">
        <f aca="false">IF(OR(G479="",G479="なし",CE479="",CF479=0),"―",IF(CF479=CE479,"前月同額",IF(CE479=0,"―",IF(ABS(CF479/CE479-1)&gt;=設定!$B$5,"変動大 "&amp;TEXT(CF479/CE479-1,"+0%;-0%"),"〇"))))</f>
        <v>―</v>
      </c>
      <c r="F479" s="10" t="str">
        <f aca="false">IF(OR(G479="",G479="なし"),"―",IF(CF479=0,"入金不要",IF(COUNT(Z479,AB479,AD479,AF479)=0,IF(AG479="○","手動確認","未入金"),IF(AND(N(Z479)=Y479,IF(AA479="",TRUE(),N(AB479)=AA479),IF(AC479="",TRUE(),N(AD479)=AC479),IF(AE479="",TRUE(),N(AF479)=AE479)),"一致","不一致"))))</f>
        <v>―</v>
      </c>
      <c r="G479" s="25" t="s">
        <v>173</v>
      </c>
      <c r="H479" s="26"/>
      <c r="I479" s="27"/>
      <c r="J479" s="27"/>
      <c r="K479" s="27"/>
      <c r="L479" s="27"/>
      <c r="M479" s="27"/>
      <c r="N479" s="27"/>
      <c r="O479" s="27"/>
      <c r="P479" s="27"/>
      <c r="Q479" s="27"/>
      <c r="R479" s="27"/>
      <c r="S479" s="27"/>
      <c r="T479" s="27"/>
      <c r="U479" s="27"/>
      <c r="V479" s="27"/>
      <c r="W479" s="10" t="str">
        <f aca="false">IFERROR(INDEX(設定!$E$61:$E$106,MATCH(B479,設定!$B$61:$B$106,0)),"合算")</f>
        <v>合算</v>
      </c>
      <c r="X479" s="28"/>
      <c r="Y479" s="29" t="str">
        <f aca="false">IF(OR(G479="",G479="なし"),"",IF(W479="合算",CF479,IF(W479="掛金・負担金別",(AU479+AV479+AZ479+BB479+BD479),SUM(AU479:AY479))))</f>
        <v/>
      </c>
      <c r="Z479" s="27"/>
      <c r="AA479" s="29" t="str">
        <f aca="false">IF(OR(G479="",G479="なし"),"",IF(W479="掛金・負担金別",(AW479+AX479+AY479+BA479+BC479+BE479),IF(W479="経理区分別",AZ479+BA479,"")))</f>
        <v/>
      </c>
      <c r="AB479" s="27"/>
      <c r="AC479" s="29" t="str">
        <f aca="false">IF(OR(G479="",G479="なし"),"",IF(W479="経理区分別",BB479+BC479,""))</f>
        <v/>
      </c>
      <c r="AD479" s="27"/>
      <c r="AE479" s="29" t="str">
        <f aca="false">IF(OR(G479="",G479="なし"),"",IF(W479="経理区分別",BD479+BE479,""))</f>
        <v/>
      </c>
      <c r="AF479" s="27"/>
      <c r="AG479" s="26"/>
      <c r="AH479" s="26"/>
      <c r="AI479" s="30"/>
      <c r="AJ479" s="31"/>
      <c r="AK479" s="31"/>
      <c r="AL479" s="31"/>
      <c r="AM479" s="31"/>
      <c r="AN479" s="31"/>
      <c r="AO479" s="31"/>
      <c r="AP479" s="31"/>
      <c r="AQ479" s="31"/>
      <c r="AR479" s="31"/>
      <c r="AS479" s="31"/>
      <c r="AT479" s="31"/>
      <c r="AU479" s="31" t="n">
        <f aca="false">IF($G479="",AJ479,L479)</f>
        <v>0</v>
      </c>
      <c r="AV479" s="31" t="n">
        <f aca="false">IF($G479="",AK479,M479)</f>
        <v>0</v>
      </c>
      <c r="AW479" s="31" t="n">
        <f aca="false">IF($G479="",AL479,N479)</f>
        <v>0</v>
      </c>
      <c r="AX479" s="31" t="n">
        <f aca="false">IF($G479="",AM479,O479)</f>
        <v>0</v>
      </c>
      <c r="AY479" s="31" t="n">
        <f aca="false">IF($G479="",AN479,P479)</f>
        <v>0</v>
      </c>
      <c r="AZ479" s="31" t="n">
        <f aca="false">IF($G479="",AO479,Q479)</f>
        <v>0</v>
      </c>
      <c r="BA479" s="31" t="n">
        <f aca="false">IF($G479="",AP479,R479)</f>
        <v>0</v>
      </c>
      <c r="BB479" s="31" t="n">
        <f aca="false">IF($G479="",AQ479,S479)</f>
        <v>0</v>
      </c>
      <c r="BC479" s="31" t="n">
        <f aca="false">IF($G479="",AR479,T479)</f>
        <v>0</v>
      </c>
      <c r="BD479" s="31" t="n">
        <f aca="false">IF($G479="",AS479,U479)</f>
        <v>0</v>
      </c>
      <c r="BE479" s="31" t="n">
        <f aca="false">IF($G479="",AT479,V479)</f>
        <v>0</v>
      </c>
      <c r="BF479" s="31" t="n">
        <f aca="false">ROUNDDOWN(I479*設定!$B$10/1000,0)+ROUNDDOWN(I479*設定!$B$11/1000,0)</f>
        <v>0</v>
      </c>
      <c r="BG479" s="31" t="n">
        <f aca="false">ROUNDDOWN(I479*設定!$C$10/1000,0)+ROUNDDOWN(I479*設定!$C$11/1000,0)+ROUNDDOWN(I479*設定!$C$12/1000,0)</f>
        <v>0</v>
      </c>
      <c r="BH479" s="31" t="n">
        <f aca="false">ROUNDDOWN(J479*設定!$B$13/1000,0)</f>
        <v>0</v>
      </c>
      <c r="BI479" s="31" t="n">
        <f aca="false">ROUNDDOWN(J479*設定!$C$13/1000,0)</f>
        <v>0</v>
      </c>
      <c r="BJ479" s="31" t="n">
        <f aca="false">ROUNDDOWN(K479*設定!$B$14/1000,0)</f>
        <v>0</v>
      </c>
      <c r="BK479" s="31" t="n">
        <f aca="false">ROUNDDOWN(K479*設定!$C$14/1000,0)</f>
        <v>0</v>
      </c>
      <c r="BL479" s="31" t="n">
        <f aca="false">ROUNDDOWN(J479*設定!$B$15/1000,0)</f>
        <v>0</v>
      </c>
      <c r="BM479" s="31" t="n">
        <f aca="false">ROUNDDOWN(J479*設定!$C$15/1000,0)</f>
        <v>0</v>
      </c>
      <c r="BN479" s="31" t="n">
        <f aca="false">L479+M479</f>
        <v>0</v>
      </c>
      <c r="BO479" s="31" t="n">
        <f aca="false">N479+O479+P479</f>
        <v>0</v>
      </c>
      <c r="BP479" s="31" t="n">
        <f aca="false">Q479</f>
        <v>0</v>
      </c>
      <c r="BQ479" s="31" t="n">
        <f aca="false">R479</f>
        <v>0</v>
      </c>
      <c r="BR479" s="31" t="n">
        <f aca="false">S479</f>
        <v>0</v>
      </c>
      <c r="BS479" s="31" t="n">
        <f aca="false">T479</f>
        <v>0</v>
      </c>
      <c r="BT479" s="31" t="n">
        <f aca="false">U479</f>
        <v>0</v>
      </c>
      <c r="BU479" s="31" t="n">
        <f aca="false">V479</f>
        <v>0</v>
      </c>
      <c r="BV479" s="32" t="n">
        <f aca="false">IF(BF479=0,IF(BN479=0,0,1),(BN479-BF479)/BF479)</f>
        <v>0</v>
      </c>
      <c r="BW479" s="32" t="n">
        <f aca="false">IF(BG479=0,IF(BO479=0,0,1),(BO479-BG479)/BG479)</f>
        <v>0</v>
      </c>
      <c r="BX479" s="32" t="n">
        <f aca="false">IF(BH479=0,IF(BP479=0,0,1),(BP479-BH479)/BH479)</f>
        <v>0</v>
      </c>
      <c r="BY479" s="32" t="n">
        <f aca="false">IF(BI479=0,IF(BQ479=0,0,1),(BQ479-BI479)/BI479)</f>
        <v>0</v>
      </c>
      <c r="BZ479" s="32" t="n">
        <f aca="false">IF(BJ479=0,IF(BR479=0,0,1),(BR479-BJ479)/BJ479)</f>
        <v>0</v>
      </c>
      <c r="CA479" s="32" t="n">
        <f aca="false">IF(BK479=0,IF(BS479=0,0,1),(BS479-BK479)/BK479)</f>
        <v>0</v>
      </c>
      <c r="CB479" s="32" t="n">
        <f aca="false">IF(BL479=0,IF(BT479=0,0,1),(BT479-BL479)/BL479)</f>
        <v>0</v>
      </c>
      <c r="CC479" s="32" t="n">
        <f aca="false">IF(BM479=0,IF(BU479=0,0,1),(BU479-BM479)/BM479)</f>
        <v>0</v>
      </c>
      <c r="CD479" s="32" t="n">
        <f aca="false">MAX(MAX(BV479:CC479),-MIN(BV479:CC479))</f>
        <v>-0</v>
      </c>
      <c r="CE479" s="31" t="n">
        <f aca="false">IF(CI479="","",SUMIFS($CF$7:$CF$696,$A$7:$A$696,CI479,$B$7:$B$696,B479))</f>
        <v>0</v>
      </c>
      <c r="CF479" s="31" t="n">
        <f aca="false">SUM(AU479:BE479)</f>
        <v>0</v>
      </c>
      <c r="CG479" s="33" t="str">
        <f aca="false">A479&amp;"|"&amp;B479</f>
        <v>2026-12 月例|地方税共同機構</v>
      </c>
      <c r="CH479" s="34" t="str">
        <f aca="false">IFERROR(INDEX(設定!$D$61:$D$106,MATCH(B479,設定!$B$61:$B$106,0)),"Y")</f>
        <v>Y</v>
      </c>
      <c r="CI479" s="34" t="str">
        <f aca="false">IFERROR(INDEX(設定!$D$20:$D$34,MATCH(A479,設定!$A$20:$A$34,0))&amp;"","")</f>
        <v>2026-11 月例</v>
      </c>
    </row>
    <row r="480" customFormat="false" ht="15" hidden="true" customHeight="false" outlineLevel="0" collapsed="false">
      <c r="A480" s="22" t="s">
        <v>218</v>
      </c>
      <c r="B480" s="23" t="s">
        <v>174</v>
      </c>
      <c r="C480" s="10" t="str">
        <f aca="false">IF(G480="","未受領",IF(G480="なし","報告なし",IF(AH480="○","起票済",IF(OR(AG480="○",F480="一致",F480="入金不要"),"入金確認済","受領済"))))</f>
        <v>未受領</v>
      </c>
      <c r="D480" s="10" t="str">
        <f aca="false">IF(OR(G480="",G480="なし"),"―",IF(CH480="N","対象外",IF(AND(I480="",J480="",K480=""),"標報未入力",IF(CD480&gt;=設定!$B$4,"要確認","問題なし"))))</f>
        <v>―</v>
      </c>
      <c r="E480" s="24" t="str">
        <f aca="false">IF(OR(G480="",G480="なし",CE480="",CF480=0),"―",IF(CF480=CE480,"前月同額",IF(CE480=0,"―",IF(ABS(CF480/CE480-1)&gt;=設定!$B$5,"変動大 "&amp;TEXT(CF480/CE480-1,"+0%;-0%"),"〇"))))</f>
        <v>―</v>
      </c>
      <c r="F480" s="10" t="str">
        <f aca="false">IF(OR(G480="",G480="なし"),"―",IF(CF480=0,"入金不要",IF(COUNT(Z480,AB480,AD480,AF480)=0,IF(AG480="○","手動確認","未入金"),IF(AND(N(Z480)=Y480,IF(AA480="",TRUE(),N(AB480)=AA480),IF(AC480="",TRUE(),N(AD480)=AC480),IF(AE480="",TRUE(),N(AF480)=AE480)),"一致","不一致"))))</f>
        <v>―</v>
      </c>
      <c r="G480" s="25"/>
      <c r="H480" s="26"/>
      <c r="I480" s="27"/>
      <c r="J480" s="27"/>
      <c r="K480" s="27"/>
      <c r="L480" s="27"/>
      <c r="M480" s="27"/>
      <c r="N480" s="27"/>
      <c r="O480" s="27"/>
      <c r="P480" s="27"/>
      <c r="Q480" s="27"/>
      <c r="R480" s="27"/>
      <c r="S480" s="27"/>
      <c r="T480" s="27"/>
      <c r="U480" s="27"/>
      <c r="V480" s="27"/>
      <c r="W480" s="10" t="str">
        <f aca="false">IFERROR(INDEX(設定!$E$61:$E$106,MATCH(B480,設定!$B$61:$B$106,0)),"合算")</f>
        <v>合算</v>
      </c>
      <c r="X480" s="28"/>
      <c r="Y480" s="29" t="str">
        <f aca="false">IF(OR(G480="",G480="なし"),"",IF(W480="合算",CF480,IF(W480="掛金・負担金別",(AU480+AV480+AZ480+BB480+BD480),SUM(AU480:AY480))))</f>
        <v/>
      </c>
      <c r="Z480" s="27"/>
      <c r="AA480" s="29" t="str">
        <f aca="false">IF(OR(G480="",G480="なし"),"",IF(W480="掛金・負担金別",(AW480+AX480+AY480+BA480+BC480+BE480),IF(W480="経理区分別",AZ480+BA480,"")))</f>
        <v/>
      </c>
      <c r="AB480" s="27"/>
      <c r="AC480" s="29" t="str">
        <f aca="false">IF(OR(G480="",G480="なし"),"",IF(W480="経理区分別",BB480+BC480,""))</f>
        <v/>
      </c>
      <c r="AD480" s="27"/>
      <c r="AE480" s="29" t="str">
        <f aca="false">IF(OR(G480="",G480="なし"),"",IF(W480="経理区分別",BD480+BE480,""))</f>
        <v/>
      </c>
      <c r="AF480" s="27"/>
      <c r="AG480" s="26"/>
      <c r="AH480" s="26"/>
      <c r="AI480" s="30"/>
      <c r="AJ480" s="31" t="n">
        <v>0</v>
      </c>
      <c r="AK480" s="31" t="n">
        <v>0</v>
      </c>
      <c r="AL480" s="31" t="n">
        <v>629520</v>
      </c>
      <c r="AM480" s="31" t="n">
        <v>51600</v>
      </c>
      <c r="AN480" s="31" t="n">
        <v>713</v>
      </c>
      <c r="AO480" s="31" t="n">
        <v>0</v>
      </c>
      <c r="AP480" s="31" t="n">
        <v>380809</v>
      </c>
      <c r="AQ480" s="31" t="n">
        <v>0</v>
      </c>
      <c r="AR480" s="31" t="n">
        <v>51903</v>
      </c>
      <c r="AS480" s="31" t="n">
        <v>0</v>
      </c>
      <c r="AT480" s="31" t="n">
        <v>1</v>
      </c>
      <c r="AU480" s="31" t="n">
        <f aca="false">IF($G480="",AJ480,L480)</f>
        <v>0</v>
      </c>
      <c r="AV480" s="31" t="n">
        <f aca="false">IF($G480="",AK480,M480)</f>
        <v>0</v>
      </c>
      <c r="AW480" s="31" t="n">
        <f aca="false">IF($G480="",AL480,N480)</f>
        <v>629520</v>
      </c>
      <c r="AX480" s="31" t="n">
        <f aca="false">IF($G480="",AM480,O480)</f>
        <v>51600</v>
      </c>
      <c r="AY480" s="31" t="n">
        <f aca="false">IF($G480="",AN480,P480)</f>
        <v>713</v>
      </c>
      <c r="AZ480" s="31" t="n">
        <f aca="false">IF($G480="",AO480,Q480)</f>
        <v>0</v>
      </c>
      <c r="BA480" s="31" t="n">
        <f aca="false">IF($G480="",AP480,R480)</f>
        <v>380809</v>
      </c>
      <c r="BB480" s="31" t="n">
        <f aca="false">IF($G480="",AQ480,S480)</f>
        <v>0</v>
      </c>
      <c r="BC480" s="31" t="n">
        <f aca="false">IF($G480="",AR480,T480)</f>
        <v>51903</v>
      </c>
      <c r="BD480" s="31" t="n">
        <f aca="false">IF($G480="",AS480,U480)</f>
        <v>0</v>
      </c>
      <c r="BE480" s="31" t="n">
        <f aca="false">IF($G480="",AT480,V480)</f>
        <v>1</v>
      </c>
      <c r="BF480" s="31" t="n">
        <f aca="false">ROUNDDOWN(I480*設定!$B$10/1000,0)+ROUNDDOWN(I480*設定!$B$11/1000,0)</f>
        <v>0</v>
      </c>
      <c r="BG480" s="31" t="n">
        <f aca="false">ROUNDDOWN(I480*設定!$C$10/1000,0)+ROUNDDOWN(I480*設定!$C$11/1000,0)+ROUNDDOWN(I480*設定!$C$12/1000,0)</f>
        <v>0</v>
      </c>
      <c r="BH480" s="31" t="n">
        <f aca="false">ROUNDDOWN(J480*設定!$B$13/1000,0)</f>
        <v>0</v>
      </c>
      <c r="BI480" s="31" t="n">
        <f aca="false">ROUNDDOWN(J480*設定!$C$13/1000,0)</f>
        <v>0</v>
      </c>
      <c r="BJ480" s="31" t="n">
        <f aca="false">ROUNDDOWN(K480*設定!$B$14/1000,0)</f>
        <v>0</v>
      </c>
      <c r="BK480" s="31" t="n">
        <f aca="false">ROUNDDOWN(K480*設定!$C$14/1000,0)</f>
        <v>0</v>
      </c>
      <c r="BL480" s="31" t="n">
        <f aca="false">ROUNDDOWN(J480*設定!$B$15/1000,0)</f>
        <v>0</v>
      </c>
      <c r="BM480" s="31" t="n">
        <f aca="false">ROUNDDOWN(J480*設定!$C$15/1000,0)</f>
        <v>0</v>
      </c>
      <c r="BN480" s="31" t="n">
        <f aca="false">L480+M480</f>
        <v>0</v>
      </c>
      <c r="BO480" s="31" t="n">
        <f aca="false">N480+O480+P480</f>
        <v>0</v>
      </c>
      <c r="BP480" s="31" t="n">
        <f aca="false">Q480</f>
        <v>0</v>
      </c>
      <c r="BQ480" s="31" t="n">
        <f aca="false">R480</f>
        <v>0</v>
      </c>
      <c r="BR480" s="31" t="n">
        <f aca="false">S480</f>
        <v>0</v>
      </c>
      <c r="BS480" s="31" t="n">
        <f aca="false">T480</f>
        <v>0</v>
      </c>
      <c r="BT480" s="31" t="n">
        <f aca="false">U480</f>
        <v>0</v>
      </c>
      <c r="BU480" s="31" t="n">
        <f aca="false">V480</f>
        <v>0</v>
      </c>
      <c r="BV480" s="32" t="n">
        <f aca="false">IF(BF480=0,IF(BN480=0,0,1),(BN480-BF480)/BF480)</f>
        <v>0</v>
      </c>
      <c r="BW480" s="32" t="n">
        <f aca="false">IF(BG480=0,IF(BO480=0,0,1),(BO480-BG480)/BG480)</f>
        <v>0</v>
      </c>
      <c r="BX480" s="32" t="n">
        <f aca="false">IF(BH480=0,IF(BP480=0,0,1),(BP480-BH480)/BH480)</f>
        <v>0</v>
      </c>
      <c r="BY480" s="32" t="n">
        <f aca="false">IF(BI480=0,IF(BQ480=0,0,1),(BQ480-BI480)/BI480)</f>
        <v>0</v>
      </c>
      <c r="BZ480" s="32" t="n">
        <f aca="false">IF(BJ480=0,IF(BR480=0,0,1),(BR480-BJ480)/BJ480)</f>
        <v>0</v>
      </c>
      <c r="CA480" s="32" t="n">
        <f aca="false">IF(BK480=0,IF(BS480=0,0,1),(BS480-BK480)/BK480)</f>
        <v>0</v>
      </c>
      <c r="CB480" s="32" t="n">
        <f aca="false">IF(BL480=0,IF(BT480=0,0,1),(BT480-BL480)/BL480)</f>
        <v>0</v>
      </c>
      <c r="CC480" s="32" t="n">
        <f aca="false">IF(BM480=0,IF(BU480=0,0,1),(BU480-BM480)/BM480)</f>
        <v>0</v>
      </c>
      <c r="CD480" s="32" t="n">
        <f aca="false">MAX(MAX(BV480:CC480),-MIN(BV480:CC480))</f>
        <v>-0</v>
      </c>
      <c r="CE480" s="31" t="n">
        <f aca="false">IF(CI480="","",SUMIFS($CF$7:$CF$696,$A$7:$A$696,CI480,$B$7:$B$696,B480))</f>
        <v>1003586</v>
      </c>
      <c r="CF480" s="31" t="n">
        <f aca="false">SUM(AU480:BE480)</f>
        <v>1114546</v>
      </c>
      <c r="CG480" s="33" t="str">
        <f aca="false">A480&amp;"|"&amp;B480</f>
        <v>2026-12 月例|平和文化センター</v>
      </c>
      <c r="CH480" s="34" t="str">
        <f aca="false">IFERROR(INDEX(設定!$D$61:$D$106,MATCH(B480,設定!$B$61:$B$106,0)),"Y")</f>
        <v>Y</v>
      </c>
      <c r="CI480" s="34" t="str">
        <f aca="false">IFERROR(INDEX(設定!$D$20:$D$34,MATCH(A480,設定!$A$20:$A$34,0))&amp;"","")</f>
        <v>2026-11 月例</v>
      </c>
    </row>
    <row r="481" customFormat="false" ht="15" hidden="true" customHeight="false" outlineLevel="0" collapsed="false">
      <c r="A481" s="22" t="s">
        <v>218</v>
      </c>
      <c r="B481" s="23" t="s">
        <v>175</v>
      </c>
      <c r="C481" s="10" t="str">
        <f aca="false">IF(G481="","未受領",IF(G481="なし","報告なし",IF(AH481="○","起票済",IF(OR(AG481="○",F481="一致",F481="入金不要"),"入金確認済","受領済"))))</f>
        <v>未受領</v>
      </c>
      <c r="D481" s="10" t="str">
        <f aca="false">IF(OR(G481="",G481="なし"),"―",IF(CH481="N","対象外",IF(AND(I481="",J481="",K481=""),"標報未入力",IF(CD481&gt;=設定!$B$4,"要確認","問題なし"))))</f>
        <v>―</v>
      </c>
      <c r="E481" s="24" t="str">
        <f aca="false">IF(OR(G481="",G481="なし",CE481="",CF481=0),"―",IF(CF481=CE481,"前月同額",IF(CE481=0,"―",IF(ABS(CF481/CE481-1)&gt;=設定!$B$5,"変動大 "&amp;TEXT(CF481/CE481-1,"+0%;-0%"),"〇"))))</f>
        <v>―</v>
      </c>
      <c r="F481" s="10" t="str">
        <f aca="false">IF(OR(G481="",G481="なし"),"―",IF(CF481=0,"入金不要",IF(COUNT(Z481,AB481,AD481,AF481)=0,IF(AG481="○","手動確認","未入金"),IF(AND(N(Z481)=Y481,IF(AA481="",TRUE(),N(AB481)=AA481),IF(AC481="",TRUE(),N(AD481)=AC481),IF(AE481="",TRUE(),N(AF481)=AE481)),"一致","不一致"))))</f>
        <v>―</v>
      </c>
      <c r="G481" s="25"/>
      <c r="H481" s="26"/>
      <c r="I481" s="27"/>
      <c r="J481" s="27"/>
      <c r="K481" s="27"/>
      <c r="L481" s="27"/>
      <c r="M481" s="27"/>
      <c r="N481" s="27"/>
      <c r="O481" s="27"/>
      <c r="P481" s="27"/>
      <c r="Q481" s="27"/>
      <c r="R481" s="27"/>
      <c r="S481" s="27"/>
      <c r="T481" s="27"/>
      <c r="U481" s="27"/>
      <c r="V481" s="27"/>
      <c r="W481" s="10" t="str">
        <f aca="false">IFERROR(INDEX(設定!$E$61:$E$106,MATCH(B481,設定!$B$61:$B$106,0)),"合算")</f>
        <v>合算</v>
      </c>
      <c r="X481" s="28"/>
      <c r="Y481" s="29" t="str">
        <f aca="false">IF(OR(G481="",G481="なし"),"",IF(W481="合算",CF481,IF(W481="掛金・負担金別",(AU481+AV481+AZ481+BB481+BD481),SUM(AU481:AY481))))</f>
        <v/>
      </c>
      <c r="Z481" s="27"/>
      <c r="AA481" s="29" t="str">
        <f aca="false">IF(OR(G481="",G481="なし"),"",IF(W481="掛金・負担金別",(AW481+AX481+AY481+BA481+BC481+BE481),IF(W481="経理区分別",AZ481+BA481,"")))</f>
        <v/>
      </c>
      <c r="AB481" s="27"/>
      <c r="AC481" s="29" t="str">
        <f aca="false">IF(OR(G481="",G481="なし"),"",IF(W481="経理区分別",BB481+BC481,""))</f>
        <v/>
      </c>
      <c r="AD481" s="27"/>
      <c r="AE481" s="29" t="str">
        <f aca="false">IF(OR(G481="",G481="なし"),"",IF(W481="経理区分別",BD481+BE481,""))</f>
        <v/>
      </c>
      <c r="AF481" s="27"/>
      <c r="AG481" s="26"/>
      <c r="AH481" s="26"/>
      <c r="AI481" s="30"/>
      <c r="AJ481" s="31"/>
      <c r="AK481" s="31"/>
      <c r="AL481" s="31" t="n">
        <v>1881240</v>
      </c>
      <c r="AM481" s="31" t="n">
        <v>154200</v>
      </c>
      <c r="AN481" s="31" t="n">
        <v>1955</v>
      </c>
      <c r="AO481" s="31"/>
      <c r="AP481" s="31" t="n">
        <v>1271969</v>
      </c>
      <c r="AQ481" s="31"/>
      <c r="AR481" s="31" t="n">
        <v>141252</v>
      </c>
      <c r="AS481" s="31"/>
      <c r="AT481" s="31" t="n">
        <v>1</v>
      </c>
      <c r="AU481" s="31" t="n">
        <f aca="false">IF($G481="",AJ481,L481)</f>
        <v>0</v>
      </c>
      <c r="AV481" s="31" t="n">
        <f aca="false">IF($G481="",AK481,M481)</f>
        <v>0</v>
      </c>
      <c r="AW481" s="31" t="n">
        <f aca="false">IF($G481="",AL481,N481)</f>
        <v>1881240</v>
      </c>
      <c r="AX481" s="31" t="n">
        <f aca="false">IF($G481="",AM481,O481)</f>
        <v>154200</v>
      </c>
      <c r="AY481" s="31" t="n">
        <f aca="false">IF($G481="",AN481,P481)</f>
        <v>1955</v>
      </c>
      <c r="AZ481" s="31" t="n">
        <f aca="false">IF($G481="",AO481,Q481)</f>
        <v>0</v>
      </c>
      <c r="BA481" s="31" t="n">
        <f aca="false">IF($G481="",AP481,R481)</f>
        <v>1271969</v>
      </c>
      <c r="BB481" s="31" t="n">
        <f aca="false">IF($G481="",AQ481,S481)</f>
        <v>0</v>
      </c>
      <c r="BC481" s="31" t="n">
        <f aca="false">IF($G481="",AR481,T481)</f>
        <v>141252</v>
      </c>
      <c r="BD481" s="31" t="n">
        <f aca="false">IF($G481="",AS481,U481)</f>
        <v>0</v>
      </c>
      <c r="BE481" s="31" t="n">
        <f aca="false">IF($G481="",AT481,V481)</f>
        <v>1</v>
      </c>
      <c r="BF481" s="31" t="n">
        <f aca="false">ROUNDDOWN(I481*設定!$B$10/1000,0)+ROUNDDOWN(I481*設定!$B$11/1000,0)</f>
        <v>0</v>
      </c>
      <c r="BG481" s="31" t="n">
        <f aca="false">ROUNDDOWN(I481*設定!$C$10/1000,0)+ROUNDDOWN(I481*設定!$C$11/1000,0)+ROUNDDOWN(I481*設定!$C$12/1000,0)</f>
        <v>0</v>
      </c>
      <c r="BH481" s="31" t="n">
        <f aca="false">ROUNDDOWN(J481*設定!$B$13/1000,0)</f>
        <v>0</v>
      </c>
      <c r="BI481" s="31" t="n">
        <f aca="false">ROUNDDOWN(J481*設定!$C$13/1000,0)</f>
        <v>0</v>
      </c>
      <c r="BJ481" s="31" t="n">
        <f aca="false">ROUNDDOWN(K481*設定!$B$14/1000,0)</f>
        <v>0</v>
      </c>
      <c r="BK481" s="31" t="n">
        <f aca="false">ROUNDDOWN(K481*設定!$C$14/1000,0)</f>
        <v>0</v>
      </c>
      <c r="BL481" s="31" t="n">
        <f aca="false">ROUNDDOWN(J481*設定!$B$15/1000,0)</f>
        <v>0</v>
      </c>
      <c r="BM481" s="31" t="n">
        <f aca="false">ROUNDDOWN(J481*設定!$C$15/1000,0)</f>
        <v>0</v>
      </c>
      <c r="BN481" s="31" t="n">
        <f aca="false">L481+M481</f>
        <v>0</v>
      </c>
      <c r="BO481" s="31" t="n">
        <f aca="false">N481+O481+P481</f>
        <v>0</v>
      </c>
      <c r="BP481" s="31" t="n">
        <f aca="false">Q481</f>
        <v>0</v>
      </c>
      <c r="BQ481" s="31" t="n">
        <f aca="false">R481</f>
        <v>0</v>
      </c>
      <c r="BR481" s="31" t="n">
        <f aca="false">S481</f>
        <v>0</v>
      </c>
      <c r="BS481" s="31" t="n">
        <f aca="false">T481</f>
        <v>0</v>
      </c>
      <c r="BT481" s="31" t="n">
        <f aca="false">U481</f>
        <v>0</v>
      </c>
      <c r="BU481" s="31" t="n">
        <f aca="false">V481</f>
        <v>0</v>
      </c>
      <c r="BV481" s="32" t="n">
        <f aca="false">IF(BF481=0,IF(BN481=0,0,1),(BN481-BF481)/BF481)</f>
        <v>0</v>
      </c>
      <c r="BW481" s="32" t="n">
        <f aca="false">IF(BG481=0,IF(BO481=0,0,1),(BO481-BG481)/BG481)</f>
        <v>0</v>
      </c>
      <c r="BX481" s="32" t="n">
        <f aca="false">IF(BH481=0,IF(BP481=0,0,1),(BP481-BH481)/BH481)</f>
        <v>0</v>
      </c>
      <c r="BY481" s="32" t="n">
        <f aca="false">IF(BI481=0,IF(BQ481=0,0,1),(BQ481-BI481)/BI481)</f>
        <v>0</v>
      </c>
      <c r="BZ481" s="32" t="n">
        <f aca="false">IF(BJ481=0,IF(BR481=0,0,1),(BR481-BJ481)/BJ481)</f>
        <v>0</v>
      </c>
      <c r="CA481" s="32" t="n">
        <f aca="false">IF(BK481=0,IF(BS481=0,0,1),(BS481-BK481)/BK481)</f>
        <v>0</v>
      </c>
      <c r="CB481" s="32" t="n">
        <f aca="false">IF(BL481=0,IF(BT481=0,0,1),(BT481-BL481)/BL481)</f>
        <v>0</v>
      </c>
      <c r="CC481" s="32" t="n">
        <f aca="false">IF(BM481=0,IF(BU481=0,0,1),(BU481-BM481)/BM481)</f>
        <v>0</v>
      </c>
      <c r="CD481" s="32" t="n">
        <f aca="false">MAX(MAX(BV481:CC481),-MIN(BV481:CC481))</f>
        <v>-0</v>
      </c>
      <c r="CE481" s="31" t="n">
        <f aca="false">IF(CI481="","",SUMIFS($CF$7:$CF$696,$A$7:$A$696,CI481,$B$7:$B$696,B481))</f>
        <v>3450627</v>
      </c>
      <c r="CF481" s="31" t="n">
        <f aca="false">SUM(AU481:BE481)</f>
        <v>3450617</v>
      </c>
      <c r="CG481" s="33" t="str">
        <f aca="false">A481&amp;"|"&amp;B481</f>
        <v>2026-12 月例|社会福祉事業団</v>
      </c>
      <c r="CH481" s="34" t="str">
        <f aca="false">IFERROR(INDEX(設定!$D$61:$D$106,MATCH(B481,設定!$B$61:$B$106,0)),"Y")</f>
        <v>Y</v>
      </c>
      <c r="CI481" s="34" t="str">
        <f aca="false">IFERROR(INDEX(設定!$D$20:$D$34,MATCH(A481,設定!$A$20:$A$34,0))&amp;"","")</f>
        <v>2026-11 月例</v>
      </c>
    </row>
    <row r="482" customFormat="false" ht="15" hidden="true" customHeight="false" outlineLevel="0" collapsed="false">
      <c r="A482" s="22" t="s">
        <v>218</v>
      </c>
      <c r="B482" s="23" t="s">
        <v>176</v>
      </c>
      <c r="C482" s="10" t="str">
        <f aca="false">IF(G482="","未受領",IF(G482="なし","報告なし",IF(AH482="○","起票済",IF(OR(AG482="○",F482="一致",F482="入金不要"),"入金確認済","受領済"))))</f>
        <v>未受領</v>
      </c>
      <c r="D482" s="10" t="str">
        <f aca="false">IF(OR(G482="",G482="なし"),"―",IF(CH482="N","対象外",IF(AND(I482="",J482="",K482=""),"標報未入力",IF(CD482&gt;=設定!$B$4,"要確認","問題なし"))))</f>
        <v>―</v>
      </c>
      <c r="E482" s="24" t="str">
        <f aca="false">IF(OR(G482="",G482="なし",CE482="",CF482=0),"―",IF(CF482=CE482,"前月同額",IF(CE482=0,"―",IF(ABS(CF482/CE482-1)&gt;=設定!$B$5,"変動大 "&amp;TEXT(CF482/CE482-1,"+0%;-0%"),"〇"))))</f>
        <v>―</v>
      </c>
      <c r="F482" s="10" t="str">
        <f aca="false">IF(OR(G482="",G482="なし"),"―",IF(CF482=0,"入金不要",IF(COUNT(Z482,AB482,AD482,AF482)=0,IF(AG482="○","手動確認","未入金"),IF(AND(N(Z482)=Y482,IF(AA482="",TRUE(),N(AB482)=AA482),IF(AC482="",TRUE(),N(AD482)=AC482),IF(AE482="",TRUE(),N(AF482)=AE482)),"一致","不一致"))))</f>
        <v>―</v>
      </c>
      <c r="G482" s="25"/>
      <c r="H482" s="26"/>
      <c r="I482" s="27"/>
      <c r="J482" s="27"/>
      <c r="K482" s="27"/>
      <c r="L482" s="27"/>
      <c r="M482" s="27"/>
      <c r="N482" s="27"/>
      <c r="O482" s="27"/>
      <c r="P482" s="27"/>
      <c r="Q482" s="27"/>
      <c r="R482" s="27"/>
      <c r="S482" s="27"/>
      <c r="T482" s="27"/>
      <c r="U482" s="27"/>
      <c r="V482" s="27"/>
      <c r="W482" s="10" t="str">
        <f aca="false">IFERROR(INDEX(設定!$E$61:$E$106,MATCH(B482,設定!$B$61:$B$106,0)),"合算")</f>
        <v>合算</v>
      </c>
      <c r="X482" s="28"/>
      <c r="Y482" s="29" t="str">
        <f aca="false">IF(OR(G482="",G482="なし"),"",IF(W482="合算",CF482,IF(W482="掛金・負担金別",(AU482+AV482+AZ482+BB482+BD482),SUM(AU482:AY482))))</f>
        <v/>
      </c>
      <c r="Z482" s="27"/>
      <c r="AA482" s="29" t="str">
        <f aca="false">IF(OR(G482="",G482="なし"),"",IF(W482="掛金・負担金別",(AW482+AX482+AY482+BA482+BC482+BE482),IF(W482="経理区分別",AZ482+BA482,"")))</f>
        <v/>
      </c>
      <c r="AB482" s="27"/>
      <c r="AC482" s="29" t="str">
        <f aca="false">IF(OR(G482="",G482="なし"),"",IF(W482="経理区分別",BB482+BC482,""))</f>
        <v/>
      </c>
      <c r="AD482" s="27"/>
      <c r="AE482" s="29" t="str">
        <f aca="false">IF(OR(G482="",G482="なし"),"",IF(W482="経理区分別",BD482+BE482,""))</f>
        <v/>
      </c>
      <c r="AF482" s="27"/>
      <c r="AG482" s="26"/>
      <c r="AH482" s="26"/>
      <c r="AI482" s="30"/>
      <c r="AJ482" s="31"/>
      <c r="AK482" s="31"/>
      <c r="AL482" s="31" t="n">
        <v>48495</v>
      </c>
      <c r="AM482" s="31" t="n">
        <v>3975</v>
      </c>
      <c r="AN482" s="31" t="n">
        <v>49</v>
      </c>
      <c r="AO482" s="31"/>
      <c r="AP482" s="31" t="n">
        <v>29208</v>
      </c>
      <c r="AQ482" s="31"/>
      <c r="AR482" s="31" t="n">
        <v>4187</v>
      </c>
      <c r="AS482" s="31"/>
      <c r="AT482" s="31" t="n">
        <v>1</v>
      </c>
      <c r="AU482" s="31" t="n">
        <f aca="false">IF($G482="",AJ482,L482)</f>
        <v>0</v>
      </c>
      <c r="AV482" s="31" t="n">
        <f aca="false">IF($G482="",AK482,M482)</f>
        <v>0</v>
      </c>
      <c r="AW482" s="31" t="n">
        <f aca="false">IF($G482="",AL482,N482)</f>
        <v>48495</v>
      </c>
      <c r="AX482" s="31" t="n">
        <f aca="false">IF($G482="",AM482,O482)</f>
        <v>3975</v>
      </c>
      <c r="AY482" s="31" t="n">
        <f aca="false">IF($G482="",AN482,P482)</f>
        <v>49</v>
      </c>
      <c r="AZ482" s="31" t="n">
        <f aca="false">IF($G482="",AO482,Q482)</f>
        <v>0</v>
      </c>
      <c r="BA482" s="31" t="n">
        <f aca="false">IF($G482="",AP482,R482)</f>
        <v>29208</v>
      </c>
      <c r="BB482" s="31" t="n">
        <f aca="false">IF($G482="",AQ482,S482)</f>
        <v>0</v>
      </c>
      <c r="BC482" s="31" t="n">
        <f aca="false">IF($G482="",AR482,T482)</f>
        <v>4187</v>
      </c>
      <c r="BD482" s="31" t="n">
        <f aca="false">IF($G482="",AS482,U482)</f>
        <v>0</v>
      </c>
      <c r="BE482" s="31" t="n">
        <f aca="false">IF($G482="",AT482,V482)</f>
        <v>1</v>
      </c>
      <c r="BF482" s="31" t="n">
        <f aca="false">ROUNDDOWN(I482*設定!$B$10/1000,0)+ROUNDDOWN(I482*設定!$B$11/1000,0)</f>
        <v>0</v>
      </c>
      <c r="BG482" s="31" t="n">
        <f aca="false">ROUNDDOWN(I482*設定!$C$10/1000,0)+ROUNDDOWN(I482*設定!$C$11/1000,0)+ROUNDDOWN(I482*設定!$C$12/1000,0)</f>
        <v>0</v>
      </c>
      <c r="BH482" s="31" t="n">
        <f aca="false">ROUNDDOWN(J482*設定!$B$13/1000,0)</f>
        <v>0</v>
      </c>
      <c r="BI482" s="31" t="n">
        <f aca="false">ROUNDDOWN(J482*設定!$C$13/1000,0)</f>
        <v>0</v>
      </c>
      <c r="BJ482" s="31" t="n">
        <f aca="false">ROUNDDOWN(K482*設定!$B$14/1000,0)</f>
        <v>0</v>
      </c>
      <c r="BK482" s="31" t="n">
        <f aca="false">ROUNDDOWN(K482*設定!$C$14/1000,0)</f>
        <v>0</v>
      </c>
      <c r="BL482" s="31" t="n">
        <f aca="false">ROUNDDOWN(J482*設定!$B$15/1000,0)</f>
        <v>0</v>
      </c>
      <c r="BM482" s="31" t="n">
        <f aca="false">ROUNDDOWN(J482*設定!$C$15/1000,0)</f>
        <v>0</v>
      </c>
      <c r="BN482" s="31" t="n">
        <f aca="false">L482+M482</f>
        <v>0</v>
      </c>
      <c r="BO482" s="31" t="n">
        <f aca="false">N482+O482+P482</f>
        <v>0</v>
      </c>
      <c r="BP482" s="31" t="n">
        <f aca="false">Q482</f>
        <v>0</v>
      </c>
      <c r="BQ482" s="31" t="n">
        <f aca="false">R482</f>
        <v>0</v>
      </c>
      <c r="BR482" s="31" t="n">
        <f aca="false">S482</f>
        <v>0</v>
      </c>
      <c r="BS482" s="31" t="n">
        <f aca="false">T482</f>
        <v>0</v>
      </c>
      <c r="BT482" s="31" t="n">
        <f aca="false">U482</f>
        <v>0</v>
      </c>
      <c r="BU482" s="31" t="n">
        <f aca="false">V482</f>
        <v>0</v>
      </c>
      <c r="BV482" s="32" t="n">
        <f aca="false">IF(BF482=0,IF(BN482=0,0,1),(BN482-BF482)/BF482)</f>
        <v>0</v>
      </c>
      <c r="BW482" s="32" t="n">
        <f aca="false">IF(BG482=0,IF(BO482=0,0,1),(BO482-BG482)/BG482)</f>
        <v>0</v>
      </c>
      <c r="BX482" s="32" t="n">
        <f aca="false">IF(BH482=0,IF(BP482=0,0,1),(BP482-BH482)/BH482)</f>
        <v>0</v>
      </c>
      <c r="BY482" s="32" t="n">
        <f aca="false">IF(BI482=0,IF(BQ482=0,0,1),(BQ482-BI482)/BI482)</f>
        <v>0</v>
      </c>
      <c r="BZ482" s="32" t="n">
        <f aca="false">IF(BJ482=0,IF(BR482=0,0,1),(BR482-BJ482)/BJ482)</f>
        <v>0</v>
      </c>
      <c r="CA482" s="32" t="n">
        <f aca="false">IF(BK482=0,IF(BS482=0,0,1),(BS482-BK482)/BK482)</f>
        <v>0</v>
      </c>
      <c r="CB482" s="32" t="n">
        <f aca="false">IF(BL482=0,IF(BT482=0,0,1),(BT482-BL482)/BL482)</f>
        <v>0</v>
      </c>
      <c r="CC482" s="32" t="n">
        <f aca="false">IF(BM482=0,IF(BU482=0,0,1),(BU482-BM482)/BM482)</f>
        <v>0</v>
      </c>
      <c r="CD482" s="32" t="n">
        <f aca="false">MAX(MAX(BV482:CC482),-MIN(BV482:CC482))</f>
        <v>-0</v>
      </c>
      <c r="CE482" s="31" t="n">
        <f aca="false">IF(CI482="","",SUMIFS($CF$7:$CF$696,$A$7:$A$696,CI482,$B$7:$B$696,B482))</f>
        <v>85915</v>
      </c>
      <c r="CF482" s="31" t="n">
        <f aca="false">SUM(AU482:BE482)</f>
        <v>85915</v>
      </c>
      <c r="CG482" s="33" t="str">
        <f aca="false">A482&amp;"|"&amp;B482</f>
        <v>2026-12 月例|原爆障害対策協議会</v>
      </c>
      <c r="CH482" s="34" t="str">
        <f aca="false">IFERROR(INDEX(設定!$D$61:$D$106,MATCH(B482,設定!$B$61:$B$106,0)),"Y")</f>
        <v>Y</v>
      </c>
      <c r="CI482" s="34" t="str">
        <f aca="false">IFERROR(INDEX(設定!$D$20:$D$34,MATCH(A482,設定!$A$20:$A$34,0))&amp;"","")</f>
        <v>2026-11 月例</v>
      </c>
    </row>
    <row r="483" customFormat="false" ht="15" hidden="true" customHeight="false" outlineLevel="0" collapsed="false">
      <c r="A483" s="22" t="s">
        <v>218</v>
      </c>
      <c r="B483" s="23" t="s">
        <v>177</v>
      </c>
      <c r="C483" s="10" t="str">
        <f aca="false">IF(G483="","未受領",IF(G483="なし","報告なし",IF(AH483="○","起票済",IF(OR(AG483="○",F483="一致",F483="入金不要"),"入金確認済","受領済"))))</f>
        <v>未受領</v>
      </c>
      <c r="D483" s="10" t="str">
        <f aca="false">IF(OR(G483="",G483="なし"),"―",IF(CH483="N","対象外",IF(AND(I483="",J483="",K483=""),"標報未入力",IF(CD483&gt;=設定!$B$4,"要確認","問題なし"))))</f>
        <v>―</v>
      </c>
      <c r="E483" s="24" t="str">
        <f aca="false">IF(OR(G483="",G483="なし",CE483="",CF483=0),"―",IF(CF483=CE483,"前月同額",IF(CE483=0,"―",IF(ABS(CF483/CE483-1)&gt;=設定!$B$5,"変動大 "&amp;TEXT(CF483/CE483-1,"+0%;-0%"),"〇"))))</f>
        <v>―</v>
      </c>
      <c r="F483" s="10" t="str">
        <f aca="false">IF(OR(G483="",G483="なし"),"―",IF(CF483=0,"入金不要",IF(COUNT(Z483,AB483,AD483,AF483)=0,IF(AG483="○","手動確認","未入金"),IF(AND(N(Z483)=Y483,IF(AA483="",TRUE(),N(AB483)=AA483),IF(AC483="",TRUE(),N(AD483)=AC483),IF(AE483="",TRUE(),N(AF483)=AE483)),"一致","不一致"))))</f>
        <v>―</v>
      </c>
      <c r="G483" s="25"/>
      <c r="H483" s="26"/>
      <c r="I483" s="27"/>
      <c r="J483" s="27"/>
      <c r="K483" s="27"/>
      <c r="L483" s="27"/>
      <c r="M483" s="27"/>
      <c r="N483" s="27"/>
      <c r="O483" s="27"/>
      <c r="P483" s="27"/>
      <c r="Q483" s="27"/>
      <c r="R483" s="27"/>
      <c r="S483" s="27"/>
      <c r="T483" s="27"/>
      <c r="U483" s="27"/>
      <c r="V483" s="27"/>
      <c r="W483" s="10" t="str">
        <f aca="false">IFERROR(INDEX(設定!$E$61:$E$106,MATCH(B483,設定!$B$61:$B$106,0)),"合算")</f>
        <v>合算</v>
      </c>
      <c r="X483" s="28"/>
      <c r="Y483" s="29" t="str">
        <f aca="false">IF(OR(G483="",G483="なし"),"",IF(W483="合算",CF483,IF(W483="掛金・負担金別",(AU483+AV483+AZ483+BB483+BD483),SUM(AU483:AY483))))</f>
        <v/>
      </c>
      <c r="Z483" s="27"/>
      <c r="AA483" s="29" t="str">
        <f aca="false">IF(OR(G483="",G483="なし"),"",IF(W483="掛金・負担金別",(AW483+AX483+AY483+BA483+BC483+BE483),IF(W483="経理区分別",AZ483+BA483,"")))</f>
        <v/>
      </c>
      <c r="AB483" s="27"/>
      <c r="AC483" s="29" t="str">
        <f aca="false">IF(OR(G483="",G483="なし"),"",IF(W483="経理区分別",BB483+BC483,""))</f>
        <v/>
      </c>
      <c r="AD483" s="27"/>
      <c r="AE483" s="29" t="str">
        <f aca="false">IF(OR(G483="",G483="なし"),"",IF(W483="経理区分別",BD483+BE483,""))</f>
        <v/>
      </c>
      <c r="AF483" s="27"/>
      <c r="AG483" s="26"/>
      <c r="AH483" s="26"/>
      <c r="AI483" s="30"/>
      <c r="AJ483" s="31"/>
      <c r="AK483" s="31"/>
      <c r="AL483" s="31" t="n">
        <v>425475</v>
      </c>
      <c r="AM483" s="31" t="n">
        <v>34875</v>
      </c>
      <c r="AN483" s="31" t="n">
        <v>435</v>
      </c>
      <c r="AO483" s="31"/>
      <c r="AP483" s="31" t="n">
        <v>256260</v>
      </c>
      <c r="AQ483" s="31"/>
      <c r="AR483" s="31" t="n">
        <v>34207</v>
      </c>
      <c r="AS483" s="31"/>
      <c r="AT483" s="31" t="n">
        <v>1</v>
      </c>
      <c r="AU483" s="31" t="n">
        <f aca="false">IF($G483="",AJ483,L483)</f>
        <v>0</v>
      </c>
      <c r="AV483" s="31" t="n">
        <f aca="false">IF($G483="",AK483,M483)</f>
        <v>0</v>
      </c>
      <c r="AW483" s="31" t="n">
        <f aca="false">IF($G483="",AL483,N483)</f>
        <v>425475</v>
      </c>
      <c r="AX483" s="31" t="n">
        <f aca="false">IF($G483="",AM483,O483)</f>
        <v>34875</v>
      </c>
      <c r="AY483" s="31" t="n">
        <f aca="false">IF($G483="",AN483,P483)</f>
        <v>435</v>
      </c>
      <c r="AZ483" s="31" t="n">
        <f aca="false">IF($G483="",AO483,Q483)</f>
        <v>0</v>
      </c>
      <c r="BA483" s="31" t="n">
        <f aca="false">IF($G483="",AP483,R483)</f>
        <v>256260</v>
      </c>
      <c r="BB483" s="31" t="n">
        <f aca="false">IF($G483="",AQ483,S483)</f>
        <v>0</v>
      </c>
      <c r="BC483" s="31" t="n">
        <f aca="false">IF($G483="",AR483,T483)</f>
        <v>34207</v>
      </c>
      <c r="BD483" s="31" t="n">
        <f aca="false">IF($G483="",AS483,U483)</f>
        <v>0</v>
      </c>
      <c r="BE483" s="31" t="n">
        <f aca="false">IF($G483="",AT483,V483)</f>
        <v>1</v>
      </c>
      <c r="BF483" s="31" t="n">
        <f aca="false">ROUNDDOWN(I483*設定!$B$10/1000,0)+ROUNDDOWN(I483*設定!$B$11/1000,0)</f>
        <v>0</v>
      </c>
      <c r="BG483" s="31" t="n">
        <f aca="false">ROUNDDOWN(I483*設定!$C$10/1000,0)+ROUNDDOWN(I483*設定!$C$11/1000,0)+ROUNDDOWN(I483*設定!$C$12/1000,0)</f>
        <v>0</v>
      </c>
      <c r="BH483" s="31" t="n">
        <f aca="false">ROUNDDOWN(J483*設定!$B$13/1000,0)</f>
        <v>0</v>
      </c>
      <c r="BI483" s="31" t="n">
        <f aca="false">ROUNDDOWN(J483*設定!$C$13/1000,0)</f>
        <v>0</v>
      </c>
      <c r="BJ483" s="31" t="n">
        <f aca="false">ROUNDDOWN(K483*設定!$B$14/1000,0)</f>
        <v>0</v>
      </c>
      <c r="BK483" s="31" t="n">
        <f aca="false">ROUNDDOWN(K483*設定!$C$14/1000,0)</f>
        <v>0</v>
      </c>
      <c r="BL483" s="31" t="n">
        <f aca="false">ROUNDDOWN(J483*設定!$B$15/1000,0)</f>
        <v>0</v>
      </c>
      <c r="BM483" s="31" t="n">
        <f aca="false">ROUNDDOWN(J483*設定!$C$15/1000,0)</f>
        <v>0</v>
      </c>
      <c r="BN483" s="31" t="n">
        <f aca="false">L483+M483</f>
        <v>0</v>
      </c>
      <c r="BO483" s="31" t="n">
        <f aca="false">N483+O483+P483</f>
        <v>0</v>
      </c>
      <c r="BP483" s="31" t="n">
        <f aca="false">Q483</f>
        <v>0</v>
      </c>
      <c r="BQ483" s="31" t="n">
        <f aca="false">R483</f>
        <v>0</v>
      </c>
      <c r="BR483" s="31" t="n">
        <f aca="false">S483</f>
        <v>0</v>
      </c>
      <c r="BS483" s="31" t="n">
        <f aca="false">T483</f>
        <v>0</v>
      </c>
      <c r="BT483" s="31" t="n">
        <f aca="false">U483</f>
        <v>0</v>
      </c>
      <c r="BU483" s="31" t="n">
        <f aca="false">V483</f>
        <v>0</v>
      </c>
      <c r="BV483" s="32" t="n">
        <f aca="false">IF(BF483=0,IF(BN483=0,0,1),(BN483-BF483)/BF483)</f>
        <v>0</v>
      </c>
      <c r="BW483" s="32" t="n">
        <f aca="false">IF(BG483=0,IF(BO483=0,0,1),(BO483-BG483)/BG483)</f>
        <v>0</v>
      </c>
      <c r="BX483" s="32" t="n">
        <f aca="false">IF(BH483=0,IF(BP483=0,0,1),(BP483-BH483)/BH483)</f>
        <v>0</v>
      </c>
      <c r="BY483" s="32" t="n">
        <f aca="false">IF(BI483=0,IF(BQ483=0,0,1),(BQ483-BI483)/BI483)</f>
        <v>0</v>
      </c>
      <c r="BZ483" s="32" t="n">
        <f aca="false">IF(BJ483=0,IF(BR483=0,0,1),(BR483-BJ483)/BJ483)</f>
        <v>0</v>
      </c>
      <c r="CA483" s="32" t="n">
        <f aca="false">IF(BK483=0,IF(BS483=0,0,1),(BS483-BK483)/BK483)</f>
        <v>0</v>
      </c>
      <c r="CB483" s="32" t="n">
        <f aca="false">IF(BL483=0,IF(BT483=0,0,1),(BT483-BL483)/BL483)</f>
        <v>0</v>
      </c>
      <c r="CC483" s="32" t="n">
        <f aca="false">IF(BM483=0,IF(BU483=0,0,1),(BU483-BM483)/BM483)</f>
        <v>0</v>
      </c>
      <c r="CD483" s="32" t="n">
        <f aca="false">MAX(MAX(BV483:CC483),-MIN(BV483:CC483))</f>
        <v>-0</v>
      </c>
      <c r="CE483" s="31" t="n">
        <f aca="false">IF(CI483="","",SUMIFS($CF$7:$CF$696,$A$7:$A$696,CI483,$B$7:$B$696,B483))</f>
        <v>751253</v>
      </c>
      <c r="CF483" s="31" t="n">
        <f aca="false">SUM(AU483:BE483)</f>
        <v>751253</v>
      </c>
      <c r="CG483" s="33" t="str">
        <f aca="false">A483&amp;"|"&amp;B483</f>
        <v>2026-12 月例|産業振興センター</v>
      </c>
      <c r="CH483" s="34" t="str">
        <f aca="false">IFERROR(INDEX(設定!$D$61:$D$106,MATCH(B483,設定!$B$61:$B$106,0)),"Y")</f>
        <v>Y</v>
      </c>
      <c r="CI483" s="34" t="str">
        <f aca="false">IFERROR(INDEX(設定!$D$20:$D$34,MATCH(A483,設定!$A$20:$A$34,0))&amp;"","")</f>
        <v>2026-11 月例</v>
      </c>
    </row>
    <row r="484" customFormat="false" ht="15" hidden="true" customHeight="false" outlineLevel="0" collapsed="false">
      <c r="A484" s="22" t="s">
        <v>218</v>
      </c>
      <c r="B484" s="23" t="s">
        <v>178</v>
      </c>
      <c r="C484" s="10" t="str">
        <f aca="false">IF(G484="","未受領",IF(G484="なし","報告なし",IF(AH484="○","起票済",IF(OR(AG484="○",F484="一致",F484="入金不要"),"入金確認済","受領済"))))</f>
        <v>未受領</v>
      </c>
      <c r="D484" s="10" t="str">
        <f aca="false">IF(OR(G484="",G484="なし"),"―",IF(CH484="N","対象外",IF(AND(I484="",J484="",K484=""),"標報未入力",IF(CD484&gt;=設定!$B$4,"要確認","問題なし"))))</f>
        <v>―</v>
      </c>
      <c r="E484" s="24" t="str">
        <f aca="false">IF(OR(G484="",G484="なし",CE484="",CF484=0),"―",IF(CF484=CE484,"前月同額",IF(CE484=0,"―",IF(ABS(CF484/CE484-1)&gt;=設定!$B$5,"変動大 "&amp;TEXT(CF484/CE484-1,"+0%;-0%"),"〇"))))</f>
        <v>―</v>
      </c>
      <c r="F484" s="10" t="str">
        <f aca="false">IF(OR(G484="",G484="なし"),"―",IF(CF484=0,"入金不要",IF(COUNT(Z484,AB484,AD484,AF484)=0,IF(AG484="○","手動確認","未入金"),IF(AND(N(Z484)=Y484,IF(AA484="",TRUE(),N(AB484)=AA484),IF(AC484="",TRUE(),N(AD484)=AC484),IF(AE484="",TRUE(),N(AF484)=AE484)),"一致","不一致"))))</f>
        <v>―</v>
      </c>
      <c r="G484" s="25"/>
      <c r="H484" s="26"/>
      <c r="I484" s="27"/>
      <c r="J484" s="27"/>
      <c r="K484" s="27"/>
      <c r="L484" s="27"/>
      <c r="M484" s="27"/>
      <c r="N484" s="27"/>
      <c r="O484" s="27"/>
      <c r="P484" s="27"/>
      <c r="Q484" s="27"/>
      <c r="R484" s="27"/>
      <c r="S484" s="27"/>
      <c r="T484" s="27"/>
      <c r="U484" s="27"/>
      <c r="V484" s="27"/>
      <c r="W484" s="10" t="str">
        <f aca="false">IFERROR(INDEX(設定!$E$61:$E$106,MATCH(B484,設定!$B$61:$B$106,0)),"合算")</f>
        <v>合算</v>
      </c>
      <c r="X484" s="28"/>
      <c r="Y484" s="29" t="str">
        <f aca="false">IF(OR(G484="",G484="なし"),"",IF(W484="合算",CF484,IF(W484="掛金・負担金別",(AU484+AV484+AZ484+BB484+BD484),SUM(AU484:AY484))))</f>
        <v/>
      </c>
      <c r="Z484" s="27"/>
      <c r="AA484" s="29" t="str">
        <f aca="false">IF(OR(G484="",G484="なし"),"",IF(W484="掛金・負担金別",(AW484+AX484+AY484+BA484+BC484+BE484),IF(W484="経理区分別",AZ484+BA484,"")))</f>
        <v/>
      </c>
      <c r="AB484" s="27"/>
      <c r="AC484" s="29" t="str">
        <f aca="false">IF(OR(G484="",G484="なし"),"",IF(W484="経理区分別",BB484+BC484,""))</f>
        <v/>
      </c>
      <c r="AD484" s="27"/>
      <c r="AE484" s="29" t="str">
        <f aca="false">IF(OR(G484="",G484="なし"),"",IF(W484="経理区分別",BD484+BE484,""))</f>
        <v/>
      </c>
      <c r="AF484" s="27"/>
      <c r="AG484" s="26"/>
      <c r="AH484" s="26"/>
      <c r="AI484" s="30"/>
      <c r="AJ484" s="31"/>
      <c r="AK484" s="31"/>
      <c r="AL484" s="31" t="n">
        <v>86010</v>
      </c>
      <c r="AM484" s="31" t="n">
        <v>7050</v>
      </c>
      <c r="AN484" s="31" t="n">
        <v>88</v>
      </c>
      <c r="AO484" s="31"/>
      <c r="AP484" s="31" t="n">
        <v>51803</v>
      </c>
      <c r="AQ484" s="31"/>
      <c r="AR484" s="31" t="n">
        <v>7426</v>
      </c>
      <c r="AS484" s="31"/>
      <c r="AT484" s="31" t="n">
        <v>1</v>
      </c>
      <c r="AU484" s="31" t="n">
        <f aca="false">IF($G484="",AJ484,L484)</f>
        <v>0</v>
      </c>
      <c r="AV484" s="31" t="n">
        <f aca="false">IF($G484="",AK484,M484)</f>
        <v>0</v>
      </c>
      <c r="AW484" s="31" t="n">
        <f aca="false">IF($G484="",AL484,N484)</f>
        <v>86010</v>
      </c>
      <c r="AX484" s="31" t="n">
        <f aca="false">IF($G484="",AM484,O484)</f>
        <v>7050</v>
      </c>
      <c r="AY484" s="31" t="n">
        <f aca="false">IF($G484="",AN484,P484)</f>
        <v>88</v>
      </c>
      <c r="AZ484" s="31" t="n">
        <f aca="false">IF($G484="",AO484,Q484)</f>
        <v>0</v>
      </c>
      <c r="BA484" s="31" t="n">
        <f aca="false">IF($G484="",AP484,R484)</f>
        <v>51803</v>
      </c>
      <c r="BB484" s="31" t="n">
        <f aca="false">IF($G484="",AQ484,S484)</f>
        <v>0</v>
      </c>
      <c r="BC484" s="31" t="n">
        <f aca="false">IF($G484="",AR484,T484)</f>
        <v>7426</v>
      </c>
      <c r="BD484" s="31" t="n">
        <f aca="false">IF($G484="",AS484,U484)</f>
        <v>0</v>
      </c>
      <c r="BE484" s="31" t="n">
        <f aca="false">IF($G484="",AT484,V484)</f>
        <v>1</v>
      </c>
      <c r="BF484" s="31" t="n">
        <f aca="false">ROUNDDOWN(I484*設定!$B$10/1000,0)+ROUNDDOWN(I484*設定!$B$11/1000,0)</f>
        <v>0</v>
      </c>
      <c r="BG484" s="31" t="n">
        <f aca="false">ROUNDDOWN(I484*設定!$C$10/1000,0)+ROUNDDOWN(I484*設定!$C$11/1000,0)+ROUNDDOWN(I484*設定!$C$12/1000,0)</f>
        <v>0</v>
      </c>
      <c r="BH484" s="31" t="n">
        <f aca="false">ROUNDDOWN(J484*設定!$B$13/1000,0)</f>
        <v>0</v>
      </c>
      <c r="BI484" s="31" t="n">
        <f aca="false">ROUNDDOWN(J484*設定!$C$13/1000,0)</f>
        <v>0</v>
      </c>
      <c r="BJ484" s="31" t="n">
        <f aca="false">ROUNDDOWN(K484*設定!$B$14/1000,0)</f>
        <v>0</v>
      </c>
      <c r="BK484" s="31" t="n">
        <f aca="false">ROUNDDOWN(K484*設定!$C$14/1000,0)</f>
        <v>0</v>
      </c>
      <c r="BL484" s="31" t="n">
        <f aca="false">ROUNDDOWN(J484*設定!$B$15/1000,0)</f>
        <v>0</v>
      </c>
      <c r="BM484" s="31" t="n">
        <f aca="false">ROUNDDOWN(J484*設定!$C$15/1000,0)</f>
        <v>0</v>
      </c>
      <c r="BN484" s="31" t="n">
        <f aca="false">L484+M484</f>
        <v>0</v>
      </c>
      <c r="BO484" s="31" t="n">
        <f aca="false">N484+O484+P484</f>
        <v>0</v>
      </c>
      <c r="BP484" s="31" t="n">
        <f aca="false">Q484</f>
        <v>0</v>
      </c>
      <c r="BQ484" s="31" t="n">
        <f aca="false">R484</f>
        <v>0</v>
      </c>
      <c r="BR484" s="31" t="n">
        <f aca="false">S484</f>
        <v>0</v>
      </c>
      <c r="BS484" s="31" t="n">
        <f aca="false">T484</f>
        <v>0</v>
      </c>
      <c r="BT484" s="31" t="n">
        <f aca="false">U484</f>
        <v>0</v>
      </c>
      <c r="BU484" s="31" t="n">
        <f aca="false">V484</f>
        <v>0</v>
      </c>
      <c r="BV484" s="32" t="n">
        <f aca="false">IF(BF484=0,IF(BN484=0,0,1),(BN484-BF484)/BF484)</f>
        <v>0</v>
      </c>
      <c r="BW484" s="32" t="n">
        <f aca="false">IF(BG484=0,IF(BO484=0,0,1),(BO484-BG484)/BG484)</f>
        <v>0</v>
      </c>
      <c r="BX484" s="32" t="n">
        <f aca="false">IF(BH484=0,IF(BP484=0,0,1),(BP484-BH484)/BH484)</f>
        <v>0</v>
      </c>
      <c r="BY484" s="32" t="n">
        <f aca="false">IF(BI484=0,IF(BQ484=0,0,1),(BQ484-BI484)/BI484)</f>
        <v>0</v>
      </c>
      <c r="BZ484" s="32" t="n">
        <f aca="false">IF(BJ484=0,IF(BR484=0,0,1),(BR484-BJ484)/BJ484)</f>
        <v>0</v>
      </c>
      <c r="CA484" s="32" t="n">
        <f aca="false">IF(BK484=0,IF(BS484=0,0,1),(BS484-BK484)/BK484)</f>
        <v>0</v>
      </c>
      <c r="CB484" s="32" t="n">
        <f aca="false">IF(BL484=0,IF(BT484=0,0,1),(BT484-BL484)/BL484)</f>
        <v>0</v>
      </c>
      <c r="CC484" s="32" t="n">
        <f aca="false">IF(BM484=0,IF(BU484=0,0,1),(BU484-BM484)/BM484)</f>
        <v>0</v>
      </c>
      <c r="CD484" s="32" t="n">
        <f aca="false">MAX(MAX(BV484:CC484),-MIN(BV484:CC484))</f>
        <v>-0</v>
      </c>
      <c r="CE484" s="31" t="n">
        <f aca="false">IF(CI484="","",SUMIFS($CF$7:$CF$696,$A$7:$A$696,CI484,$B$7:$B$696,B484))</f>
        <v>152378</v>
      </c>
      <c r="CF484" s="31" t="n">
        <f aca="false">SUM(AU484:BE484)</f>
        <v>152378</v>
      </c>
      <c r="CG484" s="33" t="str">
        <f aca="false">A484&amp;"|"&amp;B484</f>
        <v>2026-12 月例|ひろしま産業振興</v>
      </c>
      <c r="CH484" s="34" t="str">
        <f aca="false">IFERROR(INDEX(設定!$D$61:$D$106,MATCH(B484,設定!$B$61:$B$106,0)),"Y")</f>
        <v>Y</v>
      </c>
      <c r="CI484" s="34" t="str">
        <f aca="false">IFERROR(INDEX(設定!$D$20:$D$34,MATCH(A484,設定!$A$20:$A$34,0))&amp;"","")</f>
        <v>2026-11 月例</v>
      </c>
    </row>
    <row r="485" customFormat="false" ht="15" hidden="true" customHeight="false" outlineLevel="0" collapsed="false">
      <c r="A485" s="22" t="s">
        <v>218</v>
      </c>
      <c r="B485" s="23" t="s">
        <v>179</v>
      </c>
      <c r="C485" s="10" t="str">
        <f aca="false">IF(G485="","未受領",IF(G485="なし","報告なし",IF(AH485="○","起票済",IF(OR(AG485="○",F485="一致",F485="入金不要"),"入金確認済","受領済"))))</f>
        <v>未受領</v>
      </c>
      <c r="D485" s="10" t="str">
        <f aca="false">IF(OR(G485="",G485="なし"),"―",IF(CH485="N","対象外",IF(AND(I485="",J485="",K485=""),"標報未入力",IF(CD485&gt;=設定!$B$4,"要確認","問題なし"))))</f>
        <v>―</v>
      </c>
      <c r="E485" s="24" t="str">
        <f aca="false">IF(OR(G485="",G485="なし",CE485="",CF485=0),"―",IF(CF485=CE485,"前月同額",IF(CE485=0,"―",IF(ABS(CF485/CE485-1)&gt;=設定!$B$5,"変動大 "&amp;TEXT(CF485/CE485-1,"+0%;-0%"),"〇"))))</f>
        <v>―</v>
      </c>
      <c r="F485" s="10" t="str">
        <f aca="false">IF(OR(G485="",G485="なし"),"―",IF(CF485=0,"入金不要",IF(COUNT(Z485,AB485,AD485,AF485)=0,IF(AG485="○","手動確認","未入金"),IF(AND(N(Z485)=Y485,IF(AA485="",TRUE(),N(AB485)=AA485),IF(AC485="",TRUE(),N(AD485)=AC485),IF(AE485="",TRUE(),N(AF485)=AE485)),"一致","不一致"))))</f>
        <v>―</v>
      </c>
      <c r="G485" s="25"/>
      <c r="H485" s="26"/>
      <c r="I485" s="27"/>
      <c r="J485" s="27"/>
      <c r="K485" s="27"/>
      <c r="L485" s="27"/>
      <c r="M485" s="27"/>
      <c r="N485" s="27"/>
      <c r="O485" s="27"/>
      <c r="P485" s="27"/>
      <c r="Q485" s="27"/>
      <c r="R485" s="27"/>
      <c r="S485" s="27"/>
      <c r="T485" s="27"/>
      <c r="U485" s="27"/>
      <c r="V485" s="27"/>
      <c r="W485" s="10" t="str">
        <f aca="false">IFERROR(INDEX(設定!$E$61:$E$106,MATCH(B485,設定!$B$61:$B$106,0)),"合算")</f>
        <v>合算</v>
      </c>
      <c r="X485" s="28"/>
      <c r="Y485" s="29" t="str">
        <f aca="false">IF(OR(G485="",G485="なし"),"",IF(W485="合算",CF485,IF(W485="掛金・負担金別",(AU485+AV485+AZ485+BB485+BD485),SUM(AU485:AY485))))</f>
        <v/>
      </c>
      <c r="Z485" s="27"/>
      <c r="AA485" s="29" t="str">
        <f aca="false">IF(OR(G485="",G485="なし"),"",IF(W485="掛金・負担金別",(AW485+AX485+AY485+BA485+BC485+BE485),IF(W485="経理区分別",AZ485+BA485,"")))</f>
        <v/>
      </c>
      <c r="AB485" s="27"/>
      <c r="AC485" s="29" t="str">
        <f aca="false">IF(OR(G485="",G485="なし"),"",IF(W485="経理区分別",BB485+BC485,""))</f>
        <v/>
      </c>
      <c r="AD485" s="27"/>
      <c r="AE485" s="29" t="str">
        <f aca="false">IF(OR(G485="",G485="なし"),"",IF(W485="経理区分別",BD485+BE485,""))</f>
        <v/>
      </c>
      <c r="AF485" s="27"/>
      <c r="AG485" s="26"/>
      <c r="AH485" s="26"/>
      <c r="AI485" s="30"/>
      <c r="AJ485" s="31"/>
      <c r="AK485" s="31"/>
      <c r="AL485" s="31" t="n">
        <v>48495</v>
      </c>
      <c r="AM485" s="31" t="n">
        <v>3975</v>
      </c>
      <c r="AN485" s="31" t="n">
        <v>49</v>
      </c>
      <c r="AO485" s="31"/>
      <c r="AP485" s="31" t="n">
        <v>29208</v>
      </c>
      <c r="AQ485" s="31"/>
      <c r="AR485" s="31" t="n">
        <v>4187</v>
      </c>
      <c r="AS485" s="31"/>
      <c r="AT485" s="31" t="n">
        <v>1</v>
      </c>
      <c r="AU485" s="31" t="n">
        <f aca="false">IF($G485="",AJ485,L485)</f>
        <v>0</v>
      </c>
      <c r="AV485" s="31" t="n">
        <f aca="false">IF($G485="",AK485,M485)</f>
        <v>0</v>
      </c>
      <c r="AW485" s="31" t="n">
        <f aca="false">IF($G485="",AL485,N485)</f>
        <v>48495</v>
      </c>
      <c r="AX485" s="31" t="n">
        <f aca="false">IF($G485="",AM485,O485)</f>
        <v>3975</v>
      </c>
      <c r="AY485" s="31" t="n">
        <f aca="false">IF($G485="",AN485,P485)</f>
        <v>49</v>
      </c>
      <c r="AZ485" s="31" t="n">
        <f aca="false">IF($G485="",AO485,Q485)</f>
        <v>0</v>
      </c>
      <c r="BA485" s="31" t="n">
        <f aca="false">IF($G485="",AP485,R485)</f>
        <v>29208</v>
      </c>
      <c r="BB485" s="31" t="n">
        <f aca="false">IF($G485="",AQ485,S485)</f>
        <v>0</v>
      </c>
      <c r="BC485" s="31" t="n">
        <f aca="false">IF($G485="",AR485,T485)</f>
        <v>4187</v>
      </c>
      <c r="BD485" s="31" t="n">
        <f aca="false">IF($G485="",AS485,U485)</f>
        <v>0</v>
      </c>
      <c r="BE485" s="31" t="n">
        <f aca="false">IF($G485="",AT485,V485)</f>
        <v>1</v>
      </c>
      <c r="BF485" s="31" t="n">
        <f aca="false">ROUNDDOWN(I485*設定!$B$10/1000,0)+ROUNDDOWN(I485*設定!$B$11/1000,0)</f>
        <v>0</v>
      </c>
      <c r="BG485" s="31" t="n">
        <f aca="false">ROUNDDOWN(I485*設定!$C$10/1000,0)+ROUNDDOWN(I485*設定!$C$11/1000,0)+ROUNDDOWN(I485*設定!$C$12/1000,0)</f>
        <v>0</v>
      </c>
      <c r="BH485" s="31" t="n">
        <f aca="false">ROUNDDOWN(J485*設定!$B$13/1000,0)</f>
        <v>0</v>
      </c>
      <c r="BI485" s="31" t="n">
        <f aca="false">ROUNDDOWN(J485*設定!$C$13/1000,0)</f>
        <v>0</v>
      </c>
      <c r="BJ485" s="31" t="n">
        <f aca="false">ROUNDDOWN(K485*設定!$B$14/1000,0)</f>
        <v>0</v>
      </c>
      <c r="BK485" s="31" t="n">
        <f aca="false">ROUNDDOWN(K485*設定!$C$14/1000,0)</f>
        <v>0</v>
      </c>
      <c r="BL485" s="31" t="n">
        <f aca="false">ROUNDDOWN(J485*設定!$B$15/1000,0)</f>
        <v>0</v>
      </c>
      <c r="BM485" s="31" t="n">
        <f aca="false">ROUNDDOWN(J485*設定!$C$15/1000,0)</f>
        <v>0</v>
      </c>
      <c r="BN485" s="31" t="n">
        <f aca="false">L485+M485</f>
        <v>0</v>
      </c>
      <c r="BO485" s="31" t="n">
        <f aca="false">N485+O485+P485</f>
        <v>0</v>
      </c>
      <c r="BP485" s="31" t="n">
        <f aca="false">Q485</f>
        <v>0</v>
      </c>
      <c r="BQ485" s="31" t="n">
        <f aca="false">R485</f>
        <v>0</v>
      </c>
      <c r="BR485" s="31" t="n">
        <f aca="false">S485</f>
        <v>0</v>
      </c>
      <c r="BS485" s="31" t="n">
        <f aca="false">T485</f>
        <v>0</v>
      </c>
      <c r="BT485" s="31" t="n">
        <f aca="false">U485</f>
        <v>0</v>
      </c>
      <c r="BU485" s="31" t="n">
        <f aca="false">V485</f>
        <v>0</v>
      </c>
      <c r="BV485" s="32" t="n">
        <f aca="false">IF(BF485=0,IF(BN485=0,0,1),(BN485-BF485)/BF485)</f>
        <v>0</v>
      </c>
      <c r="BW485" s="32" t="n">
        <f aca="false">IF(BG485=0,IF(BO485=0,0,1),(BO485-BG485)/BG485)</f>
        <v>0</v>
      </c>
      <c r="BX485" s="32" t="n">
        <f aca="false">IF(BH485=0,IF(BP485=0,0,1),(BP485-BH485)/BH485)</f>
        <v>0</v>
      </c>
      <c r="BY485" s="32" t="n">
        <f aca="false">IF(BI485=0,IF(BQ485=0,0,1),(BQ485-BI485)/BI485)</f>
        <v>0</v>
      </c>
      <c r="BZ485" s="32" t="n">
        <f aca="false">IF(BJ485=0,IF(BR485=0,0,1),(BR485-BJ485)/BJ485)</f>
        <v>0</v>
      </c>
      <c r="CA485" s="32" t="n">
        <f aca="false">IF(BK485=0,IF(BS485=0,0,1),(BS485-BK485)/BK485)</f>
        <v>0</v>
      </c>
      <c r="CB485" s="32" t="n">
        <f aca="false">IF(BL485=0,IF(BT485=0,0,1),(BT485-BL485)/BL485)</f>
        <v>0</v>
      </c>
      <c r="CC485" s="32" t="n">
        <f aca="false">IF(BM485=0,IF(BU485=0,0,1),(BU485-BM485)/BM485)</f>
        <v>0</v>
      </c>
      <c r="CD485" s="32" t="n">
        <f aca="false">MAX(MAX(BV485:CC485),-MIN(BV485:CC485))</f>
        <v>-0</v>
      </c>
      <c r="CE485" s="31" t="n">
        <f aca="false">IF(CI485="","",SUMIFS($CF$7:$CF$696,$A$7:$A$696,CI485,$B$7:$B$696,B485))</f>
        <v>85915</v>
      </c>
      <c r="CF485" s="31" t="n">
        <f aca="false">SUM(AU485:BE485)</f>
        <v>85915</v>
      </c>
      <c r="CG485" s="33" t="str">
        <f aca="false">A485&amp;"|"&amp;B485</f>
        <v>2026-12 月例|都市整備公社　市</v>
      </c>
      <c r="CH485" s="34" t="str">
        <f aca="false">IFERROR(INDEX(設定!$D$61:$D$106,MATCH(B485,設定!$B$61:$B$106,0)),"Y")</f>
        <v>Y</v>
      </c>
      <c r="CI485" s="34" t="str">
        <f aca="false">IFERROR(INDEX(設定!$D$20:$D$34,MATCH(A485,設定!$A$20:$A$34,0))&amp;"","")</f>
        <v>2026-11 月例</v>
      </c>
    </row>
    <row r="486" customFormat="false" ht="15" hidden="true" customHeight="false" outlineLevel="0" collapsed="false">
      <c r="A486" s="22" t="s">
        <v>218</v>
      </c>
      <c r="B486" s="23" t="s">
        <v>180</v>
      </c>
      <c r="C486" s="10" t="str">
        <f aca="false">IF(G486="","未受領",IF(G486="なし","報告なし",IF(AH486="○","起票済",IF(OR(AG486="○",F486="一致",F486="入金不要"),"入金確認済","受領済"))))</f>
        <v>未受領</v>
      </c>
      <c r="D486" s="10" t="str">
        <f aca="false">IF(OR(G486="",G486="なし"),"―",IF(CH486="N","対象外",IF(AND(I486="",J486="",K486=""),"標報未入力",IF(CD486&gt;=設定!$B$4,"要確認","問題なし"))))</f>
        <v>―</v>
      </c>
      <c r="E486" s="24" t="str">
        <f aca="false">IF(OR(G486="",G486="なし",CE486="",CF486=0),"―",IF(CF486=CE486,"前月同額",IF(CE486=0,"―",IF(ABS(CF486/CE486-1)&gt;=設定!$B$5,"変動大 "&amp;TEXT(CF486/CE486-1,"+0%;-0%"),"〇"))))</f>
        <v>―</v>
      </c>
      <c r="F486" s="10" t="str">
        <f aca="false">IF(OR(G486="",G486="なし"),"―",IF(CF486=0,"入金不要",IF(COUNT(Z486,AB486,AD486,AF486)=0,IF(AG486="○","手動確認","未入金"),IF(AND(N(Z486)=Y486,IF(AA486="",TRUE(),N(AB486)=AA486),IF(AC486="",TRUE(),N(AD486)=AC486),IF(AE486="",TRUE(),N(AF486)=AE486)),"一致","不一致"))))</f>
        <v>―</v>
      </c>
      <c r="G486" s="25"/>
      <c r="H486" s="26"/>
      <c r="I486" s="27"/>
      <c r="J486" s="27"/>
      <c r="K486" s="27"/>
      <c r="L486" s="27"/>
      <c r="M486" s="27"/>
      <c r="N486" s="27"/>
      <c r="O486" s="27"/>
      <c r="P486" s="27"/>
      <c r="Q486" s="27"/>
      <c r="R486" s="27"/>
      <c r="S486" s="27"/>
      <c r="T486" s="27"/>
      <c r="U486" s="27"/>
      <c r="V486" s="27"/>
      <c r="W486" s="10" t="str">
        <f aca="false">IFERROR(INDEX(設定!$E$61:$E$106,MATCH(B486,設定!$B$61:$B$106,0)),"合算")</f>
        <v>合算</v>
      </c>
      <c r="X486" s="28"/>
      <c r="Y486" s="29" t="str">
        <f aca="false">IF(OR(G486="",G486="なし"),"",IF(W486="合算",CF486,IF(W486="掛金・負担金別",(AU486+AV486+AZ486+BB486+BD486),SUM(AU486:AY486))))</f>
        <v/>
      </c>
      <c r="Z486" s="27"/>
      <c r="AA486" s="29" t="str">
        <f aca="false">IF(OR(G486="",G486="なし"),"",IF(W486="掛金・負担金別",(AW486+AX486+AY486+BA486+BC486+BE486),IF(W486="経理区分別",AZ486+BA486,"")))</f>
        <v/>
      </c>
      <c r="AB486" s="27"/>
      <c r="AC486" s="29" t="str">
        <f aca="false">IF(OR(G486="",G486="なし"),"",IF(W486="経理区分別",BB486+BC486,""))</f>
        <v/>
      </c>
      <c r="AD486" s="27"/>
      <c r="AE486" s="29" t="str">
        <f aca="false">IF(OR(G486="",G486="なし"),"",IF(W486="経理区分別",BD486+BE486,""))</f>
        <v/>
      </c>
      <c r="AF486" s="27"/>
      <c r="AG486" s="26"/>
      <c r="AH486" s="26"/>
      <c r="AI486" s="30"/>
      <c r="AJ486" s="31"/>
      <c r="AK486" s="31"/>
      <c r="AL486" s="31" t="n">
        <v>124440</v>
      </c>
      <c r="AM486" s="31" t="n">
        <v>10200</v>
      </c>
      <c r="AN486" s="31" t="n">
        <v>127</v>
      </c>
      <c r="AO486" s="31"/>
      <c r="AP486" s="31" t="n">
        <v>74949</v>
      </c>
      <c r="AQ486" s="31"/>
      <c r="AR486" s="31" t="n">
        <v>7031</v>
      </c>
      <c r="AS486" s="31"/>
      <c r="AT486" s="31" t="n">
        <v>1</v>
      </c>
      <c r="AU486" s="31" t="n">
        <f aca="false">IF($G486="",AJ486,L486)</f>
        <v>0</v>
      </c>
      <c r="AV486" s="31" t="n">
        <f aca="false">IF($G486="",AK486,M486)</f>
        <v>0</v>
      </c>
      <c r="AW486" s="31" t="n">
        <f aca="false">IF($G486="",AL486,N486)</f>
        <v>124440</v>
      </c>
      <c r="AX486" s="31" t="n">
        <f aca="false">IF($G486="",AM486,O486)</f>
        <v>10200</v>
      </c>
      <c r="AY486" s="31" t="n">
        <f aca="false">IF($G486="",AN486,P486)</f>
        <v>127</v>
      </c>
      <c r="AZ486" s="31" t="n">
        <f aca="false">IF($G486="",AO486,Q486)</f>
        <v>0</v>
      </c>
      <c r="BA486" s="31" t="n">
        <f aca="false">IF($G486="",AP486,R486)</f>
        <v>74949</v>
      </c>
      <c r="BB486" s="31" t="n">
        <f aca="false">IF($G486="",AQ486,S486)</f>
        <v>0</v>
      </c>
      <c r="BC486" s="31" t="n">
        <f aca="false">IF($G486="",AR486,T486)</f>
        <v>7031</v>
      </c>
      <c r="BD486" s="31" t="n">
        <f aca="false">IF($G486="",AS486,U486)</f>
        <v>0</v>
      </c>
      <c r="BE486" s="31" t="n">
        <f aca="false">IF($G486="",AT486,V486)</f>
        <v>1</v>
      </c>
      <c r="BF486" s="31" t="n">
        <f aca="false">ROUNDDOWN(I486*設定!$B$10/1000,0)+ROUNDDOWN(I486*設定!$B$11/1000,0)</f>
        <v>0</v>
      </c>
      <c r="BG486" s="31" t="n">
        <f aca="false">ROUNDDOWN(I486*設定!$C$10/1000,0)+ROUNDDOWN(I486*設定!$C$11/1000,0)+ROUNDDOWN(I486*設定!$C$12/1000,0)</f>
        <v>0</v>
      </c>
      <c r="BH486" s="31" t="n">
        <f aca="false">ROUNDDOWN(J486*設定!$B$13/1000,0)</f>
        <v>0</v>
      </c>
      <c r="BI486" s="31" t="n">
        <f aca="false">ROUNDDOWN(J486*設定!$C$13/1000,0)</f>
        <v>0</v>
      </c>
      <c r="BJ486" s="31" t="n">
        <f aca="false">ROUNDDOWN(K486*設定!$B$14/1000,0)</f>
        <v>0</v>
      </c>
      <c r="BK486" s="31" t="n">
        <f aca="false">ROUNDDOWN(K486*設定!$C$14/1000,0)</f>
        <v>0</v>
      </c>
      <c r="BL486" s="31" t="n">
        <f aca="false">ROUNDDOWN(J486*設定!$B$15/1000,0)</f>
        <v>0</v>
      </c>
      <c r="BM486" s="31" t="n">
        <f aca="false">ROUNDDOWN(J486*設定!$C$15/1000,0)</f>
        <v>0</v>
      </c>
      <c r="BN486" s="31" t="n">
        <f aca="false">L486+M486</f>
        <v>0</v>
      </c>
      <c r="BO486" s="31" t="n">
        <f aca="false">N486+O486+P486</f>
        <v>0</v>
      </c>
      <c r="BP486" s="31" t="n">
        <f aca="false">Q486</f>
        <v>0</v>
      </c>
      <c r="BQ486" s="31" t="n">
        <f aca="false">R486</f>
        <v>0</v>
      </c>
      <c r="BR486" s="31" t="n">
        <f aca="false">S486</f>
        <v>0</v>
      </c>
      <c r="BS486" s="31" t="n">
        <f aca="false">T486</f>
        <v>0</v>
      </c>
      <c r="BT486" s="31" t="n">
        <f aca="false">U486</f>
        <v>0</v>
      </c>
      <c r="BU486" s="31" t="n">
        <f aca="false">V486</f>
        <v>0</v>
      </c>
      <c r="BV486" s="32" t="n">
        <f aca="false">IF(BF486=0,IF(BN486=0,0,1),(BN486-BF486)/BF486)</f>
        <v>0</v>
      </c>
      <c r="BW486" s="32" t="n">
        <f aca="false">IF(BG486=0,IF(BO486=0,0,1),(BO486-BG486)/BG486)</f>
        <v>0</v>
      </c>
      <c r="BX486" s="32" t="n">
        <f aca="false">IF(BH486=0,IF(BP486=0,0,1),(BP486-BH486)/BH486)</f>
        <v>0</v>
      </c>
      <c r="BY486" s="32" t="n">
        <f aca="false">IF(BI486=0,IF(BQ486=0,0,1),(BQ486-BI486)/BI486)</f>
        <v>0</v>
      </c>
      <c r="BZ486" s="32" t="n">
        <f aca="false">IF(BJ486=0,IF(BR486=0,0,1),(BR486-BJ486)/BJ486)</f>
        <v>0</v>
      </c>
      <c r="CA486" s="32" t="n">
        <f aca="false">IF(BK486=0,IF(BS486=0,0,1),(BS486-BK486)/BK486)</f>
        <v>0</v>
      </c>
      <c r="CB486" s="32" t="n">
        <f aca="false">IF(BL486=0,IF(BT486=0,0,1),(BT486-BL486)/BL486)</f>
        <v>0</v>
      </c>
      <c r="CC486" s="32" t="n">
        <f aca="false">IF(BM486=0,IF(BU486=0,0,1),(BU486-BM486)/BM486)</f>
        <v>0</v>
      </c>
      <c r="CD486" s="32" t="n">
        <f aca="false">MAX(MAX(BV486:CC486),-MIN(BV486:CC486))</f>
        <v>-0</v>
      </c>
      <c r="CE486" s="31" t="n">
        <f aca="false">IF(CI486="","",SUMIFS($CF$7:$CF$696,$A$7:$A$696,CI486,$B$7:$B$696,B486))</f>
        <v>216748</v>
      </c>
      <c r="CF486" s="31" t="n">
        <f aca="false">SUM(AU486:BE486)</f>
        <v>216748</v>
      </c>
      <c r="CG486" s="33" t="str">
        <f aca="false">A486&amp;"|"&amp;B486</f>
        <v>2026-12 月例|都市整備公社　消防</v>
      </c>
      <c r="CH486" s="34" t="str">
        <f aca="false">IFERROR(INDEX(設定!$D$61:$D$106,MATCH(B486,設定!$B$61:$B$106,0)),"Y")</f>
        <v>Y</v>
      </c>
      <c r="CI486" s="34" t="str">
        <f aca="false">IFERROR(INDEX(設定!$D$20:$D$34,MATCH(A486,設定!$A$20:$A$34,0))&amp;"","")</f>
        <v>2026-11 月例</v>
      </c>
    </row>
    <row r="487" customFormat="false" ht="15" hidden="true" customHeight="false" outlineLevel="0" collapsed="false">
      <c r="A487" s="22" t="s">
        <v>218</v>
      </c>
      <c r="B487" s="23" t="s">
        <v>181</v>
      </c>
      <c r="C487" s="10" t="str">
        <f aca="false">IF(G487="","未受領",IF(G487="なし","報告なし",IF(AH487="○","起票済",IF(OR(AG487="○",F487="一致",F487="入金不要"),"入金確認済","受領済"))))</f>
        <v>未受領</v>
      </c>
      <c r="D487" s="10" t="str">
        <f aca="false">IF(OR(G487="",G487="なし"),"―",IF(CH487="N","対象外",IF(AND(I487="",J487="",K487=""),"標報未入力",IF(CD487&gt;=設定!$B$4,"要確認","問題なし"))))</f>
        <v>―</v>
      </c>
      <c r="E487" s="24" t="str">
        <f aca="false">IF(OR(G487="",G487="なし",CE487="",CF487=0),"―",IF(CF487=CE487,"前月同額",IF(CE487=0,"―",IF(ABS(CF487/CE487-1)&gt;=設定!$B$5,"変動大 "&amp;TEXT(CF487/CE487-1,"+0%;-0%"),"〇"))))</f>
        <v>―</v>
      </c>
      <c r="F487" s="10" t="str">
        <f aca="false">IF(OR(G487="",G487="なし"),"―",IF(CF487=0,"入金不要",IF(COUNT(Z487,AB487,AD487,AF487)=0,IF(AG487="○","手動確認","未入金"),IF(AND(N(Z487)=Y487,IF(AA487="",TRUE(),N(AB487)=AA487),IF(AC487="",TRUE(),N(AD487)=AC487),IF(AE487="",TRUE(),N(AF487)=AE487)),"一致","不一致"))))</f>
        <v>―</v>
      </c>
      <c r="G487" s="25"/>
      <c r="H487" s="26"/>
      <c r="I487" s="27"/>
      <c r="J487" s="27"/>
      <c r="K487" s="27"/>
      <c r="L487" s="27"/>
      <c r="M487" s="27"/>
      <c r="N487" s="27"/>
      <c r="O487" s="27"/>
      <c r="P487" s="27"/>
      <c r="Q487" s="27"/>
      <c r="R487" s="27"/>
      <c r="S487" s="27"/>
      <c r="T487" s="27"/>
      <c r="U487" s="27"/>
      <c r="V487" s="27"/>
      <c r="W487" s="10" t="str">
        <f aca="false">IFERROR(INDEX(設定!$E$61:$E$106,MATCH(B487,設定!$B$61:$B$106,0)),"合算")</f>
        <v>合算</v>
      </c>
      <c r="X487" s="28"/>
      <c r="Y487" s="29" t="str">
        <f aca="false">IF(OR(G487="",G487="なし"),"",IF(W487="合算",CF487,IF(W487="掛金・負担金別",(AU487+AV487+AZ487+BB487+BD487),SUM(AU487:AY487))))</f>
        <v/>
      </c>
      <c r="Z487" s="27"/>
      <c r="AA487" s="29" t="str">
        <f aca="false">IF(OR(G487="",G487="なし"),"",IF(W487="掛金・負担金別",(AW487+AX487+AY487+BA487+BC487+BE487),IF(W487="経理区分別",AZ487+BA487,"")))</f>
        <v/>
      </c>
      <c r="AB487" s="27"/>
      <c r="AC487" s="29" t="str">
        <f aca="false">IF(OR(G487="",G487="なし"),"",IF(W487="経理区分別",BB487+BC487,""))</f>
        <v/>
      </c>
      <c r="AD487" s="27"/>
      <c r="AE487" s="29" t="str">
        <f aca="false">IF(OR(G487="",G487="なし"),"",IF(W487="経理区分別",BD487+BE487,""))</f>
        <v/>
      </c>
      <c r="AF487" s="27"/>
      <c r="AG487" s="26"/>
      <c r="AH487" s="26"/>
      <c r="AI487" s="30"/>
      <c r="AJ487" s="31" t="n">
        <v>245220</v>
      </c>
      <c r="AK487" s="31" t="n">
        <v>20100</v>
      </c>
      <c r="AL487" s="31" t="n">
        <v>245220</v>
      </c>
      <c r="AM487" s="31" t="n">
        <v>20100</v>
      </c>
      <c r="AN487" s="31" t="n">
        <v>251</v>
      </c>
      <c r="AO487" s="31" t="n">
        <v>147425</v>
      </c>
      <c r="AP487" s="31" t="n">
        <v>147694</v>
      </c>
      <c r="AQ487" s="31" t="n">
        <v>9559</v>
      </c>
      <c r="AR487" s="31" t="n">
        <v>9559</v>
      </c>
      <c r="AS487" s="31" t="n">
        <v>1</v>
      </c>
      <c r="AT487" s="31" t="n">
        <v>1</v>
      </c>
      <c r="AU487" s="31" t="n">
        <f aca="false">IF($G487="",AJ487,L487)</f>
        <v>245220</v>
      </c>
      <c r="AV487" s="31" t="n">
        <f aca="false">IF($G487="",AK487,M487)</f>
        <v>20100</v>
      </c>
      <c r="AW487" s="31" t="n">
        <f aca="false">IF($G487="",AL487,N487)</f>
        <v>245220</v>
      </c>
      <c r="AX487" s="31" t="n">
        <f aca="false">IF($G487="",AM487,O487)</f>
        <v>20100</v>
      </c>
      <c r="AY487" s="31" t="n">
        <f aca="false">IF($G487="",AN487,P487)</f>
        <v>251</v>
      </c>
      <c r="AZ487" s="31" t="n">
        <f aca="false">IF($G487="",AO487,Q487)</f>
        <v>147425</v>
      </c>
      <c r="BA487" s="31" t="n">
        <f aca="false">IF($G487="",AP487,R487)</f>
        <v>147694</v>
      </c>
      <c r="BB487" s="31" t="n">
        <f aca="false">IF($G487="",AQ487,S487)</f>
        <v>9559</v>
      </c>
      <c r="BC487" s="31" t="n">
        <f aca="false">IF($G487="",AR487,T487)</f>
        <v>9559</v>
      </c>
      <c r="BD487" s="31" t="n">
        <f aca="false">IF($G487="",AS487,U487)</f>
        <v>1</v>
      </c>
      <c r="BE487" s="31" t="n">
        <f aca="false">IF($G487="",AT487,V487)</f>
        <v>1</v>
      </c>
      <c r="BF487" s="31" t="n">
        <f aca="false">ROUNDDOWN(I487*設定!$B$10/1000,0)+ROUNDDOWN(I487*設定!$B$11/1000,0)</f>
        <v>0</v>
      </c>
      <c r="BG487" s="31" t="n">
        <f aca="false">ROUNDDOWN(I487*設定!$C$10/1000,0)+ROUNDDOWN(I487*設定!$C$11/1000,0)+ROUNDDOWN(I487*設定!$C$12/1000,0)</f>
        <v>0</v>
      </c>
      <c r="BH487" s="31" t="n">
        <f aca="false">ROUNDDOWN(J487*設定!$B$13/1000,0)</f>
        <v>0</v>
      </c>
      <c r="BI487" s="31" t="n">
        <f aca="false">ROUNDDOWN(J487*設定!$C$13/1000,0)</f>
        <v>0</v>
      </c>
      <c r="BJ487" s="31" t="n">
        <f aca="false">ROUNDDOWN(K487*設定!$B$14/1000,0)</f>
        <v>0</v>
      </c>
      <c r="BK487" s="31" t="n">
        <f aca="false">ROUNDDOWN(K487*設定!$C$14/1000,0)</f>
        <v>0</v>
      </c>
      <c r="BL487" s="31" t="n">
        <f aca="false">ROUNDDOWN(J487*設定!$B$15/1000,0)</f>
        <v>0</v>
      </c>
      <c r="BM487" s="31" t="n">
        <f aca="false">ROUNDDOWN(J487*設定!$C$15/1000,0)</f>
        <v>0</v>
      </c>
      <c r="BN487" s="31" t="n">
        <f aca="false">L487+M487</f>
        <v>0</v>
      </c>
      <c r="BO487" s="31" t="n">
        <f aca="false">N487+O487+P487</f>
        <v>0</v>
      </c>
      <c r="BP487" s="31" t="n">
        <f aca="false">Q487</f>
        <v>0</v>
      </c>
      <c r="BQ487" s="31" t="n">
        <f aca="false">R487</f>
        <v>0</v>
      </c>
      <c r="BR487" s="31" t="n">
        <f aca="false">S487</f>
        <v>0</v>
      </c>
      <c r="BS487" s="31" t="n">
        <f aca="false">T487</f>
        <v>0</v>
      </c>
      <c r="BT487" s="31" t="n">
        <f aca="false">U487</f>
        <v>0</v>
      </c>
      <c r="BU487" s="31" t="n">
        <f aca="false">V487</f>
        <v>0</v>
      </c>
      <c r="BV487" s="32" t="n">
        <f aca="false">IF(BF487=0,IF(BN487=0,0,1),(BN487-BF487)/BF487)</f>
        <v>0</v>
      </c>
      <c r="BW487" s="32" t="n">
        <f aca="false">IF(BG487=0,IF(BO487=0,0,1),(BO487-BG487)/BG487)</f>
        <v>0</v>
      </c>
      <c r="BX487" s="32" t="n">
        <f aca="false">IF(BH487=0,IF(BP487=0,0,1),(BP487-BH487)/BH487)</f>
        <v>0</v>
      </c>
      <c r="BY487" s="32" t="n">
        <f aca="false">IF(BI487=0,IF(BQ487=0,0,1),(BQ487-BI487)/BI487)</f>
        <v>0</v>
      </c>
      <c r="BZ487" s="32" t="n">
        <f aca="false">IF(BJ487=0,IF(BR487=0,0,1),(BR487-BJ487)/BJ487)</f>
        <v>0</v>
      </c>
      <c r="CA487" s="32" t="n">
        <f aca="false">IF(BK487=0,IF(BS487=0,0,1),(BS487-BK487)/BK487)</f>
        <v>0</v>
      </c>
      <c r="CB487" s="32" t="n">
        <f aca="false">IF(BL487=0,IF(BT487=0,0,1),(BT487-BL487)/BL487)</f>
        <v>0</v>
      </c>
      <c r="CC487" s="32" t="n">
        <f aca="false">IF(BM487=0,IF(BU487=0,0,1),(BU487-BM487)/BM487)</f>
        <v>0</v>
      </c>
      <c r="CD487" s="32" t="n">
        <f aca="false">MAX(MAX(BV487:CC487),-MIN(BV487:CC487))</f>
        <v>-0</v>
      </c>
      <c r="CE487" s="31" t="n">
        <f aca="false">IF(CI487="","",SUMIFS($CF$7:$CF$696,$A$7:$A$696,CI487,$B$7:$B$696,B487))</f>
        <v>845130</v>
      </c>
      <c r="CF487" s="31" t="n">
        <f aca="false">SUM(AU487:BE487)</f>
        <v>845130</v>
      </c>
      <c r="CG487" s="33" t="str">
        <f aca="false">A487&amp;"|"&amp;B487</f>
        <v>2026-12 月例|日本下水道事業団</v>
      </c>
      <c r="CH487" s="34" t="str">
        <f aca="false">IFERROR(INDEX(設定!$D$61:$D$106,MATCH(B487,設定!$B$61:$B$106,0)),"Y")</f>
        <v>Y</v>
      </c>
      <c r="CI487" s="34" t="str">
        <f aca="false">IFERROR(INDEX(設定!$D$20:$D$34,MATCH(A487,設定!$A$20:$A$34,0))&amp;"","")</f>
        <v>2026-11 月例</v>
      </c>
    </row>
    <row r="488" customFormat="false" ht="15" hidden="true" customHeight="false" outlineLevel="0" collapsed="false">
      <c r="A488" s="22" t="s">
        <v>218</v>
      </c>
      <c r="B488" s="23" t="s">
        <v>182</v>
      </c>
      <c r="C488" s="10" t="str">
        <f aca="false">IF(G488="","未受領",IF(G488="なし","報告なし",IF(AH488="○","起票済",IF(OR(AG488="○",F488="一致",F488="入金不要"),"入金確認済","受領済"))))</f>
        <v>未受領</v>
      </c>
      <c r="D488" s="10" t="str">
        <f aca="false">IF(OR(G488="",G488="なし"),"―",IF(CH488="N","対象外",IF(AND(I488="",J488="",K488=""),"標報未入力",IF(CD488&gt;=設定!$B$4,"要確認","問題なし"))))</f>
        <v>―</v>
      </c>
      <c r="E488" s="24" t="str">
        <f aca="false">IF(OR(G488="",G488="なし",CE488="",CF488=0),"―",IF(CF488=CE488,"前月同額",IF(CE488=0,"―",IF(ABS(CF488/CE488-1)&gt;=設定!$B$5,"変動大 "&amp;TEXT(CF488/CE488-1,"+0%;-0%"),"〇"))))</f>
        <v>―</v>
      </c>
      <c r="F488" s="10" t="str">
        <f aca="false">IF(OR(G488="",G488="なし"),"―",IF(CF488=0,"入金不要",IF(COUNT(Z488,AB488,AD488,AF488)=0,IF(AG488="○","手動確認","未入金"),IF(AND(N(Z488)=Y488,IF(AA488="",TRUE(),N(AB488)=AA488),IF(AC488="",TRUE(),N(AD488)=AC488),IF(AE488="",TRUE(),N(AF488)=AE488)),"一致","不一致"))))</f>
        <v>―</v>
      </c>
      <c r="G488" s="25"/>
      <c r="H488" s="26"/>
      <c r="I488" s="27"/>
      <c r="J488" s="27"/>
      <c r="K488" s="27"/>
      <c r="L488" s="27"/>
      <c r="M488" s="27"/>
      <c r="N488" s="27"/>
      <c r="O488" s="27"/>
      <c r="P488" s="27"/>
      <c r="Q488" s="27"/>
      <c r="R488" s="27"/>
      <c r="S488" s="27"/>
      <c r="T488" s="27"/>
      <c r="U488" s="27"/>
      <c r="V488" s="27"/>
      <c r="W488" s="10" t="str">
        <f aca="false">IFERROR(INDEX(設定!$E$61:$E$106,MATCH(B488,設定!$B$61:$B$106,0)),"合算")</f>
        <v>合算</v>
      </c>
      <c r="X488" s="28"/>
      <c r="Y488" s="29" t="str">
        <f aca="false">IF(OR(G488="",G488="なし"),"",IF(W488="合算",CF488,IF(W488="掛金・負担金別",(AU488+AV488+AZ488+BB488+BD488),SUM(AU488:AY488))))</f>
        <v/>
      </c>
      <c r="Z488" s="27"/>
      <c r="AA488" s="29" t="str">
        <f aca="false">IF(OR(G488="",G488="なし"),"",IF(W488="掛金・負担金別",(AW488+AX488+AY488+BA488+BC488+BE488),IF(W488="経理区分別",AZ488+BA488,"")))</f>
        <v/>
      </c>
      <c r="AB488" s="27"/>
      <c r="AC488" s="29" t="str">
        <f aca="false">IF(OR(G488="",G488="なし"),"",IF(W488="経理区分別",BB488+BC488,""))</f>
        <v/>
      </c>
      <c r="AD488" s="27"/>
      <c r="AE488" s="29" t="str">
        <f aca="false">IF(OR(G488="",G488="なし"),"",IF(W488="経理区分別",BD488+BE488,""))</f>
        <v/>
      </c>
      <c r="AF488" s="27"/>
      <c r="AG488" s="26"/>
      <c r="AH488" s="26"/>
      <c r="AI488" s="30"/>
      <c r="AJ488" s="31" t="n">
        <v>40260</v>
      </c>
      <c r="AK488" s="31" t="n">
        <v>3300</v>
      </c>
      <c r="AL488" s="31" t="n">
        <v>40260</v>
      </c>
      <c r="AM488" s="31" t="n">
        <v>3300</v>
      </c>
      <c r="AN488" s="31" t="n">
        <v>41</v>
      </c>
      <c r="AO488" s="31" t="n">
        <v>24204</v>
      </c>
      <c r="AP488" s="31" t="n">
        <v>24248</v>
      </c>
      <c r="AQ488" s="31" t="n">
        <v>0</v>
      </c>
      <c r="AR488" s="31" t="n">
        <v>0</v>
      </c>
      <c r="AS488" s="31" t="n">
        <v>1</v>
      </c>
      <c r="AT488" s="31" t="n">
        <v>1</v>
      </c>
      <c r="AU488" s="31" t="n">
        <f aca="false">IF($G488="",AJ488,L488)</f>
        <v>40260</v>
      </c>
      <c r="AV488" s="31" t="n">
        <f aca="false">IF($G488="",AK488,M488)</f>
        <v>3300</v>
      </c>
      <c r="AW488" s="31" t="n">
        <f aca="false">IF($G488="",AL488,N488)</f>
        <v>40260</v>
      </c>
      <c r="AX488" s="31" t="n">
        <f aca="false">IF($G488="",AM488,O488)</f>
        <v>3300</v>
      </c>
      <c r="AY488" s="31" t="n">
        <f aca="false">IF($G488="",AN488,P488)</f>
        <v>41</v>
      </c>
      <c r="AZ488" s="31" t="n">
        <f aca="false">IF($G488="",AO488,Q488)</f>
        <v>24204</v>
      </c>
      <c r="BA488" s="31" t="n">
        <f aca="false">IF($G488="",AP488,R488)</f>
        <v>24248</v>
      </c>
      <c r="BB488" s="31" t="n">
        <f aca="false">IF($G488="",AQ488,S488)</f>
        <v>0</v>
      </c>
      <c r="BC488" s="31" t="n">
        <f aca="false">IF($G488="",AR488,T488)</f>
        <v>0</v>
      </c>
      <c r="BD488" s="31" t="n">
        <f aca="false">IF($G488="",AS488,U488)</f>
        <v>1</v>
      </c>
      <c r="BE488" s="31" t="n">
        <f aca="false">IF($G488="",AT488,V488)</f>
        <v>1</v>
      </c>
      <c r="BF488" s="31" t="n">
        <f aca="false">ROUNDDOWN(I488*設定!$B$10/1000,0)+ROUNDDOWN(I488*設定!$B$11/1000,0)</f>
        <v>0</v>
      </c>
      <c r="BG488" s="31" t="n">
        <f aca="false">ROUNDDOWN(I488*設定!$C$10/1000,0)+ROUNDDOWN(I488*設定!$C$11/1000,0)+ROUNDDOWN(I488*設定!$C$12/1000,0)</f>
        <v>0</v>
      </c>
      <c r="BH488" s="31" t="n">
        <f aca="false">ROUNDDOWN(J488*設定!$B$13/1000,0)</f>
        <v>0</v>
      </c>
      <c r="BI488" s="31" t="n">
        <f aca="false">ROUNDDOWN(J488*設定!$C$13/1000,0)</f>
        <v>0</v>
      </c>
      <c r="BJ488" s="31" t="n">
        <f aca="false">ROUNDDOWN(K488*設定!$B$14/1000,0)</f>
        <v>0</v>
      </c>
      <c r="BK488" s="31" t="n">
        <f aca="false">ROUNDDOWN(K488*設定!$C$14/1000,0)</f>
        <v>0</v>
      </c>
      <c r="BL488" s="31" t="n">
        <f aca="false">ROUNDDOWN(J488*設定!$B$15/1000,0)</f>
        <v>0</v>
      </c>
      <c r="BM488" s="31" t="n">
        <f aca="false">ROUNDDOWN(J488*設定!$C$15/1000,0)</f>
        <v>0</v>
      </c>
      <c r="BN488" s="31" t="n">
        <f aca="false">L488+M488</f>
        <v>0</v>
      </c>
      <c r="BO488" s="31" t="n">
        <f aca="false">N488+O488+P488</f>
        <v>0</v>
      </c>
      <c r="BP488" s="31" t="n">
        <f aca="false">Q488</f>
        <v>0</v>
      </c>
      <c r="BQ488" s="31" t="n">
        <f aca="false">R488</f>
        <v>0</v>
      </c>
      <c r="BR488" s="31" t="n">
        <f aca="false">S488</f>
        <v>0</v>
      </c>
      <c r="BS488" s="31" t="n">
        <f aca="false">T488</f>
        <v>0</v>
      </c>
      <c r="BT488" s="31" t="n">
        <f aca="false">U488</f>
        <v>0</v>
      </c>
      <c r="BU488" s="31" t="n">
        <f aca="false">V488</f>
        <v>0</v>
      </c>
      <c r="BV488" s="32" t="n">
        <f aca="false">IF(BF488=0,IF(BN488=0,0,1),(BN488-BF488)/BF488)</f>
        <v>0</v>
      </c>
      <c r="BW488" s="32" t="n">
        <f aca="false">IF(BG488=0,IF(BO488=0,0,1),(BO488-BG488)/BG488)</f>
        <v>0</v>
      </c>
      <c r="BX488" s="32" t="n">
        <f aca="false">IF(BH488=0,IF(BP488=0,0,1),(BP488-BH488)/BH488)</f>
        <v>0</v>
      </c>
      <c r="BY488" s="32" t="n">
        <f aca="false">IF(BI488=0,IF(BQ488=0,0,1),(BQ488-BI488)/BI488)</f>
        <v>0</v>
      </c>
      <c r="BZ488" s="32" t="n">
        <f aca="false">IF(BJ488=0,IF(BR488=0,0,1),(BR488-BJ488)/BJ488)</f>
        <v>0</v>
      </c>
      <c r="CA488" s="32" t="n">
        <f aca="false">IF(BK488=0,IF(BS488=0,0,1),(BS488-BK488)/BK488)</f>
        <v>0</v>
      </c>
      <c r="CB488" s="32" t="n">
        <f aca="false">IF(BL488=0,IF(BT488=0,0,1),(BT488-BL488)/BL488)</f>
        <v>0</v>
      </c>
      <c r="CC488" s="32" t="n">
        <f aca="false">IF(BM488=0,IF(BU488=0,0,1),(BU488-BM488)/BM488)</f>
        <v>0</v>
      </c>
      <c r="CD488" s="32" t="n">
        <f aca="false">MAX(MAX(BV488:CC488),-MIN(BV488:CC488))</f>
        <v>-0</v>
      </c>
      <c r="CE488" s="31" t="n">
        <f aca="false">IF(CI488="","",SUMIFS($CF$7:$CF$696,$A$7:$A$696,CI488,$B$7:$B$696,B488))</f>
        <v>135615</v>
      </c>
      <c r="CF488" s="31" t="n">
        <f aca="false">SUM(AU488:BE488)</f>
        <v>135615</v>
      </c>
      <c r="CG488" s="33" t="str">
        <f aca="false">A488&amp;"|"&amp;B488</f>
        <v>2026-12 月例|地方公務員災害補償基金本部</v>
      </c>
      <c r="CH488" s="34" t="str">
        <f aca="false">IFERROR(INDEX(設定!$D$61:$D$106,MATCH(B488,設定!$B$61:$B$106,0)),"Y")</f>
        <v>Y</v>
      </c>
      <c r="CI488" s="34" t="str">
        <f aca="false">IFERROR(INDEX(設定!$D$20:$D$34,MATCH(A488,設定!$A$20:$A$34,0))&amp;"","")</f>
        <v>2026-11 月例</v>
      </c>
    </row>
    <row r="489" customFormat="false" ht="15" hidden="true" customHeight="false" outlineLevel="0" collapsed="false">
      <c r="A489" s="22" t="s">
        <v>218</v>
      </c>
      <c r="B489" s="23" t="s">
        <v>183</v>
      </c>
      <c r="C489" s="10" t="str">
        <f aca="false">IF(G489="","未受領",IF(G489="なし","報告なし",IF(AH489="○","起票済",IF(OR(AG489="○",F489="一致",F489="入金不要"),"入金確認済","受領済"))))</f>
        <v>未受領</v>
      </c>
      <c r="D489" s="10" t="str">
        <f aca="false">IF(OR(G489="",G489="なし"),"―",IF(CH489="N","対象外",IF(AND(I489="",J489="",K489=""),"標報未入力",IF(CD489&gt;=設定!$B$4,"要確認","問題なし"))))</f>
        <v>―</v>
      </c>
      <c r="E489" s="24" t="str">
        <f aca="false">IF(OR(G489="",G489="なし",CE489="",CF489=0),"―",IF(CF489=CE489,"前月同額",IF(CE489=0,"―",IF(ABS(CF489/CE489-1)&gt;=設定!$B$5,"変動大 "&amp;TEXT(CF489/CE489-1,"+0%;-0%"),"〇"))))</f>
        <v>―</v>
      </c>
      <c r="F489" s="10" t="str">
        <f aca="false">IF(OR(G489="",G489="なし"),"―",IF(CF489=0,"入金不要",IF(COUNT(Z489,AB489,AD489,AF489)=0,IF(AG489="○","手動確認","未入金"),IF(AND(N(Z489)=Y489,IF(AA489="",TRUE(),N(AB489)=AA489),IF(AC489="",TRUE(),N(AD489)=AC489),IF(AE489="",TRUE(),N(AF489)=AE489)),"一致","不一致"))))</f>
        <v>―</v>
      </c>
      <c r="G489" s="25"/>
      <c r="H489" s="26"/>
      <c r="I489" s="27"/>
      <c r="J489" s="27"/>
      <c r="K489" s="27"/>
      <c r="L489" s="27"/>
      <c r="M489" s="27"/>
      <c r="N489" s="27"/>
      <c r="O489" s="27"/>
      <c r="P489" s="27"/>
      <c r="Q489" s="27"/>
      <c r="R489" s="27"/>
      <c r="S489" s="27"/>
      <c r="T489" s="27"/>
      <c r="U489" s="27"/>
      <c r="V489" s="27"/>
      <c r="W489" s="10" t="str">
        <f aca="false">IFERROR(INDEX(設定!$E$61:$E$106,MATCH(B489,設定!$B$61:$B$106,0)),"合算")</f>
        <v>合算</v>
      </c>
      <c r="X489" s="28"/>
      <c r="Y489" s="29" t="str">
        <f aca="false">IF(OR(G489="",G489="なし"),"",IF(W489="合算",CF489,IF(W489="掛金・負担金別",(AU489+AV489+AZ489+BB489+BD489),SUM(AU489:AY489))))</f>
        <v/>
      </c>
      <c r="Z489" s="27"/>
      <c r="AA489" s="29" t="str">
        <f aca="false">IF(OR(G489="",G489="なし"),"",IF(W489="掛金・負担金別",(AW489+AX489+AY489+BA489+BC489+BE489),IF(W489="経理区分別",AZ489+BA489,"")))</f>
        <v/>
      </c>
      <c r="AB489" s="27"/>
      <c r="AC489" s="29" t="str">
        <f aca="false">IF(OR(G489="",G489="なし"),"",IF(W489="経理区分別",BB489+BC489,""))</f>
        <v/>
      </c>
      <c r="AD489" s="27"/>
      <c r="AE489" s="29" t="str">
        <f aca="false">IF(OR(G489="",G489="なし"),"",IF(W489="経理区分別",BD489+BE489,""))</f>
        <v/>
      </c>
      <c r="AF489" s="27"/>
      <c r="AG489" s="26"/>
      <c r="AH489" s="26"/>
      <c r="AI489" s="30"/>
      <c r="AJ489" s="31" t="n">
        <v>102480</v>
      </c>
      <c r="AK489" s="31" t="n">
        <v>8400</v>
      </c>
      <c r="AL489" s="31" t="n">
        <v>102480</v>
      </c>
      <c r="AM489" s="31" t="n">
        <v>8400</v>
      </c>
      <c r="AN489" s="31" t="n">
        <v>105</v>
      </c>
      <c r="AO489" s="31" t="n">
        <v>61610</v>
      </c>
      <c r="AP489" s="31" t="n">
        <v>61723</v>
      </c>
      <c r="AQ489" s="31" t="n">
        <v>4661</v>
      </c>
      <c r="AR489" s="31" t="n">
        <v>4661</v>
      </c>
      <c r="AS489" s="31" t="n">
        <v>1</v>
      </c>
      <c r="AT489" s="31" t="n">
        <v>1</v>
      </c>
      <c r="AU489" s="31" t="n">
        <f aca="false">IF($G489="",AJ489,L489)</f>
        <v>102480</v>
      </c>
      <c r="AV489" s="31" t="n">
        <f aca="false">IF($G489="",AK489,M489)</f>
        <v>8400</v>
      </c>
      <c r="AW489" s="31" t="n">
        <f aca="false">IF($G489="",AL489,N489)</f>
        <v>102480</v>
      </c>
      <c r="AX489" s="31" t="n">
        <f aca="false">IF($G489="",AM489,O489)</f>
        <v>8400</v>
      </c>
      <c r="AY489" s="31" t="n">
        <f aca="false">IF($G489="",AN489,P489)</f>
        <v>105</v>
      </c>
      <c r="AZ489" s="31" t="n">
        <f aca="false">IF($G489="",AO489,Q489)</f>
        <v>61610</v>
      </c>
      <c r="BA489" s="31" t="n">
        <f aca="false">IF($G489="",AP489,R489)</f>
        <v>61723</v>
      </c>
      <c r="BB489" s="31" t="n">
        <f aca="false">IF($G489="",AQ489,S489)</f>
        <v>4661</v>
      </c>
      <c r="BC489" s="31" t="n">
        <f aca="false">IF($G489="",AR489,T489)</f>
        <v>4661</v>
      </c>
      <c r="BD489" s="31" t="n">
        <f aca="false">IF($G489="",AS489,U489)</f>
        <v>1</v>
      </c>
      <c r="BE489" s="31" t="n">
        <f aca="false">IF($G489="",AT489,V489)</f>
        <v>1</v>
      </c>
      <c r="BF489" s="31" t="n">
        <f aca="false">ROUNDDOWN(I489*設定!$B$10/1000,0)+ROUNDDOWN(I489*設定!$B$11/1000,0)</f>
        <v>0</v>
      </c>
      <c r="BG489" s="31" t="n">
        <f aca="false">ROUNDDOWN(I489*設定!$C$10/1000,0)+ROUNDDOWN(I489*設定!$C$11/1000,0)+ROUNDDOWN(I489*設定!$C$12/1000,0)</f>
        <v>0</v>
      </c>
      <c r="BH489" s="31" t="n">
        <f aca="false">ROUNDDOWN(J489*設定!$B$13/1000,0)</f>
        <v>0</v>
      </c>
      <c r="BI489" s="31" t="n">
        <f aca="false">ROUNDDOWN(J489*設定!$C$13/1000,0)</f>
        <v>0</v>
      </c>
      <c r="BJ489" s="31" t="n">
        <f aca="false">ROUNDDOWN(K489*設定!$B$14/1000,0)</f>
        <v>0</v>
      </c>
      <c r="BK489" s="31" t="n">
        <f aca="false">ROUNDDOWN(K489*設定!$C$14/1000,0)</f>
        <v>0</v>
      </c>
      <c r="BL489" s="31" t="n">
        <f aca="false">ROUNDDOWN(J489*設定!$B$15/1000,0)</f>
        <v>0</v>
      </c>
      <c r="BM489" s="31" t="n">
        <f aca="false">ROUNDDOWN(J489*設定!$C$15/1000,0)</f>
        <v>0</v>
      </c>
      <c r="BN489" s="31" t="n">
        <f aca="false">L489+M489</f>
        <v>0</v>
      </c>
      <c r="BO489" s="31" t="n">
        <f aca="false">N489+O489+P489</f>
        <v>0</v>
      </c>
      <c r="BP489" s="31" t="n">
        <f aca="false">Q489</f>
        <v>0</v>
      </c>
      <c r="BQ489" s="31" t="n">
        <f aca="false">R489</f>
        <v>0</v>
      </c>
      <c r="BR489" s="31" t="n">
        <f aca="false">S489</f>
        <v>0</v>
      </c>
      <c r="BS489" s="31" t="n">
        <f aca="false">T489</f>
        <v>0</v>
      </c>
      <c r="BT489" s="31" t="n">
        <f aca="false">U489</f>
        <v>0</v>
      </c>
      <c r="BU489" s="31" t="n">
        <f aca="false">V489</f>
        <v>0</v>
      </c>
      <c r="BV489" s="32" t="n">
        <f aca="false">IF(BF489=0,IF(BN489=0,0,1),(BN489-BF489)/BF489)</f>
        <v>0</v>
      </c>
      <c r="BW489" s="32" t="n">
        <f aca="false">IF(BG489=0,IF(BO489=0,0,1),(BO489-BG489)/BG489)</f>
        <v>0</v>
      </c>
      <c r="BX489" s="32" t="n">
        <f aca="false">IF(BH489=0,IF(BP489=0,0,1),(BP489-BH489)/BH489)</f>
        <v>0</v>
      </c>
      <c r="BY489" s="32" t="n">
        <f aca="false">IF(BI489=0,IF(BQ489=0,0,1),(BQ489-BI489)/BI489)</f>
        <v>0</v>
      </c>
      <c r="BZ489" s="32" t="n">
        <f aca="false">IF(BJ489=0,IF(BR489=0,0,1),(BR489-BJ489)/BJ489)</f>
        <v>0</v>
      </c>
      <c r="CA489" s="32" t="n">
        <f aca="false">IF(BK489=0,IF(BS489=0,0,1),(BS489-BK489)/BK489)</f>
        <v>0</v>
      </c>
      <c r="CB489" s="32" t="n">
        <f aca="false">IF(BL489=0,IF(BT489=0,0,1),(BT489-BL489)/BL489)</f>
        <v>0</v>
      </c>
      <c r="CC489" s="32" t="n">
        <f aca="false">IF(BM489=0,IF(BU489=0,0,1),(BU489-BM489)/BM489)</f>
        <v>0</v>
      </c>
      <c r="CD489" s="32" t="n">
        <f aca="false">MAX(MAX(BV489:CC489),-MIN(BV489:CC489))</f>
        <v>-0</v>
      </c>
      <c r="CE489" s="31" t="n">
        <f aca="false">IF(CI489="","",SUMIFS($CF$7:$CF$696,$A$7:$A$696,CI489,$B$7:$B$696,B489))</f>
        <v>354522</v>
      </c>
      <c r="CF489" s="31" t="n">
        <f aca="false">SUM(AU489:BE489)</f>
        <v>354522</v>
      </c>
      <c r="CG489" s="33" t="str">
        <f aca="false">A489&amp;"|"&amp;B489</f>
        <v>2026-12 月例|救急振興財団</v>
      </c>
      <c r="CH489" s="34" t="str">
        <f aca="false">IFERROR(INDEX(設定!$D$61:$D$106,MATCH(B489,設定!$B$61:$B$106,0)),"Y")</f>
        <v>Y</v>
      </c>
      <c r="CI489" s="34" t="str">
        <f aca="false">IFERROR(INDEX(設定!$D$20:$D$34,MATCH(A489,設定!$A$20:$A$34,0))&amp;"","")</f>
        <v>2026-11 月例</v>
      </c>
    </row>
    <row r="490" customFormat="false" ht="15" hidden="true" customHeight="false" outlineLevel="0" collapsed="false">
      <c r="A490" s="22" t="s">
        <v>218</v>
      </c>
      <c r="B490" s="23" t="s">
        <v>184</v>
      </c>
      <c r="C490" s="10" t="str">
        <f aca="false">IF(G490="","未受領",IF(G490="なし","報告なし",IF(AH490="○","起票済",IF(OR(AG490="○",F490="一致",F490="入金不要"),"入金確認済","受領済"))))</f>
        <v>未受領</v>
      </c>
      <c r="D490" s="10" t="str">
        <f aca="false">IF(OR(G490="",G490="なし"),"―",IF(CH490="N","対象外",IF(AND(I490="",J490="",K490=""),"標報未入力",IF(CD490&gt;=設定!$B$4,"要確認","問題なし"))))</f>
        <v>―</v>
      </c>
      <c r="E490" s="24" t="str">
        <f aca="false">IF(OR(G490="",G490="なし",CE490="",CF490=0),"―",IF(CF490=CE490,"前月同額",IF(CE490=0,"―",IF(ABS(CF490/CE490-1)&gt;=設定!$B$5,"変動大 "&amp;TEXT(CF490/CE490-1,"+0%;-0%"),"〇"))))</f>
        <v>―</v>
      </c>
      <c r="F490" s="10" t="str">
        <f aca="false">IF(OR(G490="",G490="なし"),"―",IF(CF490=0,"入金不要",IF(COUNT(Z490,AB490,AD490,AF490)=0,IF(AG490="○","手動確認","未入金"),IF(AND(N(Z490)=Y490,IF(AA490="",TRUE(),N(AB490)=AA490),IF(AC490="",TRUE(),N(AD490)=AC490),IF(AE490="",TRUE(),N(AF490)=AE490)),"一致","不一致"))))</f>
        <v>―</v>
      </c>
      <c r="G490" s="25"/>
      <c r="H490" s="26"/>
      <c r="I490" s="27"/>
      <c r="J490" s="27"/>
      <c r="K490" s="27"/>
      <c r="L490" s="27"/>
      <c r="M490" s="27"/>
      <c r="N490" s="27"/>
      <c r="O490" s="27"/>
      <c r="P490" s="27"/>
      <c r="Q490" s="27"/>
      <c r="R490" s="27"/>
      <c r="S490" s="27"/>
      <c r="T490" s="27"/>
      <c r="U490" s="27"/>
      <c r="V490" s="27"/>
      <c r="W490" s="10" t="str">
        <f aca="false">IFERROR(INDEX(設定!$E$61:$E$106,MATCH(B490,設定!$B$61:$B$106,0)),"合算")</f>
        <v>合算</v>
      </c>
      <c r="X490" s="28"/>
      <c r="Y490" s="29" t="str">
        <f aca="false">IF(OR(G490="",G490="なし"),"",IF(W490="合算",CF490,IF(W490="掛金・負担金別",(AU490+AV490+AZ490+BB490+BD490),SUM(AU490:AY490))))</f>
        <v/>
      </c>
      <c r="Z490" s="27"/>
      <c r="AA490" s="29" t="str">
        <f aca="false">IF(OR(G490="",G490="なし"),"",IF(W490="掛金・負担金別",(AW490+AX490+AY490+BA490+BC490+BE490),IF(W490="経理区分別",AZ490+BA490,"")))</f>
        <v/>
      </c>
      <c r="AB490" s="27"/>
      <c r="AC490" s="29" t="str">
        <f aca="false">IF(OR(G490="",G490="なし"),"",IF(W490="経理区分別",BB490+BC490,""))</f>
        <v/>
      </c>
      <c r="AD490" s="27"/>
      <c r="AE490" s="29" t="str">
        <f aca="false">IF(OR(G490="",G490="なし"),"",IF(W490="経理区分別",BD490+BE490,""))</f>
        <v/>
      </c>
      <c r="AF490" s="27"/>
      <c r="AG490" s="26"/>
      <c r="AH490" s="26"/>
      <c r="AI490" s="30"/>
      <c r="AJ490" s="31" t="n">
        <v>912255</v>
      </c>
      <c r="AK490" s="31" t="n">
        <v>74775</v>
      </c>
      <c r="AL490" s="31" t="n">
        <v>912255</v>
      </c>
      <c r="AM490" s="31" t="n">
        <v>74775</v>
      </c>
      <c r="AN490" s="31" t="n">
        <v>936</v>
      </c>
      <c r="AO490" s="31" t="n">
        <v>548442</v>
      </c>
      <c r="AP490" s="31" t="n">
        <v>549446</v>
      </c>
      <c r="AQ490" s="31" t="n">
        <v>50086</v>
      </c>
      <c r="AR490" s="31" t="n">
        <v>50086</v>
      </c>
      <c r="AS490" s="31" t="n">
        <v>1</v>
      </c>
      <c r="AT490" s="31" t="n">
        <v>1</v>
      </c>
      <c r="AU490" s="31" t="n">
        <f aca="false">IF($G490="",AJ490,L490)</f>
        <v>912255</v>
      </c>
      <c r="AV490" s="31" t="n">
        <f aca="false">IF($G490="",AK490,M490)</f>
        <v>74775</v>
      </c>
      <c r="AW490" s="31" t="n">
        <f aca="false">IF($G490="",AL490,N490)</f>
        <v>912255</v>
      </c>
      <c r="AX490" s="31" t="n">
        <f aca="false">IF($G490="",AM490,O490)</f>
        <v>74775</v>
      </c>
      <c r="AY490" s="31" t="n">
        <f aca="false">IF($G490="",AN490,P490)</f>
        <v>936</v>
      </c>
      <c r="AZ490" s="31" t="n">
        <f aca="false">IF($G490="",AO490,Q490)</f>
        <v>548442</v>
      </c>
      <c r="BA490" s="31" t="n">
        <f aca="false">IF($G490="",AP490,R490)</f>
        <v>549446</v>
      </c>
      <c r="BB490" s="31" t="n">
        <f aca="false">IF($G490="",AQ490,S490)</f>
        <v>50086</v>
      </c>
      <c r="BC490" s="31" t="n">
        <f aca="false">IF($G490="",AR490,T490)</f>
        <v>50086</v>
      </c>
      <c r="BD490" s="31" t="n">
        <f aca="false">IF($G490="",AS490,U490)</f>
        <v>1</v>
      </c>
      <c r="BE490" s="31" t="n">
        <f aca="false">IF($G490="",AT490,V490)</f>
        <v>1</v>
      </c>
      <c r="BF490" s="31" t="n">
        <f aca="false">ROUNDDOWN(I490*設定!$B$10/1000,0)+ROUNDDOWN(I490*設定!$B$11/1000,0)</f>
        <v>0</v>
      </c>
      <c r="BG490" s="31" t="n">
        <f aca="false">ROUNDDOWN(I490*設定!$C$10/1000,0)+ROUNDDOWN(I490*設定!$C$11/1000,0)+ROUNDDOWN(I490*設定!$C$12/1000,0)</f>
        <v>0</v>
      </c>
      <c r="BH490" s="31" t="n">
        <f aca="false">ROUNDDOWN(J490*設定!$B$13/1000,0)</f>
        <v>0</v>
      </c>
      <c r="BI490" s="31" t="n">
        <f aca="false">ROUNDDOWN(J490*設定!$C$13/1000,0)</f>
        <v>0</v>
      </c>
      <c r="BJ490" s="31" t="n">
        <f aca="false">ROUNDDOWN(K490*設定!$B$14/1000,0)</f>
        <v>0</v>
      </c>
      <c r="BK490" s="31" t="n">
        <f aca="false">ROUNDDOWN(K490*設定!$C$14/1000,0)</f>
        <v>0</v>
      </c>
      <c r="BL490" s="31" t="n">
        <f aca="false">ROUNDDOWN(J490*設定!$B$15/1000,0)</f>
        <v>0</v>
      </c>
      <c r="BM490" s="31" t="n">
        <f aca="false">ROUNDDOWN(J490*設定!$C$15/1000,0)</f>
        <v>0</v>
      </c>
      <c r="BN490" s="31" t="n">
        <f aca="false">L490+M490</f>
        <v>0</v>
      </c>
      <c r="BO490" s="31" t="n">
        <f aca="false">N490+O490+P490</f>
        <v>0</v>
      </c>
      <c r="BP490" s="31" t="n">
        <f aca="false">Q490</f>
        <v>0</v>
      </c>
      <c r="BQ490" s="31" t="n">
        <f aca="false">R490</f>
        <v>0</v>
      </c>
      <c r="BR490" s="31" t="n">
        <f aca="false">S490</f>
        <v>0</v>
      </c>
      <c r="BS490" s="31" t="n">
        <f aca="false">T490</f>
        <v>0</v>
      </c>
      <c r="BT490" s="31" t="n">
        <f aca="false">U490</f>
        <v>0</v>
      </c>
      <c r="BU490" s="31" t="n">
        <f aca="false">V490</f>
        <v>0</v>
      </c>
      <c r="BV490" s="32" t="n">
        <f aca="false">IF(BF490=0,IF(BN490=0,0,1),(BN490-BF490)/BF490)</f>
        <v>0</v>
      </c>
      <c r="BW490" s="32" t="n">
        <f aca="false">IF(BG490=0,IF(BO490=0,0,1),(BO490-BG490)/BG490)</f>
        <v>0</v>
      </c>
      <c r="BX490" s="32" t="n">
        <f aca="false">IF(BH490=0,IF(BP490=0,0,1),(BP490-BH490)/BH490)</f>
        <v>0</v>
      </c>
      <c r="BY490" s="32" t="n">
        <f aca="false">IF(BI490=0,IF(BQ490=0,0,1),(BQ490-BI490)/BI490)</f>
        <v>0</v>
      </c>
      <c r="BZ490" s="32" t="n">
        <f aca="false">IF(BJ490=0,IF(BR490=0,0,1),(BR490-BJ490)/BJ490)</f>
        <v>0</v>
      </c>
      <c r="CA490" s="32" t="n">
        <f aca="false">IF(BK490=0,IF(BS490=0,0,1),(BS490-BK490)/BK490)</f>
        <v>0</v>
      </c>
      <c r="CB490" s="32" t="n">
        <f aca="false">IF(BL490=0,IF(BT490=0,0,1),(BT490-BL490)/BL490)</f>
        <v>0</v>
      </c>
      <c r="CC490" s="32" t="n">
        <f aca="false">IF(BM490=0,IF(BU490=0,0,1),(BU490-BM490)/BM490)</f>
        <v>0</v>
      </c>
      <c r="CD490" s="32" t="n">
        <f aca="false">MAX(MAX(BV490:CC490),-MIN(BV490:CC490))</f>
        <v>-0</v>
      </c>
      <c r="CE490" s="31" t="n">
        <f aca="false">IF(CI490="","",SUMIFS($CF$7:$CF$696,$A$7:$A$696,CI490,$B$7:$B$696,B490))</f>
        <v>3173058</v>
      </c>
      <c r="CF490" s="31" t="n">
        <f aca="false">SUM(AU490:BE490)</f>
        <v>3173058</v>
      </c>
      <c r="CG490" s="33" t="str">
        <f aca="false">A490&amp;"|"&amp;B490</f>
        <v>2026-12 月例|高速道路公社</v>
      </c>
      <c r="CH490" s="34" t="str">
        <f aca="false">IFERROR(INDEX(設定!$D$61:$D$106,MATCH(B490,設定!$B$61:$B$106,0)),"Y")</f>
        <v>Y</v>
      </c>
      <c r="CI490" s="34" t="str">
        <f aca="false">IFERROR(INDEX(設定!$D$20:$D$34,MATCH(A490,設定!$A$20:$A$34,0))&amp;"","")</f>
        <v>2026-11 月例</v>
      </c>
    </row>
    <row r="491" customFormat="false" ht="15" hidden="true" customHeight="false" outlineLevel="0" collapsed="false">
      <c r="A491" s="22" t="s">
        <v>218</v>
      </c>
      <c r="B491" s="23" t="s">
        <v>185</v>
      </c>
      <c r="C491" s="10" t="str">
        <f aca="false">IF(G491="","未受領",IF(G491="なし","報告なし",IF(AH491="○","起票済",IF(OR(AG491="○",F491="一致",F491="入金不要"),"入金確認済","受領済"))))</f>
        <v>未受領</v>
      </c>
      <c r="D491" s="10" t="str">
        <f aca="false">IF(OR(G491="",G491="なし"),"―",IF(CH491="N","対象外",IF(AND(I491="",J491="",K491=""),"標報未入力",IF(CD491&gt;=設定!$B$4,"要確認","問題なし"))))</f>
        <v>―</v>
      </c>
      <c r="E491" s="24" t="str">
        <f aca="false">IF(OR(G491="",G491="なし",CE491="",CF491=0),"―",IF(CF491=CE491,"前月同額",IF(CE491=0,"―",IF(ABS(CF491/CE491-1)&gt;=設定!$B$5,"変動大 "&amp;TEXT(CF491/CE491-1,"+0%;-0%"),"〇"))))</f>
        <v>―</v>
      </c>
      <c r="F491" s="10" t="str">
        <f aca="false">IF(OR(G491="",G491="なし"),"―",IF(CF491=0,"入金不要",IF(COUNT(Z491,AB491,AD491,AF491)=0,IF(AG491="○","手動確認","未入金"),IF(AND(N(Z491)=Y491,IF(AA491="",TRUE(),N(AB491)=AA491),IF(AC491="",TRUE(),N(AD491)=AC491),IF(AE491="",TRUE(),N(AF491)=AE491)),"一致","不一致"))))</f>
        <v>―</v>
      </c>
      <c r="G491" s="25"/>
      <c r="H491" s="26"/>
      <c r="I491" s="27"/>
      <c r="J491" s="27"/>
      <c r="K491" s="27"/>
      <c r="L491" s="27"/>
      <c r="M491" s="27"/>
      <c r="N491" s="27"/>
      <c r="O491" s="27"/>
      <c r="P491" s="27"/>
      <c r="Q491" s="27"/>
      <c r="R491" s="27"/>
      <c r="S491" s="27"/>
      <c r="T491" s="27"/>
      <c r="U491" s="27"/>
      <c r="V491" s="27"/>
      <c r="W491" s="10" t="str">
        <f aca="false">IFERROR(INDEX(設定!$E$61:$E$106,MATCH(B491,設定!$B$61:$B$106,0)),"合算")</f>
        <v>合算</v>
      </c>
      <c r="X491" s="28"/>
      <c r="Y491" s="29" t="str">
        <f aca="false">IF(OR(G491="",G491="なし"),"",IF(W491="合算",CF491,IF(W491="掛金・負担金別",(AU491+AV491+AZ491+BB491+BD491),SUM(AU491:AY491))))</f>
        <v/>
      </c>
      <c r="Z491" s="27"/>
      <c r="AA491" s="29" t="str">
        <f aca="false">IF(OR(G491="",G491="なし"),"",IF(W491="掛金・負担金別",(AW491+AX491+AY491+BA491+BC491+BE491),IF(W491="経理区分別",AZ491+BA491,"")))</f>
        <v/>
      </c>
      <c r="AB491" s="27"/>
      <c r="AC491" s="29" t="str">
        <f aca="false">IF(OR(G491="",G491="なし"),"",IF(W491="経理区分別",BB491+BC491,""))</f>
        <v/>
      </c>
      <c r="AD491" s="27"/>
      <c r="AE491" s="29" t="str">
        <f aca="false">IF(OR(G491="",G491="なし"),"",IF(W491="経理区分別",BD491+BE491,""))</f>
        <v/>
      </c>
      <c r="AF491" s="27"/>
      <c r="AG491" s="26"/>
      <c r="AH491" s="26"/>
      <c r="AI491" s="30"/>
      <c r="AJ491" s="31"/>
      <c r="AK491" s="31"/>
      <c r="AL491" s="31" t="n">
        <v>571875</v>
      </c>
      <c r="AM491" s="31" t="n">
        <v>46875</v>
      </c>
      <c r="AN491" s="31" t="n">
        <v>613</v>
      </c>
      <c r="AO491" s="31"/>
      <c r="AP491" s="31" t="n">
        <v>344467</v>
      </c>
      <c r="AQ491" s="31"/>
      <c r="AR491" s="31" t="n">
        <v>27255</v>
      </c>
      <c r="AS491" s="31"/>
      <c r="AT491" s="31" t="n">
        <v>1</v>
      </c>
      <c r="AU491" s="31" t="n">
        <f aca="false">IF($G491="",AJ491,L491)</f>
        <v>0</v>
      </c>
      <c r="AV491" s="31" t="n">
        <f aca="false">IF($G491="",AK491,M491)</f>
        <v>0</v>
      </c>
      <c r="AW491" s="31" t="n">
        <f aca="false">IF($G491="",AL491,N491)</f>
        <v>571875</v>
      </c>
      <c r="AX491" s="31" t="n">
        <f aca="false">IF($G491="",AM491,O491)</f>
        <v>46875</v>
      </c>
      <c r="AY491" s="31" t="n">
        <f aca="false">IF($G491="",AN491,P491)</f>
        <v>613</v>
      </c>
      <c r="AZ491" s="31" t="n">
        <f aca="false">IF($G491="",AO491,Q491)</f>
        <v>0</v>
      </c>
      <c r="BA491" s="31" t="n">
        <f aca="false">IF($G491="",AP491,R491)</f>
        <v>344467</v>
      </c>
      <c r="BB491" s="31" t="n">
        <f aca="false">IF($G491="",AQ491,S491)</f>
        <v>0</v>
      </c>
      <c r="BC491" s="31" t="n">
        <f aca="false">IF($G491="",AR491,T491)</f>
        <v>27255</v>
      </c>
      <c r="BD491" s="31" t="n">
        <f aca="false">IF($G491="",AS491,U491)</f>
        <v>0</v>
      </c>
      <c r="BE491" s="31" t="n">
        <f aca="false">IF($G491="",AT491,V491)</f>
        <v>1</v>
      </c>
      <c r="BF491" s="31" t="n">
        <f aca="false">ROUNDDOWN(I491*設定!$B$10/1000,0)+ROUNDDOWN(I491*設定!$B$11/1000,0)</f>
        <v>0</v>
      </c>
      <c r="BG491" s="31" t="n">
        <f aca="false">ROUNDDOWN(I491*設定!$C$10/1000,0)+ROUNDDOWN(I491*設定!$C$11/1000,0)+ROUNDDOWN(I491*設定!$C$12/1000,0)</f>
        <v>0</v>
      </c>
      <c r="BH491" s="31" t="n">
        <f aca="false">ROUNDDOWN(J491*設定!$B$13/1000,0)</f>
        <v>0</v>
      </c>
      <c r="BI491" s="31" t="n">
        <f aca="false">ROUNDDOWN(J491*設定!$C$13/1000,0)</f>
        <v>0</v>
      </c>
      <c r="BJ491" s="31" t="n">
        <f aca="false">ROUNDDOWN(K491*設定!$B$14/1000,0)</f>
        <v>0</v>
      </c>
      <c r="BK491" s="31" t="n">
        <f aca="false">ROUNDDOWN(K491*設定!$C$14/1000,0)</f>
        <v>0</v>
      </c>
      <c r="BL491" s="31" t="n">
        <f aca="false">ROUNDDOWN(J491*設定!$B$15/1000,0)</f>
        <v>0</v>
      </c>
      <c r="BM491" s="31" t="n">
        <f aca="false">ROUNDDOWN(J491*設定!$C$15/1000,0)</f>
        <v>0</v>
      </c>
      <c r="BN491" s="31" t="n">
        <f aca="false">L491+M491</f>
        <v>0</v>
      </c>
      <c r="BO491" s="31" t="n">
        <f aca="false">N491+O491+P491</f>
        <v>0</v>
      </c>
      <c r="BP491" s="31" t="n">
        <f aca="false">Q491</f>
        <v>0</v>
      </c>
      <c r="BQ491" s="31" t="n">
        <f aca="false">R491</f>
        <v>0</v>
      </c>
      <c r="BR491" s="31" t="n">
        <f aca="false">S491</f>
        <v>0</v>
      </c>
      <c r="BS491" s="31" t="n">
        <f aca="false">T491</f>
        <v>0</v>
      </c>
      <c r="BT491" s="31" t="n">
        <f aca="false">U491</f>
        <v>0</v>
      </c>
      <c r="BU491" s="31" t="n">
        <f aca="false">V491</f>
        <v>0</v>
      </c>
      <c r="BV491" s="32" t="n">
        <f aca="false">IF(BF491=0,IF(BN491=0,0,1),(BN491-BF491)/BF491)</f>
        <v>0</v>
      </c>
      <c r="BW491" s="32" t="n">
        <f aca="false">IF(BG491=0,IF(BO491=0,0,1),(BO491-BG491)/BG491)</f>
        <v>0</v>
      </c>
      <c r="BX491" s="32" t="n">
        <f aca="false">IF(BH491=0,IF(BP491=0,0,1),(BP491-BH491)/BH491)</f>
        <v>0</v>
      </c>
      <c r="BY491" s="32" t="n">
        <f aca="false">IF(BI491=0,IF(BQ491=0,0,1),(BQ491-BI491)/BI491)</f>
        <v>0</v>
      </c>
      <c r="BZ491" s="32" t="n">
        <f aca="false">IF(BJ491=0,IF(BR491=0,0,1),(BR491-BJ491)/BJ491)</f>
        <v>0</v>
      </c>
      <c r="CA491" s="32" t="n">
        <f aca="false">IF(BK491=0,IF(BS491=0,0,1),(BS491-BK491)/BK491)</f>
        <v>0</v>
      </c>
      <c r="CB491" s="32" t="n">
        <f aca="false">IF(BL491=0,IF(BT491=0,0,1),(BT491-BL491)/BL491)</f>
        <v>0</v>
      </c>
      <c r="CC491" s="32" t="n">
        <f aca="false">IF(BM491=0,IF(BU491=0,0,1),(BU491-BM491)/BM491)</f>
        <v>0</v>
      </c>
      <c r="CD491" s="32" t="n">
        <f aca="false">MAX(MAX(BV491:CC491),-MIN(BV491:CC491))</f>
        <v>-0</v>
      </c>
      <c r="CE491" s="31" t="n">
        <f aca="false">IF(CI491="","",SUMIFS($CF$7:$CF$696,$A$7:$A$696,CI491,$B$7:$B$696,B491))</f>
        <v>991086</v>
      </c>
      <c r="CF491" s="31" t="n">
        <f aca="false">SUM(AU491:BE491)</f>
        <v>991086</v>
      </c>
      <c r="CG491" s="33" t="str">
        <f aca="false">A491&amp;"|"&amp;B491</f>
        <v>2026-12 月例|農林水産振興センタ</v>
      </c>
      <c r="CH491" s="34" t="str">
        <f aca="false">IFERROR(INDEX(設定!$D$61:$D$106,MATCH(B491,設定!$B$61:$B$106,0)),"Y")</f>
        <v>Y</v>
      </c>
      <c r="CI491" s="34" t="str">
        <f aca="false">IFERROR(INDEX(設定!$D$20:$D$34,MATCH(A491,設定!$A$20:$A$34,0))&amp;"","")</f>
        <v>2026-11 月例</v>
      </c>
    </row>
    <row r="492" customFormat="false" ht="15" hidden="true" customHeight="false" outlineLevel="0" collapsed="false">
      <c r="A492" s="22" t="s">
        <v>218</v>
      </c>
      <c r="B492" s="23" t="s">
        <v>186</v>
      </c>
      <c r="C492" s="10" t="str">
        <f aca="false">IF(G492="","未受領",IF(G492="なし","報告なし",IF(AH492="○","起票済",IF(OR(AG492="○",F492="一致",F492="入金不要"),"入金確認済","受領済"))))</f>
        <v>未受領</v>
      </c>
      <c r="D492" s="10" t="str">
        <f aca="false">IF(OR(G492="",G492="なし"),"―",IF(CH492="N","対象外",IF(AND(I492="",J492="",K492=""),"標報未入力",IF(CD492&gt;=設定!$B$4,"要確認","問題なし"))))</f>
        <v>―</v>
      </c>
      <c r="E492" s="24" t="str">
        <f aca="false">IF(OR(G492="",G492="なし",CE492="",CF492=0),"―",IF(CF492=CE492,"前月同額",IF(CE492=0,"―",IF(ABS(CF492/CE492-1)&gt;=設定!$B$5,"変動大 "&amp;TEXT(CF492/CE492-1,"+0%;-0%"),"〇"))))</f>
        <v>―</v>
      </c>
      <c r="F492" s="10" t="str">
        <f aca="false">IF(OR(G492="",G492="なし"),"―",IF(CF492=0,"入金不要",IF(COUNT(Z492,AB492,AD492,AF492)=0,IF(AG492="○","手動確認","未入金"),IF(AND(N(Z492)=Y492,IF(AA492="",TRUE(),N(AB492)=AA492),IF(AC492="",TRUE(),N(AD492)=AC492),IF(AE492="",TRUE(),N(AF492)=AE492)),"一致","不一致"))))</f>
        <v>―</v>
      </c>
      <c r="G492" s="25"/>
      <c r="H492" s="26"/>
      <c r="I492" s="27"/>
      <c r="J492" s="27"/>
      <c r="K492" s="27"/>
      <c r="L492" s="27"/>
      <c r="M492" s="27"/>
      <c r="N492" s="27"/>
      <c r="O492" s="27"/>
      <c r="P492" s="27"/>
      <c r="Q492" s="27"/>
      <c r="R492" s="27"/>
      <c r="S492" s="27"/>
      <c r="T492" s="27"/>
      <c r="U492" s="27"/>
      <c r="V492" s="27"/>
      <c r="W492" s="10" t="str">
        <f aca="false">IFERROR(INDEX(設定!$E$61:$E$106,MATCH(B492,設定!$B$61:$B$106,0)),"合算")</f>
        <v>合算</v>
      </c>
      <c r="X492" s="28"/>
      <c r="Y492" s="29" t="str">
        <f aca="false">IF(OR(G492="",G492="なし"),"",IF(W492="合算",CF492,IF(W492="掛金・負担金別",(AU492+AV492+AZ492+BB492+BD492),SUM(AU492:AY492))))</f>
        <v/>
      </c>
      <c r="Z492" s="27"/>
      <c r="AA492" s="29" t="str">
        <f aca="false">IF(OR(G492="",G492="なし"),"",IF(W492="掛金・負担金別",(AW492+AX492+AY492+BA492+BC492+BE492),IF(W492="経理区分別",AZ492+BA492,"")))</f>
        <v/>
      </c>
      <c r="AB492" s="27"/>
      <c r="AC492" s="29" t="str">
        <f aca="false">IF(OR(G492="",G492="なし"),"",IF(W492="経理区分別",BB492+BC492,""))</f>
        <v/>
      </c>
      <c r="AD492" s="27"/>
      <c r="AE492" s="29" t="str">
        <f aca="false">IF(OR(G492="",G492="なし"),"",IF(W492="経理区分別",BD492+BE492,""))</f>
        <v/>
      </c>
      <c r="AF492" s="27"/>
      <c r="AG492" s="26"/>
      <c r="AH492" s="26"/>
      <c r="AI492" s="30"/>
      <c r="AJ492" s="31"/>
      <c r="AK492" s="31"/>
      <c r="AL492" s="31" t="n">
        <v>1160220</v>
      </c>
      <c r="AM492" s="31" t="n">
        <v>95100</v>
      </c>
      <c r="AN492" s="31" t="n">
        <v>1185</v>
      </c>
      <c r="AO492" s="31"/>
      <c r="AP492" s="31" t="n">
        <v>698790</v>
      </c>
      <c r="AQ492" s="31"/>
      <c r="AR492" s="31" t="n">
        <v>94721</v>
      </c>
      <c r="AS492" s="31"/>
      <c r="AT492" s="31" t="n">
        <v>1</v>
      </c>
      <c r="AU492" s="31" t="n">
        <f aca="false">IF($G492="",AJ492,L492)</f>
        <v>0</v>
      </c>
      <c r="AV492" s="31" t="n">
        <f aca="false">IF($G492="",AK492,M492)</f>
        <v>0</v>
      </c>
      <c r="AW492" s="31" t="n">
        <f aca="false">IF($G492="",AL492,N492)</f>
        <v>1160220</v>
      </c>
      <c r="AX492" s="31" t="n">
        <f aca="false">IF($G492="",AM492,O492)</f>
        <v>95100</v>
      </c>
      <c r="AY492" s="31" t="n">
        <f aca="false">IF($G492="",AN492,P492)</f>
        <v>1185</v>
      </c>
      <c r="AZ492" s="31" t="n">
        <f aca="false">IF($G492="",AO492,Q492)</f>
        <v>0</v>
      </c>
      <c r="BA492" s="31" t="n">
        <f aca="false">IF($G492="",AP492,R492)</f>
        <v>698790</v>
      </c>
      <c r="BB492" s="31" t="n">
        <f aca="false">IF($G492="",AQ492,S492)</f>
        <v>0</v>
      </c>
      <c r="BC492" s="31" t="n">
        <f aca="false">IF($G492="",AR492,T492)</f>
        <v>94721</v>
      </c>
      <c r="BD492" s="31" t="n">
        <f aca="false">IF($G492="",AS492,U492)</f>
        <v>0</v>
      </c>
      <c r="BE492" s="31" t="n">
        <f aca="false">IF($G492="",AT492,V492)</f>
        <v>1</v>
      </c>
      <c r="BF492" s="31" t="n">
        <f aca="false">ROUNDDOWN(I492*設定!$B$10/1000,0)+ROUNDDOWN(I492*設定!$B$11/1000,0)</f>
        <v>0</v>
      </c>
      <c r="BG492" s="31" t="n">
        <f aca="false">ROUNDDOWN(I492*設定!$C$10/1000,0)+ROUNDDOWN(I492*設定!$C$11/1000,0)+ROUNDDOWN(I492*設定!$C$12/1000,0)</f>
        <v>0</v>
      </c>
      <c r="BH492" s="31" t="n">
        <f aca="false">ROUNDDOWN(J492*設定!$B$13/1000,0)</f>
        <v>0</v>
      </c>
      <c r="BI492" s="31" t="n">
        <f aca="false">ROUNDDOWN(J492*設定!$C$13/1000,0)</f>
        <v>0</v>
      </c>
      <c r="BJ492" s="31" t="n">
        <f aca="false">ROUNDDOWN(K492*設定!$B$14/1000,0)</f>
        <v>0</v>
      </c>
      <c r="BK492" s="31" t="n">
        <f aca="false">ROUNDDOWN(K492*設定!$C$14/1000,0)</f>
        <v>0</v>
      </c>
      <c r="BL492" s="31" t="n">
        <f aca="false">ROUNDDOWN(J492*設定!$B$15/1000,0)</f>
        <v>0</v>
      </c>
      <c r="BM492" s="31" t="n">
        <f aca="false">ROUNDDOWN(J492*設定!$C$15/1000,0)</f>
        <v>0</v>
      </c>
      <c r="BN492" s="31" t="n">
        <f aca="false">L492+M492</f>
        <v>0</v>
      </c>
      <c r="BO492" s="31" t="n">
        <f aca="false">N492+O492+P492</f>
        <v>0</v>
      </c>
      <c r="BP492" s="31" t="n">
        <f aca="false">Q492</f>
        <v>0</v>
      </c>
      <c r="BQ492" s="31" t="n">
        <f aca="false">R492</f>
        <v>0</v>
      </c>
      <c r="BR492" s="31" t="n">
        <f aca="false">S492</f>
        <v>0</v>
      </c>
      <c r="BS492" s="31" t="n">
        <f aca="false">T492</f>
        <v>0</v>
      </c>
      <c r="BT492" s="31" t="n">
        <f aca="false">U492</f>
        <v>0</v>
      </c>
      <c r="BU492" s="31" t="n">
        <f aca="false">V492</f>
        <v>0</v>
      </c>
      <c r="BV492" s="32" t="n">
        <f aca="false">IF(BF492=0,IF(BN492=0,0,1),(BN492-BF492)/BF492)</f>
        <v>0</v>
      </c>
      <c r="BW492" s="32" t="n">
        <f aca="false">IF(BG492=0,IF(BO492=0,0,1),(BO492-BG492)/BG492)</f>
        <v>0</v>
      </c>
      <c r="BX492" s="32" t="n">
        <f aca="false">IF(BH492=0,IF(BP492=0,0,1),(BP492-BH492)/BH492)</f>
        <v>0</v>
      </c>
      <c r="BY492" s="32" t="n">
        <f aca="false">IF(BI492=0,IF(BQ492=0,0,1),(BQ492-BI492)/BI492)</f>
        <v>0</v>
      </c>
      <c r="BZ492" s="32" t="n">
        <f aca="false">IF(BJ492=0,IF(BR492=0,0,1),(BR492-BJ492)/BJ492)</f>
        <v>0</v>
      </c>
      <c r="CA492" s="32" t="n">
        <f aca="false">IF(BK492=0,IF(BS492=0,0,1),(BS492-BK492)/BK492)</f>
        <v>0</v>
      </c>
      <c r="CB492" s="32" t="n">
        <f aca="false">IF(BL492=0,IF(BT492=0,0,1),(BT492-BL492)/BL492)</f>
        <v>0</v>
      </c>
      <c r="CC492" s="32" t="n">
        <f aca="false">IF(BM492=0,IF(BU492=0,0,1),(BU492-BM492)/BM492)</f>
        <v>0</v>
      </c>
      <c r="CD492" s="32" t="n">
        <f aca="false">MAX(MAX(BV492:CC492),-MIN(BV492:CC492))</f>
        <v>-0</v>
      </c>
      <c r="CE492" s="31" t="n">
        <f aca="false">IF(CI492="","",SUMIFS($CF$7:$CF$696,$A$7:$A$696,CI492,$B$7:$B$696,B492))</f>
        <v>2050017</v>
      </c>
      <c r="CF492" s="31" t="n">
        <f aca="false">SUM(AU492:BE492)</f>
        <v>2050017</v>
      </c>
      <c r="CG492" s="33" t="str">
        <f aca="false">A492&amp;"|"&amp;B492</f>
        <v>2026-12 月例|文化財団　市長部局</v>
      </c>
      <c r="CH492" s="34" t="str">
        <f aca="false">IFERROR(INDEX(設定!$D$61:$D$106,MATCH(B492,設定!$B$61:$B$106,0)),"Y")</f>
        <v>Y</v>
      </c>
      <c r="CI492" s="34" t="str">
        <f aca="false">IFERROR(INDEX(設定!$D$20:$D$34,MATCH(A492,設定!$A$20:$A$34,0))&amp;"","")</f>
        <v>2026-11 月例</v>
      </c>
    </row>
    <row r="493" customFormat="false" ht="15" hidden="true" customHeight="false" outlineLevel="0" collapsed="false">
      <c r="A493" s="22" t="s">
        <v>218</v>
      </c>
      <c r="B493" s="23" t="s">
        <v>187</v>
      </c>
      <c r="C493" s="10" t="str">
        <f aca="false">IF(G493="","未受領",IF(G493="なし","報告なし",IF(AH493="○","起票済",IF(OR(AG493="○",F493="一致",F493="入金不要"),"入金確認済","受領済"))))</f>
        <v>未受領</v>
      </c>
      <c r="D493" s="10" t="str">
        <f aca="false">IF(OR(G493="",G493="なし"),"―",IF(CH493="N","対象外",IF(AND(I493="",J493="",K493=""),"標報未入力",IF(CD493&gt;=設定!$B$4,"要確認","問題なし"))))</f>
        <v>―</v>
      </c>
      <c r="E493" s="24" t="str">
        <f aca="false">IF(OR(G493="",G493="なし",CE493="",CF493=0),"―",IF(CF493=CE493,"前月同額",IF(CE493=0,"―",IF(ABS(CF493/CE493-1)&gt;=設定!$B$5,"変動大 "&amp;TEXT(CF493/CE493-1,"+0%;-0%"),"〇"))))</f>
        <v>―</v>
      </c>
      <c r="F493" s="10" t="str">
        <f aca="false">IF(OR(G493="",G493="なし"),"―",IF(CF493=0,"入金不要",IF(COUNT(Z493,AB493,AD493,AF493)=0,IF(AG493="○","手動確認","未入金"),IF(AND(N(Z493)=Y493,IF(AA493="",TRUE(),N(AB493)=AA493),IF(AC493="",TRUE(),N(AD493)=AC493),IF(AE493="",TRUE(),N(AF493)=AE493)),"一致","不一致"))))</f>
        <v>―</v>
      </c>
      <c r="G493" s="25"/>
      <c r="H493" s="26"/>
      <c r="I493" s="27"/>
      <c r="J493" s="27"/>
      <c r="K493" s="27"/>
      <c r="L493" s="27"/>
      <c r="M493" s="27"/>
      <c r="N493" s="27"/>
      <c r="O493" s="27"/>
      <c r="P493" s="27"/>
      <c r="Q493" s="27"/>
      <c r="R493" s="27"/>
      <c r="S493" s="27"/>
      <c r="T493" s="27"/>
      <c r="U493" s="27"/>
      <c r="V493" s="27"/>
      <c r="W493" s="10" t="str">
        <f aca="false">IFERROR(INDEX(設定!$E$61:$E$106,MATCH(B493,設定!$B$61:$B$106,0)),"合算")</f>
        <v>合算</v>
      </c>
      <c r="X493" s="28"/>
      <c r="Y493" s="29" t="str">
        <f aca="false">IF(OR(G493="",G493="なし"),"",IF(W493="合算",CF493,IF(W493="掛金・負担金別",(AU493+AV493+AZ493+BB493+BD493),SUM(AU493:AY493))))</f>
        <v/>
      </c>
      <c r="Z493" s="27"/>
      <c r="AA493" s="29" t="str">
        <f aca="false">IF(OR(G493="",G493="なし"),"",IF(W493="掛金・負担金別",(AW493+AX493+AY493+BA493+BC493+BE493),IF(W493="経理区分別",AZ493+BA493,"")))</f>
        <v/>
      </c>
      <c r="AB493" s="27"/>
      <c r="AC493" s="29" t="str">
        <f aca="false">IF(OR(G493="",G493="なし"),"",IF(W493="経理区分別",BB493+BC493,""))</f>
        <v/>
      </c>
      <c r="AD493" s="27"/>
      <c r="AE493" s="29" t="str">
        <f aca="false">IF(OR(G493="",G493="なし"),"",IF(W493="経理区分別",BD493+BE493,""))</f>
        <v/>
      </c>
      <c r="AF493" s="27"/>
      <c r="AG493" s="26"/>
      <c r="AH493" s="26"/>
      <c r="AI493" s="30"/>
      <c r="AJ493" s="31"/>
      <c r="AK493" s="31"/>
      <c r="AL493" s="31" t="n">
        <v>0</v>
      </c>
      <c r="AM493" s="31" t="n">
        <v>0</v>
      </c>
      <c r="AN493" s="31" t="n">
        <v>0</v>
      </c>
      <c r="AO493" s="31"/>
      <c r="AP493" s="31" t="n">
        <v>0</v>
      </c>
      <c r="AQ493" s="31"/>
      <c r="AR493" s="31" t="n">
        <v>0</v>
      </c>
      <c r="AS493" s="31"/>
      <c r="AT493" s="31" t="n">
        <v>0</v>
      </c>
      <c r="AU493" s="31" t="n">
        <f aca="false">IF($G493="",AJ493,L493)</f>
        <v>0</v>
      </c>
      <c r="AV493" s="31" t="n">
        <f aca="false">IF($G493="",AK493,M493)</f>
        <v>0</v>
      </c>
      <c r="AW493" s="31" t="n">
        <f aca="false">IF($G493="",AL493,N493)</f>
        <v>0</v>
      </c>
      <c r="AX493" s="31" t="n">
        <f aca="false">IF($G493="",AM493,O493)</f>
        <v>0</v>
      </c>
      <c r="AY493" s="31" t="n">
        <f aca="false">IF($G493="",AN493,P493)</f>
        <v>0</v>
      </c>
      <c r="AZ493" s="31" t="n">
        <f aca="false">IF($G493="",AO493,Q493)</f>
        <v>0</v>
      </c>
      <c r="BA493" s="31" t="n">
        <f aca="false">IF($G493="",AP493,R493)</f>
        <v>0</v>
      </c>
      <c r="BB493" s="31" t="n">
        <f aca="false">IF($G493="",AQ493,S493)</f>
        <v>0</v>
      </c>
      <c r="BC493" s="31" t="n">
        <f aca="false">IF($G493="",AR493,T493)</f>
        <v>0</v>
      </c>
      <c r="BD493" s="31" t="n">
        <f aca="false">IF($G493="",AS493,U493)</f>
        <v>0</v>
      </c>
      <c r="BE493" s="31" t="n">
        <f aca="false">IF($G493="",AT493,V493)</f>
        <v>0</v>
      </c>
      <c r="BF493" s="31" t="n">
        <f aca="false">ROUNDDOWN(I493*設定!$B$10/1000,0)+ROUNDDOWN(I493*設定!$B$11/1000,0)</f>
        <v>0</v>
      </c>
      <c r="BG493" s="31" t="n">
        <f aca="false">ROUNDDOWN(I493*設定!$C$10/1000,0)+ROUNDDOWN(I493*設定!$C$11/1000,0)+ROUNDDOWN(I493*設定!$C$12/1000,0)</f>
        <v>0</v>
      </c>
      <c r="BH493" s="31" t="n">
        <f aca="false">ROUNDDOWN(J493*設定!$B$13/1000,0)</f>
        <v>0</v>
      </c>
      <c r="BI493" s="31" t="n">
        <f aca="false">ROUNDDOWN(J493*設定!$C$13/1000,0)</f>
        <v>0</v>
      </c>
      <c r="BJ493" s="31" t="n">
        <f aca="false">ROUNDDOWN(K493*設定!$B$14/1000,0)</f>
        <v>0</v>
      </c>
      <c r="BK493" s="31" t="n">
        <f aca="false">ROUNDDOWN(K493*設定!$C$14/1000,0)</f>
        <v>0</v>
      </c>
      <c r="BL493" s="31" t="n">
        <f aca="false">ROUNDDOWN(J493*設定!$B$15/1000,0)</f>
        <v>0</v>
      </c>
      <c r="BM493" s="31" t="n">
        <f aca="false">ROUNDDOWN(J493*設定!$C$15/1000,0)</f>
        <v>0</v>
      </c>
      <c r="BN493" s="31" t="n">
        <f aca="false">L493+M493</f>
        <v>0</v>
      </c>
      <c r="BO493" s="31" t="n">
        <f aca="false">N493+O493+P493</f>
        <v>0</v>
      </c>
      <c r="BP493" s="31" t="n">
        <f aca="false">Q493</f>
        <v>0</v>
      </c>
      <c r="BQ493" s="31" t="n">
        <f aca="false">R493</f>
        <v>0</v>
      </c>
      <c r="BR493" s="31" t="n">
        <f aca="false">S493</f>
        <v>0</v>
      </c>
      <c r="BS493" s="31" t="n">
        <f aca="false">T493</f>
        <v>0</v>
      </c>
      <c r="BT493" s="31" t="n">
        <f aca="false">U493</f>
        <v>0</v>
      </c>
      <c r="BU493" s="31" t="n">
        <f aca="false">V493</f>
        <v>0</v>
      </c>
      <c r="BV493" s="32" t="n">
        <f aca="false">IF(BF493=0,IF(BN493=0,0,1),(BN493-BF493)/BF493)</f>
        <v>0</v>
      </c>
      <c r="BW493" s="32" t="n">
        <f aca="false">IF(BG493=0,IF(BO493=0,0,1),(BO493-BG493)/BG493)</f>
        <v>0</v>
      </c>
      <c r="BX493" s="32" t="n">
        <f aca="false">IF(BH493=0,IF(BP493=0,0,1),(BP493-BH493)/BH493)</f>
        <v>0</v>
      </c>
      <c r="BY493" s="32" t="n">
        <f aca="false">IF(BI493=0,IF(BQ493=0,0,1),(BQ493-BI493)/BI493)</f>
        <v>0</v>
      </c>
      <c r="BZ493" s="32" t="n">
        <f aca="false">IF(BJ493=0,IF(BR493=0,0,1),(BR493-BJ493)/BJ493)</f>
        <v>0</v>
      </c>
      <c r="CA493" s="32" t="n">
        <f aca="false">IF(BK493=0,IF(BS493=0,0,1),(BS493-BK493)/BK493)</f>
        <v>0</v>
      </c>
      <c r="CB493" s="32" t="n">
        <f aca="false">IF(BL493=0,IF(BT493=0,0,1),(BT493-BL493)/BL493)</f>
        <v>0</v>
      </c>
      <c r="CC493" s="32" t="n">
        <f aca="false">IF(BM493=0,IF(BU493=0,0,1),(BU493-BM493)/BM493)</f>
        <v>0</v>
      </c>
      <c r="CD493" s="32" t="n">
        <f aca="false">MAX(MAX(BV493:CC493),-MIN(BV493:CC493))</f>
        <v>-0</v>
      </c>
      <c r="CE493" s="31" t="n">
        <f aca="false">IF(CI493="","",SUMIFS($CF$7:$CF$696,$A$7:$A$696,CI493,$B$7:$B$696,B493))</f>
        <v>0</v>
      </c>
      <c r="CF493" s="31" t="n">
        <f aca="false">SUM(AU493:BE493)</f>
        <v>0</v>
      </c>
      <c r="CG493" s="33" t="str">
        <f aca="false">A493&amp;"|"&amp;B493</f>
        <v>2026-12 月例|文化財団　教育委員会</v>
      </c>
      <c r="CH493" s="34" t="str">
        <f aca="false">IFERROR(INDEX(設定!$D$61:$D$106,MATCH(B493,設定!$B$61:$B$106,0)),"Y")</f>
        <v>Y</v>
      </c>
      <c r="CI493" s="34" t="str">
        <f aca="false">IFERROR(INDEX(設定!$D$20:$D$34,MATCH(A493,設定!$A$20:$A$34,0))&amp;"","")</f>
        <v>2026-11 月例</v>
      </c>
    </row>
    <row r="494" customFormat="false" ht="15" hidden="true" customHeight="false" outlineLevel="0" collapsed="false">
      <c r="A494" s="22" t="s">
        <v>218</v>
      </c>
      <c r="B494" s="23" t="s">
        <v>188</v>
      </c>
      <c r="C494" s="10" t="str">
        <f aca="false">IF(G494="","未受領",IF(G494="なし","報告なし",IF(AH494="○","起票済",IF(OR(AG494="○",F494="一致",F494="入金不要"),"入金確認済","受領済"))))</f>
        <v>未受領</v>
      </c>
      <c r="D494" s="10" t="str">
        <f aca="false">IF(OR(G494="",G494="なし"),"―",IF(CH494="N","対象外",IF(AND(I494="",J494="",K494=""),"標報未入力",IF(CD494&gt;=設定!$B$4,"要確認","問題なし"))))</f>
        <v>―</v>
      </c>
      <c r="E494" s="24" t="str">
        <f aca="false">IF(OR(G494="",G494="なし",CE494="",CF494=0),"―",IF(CF494=CE494,"前月同額",IF(CE494=0,"―",IF(ABS(CF494/CE494-1)&gt;=設定!$B$5,"変動大 "&amp;TEXT(CF494/CE494-1,"+0%;-0%"),"〇"))))</f>
        <v>―</v>
      </c>
      <c r="F494" s="10" t="str">
        <f aca="false">IF(OR(G494="",G494="なし"),"―",IF(CF494=0,"入金不要",IF(COUNT(Z494,AB494,AD494,AF494)=0,IF(AG494="○","手動確認","未入金"),IF(AND(N(Z494)=Y494,IF(AA494="",TRUE(),N(AB494)=AA494),IF(AC494="",TRUE(),N(AD494)=AC494),IF(AE494="",TRUE(),N(AF494)=AE494)),"一致","不一致"))))</f>
        <v>―</v>
      </c>
      <c r="G494" s="25"/>
      <c r="H494" s="26"/>
      <c r="I494" s="27"/>
      <c r="J494" s="27"/>
      <c r="K494" s="27"/>
      <c r="L494" s="27"/>
      <c r="M494" s="27"/>
      <c r="N494" s="27"/>
      <c r="O494" s="27"/>
      <c r="P494" s="27"/>
      <c r="Q494" s="27"/>
      <c r="R494" s="27"/>
      <c r="S494" s="27"/>
      <c r="T494" s="27"/>
      <c r="U494" s="27"/>
      <c r="V494" s="27"/>
      <c r="W494" s="10" t="str">
        <f aca="false">IFERROR(INDEX(設定!$E$61:$E$106,MATCH(B494,設定!$B$61:$B$106,0)),"合算")</f>
        <v>合算</v>
      </c>
      <c r="X494" s="28"/>
      <c r="Y494" s="29" t="str">
        <f aca="false">IF(OR(G494="",G494="なし"),"",IF(W494="合算",CF494,IF(W494="掛金・負担金別",(AU494+AV494+AZ494+BB494+BD494),SUM(AU494:AY494))))</f>
        <v/>
      </c>
      <c r="Z494" s="27"/>
      <c r="AA494" s="29" t="str">
        <f aca="false">IF(OR(G494="",G494="なし"),"",IF(W494="掛金・負担金別",(AW494+AX494+AY494+BA494+BC494+BE494),IF(W494="経理区分別",AZ494+BA494,"")))</f>
        <v/>
      </c>
      <c r="AB494" s="27"/>
      <c r="AC494" s="29" t="str">
        <f aca="false">IF(OR(G494="",G494="なし"),"",IF(W494="経理区分別",BB494+BC494,""))</f>
        <v/>
      </c>
      <c r="AD494" s="27"/>
      <c r="AE494" s="29" t="str">
        <f aca="false">IF(OR(G494="",G494="なし"),"",IF(W494="経理区分別",BD494+BE494,""))</f>
        <v/>
      </c>
      <c r="AF494" s="27"/>
      <c r="AG494" s="26"/>
      <c r="AH494" s="26"/>
      <c r="AI494" s="30"/>
      <c r="AJ494" s="31"/>
      <c r="AK494" s="31"/>
      <c r="AL494" s="31" t="n">
        <v>394365</v>
      </c>
      <c r="AM494" s="31" t="n">
        <v>32325</v>
      </c>
      <c r="AN494" s="31" t="n">
        <v>403</v>
      </c>
      <c r="AO494" s="31"/>
      <c r="AP494" s="31" t="n">
        <v>237523</v>
      </c>
      <c r="AQ494" s="31"/>
      <c r="AR494" s="31" t="n">
        <v>34049</v>
      </c>
      <c r="AS494" s="31"/>
      <c r="AT494" s="31" t="n">
        <v>1</v>
      </c>
      <c r="AU494" s="31" t="n">
        <f aca="false">IF($G494="",AJ494,L494)</f>
        <v>0</v>
      </c>
      <c r="AV494" s="31" t="n">
        <f aca="false">IF($G494="",AK494,M494)</f>
        <v>0</v>
      </c>
      <c r="AW494" s="31" t="n">
        <f aca="false">IF($G494="",AL494,N494)</f>
        <v>394365</v>
      </c>
      <c r="AX494" s="31" t="n">
        <f aca="false">IF($G494="",AM494,O494)</f>
        <v>32325</v>
      </c>
      <c r="AY494" s="31" t="n">
        <f aca="false">IF($G494="",AN494,P494)</f>
        <v>403</v>
      </c>
      <c r="AZ494" s="31" t="n">
        <f aca="false">IF($G494="",AO494,Q494)</f>
        <v>0</v>
      </c>
      <c r="BA494" s="31" t="n">
        <f aca="false">IF($G494="",AP494,R494)</f>
        <v>237523</v>
      </c>
      <c r="BB494" s="31" t="n">
        <f aca="false">IF($G494="",AQ494,S494)</f>
        <v>0</v>
      </c>
      <c r="BC494" s="31" t="n">
        <f aca="false">IF($G494="",AR494,T494)</f>
        <v>34049</v>
      </c>
      <c r="BD494" s="31" t="n">
        <f aca="false">IF($G494="",AS494,U494)</f>
        <v>0</v>
      </c>
      <c r="BE494" s="31" t="n">
        <f aca="false">IF($G494="",AT494,V494)</f>
        <v>1</v>
      </c>
      <c r="BF494" s="31" t="n">
        <f aca="false">ROUNDDOWN(I494*設定!$B$10/1000,0)+ROUNDDOWN(I494*設定!$B$11/1000,0)</f>
        <v>0</v>
      </c>
      <c r="BG494" s="31" t="n">
        <f aca="false">ROUNDDOWN(I494*設定!$C$10/1000,0)+ROUNDDOWN(I494*設定!$C$11/1000,0)+ROUNDDOWN(I494*設定!$C$12/1000,0)</f>
        <v>0</v>
      </c>
      <c r="BH494" s="31" t="n">
        <f aca="false">ROUNDDOWN(J494*設定!$B$13/1000,0)</f>
        <v>0</v>
      </c>
      <c r="BI494" s="31" t="n">
        <f aca="false">ROUNDDOWN(J494*設定!$C$13/1000,0)</f>
        <v>0</v>
      </c>
      <c r="BJ494" s="31" t="n">
        <f aca="false">ROUNDDOWN(K494*設定!$B$14/1000,0)</f>
        <v>0</v>
      </c>
      <c r="BK494" s="31" t="n">
        <f aca="false">ROUNDDOWN(K494*設定!$C$14/1000,0)</f>
        <v>0</v>
      </c>
      <c r="BL494" s="31" t="n">
        <f aca="false">ROUNDDOWN(J494*設定!$B$15/1000,0)</f>
        <v>0</v>
      </c>
      <c r="BM494" s="31" t="n">
        <f aca="false">ROUNDDOWN(J494*設定!$C$15/1000,0)</f>
        <v>0</v>
      </c>
      <c r="BN494" s="31" t="n">
        <f aca="false">L494+M494</f>
        <v>0</v>
      </c>
      <c r="BO494" s="31" t="n">
        <f aca="false">N494+O494+P494</f>
        <v>0</v>
      </c>
      <c r="BP494" s="31" t="n">
        <f aca="false">Q494</f>
        <v>0</v>
      </c>
      <c r="BQ494" s="31" t="n">
        <f aca="false">R494</f>
        <v>0</v>
      </c>
      <c r="BR494" s="31" t="n">
        <f aca="false">S494</f>
        <v>0</v>
      </c>
      <c r="BS494" s="31" t="n">
        <f aca="false">T494</f>
        <v>0</v>
      </c>
      <c r="BT494" s="31" t="n">
        <f aca="false">U494</f>
        <v>0</v>
      </c>
      <c r="BU494" s="31" t="n">
        <f aca="false">V494</f>
        <v>0</v>
      </c>
      <c r="BV494" s="32" t="n">
        <f aca="false">IF(BF494=0,IF(BN494=0,0,1),(BN494-BF494)/BF494)</f>
        <v>0</v>
      </c>
      <c r="BW494" s="32" t="n">
        <f aca="false">IF(BG494=0,IF(BO494=0,0,1),(BO494-BG494)/BG494)</f>
        <v>0</v>
      </c>
      <c r="BX494" s="32" t="n">
        <f aca="false">IF(BH494=0,IF(BP494=0,0,1),(BP494-BH494)/BH494)</f>
        <v>0</v>
      </c>
      <c r="BY494" s="32" t="n">
        <f aca="false">IF(BI494=0,IF(BQ494=0,0,1),(BQ494-BI494)/BI494)</f>
        <v>0</v>
      </c>
      <c r="BZ494" s="32" t="n">
        <f aca="false">IF(BJ494=0,IF(BR494=0,0,1),(BR494-BJ494)/BJ494)</f>
        <v>0</v>
      </c>
      <c r="CA494" s="32" t="n">
        <f aca="false">IF(BK494=0,IF(BS494=0,0,1),(BS494-BK494)/BK494)</f>
        <v>0</v>
      </c>
      <c r="CB494" s="32" t="n">
        <f aca="false">IF(BL494=0,IF(BT494=0,0,1),(BT494-BL494)/BL494)</f>
        <v>0</v>
      </c>
      <c r="CC494" s="32" t="n">
        <f aca="false">IF(BM494=0,IF(BU494=0,0,1),(BU494-BM494)/BM494)</f>
        <v>0</v>
      </c>
      <c r="CD494" s="32" t="n">
        <f aca="false">MAX(MAX(BV494:CC494),-MIN(BV494:CC494))</f>
        <v>-0</v>
      </c>
      <c r="CE494" s="31" t="n">
        <f aca="false">IF(CI494="","",SUMIFS($CF$7:$CF$696,$A$7:$A$696,CI494,$B$7:$B$696,B494))</f>
        <v>698666</v>
      </c>
      <c r="CF494" s="31" t="n">
        <f aca="false">SUM(AU494:BE494)</f>
        <v>698666</v>
      </c>
      <c r="CG494" s="33" t="str">
        <f aca="false">A494&amp;"|"&amp;B494</f>
        <v>2026-12 月例|みどり生きもの協会</v>
      </c>
      <c r="CH494" s="34" t="str">
        <f aca="false">IFERROR(INDEX(設定!$D$61:$D$106,MATCH(B494,設定!$B$61:$B$106,0)),"Y")</f>
        <v>Y</v>
      </c>
      <c r="CI494" s="34" t="str">
        <f aca="false">IFERROR(INDEX(設定!$D$20:$D$34,MATCH(A494,設定!$A$20:$A$34,0))&amp;"","")</f>
        <v>2026-11 月例</v>
      </c>
    </row>
    <row r="495" customFormat="false" ht="15" hidden="true" customHeight="false" outlineLevel="0" collapsed="false">
      <c r="A495" s="22" t="s">
        <v>218</v>
      </c>
      <c r="B495" s="23" t="s">
        <v>189</v>
      </c>
      <c r="C495" s="10" t="str">
        <f aca="false">IF(G495="","未受領",IF(G495="なし","報告なし",IF(AH495="○","起票済",IF(OR(AG495="○",F495="一致",F495="入金不要"),"入金確認済","受領済"))))</f>
        <v>未受領</v>
      </c>
      <c r="D495" s="10" t="str">
        <f aca="false">IF(OR(G495="",G495="なし"),"―",IF(CH495="N","対象外",IF(AND(I495="",J495="",K495=""),"標報未入力",IF(CD495&gt;=設定!$B$4,"要確認","問題なし"))))</f>
        <v>―</v>
      </c>
      <c r="E495" s="24" t="str">
        <f aca="false">IF(OR(G495="",G495="なし",CE495="",CF495=0),"―",IF(CF495=CE495,"前月同額",IF(CE495=0,"―",IF(ABS(CF495/CE495-1)&gt;=設定!$B$5,"変動大 "&amp;TEXT(CF495/CE495-1,"+0%;-0%"),"〇"))))</f>
        <v>―</v>
      </c>
      <c r="F495" s="10" t="str">
        <f aca="false">IF(OR(G495="",G495="なし"),"―",IF(CF495=0,"入金不要",IF(COUNT(Z495,AB495,AD495,AF495)=0,IF(AG495="○","手動確認","未入金"),IF(AND(N(Z495)=Y495,IF(AA495="",TRUE(),N(AB495)=AA495),IF(AC495="",TRUE(),N(AD495)=AC495),IF(AE495="",TRUE(),N(AF495)=AE495)),"一致","不一致"))))</f>
        <v>―</v>
      </c>
      <c r="G495" s="25"/>
      <c r="H495" s="26"/>
      <c r="I495" s="27"/>
      <c r="J495" s="27"/>
      <c r="K495" s="27"/>
      <c r="L495" s="27"/>
      <c r="M495" s="27"/>
      <c r="N495" s="27"/>
      <c r="O495" s="27"/>
      <c r="P495" s="27"/>
      <c r="Q495" s="27"/>
      <c r="R495" s="27"/>
      <c r="S495" s="27"/>
      <c r="T495" s="27"/>
      <c r="U495" s="27"/>
      <c r="V495" s="27"/>
      <c r="W495" s="10" t="str">
        <f aca="false">IFERROR(INDEX(設定!$E$61:$E$106,MATCH(B495,設定!$B$61:$B$106,0)),"合算")</f>
        <v>合算</v>
      </c>
      <c r="X495" s="28"/>
      <c r="Y495" s="29" t="str">
        <f aca="false">IF(OR(G495="",G495="なし"),"",IF(W495="合算",CF495,IF(W495="掛金・負担金別",(AU495+AV495+AZ495+BB495+BD495),SUM(AU495:AY495))))</f>
        <v/>
      </c>
      <c r="Z495" s="27"/>
      <c r="AA495" s="29" t="str">
        <f aca="false">IF(OR(G495="",G495="なし"),"",IF(W495="掛金・負担金別",(AW495+AX495+AY495+BA495+BC495+BE495),IF(W495="経理区分別",AZ495+BA495,"")))</f>
        <v/>
      </c>
      <c r="AB495" s="27"/>
      <c r="AC495" s="29" t="str">
        <f aca="false">IF(OR(G495="",G495="なし"),"",IF(W495="経理区分別",BB495+BC495,""))</f>
        <v/>
      </c>
      <c r="AD495" s="27"/>
      <c r="AE495" s="29" t="str">
        <f aca="false">IF(OR(G495="",G495="なし"),"",IF(W495="経理区分別",BD495+BE495,""))</f>
        <v/>
      </c>
      <c r="AF495" s="27"/>
      <c r="AG495" s="26"/>
      <c r="AH495" s="26"/>
      <c r="AI495" s="30"/>
      <c r="AJ495" s="31" t="n">
        <v>137250</v>
      </c>
      <c r="AK495" s="31" t="n">
        <v>11250</v>
      </c>
      <c r="AL495" s="31" t="n">
        <v>137250</v>
      </c>
      <c r="AM495" s="31" t="n">
        <v>11250</v>
      </c>
      <c r="AN495" s="31" t="n">
        <v>140</v>
      </c>
      <c r="AO495" s="31" t="n">
        <v>82514</v>
      </c>
      <c r="AP495" s="31" t="n">
        <v>82665</v>
      </c>
      <c r="AQ495" s="31" t="n">
        <v>8611</v>
      </c>
      <c r="AR495" s="31" t="n">
        <v>8611</v>
      </c>
      <c r="AS495" s="31" t="n">
        <v>1</v>
      </c>
      <c r="AT495" s="31" t="n">
        <v>1</v>
      </c>
      <c r="AU495" s="31" t="n">
        <f aca="false">IF($G495="",AJ495,L495)</f>
        <v>137250</v>
      </c>
      <c r="AV495" s="31" t="n">
        <f aca="false">IF($G495="",AK495,M495)</f>
        <v>11250</v>
      </c>
      <c r="AW495" s="31" t="n">
        <f aca="false">IF($G495="",AL495,N495)</f>
        <v>137250</v>
      </c>
      <c r="AX495" s="31" t="n">
        <f aca="false">IF($G495="",AM495,O495)</f>
        <v>11250</v>
      </c>
      <c r="AY495" s="31" t="n">
        <f aca="false">IF($G495="",AN495,P495)</f>
        <v>140</v>
      </c>
      <c r="AZ495" s="31" t="n">
        <f aca="false">IF($G495="",AO495,Q495)</f>
        <v>82514</v>
      </c>
      <c r="BA495" s="31" t="n">
        <f aca="false">IF($G495="",AP495,R495)</f>
        <v>82665</v>
      </c>
      <c r="BB495" s="31" t="n">
        <f aca="false">IF($G495="",AQ495,S495)</f>
        <v>8611</v>
      </c>
      <c r="BC495" s="31" t="n">
        <f aca="false">IF($G495="",AR495,T495)</f>
        <v>8611</v>
      </c>
      <c r="BD495" s="31" t="n">
        <f aca="false">IF($G495="",AS495,U495)</f>
        <v>1</v>
      </c>
      <c r="BE495" s="31" t="n">
        <f aca="false">IF($G495="",AT495,V495)</f>
        <v>1</v>
      </c>
      <c r="BF495" s="31" t="n">
        <f aca="false">ROUNDDOWN(I495*設定!$B$10/1000,0)+ROUNDDOWN(I495*設定!$B$11/1000,0)</f>
        <v>0</v>
      </c>
      <c r="BG495" s="31" t="n">
        <f aca="false">ROUNDDOWN(I495*設定!$C$10/1000,0)+ROUNDDOWN(I495*設定!$C$11/1000,0)+ROUNDDOWN(I495*設定!$C$12/1000,0)</f>
        <v>0</v>
      </c>
      <c r="BH495" s="31" t="n">
        <f aca="false">ROUNDDOWN(J495*設定!$B$13/1000,0)</f>
        <v>0</v>
      </c>
      <c r="BI495" s="31" t="n">
        <f aca="false">ROUNDDOWN(J495*設定!$C$13/1000,0)</f>
        <v>0</v>
      </c>
      <c r="BJ495" s="31" t="n">
        <f aca="false">ROUNDDOWN(K495*設定!$B$14/1000,0)</f>
        <v>0</v>
      </c>
      <c r="BK495" s="31" t="n">
        <f aca="false">ROUNDDOWN(K495*設定!$C$14/1000,0)</f>
        <v>0</v>
      </c>
      <c r="BL495" s="31" t="n">
        <f aca="false">ROUNDDOWN(J495*設定!$B$15/1000,0)</f>
        <v>0</v>
      </c>
      <c r="BM495" s="31" t="n">
        <f aca="false">ROUNDDOWN(J495*設定!$C$15/1000,0)</f>
        <v>0</v>
      </c>
      <c r="BN495" s="31" t="n">
        <f aca="false">L495+M495</f>
        <v>0</v>
      </c>
      <c r="BO495" s="31" t="n">
        <f aca="false">N495+O495+P495</f>
        <v>0</v>
      </c>
      <c r="BP495" s="31" t="n">
        <f aca="false">Q495</f>
        <v>0</v>
      </c>
      <c r="BQ495" s="31" t="n">
        <f aca="false">R495</f>
        <v>0</v>
      </c>
      <c r="BR495" s="31" t="n">
        <f aca="false">S495</f>
        <v>0</v>
      </c>
      <c r="BS495" s="31" t="n">
        <f aca="false">T495</f>
        <v>0</v>
      </c>
      <c r="BT495" s="31" t="n">
        <f aca="false">U495</f>
        <v>0</v>
      </c>
      <c r="BU495" s="31" t="n">
        <f aca="false">V495</f>
        <v>0</v>
      </c>
      <c r="BV495" s="32" t="n">
        <f aca="false">IF(BF495=0,IF(BN495=0,0,1),(BN495-BF495)/BF495)</f>
        <v>0</v>
      </c>
      <c r="BW495" s="32" t="n">
        <f aca="false">IF(BG495=0,IF(BO495=0,0,1),(BO495-BG495)/BG495)</f>
        <v>0</v>
      </c>
      <c r="BX495" s="32" t="n">
        <f aca="false">IF(BH495=0,IF(BP495=0,0,1),(BP495-BH495)/BH495)</f>
        <v>0</v>
      </c>
      <c r="BY495" s="32" t="n">
        <f aca="false">IF(BI495=0,IF(BQ495=0,0,1),(BQ495-BI495)/BI495)</f>
        <v>0</v>
      </c>
      <c r="BZ495" s="32" t="n">
        <f aca="false">IF(BJ495=0,IF(BR495=0,0,1),(BR495-BJ495)/BJ495)</f>
        <v>0</v>
      </c>
      <c r="CA495" s="32" t="n">
        <f aca="false">IF(BK495=0,IF(BS495=0,0,1),(BS495-BK495)/BK495)</f>
        <v>0</v>
      </c>
      <c r="CB495" s="32" t="n">
        <f aca="false">IF(BL495=0,IF(BT495=0,0,1),(BT495-BL495)/BL495)</f>
        <v>0</v>
      </c>
      <c r="CC495" s="32" t="n">
        <f aca="false">IF(BM495=0,IF(BU495=0,0,1),(BU495-BM495)/BM495)</f>
        <v>0</v>
      </c>
      <c r="CD495" s="32" t="n">
        <f aca="false">MAX(MAX(BV495:CC495),-MIN(BV495:CC495))</f>
        <v>-0</v>
      </c>
      <c r="CE495" s="31" t="n">
        <f aca="false">IF(CI495="","",SUMIFS($CF$7:$CF$696,$A$7:$A$696,CI495,$B$7:$B$696,B495))</f>
        <v>479543</v>
      </c>
      <c r="CF495" s="31" t="n">
        <f aca="false">SUM(AU495:BE495)</f>
        <v>479543</v>
      </c>
      <c r="CG495" s="33" t="str">
        <f aca="false">A495&amp;"|"&amp;B495</f>
        <v>2026-12 月例|県下水道公社</v>
      </c>
      <c r="CH495" s="34" t="str">
        <f aca="false">IFERROR(INDEX(設定!$D$61:$D$106,MATCH(B495,設定!$B$61:$B$106,0)),"Y")</f>
        <v>Y</v>
      </c>
      <c r="CI495" s="34" t="str">
        <f aca="false">IFERROR(INDEX(設定!$D$20:$D$34,MATCH(A495,設定!$A$20:$A$34,0))&amp;"","")</f>
        <v>2026-11 月例</v>
      </c>
    </row>
    <row r="496" customFormat="false" ht="26.85" hidden="true" customHeight="false" outlineLevel="0" collapsed="false">
      <c r="A496" s="22" t="s">
        <v>218</v>
      </c>
      <c r="B496" s="35" t="s">
        <v>190</v>
      </c>
      <c r="C496" s="10" t="str">
        <f aca="false">IF(G496="","未受領",IF(G496="なし","報告なし",IF(AH496="○","起票済",IF(OR(AG496="○",F496="一致",F496="入金不要"),"入金確認済","受領済"))))</f>
        <v>未受領</v>
      </c>
      <c r="D496" s="10" t="str">
        <f aca="false">IF(OR(G496="",G496="なし"),"―",IF(CH496="N","対象外",IF(AND(I496="",J496="",K496=""),"標報未入力",IF(CD496&gt;=設定!$B$4,"要確認","問題なし"))))</f>
        <v>―</v>
      </c>
      <c r="E496" s="24" t="str">
        <f aca="false">IF(OR(G496="",G496="なし",CE496="",CF496=0),"―",IF(CF496=CE496,"前月同額",IF(CE496=0,"―",IF(ABS(CF496/CE496-1)&gt;=設定!$B$5,"変動大 "&amp;TEXT(CF496/CE496-1,"+0%;-0%"),"〇"))))</f>
        <v>―</v>
      </c>
      <c r="F496" s="10" t="str">
        <f aca="false">IF(OR(G496="",G496="なし"),"―",IF(CF496=0,"入金不要",IF(COUNT(Z496,AB496,AD496,AF496)=0,IF(AG496="○","手動確認","未入金"),IF(AND(N(Z496)=Y496,IF(AA496="",TRUE(),N(AB496)=AA496),IF(AC496="",TRUE(),N(AD496)=AC496),IF(AE496="",TRUE(),N(AF496)=AE496)),"一致","不一致"))))</f>
        <v>―</v>
      </c>
      <c r="G496" s="25"/>
      <c r="H496" s="26"/>
      <c r="I496" s="27"/>
      <c r="J496" s="27"/>
      <c r="K496" s="27"/>
      <c r="L496" s="27"/>
      <c r="M496" s="27"/>
      <c r="N496" s="27"/>
      <c r="O496" s="27"/>
      <c r="P496" s="27"/>
      <c r="Q496" s="27"/>
      <c r="R496" s="27"/>
      <c r="S496" s="27"/>
      <c r="T496" s="27"/>
      <c r="U496" s="27"/>
      <c r="V496" s="27"/>
      <c r="W496" s="10" t="str">
        <f aca="false">IFERROR(INDEX(設定!$E$61:$E$106,MATCH(B496,設定!$B$61:$B$106,0)),"合算")</f>
        <v>合算</v>
      </c>
      <c r="X496" s="28"/>
      <c r="Y496" s="29" t="str">
        <f aca="false">IF(OR(G496="",G496="なし"),"",IF(W496="合算",CF496,IF(W496="掛金・負担金別",(AU496+AV496+AZ496+BB496+BD496),SUM(AU496:AY496))))</f>
        <v/>
      </c>
      <c r="Z496" s="27"/>
      <c r="AA496" s="29" t="str">
        <f aca="false">IF(OR(G496="",G496="なし"),"",IF(W496="掛金・負担金別",(AW496+AX496+AY496+BA496+BC496+BE496),IF(W496="経理区分別",AZ496+BA496,"")))</f>
        <v/>
      </c>
      <c r="AB496" s="27"/>
      <c r="AC496" s="29" t="str">
        <f aca="false">IF(OR(G496="",G496="なし"),"",IF(W496="経理区分別",BB496+BC496,""))</f>
        <v/>
      </c>
      <c r="AD496" s="27"/>
      <c r="AE496" s="29" t="str">
        <f aca="false">IF(OR(G496="",G496="なし"),"",IF(W496="経理区分別",BD496+BE496,""))</f>
        <v/>
      </c>
      <c r="AF496" s="27"/>
      <c r="AG496" s="26"/>
      <c r="AH496" s="26"/>
      <c r="AI496" s="30"/>
      <c r="AJ496" s="31"/>
      <c r="AK496" s="31"/>
      <c r="AL496" s="31" t="n">
        <v>472140</v>
      </c>
      <c r="AM496" s="31" t="n">
        <v>38700</v>
      </c>
      <c r="AN496" s="31" t="n">
        <v>484</v>
      </c>
      <c r="AO496" s="31"/>
      <c r="AP496" s="31" t="n">
        <v>289878</v>
      </c>
      <c r="AQ496" s="31"/>
      <c r="AR496" s="31" t="n">
        <v>25517</v>
      </c>
      <c r="AS496" s="31"/>
      <c r="AT496" s="31" t="n">
        <v>1</v>
      </c>
      <c r="AU496" s="31" t="n">
        <f aca="false">IF($G496="",AJ496,L496)</f>
        <v>0</v>
      </c>
      <c r="AV496" s="31" t="n">
        <f aca="false">IF($G496="",AK496,M496)</f>
        <v>0</v>
      </c>
      <c r="AW496" s="31" t="n">
        <f aca="false">IF($G496="",AL496,N496)</f>
        <v>472140</v>
      </c>
      <c r="AX496" s="31" t="n">
        <f aca="false">IF($G496="",AM496,O496)</f>
        <v>38700</v>
      </c>
      <c r="AY496" s="31" t="n">
        <f aca="false">IF($G496="",AN496,P496)</f>
        <v>484</v>
      </c>
      <c r="AZ496" s="31" t="n">
        <f aca="false">IF($G496="",AO496,Q496)</f>
        <v>0</v>
      </c>
      <c r="BA496" s="31" t="n">
        <f aca="false">IF($G496="",AP496,R496)</f>
        <v>289878</v>
      </c>
      <c r="BB496" s="31" t="n">
        <f aca="false">IF($G496="",AQ496,S496)</f>
        <v>0</v>
      </c>
      <c r="BC496" s="31" t="n">
        <f aca="false">IF($G496="",AR496,T496)</f>
        <v>25517</v>
      </c>
      <c r="BD496" s="31" t="n">
        <f aca="false">IF($G496="",AS496,U496)</f>
        <v>0</v>
      </c>
      <c r="BE496" s="31" t="n">
        <f aca="false">IF($G496="",AT496,V496)</f>
        <v>1</v>
      </c>
      <c r="BF496" s="31" t="n">
        <f aca="false">ROUNDDOWN(I496*設定!$B$10/1000,0)+ROUNDDOWN(I496*設定!$B$11/1000,0)</f>
        <v>0</v>
      </c>
      <c r="BG496" s="31" t="n">
        <f aca="false">ROUNDDOWN(I496*設定!$C$10/1000,0)+ROUNDDOWN(I496*設定!$C$11/1000,0)+ROUNDDOWN(I496*設定!$C$12/1000,0)</f>
        <v>0</v>
      </c>
      <c r="BH496" s="31" t="n">
        <f aca="false">ROUNDDOWN(J496*設定!$B$13/1000,0)</f>
        <v>0</v>
      </c>
      <c r="BI496" s="31" t="n">
        <f aca="false">ROUNDDOWN(J496*設定!$C$13/1000,0)</f>
        <v>0</v>
      </c>
      <c r="BJ496" s="31" t="n">
        <f aca="false">ROUNDDOWN(K496*設定!$B$14/1000,0)</f>
        <v>0</v>
      </c>
      <c r="BK496" s="31" t="n">
        <f aca="false">ROUNDDOWN(K496*設定!$C$14/1000,0)</f>
        <v>0</v>
      </c>
      <c r="BL496" s="31" t="n">
        <f aca="false">ROUNDDOWN(J496*設定!$B$15/1000,0)</f>
        <v>0</v>
      </c>
      <c r="BM496" s="31" t="n">
        <f aca="false">ROUNDDOWN(J496*設定!$C$15/1000,0)</f>
        <v>0</v>
      </c>
      <c r="BN496" s="31" t="n">
        <f aca="false">L496+M496</f>
        <v>0</v>
      </c>
      <c r="BO496" s="31" t="n">
        <f aca="false">N496+O496+P496</f>
        <v>0</v>
      </c>
      <c r="BP496" s="31" t="n">
        <f aca="false">Q496</f>
        <v>0</v>
      </c>
      <c r="BQ496" s="31" t="n">
        <f aca="false">R496</f>
        <v>0</v>
      </c>
      <c r="BR496" s="31" t="n">
        <f aca="false">S496</f>
        <v>0</v>
      </c>
      <c r="BS496" s="31" t="n">
        <f aca="false">T496</f>
        <v>0</v>
      </c>
      <c r="BT496" s="31" t="n">
        <f aca="false">U496</f>
        <v>0</v>
      </c>
      <c r="BU496" s="31" t="n">
        <f aca="false">V496</f>
        <v>0</v>
      </c>
      <c r="BV496" s="32" t="n">
        <f aca="false">IF(BF496=0,IF(BN496=0,0,1),(BN496-BF496)/BF496)</f>
        <v>0</v>
      </c>
      <c r="BW496" s="32" t="n">
        <f aca="false">IF(BG496=0,IF(BO496=0,0,1),(BO496-BG496)/BG496)</f>
        <v>0</v>
      </c>
      <c r="BX496" s="32" t="n">
        <f aca="false">IF(BH496=0,IF(BP496=0,0,1),(BP496-BH496)/BH496)</f>
        <v>0</v>
      </c>
      <c r="BY496" s="32" t="n">
        <f aca="false">IF(BI496=0,IF(BQ496=0,0,1),(BQ496-BI496)/BI496)</f>
        <v>0</v>
      </c>
      <c r="BZ496" s="32" t="n">
        <f aca="false">IF(BJ496=0,IF(BR496=0,0,1),(BR496-BJ496)/BJ496)</f>
        <v>0</v>
      </c>
      <c r="CA496" s="32" t="n">
        <f aca="false">IF(BK496=0,IF(BS496=0,0,1),(BS496-BK496)/BK496)</f>
        <v>0</v>
      </c>
      <c r="CB496" s="32" t="n">
        <f aca="false">IF(BL496=0,IF(BT496=0,0,1),(BT496-BL496)/BL496)</f>
        <v>0</v>
      </c>
      <c r="CC496" s="32" t="n">
        <f aca="false">IF(BM496=0,IF(BU496=0,0,1),(BU496-BM496)/BM496)</f>
        <v>0</v>
      </c>
      <c r="CD496" s="32" t="n">
        <f aca="false">MAX(MAX(BV496:CC496),-MIN(BV496:CC496))</f>
        <v>-0</v>
      </c>
      <c r="CE496" s="31" t="n">
        <f aca="false">IF(CI496="","",SUMIFS($CF$7:$CF$696,$A$7:$A$696,CI496,$B$7:$B$696,B496))</f>
        <v>826720</v>
      </c>
      <c r="CF496" s="31" t="n">
        <f aca="false">SUM(AU496:BE496)</f>
        <v>826720</v>
      </c>
      <c r="CG496" s="36" t="str">
        <f aca="false">A496&amp;"|"&amp;B496</f>
        <v>2026-12 月例|バス協調・共創
プラットフォーム</v>
      </c>
      <c r="CH496" s="34" t="str">
        <f aca="false">IFERROR(INDEX(設定!$D$61:$D$106,MATCH(B496,設定!$B$61:$B$106,0)),"Y")</f>
        <v>Y</v>
      </c>
      <c r="CI496" s="34" t="str">
        <f aca="false">IFERROR(INDEX(設定!$D$20:$D$34,MATCH(A496,設定!$A$20:$A$34,0))&amp;"","")</f>
        <v>2026-11 月例</v>
      </c>
    </row>
    <row r="497" customFormat="false" ht="15" hidden="true" customHeight="false" outlineLevel="0" collapsed="false">
      <c r="A497" s="22" t="s">
        <v>218</v>
      </c>
      <c r="B497" s="23" t="s">
        <v>191</v>
      </c>
      <c r="C497" s="10" t="str">
        <f aca="false">IF(G497="","未受領",IF(G497="なし","報告なし",IF(AH497="○","起票済",IF(OR(AG497="○",F497="一致",F497="入金不要"),"入金確認済","受領済"))))</f>
        <v>未受領</v>
      </c>
      <c r="D497" s="10" t="str">
        <f aca="false">IF(OR(G497="",G497="なし"),"―",IF(CH497="N","対象外",IF(AND(I497="",J497="",K497=""),"標報未入力",IF(CD497&gt;=設定!$B$4,"要確認","問題なし"))))</f>
        <v>―</v>
      </c>
      <c r="E497" s="24" t="str">
        <f aca="false">IF(OR(G497="",G497="なし",CE497="",CF497=0),"―",IF(CF497=CE497,"前月同額",IF(CE497=0,"―",IF(ABS(CF497/CE497-1)&gt;=設定!$B$5,"変動大 "&amp;TEXT(CF497/CE497-1,"+0%;-0%"),"〇"))))</f>
        <v>―</v>
      </c>
      <c r="F497" s="10" t="str">
        <f aca="false">IF(OR(G497="",G497="なし"),"―",IF(CF497=0,"入金不要",IF(COUNT(Z497,AB497,AD497,AF497)=0,IF(AG497="○","手動確認","未入金"),IF(AND(N(Z497)=Y497,IF(AA497="",TRUE(),N(AB497)=AA497),IF(AC497="",TRUE(),N(AD497)=AC497),IF(AE497="",TRUE(),N(AF497)=AE497)),"一致","不一致"))))</f>
        <v>―</v>
      </c>
      <c r="G497" s="25"/>
      <c r="H497" s="26"/>
      <c r="I497" s="27"/>
      <c r="J497" s="27"/>
      <c r="K497" s="27"/>
      <c r="L497" s="27"/>
      <c r="M497" s="27"/>
      <c r="N497" s="27"/>
      <c r="O497" s="27"/>
      <c r="P497" s="27"/>
      <c r="Q497" s="27"/>
      <c r="R497" s="27"/>
      <c r="S497" s="27"/>
      <c r="T497" s="27"/>
      <c r="U497" s="27"/>
      <c r="V497" s="27"/>
      <c r="W497" s="10" t="str">
        <f aca="false">IFERROR(INDEX(設定!$E$61:$E$106,MATCH(B497,設定!$B$61:$B$106,0)),"合算")</f>
        <v>合算</v>
      </c>
      <c r="X497" s="28"/>
      <c r="Y497" s="29" t="str">
        <f aca="false">IF(OR(G497="",G497="なし"),"",IF(W497="合算",CF497,IF(W497="掛金・負担金別",(AU497+AV497+AZ497+BB497+BD497),SUM(AU497:AY497))))</f>
        <v/>
      </c>
      <c r="Z497" s="27"/>
      <c r="AA497" s="29" t="str">
        <f aca="false">IF(OR(G497="",G497="なし"),"",IF(W497="掛金・負担金別",(AW497+AX497+AY497+BA497+BC497+BE497),IF(W497="経理区分別",AZ497+BA497,"")))</f>
        <v/>
      </c>
      <c r="AB497" s="27"/>
      <c r="AC497" s="29" t="str">
        <f aca="false">IF(OR(G497="",G497="なし"),"",IF(W497="経理区分別",BB497+BC497,""))</f>
        <v/>
      </c>
      <c r="AD497" s="27"/>
      <c r="AE497" s="29" t="str">
        <f aca="false">IF(OR(G497="",G497="なし"),"",IF(W497="経理区分別",BD497+BE497,""))</f>
        <v/>
      </c>
      <c r="AF497" s="27"/>
      <c r="AG497" s="26"/>
      <c r="AH497" s="26"/>
      <c r="AI497" s="30"/>
      <c r="AJ497" s="31" t="n">
        <v>56730</v>
      </c>
      <c r="AK497" s="31" t="n">
        <v>4650</v>
      </c>
      <c r="AL497" s="31" t="n">
        <v>56730</v>
      </c>
      <c r="AM497" s="31" t="n">
        <v>4650</v>
      </c>
      <c r="AN497" s="31" t="n">
        <v>58</v>
      </c>
      <c r="AO497" s="31" t="n">
        <v>34106</v>
      </c>
      <c r="AP497" s="31" t="n">
        <v>34168</v>
      </c>
      <c r="AQ497" s="31" t="n">
        <v>4898</v>
      </c>
      <c r="AR497" s="31" t="n">
        <v>4898</v>
      </c>
      <c r="AS497" s="31" t="n">
        <v>1</v>
      </c>
      <c r="AT497" s="31" t="n">
        <v>1</v>
      </c>
      <c r="AU497" s="31" t="n">
        <f aca="false">IF($G497="",AJ497,L497)</f>
        <v>56730</v>
      </c>
      <c r="AV497" s="31" t="n">
        <f aca="false">IF($G497="",AK497,M497)</f>
        <v>4650</v>
      </c>
      <c r="AW497" s="31" t="n">
        <f aca="false">IF($G497="",AL497,N497)</f>
        <v>56730</v>
      </c>
      <c r="AX497" s="31" t="n">
        <f aca="false">IF($G497="",AM497,O497)</f>
        <v>4650</v>
      </c>
      <c r="AY497" s="31" t="n">
        <f aca="false">IF($G497="",AN497,P497)</f>
        <v>58</v>
      </c>
      <c r="AZ497" s="31" t="n">
        <f aca="false">IF($G497="",AO497,Q497)</f>
        <v>34106</v>
      </c>
      <c r="BA497" s="31" t="n">
        <f aca="false">IF($G497="",AP497,R497)</f>
        <v>34168</v>
      </c>
      <c r="BB497" s="31" t="n">
        <f aca="false">IF($G497="",AQ497,S497)</f>
        <v>4898</v>
      </c>
      <c r="BC497" s="31" t="n">
        <f aca="false">IF($G497="",AR497,T497)</f>
        <v>4898</v>
      </c>
      <c r="BD497" s="31" t="n">
        <f aca="false">IF($G497="",AS497,U497)</f>
        <v>1</v>
      </c>
      <c r="BE497" s="31" t="n">
        <f aca="false">IF($G497="",AT497,V497)</f>
        <v>1</v>
      </c>
      <c r="BF497" s="31" t="n">
        <f aca="false">ROUNDDOWN(I497*設定!$B$10/1000,0)+ROUNDDOWN(I497*設定!$B$11/1000,0)</f>
        <v>0</v>
      </c>
      <c r="BG497" s="31" t="n">
        <f aca="false">ROUNDDOWN(I497*設定!$C$10/1000,0)+ROUNDDOWN(I497*設定!$C$11/1000,0)+ROUNDDOWN(I497*設定!$C$12/1000,0)</f>
        <v>0</v>
      </c>
      <c r="BH497" s="31" t="n">
        <f aca="false">ROUNDDOWN(J497*設定!$B$13/1000,0)</f>
        <v>0</v>
      </c>
      <c r="BI497" s="31" t="n">
        <f aca="false">ROUNDDOWN(J497*設定!$C$13/1000,0)</f>
        <v>0</v>
      </c>
      <c r="BJ497" s="31" t="n">
        <f aca="false">ROUNDDOWN(K497*設定!$B$14/1000,0)</f>
        <v>0</v>
      </c>
      <c r="BK497" s="31" t="n">
        <f aca="false">ROUNDDOWN(K497*設定!$C$14/1000,0)</f>
        <v>0</v>
      </c>
      <c r="BL497" s="31" t="n">
        <f aca="false">ROUNDDOWN(J497*設定!$B$15/1000,0)</f>
        <v>0</v>
      </c>
      <c r="BM497" s="31" t="n">
        <f aca="false">ROUNDDOWN(J497*設定!$C$15/1000,0)</f>
        <v>0</v>
      </c>
      <c r="BN497" s="31" t="n">
        <f aca="false">L497+M497</f>
        <v>0</v>
      </c>
      <c r="BO497" s="31" t="n">
        <f aca="false">N497+O497+P497</f>
        <v>0</v>
      </c>
      <c r="BP497" s="31" t="n">
        <f aca="false">Q497</f>
        <v>0</v>
      </c>
      <c r="BQ497" s="31" t="n">
        <f aca="false">R497</f>
        <v>0</v>
      </c>
      <c r="BR497" s="31" t="n">
        <f aca="false">S497</f>
        <v>0</v>
      </c>
      <c r="BS497" s="31" t="n">
        <f aca="false">T497</f>
        <v>0</v>
      </c>
      <c r="BT497" s="31" t="n">
        <f aca="false">U497</f>
        <v>0</v>
      </c>
      <c r="BU497" s="31" t="n">
        <f aca="false">V497</f>
        <v>0</v>
      </c>
      <c r="BV497" s="32" t="n">
        <f aca="false">IF(BF497=0,IF(BN497=0,0,1),(BN497-BF497)/BF497)</f>
        <v>0</v>
      </c>
      <c r="BW497" s="32" t="n">
        <f aca="false">IF(BG497=0,IF(BO497=0,0,1),(BO497-BG497)/BG497)</f>
        <v>0</v>
      </c>
      <c r="BX497" s="32" t="n">
        <f aca="false">IF(BH497=0,IF(BP497=0,0,1),(BP497-BH497)/BH497)</f>
        <v>0</v>
      </c>
      <c r="BY497" s="32" t="n">
        <f aca="false">IF(BI497=0,IF(BQ497=0,0,1),(BQ497-BI497)/BI497)</f>
        <v>0</v>
      </c>
      <c r="BZ497" s="32" t="n">
        <f aca="false">IF(BJ497=0,IF(BR497=0,0,1),(BR497-BJ497)/BJ497)</f>
        <v>0</v>
      </c>
      <c r="CA497" s="32" t="n">
        <f aca="false">IF(BK497=0,IF(BS497=0,0,1),(BS497-BK497)/BK497)</f>
        <v>0</v>
      </c>
      <c r="CB497" s="32" t="n">
        <f aca="false">IF(BL497=0,IF(BT497=0,0,1),(BT497-BL497)/BL497)</f>
        <v>0</v>
      </c>
      <c r="CC497" s="32" t="n">
        <f aca="false">IF(BM497=0,IF(BU497=0,0,1),(BU497-BM497)/BM497)</f>
        <v>0</v>
      </c>
      <c r="CD497" s="32" t="n">
        <f aca="false">MAX(MAX(BV497:CC497),-MIN(BV497:CC497))</f>
        <v>-0</v>
      </c>
      <c r="CE497" s="31" t="n">
        <f aca="false">IF(CI497="","",SUMIFS($CF$7:$CF$696,$A$7:$A$696,CI497,$B$7:$B$696,B497))</f>
        <v>200890</v>
      </c>
      <c r="CF497" s="31" t="n">
        <f aca="false">SUM(AU497:BE497)</f>
        <v>200890</v>
      </c>
      <c r="CG497" s="33" t="str">
        <f aca="false">A497&amp;"|"&amp;B497</f>
        <v>2026-12 月例|広島県市長会</v>
      </c>
      <c r="CH497" s="34" t="str">
        <f aca="false">IFERROR(INDEX(設定!$D$61:$D$106,MATCH(B497,設定!$B$61:$B$106,0)),"Y")</f>
        <v>Y</v>
      </c>
      <c r="CI497" s="34" t="str">
        <f aca="false">IFERROR(INDEX(設定!$D$20:$D$34,MATCH(A497,設定!$A$20:$A$34,0))&amp;"","")</f>
        <v>2026-11 月例</v>
      </c>
    </row>
    <row r="498" customFormat="false" ht="15" hidden="true" customHeight="false" outlineLevel="0" collapsed="false">
      <c r="A498" s="22" t="s">
        <v>218</v>
      </c>
      <c r="B498" s="23" t="s">
        <v>192</v>
      </c>
      <c r="C498" s="10" t="str">
        <f aca="false">IF(G498="","未受領",IF(G498="なし","報告なし",IF(AH498="○","起票済",IF(OR(AG498="○",F498="一致",F498="入金不要"),"入金確認済","受領済"))))</f>
        <v>未受領</v>
      </c>
      <c r="D498" s="10" t="str">
        <f aca="false">IF(OR(G498="",G498="なし"),"―",IF(CH498="N","対象外",IF(AND(I498="",J498="",K498=""),"標報未入力",IF(CD498&gt;=設定!$B$4,"要確認","問題なし"))))</f>
        <v>―</v>
      </c>
      <c r="E498" s="24" t="str">
        <f aca="false">IF(OR(G498="",G498="なし",CE498="",CF498=0),"―",IF(CF498=CE498,"前月同額",IF(CE498=0,"―",IF(ABS(CF498/CE498-1)&gt;=設定!$B$5,"変動大 "&amp;TEXT(CF498/CE498-1,"+0%;-0%"),"〇"))))</f>
        <v>―</v>
      </c>
      <c r="F498" s="10" t="str">
        <f aca="false">IF(OR(G498="",G498="なし"),"―",IF(CF498=0,"入金不要",IF(COUNT(Z498,AB498,AD498,AF498)=0,IF(AG498="○","手動確認","未入金"),IF(AND(N(Z498)=Y498,IF(AA498="",TRUE(),N(AB498)=AA498),IF(AC498="",TRUE(),N(AD498)=AC498),IF(AE498="",TRUE(),N(AF498)=AE498)),"一致","不一致"))))</f>
        <v>―</v>
      </c>
      <c r="G498" s="25"/>
      <c r="H498" s="26"/>
      <c r="I498" s="27"/>
      <c r="J498" s="27"/>
      <c r="K498" s="27"/>
      <c r="L498" s="27"/>
      <c r="M498" s="27"/>
      <c r="N498" s="27"/>
      <c r="O498" s="27"/>
      <c r="P498" s="27"/>
      <c r="Q498" s="27"/>
      <c r="R498" s="27"/>
      <c r="S498" s="27"/>
      <c r="T498" s="27"/>
      <c r="U498" s="27"/>
      <c r="V498" s="27"/>
      <c r="W498" s="10" t="str">
        <f aca="false">IFERROR(INDEX(設定!$E$61:$E$106,MATCH(B498,設定!$B$61:$B$106,0)),"合算")</f>
        <v>合算</v>
      </c>
      <c r="X498" s="28"/>
      <c r="Y498" s="29" t="str">
        <f aca="false">IF(OR(G498="",G498="なし"),"",IF(W498="合算",CF498,IF(W498="掛金・負担金別",(AU498+AV498+AZ498+BB498+BD498),SUM(AU498:AY498))))</f>
        <v/>
      </c>
      <c r="Z498" s="27"/>
      <c r="AA498" s="29" t="str">
        <f aca="false">IF(OR(G498="",G498="なし"),"",IF(W498="掛金・負担金別",(AW498+AX498+AY498+BA498+BC498+BE498),IF(W498="経理区分別",AZ498+BA498,"")))</f>
        <v/>
      </c>
      <c r="AB498" s="27"/>
      <c r="AC498" s="29" t="str">
        <f aca="false">IF(OR(G498="",G498="なし"),"",IF(W498="経理区分別",BB498+BC498,""))</f>
        <v/>
      </c>
      <c r="AD498" s="27"/>
      <c r="AE498" s="29" t="str">
        <f aca="false">IF(OR(G498="",G498="なし"),"",IF(W498="経理区分別",BD498+BE498,""))</f>
        <v/>
      </c>
      <c r="AF498" s="27"/>
      <c r="AG498" s="26"/>
      <c r="AH498" s="26"/>
      <c r="AI498" s="30"/>
      <c r="AJ498" s="31" t="n">
        <v>59475</v>
      </c>
      <c r="AK498" s="31" t="n">
        <v>4875</v>
      </c>
      <c r="AL498" s="31" t="n">
        <v>59475</v>
      </c>
      <c r="AM498" s="31" t="n">
        <v>4875</v>
      </c>
      <c r="AN498" s="31" t="n">
        <v>61</v>
      </c>
      <c r="AO498" s="31" t="n">
        <v>41257</v>
      </c>
      <c r="AP498" s="31" t="n">
        <v>41332</v>
      </c>
      <c r="AQ498" s="31" t="n">
        <v>5925</v>
      </c>
      <c r="AR498" s="31" t="n">
        <v>5925</v>
      </c>
      <c r="AS498" s="31" t="n">
        <v>1</v>
      </c>
      <c r="AT498" s="31" t="n">
        <v>1</v>
      </c>
      <c r="AU498" s="31" t="n">
        <f aca="false">IF($G498="",AJ498,L498)</f>
        <v>59475</v>
      </c>
      <c r="AV498" s="31" t="n">
        <f aca="false">IF($G498="",AK498,M498)</f>
        <v>4875</v>
      </c>
      <c r="AW498" s="31" t="n">
        <f aca="false">IF($G498="",AL498,N498)</f>
        <v>59475</v>
      </c>
      <c r="AX498" s="31" t="n">
        <f aca="false">IF($G498="",AM498,O498)</f>
        <v>4875</v>
      </c>
      <c r="AY498" s="31" t="n">
        <f aca="false">IF($G498="",AN498,P498)</f>
        <v>61</v>
      </c>
      <c r="AZ498" s="31" t="n">
        <f aca="false">IF($G498="",AO498,Q498)</f>
        <v>41257</v>
      </c>
      <c r="BA498" s="31" t="n">
        <f aca="false">IF($G498="",AP498,R498)</f>
        <v>41332</v>
      </c>
      <c r="BB498" s="31" t="n">
        <f aca="false">IF($G498="",AQ498,S498)</f>
        <v>5925</v>
      </c>
      <c r="BC498" s="31" t="n">
        <f aca="false">IF($G498="",AR498,T498)</f>
        <v>5925</v>
      </c>
      <c r="BD498" s="31" t="n">
        <f aca="false">IF($G498="",AS498,U498)</f>
        <v>1</v>
      </c>
      <c r="BE498" s="31" t="n">
        <f aca="false">IF($G498="",AT498,V498)</f>
        <v>1</v>
      </c>
      <c r="BF498" s="31" t="n">
        <f aca="false">ROUNDDOWN(I498*設定!$B$10/1000,0)+ROUNDDOWN(I498*設定!$B$11/1000,0)</f>
        <v>0</v>
      </c>
      <c r="BG498" s="31" t="n">
        <f aca="false">ROUNDDOWN(I498*設定!$C$10/1000,0)+ROUNDDOWN(I498*設定!$C$11/1000,0)+ROUNDDOWN(I498*設定!$C$12/1000,0)</f>
        <v>0</v>
      </c>
      <c r="BH498" s="31" t="n">
        <f aca="false">ROUNDDOWN(J498*設定!$B$13/1000,0)</f>
        <v>0</v>
      </c>
      <c r="BI498" s="31" t="n">
        <f aca="false">ROUNDDOWN(J498*設定!$C$13/1000,0)</f>
        <v>0</v>
      </c>
      <c r="BJ498" s="31" t="n">
        <f aca="false">ROUNDDOWN(K498*設定!$B$14/1000,0)</f>
        <v>0</v>
      </c>
      <c r="BK498" s="31" t="n">
        <f aca="false">ROUNDDOWN(K498*設定!$C$14/1000,0)</f>
        <v>0</v>
      </c>
      <c r="BL498" s="31" t="n">
        <f aca="false">ROUNDDOWN(J498*設定!$B$15/1000,0)</f>
        <v>0</v>
      </c>
      <c r="BM498" s="31" t="n">
        <f aca="false">ROUNDDOWN(J498*設定!$C$15/1000,0)</f>
        <v>0</v>
      </c>
      <c r="BN498" s="31" t="n">
        <f aca="false">L498+M498</f>
        <v>0</v>
      </c>
      <c r="BO498" s="31" t="n">
        <f aca="false">N498+O498+P498</f>
        <v>0</v>
      </c>
      <c r="BP498" s="31" t="n">
        <f aca="false">Q498</f>
        <v>0</v>
      </c>
      <c r="BQ498" s="31" t="n">
        <f aca="false">R498</f>
        <v>0</v>
      </c>
      <c r="BR498" s="31" t="n">
        <f aca="false">S498</f>
        <v>0</v>
      </c>
      <c r="BS498" s="31" t="n">
        <f aca="false">T498</f>
        <v>0</v>
      </c>
      <c r="BT498" s="31" t="n">
        <f aca="false">U498</f>
        <v>0</v>
      </c>
      <c r="BU498" s="31" t="n">
        <f aca="false">V498</f>
        <v>0</v>
      </c>
      <c r="BV498" s="32" t="n">
        <f aca="false">IF(BF498=0,IF(BN498=0,0,1),(BN498-BF498)/BF498)</f>
        <v>0</v>
      </c>
      <c r="BW498" s="32" t="n">
        <f aca="false">IF(BG498=0,IF(BO498=0,0,1),(BO498-BG498)/BG498)</f>
        <v>0</v>
      </c>
      <c r="BX498" s="32" t="n">
        <f aca="false">IF(BH498=0,IF(BP498=0,0,1),(BP498-BH498)/BH498)</f>
        <v>0</v>
      </c>
      <c r="BY498" s="32" t="n">
        <f aca="false">IF(BI498=0,IF(BQ498=0,0,1),(BQ498-BI498)/BI498)</f>
        <v>0</v>
      </c>
      <c r="BZ498" s="32" t="n">
        <f aca="false">IF(BJ498=0,IF(BR498=0,0,1),(BR498-BJ498)/BJ498)</f>
        <v>0</v>
      </c>
      <c r="CA498" s="32" t="n">
        <f aca="false">IF(BK498=0,IF(BS498=0,0,1),(BS498-BK498)/BK498)</f>
        <v>0</v>
      </c>
      <c r="CB498" s="32" t="n">
        <f aca="false">IF(BL498=0,IF(BT498=0,0,1),(BT498-BL498)/BL498)</f>
        <v>0</v>
      </c>
      <c r="CC498" s="32" t="n">
        <f aca="false">IF(BM498=0,IF(BU498=0,0,1),(BU498-BM498)/BM498)</f>
        <v>0</v>
      </c>
      <c r="CD498" s="32" t="n">
        <f aca="false">MAX(MAX(BV498:CC498),-MIN(BV498:CC498))</f>
        <v>-0</v>
      </c>
      <c r="CE498" s="31" t="n">
        <f aca="false">IF(CI498="","",SUMIFS($CF$7:$CF$696,$A$7:$A$696,CI498,$B$7:$B$696,B498))</f>
        <v>223202</v>
      </c>
      <c r="CF498" s="31" t="n">
        <f aca="false">SUM(AU498:BE498)</f>
        <v>223202</v>
      </c>
      <c r="CG498" s="33" t="str">
        <f aca="false">A498&amp;"|"&amp;B498</f>
        <v>2026-12 月例|全国市町村研修財団</v>
      </c>
      <c r="CH498" s="34" t="str">
        <f aca="false">IFERROR(INDEX(設定!$D$61:$D$106,MATCH(B498,設定!$B$61:$B$106,0)),"Y")</f>
        <v>Y</v>
      </c>
      <c r="CI498" s="34" t="str">
        <f aca="false">IFERROR(INDEX(設定!$D$20:$D$34,MATCH(A498,設定!$A$20:$A$34,0))&amp;"","")</f>
        <v>2026-11 月例</v>
      </c>
    </row>
    <row r="499" customFormat="false" ht="15" hidden="true" customHeight="false" outlineLevel="0" collapsed="false">
      <c r="A499" s="22" t="s">
        <v>218</v>
      </c>
      <c r="B499" s="23" t="s">
        <v>193</v>
      </c>
      <c r="C499" s="10" t="str">
        <f aca="false">IF(G499="","未受領",IF(G499="なし","報告なし",IF(AH499="○","起票済",IF(OR(AG499="○",F499="一致",F499="入金不要"),"入金確認済","受領済"))))</f>
        <v>未受領</v>
      </c>
      <c r="D499" s="10" t="str">
        <f aca="false">IF(OR(G499="",G499="なし"),"―",IF(CH499="N","対象外",IF(AND(I499="",J499="",K499=""),"標報未入力",IF(CD499&gt;=設定!$B$4,"要確認","問題なし"))))</f>
        <v>―</v>
      </c>
      <c r="E499" s="24" t="str">
        <f aca="false">IF(OR(G499="",G499="なし",CE499="",CF499=0),"―",IF(CF499=CE499,"前月同額",IF(CE499=0,"―",IF(ABS(CF499/CE499-1)&gt;=設定!$B$5,"変動大 "&amp;TEXT(CF499/CE499-1,"+0%;-0%"),"〇"))))</f>
        <v>―</v>
      </c>
      <c r="F499" s="10" t="str">
        <f aca="false">IF(OR(G499="",G499="なし"),"―",IF(CF499=0,"入金不要",IF(COUNT(Z499,AB499,AD499,AF499)=0,IF(AG499="○","手動確認","未入金"),IF(AND(N(Z499)=Y499,IF(AA499="",TRUE(),N(AB499)=AA499),IF(AC499="",TRUE(),N(AD499)=AC499),IF(AE499="",TRUE(),N(AF499)=AE499)),"一致","不一致"))))</f>
        <v>―</v>
      </c>
      <c r="G499" s="25"/>
      <c r="H499" s="26"/>
      <c r="I499" s="27"/>
      <c r="J499" s="27"/>
      <c r="K499" s="27"/>
      <c r="L499" s="27"/>
      <c r="M499" s="27"/>
      <c r="N499" s="27"/>
      <c r="O499" s="27"/>
      <c r="P499" s="27"/>
      <c r="Q499" s="27"/>
      <c r="R499" s="27"/>
      <c r="S499" s="27"/>
      <c r="T499" s="27"/>
      <c r="U499" s="27"/>
      <c r="V499" s="27"/>
      <c r="W499" s="10" t="str">
        <f aca="false">IFERROR(INDEX(設定!$E$61:$E$106,MATCH(B499,設定!$B$61:$B$106,0)),"合算")</f>
        <v>合算</v>
      </c>
      <c r="X499" s="28"/>
      <c r="Y499" s="29" t="str">
        <f aca="false">IF(OR(G499="",G499="なし"),"",IF(W499="合算",CF499,IF(W499="掛金・負担金別",(AU499+AV499+AZ499+BB499+BD499),SUM(AU499:AY499))))</f>
        <v/>
      </c>
      <c r="Z499" s="27"/>
      <c r="AA499" s="29" t="str">
        <f aca="false">IF(OR(G499="",G499="なし"),"",IF(W499="掛金・負担金別",(AW499+AX499+AY499+BA499+BC499+BE499),IF(W499="経理区分別",AZ499+BA499,"")))</f>
        <v/>
      </c>
      <c r="AB499" s="27"/>
      <c r="AC499" s="29" t="str">
        <f aca="false">IF(OR(G499="",G499="なし"),"",IF(W499="経理区分別",BB499+BC499,""))</f>
        <v/>
      </c>
      <c r="AD499" s="27"/>
      <c r="AE499" s="29" t="str">
        <f aca="false">IF(OR(G499="",G499="なし"),"",IF(W499="経理区分別",BD499+BE499,""))</f>
        <v/>
      </c>
      <c r="AF499" s="27"/>
      <c r="AG499" s="26"/>
      <c r="AH499" s="26"/>
      <c r="AI499" s="30"/>
      <c r="AJ499" s="31" t="n">
        <v>48495</v>
      </c>
      <c r="AK499" s="31" t="n">
        <v>3975</v>
      </c>
      <c r="AL499" s="31" t="n">
        <v>48495</v>
      </c>
      <c r="AM499" s="31" t="n">
        <v>3975</v>
      </c>
      <c r="AN499" s="31" t="n">
        <v>49</v>
      </c>
      <c r="AO499" s="31" t="n">
        <v>29155</v>
      </c>
      <c r="AP499" s="31" t="n">
        <v>29208</v>
      </c>
      <c r="AQ499" s="31" t="n">
        <v>0</v>
      </c>
      <c r="AR499" s="31" t="n">
        <v>0</v>
      </c>
      <c r="AS499" s="31" t="n">
        <v>1</v>
      </c>
      <c r="AT499" s="31" t="n">
        <v>1</v>
      </c>
      <c r="AU499" s="31" t="n">
        <f aca="false">IF($G499="",AJ499,L499)</f>
        <v>48495</v>
      </c>
      <c r="AV499" s="31" t="n">
        <f aca="false">IF($G499="",AK499,M499)</f>
        <v>3975</v>
      </c>
      <c r="AW499" s="31" t="n">
        <f aca="false">IF($G499="",AL499,N499)</f>
        <v>48495</v>
      </c>
      <c r="AX499" s="31" t="n">
        <f aca="false">IF($G499="",AM499,O499)</f>
        <v>3975</v>
      </c>
      <c r="AY499" s="31" t="n">
        <f aca="false">IF($G499="",AN499,P499)</f>
        <v>49</v>
      </c>
      <c r="AZ499" s="31" t="n">
        <f aca="false">IF($G499="",AO499,Q499)</f>
        <v>29155</v>
      </c>
      <c r="BA499" s="31" t="n">
        <f aca="false">IF($G499="",AP499,R499)</f>
        <v>29208</v>
      </c>
      <c r="BB499" s="31" t="n">
        <f aca="false">IF($G499="",AQ499,S499)</f>
        <v>0</v>
      </c>
      <c r="BC499" s="31" t="n">
        <f aca="false">IF($G499="",AR499,T499)</f>
        <v>0</v>
      </c>
      <c r="BD499" s="31" t="n">
        <f aca="false">IF($G499="",AS499,U499)</f>
        <v>1</v>
      </c>
      <c r="BE499" s="31" t="n">
        <f aca="false">IF($G499="",AT499,V499)</f>
        <v>1</v>
      </c>
      <c r="BF499" s="31" t="n">
        <f aca="false">ROUNDDOWN(I499*設定!$B$10/1000,0)+ROUNDDOWN(I499*設定!$B$11/1000,0)</f>
        <v>0</v>
      </c>
      <c r="BG499" s="31" t="n">
        <f aca="false">ROUNDDOWN(I499*設定!$C$10/1000,0)+ROUNDDOWN(I499*設定!$C$11/1000,0)+ROUNDDOWN(I499*設定!$C$12/1000,0)</f>
        <v>0</v>
      </c>
      <c r="BH499" s="31" t="n">
        <f aca="false">ROUNDDOWN(J499*設定!$B$13/1000,0)</f>
        <v>0</v>
      </c>
      <c r="BI499" s="31" t="n">
        <f aca="false">ROUNDDOWN(J499*設定!$C$13/1000,0)</f>
        <v>0</v>
      </c>
      <c r="BJ499" s="31" t="n">
        <f aca="false">ROUNDDOWN(K499*設定!$B$14/1000,0)</f>
        <v>0</v>
      </c>
      <c r="BK499" s="31" t="n">
        <f aca="false">ROUNDDOWN(K499*設定!$C$14/1000,0)</f>
        <v>0</v>
      </c>
      <c r="BL499" s="31" t="n">
        <f aca="false">ROUNDDOWN(J499*設定!$B$15/1000,0)</f>
        <v>0</v>
      </c>
      <c r="BM499" s="31" t="n">
        <f aca="false">ROUNDDOWN(J499*設定!$C$15/1000,0)</f>
        <v>0</v>
      </c>
      <c r="BN499" s="31" t="n">
        <f aca="false">L499+M499</f>
        <v>0</v>
      </c>
      <c r="BO499" s="31" t="n">
        <f aca="false">N499+O499+P499</f>
        <v>0</v>
      </c>
      <c r="BP499" s="31" t="n">
        <f aca="false">Q499</f>
        <v>0</v>
      </c>
      <c r="BQ499" s="31" t="n">
        <f aca="false">R499</f>
        <v>0</v>
      </c>
      <c r="BR499" s="31" t="n">
        <f aca="false">S499</f>
        <v>0</v>
      </c>
      <c r="BS499" s="31" t="n">
        <f aca="false">T499</f>
        <v>0</v>
      </c>
      <c r="BT499" s="31" t="n">
        <f aca="false">U499</f>
        <v>0</v>
      </c>
      <c r="BU499" s="31" t="n">
        <f aca="false">V499</f>
        <v>0</v>
      </c>
      <c r="BV499" s="32" t="n">
        <f aca="false">IF(BF499=0,IF(BN499=0,0,1),(BN499-BF499)/BF499)</f>
        <v>0</v>
      </c>
      <c r="BW499" s="32" t="n">
        <f aca="false">IF(BG499=0,IF(BO499=0,0,1),(BO499-BG499)/BG499)</f>
        <v>0</v>
      </c>
      <c r="BX499" s="32" t="n">
        <f aca="false">IF(BH499=0,IF(BP499=0,0,1),(BP499-BH499)/BH499)</f>
        <v>0</v>
      </c>
      <c r="BY499" s="32" t="n">
        <f aca="false">IF(BI499=0,IF(BQ499=0,0,1),(BQ499-BI499)/BI499)</f>
        <v>0</v>
      </c>
      <c r="BZ499" s="32" t="n">
        <f aca="false">IF(BJ499=0,IF(BR499=0,0,1),(BR499-BJ499)/BJ499)</f>
        <v>0</v>
      </c>
      <c r="CA499" s="32" t="n">
        <f aca="false">IF(BK499=0,IF(BS499=0,0,1),(BS499-BK499)/BK499)</f>
        <v>0</v>
      </c>
      <c r="CB499" s="32" t="n">
        <f aca="false">IF(BL499=0,IF(BT499=0,0,1),(BT499-BL499)/BL499)</f>
        <v>0</v>
      </c>
      <c r="CC499" s="32" t="n">
        <f aca="false">IF(BM499=0,IF(BU499=0,0,1),(BU499-BM499)/BM499)</f>
        <v>0</v>
      </c>
      <c r="CD499" s="32" t="n">
        <f aca="false">MAX(MAX(BV499:CC499),-MIN(BV499:CC499))</f>
        <v>-0</v>
      </c>
      <c r="CE499" s="31" t="n">
        <f aca="false">IF(CI499="","",SUMIFS($CF$7:$CF$696,$A$7:$A$696,CI499,$B$7:$B$696,B499))</f>
        <v>163354</v>
      </c>
      <c r="CF499" s="31" t="n">
        <f aca="false">SUM(AU499:BE499)</f>
        <v>163354</v>
      </c>
      <c r="CG499" s="33" t="str">
        <f aca="false">A499&amp;"|"&amp;B499</f>
        <v>2026-12 月例|都市再生機構</v>
      </c>
      <c r="CH499" s="34" t="str">
        <f aca="false">IFERROR(INDEX(設定!$D$61:$D$106,MATCH(B499,設定!$B$61:$B$106,0)),"Y")</f>
        <v>Y</v>
      </c>
      <c r="CI499" s="34" t="str">
        <f aca="false">IFERROR(INDEX(設定!$D$20:$D$34,MATCH(A499,設定!$A$20:$A$34,0))&amp;"","")</f>
        <v>2026-11 月例</v>
      </c>
    </row>
    <row r="500" customFormat="false" ht="15" hidden="true" customHeight="false" outlineLevel="0" collapsed="false">
      <c r="A500" s="22" t="s">
        <v>218</v>
      </c>
      <c r="B500" s="23" t="s">
        <v>194</v>
      </c>
      <c r="C500" s="10" t="str">
        <f aca="false">IF(G500="","未受領",IF(G500="なし","報告なし",IF(AH500="○","起票済",IF(OR(AG500="○",F500="一致",F500="入金不要"),"入金確認済","受領済"))))</f>
        <v>未受領</v>
      </c>
      <c r="D500" s="10" t="str">
        <f aca="false">IF(OR(G500="",G500="なし"),"―",IF(CH500="N","対象外",IF(AND(I500="",J500="",K500=""),"標報未入力",IF(CD500&gt;=設定!$B$4,"要確認","問題なし"))))</f>
        <v>―</v>
      </c>
      <c r="E500" s="24" t="str">
        <f aca="false">IF(OR(G500="",G500="なし",CE500="",CF500=0),"―",IF(CF500=CE500,"前月同額",IF(CE500=0,"―",IF(ABS(CF500/CE500-1)&gt;=設定!$B$5,"変動大 "&amp;TEXT(CF500/CE500-1,"+0%;-0%"),"〇"))))</f>
        <v>―</v>
      </c>
      <c r="F500" s="10" t="str">
        <f aca="false">IF(OR(G500="",G500="なし"),"―",IF(CF500=0,"入金不要",IF(COUNT(Z500,AB500,AD500,AF500)=0,IF(AG500="○","手動確認","未入金"),IF(AND(N(Z500)=Y500,IF(AA500="",TRUE(),N(AB500)=AA500),IF(AC500="",TRUE(),N(AD500)=AC500),IF(AE500="",TRUE(),N(AF500)=AE500)),"一致","不一致"))))</f>
        <v>―</v>
      </c>
      <c r="G500" s="25"/>
      <c r="H500" s="26"/>
      <c r="I500" s="27"/>
      <c r="J500" s="27"/>
      <c r="K500" s="27"/>
      <c r="L500" s="27"/>
      <c r="M500" s="27"/>
      <c r="N500" s="27"/>
      <c r="O500" s="27"/>
      <c r="P500" s="27"/>
      <c r="Q500" s="27"/>
      <c r="R500" s="27"/>
      <c r="S500" s="27"/>
      <c r="T500" s="27"/>
      <c r="U500" s="27"/>
      <c r="V500" s="27"/>
      <c r="W500" s="10" t="str">
        <f aca="false">IFERROR(INDEX(設定!$E$61:$E$106,MATCH(B500,設定!$B$61:$B$106,0)),"合算")</f>
        <v>合算</v>
      </c>
      <c r="X500" s="28"/>
      <c r="Y500" s="29" t="str">
        <f aca="false">IF(OR(G500="",G500="なし"),"",IF(W500="合算",CF500,IF(W500="掛金・負担金別",(AU500+AV500+AZ500+BB500+BD500),SUM(AU500:AY500))))</f>
        <v/>
      </c>
      <c r="Z500" s="27"/>
      <c r="AA500" s="29" t="str">
        <f aca="false">IF(OR(G500="",G500="なし"),"",IF(W500="掛金・負担金別",(AW500+AX500+AY500+BA500+BC500+BE500),IF(W500="経理区分別",AZ500+BA500,"")))</f>
        <v/>
      </c>
      <c r="AB500" s="27"/>
      <c r="AC500" s="29" t="str">
        <f aca="false">IF(OR(G500="",G500="なし"),"",IF(W500="経理区分別",BB500+BC500,""))</f>
        <v/>
      </c>
      <c r="AD500" s="27"/>
      <c r="AE500" s="29" t="str">
        <f aca="false">IF(OR(G500="",G500="なし"),"",IF(W500="経理区分別",BD500+BE500,""))</f>
        <v/>
      </c>
      <c r="AF500" s="27"/>
      <c r="AG500" s="26"/>
      <c r="AH500" s="26"/>
      <c r="AI500" s="30"/>
      <c r="AJ500" s="31" t="n">
        <v>1194075</v>
      </c>
      <c r="AK500" s="31" t="n">
        <v>97875</v>
      </c>
      <c r="AL500" s="31" t="n">
        <v>1194075</v>
      </c>
      <c r="AM500" s="31" t="n">
        <v>97875</v>
      </c>
      <c r="AN500" s="31" t="n">
        <v>1337</v>
      </c>
      <c r="AO500" s="31" t="n">
        <v>717870</v>
      </c>
      <c r="AP500" s="31" t="n">
        <v>719305</v>
      </c>
      <c r="AQ500" s="31" t="n">
        <v>64227</v>
      </c>
      <c r="AR500" s="31" t="n">
        <v>64227</v>
      </c>
      <c r="AS500" s="31" t="n">
        <v>1</v>
      </c>
      <c r="AT500" s="31" t="n">
        <v>1</v>
      </c>
      <c r="AU500" s="31" t="n">
        <f aca="false">IF($G500="",AJ500,L500)</f>
        <v>1194075</v>
      </c>
      <c r="AV500" s="31" t="n">
        <f aca="false">IF($G500="",AK500,M500)</f>
        <v>97875</v>
      </c>
      <c r="AW500" s="31" t="n">
        <f aca="false">IF($G500="",AL500,N500)</f>
        <v>1194075</v>
      </c>
      <c r="AX500" s="31" t="n">
        <f aca="false">IF($G500="",AM500,O500)</f>
        <v>97875</v>
      </c>
      <c r="AY500" s="31" t="n">
        <f aca="false">IF($G500="",AN500,P500)</f>
        <v>1337</v>
      </c>
      <c r="AZ500" s="31" t="n">
        <f aca="false">IF($G500="",AO500,Q500)</f>
        <v>717870</v>
      </c>
      <c r="BA500" s="31" t="n">
        <f aca="false">IF($G500="",AP500,R500)</f>
        <v>719305</v>
      </c>
      <c r="BB500" s="31" t="n">
        <f aca="false">IF($G500="",AQ500,S500)</f>
        <v>64227</v>
      </c>
      <c r="BC500" s="31" t="n">
        <f aca="false">IF($G500="",AR500,T500)</f>
        <v>64227</v>
      </c>
      <c r="BD500" s="31" t="n">
        <f aca="false">IF($G500="",AS500,U500)</f>
        <v>1</v>
      </c>
      <c r="BE500" s="31" t="n">
        <f aca="false">IF($G500="",AT500,V500)</f>
        <v>1</v>
      </c>
      <c r="BF500" s="31" t="n">
        <f aca="false">ROUNDDOWN(I500*設定!$B$10/1000,0)+ROUNDDOWN(I500*設定!$B$11/1000,0)</f>
        <v>0</v>
      </c>
      <c r="BG500" s="31" t="n">
        <f aca="false">ROUNDDOWN(I500*設定!$C$10/1000,0)+ROUNDDOWN(I500*設定!$C$11/1000,0)+ROUNDDOWN(I500*設定!$C$12/1000,0)</f>
        <v>0</v>
      </c>
      <c r="BH500" s="31" t="n">
        <f aca="false">ROUNDDOWN(J500*設定!$B$13/1000,0)</f>
        <v>0</v>
      </c>
      <c r="BI500" s="31" t="n">
        <f aca="false">ROUNDDOWN(J500*設定!$C$13/1000,0)</f>
        <v>0</v>
      </c>
      <c r="BJ500" s="31" t="n">
        <f aca="false">ROUNDDOWN(K500*設定!$B$14/1000,0)</f>
        <v>0</v>
      </c>
      <c r="BK500" s="31" t="n">
        <f aca="false">ROUNDDOWN(K500*設定!$C$14/1000,0)</f>
        <v>0</v>
      </c>
      <c r="BL500" s="31" t="n">
        <f aca="false">ROUNDDOWN(J500*設定!$B$15/1000,0)</f>
        <v>0</v>
      </c>
      <c r="BM500" s="31" t="n">
        <f aca="false">ROUNDDOWN(J500*設定!$C$15/1000,0)</f>
        <v>0</v>
      </c>
      <c r="BN500" s="31" t="n">
        <f aca="false">L500+M500</f>
        <v>0</v>
      </c>
      <c r="BO500" s="31" t="n">
        <f aca="false">N500+O500+P500</f>
        <v>0</v>
      </c>
      <c r="BP500" s="31" t="n">
        <f aca="false">Q500</f>
        <v>0</v>
      </c>
      <c r="BQ500" s="31" t="n">
        <f aca="false">R500</f>
        <v>0</v>
      </c>
      <c r="BR500" s="31" t="n">
        <f aca="false">S500</f>
        <v>0</v>
      </c>
      <c r="BS500" s="31" t="n">
        <f aca="false">T500</f>
        <v>0</v>
      </c>
      <c r="BT500" s="31" t="n">
        <f aca="false">U500</f>
        <v>0</v>
      </c>
      <c r="BU500" s="31" t="n">
        <f aca="false">V500</f>
        <v>0</v>
      </c>
      <c r="BV500" s="32" t="n">
        <f aca="false">IF(BF500=0,IF(BN500=0,0,1),(BN500-BF500)/BF500)</f>
        <v>0</v>
      </c>
      <c r="BW500" s="32" t="n">
        <f aca="false">IF(BG500=0,IF(BO500=0,0,1),(BO500-BG500)/BG500)</f>
        <v>0</v>
      </c>
      <c r="BX500" s="32" t="n">
        <f aca="false">IF(BH500=0,IF(BP500=0,0,1),(BP500-BH500)/BH500)</f>
        <v>0</v>
      </c>
      <c r="BY500" s="32" t="n">
        <f aca="false">IF(BI500=0,IF(BQ500=0,0,1),(BQ500-BI500)/BI500)</f>
        <v>0</v>
      </c>
      <c r="BZ500" s="32" t="n">
        <f aca="false">IF(BJ500=0,IF(BR500=0,0,1),(BR500-BJ500)/BJ500)</f>
        <v>0</v>
      </c>
      <c r="CA500" s="32" t="n">
        <f aca="false">IF(BK500=0,IF(BS500=0,0,1),(BS500-BK500)/BK500)</f>
        <v>0</v>
      </c>
      <c r="CB500" s="32" t="n">
        <f aca="false">IF(BL500=0,IF(BT500=0,0,1),(BT500-BL500)/BL500)</f>
        <v>0</v>
      </c>
      <c r="CC500" s="32" t="n">
        <f aca="false">IF(BM500=0,IF(BU500=0,0,1),(BU500-BM500)/BM500)</f>
        <v>0</v>
      </c>
      <c r="CD500" s="32" t="n">
        <f aca="false">MAX(MAX(BV500:CC500),-MIN(BV500:CC500))</f>
        <v>-0</v>
      </c>
      <c r="CE500" s="31" t="n">
        <f aca="false">IF(CI500="","",SUMIFS($CF$7:$CF$696,$A$7:$A$696,CI500,$B$7:$B$696,B500))</f>
        <v>3910614</v>
      </c>
      <c r="CF500" s="31" t="n">
        <f aca="false">SUM(AU500:BE500)</f>
        <v>4150868</v>
      </c>
      <c r="CG500" s="33" t="str">
        <f aca="false">A500&amp;"|"&amp;B500</f>
        <v>2026-12 月例|広島市立大学</v>
      </c>
      <c r="CH500" s="34" t="str">
        <f aca="false">IFERROR(INDEX(設定!$D$61:$D$106,MATCH(B500,設定!$B$61:$B$106,0)),"Y")</f>
        <v>Y</v>
      </c>
      <c r="CI500" s="34" t="str">
        <f aca="false">IFERROR(INDEX(設定!$D$20:$D$34,MATCH(A500,設定!$A$20:$A$34,0))&amp;"","")</f>
        <v>2026-11 月例</v>
      </c>
    </row>
    <row r="501" customFormat="false" ht="15" hidden="true" customHeight="false" outlineLevel="0" collapsed="false">
      <c r="A501" s="22" t="s">
        <v>218</v>
      </c>
      <c r="B501" s="23" t="s">
        <v>195</v>
      </c>
      <c r="C501" s="10" t="str">
        <f aca="false">IF(G501="","未受領",IF(G501="なし","報告なし",IF(AH501="○","起票済",IF(OR(AG501="○",F501="一致",F501="入金不要"),"入金確認済","受領済"))))</f>
        <v>未受領</v>
      </c>
      <c r="D501" s="10" t="str">
        <f aca="false">IF(OR(G501="",G501="なし"),"―",IF(CH501="N","対象外",IF(AND(I501="",J501="",K501=""),"標報未入力",IF(CD501&gt;=設定!$B$4,"要確認","問題なし"))))</f>
        <v>―</v>
      </c>
      <c r="E501" s="24" t="str">
        <f aca="false">IF(OR(G501="",G501="なし",CE501="",CF501=0),"―",IF(CF501=CE501,"前月同額",IF(CE501=0,"―",IF(ABS(CF501/CE501-1)&gt;=設定!$B$5,"変動大 "&amp;TEXT(CF501/CE501-1,"+0%;-0%"),"〇"))))</f>
        <v>―</v>
      </c>
      <c r="F501" s="10" t="str">
        <f aca="false">IF(OR(G501="",G501="なし"),"―",IF(CF501=0,"入金不要",IF(COUNT(Z501,AB501,AD501,AF501)=0,IF(AG501="○","手動確認","未入金"),IF(AND(N(Z501)=Y501,IF(AA501="",TRUE(),N(AB501)=AA501),IF(AC501="",TRUE(),N(AD501)=AC501),IF(AE501="",TRUE(),N(AF501)=AE501)),"一致","不一致"))))</f>
        <v>―</v>
      </c>
      <c r="G501" s="25"/>
      <c r="H501" s="26"/>
      <c r="I501" s="27"/>
      <c r="J501" s="27"/>
      <c r="K501" s="27"/>
      <c r="L501" s="27"/>
      <c r="M501" s="27"/>
      <c r="N501" s="27"/>
      <c r="O501" s="27"/>
      <c r="P501" s="27"/>
      <c r="Q501" s="27"/>
      <c r="R501" s="27"/>
      <c r="S501" s="27"/>
      <c r="T501" s="27"/>
      <c r="U501" s="27"/>
      <c r="V501" s="27"/>
      <c r="W501" s="10" t="str">
        <f aca="false">IFERROR(INDEX(設定!$E$61:$E$106,MATCH(B501,設定!$B$61:$B$106,0)),"合算")</f>
        <v>合算</v>
      </c>
      <c r="X501" s="28"/>
      <c r="Y501" s="29" t="str">
        <f aca="false">IF(OR(G501="",G501="なし"),"",IF(W501="合算",CF501,IF(W501="掛金・負担金別",(AU501+AV501+AZ501+BB501+BD501),SUM(AU501:AY501))))</f>
        <v/>
      </c>
      <c r="Z501" s="27"/>
      <c r="AA501" s="29" t="str">
        <f aca="false">IF(OR(G501="",G501="なし"),"",IF(W501="掛金・負担金別",(AW501+AX501+AY501+BA501+BC501+BE501),IF(W501="経理区分別",AZ501+BA501,"")))</f>
        <v/>
      </c>
      <c r="AB501" s="27"/>
      <c r="AC501" s="29" t="str">
        <f aca="false">IF(OR(G501="",G501="なし"),"",IF(W501="経理区分別",BB501+BC501,""))</f>
        <v/>
      </c>
      <c r="AD501" s="27"/>
      <c r="AE501" s="29" t="str">
        <f aca="false">IF(OR(G501="",G501="なし"),"",IF(W501="経理区分別",BD501+BE501,""))</f>
        <v/>
      </c>
      <c r="AF501" s="27"/>
      <c r="AG501" s="26"/>
      <c r="AH501" s="26"/>
      <c r="AI501" s="30"/>
      <c r="AJ501" s="31"/>
      <c r="AK501" s="31"/>
      <c r="AL501" s="31" t="n">
        <v>245220</v>
      </c>
      <c r="AM501" s="31" t="n">
        <v>20100</v>
      </c>
      <c r="AN501" s="31" t="n">
        <v>251</v>
      </c>
      <c r="AO501" s="31"/>
      <c r="AP501" s="31" t="n">
        <v>151001</v>
      </c>
      <c r="AQ501" s="31"/>
      <c r="AR501" s="31" t="n">
        <v>10744</v>
      </c>
      <c r="AS501" s="31"/>
      <c r="AT501" s="31" t="n">
        <v>1</v>
      </c>
      <c r="AU501" s="31" t="n">
        <f aca="false">IF($G501="",AJ501,L501)</f>
        <v>0</v>
      </c>
      <c r="AV501" s="31" t="n">
        <f aca="false">IF($G501="",AK501,M501)</f>
        <v>0</v>
      </c>
      <c r="AW501" s="31" t="n">
        <f aca="false">IF($G501="",AL501,N501)</f>
        <v>245220</v>
      </c>
      <c r="AX501" s="31" t="n">
        <f aca="false">IF($G501="",AM501,O501)</f>
        <v>20100</v>
      </c>
      <c r="AY501" s="31" t="n">
        <f aca="false">IF($G501="",AN501,P501)</f>
        <v>251</v>
      </c>
      <c r="AZ501" s="31" t="n">
        <f aca="false">IF($G501="",AO501,Q501)</f>
        <v>0</v>
      </c>
      <c r="BA501" s="31" t="n">
        <f aca="false">IF($G501="",AP501,R501)</f>
        <v>151001</v>
      </c>
      <c r="BB501" s="31" t="n">
        <f aca="false">IF($G501="",AQ501,S501)</f>
        <v>0</v>
      </c>
      <c r="BC501" s="31" t="n">
        <f aca="false">IF($G501="",AR501,T501)</f>
        <v>10744</v>
      </c>
      <c r="BD501" s="31" t="n">
        <f aca="false">IF($G501="",AS501,U501)</f>
        <v>0</v>
      </c>
      <c r="BE501" s="31" t="n">
        <f aca="false">IF($G501="",AT501,V501)</f>
        <v>1</v>
      </c>
      <c r="BF501" s="31" t="n">
        <f aca="false">ROUNDDOWN(I501*設定!$B$10/1000,0)+ROUNDDOWN(I501*設定!$B$11/1000,0)</f>
        <v>0</v>
      </c>
      <c r="BG501" s="31" t="n">
        <f aca="false">ROUNDDOWN(I501*設定!$C$10/1000,0)+ROUNDDOWN(I501*設定!$C$11/1000,0)+ROUNDDOWN(I501*設定!$C$12/1000,0)</f>
        <v>0</v>
      </c>
      <c r="BH501" s="31" t="n">
        <f aca="false">ROUNDDOWN(J501*設定!$B$13/1000,0)</f>
        <v>0</v>
      </c>
      <c r="BI501" s="31" t="n">
        <f aca="false">ROUNDDOWN(J501*設定!$C$13/1000,0)</f>
        <v>0</v>
      </c>
      <c r="BJ501" s="31" t="n">
        <f aca="false">ROUNDDOWN(K501*設定!$B$14/1000,0)</f>
        <v>0</v>
      </c>
      <c r="BK501" s="31" t="n">
        <f aca="false">ROUNDDOWN(K501*設定!$C$14/1000,0)</f>
        <v>0</v>
      </c>
      <c r="BL501" s="31" t="n">
        <f aca="false">ROUNDDOWN(J501*設定!$B$15/1000,0)</f>
        <v>0</v>
      </c>
      <c r="BM501" s="31" t="n">
        <f aca="false">ROUNDDOWN(J501*設定!$C$15/1000,0)</f>
        <v>0</v>
      </c>
      <c r="BN501" s="31" t="n">
        <f aca="false">L501+M501</f>
        <v>0</v>
      </c>
      <c r="BO501" s="31" t="n">
        <f aca="false">N501+O501+P501</f>
        <v>0</v>
      </c>
      <c r="BP501" s="31" t="n">
        <f aca="false">Q501</f>
        <v>0</v>
      </c>
      <c r="BQ501" s="31" t="n">
        <f aca="false">R501</f>
        <v>0</v>
      </c>
      <c r="BR501" s="31" t="n">
        <f aca="false">S501</f>
        <v>0</v>
      </c>
      <c r="BS501" s="31" t="n">
        <f aca="false">T501</f>
        <v>0</v>
      </c>
      <c r="BT501" s="31" t="n">
        <f aca="false">U501</f>
        <v>0</v>
      </c>
      <c r="BU501" s="31" t="n">
        <f aca="false">V501</f>
        <v>0</v>
      </c>
      <c r="BV501" s="32" t="n">
        <f aca="false">IF(BF501=0,IF(BN501=0,0,1),(BN501-BF501)/BF501)</f>
        <v>0</v>
      </c>
      <c r="BW501" s="32" t="n">
        <f aca="false">IF(BG501=0,IF(BO501=0,0,1),(BO501-BG501)/BG501)</f>
        <v>0</v>
      </c>
      <c r="BX501" s="32" t="n">
        <f aca="false">IF(BH501=0,IF(BP501=0,0,1),(BP501-BH501)/BH501)</f>
        <v>0</v>
      </c>
      <c r="BY501" s="32" t="n">
        <f aca="false">IF(BI501=0,IF(BQ501=0,0,1),(BQ501-BI501)/BI501)</f>
        <v>0</v>
      </c>
      <c r="BZ501" s="32" t="n">
        <f aca="false">IF(BJ501=0,IF(BR501=0,0,1),(BR501-BJ501)/BJ501)</f>
        <v>0</v>
      </c>
      <c r="CA501" s="32" t="n">
        <f aca="false">IF(BK501=0,IF(BS501=0,0,1),(BS501-BK501)/BK501)</f>
        <v>0</v>
      </c>
      <c r="CB501" s="32" t="n">
        <f aca="false">IF(BL501=0,IF(BT501=0,0,1),(BT501-BL501)/BL501)</f>
        <v>0</v>
      </c>
      <c r="CC501" s="32" t="n">
        <f aca="false">IF(BM501=0,IF(BU501=0,0,1),(BU501-BM501)/BM501)</f>
        <v>0</v>
      </c>
      <c r="CD501" s="32" t="n">
        <f aca="false">MAX(MAX(BV501:CC501),-MIN(BV501:CC501))</f>
        <v>-0</v>
      </c>
      <c r="CE501" s="31" t="n">
        <f aca="false">IF(CI501="","",SUMIFS($CF$7:$CF$696,$A$7:$A$696,CI501,$B$7:$B$696,B501))</f>
        <v>427317</v>
      </c>
      <c r="CF501" s="31" t="n">
        <f aca="false">SUM(AU501:BE501)</f>
        <v>427317</v>
      </c>
      <c r="CG501" s="33" t="str">
        <f aca="false">A501&amp;"|"&amp;B501</f>
        <v>2026-12 月例|社会福祉協議会</v>
      </c>
      <c r="CH501" s="34" t="str">
        <f aca="false">IFERROR(INDEX(設定!$D$61:$D$106,MATCH(B501,設定!$B$61:$B$106,0)),"Y")</f>
        <v>Y</v>
      </c>
      <c r="CI501" s="34" t="str">
        <f aca="false">IFERROR(INDEX(設定!$D$20:$D$34,MATCH(A501,設定!$A$20:$A$34,0))&amp;"","")</f>
        <v>2026-11 月例</v>
      </c>
    </row>
    <row r="502" customFormat="false" ht="15" hidden="true" customHeight="false" outlineLevel="0" collapsed="false">
      <c r="A502" s="22" t="s">
        <v>218</v>
      </c>
      <c r="B502" s="23" t="s">
        <v>196</v>
      </c>
      <c r="C502" s="10" t="str">
        <f aca="false">IF(G502="","未受領",IF(G502="なし","報告なし",IF(AH502="○","起票済",IF(OR(AG502="○",F502="一致",F502="入金不要"),"入金確認済","受領済"))))</f>
        <v>未受領</v>
      </c>
      <c r="D502" s="10" t="str">
        <f aca="false">IF(OR(G502="",G502="なし"),"―",IF(CH502="N","対象外",IF(AND(I502="",J502="",K502=""),"標報未入力",IF(CD502&gt;=設定!$B$4,"要確認","問題なし"))))</f>
        <v>―</v>
      </c>
      <c r="E502" s="24" t="str">
        <f aca="false">IF(OR(G502="",G502="なし",CE502="",CF502=0),"―",IF(CF502=CE502,"前月同額",IF(CE502=0,"―",IF(ABS(CF502/CE502-1)&gt;=設定!$B$5,"変動大 "&amp;TEXT(CF502/CE502-1,"+0%;-0%"),"〇"))))</f>
        <v>―</v>
      </c>
      <c r="F502" s="10" t="str">
        <f aca="false">IF(OR(G502="",G502="なし"),"―",IF(CF502=0,"入金不要",IF(COUNT(Z502,AB502,AD502,AF502)=0,IF(AG502="○","手動確認","未入金"),IF(AND(N(Z502)=Y502,IF(AA502="",TRUE(),N(AB502)=AA502),IF(AC502="",TRUE(),N(AD502)=AC502),IF(AE502="",TRUE(),N(AF502)=AE502)),"一致","不一致"))))</f>
        <v>―</v>
      </c>
      <c r="G502" s="25"/>
      <c r="H502" s="26"/>
      <c r="I502" s="27"/>
      <c r="J502" s="27"/>
      <c r="K502" s="27"/>
      <c r="L502" s="27"/>
      <c r="M502" s="27"/>
      <c r="N502" s="27"/>
      <c r="O502" s="27"/>
      <c r="P502" s="27"/>
      <c r="Q502" s="27"/>
      <c r="R502" s="27"/>
      <c r="S502" s="27"/>
      <c r="T502" s="27"/>
      <c r="U502" s="27"/>
      <c r="V502" s="27"/>
      <c r="W502" s="10" t="str">
        <f aca="false">IFERROR(INDEX(設定!$E$61:$E$106,MATCH(B502,設定!$B$61:$B$106,0)),"合算")</f>
        <v>合算</v>
      </c>
      <c r="X502" s="28"/>
      <c r="Y502" s="29" t="str">
        <f aca="false">IF(OR(G502="",G502="なし"),"",IF(W502="合算",CF502,IF(W502="掛金・負担金別",(AU502+AV502+AZ502+BB502+BD502),SUM(AU502:AY502))))</f>
        <v/>
      </c>
      <c r="Z502" s="27"/>
      <c r="AA502" s="29" t="str">
        <f aca="false">IF(OR(G502="",G502="なし"),"",IF(W502="掛金・負担金別",(AW502+AX502+AY502+BA502+BC502+BE502),IF(W502="経理区分別",AZ502+BA502,"")))</f>
        <v/>
      </c>
      <c r="AB502" s="27"/>
      <c r="AC502" s="29" t="str">
        <f aca="false">IF(OR(G502="",G502="なし"),"",IF(W502="経理区分別",BB502+BC502,""))</f>
        <v/>
      </c>
      <c r="AD502" s="27"/>
      <c r="AE502" s="29" t="str">
        <f aca="false">IF(OR(G502="",G502="なし"),"",IF(W502="経理区分別",BD502+BE502,""))</f>
        <v/>
      </c>
      <c r="AF502" s="27"/>
      <c r="AG502" s="26"/>
      <c r="AH502" s="26"/>
      <c r="AI502" s="30"/>
      <c r="AJ502" s="31" t="n">
        <v>123464885</v>
      </c>
      <c r="AK502" s="31" t="n">
        <v>10128923</v>
      </c>
      <c r="AL502" s="31" t="n">
        <v>182815225</v>
      </c>
      <c r="AM502" s="31" t="n">
        <v>10128923</v>
      </c>
      <c r="AN502" s="31" t="n">
        <v>134171</v>
      </c>
      <c r="AO502" s="31" t="n">
        <v>96185407</v>
      </c>
      <c r="AP502" s="31" t="n">
        <v>96373091</v>
      </c>
      <c r="AQ502" s="31" t="n">
        <v>7782472</v>
      </c>
      <c r="AR502" s="31" t="n">
        <v>7782472</v>
      </c>
      <c r="AS502" s="31" t="n">
        <v>1</v>
      </c>
      <c r="AT502" s="31" t="n">
        <v>1</v>
      </c>
      <c r="AU502" s="31" t="n">
        <f aca="false">IF($G502="",AJ502,L502)</f>
        <v>123464885</v>
      </c>
      <c r="AV502" s="31" t="n">
        <f aca="false">IF($G502="",AK502,M502)</f>
        <v>10128923</v>
      </c>
      <c r="AW502" s="31" t="n">
        <f aca="false">IF($G502="",AL502,N502)</f>
        <v>182815225</v>
      </c>
      <c r="AX502" s="31" t="n">
        <f aca="false">IF($G502="",AM502,O502)</f>
        <v>10128923</v>
      </c>
      <c r="AY502" s="31" t="n">
        <f aca="false">IF($G502="",AN502,P502)</f>
        <v>134171</v>
      </c>
      <c r="AZ502" s="31" t="n">
        <f aca="false">IF($G502="",AO502,Q502)</f>
        <v>96185407</v>
      </c>
      <c r="BA502" s="31" t="n">
        <f aca="false">IF($G502="",AP502,R502)</f>
        <v>96373091</v>
      </c>
      <c r="BB502" s="31" t="n">
        <f aca="false">IF($G502="",AQ502,S502)</f>
        <v>7782472</v>
      </c>
      <c r="BC502" s="31" t="n">
        <f aca="false">IF($G502="",AR502,T502)</f>
        <v>7782472</v>
      </c>
      <c r="BD502" s="31" t="n">
        <f aca="false">IF($G502="",AS502,U502)</f>
        <v>1</v>
      </c>
      <c r="BE502" s="31" t="n">
        <f aca="false">IF($G502="",AT502,V502)</f>
        <v>1</v>
      </c>
      <c r="BF502" s="31" t="n">
        <f aca="false">ROUNDDOWN(I502*設定!$B$10/1000,0)+ROUNDDOWN(I502*設定!$B$11/1000,0)</f>
        <v>0</v>
      </c>
      <c r="BG502" s="31" t="n">
        <f aca="false">ROUNDDOWN(I502*設定!$C$10/1000,0)+ROUNDDOWN(I502*設定!$C$11/1000,0)+ROUNDDOWN(I502*設定!$C$12/1000,0)</f>
        <v>0</v>
      </c>
      <c r="BH502" s="31" t="n">
        <f aca="false">ROUNDDOWN(J502*設定!$B$13/1000,0)</f>
        <v>0</v>
      </c>
      <c r="BI502" s="31" t="n">
        <f aca="false">ROUNDDOWN(J502*設定!$C$13/1000,0)</f>
        <v>0</v>
      </c>
      <c r="BJ502" s="31" t="n">
        <f aca="false">ROUNDDOWN(K502*設定!$B$14/1000,0)</f>
        <v>0</v>
      </c>
      <c r="BK502" s="31" t="n">
        <f aca="false">ROUNDDOWN(K502*設定!$C$14/1000,0)</f>
        <v>0</v>
      </c>
      <c r="BL502" s="31" t="n">
        <f aca="false">ROUNDDOWN(J502*設定!$B$15/1000,0)</f>
        <v>0</v>
      </c>
      <c r="BM502" s="31" t="n">
        <f aca="false">ROUNDDOWN(J502*設定!$C$15/1000,0)</f>
        <v>0</v>
      </c>
      <c r="BN502" s="31" t="n">
        <f aca="false">L502+M502</f>
        <v>0</v>
      </c>
      <c r="BO502" s="31" t="n">
        <f aca="false">N502+O502+P502</f>
        <v>0</v>
      </c>
      <c r="BP502" s="31" t="n">
        <f aca="false">Q502</f>
        <v>0</v>
      </c>
      <c r="BQ502" s="31" t="n">
        <f aca="false">R502</f>
        <v>0</v>
      </c>
      <c r="BR502" s="31" t="n">
        <f aca="false">S502</f>
        <v>0</v>
      </c>
      <c r="BS502" s="31" t="n">
        <f aca="false">T502</f>
        <v>0</v>
      </c>
      <c r="BT502" s="31" t="n">
        <f aca="false">U502</f>
        <v>0</v>
      </c>
      <c r="BU502" s="31" t="n">
        <f aca="false">V502</f>
        <v>0</v>
      </c>
      <c r="BV502" s="32" t="n">
        <f aca="false">IF(BF502=0,IF(BN502=0,0,1),(BN502-BF502)/BF502)</f>
        <v>0</v>
      </c>
      <c r="BW502" s="32" t="n">
        <f aca="false">IF(BG502=0,IF(BO502=0,0,1),(BO502-BG502)/BG502)</f>
        <v>0</v>
      </c>
      <c r="BX502" s="32" t="n">
        <f aca="false">IF(BH502=0,IF(BP502=0,0,1),(BP502-BH502)/BH502)</f>
        <v>0</v>
      </c>
      <c r="BY502" s="32" t="n">
        <f aca="false">IF(BI502=0,IF(BQ502=0,0,1),(BQ502-BI502)/BI502)</f>
        <v>0</v>
      </c>
      <c r="BZ502" s="32" t="n">
        <f aca="false">IF(BJ502=0,IF(BR502=0,0,1),(BR502-BJ502)/BJ502)</f>
        <v>0</v>
      </c>
      <c r="CA502" s="32" t="n">
        <f aca="false">IF(BK502=0,IF(BS502=0,0,1),(BS502-BK502)/BK502)</f>
        <v>0</v>
      </c>
      <c r="CB502" s="32" t="n">
        <f aca="false">IF(BL502=0,IF(BT502=0,0,1),(BT502-BL502)/BL502)</f>
        <v>0</v>
      </c>
      <c r="CC502" s="32" t="n">
        <f aca="false">IF(BM502=0,IF(BU502=0,0,1),(BU502-BM502)/BM502)</f>
        <v>0</v>
      </c>
      <c r="CD502" s="32" t="n">
        <f aca="false">MAX(MAX(BV502:CC502),-MIN(BV502:CC502))</f>
        <v>-0</v>
      </c>
      <c r="CE502" s="31" t="n">
        <f aca="false">IF(CI502="","",SUMIFS($CF$7:$CF$696,$A$7:$A$696,CI502,$B$7:$B$696,B502))</f>
        <v>535844636</v>
      </c>
      <c r="CF502" s="31" t="n">
        <f aca="false">SUM(AU502:BE502)</f>
        <v>534795571</v>
      </c>
      <c r="CG502" s="33" t="str">
        <f aca="false">A502&amp;"|"&amp;B502</f>
        <v>2026-12 月例|市立病院機構</v>
      </c>
      <c r="CH502" s="34" t="str">
        <f aca="false">IFERROR(INDEX(設定!$D$61:$D$106,MATCH(B502,設定!$B$61:$B$106,0)),"Y")</f>
        <v>N</v>
      </c>
      <c r="CI502" s="34" t="str">
        <f aca="false">IFERROR(INDEX(設定!$D$20:$D$34,MATCH(A502,設定!$A$20:$A$34,0))&amp;"","")</f>
        <v>2026-11 月例</v>
      </c>
    </row>
    <row r="503" customFormat="false" ht="15" hidden="true" customHeight="false" outlineLevel="0" collapsed="false">
      <c r="A503" s="22" t="s">
        <v>218</v>
      </c>
      <c r="B503" s="23" t="s">
        <v>197</v>
      </c>
      <c r="C503" s="10" t="str">
        <f aca="false">IF(G503="","未受領",IF(G503="なし","報告なし",IF(AH503="○","起票済",IF(OR(AG503="○",F503="一致",F503="入金不要"),"入金確認済","受領済"))))</f>
        <v>未受領</v>
      </c>
      <c r="D503" s="10" t="str">
        <f aca="false">IF(OR(G503="",G503="なし"),"―",IF(CH503="N","対象外",IF(AND(I503="",J503="",K503=""),"標報未入力",IF(CD503&gt;=設定!$B$4,"要確認","問題なし"))))</f>
        <v>―</v>
      </c>
      <c r="E503" s="24" t="str">
        <f aca="false">IF(OR(G503="",G503="なし",CE503="",CF503=0),"―",IF(CF503=CE503,"前月同額",IF(CE503=0,"―",IF(ABS(CF503/CE503-1)&gt;=設定!$B$5,"変動大 "&amp;TEXT(CF503/CE503-1,"+0%;-0%"),"〇"))))</f>
        <v>―</v>
      </c>
      <c r="F503" s="10" t="str">
        <f aca="false">IF(OR(G503="",G503="なし"),"―",IF(CF503=0,"入金不要",IF(COUNT(Z503,AB503,AD503,AF503)=0,IF(AG503="○","手動確認","未入金"),IF(AND(N(Z503)=Y503,IF(AA503="",TRUE(),N(AB503)=AA503),IF(AC503="",TRUE(),N(AD503)=AC503),IF(AE503="",TRUE(),N(AF503)=AE503)),"一致","不一致"))))</f>
        <v>―</v>
      </c>
      <c r="G503" s="25"/>
      <c r="H503" s="26"/>
      <c r="I503" s="27"/>
      <c r="J503" s="27"/>
      <c r="K503" s="27"/>
      <c r="L503" s="27"/>
      <c r="M503" s="27"/>
      <c r="N503" s="27"/>
      <c r="O503" s="27"/>
      <c r="P503" s="27"/>
      <c r="Q503" s="27"/>
      <c r="R503" s="27"/>
      <c r="S503" s="27"/>
      <c r="T503" s="27"/>
      <c r="U503" s="27"/>
      <c r="V503" s="27"/>
      <c r="W503" s="10" t="str">
        <f aca="false">IFERROR(INDEX(設定!$E$61:$E$106,MATCH(B503,設定!$B$61:$B$106,0)),"合算")</f>
        <v>合算</v>
      </c>
      <c r="X503" s="28"/>
      <c r="Y503" s="29" t="str">
        <f aca="false">IF(OR(G503="",G503="なし"),"",IF(W503="合算",CF503,IF(W503="掛金・負担金別",(AU503+AV503+AZ503+BB503+BD503),SUM(AU503:AY503))))</f>
        <v/>
      </c>
      <c r="Z503" s="27"/>
      <c r="AA503" s="29" t="str">
        <f aca="false">IF(OR(G503="",G503="なし"),"",IF(W503="掛金・負担金別",(AW503+AX503+AY503+BA503+BC503+BE503),IF(W503="経理区分別",AZ503+BA503,"")))</f>
        <v/>
      </c>
      <c r="AB503" s="27"/>
      <c r="AC503" s="29" t="str">
        <f aca="false">IF(OR(G503="",G503="なし"),"",IF(W503="経理区分別",BB503+BC503,""))</f>
        <v/>
      </c>
      <c r="AD503" s="27"/>
      <c r="AE503" s="29" t="str">
        <f aca="false">IF(OR(G503="",G503="なし"),"",IF(W503="経理区分別",BD503+BE503,""))</f>
        <v/>
      </c>
      <c r="AF503" s="27"/>
      <c r="AG503" s="26"/>
      <c r="AH503" s="26"/>
      <c r="AI503" s="30"/>
      <c r="AJ503" s="31"/>
      <c r="AK503" s="31"/>
      <c r="AL503" s="31"/>
      <c r="AM503" s="31"/>
      <c r="AN503" s="31"/>
      <c r="AO503" s="31" t="n">
        <v>108364</v>
      </c>
      <c r="AP503" s="31" t="n">
        <v>108566</v>
      </c>
      <c r="AQ503" s="31" t="n">
        <v>12245</v>
      </c>
      <c r="AR503" s="31" t="n">
        <v>12245</v>
      </c>
      <c r="AS503" s="31" t="n">
        <v>1</v>
      </c>
      <c r="AT503" s="31" t="n">
        <v>1</v>
      </c>
      <c r="AU503" s="31" t="n">
        <f aca="false">IF($G503="",AJ503,L503)</f>
        <v>0</v>
      </c>
      <c r="AV503" s="31" t="n">
        <f aca="false">IF($G503="",AK503,M503)</f>
        <v>0</v>
      </c>
      <c r="AW503" s="31" t="n">
        <f aca="false">IF($G503="",AL503,N503)</f>
        <v>0</v>
      </c>
      <c r="AX503" s="31" t="n">
        <f aca="false">IF($G503="",AM503,O503)</f>
        <v>0</v>
      </c>
      <c r="AY503" s="31" t="n">
        <f aca="false">IF($G503="",AN503,P503)</f>
        <v>0</v>
      </c>
      <c r="AZ503" s="31" t="n">
        <f aca="false">IF($G503="",AO503,Q503)</f>
        <v>108364</v>
      </c>
      <c r="BA503" s="31" t="n">
        <f aca="false">IF($G503="",AP503,R503)</f>
        <v>108566</v>
      </c>
      <c r="BB503" s="31" t="n">
        <f aca="false">IF($G503="",AQ503,S503)</f>
        <v>12245</v>
      </c>
      <c r="BC503" s="31" t="n">
        <f aca="false">IF($G503="",AR503,T503)</f>
        <v>12245</v>
      </c>
      <c r="BD503" s="31" t="n">
        <f aca="false">IF($G503="",AS503,U503)</f>
        <v>1</v>
      </c>
      <c r="BE503" s="31" t="n">
        <f aca="false">IF($G503="",AT503,V503)</f>
        <v>1</v>
      </c>
      <c r="BF503" s="31" t="n">
        <f aca="false">ROUNDDOWN(I503*設定!$B$10/1000,0)+ROUNDDOWN(I503*設定!$B$11/1000,0)</f>
        <v>0</v>
      </c>
      <c r="BG503" s="31" t="n">
        <f aca="false">ROUNDDOWN(I503*設定!$C$10/1000,0)+ROUNDDOWN(I503*設定!$C$11/1000,0)+ROUNDDOWN(I503*設定!$C$12/1000,0)</f>
        <v>0</v>
      </c>
      <c r="BH503" s="31" t="n">
        <f aca="false">ROUNDDOWN(J503*設定!$B$13/1000,0)</f>
        <v>0</v>
      </c>
      <c r="BI503" s="31" t="n">
        <f aca="false">ROUNDDOWN(J503*設定!$C$13/1000,0)</f>
        <v>0</v>
      </c>
      <c r="BJ503" s="31" t="n">
        <f aca="false">ROUNDDOWN(K503*設定!$B$14/1000,0)</f>
        <v>0</v>
      </c>
      <c r="BK503" s="31" t="n">
        <f aca="false">ROUNDDOWN(K503*設定!$C$14/1000,0)</f>
        <v>0</v>
      </c>
      <c r="BL503" s="31" t="n">
        <f aca="false">ROUNDDOWN(J503*設定!$B$15/1000,0)</f>
        <v>0</v>
      </c>
      <c r="BM503" s="31" t="n">
        <f aca="false">ROUNDDOWN(J503*設定!$C$15/1000,0)</f>
        <v>0</v>
      </c>
      <c r="BN503" s="31" t="n">
        <f aca="false">L503+M503</f>
        <v>0</v>
      </c>
      <c r="BO503" s="31" t="n">
        <f aca="false">N503+O503+P503</f>
        <v>0</v>
      </c>
      <c r="BP503" s="31" t="n">
        <f aca="false">Q503</f>
        <v>0</v>
      </c>
      <c r="BQ503" s="31" t="n">
        <f aca="false">R503</f>
        <v>0</v>
      </c>
      <c r="BR503" s="31" t="n">
        <f aca="false">S503</f>
        <v>0</v>
      </c>
      <c r="BS503" s="31" t="n">
        <f aca="false">T503</f>
        <v>0</v>
      </c>
      <c r="BT503" s="31" t="n">
        <f aca="false">U503</f>
        <v>0</v>
      </c>
      <c r="BU503" s="31" t="n">
        <f aca="false">V503</f>
        <v>0</v>
      </c>
      <c r="BV503" s="32" t="n">
        <f aca="false">IF(BF503=0,IF(BN503=0,0,1),(BN503-BF503)/BF503)</f>
        <v>0</v>
      </c>
      <c r="BW503" s="32" t="n">
        <f aca="false">IF(BG503=0,IF(BO503=0,0,1),(BO503-BG503)/BG503)</f>
        <v>0</v>
      </c>
      <c r="BX503" s="32" t="n">
        <f aca="false">IF(BH503=0,IF(BP503=0,0,1),(BP503-BH503)/BH503)</f>
        <v>0</v>
      </c>
      <c r="BY503" s="32" t="n">
        <f aca="false">IF(BI503=0,IF(BQ503=0,0,1),(BQ503-BI503)/BI503)</f>
        <v>0</v>
      </c>
      <c r="BZ503" s="32" t="n">
        <f aca="false">IF(BJ503=0,IF(BR503=0,0,1),(BR503-BJ503)/BJ503)</f>
        <v>0</v>
      </c>
      <c r="CA503" s="32" t="n">
        <f aca="false">IF(BK503=0,IF(BS503=0,0,1),(BS503-BK503)/BK503)</f>
        <v>0</v>
      </c>
      <c r="CB503" s="32" t="n">
        <f aca="false">IF(BL503=0,IF(BT503=0,0,1),(BT503-BL503)/BL503)</f>
        <v>0</v>
      </c>
      <c r="CC503" s="32" t="n">
        <f aca="false">IF(BM503=0,IF(BU503=0,0,1),(BU503-BM503)/BM503)</f>
        <v>0</v>
      </c>
      <c r="CD503" s="32" t="n">
        <f aca="false">MAX(MAX(BV503:CC503),-MIN(BV503:CC503))</f>
        <v>-0</v>
      </c>
      <c r="CE503" s="31" t="n">
        <f aca="false">IF(CI503="","",SUMIFS($CF$7:$CF$696,$A$7:$A$696,CI503,$B$7:$B$696,B503))</f>
        <v>264697</v>
      </c>
      <c r="CF503" s="31" t="n">
        <f aca="false">SUM(AU503:BE503)</f>
        <v>241422</v>
      </c>
      <c r="CG503" s="33" t="str">
        <f aca="false">A503&amp;"|"&amp;B503</f>
        <v>2026-12 月例|職員共済組合</v>
      </c>
      <c r="CH503" s="34" t="str">
        <f aca="false">IFERROR(INDEX(設定!$D$61:$D$106,MATCH(B503,設定!$B$61:$B$106,0)),"Y")</f>
        <v>Y</v>
      </c>
      <c r="CI503" s="34" t="str">
        <f aca="false">IFERROR(INDEX(設定!$D$20:$D$34,MATCH(A503,設定!$A$20:$A$34,0))&amp;"","")</f>
        <v>2026-11 月例</v>
      </c>
    </row>
    <row r="504" customFormat="false" ht="26.85" hidden="true" customHeight="false" outlineLevel="0" collapsed="false">
      <c r="A504" s="22" t="s">
        <v>218</v>
      </c>
      <c r="B504" s="35" t="s">
        <v>216</v>
      </c>
      <c r="C504" s="10" t="str">
        <f aca="false">IF(G504="","未受領",IF(G504="なし","報告なし",IF(AH504="○","起票済",IF(OR(AG504="○",F504="一致",F504="入金不要"),"入金確認済","受領済"))))</f>
        <v>報告なし</v>
      </c>
      <c r="D504" s="10" t="str">
        <f aca="false">IF(OR(G504="",G504="なし"),"―",IF(CH504="N","対象外",IF(AND(I504="",J504="",K504=""),"標報未入力",IF(CD504&gt;=設定!$B$4,"要確認","問題なし"))))</f>
        <v>―</v>
      </c>
      <c r="E504" s="24" t="str">
        <f aca="false">IF(OR(G504="",G504="なし",CE504="",CF504=0),"―",IF(CF504=CE504,"前月同額",IF(CE504=0,"―",IF(ABS(CF504/CE504-1)&gt;=設定!$B$5,"変動大 "&amp;TEXT(CF504/CE504-1,"+0%;-0%"),"〇"))))</f>
        <v>―</v>
      </c>
      <c r="F504" s="10" t="str">
        <f aca="false">IF(OR(G504="",G504="なし"),"―",IF(CF504=0,"入金不要",IF(COUNT(Z504,AB504,AD504,AF504)=0,IF(AG504="○","手動確認","未入金"),IF(AND(N(Z504)=Y504,IF(AA504="",TRUE(),N(AB504)=AA504),IF(AC504="",TRUE(),N(AD504)=AC504),IF(AE504="",TRUE(),N(AF504)=AE504)),"一致","不一致"))))</f>
        <v>―</v>
      </c>
      <c r="G504" s="25" t="s">
        <v>173</v>
      </c>
      <c r="H504" s="26"/>
      <c r="I504" s="27"/>
      <c r="J504" s="27"/>
      <c r="K504" s="27"/>
      <c r="L504" s="27"/>
      <c r="M504" s="27"/>
      <c r="N504" s="27"/>
      <c r="O504" s="27"/>
      <c r="P504" s="27"/>
      <c r="Q504" s="27"/>
      <c r="R504" s="27"/>
      <c r="S504" s="27"/>
      <c r="T504" s="27"/>
      <c r="U504" s="27"/>
      <c r="V504" s="27"/>
      <c r="W504" s="10" t="str">
        <f aca="false">IFERROR(INDEX(設定!$E$61:$E$106,MATCH(B504,設定!$B$61:$B$106,0)),"合算")</f>
        <v>合算</v>
      </c>
      <c r="X504" s="28"/>
      <c r="Y504" s="29" t="str">
        <f aca="false">IF(OR(G504="",G504="なし"),"",IF(W504="合算",CF504,IF(W504="掛金・負担金別",(AU504+AV504+AZ504+BB504+BD504),SUM(AU504:AY504))))</f>
        <v/>
      </c>
      <c r="Z504" s="27"/>
      <c r="AA504" s="29" t="str">
        <f aca="false">IF(OR(G504="",G504="なし"),"",IF(W504="掛金・負担金別",(AW504+AX504+AY504+BA504+BC504+BE504),IF(W504="経理区分別",AZ504+BA504,"")))</f>
        <v/>
      </c>
      <c r="AB504" s="27"/>
      <c r="AC504" s="29" t="str">
        <f aca="false">IF(OR(G504="",G504="なし"),"",IF(W504="経理区分別",BB504+BC504,""))</f>
        <v/>
      </c>
      <c r="AD504" s="27"/>
      <c r="AE504" s="29" t="str">
        <f aca="false">IF(OR(G504="",G504="なし"),"",IF(W504="経理区分別",BD504+BE504,""))</f>
        <v/>
      </c>
      <c r="AF504" s="27"/>
      <c r="AG504" s="26"/>
      <c r="AH504" s="26"/>
      <c r="AI504" s="30"/>
      <c r="AJ504" s="31"/>
      <c r="AK504" s="31"/>
      <c r="AL504" s="31"/>
      <c r="AM504" s="31"/>
      <c r="AN504" s="31"/>
      <c r="AO504" s="31"/>
      <c r="AP504" s="31"/>
      <c r="AQ504" s="31"/>
      <c r="AR504" s="31"/>
      <c r="AS504" s="31"/>
      <c r="AT504" s="31"/>
      <c r="AU504" s="31" t="n">
        <f aca="false">IF($G504="",AJ504,L504)</f>
        <v>0</v>
      </c>
      <c r="AV504" s="31" t="n">
        <f aca="false">IF($G504="",AK504,M504)</f>
        <v>0</v>
      </c>
      <c r="AW504" s="31" t="n">
        <f aca="false">IF($G504="",AL504,N504)</f>
        <v>0</v>
      </c>
      <c r="AX504" s="31" t="n">
        <f aca="false">IF($G504="",AM504,O504)</f>
        <v>0</v>
      </c>
      <c r="AY504" s="31" t="n">
        <f aca="false">IF($G504="",AN504,P504)</f>
        <v>0</v>
      </c>
      <c r="AZ504" s="31" t="n">
        <f aca="false">IF($G504="",AO504,Q504)</f>
        <v>0</v>
      </c>
      <c r="BA504" s="31" t="n">
        <f aca="false">IF($G504="",AP504,R504)</f>
        <v>0</v>
      </c>
      <c r="BB504" s="31" t="n">
        <f aca="false">IF($G504="",AQ504,S504)</f>
        <v>0</v>
      </c>
      <c r="BC504" s="31" t="n">
        <f aca="false">IF($G504="",AR504,T504)</f>
        <v>0</v>
      </c>
      <c r="BD504" s="31" t="n">
        <f aca="false">IF($G504="",AS504,U504)</f>
        <v>0</v>
      </c>
      <c r="BE504" s="31" t="n">
        <f aca="false">IF($G504="",AT504,V504)</f>
        <v>0</v>
      </c>
      <c r="BF504" s="31" t="n">
        <f aca="false">ROUNDDOWN(I504*設定!$B$10/1000,0)+ROUNDDOWN(I504*設定!$B$11/1000,0)</f>
        <v>0</v>
      </c>
      <c r="BG504" s="31" t="n">
        <f aca="false">ROUNDDOWN(I504*設定!$C$10/1000,0)+ROUNDDOWN(I504*設定!$C$11/1000,0)+ROUNDDOWN(I504*設定!$C$12/1000,0)</f>
        <v>0</v>
      </c>
      <c r="BH504" s="31" t="n">
        <f aca="false">ROUNDDOWN(J504*設定!$B$13/1000,0)</f>
        <v>0</v>
      </c>
      <c r="BI504" s="31" t="n">
        <f aca="false">ROUNDDOWN(J504*設定!$C$13/1000,0)</f>
        <v>0</v>
      </c>
      <c r="BJ504" s="31" t="n">
        <f aca="false">ROUNDDOWN(K504*設定!$B$14/1000,0)</f>
        <v>0</v>
      </c>
      <c r="BK504" s="31" t="n">
        <f aca="false">ROUNDDOWN(K504*設定!$C$14/1000,0)</f>
        <v>0</v>
      </c>
      <c r="BL504" s="31" t="n">
        <f aca="false">ROUNDDOWN(J504*設定!$B$15/1000,0)</f>
        <v>0</v>
      </c>
      <c r="BM504" s="31" t="n">
        <f aca="false">ROUNDDOWN(J504*設定!$C$15/1000,0)</f>
        <v>0</v>
      </c>
      <c r="BN504" s="31" t="n">
        <f aca="false">L504+M504</f>
        <v>0</v>
      </c>
      <c r="BO504" s="31" t="n">
        <f aca="false">N504+O504+P504</f>
        <v>0</v>
      </c>
      <c r="BP504" s="31" t="n">
        <f aca="false">Q504</f>
        <v>0</v>
      </c>
      <c r="BQ504" s="31" t="n">
        <f aca="false">R504</f>
        <v>0</v>
      </c>
      <c r="BR504" s="31" t="n">
        <f aca="false">S504</f>
        <v>0</v>
      </c>
      <c r="BS504" s="31" t="n">
        <f aca="false">T504</f>
        <v>0</v>
      </c>
      <c r="BT504" s="31" t="n">
        <f aca="false">U504</f>
        <v>0</v>
      </c>
      <c r="BU504" s="31" t="n">
        <f aca="false">V504</f>
        <v>0</v>
      </c>
      <c r="BV504" s="32" t="n">
        <f aca="false">IF(BF504=0,IF(BN504=0,0,1),(BN504-BF504)/BF504)</f>
        <v>0</v>
      </c>
      <c r="BW504" s="32" t="n">
        <f aca="false">IF(BG504=0,IF(BO504=0,0,1),(BO504-BG504)/BG504)</f>
        <v>0</v>
      </c>
      <c r="BX504" s="32" t="n">
        <f aca="false">IF(BH504=0,IF(BP504=0,0,1),(BP504-BH504)/BH504)</f>
        <v>0</v>
      </c>
      <c r="BY504" s="32" t="n">
        <f aca="false">IF(BI504=0,IF(BQ504=0,0,1),(BQ504-BI504)/BI504)</f>
        <v>0</v>
      </c>
      <c r="BZ504" s="32" t="n">
        <f aca="false">IF(BJ504=0,IF(BR504=0,0,1),(BR504-BJ504)/BJ504)</f>
        <v>0</v>
      </c>
      <c r="CA504" s="32" t="n">
        <f aca="false">IF(BK504=0,IF(BS504=0,0,1),(BS504-BK504)/BK504)</f>
        <v>0</v>
      </c>
      <c r="CB504" s="32" t="n">
        <f aca="false">IF(BL504=0,IF(BT504=0,0,1),(BT504-BL504)/BL504)</f>
        <v>0</v>
      </c>
      <c r="CC504" s="32" t="n">
        <f aca="false">IF(BM504=0,IF(BU504=0,0,1),(BU504-BM504)/BM504)</f>
        <v>0</v>
      </c>
      <c r="CD504" s="32" t="n">
        <f aca="false">MAX(MAX(BV504:CC504),-MIN(BV504:CC504))</f>
        <v>-0</v>
      </c>
      <c r="CE504" s="31" t="n">
        <f aca="false">IF(CI504="","",SUMIFS($CF$7:$CF$696,$A$7:$A$696,CI504,$B$7:$B$696,B504))</f>
        <v>0</v>
      </c>
      <c r="CF504" s="31" t="n">
        <f aca="false">SUM(AU504:BE504)</f>
        <v>0</v>
      </c>
      <c r="CG504" s="36" t="str">
        <f aca="false">A504&amp;"|"&amp;B504</f>
        <v>2026-12 月例|地方公共団体
情報システム機構</v>
      </c>
      <c r="CH504" s="34" t="str">
        <f aca="false">IFERROR(INDEX(設定!$D$61:$D$106,MATCH(B504,設定!$B$61:$B$106,0)),"Y")</f>
        <v>Y</v>
      </c>
      <c r="CI504" s="34" t="str">
        <f aca="false">IFERROR(INDEX(設定!$D$20:$D$34,MATCH(A504,設定!$A$20:$A$34,0))&amp;"","")</f>
        <v>2026-11 月例</v>
      </c>
    </row>
    <row r="505" customFormat="false" ht="15" hidden="true" customHeight="false" outlineLevel="0" collapsed="false">
      <c r="A505" s="22" t="s">
        <v>218</v>
      </c>
      <c r="B505" s="23" t="s">
        <v>199</v>
      </c>
      <c r="C505" s="10" t="str">
        <f aca="false">IF(G505="","未受領",IF(G505="なし","報告なし",IF(AH505="○","起票済",IF(OR(AG505="○",F505="一致",F505="入金不要"),"入金確認済","受領済"))))</f>
        <v>未受領</v>
      </c>
      <c r="D505" s="10" t="str">
        <f aca="false">IF(OR(G505="",G505="なし"),"―",IF(CH505="N","対象外",IF(AND(I505="",J505="",K505=""),"標報未入力",IF(CD505&gt;=設定!$B$4,"要確認","問題なし"))))</f>
        <v>―</v>
      </c>
      <c r="E505" s="24" t="str">
        <f aca="false">IF(OR(G505="",G505="なし",CE505="",CF505=0),"―",IF(CF505=CE505,"前月同額",IF(CE505=0,"―",IF(ABS(CF505/CE505-1)&gt;=設定!$B$5,"変動大 "&amp;TEXT(CF505/CE505-1,"+0%;-0%"),"〇"))))</f>
        <v>―</v>
      </c>
      <c r="F505" s="10" t="str">
        <f aca="false">IF(OR(G505="",G505="なし"),"―",IF(CF505=0,"入金不要",IF(COUNT(Z505,AB505,AD505,AF505)=0,IF(AG505="○","手動確認","未入金"),IF(AND(N(Z505)=Y505,IF(AA505="",TRUE(),N(AB505)=AA505),IF(AC505="",TRUE(),N(AD505)=AC505),IF(AE505="",TRUE(),N(AF505)=AE505)),"一致","不一致"))))</f>
        <v>―</v>
      </c>
      <c r="G505" s="25"/>
      <c r="H505" s="26"/>
      <c r="I505" s="27"/>
      <c r="J505" s="27"/>
      <c r="K505" s="27"/>
      <c r="L505" s="27"/>
      <c r="M505" s="27"/>
      <c r="N505" s="27"/>
      <c r="O505" s="27"/>
      <c r="P505" s="27"/>
      <c r="Q505" s="27"/>
      <c r="R505" s="27"/>
      <c r="S505" s="27"/>
      <c r="T505" s="27"/>
      <c r="U505" s="27"/>
      <c r="V505" s="27"/>
      <c r="W505" s="10" t="str">
        <f aca="false">IFERROR(INDEX(設定!$E$61:$E$106,MATCH(B505,設定!$B$61:$B$106,0)),"合算")</f>
        <v>合算</v>
      </c>
      <c r="X505" s="28"/>
      <c r="Y505" s="29" t="str">
        <f aca="false">IF(OR(G505="",G505="なし"),"",IF(W505="合算",CF505,IF(W505="掛金・負担金別",(AU505+AV505+AZ505+BB505+BD505),SUM(AU505:AY505))))</f>
        <v/>
      </c>
      <c r="Z505" s="27"/>
      <c r="AA505" s="29" t="str">
        <f aca="false">IF(OR(G505="",G505="なし"),"",IF(W505="掛金・負担金別",(AW505+AX505+AY505+BA505+BC505+BE505),IF(W505="経理区分別",AZ505+BA505,"")))</f>
        <v/>
      </c>
      <c r="AB505" s="27"/>
      <c r="AC505" s="29" t="str">
        <f aca="false">IF(OR(G505="",G505="なし"),"",IF(W505="経理区分別",BB505+BC505,""))</f>
        <v/>
      </c>
      <c r="AD505" s="27"/>
      <c r="AE505" s="29" t="str">
        <f aca="false">IF(OR(G505="",G505="なし"),"",IF(W505="経理区分別",BD505+BE505,""))</f>
        <v/>
      </c>
      <c r="AF505" s="27"/>
      <c r="AG505" s="26"/>
      <c r="AH505" s="26"/>
      <c r="AI505" s="30"/>
      <c r="AJ505" s="31" t="n">
        <v>59475</v>
      </c>
      <c r="AK505" s="31" t="n">
        <v>4875</v>
      </c>
      <c r="AL505" s="31" t="n">
        <v>59475</v>
      </c>
      <c r="AM505" s="31" t="n">
        <v>4875</v>
      </c>
      <c r="AN505" s="31" t="n">
        <v>61</v>
      </c>
      <c r="AO505" s="31" t="n">
        <v>41257</v>
      </c>
      <c r="AP505" s="31" t="n">
        <v>41332</v>
      </c>
      <c r="AQ505" s="31" t="n">
        <v>5925</v>
      </c>
      <c r="AR505" s="31" t="n">
        <v>5925</v>
      </c>
      <c r="AS505" s="31" t="n">
        <v>1</v>
      </c>
      <c r="AT505" s="31" t="n">
        <v>1</v>
      </c>
      <c r="AU505" s="31" t="n">
        <f aca="false">IF($G505="",AJ505,L505)</f>
        <v>59475</v>
      </c>
      <c r="AV505" s="31" t="n">
        <f aca="false">IF($G505="",AK505,M505)</f>
        <v>4875</v>
      </c>
      <c r="AW505" s="31" t="n">
        <f aca="false">IF($G505="",AL505,N505)</f>
        <v>59475</v>
      </c>
      <c r="AX505" s="31" t="n">
        <f aca="false">IF($G505="",AM505,O505)</f>
        <v>4875</v>
      </c>
      <c r="AY505" s="31" t="n">
        <f aca="false">IF($G505="",AN505,P505)</f>
        <v>61</v>
      </c>
      <c r="AZ505" s="31" t="n">
        <f aca="false">IF($G505="",AO505,Q505)</f>
        <v>41257</v>
      </c>
      <c r="BA505" s="31" t="n">
        <f aca="false">IF($G505="",AP505,R505)</f>
        <v>41332</v>
      </c>
      <c r="BB505" s="31" t="n">
        <f aca="false">IF($G505="",AQ505,S505)</f>
        <v>5925</v>
      </c>
      <c r="BC505" s="31" t="n">
        <f aca="false">IF($G505="",AR505,T505)</f>
        <v>5925</v>
      </c>
      <c r="BD505" s="31" t="n">
        <f aca="false">IF($G505="",AS505,U505)</f>
        <v>1</v>
      </c>
      <c r="BE505" s="31" t="n">
        <f aca="false">IF($G505="",AT505,V505)</f>
        <v>1</v>
      </c>
      <c r="BF505" s="31" t="n">
        <f aca="false">ROUNDDOWN(I505*設定!$B$10/1000,0)+ROUNDDOWN(I505*設定!$B$11/1000,0)</f>
        <v>0</v>
      </c>
      <c r="BG505" s="31" t="n">
        <f aca="false">ROUNDDOWN(I505*設定!$C$10/1000,0)+ROUNDDOWN(I505*設定!$C$11/1000,0)+ROUNDDOWN(I505*設定!$C$12/1000,0)</f>
        <v>0</v>
      </c>
      <c r="BH505" s="31" t="n">
        <f aca="false">ROUNDDOWN(J505*設定!$B$13/1000,0)</f>
        <v>0</v>
      </c>
      <c r="BI505" s="31" t="n">
        <f aca="false">ROUNDDOWN(J505*設定!$C$13/1000,0)</f>
        <v>0</v>
      </c>
      <c r="BJ505" s="31" t="n">
        <f aca="false">ROUNDDOWN(K505*設定!$B$14/1000,0)</f>
        <v>0</v>
      </c>
      <c r="BK505" s="31" t="n">
        <f aca="false">ROUNDDOWN(K505*設定!$C$14/1000,0)</f>
        <v>0</v>
      </c>
      <c r="BL505" s="31" t="n">
        <f aca="false">ROUNDDOWN(J505*設定!$B$15/1000,0)</f>
        <v>0</v>
      </c>
      <c r="BM505" s="31" t="n">
        <f aca="false">ROUNDDOWN(J505*設定!$C$15/1000,0)</f>
        <v>0</v>
      </c>
      <c r="BN505" s="31" t="n">
        <f aca="false">L505+M505</f>
        <v>0</v>
      </c>
      <c r="BO505" s="31" t="n">
        <f aca="false">N505+O505+P505</f>
        <v>0</v>
      </c>
      <c r="BP505" s="31" t="n">
        <f aca="false">Q505</f>
        <v>0</v>
      </c>
      <c r="BQ505" s="31" t="n">
        <f aca="false">R505</f>
        <v>0</v>
      </c>
      <c r="BR505" s="31" t="n">
        <f aca="false">S505</f>
        <v>0</v>
      </c>
      <c r="BS505" s="31" t="n">
        <f aca="false">T505</f>
        <v>0</v>
      </c>
      <c r="BT505" s="31" t="n">
        <f aca="false">U505</f>
        <v>0</v>
      </c>
      <c r="BU505" s="31" t="n">
        <f aca="false">V505</f>
        <v>0</v>
      </c>
      <c r="BV505" s="32" t="n">
        <f aca="false">IF(BF505=0,IF(BN505=0,0,1),(BN505-BF505)/BF505)</f>
        <v>0</v>
      </c>
      <c r="BW505" s="32" t="n">
        <f aca="false">IF(BG505=0,IF(BO505=0,0,1),(BO505-BG505)/BG505)</f>
        <v>0</v>
      </c>
      <c r="BX505" s="32" t="n">
        <f aca="false">IF(BH505=0,IF(BP505=0,0,1),(BP505-BH505)/BH505)</f>
        <v>0</v>
      </c>
      <c r="BY505" s="32" t="n">
        <f aca="false">IF(BI505=0,IF(BQ505=0,0,1),(BQ505-BI505)/BI505)</f>
        <v>0</v>
      </c>
      <c r="BZ505" s="32" t="n">
        <f aca="false">IF(BJ505=0,IF(BR505=0,0,1),(BR505-BJ505)/BJ505)</f>
        <v>0</v>
      </c>
      <c r="CA505" s="32" t="n">
        <f aca="false">IF(BK505=0,IF(BS505=0,0,1),(BS505-BK505)/BK505)</f>
        <v>0</v>
      </c>
      <c r="CB505" s="32" t="n">
        <f aca="false">IF(BL505=0,IF(BT505=0,0,1),(BT505-BL505)/BL505)</f>
        <v>0</v>
      </c>
      <c r="CC505" s="32" t="n">
        <f aca="false">IF(BM505=0,IF(BU505=0,0,1),(BU505-BM505)/BM505)</f>
        <v>0</v>
      </c>
      <c r="CD505" s="32" t="n">
        <f aca="false">MAX(MAX(BV505:CC505),-MIN(BV505:CC505))</f>
        <v>-0</v>
      </c>
      <c r="CE505" s="31" t="n">
        <f aca="false">IF(CI505="","",SUMIFS($CF$7:$CF$696,$A$7:$A$696,CI505,$B$7:$B$696,B505))</f>
        <v>223202</v>
      </c>
      <c r="CF505" s="31" t="n">
        <f aca="false">SUM(AU505:BE505)</f>
        <v>223202</v>
      </c>
      <c r="CG505" s="33" t="str">
        <f aca="false">A505&amp;"|"&amp;B505</f>
        <v>2026-12 月例|全国市長会</v>
      </c>
      <c r="CH505" s="34" t="str">
        <f aca="false">IFERROR(INDEX(設定!$D$61:$D$106,MATCH(B505,設定!$B$61:$B$106,0)),"Y")</f>
        <v>Y</v>
      </c>
      <c r="CI505" s="34" t="str">
        <f aca="false">IFERROR(INDEX(設定!$D$20:$D$34,MATCH(A505,設定!$A$20:$A$34,0))&amp;"","")</f>
        <v>2026-11 月例</v>
      </c>
    </row>
    <row r="506" customFormat="false" ht="15" hidden="true" customHeight="false" outlineLevel="0" collapsed="false">
      <c r="A506" s="22" t="s">
        <v>218</v>
      </c>
      <c r="B506" s="23" t="s">
        <v>200</v>
      </c>
      <c r="C506" s="10" t="str">
        <f aca="false">IF(G506="","未受領",IF(G506="なし","報告なし",IF(AH506="○","起票済",IF(OR(AG506="○",F506="一致",F506="入金不要"),"入金確認済","受領済"))))</f>
        <v>未受領</v>
      </c>
      <c r="D506" s="10" t="str">
        <f aca="false">IF(OR(G506="",G506="なし"),"―",IF(CH506="N","対象外",IF(AND(I506="",J506="",K506=""),"標報未入力",IF(CD506&gt;=設定!$B$4,"要確認","問題なし"))))</f>
        <v>―</v>
      </c>
      <c r="E506" s="24" t="str">
        <f aca="false">IF(OR(G506="",G506="なし",CE506="",CF506=0),"―",IF(CF506=CE506,"前月同額",IF(CE506=0,"―",IF(ABS(CF506/CE506-1)&gt;=設定!$B$5,"変動大 "&amp;TEXT(CF506/CE506-1,"+0%;-0%"),"〇"))))</f>
        <v>―</v>
      </c>
      <c r="F506" s="10" t="str">
        <f aca="false">IF(OR(G506="",G506="なし"),"―",IF(CF506=0,"入金不要",IF(COUNT(Z506,AB506,AD506,AF506)=0,IF(AG506="○","手動確認","未入金"),IF(AND(N(Z506)=Y506,IF(AA506="",TRUE(),N(AB506)=AA506),IF(AC506="",TRUE(),N(AD506)=AC506),IF(AE506="",TRUE(),N(AF506)=AE506)),"一致","不一致"))))</f>
        <v>―</v>
      </c>
      <c r="G506" s="25"/>
      <c r="H506" s="26"/>
      <c r="I506" s="27"/>
      <c r="J506" s="27"/>
      <c r="K506" s="27"/>
      <c r="L506" s="27"/>
      <c r="M506" s="27"/>
      <c r="N506" s="27"/>
      <c r="O506" s="27"/>
      <c r="P506" s="27"/>
      <c r="Q506" s="27"/>
      <c r="R506" s="27"/>
      <c r="S506" s="27"/>
      <c r="T506" s="27"/>
      <c r="U506" s="27"/>
      <c r="V506" s="27"/>
      <c r="W506" s="10" t="str">
        <f aca="false">IFERROR(INDEX(設定!$E$61:$E$106,MATCH(B506,設定!$B$61:$B$106,0)),"合算")</f>
        <v>合算</v>
      </c>
      <c r="X506" s="28"/>
      <c r="Y506" s="29" t="str">
        <f aca="false">IF(OR(G506="",G506="なし"),"",IF(W506="合算",CF506,IF(W506="掛金・負担金別",(AU506+AV506+AZ506+BB506+BD506),SUM(AU506:AY506))))</f>
        <v/>
      </c>
      <c r="Z506" s="27"/>
      <c r="AA506" s="29" t="str">
        <f aca="false">IF(OR(G506="",G506="なし"),"",IF(W506="掛金・負担金別",(AW506+AX506+AY506+BA506+BC506+BE506),IF(W506="経理区分別",AZ506+BA506,"")))</f>
        <v/>
      </c>
      <c r="AB506" s="27"/>
      <c r="AC506" s="29" t="str">
        <f aca="false">IF(OR(G506="",G506="なし"),"",IF(W506="経理区分別",BB506+BC506,""))</f>
        <v/>
      </c>
      <c r="AD506" s="27"/>
      <c r="AE506" s="29" t="str">
        <f aca="false">IF(OR(G506="",G506="なし"),"",IF(W506="経理区分別",BD506+BE506,""))</f>
        <v/>
      </c>
      <c r="AF506" s="27"/>
      <c r="AG506" s="26"/>
      <c r="AH506" s="26"/>
      <c r="AI506" s="30"/>
      <c r="AJ506" s="31" t="n">
        <v>145485</v>
      </c>
      <c r="AK506" s="31" t="n">
        <v>11925</v>
      </c>
      <c r="AL506" s="31" t="n">
        <v>145485</v>
      </c>
      <c r="AM506" s="31" t="n">
        <v>11925</v>
      </c>
      <c r="AN506" s="31" t="n">
        <v>149</v>
      </c>
      <c r="AO506" s="31"/>
      <c r="AP506" s="31"/>
      <c r="AQ506" s="31"/>
      <c r="AR506" s="31"/>
      <c r="AS506" s="31"/>
      <c r="AT506" s="31"/>
      <c r="AU506" s="31" t="n">
        <f aca="false">IF($G506="",AJ506,L506)</f>
        <v>145485</v>
      </c>
      <c r="AV506" s="31" t="n">
        <f aca="false">IF($G506="",AK506,M506)</f>
        <v>11925</v>
      </c>
      <c r="AW506" s="31" t="n">
        <f aca="false">IF($G506="",AL506,N506)</f>
        <v>145485</v>
      </c>
      <c r="AX506" s="31" t="n">
        <f aca="false">IF($G506="",AM506,O506)</f>
        <v>11925</v>
      </c>
      <c r="AY506" s="31" t="n">
        <f aca="false">IF($G506="",AN506,P506)</f>
        <v>149</v>
      </c>
      <c r="AZ506" s="31" t="n">
        <f aca="false">IF($G506="",AO506,Q506)</f>
        <v>0</v>
      </c>
      <c r="BA506" s="31" t="n">
        <f aca="false">IF($G506="",AP506,R506)</f>
        <v>0</v>
      </c>
      <c r="BB506" s="31" t="n">
        <f aca="false">IF($G506="",AQ506,S506)</f>
        <v>0</v>
      </c>
      <c r="BC506" s="31" t="n">
        <f aca="false">IF($G506="",AR506,T506)</f>
        <v>0</v>
      </c>
      <c r="BD506" s="31" t="n">
        <f aca="false">IF($G506="",AS506,U506)</f>
        <v>0</v>
      </c>
      <c r="BE506" s="31" t="n">
        <f aca="false">IF($G506="",AT506,V506)</f>
        <v>0</v>
      </c>
      <c r="BF506" s="31" t="n">
        <f aca="false">ROUNDDOWN(I506*設定!$B$10/1000,0)+ROUNDDOWN(I506*設定!$B$11/1000,0)</f>
        <v>0</v>
      </c>
      <c r="BG506" s="31" t="n">
        <f aca="false">ROUNDDOWN(I506*設定!$C$10/1000,0)+ROUNDDOWN(I506*設定!$C$11/1000,0)+ROUNDDOWN(I506*設定!$C$12/1000,0)</f>
        <v>0</v>
      </c>
      <c r="BH506" s="31" t="n">
        <f aca="false">ROUNDDOWN(J506*設定!$B$13/1000,0)</f>
        <v>0</v>
      </c>
      <c r="BI506" s="31" t="n">
        <f aca="false">ROUNDDOWN(J506*設定!$C$13/1000,0)</f>
        <v>0</v>
      </c>
      <c r="BJ506" s="31" t="n">
        <f aca="false">ROUNDDOWN(K506*設定!$B$14/1000,0)</f>
        <v>0</v>
      </c>
      <c r="BK506" s="31" t="n">
        <f aca="false">ROUNDDOWN(K506*設定!$C$14/1000,0)</f>
        <v>0</v>
      </c>
      <c r="BL506" s="31" t="n">
        <f aca="false">ROUNDDOWN(J506*設定!$B$15/1000,0)</f>
        <v>0</v>
      </c>
      <c r="BM506" s="31" t="n">
        <f aca="false">ROUNDDOWN(J506*設定!$C$15/1000,0)</f>
        <v>0</v>
      </c>
      <c r="BN506" s="31" t="n">
        <f aca="false">L506+M506</f>
        <v>0</v>
      </c>
      <c r="BO506" s="31" t="n">
        <f aca="false">N506+O506+P506</f>
        <v>0</v>
      </c>
      <c r="BP506" s="31" t="n">
        <f aca="false">Q506</f>
        <v>0</v>
      </c>
      <c r="BQ506" s="31" t="n">
        <f aca="false">R506</f>
        <v>0</v>
      </c>
      <c r="BR506" s="31" t="n">
        <f aca="false">S506</f>
        <v>0</v>
      </c>
      <c r="BS506" s="31" t="n">
        <f aca="false">T506</f>
        <v>0</v>
      </c>
      <c r="BT506" s="31" t="n">
        <f aca="false">U506</f>
        <v>0</v>
      </c>
      <c r="BU506" s="31" t="n">
        <f aca="false">V506</f>
        <v>0</v>
      </c>
      <c r="BV506" s="32" t="n">
        <f aca="false">IF(BF506=0,IF(BN506=0,0,1),(BN506-BF506)/BF506)</f>
        <v>0</v>
      </c>
      <c r="BW506" s="32" t="n">
        <f aca="false">IF(BG506=0,IF(BO506=0,0,1),(BO506-BG506)/BG506)</f>
        <v>0</v>
      </c>
      <c r="BX506" s="32" t="n">
        <f aca="false">IF(BH506=0,IF(BP506=0,0,1),(BP506-BH506)/BH506)</f>
        <v>0</v>
      </c>
      <c r="BY506" s="32" t="n">
        <f aca="false">IF(BI506=0,IF(BQ506=0,0,1),(BQ506-BI506)/BI506)</f>
        <v>0</v>
      </c>
      <c r="BZ506" s="32" t="n">
        <f aca="false">IF(BJ506=0,IF(BR506=0,0,1),(BR506-BJ506)/BJ506)</f>
        <v>0</v>
      </c>
      <c r="CA506" s="32" t="n">
        <f aca="false">IF(BK506=0,IF(BS506=0,0,1),(BS506-BK506)/BK506)</f>
        <v>0</v>
      </c>
      <c r="CB506" s="32" t="n">
        <f aca="false">IF(BL506=0,IF(BT506=0,0,1),(BT506-BL506)/BL506)</f>
        <v>0</v>
      </c>
      <c r="CC506" s="32" t="n">
        <f aca="false">IF(BM506=0,IF(BU506=0,0,1),(BU506-BM506)/BM506)</f>
        <v>0</v>
      </c>
      <c r="CD506" s="32" t="n">
        <f aca="false">MAX(MAX(BV506:CC506),-MIN(BV506:CC506))</f>
        <v>-0</v>
      </c>
      <c r="CE506" s="31" t="n">
        <f aca="false">IF(CI506="","",SUMIFS($CF$7:$CF$696,$A$7:$A$696,CI506,$B$7:$B$696,B506))</f>
        <v>314969</v>
      </c>
      <c r="CF506" s="31" t="n">
        <f aca="false">SUM(AU506:BE506)</f>
        <v>314969</v>
      </c>
      <c r="CG506" s="33" t="str">
        <f aca="false">A506&amp;"|"&amp;B506</f>
        <v>2026-12 月例|高速交通（株）</v>
      </c>
      <c r="CH506" s="34" t="str">
        <f aca="false">IFERROR(INDEX(設定!$D$61:$D$106,MATCH(B506,設定!$B$61:$B$106,0)),"Y")</f>
        <v>Y</v>
      </c>
      <c r="CI506" s="34" t="str">
        <f aca="false">IFERROR(INDEX(設定!$D$20:$D$34,MATCH(A506,設定!$A$20:$A$34,0))&amp;"","")</f>
        <v>2026-11 月例</v>
      </c>
    </row>
    <row r="507" customFormat="false" ht="15" hidden="true" customHeight="false" outlineLevel="0" collapsed="false">
      <c r="A507" s="22" t="s">
        <v>218</v>
      </c>
      <c r="B507" s="23" t="s">
        <v>201</v>
      </c>
      <c r="C507" s="10" t="str">
        <f aca="false">IF(G507="","未受領",IF(G507="なし","報告なし",IF(AH507="○","起票済",IF(OR(AG507="○",F507="一致",F507="入金不要"),"入金確認済","受領済"))))</f>
        <v>未受領</v>
      </c>
      <c r="D507" s="10" t="str">
        <f aca="false">IF(OR(G507="",G507="なし"),"―",IF(CH507="N","対象外",IF(AND(I507="",J507="",K507=""),"標報未入力",IF(CD507&gt;=設定!$B$4,"要確認","問題なし"))))</f>
        <v>―</v>
      </c>
      <c r="E507" s="24" t="str">
        <f aca="false">IF(OR(G507="",G507="なし",CE507="",CF507=0),"―",IF(CF507=CE507,"前月同額",IF(CE507=0,"―",IF(ABS(CF507/CE507-1)&gt;=設定!$B$5,"変動大 "&amp;TEXT(CF507/CE507-1,"+0%;-0%"),"〇"))))</f>
        <v>―</v>
      </c>
      <c r="F507" s="10" t="str">
        <f aca="false">IF(OR(G507="",G507="なし"),"―",IF(CF507=0,"入金不要",IF(COUNT(Z507,AB507,AD507,AF507)=0,IF(AG507="○","手動確認","未入金"),IF(AND(N(Z507)=Y507,IF(AA507="",TRUE(),N(AB507)=AA507),IF(AC507="",TRUE(),N(AD507)=AC507),IF(AE507="",TRUE(),N(AF507)=AE507)),"一致","不一致"))))</f>
        <v>―</v>
      </c>
      <c r="G507" s="25"/>
      <c r="H507" s="26"/>
      <c r="I507" s="27"/>
      <c r="J507" s="27"/>
      <c r="K507" s="27"/>
      <c r="L507" s="27"/>
      <c r="M507" s="27"/>
      <c r="N507" s="27"/>
      <c r="O507" s="27"/>
      <c r="P507" s="27"/>
      <c r="Q507" s="27"/>
      <c r="R507" s="27"/>
      <c r="S507" s="27"/>
      <c r="T507" s="27"/>
      <c r="U507" s="27"/>
      <c r="V507" s="27"/>
      <c r="W507" s="10" t="str">
        <f aca="false">IFERROR(INDEX(設定!$E$61:$E$106,MATCH(B507,設定!$B$61:$B$106,0)),"合算")</f>
        <v>合算</v>
      </c>
      <c r="X507" s="28"/>
      <c r="Y507" s="29" t="str">
        <f aca="false">IF(OR(G507="",G507="なし"),"",IF(W507="合算",CF507,IF(W507="掛金・負担金別",(AU507+AV507+AZ507+BB507+BD507),SUM(AU507:AY507))))</f>
        <v/>
      </c>
      <c r="Z507" s="27"/>
      <c r="AA507" s="29" t="str">
        <f aca="false">IF(OR(G507="",G507="なし"),"",IF(W507="掛金・負担金別",(AW507+AX507+AY507+BA507+BC507+BE507),IF(W507="経理区分別",AZ507+BA507,"")))</f>
        <v/>
      </c>
      <c r="AB507" s="27"/>
      <c r="AC507" s="29" t="str">
        <f aca="false">IF(OR(G507="",G507="なし"),"",IF(W507="経理区分別",BB507+BC507,""))</f>
        <v/>
      </c>
      <c r="AD507" s="27"/>
      <c r="AE507" s="29" t="str">
        <f aca="false">IF(OR(G507="",G507="なし"),"",IF(W507="経理区分別",BD507+BE507,""))</f>
        <v/>
      </c>
      <c r="AF507" s="27"/>
      <c r="AG507" s="26"/>
      <c r="AH507" s="26"/>
      <c r="AI507" s="30"/>
      <c r="AJ507" s="31" t="n">
        <v>53985</v>
      </c>
      <c r="AK507" s="31" t="n">
        <v>4425</v>
      </c>
      <c r="AL507" s="31" t="n">
        <v>53985</v>
      </c>
      <c r="AM507" s="31" t="n">
        <v>4425</v>
      </c>
      <c r="AN507" s="31" t="n">
        <v>55</v>
      </c>
      <c r="AO507" s="31"/>
      <c r="AP507" s="31"/>
      <c r="AQ507" s="31"/>
      <c r="AR507" s="31"/>
      <c r="AS507" s="31"/>
      <c r="AT507" s="31"/>
      <c r="AU507" s="31" t="n">
        <f aca="false">IF($G507="",AJ507,L507)</f>
        <v>53985</v>
      </c>
      <c r="AV507" s="31" t="n">
        <f aca="false">IF($G507="",AK507,M507)</f>
        <v>4425</v>
      </c>
      <c r="AW507" s="31" t="n">
        <f aca="false">IF($G507="",AL507,N507)</f>
        <v>53985</v>
      </c>
      <c r="AX507" s="31" t="n">
        <f aca="false">IF($G507="",AM507,O507)</f>
        <v>4425</v>
      </c>
      <c r="AY507" s="31" t="n">
        <f aca="false">IF($G507="",AN507,P507)</f>
        <v>55</v>
      </c>
      <c r="AZ507" s="31" t="n">
        <f aca="false">IF($G507="",AO507,Q507)</f>
        <v>0</v>
      </c>
      <c r="BA507" s="31" t="n">
        <f aca="false">IF($G507="",AP507,R507)</f>
        <v>0</v>
      </c>
      <c r="BB507" s="31" t="n">
        <f aca="false">IF($G507="",AQ507,S507)</f>
        <v>0</v>
      </c>
      <c r="BC507" s="31" t="n">
        <f aca="false">IF($G507="",AR507,T507)</f>
        <v>0</v>
      </c>
      <c r="BD507" s="31" t="n">
        <f aca="false">IF($G507="",AS507,U507)</f>
        <v>0</v>
      </c>
      <c r="BE507" s="31" t="n">
        <f aca="false">IF($G507="",AT507,V507)</f>
        <v>0</v>
      </c>
      <c r="BF507" s="31" t="n">
        <f aca="false">ROUNDDOWN(I507*設定!$B$10/1000,0)+ROUNDDOWN(I507*設定!$B$11/1000,0)</f>
        <v>0</v>
      </c>
      <c r="BG507" s="31" t="n">
        <f aca="false">ROUNDDOWN(I507*設定!$C$10/1000,0)+ROUNDDOWN(I507*設定!$C$11/1000,0)+ROUNDDOWN(I507*設定!$C$12/1000,0)</f>
        <v>0</v>
      </c>
      <c r="BH507" s="31" t="n">
        <f aca="false">ROUNDDOWN(J507*設定!$B$13/1000,0)</f>
        <v>0</v>
      </c>
      <c r="BI507" s="31" t="n">
        <f aca="false">ROUNDDOWN(J507*設定!$C$13/1000,0)</f>
        <v>0</v>
      </c>
      <c r="BJ507" s="31" t="n">
        <f aca="false">ROUNDDOWN(K507*設定!$B$14/1000,0)</f>
        <v>0</v>
      </c>
      <c r="BK507" s="31" t="n">
        <f aca="false">ROUNDDOWN(K507*設定!$C$14/1000,0)</f>
        <v>0</v>
      </c>
      <c r="BL507" s="31" t="n">
        <f aca="false">ROUNDDOWN(J507*設定!$B$15/1000,0)</f>
        <v>0</v>
      </c>
      <c r="BM507" s="31" t="n">
        <f aca="false">ROUNDDOWN(J507*設定!$C$15/1000,0)</f>
        <v>0</v>
      </c>
      <c r="BN507" s="31" t="n">
        <f aca="false">L507+M507</f>
        <v>0</v>
      </c>
      <c r="BO507" s="31" t="n">
        <f aca="false">N507+O507+P507</f>
        <v>0</v>
      </c>
      <c r="BP507" s="31" t="n">
        <f aca="false">Q507</f>
        <v>0</v>
      </c>
      <c r="BQ507" s="31" t="n">
        <f aca="false">R507</f>
        <v>0</v>
      </c>
      <c r="BR507" s="31" t="n">
        <f aca="false">S507</f>
        <v>0</v>
      </c>
      <c r="BS507" s="31" t="n">
        <f aca="false">T507</f>
        <v>0</v>
      </c>
      <c r="BT507" s="31" t="n">
        <f aca="false">U507</f>
        <v>0</v>
      </c>
      <c r="BU507" s="31" t="n">
        <f aca="false">V507</f>
        <v>0</v>
      </c>
      <c r="BV507" s="32" t="n">
        <f aca="false">IF(BF507=0,IF(BN507=0,0,1),(BN507-BF507)/BF507)</f>
        <v>0</v>
      </c>
      <c r="BW507" s="32" t="n">
        <f aca="false">IF(BG507=0,IF(BO507=0,0,1),(BO507-BG507)/BG507)</f>
        <v>0</v>
      </c>
      <c r="BX507" s="32" t="n">
        <f aca="false">IF(BH507=0,IF(BP507=0,0,1),(BP507-BH507)/BH507)</f>
        <v>0</v>
      </c>
      <c r="BY507" s="32" t="n">
        <f aca="false">IF(BI507=0,IF(BQ507=0,0,1),(BQ507-BI507)/BI507)</f>
        <v>0</v>
      </c>
      <c r="BZ507" s="32" t="n">
        <f aca="false">IF(BJ507=0,IF(BR507=0,0,1),(BR507-BJ507)/BJ507)</f>
        <v>0</v>
      </c>
      <c r="CA507" s="32" t="n">
        <f aca="false">IF(BK507=0,IF(BS507=0,0,1),(BS507-BK507)/BK507)</f>
        <v>0</v>
      </c>
      <c r="CB507" s="32" t="n">
        <f aca="false">IF(BL507=0,IF(BT507=0,0,1),(BT507-BL507)/BL507)</f>
        <v>0</v>
      </c>
      <c r="CC507" s="32" t="n">
        <f aca="false">IF(BM507=0,IF(BU507=0,0,1),(BU507-BM507)/BM507)</f>
        <v>0</v>
      </c>
      <c r="CD507" s="32" t="n">
        <f aca="false">MAX(MAX(BV507:CC507),-MIN(BV507:CC507))</f>
        <v>-0</v>
      </c>
      <c r="CE507" s="31" t="n">
        <f aca="false">IF(CI507="","",SUMIFS($CF$7:$CF$696,$A$7:$A$696,CI507,$B$7:$B$696,B507))</f>
        <v>116875</v>
      </c>
      <c r="CF507" s="31" t="n">
        <f aca="false">SUM(AU507:BE507)</f>
        <v>116875</v>
      </c>
      <c r="CG507" s="33" t="str">
        <f aca="false">A507&amp;"|"&amp;B507</f>
        <v>2026-12 月例|広島駅南口開発（株）</v>
      </c>
      <c r="CH507" s="34" t="str">
        <f aca="false">IFERROR(INDEX(設定!$D$61:$D$106,MATCH(B507,設定!$B$61:$B$106,0)),"Y")</f>
        <v>Y</v>
      </c>
      <c r="CI507" s="34" t="str">
        <f aca="false">IFERROR(INDEX(設定!$D$20:$D$34,MATCH(A507,設定!$A$20:$A$34,0))&amp;"","")</f>
        <v>2026-11 月例</v>
      </c>
    </row>
    <row r="508" customFormat="false" ht="15" hidden="true" customHeight="false" outlineLevel="0" collapsed="false">
      <c r="A508" s="22" t="s">
        <v>218</v>
      </c>
      <c r="B508" s="23" t="s">
        <v>202</v>
      </c>
      <c r="C508" s="10" t="str">
        <f aca="false">IF(G508="","未受領",IF(G508="なし","報告なし",IF(AH508="○","起票済",IF(OR(AG508="○",F508="一致",F508="入金不要"),"入金確認済","受領済"))))</f>
        <v>未受領</v>
      </c>
      <c r="D508" s="10" t="str">
        <f aca="false">IF(OR(G508="",G508="なし"),"―",IF(CH508="N","対象外",IF(AND(I508="",J508="",K508=""),"標報未入力",IF(CD508&gt;=設定!$B$4,"要確認","問題なし"))))</f>
        <v>―</v>
      </c>
      <c r="E508" s="24" t="str">
        <f aca="false">IF(OR(G508="",G508="なし",CE508="",CF508=0),"―",IF(CF508=CE508,"前月同額",IF(CE508=0,"―",IF(ABS(CF508/CE508-1)&gt;=設定!$B$5,"変動大 "&amp;TEXT(CF508/CE508-1,"+0%;-0%"),"〇"))))</f>
        <v>―</v>
      </c>
      <c r="F508" s="10" t="str">
        <f aca="false">IF(OR(G508="",G508="なし"),"―",IF(CF508=0,"入金不要",IF(COUNT(Z508,AB508,AD508,AF508)=0,IF(AG508="○","手動確認","未入金"),IF(AND(N(Z508)=Y508,IF(AA508="",TRUE(),N(AB508)=AA508),IF(AC508="",TRUE(),N(AD508)=AC508),IF(AE508="",TRUE(),N(AF508)=AE508)),"一致","不一致"))))</f>
        <v>―</v>
      </c>
      <c r="G508" s="25"/>
      <c r="H508" s="26"/>
      <c r="I508" s="27"/>
      <c r="J508" s="27"/>
      <c r="K508" s="27"/>
      <c r="L508" s="27"/>
      <c r="M508" s="27"/>
      <c r="N508" s="27"/>
      <c r="O508" s="27"/>
      <c r="P508" s="27"/>
      <c r="Q508" s="27"/>
      <c r="R508" s="27"/>
      <c r="S508" s="27"/>
      <c r="T508" s="27"/>
      <c r="U508" s="27"/>
      <c r="V508" s="27"/>
      <c r="W508" s="10" t="str">
        <f aca="false">IFERROR(INDEX(設定!$E$61:$E$106,MATCH(B508,設定!$B$61:$B$106,0)),"合算")</f>
        <v>合算</v>
      </c>
      <c r="X508" s="28"/>
      <c r="Y508" s="29" t="str">
        <f aca="false">IF(OR(G508="",G508="なし"),"",IF(W508="合算",CF508,IF(W508="掛金・負担金別",(AU508+AV508+AZ508+BB508+BD508),SUM(AU508:AY508))))</f>
        <v/>
      </c>
      <c r="Z508" s="27"/>
      <c r="AA508" s="29" t="str">
        <f aca="false">IF(OR(G508="",G508="なし"),"",IF(W508="掛金・負担金別",(AW508+AX508+AY508+BA508+BC508+BE508),IF(W508="経理区分別",AZ508+BA508,"")))</f>
        <v/>
      </c>
      <c r="AB508" s="27"/>
      <c r="AC508" s="29" t="str">
        <f aca="false">IF(OR(G508="",G508="なし"),"",IF(W508="経理区分別",BB508+BC508,""))</f>
        <v/>
      </c>
      <c r="AD508" s="27"/>
      <c r="AE508" s="29" t="str">
        <f aca="false">IF(OR(G508="",G508="なし"),"",IF(W508="経理区分別",BD508+BE508,""))</f>
        <v/>
      </c>
      <c r="AF508" s="27"/>
      <c r="AG508" s="26"/>
      <c r="AH508" s="26"/>
      <c r="AI508" s="30"/>
      <c r="AJ508" s="31" t="n">
        <v>29280</v>
      </c>
      <c r="AK508" s="31" t="n">
        <v>2400</v>
      </c>
      <c r="AL508" s="31" t="n">
        <v>29280</v>
      </c>
      <c r="AM508" s="31" t="n">
        <v>2400</v>
      </c>
      <c r="AN508" s="31"/>
      <c r="AO508" s="31" t="n">
        <v>17603</v>
      </c>
      <c r="AP508" s="31" t="n">
        <v>17635</v>
      </c>
      <c r="AQ508" s="31" t="n">
        <v>2528</v>
      </c>
      <c r="AR508" s="31" t="n">
        <v>2528</v>
      </c>
      <c r="AS508" s="31" t="n">
        <v>1</v>
      </c>
      <c r="AT508" s="31" t="n">
        <v>1</v>
      </c>
      <c r="AU508" s="31" t="n">
        <f aca="false">IF($G508="",AJ508,L508)</f>
        <v>29280</v>
      </c>
      <c r="AV508" s="31" t="n">
        <f aca="false">IF($G508="",AK508,M508)</f>
        <v>2400</v>
      </c>
      <c r="AW508" s="31" t="n">
        <f aca="false">IF($G508="",AL508,N508)</f>
        <v>29280</v>
      </c>
      <c r="AX508" s="31" t="n">
        <f aca="false">IF($G508="",AM508,O508)</f>
        <v>2400</v>
      </c>
      <c r="AY508" s="31" t="n">
        <f aca="false">IF($G508="",AN508,P508)</f>
        <v>0</v>
      </c>
      <c r="AZ508" s="31" t="n">
        <f aca="false">IF($G508="",AO508,Q508)</f>
        <v>17603</v>
      </c>
      <c r="BA508" s="31" t="n">
        <f aca="false">IF($G508="",AP508,R508)</f>
        <v>17635</v>
      </c>
      <c r="BB508" s="31" t="n">
        <f aca="false">IF($G508="",AQ508,S508)</f>
        <v>2528</v>
      </c>
      <c r="BC508" s="31" t="n">
        <f aca="false">IF($G508="",AR508,T508)</f>
        <v>2528</v>
      </c>
      <c r="BD508" s="31" t="n">
        <f aca="false">IF($G508="",AS508,U508)</f>
        <v>1</v>
      </c>
      <c r="BE508" s="31" t="n">
        <f aca="false">IF($G508="",AT508,V508)</f>
        <v>1</v>
      </c>
      <c r="BF508" s="31" t="n">
        <f aca="false">ROUNDDOWN(I508*設定!$B$10/1000,0)+ROUNDDOWN(I508*設定!$B$11/1000,0)</f>
        <v>0</v>
      </c>
      <c r="BG508" s="31" t="n">
        <f aca="false">ROUNDDOWN(I508*設定!$C$10/1000,0)+ROUNDDOWN(I508*設定!$C$11/1000,0)+ROUNDDOWN(I508*設定!$C$12/1000,0)</f>
        <v>0</v>
      </c>
      <c r="BH508" s="31" t="n">
        <f aca="false">ROUNDDOWN(J508*設定!$B$13/1000,0)</f>
        <v>0</v>
      </c>
      <c r="BI508" s="31" t="n">
        <f aca="false">ROUNDDOWN(J508*設定!$C$13/1000,0)</f>
        <v>0</v>
      </c>
      <c r="BJ508" s="31" t="n">
        <f aca="false">ROUNDDOWN(K508*設定!$B$14/1000,0)</f>
        <v>0</v>
      </c>
      <c r="BK508" s="31" t="n">
        <f aca="false">ROUNDDOWN(K508*設定!$C$14/1000,0)</f>
        <v>0</v>
      </c>
      <c r="BL508" s="31" t="n">
        <f aca="false">ROUNDDOWN(J508*設定!$B$15/1000,0)</f>
        <v>0</v>
      </c>
      <c r="BM508" s="31" t="n">
        <f aca="false">ROUNDDOWN(J508*設定!$C$15/1000,0)</f>
        <v>0</v>
      </c>
      <c r="BN508" s="31" t="n">
        <f aca="false">L508+M508</f>
        <v>0</v>
      </c>
      <c r="BO508" s="31" t="n">
        <f aca="false">N508+O508+P508</f>
        <v>0</v>
      </c>
      <c r="BP508" s="31" t="n">
        <f aca="false">Q508</f>
        <v>0</v>
      </c>
      <c r="BQ508" s="31" t="n">
        <f aca="false">R508</f>
        <v>0</v>
      </c>
      <c r="BR508" s="31" t="n">
        <f aca="false">S508</f>
        <v>0</v>
      </c>
      <c r="BS508" s="31" t="n">
        <f aca="false">T508</f>
        <v>0</v>
      </c>
      <c r="BT508" s="31" t="n">
        <f aca="false">U508</f>
        <v>0</v>
      </c>
      <c r="BU508" s="31" t="n">
        <f aca="false">V508</f>
        <v>0</v>
      </c>
      <c r="BV508" s="32" t="n">
        <f aca="false">IF(BF508=0,IF(BN508=0,0,1),(BN508-BF508)/BF508)</f>
        <v>0</v>
      </c>
      <c r="BW508" s="32" t="n">
        <f aca="false">IF(BG508=0,IF(BO508=0,0,1),(BO508-BG508)/BG508)</f>
        <v>0</v>
      </c>
      <c r="BX508" s="32" t="n">
        <f aca="false">IF(BH508=0,IF(BP508=0,0,1),(BP508-BH508)/BH508)</f>
        <v>0</v>
      </c>
      <c r="BY508" s="32" t="n">
        <f aca="false">IF(BI508=0,IF(BQ508=0,0,1),(BQ508-BI508)/BI508)</f>
        <v>0</v>
      </c>
      <c r="BZ508" s="32" t="n">
        <f aca="false">IF(BJ508=0,IF(BR508=0,0,1),(BR508-BJ508)/BJ508)</f>
        <v>0</v>
      </c>
      <c r="CA508" s="32" t="n">
        <f aca="false">IF(BK508=0,IF(BS508=0,0,1),(BS508-BK508)/BK508)</f>
        <v>0</v>
      </c>
      <c r="CB508" s="32" t="n">
        <f aca="false">IF(BL508=0,IF(BT508=0,0,1),(BT508-BL508)/BL508)</f>
        <v>0</v>
      </c>
      <c r="CC508" s="32" t="n">
        <f aca="false">IF(BM508=0,IF(BU508=0,0,1),(BU508-BM508)/BM508)</f>
        <v>0</v>
      </c>
      <c r="CD508" s="32" t="n">
        <f aca="false">MAX(MAX(BV508:CC508),-MIN(BV508:CC508))</f>
        <v>-0</v>
      </c>
      <c r="CE508" s="31" t="n">
        <f aca="false">IF(CI508="","",SUMIFS($CF$7:$CF$696,$A$7:$A$696,CI508,$B$7:$B$696,B508))</f>
        <v>103656</v>
      </c>
      <c r="CF508" s="31" t="n">
        <f aca="false">SUM(AU508:BE508)</f>
        <v>103656</v>
      </c>
      <c r="CG508" s="33" t="str">
        <f aca="false">A508&amp;"|"&amp;B508</f>
        <v>2026-12 月例|市職員労働組合</v>
      </c>
      <c r="CH508" s="34" t="str">
        <f aca="false">IFERROR(INDEX(設定!$D$61:$D$106,MATCH(B508,設定!$B$61:$B$106,0)),"Y")</f>
        <v>Y</v>
      </c>
      <c r="CI508" s="34" t="str">
        <f aca="false">IFERROR(INDEX(設定!$D$20:$D$34,MATCH(A508,設定!$A$20:$A$34,0))&amp;"","")</f>
        <v>2026-11 月例</v>
      </c>
    </row>
    <row r="509" customFormat="false" ht="15" hidden="true" customHeight="false" outlineLevel="0" collapsed="false">
      <c r="A509" s="22" t="s">
        <v>218</v>
      </c>
      <c r="B509" s="23" t="s">
        <v>203</v>
      </c>
      <c r="C509" s="10" t="str">
        <f aca="false">IF(G509="","未受領",IF(G509="なし","報告なし",IF(AH509="○","起票済",IF(OR(AG509="○",F509="一致",F509="入金不要"),"入金確認済","受領済"))))</f>
        <v>報告なし</v>
      </c>
      <c r="D509" s="10" t="str">
        <f aca="false">IF(OR(G509="",G509="なし"),"―",IF(CH509="N","対象外",IF(AND(I509="",J509="",K509=""),"標報未入力",IF(CD509&gt;=設定!$B$4,"要確認","問題なし"))))</f>
        <v>―</v>
      </c>
      <c r="E509" s="24" t="str">
        <f aca="false">IF(OR(G509="",G509="なし",CE509="",CF509=0),"―",IF(CF509=CE509,"前月同額",IF(CE509=0,"―",IF(ABS(CF509/CE509-1)&gt;=設定!$B$5,"変動大 "&amp;TEXT(CF509/CE509-1,"+0%;-0%"),"〇"))))</f>
        <v>―</v>
      </c>
      <c r="F509" s="10" t="str">
        <f aca="false">IF(OR(G509="",G509="なし"),"―",IF(CF509=0,"入金不要",IF(COUNT(Z509,AB509,AD509,AF509)=0,IF(AG509="○","手動確認","未入金"),IF(AND(N(Z509)=Y509,IF(AA509="",TRUE(),N(AB509)=AA509),IF(AC509="",TRUE(),N(AD509)=AC509),IF(AE509="",TRUE(),N(AF509)=AE509)),"一致","不一致"))))</f>
        <v>―</v>
      </c>
      <c r="G509" s="25" t="s">
        <v>173</v>
      </c>
      <c r="H509" s="26"/>
      <c r="I509" s="27"/>
      <c r="J509" s="27"/>
      <c r="K509" s="27"/>
      <c r="L509" s="27"/>
      <c r="M509" s="27"/>
      <c r="N509" s="27"/>
      <c r="O509" s="27"/>
      <c r="P509" s="27"/>
      <c r="Q509" s="27"/>
      <c r="R509" s="27"/>
      <c r="S509" s="27"/>
      <c r="T509" s="27"/>
      <c r="U509" s="27"/>
      <c r="V509" s="27"/>
      <c r="W509" s="10" t="str">
        <f aca="false">IFERROR(INDEX(設定!$E$61:$E$106,MATCH(B509,設定!$B$61:$B$106,0)),"合算")</f>
        <v>合算</v>
      </c>
      <c r="X509" s="28"/>
      <c r="Y509" s="29" t="str">
        <f aca="false">IF(OR(G509="",G509="なし"),"",IF(W509="合算",CF509,IF(W509="掛金・負担金別",(AU509+AV509+AZ509+BB509+BD509),SUM(AU509:AY509))))</f>
        <v/>
      </c>
      <c r="Z509" s="27"/>
      <c r="AA509" s="29" t="str">
        <f aca="false">IF(OR(G509="",G509="なし"),"",IF(W509="掛金・負担金別",(AW509+AX509+AY509+BA509+BC509+BE509),IF(W509="経理区分別",AZ509+BA509,"")))</f>
        <v/>
      </c>
      <c r="AB509" s="27"/>
      <c r="AC509" s="29" t="str">
        <f aca="false">IF(OR(G509="",G509="なし"),"",IF(W509="経理区分別",BB509+BC509,""))</f>
        <v/>
      </c>
      <c r="AD509" s="27"/>
      <c r="AE509" s="29" t="str">
        <f aca="false">IF(OR(G509="",G509="なし"),"",IF(W509="経理区分別",BD509+BE509,""))</f>
        <v/>
      </c>
      <c r="AF509" s="27"/>
      <c r="AG509" s="26"/>
      <c r="AH509" s="26"/>
      <c r="AI509" s="30"/>
      <c r="AJ509" s="31"/>
      <c r="AK509" s="31"/>
      <c r="AL509" s="31"/>
      <c r="AM509" s="31"/>
      <c r="AN509" s="31"/>
      <c r="AO509" s="31"/>
      <c r="AP509" s="31"/>
      <c r="AQ509" s="31"/>
      <c r="AR509" s="31"/>
      <c r="AS509" s="31"/>
      <c r="AT509" s="31"/>
      <c r="AU509" s="31" t="n">
        <f aca="false">IF($G509="",AJ509,L509)</f>
        <v>0</v>
      </c>
      <c r="AV509" s="31" t="n">
        <f aca="false">IF($G509="",AK509,M509)</f>
        <v>0</v>
      </c>
      <c r="AW509" s="31" t="n">
        <f aca="false">IF($G509="",AL509,N509)</f>
        <v>0</v>
      </c>
      <c r="AX509" s="31" t="n">
        <f aca="false">IF($G509="",AM509,O509)</f>
        <v>0</v>
      </c>
      <c r="AY509" s="31" t="n">
        <f aca="false">IF($G509="",AN509,P509)</f>
        <v>0</v>
      </c>
      <c r="AZ509" s="31" t="n">
        <f aca="false">IF($G509="",AO509,Q509)</f>
        <v>0</v>
      </c>
      <c r="BA509" s="31" t="n">
        <f aca="false">IF($G509="",AP509,R509)</f>
        <v>0</v>
      </c>
      <c r="BB509" s="31" t="n">
        <f aca="false">IF($G509="",AQ509,S509)</f>
        <v>0</v>
      </c>
      <c r="BC509" s="31" t="n">
        <f aca="false">IF($G509="",AR509,T509)</f>
        <v>0</v>
      </c>
      <c r="BD509" s="31" t="n">
        <f aca="false">IF($G509="",AS509,U509)</f>
        <v>0</v>
      </c>
      <c r="BE509" s="31" t="n">
        <f aca="false">IF($G509="",AT509,V509)</f>
        <v>0</v>
      </c>
      <c r="BF509" s="31" t="n">
        <f aca="false">ROUNDDOWN(I509*設定!$B$10/1000,0)+ROUNDDOWN(I509*設定!$B$11/1000,0)</f>
        <v>0</v>
      </c>
      <c r="BG509" s="31" t="n">
        <f aca="false">ROUNDDOWN(I509*設定!$C$10/1000,0)+ROUNDDOWN(I509*設定!$C$11/1000,0)+ROUNDDOWN(I509*設定!$C$12/1000,0)</f>
        <v>0</v>
      </c>
      <c r="BH509" s="31" t="n">
        <f aca="false">ROUNDDOWN(J509*設定!$B$13/1000,0)</f>
        <v>0</v>
      </c>
      <c r="BI509" s="31" t="n">
        <f aca="false">ROUNDDOWN(J509*設定!$C$13/1000,0)</f>
        <v>0</v>
      </c>
      <c r="BJ509" s="31" t="n">
        <f aca="false">ROUNDDOWN(K509*設定!$B$14/1000,0)</f>
        <v>0</v>
      </c>
      <c r="BK509" s="31" t="n">
        <f aca="false">ROUNDDOWN(K509*設定!$C$14/1000,0)</f>
        <v>0</v>
      </c>
      <c r="BL509" s="31" t="n">
        <f aca="false">ROUNDDOWN(J509*設定!$B$15/1000,0)</f>
        <v>0</v>
      </c>
      <c r="BM509" s="31" t="n">
        <f aca="false">ROUNDDOWN(J509*設定!$C$15/1000,0)</f>
        <v>0</v>
      </c>
      <c r="BN509" s="31" t="n">
        <f aca="false">L509+M509</f>
        <v>0</v>
      </c>
      <c r="BO509" s="31" t="n">
        <f aca="false">N509+O509+P509</f>
        <v>0</v>
      </c>
      <c r="BP509" s="31" t="n">
        <f aca="false">Q509</f>
        <v>0</v>
      </c>
      <c r="BQ509" s="31" t="n">
        <f aca="false">R509</f>
        <v>0</v>
      </c>
      <c r="BR509" s="31" t="n">
        <f aca="false">S509</f>
        <v>0</v>
      </c>
      <c r="BS509" s="31" t="n">
        <f aca="false">T509</f>
        <v>0</v>
      </c>
      <c r="BT509" s="31" t="n">
        <f aca="false">U509</f>
        <v>0</v>
      </c>
      <c r="BU509" s="31" t="n">
        <f aca="false">V509</f>
        <v>0</v>
      </c>
      <c r="BV509" s="32" t="n">
        <f aca="false">IF(BF509=0,IF(BN509=0,0,1),(BN509-BF509)/BF509)</f>
        <v>0</v>
      </c>
      <c r="BW509" s="32" t="n">
        <f aca="false">IF(BG509=0,IF(BO509=0,0,1),(BO509-BG509)/BG509)</f>
        <v>0</v>
      </c>
      <c r="BX509" s="32" t="n">
        <f aca="false">IF(BH509=0,IF(BP509=0,0,1),(BP509-BH509)/BH509)</f>
        <v>0</v>
      </c>
      <c r="BY509" s="32" t="n">
        <f aca="false">IF(BI509=0,IF(BQ509=0,0,1),(BQ509-BI509)/BI509)</f>
        <v>0</v>
      </c>
      <c r="BZ509" s="32" t="n">
        <f aca="false">IF(BJ509=0,IF(BR509=0,0,1),(BR509-BJ509)/BJ509)</f>
        <v>0</v>
      </c>
      <c r="CA509" s="32" t="n">
        <f aca="false">IF(BK509=0,IF(BS509=0,0,1),(BS509-BK509)/BK509)</f>
        <v>0</v>
      </c>
      <c r="CB509" s="32" t="n">
        <f aca="false">IF(BL509=0,IF(BT509=0,0,1),(BT509-BL509)/BL509)</f>
        <v>0</v>
      </c>
      <c r="CC509" s="32" t="n">
        <f aca="false">IF(BM509=0,IF(BU509=0,0,1),(BU509-BM509)/BM509)</f>
        <v>0</v>
      </c>
      <c r="CD509" s="32" t="n">
        <f aca="false">MAX(MAX(BV509:CC509),-MIN(BV509:CC509))</f>
        <v>-0</v>
      </c>
      <c r="CE509" s="31" t="n">
        <f aca="false">IF(CI509="","",SUMIFS($CF$7:$CF$696,$A$7:$A$696,CI509,$B$7:$B$696,B509))</f>
        <v>0</v>
      </c>
      <c r="CF509" s="31" t="n">
        <f aca="false">SUM(AU509:BE509)</f>
        <v>0</v>
      </c>
      <c r="CG509" s="33" t="str">
        <f aca="false">A509&amp;"|"&amp;B509</f>
        <v>2026-12 月例|自治労労働組合</v>
      </c>
      <c r="CH509" s="34" t="str">
        <f aca="false">IFERROR(INDEX(設定!$D$61:$D$106,MATCH(B509,設定!$B$61:$B$106,0)),"Y")</f>
        <v>Y</v>
      </c>
      <c r="CI509" s="34" t="str">
        <f aca="false">IFERROR(INDEX(設定!$D$20:$D$34,MATCH(A509,設定!$A$20:$A$34,0))&amp;"","")</f>
        <v>2026-11 月例</v>
      </c>
    </row>
    <row r="510" customFormat="false" ht="15" hidden="true" customHeight="false" outlineLevel="0" collapsed="false">
      <c r="A510" s="22" t="s">
        <v>218</v>
      </c>
      <c r="B510" s="23" t="s">
        <v>204</v>
      </c>
      <c r="C510" s="10" t="str">
        <f aca="false">IF(G510="","未受領",IF(G510="なし","報告なし",IF(AH510="○","起票済",IF(OR(AG510="○",F510="一致",F510="入金不要"),"入金確認済","受領済"))))</f>
        <v>未受領</v>
      </c>
      <c r="D510" s="10" t="str">
        <f aca="false">IF(OR(G510="",G510="なし"),"―",IF(CH510="N","対象外",IF(AND(I510="",J510="",K510=""),"標報未入力",IF(CD510&gt;=設定!$B$4,"要確認","問題なし"))))</f>
        <v>―</v>
      </c>
      <c r="E510" s="24" t="str">
        <f aca="false">IF(OR(G510="",G510="なし",CE510="",CF510=0),"―",IF(CF510=CE510,"前月同額",IF(CE510=0,"―",IF(ABS(CF510/CE510-1)&gt;=設定!$B$5,"変動大 "&amp;TEXT(CF510/CE510-1,"+0%;-0%"),"〇"))))</f>
        <v>―</v>
      </c>
      <c r="F510" s="10" t="str">
        <f aca="false">IF(OR(G510="",G510="なし"),"―",IF(CF510=0,"入金不要",IF(COUNT(Z510,AB510,AD510,AF510)=0,IF(AG510="○","手動確認","未入金"),IF(AND(N(Z510)=Y510,IF(AA510="",TRUE(),N(AB510)=AA510),IF(AC510="",TRUE(),N(AD510)=AC510),IF(AE510="",TRUE(),N(AF510)=AE510)),"一致","不一致"))))</f>
        <v>―</v>
      </c>
      <c r="G510" s="25"/>
      <c r="H510" s="26"/>
      <c r="I510" s="27"/>
      <c r="J510" s="27"/>
      <c r="K510" s="27"/>
      <c r="L510" s="27"/>
      <c r="M510" s="27"/>
      <c r="N510" s="27"/>
      <c r="O510" s="27"/>
      <c r="P510" s="27"/>
      <c r="Q510" s="27"/>
      <c r="R510" s="27"/>
      <c r="S510" s="27"/>
      <c r="T510" s="27"/>
      <c r="U510" s="27"/>
      <c r="V510" s="27"/>
      <c r="W510" s="10" t="str">
        <f aca="false">IFERROR(INDEX(設定!$E$61:$E$106,MATCH(B510,設定!$B$61:$B$106,0)),"合算")</f>
        <v>合算</v>
      </c>
      <c r="X510" s="28"/>
      <c r="Y510" s="29" t="str">
        <f aca="false">IF(OR(G510="",G510="なし"),"",IF(W510="合算",CF510,IF(W510="掛金・負担金別",(AU510+AV510+AZ510+BB510+BD510),SUM(AU510:AY510))))</f>
        <v/>
      </c>
      <c r="Z510" s="27"/>
      <c r="AA510" s="29" t="str">
        <f aca="false">IF(OR(G510="",G510="なし"),"",IF(W510="掛金・負担金別",(AW510+AX510+AY510+BA510+BC510+BE510),IF(W510="経理区分別",AZ510+BA510,"")))</f>
        <v/>
      </c>
      <c r="AB510" s="27"/>
      <c r="AC510" s="29" t="str">
        <f aca="false">IF(OR(G510="",G510="なし"),"",IF(W510="経理区分別",BB510+BC510,""))</f>
        <v/>
      </c>
      <c r="AD510" s="27"/>
      <c r="AE510" s="29" t="str">
        <f aca="false">IF(OR(G510="",G510="なし"),"",IF(W510="経理区分別",BD510+BE510,""))</f>
        <v/>
      </c>
      <c r="AF510" s="27"/>
      <c r="AG510" s="26"/>
      <c r="AH510" s="26"/>
      <c r="AI510" s="30"/>
      <c r="AJ510" s="31" t="n">
        <v>23790</v>
      </c>
      <c r="AK510" s="31" t="n">
        <v>1950</v>
      </c>
      <c r="AL510" s="31" t="n">
        <v>23790</v>
      </c>
      <c r="AM510" s="31" t="n">
        <v>1950</v>
      </c>
      <c r="AN510" s="31"/>
      <c r="AO510" s="31" t="n">
        <v>30805</v>
      </c>
      <c r="AP510" s="31" t="n">
        <v>30861</v>
      </c>
      <c r="AQ510" s="31" t="n">
        <v>2370</v>
      </c>
      <c r="AR510" s="31" t="n">
        <v>2370</v>
      </c>
      <c r="AS510" s="31" t="n">
        <v>1</v>
      </c>
      <c r="AT510" s="31" t="n">
        <v>1</v>
      </c>
      <c r="AU510" s="31" t="n">
        <f aca="false">IF($G510="",AJ510,L510)</f>
        <v>23790</v>
      </c>
      <c r="AV510" s="31" t="n">
        <f aca="false">IF($G510="",AK510,M510)</f>
        <v>1950</v>
      </c>
      <c r="AW510" s="31" t="n">
        <f aca="false">IF($G510="",AL510,N510)</f>
        <v>23790</v>
      </c>
      <c r="AX510" s="31" t="n">
        <f aca="false">IF($G510="",AM510,O510)</f>
        <v>1950</v>
      </c>
      <c r="AY510" s="31" t="n">
        <f aca="false">IF($G510="",AN510,P510)</f>
        <v>0</v>
      </c>
      <c r="AZ510" s="31" t="n">
        <f aca="false">IF($G510="",AO510,Q510)</f>
        <v>30805</v>
      </c>
      <c r="BA510" s="31" t="n">
        <f aca="false">IF($G510="",AP510,R510)</f>
        <v>30861</v>
      </c>
      <c r="BB510" s="31" t="n">
        <f aca="false">IF($G510="",AQ510,S510)</f>
        <v>2370</v>
      </c>
      <c r="BC510" s="31" t="n">
        <f aca="false">IF($G510="",AR510,T510)</f>
        <v>2370</v>
      </c>
      <c r="BD510" s="31" t="n">
        <f aca="false">IF($G510="",AS510,U510)</f>
        <v>1</v>
      </c>
      <c r="BE510" s="31" t="n">
        <f aca="false">IF($G510="",AT510,V510)</f>
        <v>1</v>
      </c>
      <c r="BF510" s="31" t="n">
        <f aca="false">ROUNDDOWN(I510*設定!$B$10/1000,0)+ROUNDDOWN(I510*設定!$B$11/1000,0)</f>
        <v>0</v>
      </c>
      <c r="BG510" s="31" t="n">
        <f aca="false">ROUNDDOWN(I510*設定!$C$10/1000,0)+ROUNDDOWN(I510*設定!$C$11/1000,0)+ROUNDDOWN(I510*設定!$C$12/1000,0)</f>
        <v>0</v>
      </c>
      <c r="BH510" s="31" t="n">
        <f aca="false">ROUNDDOWN(J510*設定!$B$13/1000,0)</f>
        <v>0</v>
      </c>
      <c r="BI510" s="31" t="n">
        <f aca="false">ROUNDDOWN(J510*設定!$C$13/1000,0)</f>
        <v>0</v>
      </c>
      <c r="BJ510" s="31" t="n">
        <f aca="false">ROUNDDOWN(K510*設定!$B$14/1000,0)</f>
        <v>0</v>
      </c>
      <c r="BK510" s="31" t="n">
        <f aca="false">ROUNDDOWN(K510*設定!$C$14/1000,0)</f>
        <v>0</v>
      </c>
      <c r="BL510" s="31" t="n">
        <f aca="false">ROUNDDOWN(J510*設定!$B$15/1000,0)</f>
        <v>0</v>
      </c>
      <c r="BM510" s="31" t="n">
        <f aca="false">ROUNDDOWN(J510*設定!$C$15/1000,0)</f>
        <v>0</v>
      </c>
      <c r="BN510" s="31" t="n">
        <f aca="false">L510+M510</f>
        <v>0</v>
      </c>
      <c r="BO510" s="31" t="n">
        <f aca="false">N510+O510+P510</f>
        <v>0</v>
      </c>
      <c r="BP510" s="31" t="n">
        <f aca="false">Q510</f>
        <v>0</v>
      </c>
      <c r="BQ510" s="31" t="n">
        <f aca="false">R510</f>
        <v>0</v>
      </c>
      <c r="BR510" s="31" t="n">
        <f aca="false">S510</f>
        <v>0</v>
      </c>
      <c r="BS510" s="31" t="n">
        <f aca="false">T510</f>
        <v>0</v>
      </c>
      <c r="BT510" s="31" t="n">
        <f aca="false">U510</f>
        <v>0</v>
      </c>
      <c r="BU510" s="31" t="n">
        <f aca="false">V510</f>
        <v>0</v>
      </c>
      <c r="BV510" s="32" t="n">
        <f aca="false">IF(BF510=0,IF(BN510=0,0,1),(BN510-BF510)/BF510)</f>
        <v>0</v>
      </c>
      <c r="BW510" s="32" t="n">
        <f aca="false">IF(BG510=0,IF(BO510=0,0,1),(BO510-BG510)/BG510)</f>
        <v>0</v>
      </c>
      <c r="BX510" s="32" t="n">
        <f aca="false">IF(BH510=0,IF(BP510=0,0,1),(BP510-BH510)/BH510)</f>
        <v>0</v>
      </c>
      <c r="BY510" s="32" t="n">
        <f aca="false">IF(BI510=0,IF(BQ510=0,0,1),(BQ510-BI510)/BI510)</f>
        <v>0</v>
      </c>
      <c r="BZ510" s="32" t="n">
        <f aca="false">IF(BJ510=0,IF(BR510=0,0,1),(BR510-BJ510)/BJ510)</f>
        <v>0</v>
      </c>
      <c r="CA510" s="32" t="n">
        <f aca="false">IF(BK510=0,IF(BS510=0,0,1),(BS510-BK510)/BK510)</f>
        <v>0</v>
      </c>
      <c r="CB510" s="32" t="n">
        <f aca="false">IF(BL510=0,IF(BT510=0,0,1),(BT510-BL510)/BL510)</f>
        <v>0</v>
      </c>
      <c r="CC510" s="32" t="n">
        <f aca="false">IF(BM510=0,IF(BU510=0,0,1),(BU510-BM510)/BM510)</f>
        <v>0</v>
      </c>
      <c r="CD510" s="32" t="n">
        <f aca="false">MAX(MAX(BV510:CC510),-MIN(BV510:CC510))</f>
        <v>-0</v>
      </c>
      <c r="CE510" s="31" t="n">
        <f aca="false">IF(CI510="","",SUMIFS($CF$7:$CF$696,$A$7:$A$696,CI510,$B$7:$B$696,B510))</f>
        <v>117888</v>
      </c>
      <c r="CF510" s="31" t="n">
        <f aca="false">SUM(AU510:BE510)</f>
        <v>117888</v>
      </c>
      <c r="CG510" s="33" t="str">
        <f aca="false">A510&amp;"|"&amp;B510</f>
        <v>2026-12 月例|病院労働組合</v>
      </c>
      <c r="CH510" s="34" t="str">
        <f aca="false">IFERROR(INDEX(設定!$D$61:$D$106,MATCH(B510,設定!$B$61:$B$106,0)),"Y")</f>
        <v>Y</v>
      </c>
      <c r="CI510" s="34" t="str">
        <f aca="false">IFERROR(INDEX(設定!$D$20:$D$34,MATCH(A510,設定!$A$20:$A$34,0))&amp;"","")</f>
        <v>2026-11 月例</v>
      </c>
    </row>
    <row r="511" customFormat="false" ht="15" hidden="true" customHeight="false" outlineLevel="0" collapsed="false">
      <c r="A511" s="22" t="s">
        <v>218</v>
      </c>
      <c r="B511" s="23" t="s">
        <v>205</v>
      </c>
      <c r="C511" s="10" t="str">
        <f aca="false">IF(G511="","未受領",IF(G511="なし","報告なし",IF(AH511="○","起票済",IF(OR(AG511="○",F511="一致",F511="入金不要"),"入金確認済","受領済"))))</f>
        <v>報告なし</v>
      </c>
      <c r="D511" s="10" t="str">
        <f aca="false">IF(OR(G511="",G511="なし"),"―",IF(CH511="N","対象外",IF(AND(I511="",J511="",K511=""),"標報未入力",IF(CD511&gt;=設定!$B$4,"要確認","問題なし"))))</f>
        <v>―</v>
      </c>
      <c r="E511" s="24" t="str">
        <f aca="false">IF(OR(G511="",G511="なし",CE511="",CF511=0),"―",IF(CF511=CE511,"前月同額",IF(CE511=0,"―",IF(ABS(CF511/CE511-1)&gt;=設定!$B$5,"変動大 "&amp;TEXT(CF511/CE511-1,"+0%;-0%"),"〇"))))</f>
        <v>―</v>
      </c>
      <c r="F511" s="10" t="str">
        <f aca="false">IF(OR(G511="",G511="なし"),"―",IF(CF511=0,"入金不要",IF(COUNT(Z511,AB511,AD511,AF511)=0,IF(AG511="○","手動確認","未入金"),IF(AND(N(Z511)=Y511,IF(AA511="",TRUE(),N(AB511)=AA511),IF(AC511="",TRUE(),N(AD511)=AC511),IF(AE511="",TRUE(),N(AF511)=AE511)),"一致","不一致"))))</f>
        <v>―</v>
      </c>
      <c r="G511" s="25" t="s">
        <v>173</v>
      </c>
      <c r="H511" s="26"/>
      <c r="I511" s="27"/>
      <c r="J511" s="27"/>
      <c r="K511" s="27"/>
      <c r="L511" s="27"/>
      <c r="M511" s="27"/>
      <c r="N511" s="27"/>
      <c r="O511" s="27"/>
      <c r="P511" s="27"/>
      <c r="Q511" s="27"/>
      <c r="R511" s="27"/>
      <c r="S511" s="27"/>
      <c r="T511" s="27"/>
      <c r="U511" s="27"/>
      <c r="V511" s="27"/>
      <c r="W511" s="10" t="str">
        <f aca="false">IFERROR(INDEX(設定!$E$61:$E$106,MATCH(B511,設定!$B$61:$B$106,0)),"合算")</f>
        <v>合算</v>
      </c>
      <c r="X511" s="28"/>
      <c r="Y511" s="29" t="str">
        <f aca="false">IF(OR(G511="",G511="なし"),"",IF(W511="合算",CF511,IF(W511="掛金・負担金別",(AU511+AV511+AZ511+BB511+BD511),SUM(AU511:AY511))))</f>
        <v/>
      </c>
      <c r="Z511" s="27"/>
      <c r="AA511" s="29" t="str">
        <f aca="false">IF(OR(G511="",G511="なし"),"",IF(W511="掛金・負担金別",(AW511+AX511+AY511+BA511+BC511+BE511),IF(W511="経理区分別",AZ511+BA511,"")))</f>
        <v/>
      </c>
      <c r="AB511" s="27"/>
      <c r="AC511" s="29" t="str">
        <f aca="false">IF(OR(G511="",G511="なし"),"",IF(W511="経理区分別",BB511+BC511,""))</f>
        <v/>
      </c>
      <c r="AD511" s="27"/>
      <c r="AE511" s="29" t="str">
        <f aca="false">IF(OR(G511="",G511="なし"),"",IF(W511="経理区分別",BD511+BE511,""))</f>
        <v/>
      </c>
      <c r="AF511" s="27"/>
      <c r="AG511" s="26"/>
      <c r="AH511" s="26"/>
      <c r="AI511" s="30"/>
      <c r="AJ511" s="31"/>
      <c r="AK511" s="31"/>
      <c r="AL511" s="31"/>
      <c r="AM511" s="31"/>
      <c r="AN511" s="31"/>
      <c r="AO511" s="31"/>
      <c r="AP511" s="31"/>
      <c r="AQ511" s="31"/>
      <c r="AR511" s="31"/>
      <c r="AS511" s="31"/>
      <c r="AT511" s="31"/>
      <c r="AU511" s="31" t="n">
        <f aca="false">IF($G511="",AJ511,L511)</f>
        <v>0</v>
      </c>
      <c r="AV511" s="31" t="n">
        <f aca="false">IF($G511="",AK511,M511)</f>
        <v>0</v>
      </c>
      <c r="AW511" s="31" t="n">
        <f aca="false">IF($G511="",AL511,N511)</f>
        <v>0</v>
      </c>
      <c r="AX511" s="31" t="n">
        <f aca="false">IF($G511="",AM511,O511)</f>
        <v>0</v>
      </c>
      <c r="AY511" s="31" t="n">
        <f aca="false">IF($G511="",AN511,P511)</f>
        <v>0</v>
      </c>
      <c r="AZ511" s="31" t="n">
        <f aca="false">IF($G511="",AO511,Q511)</f>
        <v>0</v>
      </c>
      <c r="BA511" s="31" t="n">
        <f aca="false">IF($G511="",AP511,R511)</f>
        <v>0</v>
      </c>
      <c r="BB511" s="31" t="n">
        <f aca="false">IF($G511="",AQ511,S511)</f>
        <v>0</v>
      </c>
      <c r="BC511" s="31" t="n">
        <f aca="false">IF($G511="",AR511,T511)</f>
        <v>0</v>
      </c>
      <c r="BD511" s="31" t="n">
        <f aca="false">IF($G511="",AS511,U511)</f>
        <v>0</v>
      </c>
      <c r="BE511" s="31" t="n">
        <f aca="false">IF($G511="",AT511,V511)</f>
        <v>0</v>
      </c>
      <c r="BF511" s="31" t="n">
        <f aca="false">ROUNDDOWN(I511*設定!$B$10/1000,0)+ROUNDDOWN(I511*設定!$B$11/1000,0)</f>
        <v>0</v>
      </c>
      <c r="BG511" s="31" t="n">
        <f aca="false">ROUNDDOWN(I511*設定!$C$10/1000,0)+ROUNDDOWN(I511*設定!$C$11/1000,0)+ROUNDDOWN(I511*設定!$C$12/1000,0)</f>
        <v>0</v>
      </c>
      <c r="BH511" s="31" t="n">
        <f aca="false">ROUNDDOWN(J511*設定!$B$13/1000,0)</f>
        <v>0</v>
      </c>
      <c r="BI511" s="31" t="n">
        <f aca="false">ROUNDDOWN(J511*設定!$C$13/1000,0)</f>
        <v>0</v>
      </c>
      <c r="BJ511" s="31" t="n">
        <f aca="false">ROUNDDOWN(K511*設定!$B$14/1000,0)</f>
        <v>0</v>
      </c>
      <c r="BK511" s="31" t="n">
        <f aca="false">ROUNDDOWN(K511*設定!$C$14/1000,0)</f>
        <v>0</v>
      </c>
      <c r="BL511" s="31" t="n">
        <f aca="false">ROUNDDOWN(J511*設定!$B$15/1000,0)</f>
        <v>0</v>
      </c>
      <c r="BM511" s="31" t="n">
        <f aca="false">ROUNDDOWN(J511*設定!$C$15/1000,0)</f>
        <v>0</v>
      </c>
      <c r="BN511" s="31" t="n">
        <f aca="false">L511+M511</f>
        <v>0</v>
      </c>
      <c r="BO511" s="31" t="n">
        <f aca="false">N511+O511+P511</f>
        <v>0</v>
      </c>
      <c r="BP511" s="31" t="n">
        <f aca="false">Q511</f>
        <v>0</v>
      </c>
      <c r="BQ511" s="31" t="n">
        <f aca="false">R511</f>
        <v>0</v>
      </c>
      <c r="BR511" s="31" t="n">
        <f aca="false">S511</f>
        <v>0</v>
      </c>
      <c r="BS511" s="31" t="n">
        <f aca="false">T511</f>
        <v>0</v>
      </c>
      <c r="BT511" s="31" t="n">
        <f aca="false">U511</f>
        <v>0</v>
      </c>
      <c r="BU511" s="31" t="n">
        <f aca="false">V511</f>
        <v>0</v>
      </c>
      <c r="BV511" s="32" t="n">
        <f aca="false">IF(BF511=0,IF(BN511=0,0,1),(BN511-BF511)/BF511)</f>
        <v>0</v>
      </c>
      <c r="BW511" s="32" t="n">
        <f aca="false">IF(BG511=0,IF(BO511=0,0,1),(BO511-BG511)/BG511)</f>
        <v>0</v>
      </c>
      <c r="BX511" s="32" t="n">
        <f aca="false">IF(BH511=0,IF(BP511=0,0,1),(BP511-BH511)/BH511)</f>
        <v>0</v>
      </c>
      <c r="BY511" s="32" t="n">
        <f aca="false">IF(BI511=0,IF(BQ511=0,0,1),(BQ511-BI511)/BI511)</f>
        <v>0</v>
      </c>
      <c r="BZ511" s="32" t="n">
        <f aca="false">IF(BJ511=0,IF(BR511=0,0,1),(BR511-BJ511)/BJ511)</f>
        <v>0</v>
      </c>
      <c r="CA511" s="32" t="n">
        <f aca="false">IF(BK511=0,IF(BS511=0,0,1),(BS511-BK511)/BK511)</f>
        <v>0</v>
      </c>
      <c r="CB511" s="32" t="n">
        <f aca="false">IF(BL511=0,IF(BT511=0,0,1),(BT511-BL511)/BL511)</f>
        <v>0</v>
      </c>
      <c r="CC511" s="32" t="n">
        <f aca="false">IF(BM511=0,IF(BU511=0,0,1),(BU511-BM511)/BM511)</f>
        <v>0</v>
      </c>
      <c r="CD511" s="32" t="n">
        <f aca="false">MAX(MAX(BV511:CC511),-MIN(BV511:CC511))</f>
        <v>-0</v>
      </c>
      <c r="CE511" s="31" t="n">
        <f aca="false">IF(CI511="","",SUMIFS($CF$7:$CF$696,$A$7:$A$696,CI511,$B$7:$B$696,B511))</f>
        <v>0</v>
      </c>
      <c r="CF511" s="31" t="n">
        <f aca="false">SUM(AU511:BE511)</f>
        <v>0</v>
      </c>
      <c r="CG511" s="33" t="str">
        <f aca="false">A511&amp;"|"&amp;B511</f>
        <v>2026-12 月例|水道労働組合</v>
      </c>
      <c r="CH511" s="34" t="str">
        <f aca="false">IFERROR(INDEX(設定!$D$61:$D$106,MATCH(B511,設定!$B$61:$B$106,0)),"Y")</f>
        <v>Y</v>
      </c>
      <c r="CI511" s="34" t="str">
        <f aca="false">IFERROR(INDEX(設定!$D$20:$D$34,MATCH(A511,設定!$A$20:$A$34,0))&amp;"","")</f>
        <v>2026-11 月例</v>
      </c>
    </row>
    <row r="512" customFormat="false" ht="15" hidden="true" customHeight="false" outlineLevel="0" collapsed="false">
      <c r="A512" s="22" t="s">
        <v>218</v>
      </c>
      <c r="B512" s="23" t="s">
        <v>206</v>
      </c>
      <c r="C512" s="10" t="str">
        <f aca="false">IF(G512="","未受領",IF(G512="なし","報告なし",IF(AH512="○","起票済",IF(OR(AG512="○",F512="一致",F512="入金不要"),"入金確認済","受領済"))))</f>
        <v>未受領</v>
      </c>
      <c r="D512" s="10" t="str">
        <f aca="false">IF(OR(G512="",G512="なし"),"―",IF(CH512="N","対象外",IF(AND(I512="",J512="",K512=""),"標報未入力",IF(CD512&gt;=設定!$B$4,"要確認","問題なし"))))</f>
        <v>―</v>
      </c>
      <c r="E512" s="24" t="str">
        <f aca="false">IF(OR(G512="",G512="なし",CE512="",CF512=0),"―",IF(CF512=CE512,"前月同額",IF(CE512=0,"―",IF(ABS(CF512/CE512-1)&gt;=設定!$B$5,"変動大 "&amp;TEXT(CF512/CE512-1,"+0%;-0%"),"〇"))))</f>
        <v>―</v>
      </c>
      <c r="F512" s="10" t="str">
        <f aca="false">IF(OR(G512="",G512="なし"),"―",IF(CF512=0,"入金不要",IF(COUNT(Z512,AB512,AD512,AF512)=0,IF(AG512="○","手動確認","未入金"),IF(AND(N(Z512)=Y512,IF(AA512="",TRUE(),N(AB512)=AA512),IF(AC512="",TRUE(),N(AD512)=AC512),IF(AE512="",TRUE(),N(AF512)=AE512)),"一致","不一致"))))</f>
        <v>―</v>
      </c>
      <c r="G512" s="25"/>
      <c r="H512" s="26"/>
      <c r="I512" s="27"/>
      <c r="J512" s="27"/>
      <c r="K512" s="27"/>
      <c r="L512" s="27"/>
      <c r="M512" s="27"/>
      <c r="N512" s="27"/>
      <c r="O512" s="27"/>
      <c r="P512" s="27"/>
      <c r="Q512" s="27"/>
      <c r="R512" s="27"/>
      <c r="S512" s="27"/>
      <c r="T512" s="27"/>
      <c r="U512" s="27"/>
      <c r="V512" s="27"/>
      <c r="W512" s="10" t="str">
        <f aca="false">IFERROR(INDEX(設定!$E$61:$E$106,MATCH(B512,設定!$B$61:$B$106,0)),"合算")</f>
        <v>合算</v>
      </c>
      <c r="X512" s="28"/>
      <c r="Y512" s="29" t="str">
        <f aca="false">IF(OR(G512="",G512="なし"),"",IF(W512="合算",CF512,IF(W512="掛金・負担金別",(AU512+AV512+AZ512+BB512+BD512),SUM(AU512:AY512))))</f>
        <v/>
      </c>
      <c r="Z512" s="27"/>
      <c r="AA512" s="29" t="str">
        <f aca="false">IF(OR(G512="",G512="なし"),"",IF(W512="掛金・負担金別",(AW512+AX512+AY512+BA512+BC512+BE512),IF(W512="経理区分別",AZ512+BA512,"")))</f>
        <v/>
      </c>
      <c r="AB512" s="27"/>
      <c r="AC512" s="29" t="str">
        <f aca="false">IF(OR(G512="",G512="なし"),"",IF(W512="経理区分別",BB512+BC512,""))</f>
        <v/>
      </c>
      <c r="AD512" s="27"/>
      <c r="AE512" s="29" t="str">
        <f aca="false">IF(OR(G512="",G512="なし"),"",IF(W512="経理区分別",BD512+BE512,""))</f>
        <v/>
      </c>
      <c r="AF512" s="27"/>
      <c r="AG512" s="26"/>
      <c r="AH512" s="26"/>
      <c r="AI512" s="30"/>
      <c r="AJ512" s="31"/>
      <c r="AK512" s="31"/>
      <c r="AL512" s="31"/>
      <c r="AM512" s="31"/>
      <c r="AN512" s="31"/>
      <c r="AO512" s="31" t="n">
        <v>1270075</v>
      </c>
      <c r="AP512" s="31"/>
      <c r="AQ512" s="31" t="n">
        <v>77228</v>
      </c>
      <c r="AR512" s="31"/>
      <c r="AS512" s="31" t="n">
        <v>1</v>
      </c>
      <c r="AT512" s="31"/>
      <c r="AU512" s="31" t="n">
        <f aca="false">IF($G512="",AJ512,L512)</f>
        <v>0</v>
      </c>
      <c r="AV512" s="31" t="n">
        <f aca="false">IF($G512="",AK512,M512)</f>
        <v>0</v>
      </c>
      <c r="AW512" s="31" t="n">
        <f aca="false">IF($G512="",AL512,N512)</f>
        <v>0</v>
      </c>
      <c r="AX512" s="31" t="n">
        <f aca="false">IF($G512="",AM512,O512)</f>
        <v>0</v>
      </c>
      <c r="AY512" s="31" t="n">
        <f aca="false">IF($G512="",AN512,P512)</f>
        <v>0</v>
      </c>
      <c r="AZ512" s="31" t="n">
        <f aca="false">IF($G512="",AO512,Q512)</f>
        <v>1270075</v>
      </c>
      <c r="BA512" s="31" t="n">
        <f aca="false">IF($G512="",AP512,R512)</f>
        <v>0</v>
      </c>
      <c r="BB512" s="31" t="n">
        <f aca="false">IF($G512="",AQ512,S512)</f>
        <v>77228</v>
      </c>
      <c r="BC512" s="31" t="n">
        <f aca="false">IF($G512="",AR512,T512)</f>
        <v>0</v>
      </c>
      <c r="BD512" s="31" t="n">
        <f aca="false">IF($G512="",AS512,U512)</f>
        <v>1</v>
      </c>
      <c r="BE512" s="31" t="n">
        <f aca="false">IF($G512="",AT512,V512)</f>
        <v>0</v>
      </c>
      <c r="BF512" s="31" t="n">
        <f aca="false">ROUNDDOWN(I512*設定!$B$10/1000,0)+ROUNDDOWN(I512*設定!$B$11/1000,0)</f>
        <v>0</v>
      </c>
      <c r="BG512" s="31" t="n">
        <f aca="false">ROUNDDOWN(I512*設定!$C$10/1000,0)+ROUNDDOWN(I512*設定!$C$11/1000,0)+ROUNDDOWN(I512*設定!$C$12/1000,0)</f>
        <v>0</v>
      </c>
      <c r="BH512" s="31" t="n">
        <f aca="false">ROUNDDOWN(J512*設定!$B$13/1000,0)</f>
        <v>0</v>
      </c>
      <c r="BI512" s="31" t="n">
        <f aca="false">ROUNDDOWN(J512*設定!$C$13/1000,0)</f>
        <v>0</v>
      </c>
      <c r="BJ512" s="31" t="n">
        <f aca="false">ROUNDDOWN(K512*設定!$B$14/1000,0)</f>
        <v>0</v>
      </c>
      <c r="BK512" s="31" t="n">
        <f aca="false">ROUNDDOWN(K512*設定!$C$14/1000,0)</f>
        <v>0</v>
      </c>
      <c r="BL512" s="31" t="n">
        <f aca="false">ROUNDDOWN(J512*設定!$B$15/1000,0)</f>
        <v>0</v>
      </c>
      <c r="BM512" s="31" t="n">
        <f aca="false">ROUNDDOWN(J512*設定!$C$15/1000,0)</f>
        <v>0</v>
      </c>
      <c r="BN512" s="31" t="n">
        <f aca="false">L512+M512</f>
        <v>0</v>
      </c>
      <c r="BO512" s="31" t="n">
        <f aca="false">N512+O512+P512</f>
        <v>0</v>
      </c>
      <c r="BP512" s="31" t="n">
        <f aca="false">Q512</f>
        <v>0</v>
      </c>
      <c r="BQ512" s="31" t="n">
        <f aca="false">R512</f>
        <v>0</v>
      </c>
      <c r="BR512" s="31" t="n">
        <f aca="false">S512</f>
        <v>0</v>
      </c>
      <c r="BS512" s="31" t="n">
        <f aca="false">T512</f>
        <v>0</v>
      </c>
      <c r="BT512" s="31" t="n">
        <f aca="false">U512</f>
        <v>0</v>
      </c>
      <c r="BU512" s="31" t="n">
        <f aca="false">V512</f>
        <v>0</v>
      </c>
      <c r="BV512" s="32" t="n">
        <f aca="false">IF(BF512=0,IF(BN512=0,0,1),(BN512-BF512)/BF512)</f>
        <v>0</v>
      </c>
      <c r="BW512" s="32" t="n">
        <f aca="false">IF(BG512=0,IF(BO512=0,0,1),(BO512-BG512)/BG512)</f>
        <v>0</v>
      </c>
      <c r="BX512" s="32" t="n">
        <f aca="false">IF(BH512=0,IF(BP512=0,0,1),(BP512-BH512)/BH512)</f>
        <v>0</v>
      </c>
      <c r="BY512" s="32" t="n">
        <f aca="false">IF(BI512=0,IF(BQ512=0,0,1),(BQ512-BI512)/BI512)</f>
        <v>0</v>
      </c>
      <c r="BZ512" s="32" t="n">
        <f aca="false">IF(BJ512=0,IF(BR512=0,0,1),(BR512-BJ512)/BJ512)</f>
        <v>0</v>
      </c>
      <c r="CA512" s="32" t="n">
        <f aca="false">IF(BK512=0,IF(BS512=0,0,1),(BS512-BK512)/BK512)</f>
        <v>0</v>
      </c>
      <c r="CB512" s="32" t="n">
        <f aca="false">IF(BL512=0,IF(BT512=0,0,1),(BT512-BL512)/BL512)</f>
        <v>0</v>
      </c>
      <c r="CC512" s="32" t="n">
        <f aca="false">IF(BM512=0,IF(BU512=0,0,1),(BU512-BM512)/BM512)</f>
        <v>0</v>
      </c>
      <c r="CD512" s="32" t="n">
        <f aca="false">MAX(MAX(BV512:CC512),-MIN(BV512:CC512))</f>
        <v>-0</v>
      </c>
      <c r="CE512" s="31" t="n">
        <f aca="false">IF(CI512="","",SUMIFS($CF$7:$CF$696,$A$7:$A$696,CI512,$B$7:$B$696,B512))</f>
        <v>1456951</v>
      </c>
      <c r="CF512" s="31" t="n">
        <f aca="false">SUM(AU512:BE512)</f>
        <v>1347304</v>
      </c>
      <c r="CG512" s="33" t="str">
        <f aca="false">A512&amp;"|"&amp;B512</f>
        <v>2026-12 月例|任意継続組合員</v>
      </c>
      <c r="CH512" s="34" t="str">
        <f aca="false">IFERROR(INDEX(設定!$D$61:$D$106,MATCH(B512,設定!$B$61:$B$106,0)),"Y")</f>
        <v>N</v>
      </c>
      <c r="CI512" s="34" t="str">
        <f aca="false">IFERROR(INDEX(設定!$D$20:$D$34,MATCH(A512,設定!$A$20:$A$34,0))&amp;"","")</f>
        <v>2026-11 月例</v>
      </c>
    </row>
    <row r="513" customFormat="false" ht="15" hidden="true" customHeight="false" outlineLevel="0" collapsed="false">
      <c r="A513" s="22" t="s">
        <v>219</v>
      </c>
      <c r="B513" s="23" t="s">
        <v>158</v>
      </c>
      <c r="C513" s="10" t="str">
        <f aca="false">IF(G513="","未受領",IF(G513="なし","報告なし",IF(AH513="○","起票済",IF(OR(AG513="○",F513="一致",F513="入金不要"),"入金確認済","受領済"))))</f>
        <v>未受領</v>
      </c>
      <c r="D513" s="10" t="str">
        <f aca="false">IF(OR(G513="",G513="なし"),"―",IF(CH513="N","対象外",IF(AND(I513="",J513="",K513=""),"標報未入力",IF(CD513&gt;=設定!$B$4,"要確認","問題なし"))))</f>
        <v>―</v>
      </c>
      <c r="E513" s="24" t="str">
        <f aca="false">IF(OR(G513="",G513="なし",CE513="",CF513=0),"―",IF(CF513=CE513,"前月同額",IF(CE513=0,"―",IF(ABS(CF513/CE513-1)&gt;=設定!$B$5,"変動大 "&amp;TEXT(CF513/CE513-1,"+0%;-0%"),"〇"))))</f>
        <v>―</v>
      </c>
      <c r="F513" s="10" t="str">
        <f aca="false">IF(OR(G513="",G513="なし"),"―",IF(CF513=0,"入金不要",IF(COUNT(Z513,AB513,AD513,AF513)=0,IF(AG513="○","手動確認","未入金"),IF(AND(N(Z513)=Y513,IF(AA513="",TRUE(),N(AB513)=AA513),IF(AC513="",TRUE(),N(AD513)=AC513),IF(AE513="",TRUE(),N(AF513)=AE513)),"一致","不一致"))))</f>
        <v>―</v>
      </c>
      <c r="G513" s="25"/>
      <c r="H513" s="26"/>
      <c r="I513" s="27"/>
      <c r="J513" s="27"/>
      <c r="K513" s="27"/>
      <c r="L513" s="27"/>
      <c r="M513" s="27"/>
      <c r="N513" s="27"/>
      <c r="O513" s="27"/>
      <c r="P513" s="27"/>
      <c r="Q513" s="27"/>
      <c r="R513" s="27"/>
      <c r="S513" s="27"/>
      <c r="T513" s="27"/>
      <c r="U513" s="27"/>
      <c r="V513" s="27"/>
      <c r="W513" s="10" t="str">
        <f aca="false">IFERROR(INDEX(設定!$E$61:$E$106,MATCH(B513,設定!$B$61:$B$106,0)),"合算")</f>
        <v>合算</v>
      </c>
      <c r="X513" s="28"/>
      <c r="Y513" s="29" t="str">
        <f aca="false">IF(OR(G513="",G513="なし"),"",IF(W513="合算",CF513,IF(W513="掛金・負担金別",(AU513+AV513+AZ513+BB513+BD513),SUM(AU513:AY513))))</f>
        <v/>
      </c>
      <c r="Z513" s="27"/>
      <c r="AA513" s="29" t="str">
        <f aca="false">IF(OR(G513="",G513="なし"),"",IF(W513="掛金・負担金別",(AW513+AX513+AY513+BA513+BC513+BE513),IF(W513="経理区分別",AZ513+BA513,"")))</f>
        <v/>
      </c>
      <c r="AB513" s="27"/>
      <c r="AC513" s="29" t="str">
        <f aca="false">IF(OR(G513="",G513="なし"),"",IF(W513="経理区分別",BB513+BC513,""))</f>
        <v/>
      </c>
      <c r="AD513" s="27"/>
      <c r="AE513" s="29" t="str">
        <f aca="false">IF(OR(G513="",G513="なし"),"",IF(W513="経理区分別",BD513+BE513,""))</f>
        <v/>
      </c>
      <c r="AF513" s="27"/>
      <c r="AG513" s="26"/>
      <c r="AH513" s="26"/>
      <c r="AI513" s="30"/>
      <c r="AJ513" s="31" t="n">
        <v>233353275</v>
      </c>
      <c r="AK513" s="31" t="n">
        <v>19132194</v>
      </c>
      <c r="AL513" s="31" t="n">
        <v>339862897</v>
      </c>
      <c r="AM513" s="31" t="n">
        <v>18614235</v>
      </c>
      <c r="AN513" s="31" t="n">
        <v>245746</v>
      </c>
      <c r="AO513" s="31" t="n">
        <v>180638089</v>
      </c>
      <c r="AP513" s="31" t="n">
        <v>180025030</v>
      </c>
      <c r="AQ513" s="31" t="n">
        <v>15853222</v>
      </c>
      <c r="AR513" s="31" t="n">
        <v>15423172</v>
      </c>
      <c r="AS513" s="31" t="n">
        <v>1</v>
      </c>
      <c r="AT513" s="31" t="n">
        <v>1</v>
      </c>
      <c r="AU513" s="31" t="n">
        <f aca="false">IF($G513="",AJ513,L513)</f>
        <v>233353275</v>
      </c>
      <c r="AV513" s="31" t="n">
        <f aca="false">IF($G513="",AK513,M513)</f>
        <v>19132194</v>
      </c>
      <c r="AW513" s="31" t="n">
        <f aca="false">IF($G513="",AL513,N513)</f>
        <v>339862897</v>
      </c>
      <c r="AX513" s="31" t="n">
        <f aca="false">IF($G513="",AM513,O513)</f>
        <v>18614235</v>
      </c>
      <c r="AY513" s="31" t="n">
        <f aca="false">IF($G513="",AN513,P513)</f>
        <v>245746</v>
      </c>
      <c r="AZ513" s="31" t="n">
        <f aca="false">IF($G513="",AO513,Q513)</f>
        <v>180638089</v>
      </c>
      <c r="BA513" s="31" t="n">
        <f aca="false">IF($G513="",AP513,R513)</f>
        <v>180025030</v>
      </c>
      <c r="BB513" s="31" t="n">
        <f aca="false">IF($G513="",AQ513,S513)</f>
        <v>15853222</v>
      </c>
      <c r="BC513" s="31" t="n">
        <f aca="false">IF($G513="",AR513,T513)</f>
        <v>15423172</v>
      </c>
      <c r="BD513" s="31" t="n">
        <f aca="false">IF($G513="",AS513,U513)</f>
        <v>1</v>
      </c>
      <c r="BE513" s="31" t="n">
        <f aca="false">IF($G513="",AT513,V513)</f>
        <v>1</v>
      </c>
      <c r="BF513" s="31" t="n">
        <f aca="false">ROUNDDOWN(I513*設定!$B$10/1000,0)+ROUNDDOWN(I513*設定!$B$11/1000,0)</f>
        <v>0</v>
      </c>
      <c r="BG513" s="31" t="n">
        <f aca="false">ROUNDDOWN(I513*設定!$C$10/1000,0)+ROUNDDOWN(I513*設定!$C$11/1000,0)+ROUNDDOWN(I513*設定!$C$12/1000,0)</f>
        <v>0</v>
      </c>
      <c r="BH513" s="31" t="n">
        <f aca="false">ROUNDDOWN(J513*設定!$B$13/1000,0)</f>
        <v>0</v>
      </c>
      <c r="BI513" s="31" t="n">
        <f aca="false">ROUNDDOWN(J513*設定!$C$13/1000,0)</f>
        <v>0</v>
      </c>
      <c r="BJ513" s="31" t="n">
        <f aca="false">ROUNDDOWN(K513*設定!$B$14/1000,0)</f>
        <v>0</v>
      </c>
      <c r="BK513" s="31" t="n">
        <f aca="false">ROUNDDOWN(K513*設定!$C$14/1000,0)</f>
        <v>0</v>
      </c>
      <c r="BL513" s="31" t="n">
        <f aca="false">ROUNDDOWN(J513*設定!$B$15/1000,0)</f>
        <v>0</v>
      </c>
      <c r="BM513" s="31" t="n">
        <f aca="false">ROUNDDOWN(J513*設定!$C$15/1000,0)</f>
        <v>0</v>
      </c>
      <c r="BN513" s="31" t="n">
        <f aca="false">L513+M513</f>
        <v>0</v>
      </c>
      <c r="BO513" s="31" t="n">
        <f aca="false">N513+O513+P513</f>
        <v>0</v>
      </c>
      <c r="BP513" s="31" t="n">
        <f aca="false">Q513</f>
        <v>0</v>
      </c>
      <c r="BQ513" s="31" t="n">
        <f aca="false">R513</f>
        <v>0</v>
      </c>
      <c r="BR513" s="31" t="n">
        <f aca="false">S513</f>
        <v>0</v>
      </c>
      <c r="BS513" s="31" t="n">
        <f aca="false">T513</f>
        <v>0</v>
      </c>
      <c r="BT513" s="31" t="n">
        <f aca="false">U513</f>
        <v>0</v>
      </c>
      <c r="BU513" s="31" t="n">
        <f aca="false">V513</f>
        <v>0</v>
      </c>
      <c r="BV513" s="32" t="n">
        <f aca="false">IF(BF513=0,IF(BN513=0,0,1),(BN513-BF513)/BF513)</f>
        <v>0</v>
      </c>
      <c r="BW513" s="32" t="n">
        <f aca="false">IF(BG513=0,IF(BO513=0,0,1),(BO513-BG513)/BG513)</f>
        <v>0</v>
      </c>
      <c r="BX513" s="32" t="n">
        <f aca="false">IF(BH513=0,IF(BP513=0,0,1),(BP513-BH513)/BH513)</f>
        <v>0</v>
      </c>
      <c r="BY513" s="32" t="n">
        <f aca="false">IF(BI513=0,IF(BQ513=0,0,1),(BQ513-BI513)/BI513)</f>
        <v>0</v>
      </c>
      <c r="BZ513" s="32" t="n">
        <f aca="false">IF(BJ513=0,IF(BR513=0,0,1),(BR513-BJ513)/BJ513)</f>
        <v>0</v>
      </c>
      <c r="CA513" s="32" t="n">
        <f aca="false">IF(BK513=0,IF(BS513=0,0,1),(BS513-BK513)/BK513)</f>
        <v>0</v>
      </c>
      <c r="CB513" s="32" t="n">
        <f aca="false">IF(BL513=0,IF(BT513=0,0,1),(BT513-BL513)/BL513)</f>
        <v>0</v>
      </c>
      <c r="CC513" s="32" t="n">
        <f aca="false">IF(BM513=0,IF(BU513=0,0,1),(BU513-BM513)/BM513)</f>
        <v>0</v>
      </c>
      <c r="CD513" s="32" t="n">
        <f aca="false">MAX(MAX(BV513:CC513),-MIN(BV513:CC513))</f>
        <v>-0</v>
      </c>
      <c r="CE513" s="31" t="n">
        <f aca="false">IF(CI513="","",SUMIFS($CF$7:$CF$696,$A$7:$A$696,CI513,$B$7:$B$696,B513))</f>
        <v>1002163110</v>
      </c>
      <c r="CF513" s="31" t="n">
        <f aca="false">SUM(AU513:BE513)</f>
        <v>1003147862</v>
      </c>
      <c r="CG513" s="33" t="str">
        <f aca="false">A513&amp;"|"&amp;B513</f>
        <v>2027-01 月例|市長部局</v>
      </c>
      <c r="CH513" s="34" t="str">
        <f aca="false">IFERROR(INDEX(設定!$D$61:$D$106,MATCH(B513,設定!$B$61:$B$106,0)),"Y")</f>
        <v>N</v>
      </c>
      <c r="CI513" s="34" t="str">
        <f aca="false">IFERROR(INDEX(設定!$D$20:$D$34,MATCH(A513,設定!$A$20:$A$34,0))&amp;"","")</f>
        <v>2026-12 月例</v>
      </c>
    </row>
    <row r="514" customFormat="false" ht="15" hidden="true" customHeight="false" outlineLevel="0" collapsed="false">
      <c r="A514" s="22" t="s">
        <v>219</v>
      </c>
      <c r="B514" s="23" t="s">
        <v>161</v>
      </c>
      <c r="C514" s="10" t="str">
        <f aca="false">IF(G514="","未受領",IF(G514="なし","報告なし",IF(AH514="○","起票済",IF(OR(AG514="○",F514="一致",F514="入金不要"),"入金確認済","受領済"))))</f>
        <v>未受領</v>
      </c>
      <c r="D514" s="10" t="str">
        <f aca="false">IF(OR(G514="",G514="なし"),"―",IF(CH514="N","対象外",IF(AND(I514="",J514="",K514=""),"標報未入力",IF(CD514&gt;=設定!$B$4,"要確認","問題なし"))))</f>
        <v>―</v>
      </c>
      <c r="E514" s="24" t="str">
        <f aca="false">IF(OR(G514="",G514="なし",CE514="",CF514=0),"―",IF(CF514=CE514,"前月同額",IF(CE514=0,"―",IF(ABS(CF514/CE514-1)&gt;=設定!$B$5,"変動大 "&amp;TEXT(CF514/CE514-1,"+0%;-0%"),"〇"))))</f>
        <v>―</v>
      </c>
      <c r="F514" s="10" t="str">
        <f aca="false">IF(OR(G514="",G514="なし"),"―",IF(CF514=0,"入金不要",IF(COUNT(Z514,AB514,AD514,AF514)=0,IF(AG514="○","手動確認","未入金"),IF(AND(N(Z514)=Y514,IF(AA514="",TRUE(),N(AB514)=AA514),IF(AC514="",TRUE(),N(AD514)=AC514),IF(AE514="",TRUE(),N(AF514)=AE514)),"一致","不一致"))))</f>
        <v>―</v>
      </c>
      <c r="G514" s="25"/>
      <c r="H514" s="26"/>
      <c r="I514" s="27"/>
      <c r="J514" s="27"/>
      <c r="K514" s="27"/>
      <c r="L514" s="27"/>
      <c r="M514" s="27"/>
      <c r="N514" s="27"/>
      <c r="O514" s="27"/>
      <c r="P514" s="27"/>
      <c r="Q514" s="27"/>
      <c r="R514" s="27"/>
      <c r="S514" s="27"/>
      <c r="T514" s="27"/>
      <c r="U514" s="27"/>
      <c r="V514" s="27"/>
      <c r="W514" s="10" t="str">
        <f aca="false">IFERROR(INDEX(設定!$E$61:$E$106,MATCH(B514,設定!$B$61:$B$106,0)),"合算")</f>
        <v>合算</v>
      </c>
      <c r="X514" s="28"/>
      <c r="Y514" s="29" t="str">
        <f aca="false">IF(OR(G514="",G514="なし"),"",IF(W514="合算",CF514,IF(W514="掛金・負担金別",(AU514+AV514+AZ514+BB514+BD514),SUM(AU514:AY514))))</f>
        <v/>
      </c>
      <c r="Z514" s="27"/>
      <c r="AA514" s="29" t="str">
        <f aca="false">IF(OR(G514="",G514="なし"),"",IF(W514="掛金・負担金別",(AW514+AX514+AY514+BA514+BC514+BE514),IF(W514="経理区分別",AZ514+BA514,"")))</f>
        <v/>
      </c>
      <c r="AB514" s="27"/>
      <c r="AC514" s="29" t="str">
        <f aca="false">IF(OR(G514="",G514="なし"),"",IF(W514="経理区分別",BB514+BC514,""))</f>
        <v/>
      </c>
      <c r="AD514" s="27"/>
      <c r="AE514" s="29" t="str">
        <f aca="false">IF(OR(G514="",G514="なし"),"",IF(W514="経理区分別",BD514+BE514,""))</f>
        <v/>
      </c>
      <c r="AF514" s="27"/>
      <c r="AG514" s="26"/>
      <c r="AH514" s="26"/>
      <c r="AI514" s="30"/>
      <c r="AJ514" s="31" t="n">
        <v>16576140</v>
      </c>
      <c r="AK514" s="31" t="n">
        <v>1358700</v>
      </c>
      <c r="AL514" s="31" t="n">
        <v>24202440</v>
      </c>
      <c r="AM514" s="31" t="n">
        <v>1362225</v>
      </c>
      <c r="AN514" s="31" t="n">
        <v>17152</v>
      </c>
      <c r="AO514" s="31" t="n">
        <v>10382615</v>
      </c>
      <c r="AP514" s="31" t="n">
        <v>10593257</v>
      </c>
      <c r="AQ514" s="31" t="n">
        <v>1034614</v>
      </c>
      <c r="AR514" s="31" t="n">
        <v>1038327</v>
      </c>
      <c r="AS514" s="31" t="n">
        <v>1</v>
      </c>
      <c r="AT514" s="31" t="n">
        <v>1</v>
      </c>
      <c r="AU514" s="31" t="n">
        <f aca="false">IF($G514="",AJ514,L514)</f>
        <v>16576140</v>
      </c>
      <c r="AV514" s="31" t="n">
        <f aca="false">IF($G514="",AK514,M514)</f>
        <v>1358700</v>
      </c>
      <c r="AW514" s="31" t="n">
        <f aca="false">IF($G514="",AL514,N514)</f>
        <v>24202440</v>
      </c>
      <c r="AX514" s="31" t="n">
        <f aca="false">IF($G514="",AM514,O514)</f>
        <v>1362225</v>
      </c>
      <c r="AY514" s="31" t="n">
        <f aca="false">IF($G514="",AN514,P514)</f>
        <v>17152</v>
      </c>
      <c r="AZ514" s="31" t="n">
        <f aca="false">IF($G514="",AO514,Q514)</f>
        <v>10382615</v>
      </c>
      <c r="BA514" s="31" t="n">
        <f aca="false">IF($G514="",AP514,R514)</f>
        <v>10593257</v>
      </c>
      <c r="BB514" s="31" t="n">
        <f aca="false">IF($G514="",AQ514,S514)</f>
        <v>1034614</v>
      </c>
      <c r="BC514" s="31" t="n">
        <f aca="false">IF($G514="",AR514,T514)</f>
        <v>1038327</v>
      </c>
      <c r="BD514" s="31" t="n">
        <f aca="false">IF($G514="",AS514,U514)</f>
        <v>1</v>
      </c>
      <c r="BE514" s="31" t="n">
        <f aca="false">IF($G514="",AT514,V514)</f>
        <v>1</v>
      </c>
      <c r="BF514" s="31" t="n">
        <f aca="false">ROUNDDOWN(I514*設定!$B$10/1000,0)+ROUNDDOWN(I514*設定!$B$11/1000,0)</f>
        <v>0</v>
      </c>
      <c r="BG514" s="31" t="n">
        <f aca="false">ROUNDDOWN(I514*設定!$C$10/1000,0)+ROUNDDOWN(I514*設定!$C$11/1000,0)+ROUNDDOWN(I514*設定!$C$12/1000,0)</f>
        <v>0</v>
      </c>
      <c r="BH514" s="31" t="n">
        <f aca="false">ROUNDDOWN(J514*設定!$B$13/1000,0)</f>
        <v>0</v>
      </c>
      <c r="BI514" s="31" t="n">
        <f aca="false">ROUNDDOWN(J514*設定!$C$13/1000,0)</f>
        <v>0</v>
      </c>
      <c r="BJ514" s="31" t="n">
        <f aca="false">ROUNDDOWN(K514*設定!$B$14/1000,0)</f>
        <v>0</v>
      </c>
      <c r="BK514" s="31" t="n">
        <f aca="false">ROUNDDOWN(K514*設定!$C$14/1000,0)</f>
        <v>0</v>
      </c>
      <c r="BL514" s="31" t="n">
        <f aca="false">ROUNDDOWN(J514*設定!$B$15/1000,0)</f>
        <v>0</v>
      </c>
      <c r="BM514" s="31" t="n">
        <f aca="false">ROUNDDOWN(J514*設定!$C$15/1000,0)</f>
        <v>0</v>
      </c>
      <c r="BN514" s="31" t="n">
        <f aca="false">L514+M514</f>
        <v>0</v>
      </c>
      <c r="BO514" s="31" t="n">
        <f aca="false">N514+O514+P514</f>
        <v>0</v>
      </c>
      <c r="BP514" s="31" t="n">
        <f aca="false">Q514</f>
        <v>0</v>
      </c>
      <c r="BQ514" s="31" t="n">
        <f aca="false">R514</f>
        <v>0</v>
      </c>
      <c r="BR514" s="31" t="n">
        <f aca="false">S514</f>
        <v>0</v>
      </c>
      <c r="BS514" s="31" t="n">
        <f aca="false">T514</f>
        <v>0</v>
      </c>
      <c r="BT514" s="31" t="n">
        <f aca="false">U514</f>
        <v>0</v>
      </c>
      <c r="BU514" s="31" t="n">
        <f aca="false">V514</f>
        <v>0</v>
      </c>
      <c r="BV514" s="32" t="n">
        <f aca="false">IF(BF514=0,IF(BN514=0,0,1),(BN514-BF514)/BF514)</f>
        <v>0</v>
      </c>
      <c r="BW514" s="32" t="n">
        <f aca="false">IF(BG514=0,IF(BO514=0,0,1),(BO514-BG514)/BG514)</f>
        <v>0</v>
      </c>
      <c r="BX514" s="32" t="n">
        <f aca="false">IF(BH514=0,IF(BP514=0,0,1),(BP514-BH514)/BH514)</f>
        <v>0</v>
      </c>
      <c r="BY514" s="32" t="n">
        <f aca="false">IF(BI514=0,IF(BQ514=0,0,1),(BQ514-BI514)/BI514)</f>
        <v>0</v>
      </c>
      <c r="BZ514" s="32" t="n">
        <f aca="false">IF(BJ514=0,IF(BR514=0,0,1),(BR514-BJ514)/BJ514)</f>
        <v>0</v>
      </c>
      <c r="CA514" s="32" t="n">
        <f aca="false">IF(BK514=0,IF(BS514=0,0,1),(BS514-BK514)/BK514)</f>
        <v>0</v>
      </c>
      <c r="CB514" s="32" t="n">
        <f aca="false">IF(BL514=0,IF(BT514=0,0,1),(BT514-BL514)/BL514)</f>
        <v>0</v>
      </c>
      <c r="CC514" s="32" t="n">
        <f aca="false">IF(BM514=0,IF(BU514=0,0,1),(BU514-BM514)/BM514)</f>
        <v>0</v>
      </c>
      <c r="CD514" s="32" t="n">
        <f aca="false">MAX(MAX(BV514:CC514),-MIN(BV514:CC514))</f>
        <v>-0</v>
      </c>
      <c r="CE514" s="31" t="n">
        <f aca="false">IF(CI514="","",SUMIFS($CF$7:$CF$696,$A$7:$A$696,CI514,$B$7:$B$696,B514))</f>
        <v>66373063</v>
      </c>
      <c r="CF514" s="31" t="n">
        <f aca="false">SUM(AU514:BE514)</f>
        <v>66565472</v>
      </c>
      <c r="CG514" s="33" t="str">
        <f aca="false">A514&amp;"|"&amp;B514</f>
        <v>2027-01 月例|下水道局</v>
      </c>
      <c r="CH514" s="34" t="str">
        <f aca="false">IFERROR(INDEX(設定!$D$61:$D$106,MATCH(B514,設定!$B$61:$B$106,0)),"Y")</f>
        <v>Y</v>
      </c>
      <c r="CI514" s="34" t="str">
        <f aca="false">IFERROR(INDEX(設定!$D$20:$D$34,MATCH(A514,設定!$A$20:$A$34,0))&amp;"","")</f>
        <v>2026-12 月例</v>
      </c>
    </row>
    <row r="515" customFormat="false" ht="15" hidden="true" customHeight="false" outlineLevel="0" collapsed="false">
      <c r="A515" s="22" t="s">
        <v>219</v>
      </c>
      <c r="B515" s="23" t="s">
        <v>162</v>
      </c>
      <c r="C515" s="10" t="str">
        <f aca="false">IF(G515="","未受領",IF(G515="なし","報告なし",IF(AH515="○","起票済",IF(OR(AG515="○",F515="一致",F515="入金不要"),"入金確認済","受領済"))))</f>
        <v>未受領</v>
      </c>
      <c r="D515" s="10" t="str">
        <f aca="false">IF(OR(G515="",G515="なし"),"―",IF(CH515="N","対象外",IF(AND(I515="",J515="",K515=""),"標報未入力",IF(CD515&gt;=設定!$B$4,"要確認","問題なし"))))</f>
        <v>―</v>
      </c>
      <c r="E515" s="24" t="str">
        <f aca="false">IF(OR(G515="",G515="なし",CE515="",CF515=0),"―",IF(CF515=CE515,"前月同額",IF(CE515=0,"―",IF(ABS(CF515/CE515-1)&gt;=設定!$B$5,"変動大 "&amp;TEXT(CF515/CE515-1,"+0%;-0%"),"〇"))))</f>
        <v>―</v>
      </c>
      <c r="F515" s="10" t="str">
        <f aca="false">IF(OR(G515="",G515="なし"),"―",IF(CF515=0,"入金不要",IF(COUNT(Z515,AB515,AD515,AF515)=0,IF(AG515="○","手動確認","未入金"),IF(AND(N(Z515)=Y515,IF(AA515="",TRUE(),N(AB515)=AA515),IF(AC515="",TRUE(),N(AD515)=AC515),IF(AE515="",TRUE(),N(AF515)=AE515)),"一致","不一致"))))</f>
        <v>―</v>
      </c>
      <c r="G515" s="25"/>
      <c r="H515" s="26"/>
      <c r="I515" s="27"/>
      <c r="J515" s="27"/>
      <c r="K515" s="27"/>
      <c r="L515" s="27"/>
      <c r="M515" s="27"/>
      <c r="N515" s="27"/>
      <c r="O515" s="27"/>
      <c r="P515" s="27"/>
      <c r="Q515" s="27"/>
      <c r="R515" s="27"/>
      <c r="S515" s="27"/>
      <c r="T515" s="27"/>
      <c r="U515" s="27"/>
      <c r="V515" s="27"/>
      <c r="W515" s="10" t="str">
        <f aca="false">IFERROR(INDEX(設定!$E$61:$E$106,MATCH(B515,設定!$B$61:$B$106,0)),"合算")</f>
        <v>合算</v>
      </c>
      <c r="X515" s="28"/>
      <c r="Y515" s="29" t="str">
        <f aca="false">IF(OR(G515="",G515="なし"),"",IF(W515="合算",CF515,IF(W515="掛金・負担金別",(AU515+AV515+AZ515+BB515+BD515),SUM(AU515:AY515))))</f>
        <v/>
      </c>
      <c r="Z515" s="27"/>
      <c r="AA515" s="29" t="str">
        <f aca="false">IF(OR(G515="",G515="なし"),"",IF(W515="掛金・負担金別",(AW515+AX515+AY515+BA515+BC515+BE515),IF(W515="経理区分別",AZ515+BA515,"")))</f>
        <v/>
      </c>
      <c r="AB515" s="27"/>
      <c r="AC515" s="29" t="str">
        <f aca="false">IF(OR(G515="",G515="なし"),"",IF(W515="経理区分別",BB515+BC515,""))</f>
        <v/>
      </c>
      <c r="AD515" s="27"/>
      <c r="AE515" s="29" t="str">
        <f aca="false">IF(OR(G515="",G515="なし"),"",IF(W515="経理区分別",BD515+BE515,""))</f>
        <v/>
      </c>
      <c r="AF515" s="27"/>
      <c r="AG515" s="26"/>
      <c r="AH515" s="26"/>
      <c r="AI515" s="30"/>
      <c r="AJ515" s="31" t="n">
        <v>53671153</v>
      </c>
      <c r="AK515" s="31" t="n">
        <v>4399273</v>
      </c>
      <c r="AL515" s="31" t="n">
        <v>78181314</v>
      </c>
      <c r="AM515" s="31" t="n">
        <v>4391639</v>
      </c>
      <c r="AN515" s="31" t="n">
        <v>55437</v>
      </c>
      <c r="AO515" s="31" t="n">
        <v>32967788</v>
      </c>
      <c r="AP515" s="31" t="n">
        <v>33499560</v>
      </c>
      <c r="AQ515" s="31" t="n">
        <v>1996991</v>
      </c>
      <c r="AR515" s="31" t="n">
        <v>1989962</v>
      </c>
      <c r="AS515" s="31" t="n">
        <v>1</v>
      </c>
      <c r="AT515" s="31" t="n">
        <v>1</v>
      </c>
      <c r="AU515" s="31" t="n">
        <f aca="false">IF($G515="",AJ515,L515)</f>
        <v>53671153</v>
      </c>
      <c r="AV515" s="31" t="n">
        <f aca="false">IF($G515="",AK515,M515)</f>
        <v>4399273</v>
      </c>
      <c r="AW515" s="31" t="n">
        <f aca="false">IF($G515="",AL515,N515)</f>
        <v>78181314</v>
      </c>
      <c r="AX515" s="31" t="n">
        <f aca="false">IF($G515="",AM515,O515)</f>
        <v>4391639</v>
      </c>
      <c r="AY515" s="31" t="n">
        <f aca="false">IF($G515="",AN515,P515)</f>
        <v>55437</v>
      </c>
      <c r="AZ515" s="31" t="n">
        <f aca="false">IF($G515="",AO515,Q515)</f>
        <v>32967788</v>
      </c>
      <c r="BA515" s="31" t="n">
        <f aca="false">IF($G515="",AP515,R515)</f>
        <v>33499560</v>
      </c>
      <c r="BB515" s="31" t="n">
        <f aca="false">IF($G515="",AQ515,S515)</f>
        <v>1996991</v>
      </c>
      <c r="BC515" s="31" t="n">
        <f aca="false">IF($G515="",AR515,T515)</f>
        <v>1989962</v>
      </c>
      <c r="BD515" s="31" t="n">
        <f aca="false">IF($G515="",AS515,U515)</f>
        <v>1</v>
      </c>
      <c r="BE515" s="31" t="n">
        <f aca="false">IF($G515="",AT515,V515)</f>
        <v>1</v>
      </c>
      <c r="BF515" s="31" t="n">
        <f aca="false">ROUNDDOWN(I515*設定!$B$10/1000,0)+ROUNDDOWN(I515*設定!$B$11/1000,0)</f>
        <v>0</v>
      </c>
      <c r="BG515" s="31" t="n">
        <f aca="false">ROUNDDOWN(I515*設定!$C$10/1000,0)+ROUNDDOWN(I515*設定!$C$11/1000,0)+ROUNDDOWN(I515*設定!$C$12/1000,0)</f>
        <v>0</v>
      </c>
      <c r="BH515" s="31" t="n">
        <f aca="false">ROUNDDOWN(J515*設定!$B$13/1000,0)</f>
        <v>0</v>
      </c>
      <c r="BI515" s="31" t="n">
        <f aca="false">ROUNDDOWN(J515*設定!$C$13/1000,0)</f>
        <v>0</v>
      </c>
      <c r="BJ515" s="31" t="n">
        <f aca="false">ROUNDDOWN(K515*設定!$B$14/1000,0)</f>
        <v>0</v>
      </c>
      <c r="BK515" s="31" t="n">
        <f aca="false">ROUNDDOWN(K515*設定!$C$14/1000,0)</f>
        <v>0</v>
      </c>
      <c r="BL515" s="31" t="n">
        <f aca="false">ROUNDDOWN(J515*設定!$B$15/1000,0)</f>
        <v>0</v>
      </c>
      <c r="BM515" s="31" t="n">
        <f aca="false">ROUNDDOWN(J515*設定!$C$15/1000,0)</f>
        <v>0</v>
      </c>
      <c r="BN515" s="31" t="n">
        <f aca="false">L515+M515</f>
        <v>0</v>
      </c>
      <c r="BO515" s="31" t="n">
        <f aca="false">N515+O515+P515</f>
        <v>0</v>
      </c>
      <c r="BP515" s="31" t="n">
        <f aca="false">Q515</f>
        <v>0</v>
      </c>
      <c r="BQ515" s="31" t="n">
        <f aca="false">R515</f>
        <v>0</v>
      </c>
      <c r="BR515" s="31" t="n">
        <f aca="false">S515</f>
        <v>0</v>
      </c>
      <c r="BS515" s="31" t="n">
        <f aca="false">T515</f>
        <v>0</v>
      </c>
      <c r="BT515" s="31" t="n">
        <f aca="false">U515</f>
        <v>0</v>
      </c>
      <c r="BU515" s="31" t="n">
        <f aca="false">V515</f>
        <v>0</v>
      </c>
      <c r="BV515" s="32" t="n">
        <f aca="false">IF(BF515=0,IF(BN515=0,0,1),(BN515-BF515)/BF515)</f>
        <v>0</v>
      </c>
      <c r="BW515" s="32" t="n">
        <f aca="false">IF(BG515=0,IF(BO515=0,0,1),(BO515-BG515)/BG515)</f>
        <v>0</v>
      </c>
      <c r="BX515" s="32" t="n">
        <f aca="false">IF(BH515=0,IF(BP515=0,0,1),(BP515-BH515)/BH515)</f>
        <v>0</v>
      </c>
      <c r="BY515" s="32" t="n">
        <f aca="false">IF(BI515=0,IF(BQ515=0,0,1),(BQ515-BI515)/BI515)</f>
        <v>0</v>
      </c>
      <c r="BZ515" s="32" t="n">
        <f aca="false">IF(BJ515=0,IF(BR515=0,0,1),(BR515-BJ515)/BJ515)</f>
        <v>0</v>
      </c>
      <c r="CA515" s="32" t="n">
        <f aca="false">IF(BK515=0,IF(BS515=0,0,1),(BS515-BK515)/BK515)</f>
        <v>0</v>
      </c>
      <c r="CB515" s="32" t="n">
        <f aca="false">IF(BL515=0,IF(BT515=0,0,1),(BT515-BL515)/BL515)</f>
        <v>0</v>
      </c>
      <c r="CC515" s="32" t="n">
        <f aca="false">IF(BM515=0,IF(BU515=0,0,1),(BU515-BM515)/BM515)</f>
        <v>0</v>
      </c>
      <c r="CD515" s="32" t="n">
        <f aca="false">MAX(MAX(BV515:CC515),-MIN(BV515:CC515))</f>
        <v>-0</v>
      </c>
      <c r="CE515" s="31" t="n">
        <f aca="false">IF(CI515="","",SUMIFS($CF$7:$CF$696,$A$7:$A$696,CI515,$B$7:$B$696,B515))</f>
        <v>210836413</v>
      </c>
      <c r="CF515" s="31" t="n">
        <f aca="false">SUM(AU515:BE515)</f>
        <v>211153119</v>
      </c>
      <c r="CG515" s="33" t="str">
        <f aca="false">A515&amp;"|"&amp;B515</f>
        <v>2027-01 月例|消防局</v>
      </c>
      <c r="CH515" s="34" t="str">
        <f aca="false">IFERROR(INDEX(設定!$D$61:$D$106,MATCH(B515,設定!$B$61:$B$106,0)),"Y")</f>
        <v>N</v>
      </c>
      <c r="CI515" s="34" t="str">
        <f aca="false">IFERROR(INDEX(設定!$D$20:$D$34,MATCH(A515,設定!$A$20:$A$34,0))&amp;"","")</f>
        <v>2026-12 月例</v>
      </c>
    </row>
    <row r="516" customFormat="false" ht="15" hidden="true" customHeight="false" outlineLevel="0" collapsed="false">
      <c r="A516" s="22" t="s">
        <v>219</v>
      </c>
      <c r="B516" s="23" t="s">
        <v>163</v>
      </c>
      <c r="C516" s="10" t="str">
        <f aca="false">IF(G516="","未受領",IF(G516="なし","報告なし",IF(AH516="○","起票済",IF(OR(AG516="○",F516="一致",F516="入金不要"),"入金確認済","受領済"))))</f>
        <v>未受領</v>
      </c>
      <c r="D516" s="10" t="str">
        <f aca="false">IF(OR(G516="",G516="なし"),"―",IF(CH516="N","対象外",IF(AND(I516="",J516="",K516=""),"標報未入力",IF(CD516&gt;=設定!$B$4,"要確認","問題なし"))))</f>
        <v>―</v>
      </c>
      <c r="E516" s="24" t="str">
        <f aca="false">IF(OR(G516="",G516="なし",CE516="",CF516=0),"―",IF(CF516=CE516,"前月同額",IF(CE516=0,"―",IF(ABS(CF516/CE516-1)&gt;=設定!$B$5,"変動大 "&amp;TEXT(CF516/CE516-1,"+0%;-0%"),"〇"))))</f>
        <v>―</v>
      </c>
      <c r="F516" s="10" t="str">
        <f aca="false">IF(OR(G516="",G516="なし"),"―",IF(CF516=0,"入金不要",IF(COUNT(Z516,AB516,AD516,AF516)=0,IF(AG516="○","手動確認","未入金"),IF(AND(N(Z516)=Y516,IF(AA516="",TRUE(),N(AB516)=AA516),IF(AC516="",TRUE(),N(AD516)=AC516),IF(AE516="",TRUE(),N(AF516)=AE516)),"一致","不一致"))))</f>
        <v>―</v>
      </c>
      <c r="G516" s="25"/>
      <c r="H516" s="26"/>
      <c r="I516" s="27"/>
      <c r="J516" s="27"/>
      <c r="K516" s="27"/>
      <c r="L516" s="27"/>
      <c r="M516" s="27"/>
      <c r="N516" s="27"/>
      <c r="O516" s="27"/>
      <c r="P516" s="27"/>
      <c r="Q516" s="27"/>
      <c r="R516" s="27"/>
      <c r="S516" s="27"/>
      <c r="T516" s="27"/>
      <c r="U516" s="27"/>
      <c r="V516" s="27"/>
      <c r="W516" s="10" t="str">
        <f aca="false">IFERROR(INDEX(設定!$E$61:$E$106,MATCH(B516,設定!$B$61:$B$106,0)),"合算")</f>
        <v>合算</v>
      </c>
      <c r="X516" s="28"/>
      <c r="Y516" s="29" t="str">
        <f aca="false">IF(OR(G516="",G516="なし"),"",IF(W516="合算",CF516,IF(W516="掛金・負担金別",(AU516+AV516+AZ516+BB516+BD516),SUM(AU516:AY516))))</f>
        <v/>
      </c>
      <c r="Z516" s="27"/>
      <c r="AA516" s="29" t="str">
        <f aca="false">IF(OR(G516="",G516="なし"),"",IF(W516="掛金・負担金別",(AW516+AX516+AY516+BA516+BC516+BE516),IF(W516="経理区分別",AZ516+BA516,"")))</f>
        <v/>
      </c>
      <c r="AB516" s="27"/>
      <c r="AC516" s="29" t="str">
        <f aca="false">IF(OR(G516="",G516="なし"),"",IF(W516="経理区分別",BB516+BC516,""))</f>
        <v/>
      </c>
      <c r="AD516" s="27"/>
      <c r="AE516" s="29" t="str">
        <f aca="false">IF(OR(G516="",G516="なし"),"",IF(W516="経理区分別",BD516+BE516,""))</f>
        <v/>
      </c>
      <c r="AF516" s="27"/>
      <c r="AG516" s="26"/>
      <c r="AH516" s="26"/>
      <c r="AI516" s="30"/>
      <c r="AJ516" s="31" t="n">
        <v>1740330</v>
      </c>
      <c r="AK516" s="31" t="n">
        <v>142650</v>
      </c>
      <c r="AL516" s="31" t="n">
        <v>2539620</v>
      </c>
      <c r="AM516" s="31" t="n">
        <v>142650</v>
      </c>
      <c r="AN516" s="31" t="n">
        <v>1808</v>
      </c>
      <c r="AO516" s="31" t="n">
        <v>1055074</v>
      </c>
      <c r="AP516" s="31" t="n">
        <v>1073929</v>
      </c>
      <c r="AQ516" s="31" t="n">
        <v>99935</v>
      </c>
      <c r="AR516" s="31" t="n">
        <v>99935</v>
      </c>
      <c r="AS516" s="31" t="n">
        <v>1</v>
      </c>
      <c r="AT516" s="31" t="n">
        <v>1</v>
      </c>
      <c r="AU516" s="31" t="n">
        <f aca="false">IF($G516="",AJ516,L516)</f>
        <v>1740330</v>
      </c>
      <c r="AV516" s="31" t="n">
        <f aca="false">IF($G516="",AK516,M516)</f>
        <v>142650</v>
      </c>
      <c r="AW516" s="31" t="n">
        <f aca="false">IF($G516="",AL516,N516)</f>
        <v>2539620</v>
      </c>
      <c r="AX516" s="31" t="n">
        <f aca="false">IF($G516="",AM516,O516)</f>
        <v>142650</v>
      </c>
      <c r="AY516" s="31" t="n">
        <f aca="false">IF($G516="",AN516,P516)</f>
        <v>1808</v>
      </c>
      <c r="AZ516" s="31" t="n">
        <f aca="false">IF($G516="",AO516,Q516)</f>
        <v>1055074</v>
      </c>
      <c r="BA516" s="31" t="n">
        <f aca="false">IF($G516="",AP516,R516)</f>
        <v>1073929</v>
      </c>
      <c r="BB516" s="31" t="n">
        <f aca="false">IF($G516="",AQ516,S516)</f>
        <v>99935</v>
      </c>
      <c r="BC516" s="31" t="n">
        <f aca="false">IF($G516="",AR516,T516)</f>
        <v>99935</v>
      </c>
      <c r="BD516" s="31" t="n">
        <f aca="false">IF($G516="",AS516,U516)</f>
        <v>1</v>
      </c>
      <c r="BE516" s="31" t="n">
        <f aca="false">IF($G516="",AT516,V516)</f>
        <v>1</v>
      </c>
      <c r="BF516" s="31" t="n">
        <f aca="false">ROUNDDOWN(I516*設定!$B$10/1000,0)+ROUNDDOWN(I516*設定!$B$11/1000,0)</f>
        <v>0</v>
      </c>
      <c r="BG516" s="31" t="n">
        <f aca="false">ROUNDDOWN(I516*設定!$C$10/1000,0)+ROUNDDOWN(I516*設定!$C$11/1000,0)+ROUNDDOWN(I516*設定!$C$12/1000,0)</f>
        <v>0</v>
      </c>
      <c r="BH516" s="31" t="n">
        <f aca="false">ROUNDDOWN(J516*設定!$B$13/1000,0)</f>
        <v>0</v>
      </c>
      <c r="BI516" s="31" t="n">
        <f aca="false">ROUNDDOWN(J516*設定!$C$13/1000,0)</f>
        <v>0</v>
      </c>
      <c r="BJ516" s="31" t="n">
        <f aca="false">ROUNDDOWN(K516*設定!$B$14/1000,0)</f>
        <v>0</v>
      </c>
      <c r="BK516" s="31" t="n">
        <f aca="false">ROUNDDOWN(K516*設定!$C$14/1000,0)</f>
        <v>0</v>
      </c>
      <c r="BL516" s="31" t="n">
        <f aca="false">ROUNDDOWN(J516*設定!$B$15/1000,0)</f>
        <v>0</v>
      </c>
      <c r="BM516" s="31" t="n">
        <f aca="false">ROUNDDOWN(J516*設定!$C$15/1000,0)</f>
        <v>0</v>
      </c>
      <c r="BN516" s="31" t="n">
        <f aca="false">L516+M516</f>
        <v>0</v>
      </c>
      <c r="BO516" s="31" t="n">
        <f aca="false">N516+O516+P516</f>
        <v>0</v>
      </c>
      <c r="BP516" s="31" t="n">
        <f aca="false">Q516</f>
        <v>0</v>
      </c>
      <c r="BQ516" s="31" t="n">
        <f aca="false">R516</f>
        <v>0</v>
      </c>
      <c r="BR516" s="31" t="n">
        <f aca="false">S516</f>
        <v>0</v>
      </c>
      <c r="BS516" s="31" t="n">
        <f aca="false">T516</f>
        <v>0</v>
      </c>
      <c r="BT516" s="31" t="n">
        <f aca="false">U516</f>
        <v>0</v>
      </c>
      <c r="BU516" s="31" t="n">
        <f aca="false">V516</f>
        <v>0</v>
      </c>
      <c r="BV516" s="32" t="n">
        <f aca="false">IF(BF516=0,IF(BN516=0,0,1),(BN516-BF516)/BF516)</f>
        <v>0</v>
      </c>
      <c r="BW516" s="32" t="n">
        <f aca="false">IF(BG516=0,IF(BO516=0,0,1),(BO516-BG516)/BG516)</f>
        <v>0</v>
      </c>
      <c r="BX516" s="32" t="n">
        <f aca="false">IF(BH516=0,IF(BP516=0,0,1),(BP516-BH516)/BH516)</f>
        <v>0</v>
      </c>
      <c r="BY516" s="32" t="n">
        <f aca="false">IF(BI516=0,IF(BQ516=0,0,1),(BQ516-BI516)/BI516)</f>
        <v>0</v>
      </c>
      <c r="BZ516" s="32" t="n">
        <f aca="false">IF(BJ516=0,IF(BR516=0,0,1),(BR516-BJ516)/BJ516)</f>
        <v>0</v>
      </c>
      <c r="CA516" s="32" t="n">
        <f aca="false">IF(BK516=0,IF(BS516=0,0,1),(BS516-BK516)/BK516)</f>
        <v>0</v>
      </c>
      <c r="CB516" s="32" t="n">
        <f aca="false">IF(BL516=0,IF(BT516=0,0,1),(BT516-BL516)/BL516)</f>
        <v>0</v>
      </c>
      <c r="CC516" s="32" t="n">
        <f aca="false">IF(BM516=0,IF(BU516=0,0,1),(BU516-BM516)/BM516)</f>
        <v>0</v>
      </c>
      <c r="CD516" s="32" t="n">
        <f aca="false">MAX(MAX(BV516:CC516),-MIN(BV516:CC516))</f>
        <v>-0</v>
      </c>
      <c r="CE516" s="31" t="n">
        <f aca="false">IF(CI516="","",SUMIFS($CF$7:$CF$696,$A$7:$A$696,CI516,$B$7:$B$696,B516))</f>
        <v>6895933</v>
      </c>
      <c r="CF516" s="31" t="n">
        <f aca="false">SUM(AU516:BE516)</f>
        <v>6895933</v>
      </c>
      <c r="CG516" s="33" t="str">
        <f aca="false">A516&amp;"|"&amp;B516</f>
        <v>2027-01 月例|議会事務局</v>
      </c>
      <c r="CH516" s="34" t="str">
        <f aca="false">IFERROR(INDEX(設定!$D$61:$D$106,MATCH(B516,設定!$B$61:$B$106,0)),"Y")</f>
        <v>Y</v>
      </c>
      <c r="CI516" s="34" t="str">
        <f aca="false">IFERROR(INDEX(設定!$D$20:$D$34,MATCH(A516,設定!$A$20:$A$34,0))&amp;"","")</f>
        <v>2026-12 月例</v>
      </c>
    </row>
    <row r="517" customFormat="false" ht="15" hidden="true" customHeight="false" outlineLevel="0" collapsed="false">
      <c r="A517" s="22" t="s">
        <v>219</v>
      </c>
      <c r="B517" s="23" t="s">
        <v>164</v>
      </c>
      <c r="C517" s="10" t="str">
        <f aca="false">IF(G517="","未受領",IF(G517="なし","報告なし",IF(AH517="○","起票済",IF(OR(AG517="○",F517="一致",F517="入金不要"),"入金確認済","受領済"))))</f>
        <v>未受領</v>
      </c>
      <c r="D517" s="10" t="str">
        <f aca="false">IF(OR(G517="",G517="なし"),"―",IF(CH517="N","対象外",IF(AND(I517="",J517="",K517=""),"標報未入力",IF(CD517&gt;=設定!$B$4,"要確認","問題なし"))))</f>
        <v>―</v>
      </c>
      <c r="E517" s="24" t="str">
        <f aca="false">IF(OR(G517="",G517="なし",CE517="",CF517=0),"―",IF(CF517=CE517,"前月同額",IF(CE517=0,"―",IF(ABS(CF517/CE517-1)&gt;=設定!$B$5,"変動大 "&amp;TEXT(CF517/CE517-1,"+0%;-0%"),"〇"))))</f>
        <v>―</v>
      </c>
      <c r="F517" s="10" t="str">
        <f aca="false">IF(OR(G517="",G517="なし"),"―",IF(CF517=0,"入金不要",IF(COUNT(Z517,AB517,AD517,AF517)=0,IF(AG517="○","手動確認","未入金"),IF(AND(N(Z517)=Y517,IF(AA517="",TRUE(),N(AB517)=AA517),IF(AC517="",TRUE(),N(AD517)=AC517),IF(AE517="",TRUE(),N(AF517)=AE517)),"一致","不一致"))))</f>
        <v>―</v>
      </c>
      <c r="G517" s="25"/>
      <c r="H517" s="26"/>
      <c r="I517" s="27"/>
      <c r="J517" s="27"/>
      <c r="K517" s="27"/>
      <c r="L517" s="27"/>
      <c r="M517" s="27"/>
      <c r="N517" s="27"/>
      <c r="O517" s="27"/>
      <c r="P517" s="27"/>
      <c r="Q517" s="27"/>
      <c r="R517" s="27"/>
      <c r="S517" s="27"/>
      <c r="T517" s="27"/>
      <c r="U517" s="27"/>
      <c r="V517" s="27"/>
      <c r="W517" s="10" t="str">
        <f aca="false">IFERROR(INDEX(設定!$E$61:$E$106,MATCH(B517,設定!$B$61:$B$106,0)),"合算")</f>
        <v>合算</v>
      </c>
      <c r="X517" s="28"/>
      <c r="Y517" s="29" t="str">
        <f aca="false">IF(OR(G517="",G517="なし"),"",IF(W517="合算",CF517,IF(W517="掛金・負担金別",(AU517+AV517+AZ517+BB517+BD517),SUM(AU517:AY517))))</f>
        <v/>
      </c>
      <c r="Z517" s="27"/>
      <c r="AA517" s="29" t="str">
        <f aca="false">IF(OR(G517="",G517="なし"),"",IF(W517="掛金・負担金別",(AW517+AX517+AY517+BA517+BC517+BE517),IF(W517="経理区分別",AZ517+BA517,"")))</f>
        <v/>
      </c>
      <c r="AB517" s="27"/>
      <c r="AC517" s="29" t="str">
        <f aca="false">IF(OR(G517="",G517="なし"),"",IF(W517="経理区分別",BB517+BC517,""))</f>
        <v/>
      </c>
      <c r="AD517" s="27"/>
      <c r="AE517" s="29" t="str">
        <f aca="false">IF(OR(G517="",G517="なし"),"",IF(W517="経理区分別",BD517+BE517,""))</f>
        <v/>
      </c>
      <c r="AF517" s="27"/>
      <c r="AG517" s="26"/>
      <c r="AH517" s="26"/>
      <c r="AI517" s="30"/>
      <c r="AJ517" s="31" t="n">
        <v>24104029</v>
      </c>
      <c r="AK517" s="31" t="n">
        <v>1975741</v>
      </c>
      <c r="AL517" s="31" t="n">
        <v>35172411</v>
      </c>
      <c r="AM517" s="31" t="n">
        <v>1975741</v>
      </c>
      <c r="AN517" s="31" t="n">
        <v>25038</v>
      </c>
      <c r="AO517" s="31" t="n">
        <v>24967150</v>
      </c>
      <c r="AP517" s="31" t="n">
        <v>25510639</v>
      </c>
      <c r="AQ517" s="31" t="n">
        <v>2779167</v>
      </c>
      <c r="AR517" s="31" t="n">
        <v>2736927</v>
      </c>
      <c r="AS517" s="31" t="n">
        <v>1</v>
      </c>
      <c r="AT517" s="31" t="n">
        <v>1</v>
      </c>
      <c r="AU517" s="31" t="n">
        <f aca="false">IF($G517="",AJ517,L517)</f>
        <v>24104029</v>
      </c>
      <c r="AV517" s="31" t="n">
        <f aca="false">IF($G517="",AK517,M517)</f>
        <v>1975741</v>
      </c>
      <c r="AW517" s="31" t="n">
        <f aca="false">IF($G517="",AL517,N517)</f>
        <v>35172411</v>
      </c>
      <c r="AX517" s="31" t="n">
        <f aca="false">IF($G517="",AM517,O517)</f>
        <v>1975741</v>
      </c>
      <c r="AY517" s="31" t="n">
        <f aca="false">IF($G517="",AN517,P517)</f>
        <v>25038</v>
      </c>
      <c r="AZ517" s="31" t="n">
        <f aca="false">IF($G517="",AO517,Q517)</f>
        <v>24967150</v>
      </c>
      <c r="BA517" s="31" t="n">
        <f aca="false">IF($G517="",AP517,R517)</f>
        <v>25510639</v>
      </c>
      <c r="BB517" s="31" t="n">
        <f aca="false">IF($G517="",AQ517,S517)</f>
        <v>2779167</v>
      </c>
      <c r="BC517" s="31" t="n">
        <f aca="false">IF($G517="",AR517,T517)</f>
        <v>2736927</v>
      </c>
      <c r="BD517" s="31" t="n">
        <f aca="false">IF($G517="",AS517,U517)</f>
        <v>1</v>
      </c>
      <c r="BE517" s="31" t="n">
        <f aca="false">IF($G517="",AT517,V517)</f>
        <v>1</v>
      </c>
      <c r="BF517" s="31" t="n">
        <f aca="false">ROUNDDOWN(I517*設定!$B$10/1000,0)+ROUNDDOWN(I517*設定!$B$11/1000,0)</f>
        <v>0</v>
      </c>
      <c r="BG517" s="31" t="n">
        <f aca="false">ROUNDDOWN(I517*設定!$C$10/1000,0)+ROUNDDOWN(I517*設定!$C$11/1000,0)+ROUNDDOWN(I517*設定!$C$12/1000,0)</f>
        <v>0</v>
      </c>
      <c r="BH517" s="31" t="n">
        <f aca="false">ROUNDDOWN(J517*設定!$B$13/1000,0)</f>
        <v>0</v>
      </c>
      <c r="BI517" s="31" t="n">
        <f aca="false">ROUNDDOWN(J517*設定!$C$13/1000,0)</f>
        <v>0</v>
      </c>
      <c r="BJ517" s="31" t="n">
        <f aca="false">ROUNDDOWN(K517*設定!$B$14/1000,0)</f>
        <v>0</v>
      </c>
      <c r="BK517" s="31" t="n">
        <f aca="false">ROUNDDOWN(K517*設定!$C$14/1000,0)</f>
        <v>0</v>
      </c>
      <c r="BL517" s="31" t="n">
        <f aca="false">ROUNDDOWN(J517*設定!$B$15/1000,0)</f>
        <v>0</v>
      </c>
      <c r="BM517" s="31" t="n">
        <f aca="false">ROUNDDOWN(J517*設定!$C$15/1000,0)</f>
        <v>0</v>
      </c>
      <c r="BN517" s="31" t="n">
        <f aca="false">L517+M517</f>
        <v>0</v>
      </c>
      <c r="BO517" s="31" t="n">
        <f aca="false">N517+O517+P517</f>
        <v>0</v>
      </c>
      <c r="BP517" s="31" t="n">
        <f aca="false">Q517</f>
        <v>0</v>
      </c>
      <c r="BQ517" s="31" t="n">
        <f aca="false">R517</f>
        <v>0</v>
      </c>
      <c r="BR517" s="31" t="n">
        <f aca="false">S517</f>
        <v>0</v>
      </c>
      <c r="BS517" s="31" t="n">
        <f aca="false">T517</f>
        <v>0</v>
      </c>
      <c r="BT517" s="31" t="n">
        <f aca="false">U517</f>
        <v>0</v>
      </c>
      <c r="BU517" s="31" t="n">
        <f aca="false">V517</f>
        <v>0</v>
      </c>
      <c r="BV517" s="32" t="n">
        <f aca="false">IF(BF517=0,IF(BN517=0,0,1),(BN517-BF517)/BF517)</f>
        <v>0</v>
      </c>
      <c r="BW517" s="32" t="n">
        <f aca="false">IF(BG517=0,IF(BO517=0,0,1),(BO517-BG517)/BG517)</f>
        <v>0</v>
      </c>
      <c r="BX517" s="32" t="n">
        <f aca="false">IF(BH517=0,IF(BP517=0,0,1),(BP517-BH517)/BH517)</f>
        <v>0</v>
      </c>
      <c r="BY517" s="32" t="n">
        <f aca="false">IF(BI517=0,IF(BQ517=0,0,1),(BQ517-BI517)/BI517)</f>
        <v>0</v>
      </c>
      <c r="BZ517" s="32" t="n">
        <f aca="false">IF(BJ517=0,IF(BR517=0,0,1),(BR517-BJ517)/BJ517)</f>
        <v>0</v>
      </c>
      <c r="CA517" s="32" t="n">
        <f aca="false">IF(BK517=0,IF(BS517=0,0,1),(BS517-BK517)/BK517)</f>
        <v>0</v>
      </c>
      <c r="CB517" s="32" t="n">
        <f aca="false">IF(BL517=0,IF(BT517=0,0,1),(BT517-BL517)/BL517)</f>
        <v>0</v>
      </c>
      <c r="CC517" s="32" t="n">
        <f aca="false">IF(BM517=0,IF(BU517=0,0,1),(BU517-BM517)/BM517)</f>
        <v>0</v>
      </c>
      <c r="CD517" s="32" t="n">
        <f aca="false">MAX(MAX(BV517:CC517),-MIN(BV517:CC517))</f>
        <v>-0</v>
      </c>
      <c r="CE517" s="31" t="n">
        <f aca="false">IF(CI517="","",SUMIFS($CF$7:$CF$696,$A$7:$A$696,CI517,$B$7:$B$696,B517))</f>
        <v>120631669</v>
      </c>
      <c r="CF517" s="31" t="n">
        <f aca="false">SUM(AU517:BE517)</f>
        <v>119246845</v>
      </c>
      <c r="CG517" s="33" t="str">
        <f aca="false">A517&amp;"|"&amp;B517</f>
        <v>2027-01 月例|教育委員会（総務課）</v>
      </c>
      <c r="CH517" s="34" t="str">
        <f aca="false">IFERROR(INDEX(設定!$D$61:$D$106,MATCH(B517,設定!$B$61:$B$106,0)),"Y")</f>
        <v>N</v>
      </c>
      <c r="CI517" s="34" t="str">
        <f aca="false">IFERROR(INDEX(設定!$D$20:$D$34,MATCH(A517,設定!$A$20:$A$34,0))&amp;"","")</f>
        <v>2026-12 月例</v>
      </c>
    </row>
    <row r="518" customFormat="false" ht="15" hidden="true" customHeight="false" outlineLevel="0" collapsed="false">
      <c r="A518" s="22" t="s">
        <v>219</v>
      </c>
      <c r="B518" s="23" t="s">
        <v>165</v>
      </c>
      <c r="C518" s="10" t="str">
        <f aca="false">IF(G518="","未受領",IF(G518="なし","報告なし",IF(AH518="○","起票済",IF(OR(AG518="○",F518="一致",F518="入金不要"),"入金確認済","受領済"))))</f>
        <v>未受領</v>
      </c>
      <c r="D518" s="10" t="str">
        <f aca="false">IF(OR(G518="",G518="なし"),"―",IF(CH518="N","対象外",IF(AND(I518="",J518="",K518=""),"標報未入力",IF(CD518&gt;=設定!$B$4,"要確認","問題なし"))))</f>
        <v>―</v>
      </c>
      <c r="E518" s="24" t="str">
        <f aca="false">IF(OR(G518="",G518="なし",CE518="",CF518=0),"―",IF(CF518=CE518,"前月同額",IF(CE518=0,"―",IF(ABS(CF518/CE518-1)&gt;=設定!$B$5,"変動大 "&amp;TEXT(CF518/CE518-1,"+0%;-0%"),"〇"))))</f>
        <v>―</v>
      </c>
      <c r="F518" s="10" t="str">
        <f aca="false">IF(OR(G518="",G518="なし"),"―",IF(CF518=0,"入金不要",IF(COUNT(Z518,AB518,AD518,AF518)=0,IF(AG518="○","手動確認","未入金"),IF(AND(N(Z518)=Y518,IF(AA518="",TRUE(),N(AB518)=AA518),IF(AC518="",TRUE(),N(AD518)=AC518),IF(AE518="",TRUE(),N(AF518)=AE518)),"一致","不一致"))))</f>
        <v>―</v>
      </c>
      <c r="G518" s="25"/>
      <c r="H518" s="26"/>
      <c r="I518" s="27"/>
      <c r="J518" s="27"/>
      <c r="K518" s="27"/>
      <c r="L518" s="27"/>
      <c r="M518" s="27"/>
      <c r="N518" s="27"/>
      <c r="O518" s="27"/>
      <c r="P518" s="27"/>
      <c r="Q518" s="27"/>
      <c r="R518" s="27"/>
      <c r="S518" s="27"/>
      <c r="T518" s="27"/>
      <c r="U518" s="27"/>
      <c r="V518" s="27"/>
      <c r="W518" s="10" t="str">
        <f aca="false">IFERROR(INDEX(設定!$E$61:$E$106,MATCH(B518,設定!$B$61:$B$106,0)),"合算")</f>
        <v>合算</v>
      </c>
      <c r="X518" s="28"/>
      <c r="Y518" s="29" t="str">
        <f aca="false">IF(OR(G518="",G518="なし"),"",IF(W518="合算",CF518,IF(W518="掛金・負担金別",(AU518+AV518+AZ518+BB518+BD518),SUM(AU518:AY518))))</f>
        <v/>
      </c>
      <c r="Z518" s="27"/>
      <c r="AA518" s="29" t="str">
        <f aca="false">IF(OR(G518="",G518="なし"),"",IF(W518="掛金・負担金別",(AW518+AX518+AY518+BA518+BC518+BE518),IF(W518="経理区分別",AZ518+BA518,"")))</f>
        <v/>
      </c>
      <c r="AB518" s="27"/>
      <c r="AC518" s="29" t="str">
        <f aca="false">IF(OR(G518="",G518="なし"),"",IF(W518="経理区分別",BB518+BC518,""))</f>
        <v/>
      </c>
      <c r="AD518" s="27"/>
      <c r="AE518" s="29" t="str">
        <f aca="false">IF(OR(G518="",G518="なし"),"",IF(W518="経理区分別",BD518+BE518,""))</f>
        <v/>
      </c>
      <c r="AF518" s="27"/>
      <c r="AG518" s="26"/>
      <c r="AH518" s="26"/>
      <c r="AI518" s="30"/>
      <c r="AJ518" s="31" t="n">
        <v>286395</v>
      </c>
      <c r="AK518" s="31" t="n">
        <v>23475</v>
      </c>
      <c r="AL518" s="31" t="n">
        <v>416290</v>
      </c>
      <c r="AM518" s="31" t="n">
        <v>23475</v>
      </c>
      <c r="AN518" s="31" t="n">
        <v>293</v>
      </c>
      <c r="AO518" s="31" t="n">
        <v>193631</v>
      </c>
      <c r="AP518" s="31" t="n">
        <v>197049</v>
      </c>
      <c r="AQ518" s="31" t="n">
        <v>15326</v>
      </c>
      <c r="AR518" s="31" t="n">
        <v>15326</v>
      </c>
      <c r="AS518" s="31" t="n">
        <v>1</v>
      </c>
      <c r="AT518" s="31" t="n">
        <v>1</v>
      </c>
      <c r="AU518" s="31" t="n">
        <f aca="false">IF($G518="",AJ518,L518)</f>
        <v>286395</v>
      </c>
      <c r="AV518" s="31" t="n">
        <f aca="false">IF($G518="",AK518,M518)</f>
        <v>23475</v>
      </c>
      <c r="AW518" s="31" t="n">
        <f aca="false">IF($G518="",AL518,N518)</f>
        <v>416290</v>
      </c>
      <c r="AX518" s="31" t="n">
        <f aca="false">IF($G518="",AM518,O518)</f>
        <v>23475</v>
      </c>
      <c r="AY518" s="31" t="n">
        <f aca="false">IF($G518="",AN518,P518)</f>
        <v>293</v>
      </c>
      <c r="AZ518" s="31" t="n">
        <f aca="false">IF($G518="",AO518,Q518)</f>
        <v>193631</v>
      </c>
      <c r="BA518" s="31" t="n">
        <f aca="false">IF($G518="",AP518,R518)</f>
        <v>197049</v>
      </c>
      <c r="BB518" s="31" t="n">
        <f aca="false">IF($G518="",AQ518,S518)</f>
        <v>15326</v>
      </c>
      <c r="BC518" s="31" t="n">
        <f aca="false">IF($G518="",AR518,T518)</f>
        <v>15326</v>
      </c>
      <c r="BD518" s="31" t="n">
        <f aca="false">IF($G518="",AS518,U518)</f>
        <v>1</v>
      </c>
      <c r="BE518" s="31" t="n">
        <f aca="false">IF($G518="",AT518,V518)</f>
        <v>1</v>
      </c>
      <c r="BF518" s="31" t="n">
        <f aca="false">ROUNDDOWN(I518*設定!$B$10/1000,0)+ROUNDDOWN(I518*設定!$B$11/1000,0)</f>
        <v>0</v>
      </c>
      <c r="BG518" s="31" t="n">
        <f aca="false">ROUNDDOWN(I518*設定!$C$10/1000,0)+ROUNDDOWN(I518*設定!$C$11/1000,0)+ROUNDDOWN(I518*設定!$C$12/1000,0)</f>
        <v>0</v>
      </c>
      <c r="BH518" s="31" t="n">
        <f aca="false">ROUNDDOWN(J518*設定!$B$13/1000,0)</f>
        <v>0</v>
      </c>
      <c r="BI518" s="31" t="n">
        <f aca="false">ROUNDDOWN(J518*設定!$C$13/1000,0)</f>
        <v>0</v>
      </c>
      <c r="BJ518" s="31" t="n">
        <f aca="false">ROUNDDOWN(K518*設定!$B$14/1000,0)</f>
        <v>0</v>
      </c>
      <c r="BK518" s="31" t="n">
        <f aca="false">ROUNDDOWN(K518*設定!$C$14/1000,0)</f>
        <v>0</v>
      </c>
      <c r="BL518" s="31" t="n">
        <f aca="false">ROUNDDOWN(J518*設定!$B$15/1000,0)</f>
        <v>0</v>
      </c>
      <c r="BM518" s="31" t="n">
        <f aca="false">ROUNDDOWN(J518*設定!$C$15/1000,0)</f>
        <v>0</v>
      </c>
      <c r="BN518" s="31" t="n">
        <f aca="false">L518+M518</f>
        <v>0</v>
      </c>
      <c r="BO518" s="31" t="n">
        <f aca="false">N518+O518+P518</f>
        <v>0</v>
      </c>
      <c r="BP518" s="31" t="n">
        <f aca="false">Q518</f>
        <v>0</v>
      </c>
      <c r="BQ518" s="31" t="n">
        <f aca="false">R518</f>
        <v>0</v>
      </c>
      <c r="BR518" s="31" t="n">
        <f aca="false">S518</f>
        <v>0</v>
      </c>
      <c r="BS518" s="31" t="n">
        <f aca="false">T518</f>
        <v>0</v>
      </c>
      <c r="BT518" s="31" t="n">
        <f aca="false">U518</f>
        <v>0</v>
      </c>
      <c r="BU518" s="31" t="n">
        <f aca="false">V518</f>
        <v>0</v>
      </c>
      <c r="BV518" s="32" t="n">
        <f aca="false">IF(BF518=0,IF(BN518=0,0,1),(BN518-BF518)/BF518)</f>
        <v>0</v>
      </c>
      <c r="BW518" s="32" t="n">
        <f aca="false">IF(BG518=0,IF(BO518=0,0,1),(BO518-BG518)/BG518)</f>
        <v>0</v>
      </c>
      <c r="BX518" s="32" t="n">
        <f aca="false">IF(BH518=0,IF(BP518=0,0,1),(BP518-BH518)/BH518)</f>
        <v>0</v>
      </c>
      <c r="BY518" s="32" t="n">
        <f aca="false">IF(BI518=0,IF(BQ518=0,0,1),(BQ518-BI518)/BI518)</f>
        <v>0</v>
      </c>
      <c r="BZ518" s="32" t="n">
        <f aca="false">IF(BJ518=0,IF(BR518=0,0,1),(BR518-BJ518)/BJ518)</f>
        <v>0</v>
      </c>
      <c r="CA518" s="32" t="n">
        <f aca="false">IF(BK518=0,IF(BS518=0,0,1),(BS518-BK518)/BK518)</f>
        <v>0</v>
      </c>
      <c r="CB518" s="32" t="n">
        <f aca="false">IF(BL518=0,IF(BT518=0,0,1),(BT518-BL518)/BL518)</f>
        <v>0</v>
      </c>
      <c r="CC518" s="32" t="n">
        <f aca="false">IF(BM518=0,IF(BU518=0,0,1),(BU518-BM518)/BM518)</f>
        <v>0</v>
      </c>
      <c r="CD518" s="32" t="n">
        <f aca="false">MAX(MAX(BV518:CC518),-MIN(BV518:CC518))</f>
        <v>-0</v>
      </c>
      <c r="CE518" s="31" t="n">
        <f aca="false">IF(CI518="","",SUMIFS($CF$7:$CF$696,$A$7:$A$696,CI518,$B$7:$B$696,B518))</f>
        <v>1150228</v>
      </c>
      <c r="CF518" s="31" t="n">
        <f aca="false">SUM(AU518:BE518)</f>
        <v>1171262</v>
      </c>
      <c r="CG518" s="33" t="str">
        <f aca="false">A518&amp;"|"&amp;B518</f>
        <v>2027-01 月例|選挙管理委員会</v>
      </c>
      <c r="CH518" s="34" t="str">
        <f aca="false">IFERROR(INDEX(設定!$D$61:$D$106,MATCH(B518,設定!$B$61:$B$106,0)),"Y")</f>
        <v>Y</v>
      </c>
      <c r="CI518" s="34" t="str">
        <f aca="false">IFERROR(INDEX(設定!$D$20:$D$34,MATCH(A518,設定!$A$20:$A$34,0))&amp;"","")</f>
        <v>2026-12 月例</v>
      </c>
    </row>
    <row r="519" customFormat="false" ht="15" hidden="true" customHeight="false" outlineLevel="0" collapsed="false">
      <c r="A519" s="22" t="s">
        <v>219</v>
      </c>
      <c r="B519" s="23" t="s">
        <v>166</v>
      </c>
      <c r="C519" s="10" t="str">
        <f aca="false">IF(G519="","未受領",IF(G519="なし","報告なし",IF(AH519="○","起票済",IF(OR(AG519="○",F519="一致",F519="入金不要"),"入金確認済","受領済"))))</f>
        <v>未受領</v>
      </c>
      <c r="D519" s="10" t="str">
        <f aca="false">IF(OR(G519="",G519="なし"),"―",IF(CH519="N","対象外",IF(AND(I519="",J519="",K519=""),"標報未入力",IF(CD519&gt;=設定!$B$4,"要確認","問題なし"))))</f>
        <v>―</v>
      </c>
      <c r="E519" s="24" t="str">
        <f aca="false">IF(OR(G519="",G519="なし",CE519="",CF519=0),"―",IF(CF519=CE519,"前月同額",IF(CE519=0,"―",IF(ABS(CF519/CE519-1)&gt;=設定!$B$5,"変動大 "&amp;TEXT(CF519/CE519-1,"+0%;-0%"),"〇"))))</f>
        <v>―</v>
      </c>
      <c r="F519" s="10" t="str">
        <f aca="false">IF(OR(G519="",G519="なし"),"―",IF(CF519=0,"入金不要",IF(COUNT(Z519,AB519,AD519,AF519)=0,IF(AG519="○","手動確認","未入金"),IF(AND(N(Z519)=Y519,IF(AA519="",TRUE(),N(AB519)=AA519),IF(AC519="",TRUE(),N(AD519)=AC519),IF(AE519="",TRUE(),N(AF519)=AE519)),"一致","不一致"))))</f>
        <v>―</v>
      </c>
      <c r="G519" s="25"/>
      <c r="H519" s="26"/>
      <c r="I519" s="27"/>
      <c r="J519" s="27"/>
      <c r="K519" s="27"/>
      <c r="L519" s="27"/>
      <c r="M519" s="27"/>
      <c r="N519" s="27"/>
      <c r="O519" s="27"/>
      <c r="P519" s="27"/>
      <c r="Q519" s="27"/>
      <c r="R519" s="27"/>
      <c r="S519" s="27"/>
      <c r="T519" s="27"/>
      <c r="U519" s="27"/>
      <c r="V519" s="27"/>
      <c r="W519" s="10" t="str">
        <f aca="false">IFERROR(INDEX(設定!$E$61:$E$106,MATCH(B519,設定!$B$61:$B$106,0)),"合算")</f>
        <v>合算</v>
      </c>
      <c r="X519" s="28"/>
      <c r="Y519" s="29" t="str">
        <f aca="false">IF(OR(G519="",G519="なし"),"",IF(W519="合算",CF519,IF(W519="掛金・負担金別",(AU519+AV519+AZ519+BB519+BD519),SUM(AU519:AY519))))</f>
        <v/>
      </c>
      <c r="Z519" s="27"/>
      <c r="AA519" s="29" t="str">
        <f aca="false">IF(OR(G519="",G519="なし"),"",IF(W519="掛金・負担金別",(AW519+AX519+AY519+BA519+BC519+BE519),IF(W519="経理区分別",AZ519+BA519,"")))</f>
        <v/>
      </c>
      <c r="AB519" s="27"/>
      <c r="AC519" s="29" t="str">
        <f aca="false">IF(OR(G519="",G519="なし"),"",IF(W519="経理区分別",BB519+BC519,""))</f>
        <v/>
      </c>
      <c r="AD519" s="27"/>
      <c r="AE519" s="29" t="str">
        <f aca="false">IF(OR(G519="",G519="なし"),"",IF(W519="経理区分別",BD519+BE519,""))</f>
        <v/>
      </c>
      <c r="AF519" s="27"/>
      <c r="AG519" s="26"/>
      <c r="AH519" s="26"/>
      <c r="AI519" s="30"/>
      <c r="AJ519" s="31" t="n">
        <v>561810</v>
      </c>
      <c r="AK519" s="31" t="n">
        <v>46050</v>
      </c>
      <c r="AL519" s="31" t="n">
        <v>816620</v>
      </c>
      <c r="AM519" s="31" t="n">
        <v>46050</v>
      </c>
      <c r="AN519" s="31" t="n">
        <v>576</v>
      </c>
      <c r="AO519" s="31" t="n">
        <v>343259</v>
      </c>
      <c r="AP519" s="31" t="n">
        <v>349315</v>
      </c>
      <c r="AQ519" s="31" t="n">
        <v>32232</v>
      </c>
      <c r="AR519" s="31" t="n">
        <v>32232</v>
      </c>
      <c r="AS519" s="31" t="n">
        <v>1</v>
      </c>
      <c r="AT519" s="31" t="n">
        <v>1</v>
      </c>
      <c r="AU519" s="31" t="n">
        <f aca="false">IF($G519="",AJ519,L519)</f>
        <v>561810</v>
      </c>
      <c r="AV519" s="31" t="n">
        <f aca="false">IF($G519="",AK519,M519)</f>
        <v>46050</v>
      </c>
      <c r="AW519" s="31" t="n">
        <f aca="false">IF($G519="",AL519,N519)</f>
        <v>816620</v>
      </c>
      <c r="AX519" s="31" t="n">
        <f aca="false">IF($G519="",AM519,O519)</f>
        <v>46050</v>
      </c>
      <c r="AY519" s="31" t="n">
        <f aca="false">IF($G519="",AN519,P519)</f>
        <v>576</v>
      </c>
      <c r="AZ519" s="31" t="n">
        <f aca="false">IF($G519="",AO519,Q519)</f>
        <v>343259</v>
      </c>
      <c r="BA519" s="31" t="n">
        <f aca="false">IF($G519="",AP519,R519)</f>
        <v>349315</v>
      </c>
      <c r="BB519" s="31" t="n">
        <f aca="false">IF($G519="",AQ519,S519)</f>
        <v>32232</v>
      </c>
      <c r="BC519" s="31" t="n">
        <f aca="false">IF($G519="",AR519,T519)</f>
        <v>32232</v>
      </c>
      <c r="BD519" s="31" t="n">
        <f aca="false">IF($G519="",AS519,U519)</f>
        <v>1</v>
      </c>
      <c r="BE519" s="31" t="n">
        <f aca="false">IF($G519="",AT519,V519)</f>
        <v>1</v>
      </c>
      <c r="BF519" s="31" t="n">
        <f aca="false">ROUNDDOWN(I519*設定!$B$10/1000,0)+ROUNDDOWN(I519*設定!$B$11/1000,0)</f>
        <v>0</v>
      </c>
      <c r="BG519" s="31" t="n">
        <f aca="false">ROUNDDOWN(I519*設定!$C$10/1000,0)+ROUNDDOWN(I519*設定!$C$11/1000,0)+ROUNDDOWN(I519*設定!$C$12/1000,0)</f>
        <v>0</v>
      </c>
      <c r="BH519" s="31" t="n">
        <f aca="false">ROUNDDOWN(J519*設定!$B$13/1000,0)</f>
        <v>0</v>
      </c>
      <c r="BI519" s="31" t="n">
        <f aca="false">ROUNDDOWN(J519*設定!$C$13/1000,0)</f>
        <v>0</v>
      </c>
      <c r="BJ519" s="31" t="n">
        <f aca="false">ROUNDDOWN(K519*設定!$B$14/1000,0)</f>
        <v>0</v>
      </c>
      <c r="BK519" s="31" t="n">
        <f aca="false">ROUNDDOWN(K519*設定!$C$14/1000,0)</f>
        <v>0</v>
      </c>
      <c r="BL519" s="31" t="n">
        <f aca="false">ROUNDDOWN(J519*設定!$B$15/1000,0)</f>
        <v>0</v>
      </c>
      <c r="BM519" s="31" t="n">
        <f aca="false">ROUNDDOWN(J519*設定!$C$15/1000,0)</f>
        <v>0</v>
      </c>
      <c r="BN519" s="31" t="n">
        <f aca="false">L519+M519</f>
        <v>0</v>
      </c>
      <c r="BO519" s="31" t="n">
        <f aca="false">N519+O519+P519</f>
        <v>0</v>
      </c>
      <c r="BP519" s="31" t="n">
        <f aca="false">Q519</f>
        <v>0</v>
      </c>
      <c r="BQ519" s="31" t="n">
        <f aca="false">R519</f>
        <v>0</v>
      </c>
      <c r="BR519" s="31" t="n">
        <f aca="false">S519</f>
        <v>0</v>
      </c>
      <c r="BS519" s="31" t="n">
        <f aca="false">T519</f>
        <v>0</v>
      </c>
      <c r="BT519" s="31" t="n">
        <f aca="false">U519</f>
        <v>0</v>
      </c>
      <c r="BU519" s="31" t="n">
        <f aca="false">V519</f>
        <v>0</v>
      </c>
      <c r="BV519" s="32" t="n">
        <f aca="false">IF(BF519=0,IF(BN519=0,0,1),(BN519-BF519)/BF519)</f>
        <v>0</v>
      </c>
      <c r="BW519" s="32" t="n">
        <f aca="false">IF(BG519=0,IF(BO519=0,0,1),(BO519-BG519)/BG519)</f>
        <v>0</v>
      </c>
      <c r="BX519" s="32" t="n">
        <f aca="false">IF(BH519=0,IF(BP519=0,0,1),(BP519-BH519)/BH519)</f>
        <v>0</v>
      </c>
      <c r="BY519" s="32" t="n">
        <f aca="false">IF(BI519=0,IF(BQ519=0,0,1),(BQ519-BI519)/BI519)</f>
        <v>0</v>
      </c>
      <c r="BZ519" s="32" t="n">
        <f aca="false">IF(BJ519=0,IF(BR519=0,0,1),(BR519-BJ519)/BJ519)</f>
        <v>0</v>
      </c>
      <c r="CA519" s="32" t="n">
        <f aca="false">IF(BK519=0,IF(BS519=0,0,1),(BS519-BK519)/BK519)</f>
        <v>0</v>
      </c>
      <c r="CB519" s="32" t="n">
        <f aca="false">IF(BL519=0,IF(BT519=0,0,1),(BT519-BL519)/BL519)</f>
        <v>0</v>
      </c>
      <c r="CC519" s="32" t="n">
        <f aca="false">IF(BM519=0,IF(BU519=0,0,1),(BU519-BM519)/BM519)</f>
        <v>0</v>
      </c>
      <c r="CD519" s="32" t="n">
        <f aca="false">MAX(MAX(BV519:CC519),-MIN(BV519:CC519))</f>
        <v>-0</v>
      </c>
      <c r="CE519" s="31" t="n">
        <f aca="false">IF(CI519="","",SUMIFS($CF$7:$CF$696,$A$7:$A$696,CI519,$B$7:$B$696,B519))</f>
        <v>2228146</v>
      </c>
      <c r="CF519" s="31" t="n">
        <f aca="false">SUM(AU519:BE519)</f>
        <v>2228146</v>
      </c>
      <c r="CG519" s="33" t="str">
        <f aca="false">A519&amp;"|"&amp;B519</f>
        <v>2027-01 月例|人事委員会</v>
      </c>
      <c r="CH519" s="34" t="str">
        <f aca="false">IFERROR(INDEX(設定!$D$61:$D$106,MATCH(B519,設定!$B$61:$B$106,0)),"Y")</f>
        <v>Y</v>
      </c>
      <c r="CI519" s="34" t="str">
        <f aca="false">IFERROR(INDEX(設定!$D$20:$D$34,MATCH(A519,設定!$A$20:$A$34,0))&amp;"","")</f>
        <v>2026-12 月例</v>
      </c>
    </row>
    <row r="520" customFormat="false" ht="15" hidden="true" customHeight="false" outlineLevel="0" collapsed="false">
      <c r="A520" s="22" t="s">
        <v>219</v>
      </c>
      <c r="B520" s="23" t="s">
        <v>167</v>
      </c>
      <c r="C520" s="10" t="str">
        <f aca="false">IF(G520="","未受領",IF(G520="なし","報告なし",IF(AH520="○","起票済",IF(OR(AG520="○",F520="一致",F520="入金不要"),"入金確認済","受領済"))))</f>
        <v>未受領</v>
      </c>
      <c r="D520" s="10" t="str">
        <f aca="false">IF(OR(G520="",G520="なし"),"―",IF(CH520="N","対象外",IF(AND(I520="",J520="",K520=""),"標報未入力",IF(CD520&gt;=設定!$B$4,"要確認","問題なし"))))</f>
        <v>―</v>
      </c>
      <c r="E520" s="24" t="str">
        <f aca="false">IF(OR(G520="",G520="なし",CE520="",CF520=0),"―",IF(CF520=CE520,"前月同額",IF(CE520=0,"―",IF(ABS(CF520/CE520-1)&gt;=設定!$B$5,"変動大 "&amp;TEXT(CF520/CE520-1,"+0%;-0%"),"〇"))))</f>
        <v>―</v>
      </c>
      <c r="F520" s="10" t="str">
        <f aca="false">IF(OR(G520="",G520="なし"),"―",IF(CF520=0,"入金不要",IF(COUNT(Z520,AB520,AD520,AF520)=0,IF(AG520="○","手動確認","未入金"),IF(AND(N(Z520)=Y520,IF(AA520="",TRUE(),N(AB520)=AA520),IF(AC520="",TRUE(),N(AD520)=AC520),IF(AE520="",TRUE(),N(AF520)=AE520)),"一致","不一致"))))</f>
        <v>―</v>
      </c>
      <c r="G520" s="25"/>
      <c r="H520" s="26"/>
      <c r="I520" s="27"/>
      <c r="J520" s="27"/>
      <c r="K520" s="27"/>
      <c r="L520" s="27"/>
      <c r="M520" s="27"/>
      <c r="N520" s="27"/>
      <c r="O520" s="27"/>
      <c r="P520" s="27"/>
      <c r="Q520" s="27"/>
      <c r="R520" s="27"/>
      <c r="S520" s="27"/>
      <c r="T520" s="27"/>
      <c r="U520" s="27"/>
      <c r="V520" s="27"/>
      <c r="W520" s="10" t="str">
        <f aca="false">IFERROR(INDEX(設定!$E$61:$E$106,MATCH(B520,設定!$B$61:$B$106,0)),"合算")</f>
        <v>合算</v>
      </c>
      <c r="X520" s="28"/>
      <c r="Y520" s="29" t="str">
        <f aca="false">IF(OR(G520="",G520="なし"),"",IF(W520="合算",CF520,IF(W520="掛金・負担金別",(AU520+AV520+AZ520+BB520+BD520),SUM(AU520:AY520))))</f>
        <v/>
      </c>
      <c r="Z520" s="27"/>
      <c r="AA520" s="29" t="str">
        <f aca="false">IF(OR(G520="",G520="なし"),"",IF(W520="掛金・負担金別",(AW520+AX520+AY520+BA520+BC520+BE520),IF(W520="経理区分別",AZ520+BA520,"")))</f>
        <v/>
      </c>
      <c r="AB520" s="27"/>
      <c r="AC520" s="29" t="str">
        <f aca="false">IF(OR(G520="",G520="なし"),"",IF(W520="経理区分別",BB520+BC520,""))</f>
        <v/>
      </c>
      <c r="AD520" s="27"/>
      <c r="AE520" s="29" t="str">
        <f aca="false">IF(OR(G520="",G520="なし"),"",IF(W520="経理区分別",BD520+BE520,""))</f>
        <v/>
      </c>
      <c r="AF520" s="27"/>
      <c r="AG520" s="26"/>
      <c r="AH520" s="26"/>
      <c r="AI520" s="30"/>
      <c r="AJ520" s="31" t="n">
        <v>1344135</v>
      </c>
      <c r="AK520" s="31" t="n">
        <v>110175</v>
      </c>
      <c r="AL520" s="31" t="n">
        <v>1965390</v>
      </c>
      <c r="AM520" s="31" t="n">
        <v>110175</v>
      </c>
      <c r="AN520" s="31" t="n">
        <v>1405</v>
      </c>
      <c r="AO520" s="31" t="n">
        <v>836690</v>
      </c>
      <c r="AP520" s="31" t="n">
        <v>851727</v>
      </c>
      <c r="AQ520" s="31" t="n">
        <v>108309</v>
      </c>
      <c r="AR520" s="31" t="n">
        <v>108309</v>
      </c>
      <c r="AS520" s="31" t="n">
        <v>1</v>
      </c>
      <c r="AT520" s="31" t="n">
        <v>1</v>
      </c>
      <c r="AU520" s="31" t="n">
        <f aca="false">IF($G520="",AJ520,L520)</f>
        <v>1344135</v>
      </c>
      <c r="AV520" s="31" t="n">
        <f aca="false">IF($G520="",AK520,M520)</f>
        <v>110175</v>
      </c>
      <c r="AW520" s="31" t="n">
        <f aca="false">IF($G520="",AL520,N520)</f>
        <v>1965390</v>
      </c>
      <c r="AX520" s="31" t="n">
        <f aca="false">IF($G520="",AM520,O520)</f>
        <v>110175</v>
      </c>
      <c r="AY520" s="31" t="n">
        <f aca="false">IF($G520="",AN520,P520)</f>
        <v>1405</v>
      </c>
      <c r="AZ520" s="31" t="n">
        <f aca="false">IF($G520="",AO520,Q520)</f>
        <v>836690</v>
      </c>
      <c r="BA520" s="31" t="n">
        <f aca="false">IF($G520="",AP520,R520)</f>
        <v>851727</v>
      </c>
      <c r="BB520" s="31" t="n">
        <f aca="false">IF($G520="",AQ520,S520)</f>
        <v>108309</v>
      </c>
      <c r="BC520" s="31" t="n">
        <f aca="false">IF($G520="",AR520,T520)</f>
        <v>108309</v>
      </c>
      <c r="BD520" s="31" t="n">
        <f aca="false">IF($G520="",AS520,U520)</f>
        <v>1</v>
      </c>
      <c r="BE520" s="31" t="n">
        <f aca="false">IF($G520="",AT520,V520)</f>
        <v>1</v>
      </c>
      <c r="BF520" s="31" t="n">
        <f aca="false">ROUNDDOWN(I520*設定!$B$10/1000,0)+ROUNDDOWN(I520*設定!$B$11/1000,0)</f>
        <v>0</v>
      </c>
      <c r="BG520" s="31" t="n">
        <f aca="false">ROUNDDOWN(I520*設定!$C$10/1000,0)+ROUNDDOWN(I520*設定!$C$11/1000,0)+ROUNDDOWN(I520*設定!$C$12/1000,0)</f>
        <v>0</v>
      </c>
      <c r="BH520" s="31" t="n">
        <f aca="false">ROUNDDOWN(J520*設定!$B$13/1000,0)</f>
        <v>0</v>
      </c>
      <c r="BI520" s="31" t="n">
        <f aca="false">ROUNDDOWN(J520*設定!$C$13/1000,0)</f>
        <v>0</v>
      </c>
      <c r="BJ520" s="31" t="n">
        <f aca="false">ROUNDDOWN(K520*設定!$B$14/1000,0)</f>
        <v>0</v>
      </c>
      <c r="BK520" s="31" t="n">
        <f aca="false">ROUNDDOWN(K520*設定!$C$14/1000,0)</f>
        <v>0</v>
      </c>
      <c r="BL520" s="31" t="n">
        <f aca="false">ROUNDDOWN(J520*設定!$B$15/1000,0)</f>
        <v>0</v>
      </c>
      <c r="BM520" s="31" t="n">
        <f aca="false">ROUNDDOWN(J520*設定!$C$15/1000,0)</f>
        <v>0</v>
      </c>
      <c r="BN520" s="31" t="n">
        <f aca="false">L520+M520</f>
        <v>0</v>
      </c>
      <c r="BO520" s="31" t="n">
        <f aca="false">N520+O520+P520</f>
        <v>0</v>
      </c>
      <c r="BP520" s="31" t="n">
        <f aca="false">Q520</f>
        <v>0</v>
      </c>
      <c r="BQ520" s="31" t="n">
        <f aca="false">R520</f>
        <v>0</v>
      </c>
      <c r="BR520" s="31" t="n">
        <f aca="false">S520</f>
        <v>0</v>
      </c>
      <c r="BS520" s="31" t="n">
        <f aca="false">T520</f>
        <v>0</v>
      </c>
      <c r="BT520" s="31" t="n">
        <f aca="false">U520</f>
        <v>0</v>
      </c>
      <c r="BU520" s="31" t="n">
        <f aca="false">V520</f>
        <v>0</v>
      </c>
      <c r="BV520" s="32" t="n">
        <f aca="false">IF(BF520=0,IF(BN520=0,0,1),(BN520-BF520)/BF520)</f>
        <v>0</v>
      </c>
      <c r="BW520" s="32" t="n">
        <f aca="false">IF(BG520=0,IF(BO520=0,0,1),(BO520-BG520)/BG520)</f>
        <v>0</v>
      </c>
      <c r="BX520" s="32" t="n">
        <f aca="false">IF(BH520=0,IF(BP520=0,0,1),(BP520-BH520)/BH520)</f>
        <v>0</v>
      </c>
      <c r="BY520" s="32" t="n">
        <f aca="false">IF(BI520=0,IF(BQ520=0,0,1),(BQ520-BI520)/BI520)</f>
        <v>0</v>
      </c>
      <c r="BZ520" s="32" t="n">
        <f aca="false">IF(BJ520=0,IF(BR520=0,0,1),(BR520-BJ520)/BJ520)</f>
        <v>0</v>
      </c>
      <c r="CA520" s="32" t="n">
        <f aca="false">IF(BK520=0,IF(BS520=0,0,1),(BS520-BK520)/BK520)</f>
        <v>0</v>
      </c>
      <c r="CB520" s="32" t="n">
        <f aca="false">IF(BL520=0,IF(BT520=0,0,1),(BT520-BL520)/BL520)</f>
        <v>0</v>
      </c>
      <c r="CC520" s="32" t="n">
        <f aca="false">IF(BM520=0,IF(BU520=0,0,1),(BU520-BM520)/BM520)</f>
        <v>0</v>
      </c>
      <c r="CD520" s="32" t="n">
        <f aca="false">MAX(MAX(BV520:CC520),-MIN(BV520:CC520))</f>
        <v>-0</v>
      </c>
      <c r="CE520" s="31" t="n">
        <f aca="false">IF(CI520="","",SUMIFS($CF$7:$CF$696,$A$7:$A$696,CI520,$B$7:$B$696,B520))</f>
        <v>5436317</v>
      </c>
      <c r="CF520" s="31" t="n">
        <f aca="false">SUM(AU520:BE520)</f>
        <v>5436317</v>
      </c>
      <c r="CG520" s="33" t="str">
        <f aca="false">A520&amp;"|"&amp;B520</f>
        <v>2027-01 月例|監査事務局</v>
      </c>
      <c r="CH520" s="34" t="str">
        <f aca="false">IFERROR(INDEX(設定!$D$61:$D$106,MATCH(B520,設定!$B$61:$B$106,0)),"Y")</f>
        <v>Y</v>
      </c>
      <c r="CI520" s="34" t="str">
        <f aca="false">IFERROR(INDEX(設定!$D$20:$D$34,MATCH(A520,設定!$A$20:$A$34,0))&amp;"","")</f>
        <v>2026-12 月例</v>
      </c>
    </row>
    <row r="521" customFormat="false" ht="15" hidden="true" customHeight="false" outlineLevel="0" collapsed="false">
      <c r="A521" s="22" t="s">
        <v>219</v>
      </c>
      <c r="B521" s="23" t="s">
        <v>168</v>
      </c>
      <c r="C521" s="10" t="str">
        <f aca="false">IF(G521="","未受領",IF(G521="なし","報告なし",IF(AH521="○","起票済",IF(OR(AG521="○",F521="一致",F521="入金不要"),"入金確認済","受領済"))))</f>
        <v>未受領</v>
      </c>
      <c r="D521" s="10" t="str">
        <f aca="false">IF(OR(G521="",G521="なし"),"―",IF(CH521="N","対象外",IF(AND(I521="",J521="",K521=""),"標報未入力",IF(CD521&gt;=設定!$B$4,"要確認","問題なし"))))</f>
        <v>―</v>
      </c>
      <c r="E521" s="24" t="str">
        <f aca="false">IF(OR(G521="",G521="なし",CE521="",CF521=0),"―",IF(CF521=CE521,"前月同額",IF(CE521=0,"―",IF(ABS(CF521/CE521-1)&gt;=設定!$B$5,"変動大 "&amp;TEXT(CF521/CE521-1,"+0%;-0%"),"〇"))))</f>
        <v>―</v>
      </c>
      <c r="F521" s="10" t="str">
        <f aca="false">IF(OR(G521="",G521="なし"),"―",IF(CF521=0,"入金不要",IF(COUNT(Z521,AB521,AD521,AF521)=0,IF(AG521="○","手動確認","未入金"),IF(AND(N(Z521)=Y521,IF(AA521="",TRUE(),N(AB521)=AA521),IF(AC521="",TRUE(),N(AD521)=AC521),IF(AE521="",TRUE(),N(AF521)=AE521)),"一致","不一致"))))</f>
        <v>―</v>
      </c>
      <c r="G521" s="25"/>
      <c r="H521" s="26"/>
      <c r="I521" s="27"/>
      <c r="J521" s="27"/>
      <c r="K521" s="27"/>
      <c r="L521" s="27"/>
      <c r="M521" s="27"/>
      <c r="N521" s="27"/>
      <c r="O521" s="27"/>
      <c r="P521" s="27"/>
      <c r="Q521" s="27"/>
      <c r="R521" s="27"/>
      <c r="S521" s="27"/>
      <c r="T521" s="27"/>
      <c r="U521" s="27"/>
      <c r="V521" s="27"/>
      <c r="W521" s="10" t="str">
        <f aca="false">IFERROR(INDEX(設定!$E$61:$E$106,MATCH(B521,設定!$B$61:$B$106,0)),"合算")</f>
        <v>合算</v>
      </c>
      <c r="X521" s="28"/>
      <c r="Y521" s="29" t="str">
        <f aca="false">IF(OR(G521="",G521="なし"),"",IF(W521="合算",CF521,IF(W521="掛金・負担金別",(AU521+AV521+AZ521+BB521+BD521),SUM(AU521:AY521))))</f>
        <v/>
      </c>
      <c r="Z521" s="27"/>
      <c r="AA521" s="29" t="str">
        <f aca="false">IF(OR(G521="",G521="なし"),"",IF(W521="掛金・負担金別",(AW521+AX521+AY521+BA521+BC521+BE521),IF(W521="経理区分別",AZ521+BA521,"")))</f>
        <v/>
      </c>
      <c r="AB521" s="27"/>
      <c r="AC521" s="29" t="str">
        <f aca="false">IF(OR(G521="",G521="なし"),"",IF(W521="経理区分別",BB521+BC521,""))</f>
        <v/>
      </c>
      <c r="AD521" s="27"/>
      <c r="AE521" s="29" t="str">
        <f aca="false">IF(OR(G521="",G521="なし"),"",IF(W521="経理区分別",BD521+BE521,""))</f>
        <v/>
      </c>
      <c r="AF521" s="27"/>
      <c r="AG521" s="26"/>
      <c r="AH521" s="26"/>
      <c r="AI521" s="30"/>
      <c r="AJ521" s="31" t="n">
        <v>382470</v>
      </c>
      <c r="AK521" s="31" t="n">
        <v>31350</v>
      </c>
      <c r="AL521" s="31" t="n">
        <v>555940</v>
      </c>
      <c r="AM521" s="31" t="n">
        <v>31350</v>
      </c>
      <c r="AN521" s="31" t="n">
        <v>392</v>
      </c>
      <c r="AO521" s="31" t="n">
        <v>308930</v>
      </c>
      <c r="AP521" s="31" t="n">
        <v>314382</v>
      </c>
      <c r="AQ521" s="31" t="n">
        <v>32672</v>
      </c>
      <c r="AR521" s="31" t="n">
        <v>32674</v>
      </c>
      <c r="AS521" s="31" t="n">
        <v>1</v>
      </c>
      <c r="AT521" s="31" t="n">
        <v>1</v>
      </c>
      <c r="AU521" s="31" t="n">
        <f aca="false">IF($G521="",AJ521,L521)</f>
        <v>382470</v>
      </c>
      <c r="AV521" s="31" t="n">
        <f aca="false">IF($G521="",AK521,M521)</f>
        <v>31350</v>
      </c>
      <c r="AW521" s="31" t="n">
        <f aca="false">IF($G521="",AL521,N521)</f>
        <v>555940</v>
      </c>
      <c r="AX521" s="31" t="n">
        <f aca="false">IF($G521="",AM521,O521)</f>
        <v>31350</v>
      </c>
      <c r="AY521" s="31" t="n">
        <f aca="false">IF($G521="",AN521,P521)</f>
        <v>392</v>
      </c>
      <c r="AZ521" s="31" t="n">
        <f aca="false">IF($G521="",AO521,Q521)</f>
        <v>308930</v>
      </c>
      <c r="BA521" s="31" t="n">
        <f aca="false">IF($G521="",AP521,R521)</f>
        <v>314382</v>
      </c>
      <c r="BB521" s="31" t="n">
        <f aca="false">IF($G521="",AQ521,S521)</f>
        <v>32672</v>
      </c>
      <c r="BC521" s="31" t="n">
        <f aca="false">IF($G521="",AR521,T521)</f>
        <v>32674</v>
      </c>
      <c r="BD521" s="31" t="n">
        <f aca="false">IF($G521="",AS521,U521)</f>
        <v>1</v>
      </c>
      <c r="BE521" s="31" t="n">
        <f aca="false">IF($G521="",AT521,V521)</f>
        <v>1</v>
      </c>
      <c r="BF521" s="31" t="n">
        <f aca="false">ROUNDDOWN(I521*設定!$B$10/1000,0)+ROUNDDOWN(I521*設定!$B$11/1000,0)</f>
        <v>0</v>
      </c>
      <c r="BG521" s="31" t="n">
        <f aca="false">ROUNDDOWN(I521*設定!$C$10/1000,0)+ROUNDDOWN(I521*設定!$C$11/1000,0)+ROUNDDOWN(I521*設定!$C$12/1000,0)</f>
        <v>0</v>
      </c>
      <c r="BH521" s="31" t="n">
        <f aca="false">ROUNDDOWN(J521*設定!$B$13/1000,0)</f>
        <v>0</v>
      </c>
      <c r="BI521" s="31" t="n">
        <f aca="false">ROUNDDOWN(J521*設定!$C$13/1000,0)</f>
        <v>0</v>
      </c>
      <c r="BJ521" s="31" t="n">
        <f aca="false">ROUNDDOWN(K521*設定!$B$14/1000,0)</f>
        <v>0</v>
      </c>
      <c r="BK521" s="31" t="n">
        <f aca="false">ROUNDDOWN(K521*設定!$C$14/1000,0)</f>
        <v>0</v>
      </c>
      <c r="BL521" s="31" t="n">
        <f aca="false">ROUNDDOWN(J521*設定!$B$15/1000,0)</f>
        <v>0</v>
      </c>
      <c r="BM521" s="31" t="n">
        <f aca="false">ROUNDDOWN(J521*設定!$C$15/1000,0)</f>
        <v>0</v>
      </c>
      <c r="BN521" s="31" t="n">
        <f aca="false">L521+M521</f>
        <v>0</v>
      </c>
      <c r="BO521" s="31" t="n">
        <f aca="false">N521+O521+P521</f>
        <v>0</v>
      </c>
      <c r="BP521" s="31" t="n">
        <f aca="false">Q521</f>
        <v>0</v>
      </c>
      <c r="BQ521" s="31" t="n">
        <f aca="false">R521</f>
        <v>0</v>
      </c>
      <c r="BR521" s="31" t="n">
        <f aca="false">S521</f>
        <v>0</v>
      </c>
      <c r="BS521" s="31" t="n">
        <f aca="false">T521</f>
        <v>0</v>
      </c>
      <c r="BT521" s="31" t="n">
        <f aca="false">U521</f>
        <v>0</v>
      </c>
      <c r="BU521" s="31" t="n">
        <f aca="false">V521</f>
        <v>0</v>
      </c>
      <c r="BV521" s="32" t="n">
        <f aca="false">IF(BF521=0,IF(BN521=0,0,1),(BN521-BF521)/BF521)</f>
        <v>0</v>
      </c>
      <c r="BW521" s="32" t="n">
        <f aca="false">IF(BG521=0,IF(BO521=0,0,1),(BO521-BG521)/BG521)</f>
        <v>0</v>
      </c>
      <c r="BX521" s="32" t="n">
        <f aca="false">IF(BH521=0,IF(BP521=0,0,1),(BP521-BH521)/BH521)</f>
        <v>0</v>
      </c>
      <c r="BY521" s="32" t="n">
        <f aca="false">IF(BI521=0,IF(BQ521=0,0,1),(BQ521-BI521)/BI521)</f>
        <v>0</v>
      </c>
      <c r="BZ521" s="32" t="n">
        <f aca="false">IF(BJ521=0,IF(BR521=0,0,1),(BR521-BJ521)/BJ521)</f>
        <v>0</v>
      </c>
      <c r="CA521" s="32" t="n">
        <f aca="false">IF(BK521=0,IF(BS521=0,0,1),(BS521-BK521)/BK521)</f>
        <v>0</v>
      </c>
      <c r="CB521" s="32" t="n">
        <f aca="false">IF(BL521=0,IF(BT521=0,0,1),(BT521-BL521)/BL521)</f>
        <v>0</v>
      </c>
      <c r="CC521" s="32" t="n">
        <f aca="false">IF(BM521=0,IF(BU521=0,0,1),(BU521-BM521)/BM521)</f>
        <v>0</v>
      </c>
      <c r="CD521" s="32" t="n">
        <f aca="false">MAX(MAX(BV521:CC521),-MIN(BV521:CC521))</f>
        <v>-0</v>
      </c>
      <c r="CE521" s="31" t="n">
        <f aca="false">IF(CI521="","",SUMIFS($CF$7:$CF$696,$A$7:$A$696,CI521,$B$7:$B$696,B521))</f>
        <v>1690162</v>
      </c>
      <c r="CF521" s="31" t="n">
        <f aca="false">SUM(AU521:BE521)</f>
        <v>1690162</v>
      </c>
      <c r="CG521" s="33" t="str">
        <f aca="false">A521&amp;"|"&amp;B521</f>
        <v>2027-01 月例|農業委員会</v>
      </c>
      <c r="CH521" s="34" t="str">
        <f aca="false">IFERROR(INDEX(設定!$D$61:$D$106,MATCH(B521,設定!$B$61:$B$106,0)),"Y")</f>
        <v>Y</v>
      </c>
      <c r="CI521" s="34" t="str">
        <f aca="false">IFERROR(INDEX(設定!$D$20:$D$34,MATCH(A521,設定!$A$20:$A$34,0))&amp;"","")</f>
        <v>2026-12 月例</v>
      </c>
    </row>
    <row r="522" customFormat="false" ht="15" hidden="true" customHeight="false" outlineLevel="0" collapsed="false">
      <c r="A522" s="22" t="s">
        <v>219</v>
      </c>
      <c r="B522" s="23" t="s">
        <v>169</v>
      </c>
      <c r="C522" s="10" t="str">
        <f aca="false">IF(G522="","未受領",IF(G522="なし","報告なし",IF(AH522="○","起票済",IF(OR(AG522="○",F522="一致",F522="入金不要"),"入金確認済","受領済"))))</f>
        <v>未受領</v>
      </c>
      <c r="D522" s="10" t="str">
        <f aca="false">IF(OR(G522="",G522="なし"),"―",IF(CH522="N","対象外",IF(AND(I522="",J522="",K522=""),"標報未入力",IF(CD522&gt;=設定!$B$4,"要確認","問題なし"))))</f>
        <v>―</v>
      </c>
      <c r="E522" s="24" t="str">
        <f aca="false">IF(OR(G522="",G522="なし",CE522="",CF522=0),"―",IF(CF522=CE522,"前月同額",IF(CE522=0,"―",IF(ABS(CF522/CE522-1)&gt;=設定!$B$5,"変動大 "&amp;TEXT(CF522/CE522-1,"+0%;-0%"),"〇"))))</f>
        <v>―</v>
      </c>
      <c r="F522" s="10" t="str">
        <f aca="false">IF(OR(G522="",G522="なし"),"―",IF(CF522=0,"入金不要",IF(COUNT(Z522,AB522,AD522,AF522)=0,IF(AG522="○","手動確認","未入金"),IF(AND(N(Z522)=Y522,IF(AA522="",TRUE(),N(AB522)=AA522),IF(AC522="",TRUE(),N(AD522)=AC522),IF(AE522="",TRUE(),N(AF522)=AE522)),"一致","不一致"))))</f>
        <v>―</v>
      </c>
      <c r="G522" s="25"/>
      <c r="H522" s="26"/>
      <c r="I522" s="27"/>
      <c r="J522" s="27"/>
      <c r="K522" s="27"/>
      <c r="L522" s="27"/>
      <c r="M522" s="27"/>
      <c r="N522" s="27"/>
      <c r="O522" s="27"/>
      <c r="P522" s="27"/>
      <c r="Q522" s="27"/>
      <c r="R522" s="27"/>
      <c r="S522" s="27"/>
      <c r="T522" s="27"/>
      <c r="U522" s="27"/>
      <c r="V522" s="27"/>
      <c r="W522" s="10" t="str">
        <f aca="false">IFERROR(INDEX(設定!$E$61:$E$106,MATCH(B522,設定!$B$61:$B$106,0)),"合算")</f>
        <v>合算</v>
      </c>
      <c r="X522" s="28"/>
      <c r="Y522" s="29" t="str">
        <f aca="false">IF(OR(G522="",G522="なし"),"",IF(W522="合算",CF522,IF(W522="掛金・負担金別",(AU522+AV522+AZ522+BB522+BD522),SUM(AU522:AY522))))</f>
        <v/>
      </c>
      <c r="Z522" s="27"/>
      <c r="AA522" s="29" t="str">
        <f aca="false">IF(OR(G522="",G522="なし"),"",IF(W522="掛金・負担金別",(AW522+AX522+AY522+BA522+BC522+BE522),IF(W522="経理区分別",AZ522+BA522,"")))</f>
        <v/>
      </c>
      <c r="AB522" s="27"/>
      <c r="AC522" s="29" t="str">
        <f aca="false">IF(OR(G522="",G522="なし"),"",IF(W522="経理区分別",BB522+BC522,""))</f>
        <v/>
      </c>
      <c r="AD522" s="27"/>
      <c r="AE522" s="29" t="str">
        <f aca="false">IF(OR(G522="",G522="なし"),"",IF(W522="経理区分別",BD522+BE522,""))</f>
        <v/>
      </c>
      <c r="AF522" s="27"/>
      <c r="AG522" s="26"/>
      <c r="AH522" s="26"/>
      <c r="AI522" s="30"/>
      <c r="AJ522" s="31" t="n">
        <v>22420245</v>
      </c>
      <c r="AK522" s="31" t="n">
        <v>1837725</v>
      </c>
      <c r="AL522" s="31" t="n">
        <v>32739220</v>
      </c>
      <c r="AM522" s="31" t="n">
        <v>1837725</v>
      </c>
      <c r="AN522" s="31" t="n">
        <v>23343</v>
      </c>
      <c r="AO522" s="31" t="n">
        <v>14212123</v>
      </c>
      <c r="AP522" s="31" t="n">
        <v>14466503</v>
      </c>
      <c r="AQ522" s="31" t="n">
        <v>1332967</v>
      </c>
      <c r="AR522" s="31" t="n">
        <v>1332967</v>
      </c>
      <c r="AS522" s="31" t="n">
        <v>1</v>
      </c>
      <c r="AT522" s="31" t="n">
        <v>1</v>
      </c>
      <c r="AU522" s="31" t="n">
        <f aca="false">IF($G522="",AJ522,L522)</f>
        <v>22420245</v>
      </c>
      <c r="AV522" s="31" t="n">
        <f aca="false">IF($G522="",AK522,M522)</f>
        <v>1837725</v>
      </c>
      <c r="AW522" s="31" t="n">
        <f aca="false">IF($G522="",AL522,N522)</f>
        <v>32739220</v>
      </c>
      <c r="AX522" s="31" t="n">
        <f aca="false">IF($G522="",AM522,O522)</f>
        <v>1837725</v>
      </c>
      <c r="AY522" s="31" t="n">
        <f aca="false">IF($G522="",AN522,P522)</f>
        <v>23343</v>
      </c>
      <c r="AZ522" s="31" t="n">
        <f aca="false">IF($G522="",AO522,Q522)</f>
        <v>14212123</v>
      </c>
      <c r="BA522" s="31" t="n">
        <f aca="false">IF($G522="",AP522,R522)</f>
        <v>14466503</v>
      </c>
      <c r="BB522" s="31" t="n">
        <f aca="false">IF($G522="",AQ522,S522)</f>
        <v>1332967</v>
      </c>
      <c r="BC522" s="31" t="n">
        <f aca="false">IF($G522="",AR522,T522)</f>
        <v>1332967</v>
      </c>
      <c r="BD522" s="31" t="n">
        <f aca="false">IF($G522="",AS522,U522)</f>
        <v>1</v>
      </c>
      <c r="BE522" s="31" t="n">
        <f aca="false">IF($G522="",AT522,V522)</f>
        <v>1</v>
      </c>
      <c r="BF522" s="31" t="n">
        <f aca="false">ROUNDDOWN(I522*設定!$B$10/1000,0)+ROUNDDOWN(I522*設定!$B$11/1000,0)</f>
        <v>0</v>
      </c>
      <c r="BG522" s="31" t="n">
        <f aca="false">ROUNDDOWN(I522*設定!$C$10/1000,0)+ROUNDDOWN(I522*設定!$C$11/1000,0)+ROUNDDOWN(I522*設定!$C$12/1000,0)</f>
        <v>0</v>
      </c>
      <c r="BH522" s="31" t="n">
        <f aca="false">ROUNDDOWN(J522*設定!$B$13/1000,0)</f>
        <v>0</v>
      </c>
      <c r="BI522" s="31" t="n">
        <f aca="false">ROUNDDOWN(J522*設定!$C$13/1000,0)</f>
        <v>0</v>
      </c>
      <c r="BJ522" s="31" t="n">
        <f aca="false">ROUNDDOWN(K522*設定!$B$14/1000,0)</f>
        <v>0</v>
      </c>
      <c r="BK522" s="31" t="n">
        <f aca="false">ROUNDDOWN(K522*設定!$C$14/1000,0)</f>
        <v>0</v>
      </c>
      <c r="BL522" s="31" t="n">
        <f aca="false">ROUNDDOWN(J522*設定!$B$15/1000,0)</f>
        <v>0</v>
      </c>
      <c r="BM522" s="31" t="n">
        <f aca="false">ROUNDDOWN(J522*設定!$C$15/1000,0)</f>
        <v>0</v>
      </c>
      <c r="BN522" s="31" t="n">
        <f aca="false">L522+M522</f>
        <v>0</v>
      </c>
      <c r="BO522" s="31" t="n">
        <f aca="false">N522+O522+P522</f>
        <v>0</v>
      </c>
      <c r="BP522" s="31" t="n">
        <f aca="false">Q522</f>
        <v>0</v>
      </c>
      <c r="BQ522" s="31" t="n">
        <f aca="false">R522</f>
        <v>0</v>
      </c>
      <c r="BR522" s="31" t="n">
        <f aca="false">S522</f>
        <v>0</v>
      </c>
      <c r="BS522" s="31" t="n">
        <f aca="false">T522</f>
        <v>0</v>
      </c>
      <c r="BT522" s="31" t="n">
        <f aca="false">U522</f>
        <v>0</v>
      </c>
      <c r="BU522" s="31" t="n">
        <f aca="false">V522</f>
        <v>0</v>
      </c>
      <c r="BV522" s="32" t="n">
        <f aca="false">IF(BF522=0,IF(BN522=0,0,1),(BN522-BF522)/BF522)</f>
        <v>0</v>
      </c>
      <c r="BW522" s="32" t="n">
        <f aca="false">IF(BG522=0,IF(BO522=0,0,1),(BO522-BG522)/BG522)</f>
        <v>0</v>
      </c>
      <c r="BX522" s="32" t="n">
        <f aca="false">IF(BH522=0,IF(BP522=0,0,1),(BP522-BH522)/BH522)</f>
        <v>0</v>
      </c>
      <c r="BY522" s="32" t="n">
        <f aca="false">IF(BI522=0,IF(BQ522=0,0,1),(BQ522-BI522)/BI522)</f>
        <v>0</v>
      </c>
      <c r="BZ522" s="32" t="n">
        <f aca="false">IF(BJ522=0,IF(BR522=0,0,1),(BR522-BJ522)/BJ522)</f>
        <v>0</v>
      </c>
      <c r="CA522" s="32" t="n">
        <f aca="false">IF(BK522=0,IF(BS522=0,0,1),(BS522-BK522)/BK522)</f>
        <v>0</v>
      </c>
      <c r="CB522" s="32" t="n">
        <f aca="false">IF(BL522=0,IF(BT522=0,0,1),(BT522-BL522)/BL522)</f>
        <v>0</v>
      </c>
      <c r="CC522" s="32" t="n">
        <f aca="false">IF(BM522=0,IF(BU522=0,0,1),(BU522-BM522)/BM522)</f>
        <v>0</v>
      </c>
      <c r="CD522" s="32" t="n">
        <f aca="false">MAX(MAX(BV522:CC522),-MIN(BV522:CC522))</f>
        <v>-0</v>
      </c>
      <c r="CE522" s="31" t="n">
        <f aca="false">IF(CI522="","",SUMIFS($CF$7:$CF$696,$A$7:$A$696,CI522,$B$7:$B$696,B522))</f>
        <v>90214190</v>
      </c>
      <c r="CF522" s="31" t="n">
        <f aca="false">SUM(AU522:BE522)</f>
        <v>90202820</v>
      </c>
      <c r="CG522" s="33" t="str">
        <f aca="false">A522&amp;"|"&amp;B522</f>
        <v>2027-01 月例|水道局</v>
      </c>
      <c r="CH522" s="34" t="str">
        <f aca="false">IFERROR(INDEX(設定!$D$61:$D$106,MATCH(B522,設定!$B$61:$B$106,0)),"Y")</f>
        <v>N</v>
      </c>
      <c r="CI522" s="34" t="str">
        <f aca="false">IFERROR(INDEX(設定!$D$20:$D$34,MATCH(A522,設定!$A$20:$A$34,0))&amp;"","")</f>
        <v>2026-12 月例</v>
      </c>
    </row>
    <row r="523" customFormat="false" ht="15" hidden="true" customHeight="false" outlineLevel="0" collapsed="false">
      <c r="A523" s="22" t="s">
        <v>219</v>
      </c>
      <c r="B523" s="23" t="s">
        <v>170</v>
      </c>
      <c r="C523" s="10" t="str">
        <f aca="false">IF(G523="","未受領",IF(G523="なし","報告なし",IF(AH523="○","起票済",IF(OR(AG523="○",F523="一致",F523="入金不要"),"入金確認済","受領済"))))</f>
        <v>未受領</v>
      </c>
      <c r="D523" s="10" t="str">
        <f aca="false">IF(OR(G523="",G523="なし"),"―",IF(CH523="N","対象外",IF(AND(I523="",J523="",K523=""),"標報未入力",IF(CD523&gt;=設定!$B$4,"要確認","問題なし"))))</f>
        <v>―</v>
      </c>
      <c r="E523" s="24" t="str">
        <f aca="false">IF(OR(G523="",G523="なし",CE523="",CF523=0),"―",IF(CF523=CE523,"前月同額",IF(CE523=0,"―",IF(ABS(CF523/CE523-1)&gt;=設定!$B$5,"変動大 "&amp;TEXT(CF523/CE523-1,"+0%;-0%"),"〇"))))</f>
        <v>―</v>
      </c>
      <c r="F523" s="10" t="str">
        <f aca="false">IF(OR(G523="",G523="なし"),"―",IF(CF523=0,"入金不要",IF(COUNT(Z523,AB523,AD523,AF523)=0,IF(AG523="○","手動確認","未入金"),IF(AND(N(Z523)=Y523,IF(AA523="",TRUE(),N(AB523)=AA523),IF(AC523="",TRUE(),N(AD523)=AC523),IF(AE523="",TRUE(),N(AF523)=AE523)),"一致","不一致"))))</f>
        <v>―</v>
      </c>
      <c r="G523" s="25"/>
      <c r="H523" s="26"/>
      <c r="I523" s="27"/>
      <c r="J523" s="27"/>
      <c r="K523" s="27"/>
      <c r="L523" s="27"/>
      <c r="M523" s="27"/>
      <c r="N523" s="27"/>
      <c r="O523" s="27"/>
      <c r="P523" s="27"/>
      <c r="Q523" s="27"/>
      <c r="R523" s="27"/>
      <c r="S523" s="27"/>
      <c r="T523" s="27"/>
      <c r="U523" s="27"/>
      <c r="V523" s="27"/>
      <c r="W523" s="10" t="str">
        <f aca="false">IFERROR(INDEX(設定!$E$61:$E$106,MATCH(B523,設定!$B$61:$B$106,0)),"合算")</f>
        <v>合算</v>
      </c>
      <c r="X523" s="28"/>
      <c r="Y523" s="29" t="str">
        <f aca="false">IF(OR(G523="",G523="なし"),"",IF(W523="合算",CF523,IF(W523="掛金・負担金別",(AU523+AV523+AZ523+BB523+BD523),SUM(AU523:AY523))))</f>
        <v/>
      </c>
      <c r="Z523" s="27"/>
      <c r="AA523" s="29" t="str">
        <f aca="false">IF(OR(G523="",G523="なし"),"",IF(W523="掛金・負担金別",(AW523+AX523+AY523+BA523+BC523+BE523),IF(W523="経理区分別",AZ523+BA523,"")))</f>
        <v/>
      </c>
      <c r="AB523" s="27"/>
      <c r="AC523" s="29" t="str">
        <f aca="false">IF(OR(G523="",G523="なし"),"",IF(W523="経理区分別",BB523+BC523,""))</f>
        <v/>
      </c>
      <c r="AD523" s="27"/>
      <c r="AE523" s="29" t="str">
        <f aca="false">IF(OR(G523="",G523="なし"),"",IF(W523="経理区分別",BD523+BE523,""))</f>
        <v/>
      </c>
      <c r="AF523" s="27"/>
      <c r="AG523" s="26"/>
      <c r="AH523" s="26"/>
      <c r="AI523" s="30"/>
      <c r="AJ523" s="31" t="n">
        <v>48495</v>
      </c>
      <c r="AK523" s="31" t="n">
        <v>3975</v>
      </c>
      <c r="AL523" s="31" t="n">
        <v>70490</v>
      </c>
      <c r="AM523" s="31" t="n">
        <v>3975</v>
      </c>
      <c r="AN523" s="31" t="n">
        <v>49</v>
      </c>
      <c r="AO523" s="31" t="n">
        <v>29155</v>
      </c>
      <c r="AP523" s="31" t="n">
        <v>29669</v>
      </c>
      <c r="AQ523" s="31" t="n">
        <v>4187</v>
      </c>
      <c r="AR523" s="31" t="n">
        <v>4187</v>
      </c>
      <c r="AS523" s="31" t="n">
        <v>1</v>
      </c>
      <c r="AT523" s="31" t="n">
        <v>1</v>
      </c>
      <c r="AU523" s="31" t="n">
        <f aca="false">IF($G523="",AJ523,L523)</f>
        <v>48495</v>
      </c>
      <c r="AV523" s="31" t="n">
        <f aca="false">IF($G523="",AK523,M523)</f>
        <v>3975</v>
      </c>
      <c r="AW523" s="31" t="n">
        <f aca="false">IF($G523="",AL523,N523)</f>
        <v>70490</v>
      </c>
      <c r="AX523" s="31" t="n">
        <f aca="false">IF($G523="",AM523,O523)</f>
        <v>3975</v>
      </c>
      <c r="AY523" s="31" t="n">
        <f aca="false">IF($G523="",AN523,P523)</f>
        <v>49</v>
      </c>
      <c r="AZ523" s="31" t="n">
        <f aca="false">IF($G523="",AO523,Q523)</f>
        <v>29155</v>
      </c>
      <c r="BA523" s="31" t="n">
        <f aca="false">IF($G523="",AP523,R523)</f>
        <v>29669</v>
      </c>
      <c r="BB523" s="31" t="n">
        <f aca="false">IF($G523="",AQ523,S523)</f>
        <v>4187</v>
      </c>
      <c r="BC523" s="31" t="n">
        <f aca="false">IF($G523="",AR523,T523)</f>
        <v>4187</v>
      </c>
      <c r="BD523" s="31" t="n">
        <f aca="false">IF($G523="",AS523,U523)</f>
        <v>1</v>
      </c>
      <c r="BE523" s="31" t="n">
        <f aca="false">IF($G523="",AT523,V523)</f>
        <v>1</v>
      </c>
      <c r="BF523" s="31" t="n">
        <f aca="false">ROUNDDOWN(I523*設定!$B$10/1000,0)+ROUNDDOWN(I523*設定!$B$11/1000,0)</f>
        <v>0</v>
      </c>
      <c r="BG523" s="31" t="n">
        <f aca="false">ROUNDDOWN(I523*設定!$C$10/1000,0)+ROUNDDOWN(I523*設定!$C$11/1000,0)+ROUNDDOWN(I523*設定!$C$12/1000,0)</f>
        <v>0</v>
      </c>
      <c r="BH523" s="31" t="n">
        <f aca="false">ROUNDDOWN(J523*設定!$B$13/1000,0)</f>
        <v>0</v>
      </c>
      <c r="BI523" s="31" t="n">
        <f aca="false">ROUNDDOWN(J523*設定!$C$13/1000,0)</f>
        <v>0</v>
      </c>
      <c r="BJ523" s="31" t="n">
        <f aca="false">ROUNDDOWN(K523*設定!$B$14/1000,0)</f>
        <v>0</v>
      </c>
      <c r="BK523" s="31" t="n">
        <f aca="false">ROUNDDOWN(K523*設定!$C$14/1000,0)</f>
        <v>0</v>
      </c>
      <c r="BL523" s="31" t="n">
        <f aca="false">ROUNDDOWN(J523*設定!$B$15/1000,0)</f>
        <v>0</v>
      </c>
      <c r="BM523" s="31" t="n">
        <f aca="false">ROUNDDOWN(J523*設定!$C$15/1000,0)</f>
        <v>0</v>
      </c>
      <c r="BN523" s="31" t="n">
        <f aca="false">L523+M523</f>
        <v>0</v>
      </c>
      <c r="BO523" s="31" t="n">
        <f aca="false">N523+O523+P523</f>
        <v>0</v>
      </c>
      <c r="BP523" s="31" t="n">
        <f aca="false">Q523</f>
        <v>0</v>
      </c>
      <c r="BQ523" s="31" t="n">
        <f aca="false">R523</f>
        <v>0</v>
      </c>
      <c r="BR523" s="31" t="n">
        <f aca="false">S523</f>
        <v>0</v>
      </c>
      <c r="BS523" s="31" t="n">
        <f aca="false">T523</f>
        <v>0</v>
      </c>
      <c r="BT523" s="31" t="n">
        <f aca="false">U523</f>
        <v>0</v>
      </c>
      <c r="BU523" s="31" t="n">
        <f aca="false">V523</f>
        <v>0</v>
      </c>
      <c r="BV523" s="32" t="n">
        <f aca="false">IF(BF523=0,IF(BN523=0,0,1),(BN523-BF523)/BF523)</f>
        <v>0</v>
      </c>
      <c r="BW523" s="32" t="n">
        <f aca="false">IF(BG523=0,IF(BO523=0,0,1),(BO523-BG523)/BG523)</f>
        <v>0</v>
      </c>
      <c r="BX523" s="32" t="n">
        <f aca="false">IF(BH523=0,IF(BP523=0,0,1),(BP523-BH523)/BH523)</f>
        <v>0</v>
      </c>
      <c r="BY523" s="32" t="n">
        <f aca="false">IF(BI523=0,IF(BQ523=0,0,1),(BQ523-BI523)/BI523)</f>
        <v>0</v>
      </c>
      <c r="BZ523" s="32" t="n">
        <f aca="false">IF(BJ523=0,IF(BR523=0,0,1),(BR523-BJ523)/BJ523)</f>
        <v>0</v>
      </c>
      <c r="CA523" s="32" t="n">
        <f aca="false">IF(BK523=0,IF(BS523=0,0,1),(BS523-BK523)/BK523)</f>
        <v>0</v>
      </c>
      <c r="CB523" s="32" t="n">
        <f aca="false">IF(BL523=0,IF(BT523=0,0,1),(BT523-BL523)/BL523)</f>
        <v>0</v>
      </c>
      <c r="CC523" s="32" t="n">
        <f aca="false">IF(BM523=0,IF(BU523=0,0,1),(BU523-BM523)/BM523)</f>
        <v>0</v>
      </c>
      <c r="CD523" s="32" t="n">
        <f aca="false">MAX(MAX(BV523:CC523),-MIN(BV523:CC523))</f>
        <v>-0</v>
      </c>
      <c r="CE523" s="31" t="n">
        <f aca="false">IF(CI523="","",SUMIFS($CF$7:$CF$696,$A$7:$A$696,CI523,$B$7:$B$696,B523))</f>
        <v>194184</v>
      </c>
      <c r="CF523" s="31" t="n">
        <f aca="false">SUM(AU523:BE523)</f>
        <v>194184</v>
      </c>
      <c r="CG523" s="33" t="str">
        <f aca="false">A523&amp;"|"&amp;B523</f>
        <v>2027-01 月例|医療政策課(安芸市民)</v>
      </c>
      <c r="CH523" s="34" t="str">
        <f aca="false">IFERROR(INDEX(設定!$D$61:$D$106,MATCH(B523,設定!$B$61:$B$106,0)),"Y")</f>
        <v>Y</v>
      </c>
      <c r="CI523" s="34" t="str">
        <f aca="false">IFERROR(INDEX(設定!$D$20:$D$34,MATCH(A523,設定!$A$20:$A$34,0))&amp;"","")</f>
        <v>2026-12 月例</v>
      </c>
    </row>
    <row r="524" customFormat="false" ht="15" hidden="true" customHeight="false" outlineLevel="0" collapsed="false">
      <c r="A524" s="22" t="s">
        <v>219</v>
      </c>
      <c r="B524" s="23" t="s">
        <v>171</v>
      </c>
      <c r="C524" s="10" t="str">
        <f aca="false">IF(G524="","未受領",IF(G524="なし","報告なし",IF(AH524="○","起票済",IF(OR(AG524="○",F524="一致",F524="入金不要"),"入金確認済","受領済"))))</f>
        <v>未受領</v>
      </c>
      <c r="D524" s="10" t="str">
        <f aca="false">IF(OR(G524="",G524="なし"),"―",IF(CH524="N","対象外",IF(AND(I524="",J524="",K524=""),"標報未入力",IF(CD524&gt;=設定!$B$4,"要確認","問題なし"))))</f>
        <v>―</v>
      </c>
      <c r="E524" s="24" t="str">
        <f aca="false">IF(OR(G524="",G524="なし",CE524="",CF524=0),"―",IF(CF524=CE524,"前月同額",IF(CE524=0,"―",IF(ABS(CF524/CE524-1)&gt;=設定!$B$5,"変動大 "&amp;TEXT(CF524/CE524-1,"+0%;-0%"),"〇"))))</f>
        <v>―</v>
      </c>
      <c r="F524" s="10" t="str">
        <f aca="false">IF(OR(G524="",G524="なし"),"―",IF(CF524=0,"入金不要",IF(COUNT(Z524,AB524,AD524,AF524)=0,IF(AG524="○","手動確認","未入金"),IF(AND(N(Z524)=Y524,IF(AA524="",TRUE(),N(AB524)=AA524),IF(AC524="",TRUE(),N(AD524)=AC524),IF(AE524="",TRUE(),N(AF524)=AE524)),"一致","不一致"))))</f>
        <v>―</v>
      </c>
      <c r="G524" s="25"/>
      <c r="H524" s="26"/>
      <c r="I524" s="27"/>
      <c r="J524" s="27"/>
      <c r="K524" s="27"/>
      <c r="L524" s="27"/>
      <c r="M524" s="27"/>
      <c r="N524" s="27"/>
      <c r="O524" s="27"/>
      <c r="P524" s="27"/>
      <c r="Q524" s="27"/>
      <c r="R524" s="27"/>
      <c r="S524" s="27"/>
      <c r="T524" s="27"/>
      <c r="U524" s="27"/>
      <c r="V524" s="27"/>
      <c r="W524" s="10" t="str">
        <f aca="false">IFERROR(INDEX(設定!$E$61:$E$106,MATCH(B524,設定!$B$61:$B$106,0)),"合算")</f>
        <v>合算</v>
      </c>
      <c r="X524" s="28"/>
      <c r="Y524" s="29" t="str">
        <f aca="false">IF(OR(G524="",G524="なし"),"",IF(W524="合算",CF524,IF(W524="掛金・負担金別",(AU524+AV524+AZ524+BB524+BD524),SUM(AU524:AY524))))</f>
        <v/>
      </c>
      <c r="Z524" s="27"/>
      <c r="AA524" s="29" t="str">
        <f aca="false">IF(OR(G524="",G524="なし"),"",IF(W524="掛金・負担金別",(AW524+AX524+AY524+BA524+BC524+BE524),IF(W524="経理区分別",AZ524+BA524,"")))</f>
        <v/>
      </c>
      <c r="AB524" s="27"/>
      <c r="AC524" s="29" t="str">
        <f aca="false">IF(OR(G524="",G524="なし"),"",IF(W524="経理区分別",BB524+BC524,""))</f>
        <v/>
      </c>
      <c r="AD524" s="27"/>
      <c r="AE524" s="29" t="str">
        <f aca="false">IF(OR(G524="",G524="なし"),"",IF(W524="経理区分別",BD524+BE524,""))</f>
        <v/>
      </c>
      <c r="AF524" s="27"/>
      <c r="AG524" s="26"/>
      <c r="AH524" s="26"/>
      <c r="AI524" s="30"/>
      <c r="AJ524" s="31" t="n">
        <v>0</v>
      </c>
      <c r="AK524" s="31" t="n">
        <v>0</v>
      </c>
      <c r="AL524" s="31"/>
      <c r="AM524" s="31"/>
      <c r="AN524" s="31" t="n">
        <v>0</v>
      </c>
      <c r="AO524" s="31" t="n">
        <v>255394</v>
      </c>
      <c r="AP524" s="31" t="n">
        <v>252175</v>
      </c>
      <c r="AQ524" s="31" t="n">
        <v>8626</v>
      </c>
      <c r="AR524" s="31" t="n">
        <v>8626</v>
      </c>
      <c r="AS524" s="31" t="n">
        <v>1</v>
      </c>
      <c r="AT524" s="31" t="n">
        <v>1</v>
      </c>
      <c r="AU524" s="31" t="n">
        <f aca="false">IF($G524="",AJ524,L524)</f>
        <v>0</v>
      </c>
      <c r="AV524" s="31" t="n">
        <f aca="false">IF($G524="",AK524,M524)</f>
        <v>0</v>
      </c>
      <c r="AW524" s="31" t="n">
        <f aca="false">IF($G524="",AL524,N524)</f>
        <v>0</v>
      </c>
      <c r="AX524" s="31" t="n">
        <f aca="false">IF($G524="",AM524,O524)</f>
        <v>0</v>
      </c>
      <c r="AY524" s="31" t="n">
        <f aca="false">IF($G524="",AN524,P524)</f>
        <v>0</v>
      </c>
      <c r="AZ524" s="31" t="n">
        <f aca="false">IF($G524="",AO524,Q524)</f>
        <v>255394</v>
      </c>
      <c r="BA524" s="31" t="n">
        <f aca="false">IF($G524="",AP524,R524)</f>
        <v>252175</v>
      </c>
      <c r="BB524" s="31" t="n">
        <f aca="false">IF($G524="",AQ524,S524)</f>
        <v>8626</v>
      </c>
      <c r="BC524" s="31" t="n">
        <f aca="false">IF($G524="",AR524,T524)</f>
        <v>8626</v>
      </c>
      <c r="BD524" s="31" t="n">
        <f aca="false">IF($G524="",AS524,U524)</f>
        <v>1</v>
      </c>
      <c r="BE524" s="31" t="n">
        <f aca="false">IF($G524="",AT524,V524)</f>
        <v>1</v>
      </c>
      <c r="BF524" s="31" t="n">
        <f aca="false">ROUNDDOWN(I524*設定!$B$10/1000,0)+ROUNDDOWN(I524*設定!$B$11/1000,0)</f>
        <v>0</v>
      </c>
      <c r="BG524" s="31" t="n">
        <f aca="false">ROUNDDOWN(I524*設定!$C$10/1000,0)+ROUNDDOWN(I524*設定!$C$11/1000,0)+ROUNDDOWN(I524*設定!$C$12/1000,0)</f>
        <v>0</v>
      </c>
      <c r="BH524" s="31" t="n">
        <f aca="false">ROUNDDOWN(J524*設定!$B$13/1000,0)</f>
        <v>0</v>
      </c>
      <c r="BI524" s="31" t="n">
        <f aca="false">ROUNDDOWN(J524*設定!$C$13/1000,0)</f>
        <v>0</v>
      </c>
      <c r="BJ524" s="31" t="n">
        <f aca="false">ROUNDDOWN(K524*設定!$B$14/1000,0)</f>
        <v>0</v>
      </c>
      <c r="BK524" s="31" t="n">
        <f aca="false">ROUNDDOWN(K524*設定!$C$14/1000,0)</f>
        <v>0</v>
      </c>
      <c r="BL524" s="31" t="n">
        <f aca="false">ROUNDDOWN(J524*設定!$B$15/1000,0)</f>
        <v>0</v>
      </c>
      <c r="BM524" s="31" t="n">
        <f aca="false">ROUNDDOWN(J524*設定!$C$15/1000,0)</f>
        <v>0</v>
      </c>
      <c r="BN524" s="31" t="n">
        <f aca="false">L524+M524</f>
        <v>0</v>
      </c>
      <c r="BO524" s="31" t="n">
        <f aca="false">N524+O524+P524</f>
        <v>0</v>
      </c>
      <c r="BP524" s="31" t="n">
        <f aca="false">Q524</f>
        <v>0</v>
      </c>
      <c r="BQ524" s="31" t="n">
        <f aca="false">R524</f>
        <v>0</v>
      </c>
      <c r="BR524" s="31" t="n">
        <f aca="false">S524</f>
        <v>0</v>
      </c>
      <c r="BS524" s="31" t="n">
        <f aca="false">T524</f>
        <v>0</v>
      </c>
      <c r="BT524" s="31" t="n">
        <f aca="false">U524</f>
        <v>0</v>
      </c>
      <c r="BU524" s="31" t="n">
        <f aca="false">V524</f>
        <v>0</v>
      </c>
      <c r="BV524" s="32" t="n">
        <f aca="false">IF(BF524=0,IF(BN524=0,0,1),(BN524-BF524)/BF524)</f>
        <v>0</v>
      </c>
      <c r="BW524" s="32" t="n">
        <f aca="false">IF(BG524=0,IF(BO524=0,0,1),(BO524-BG524)/BG524)</f>
        <v>0</v>
      </c>
      <c r="BX524" s="32" t="n">
        <f aca="false">IF(BH524=0,IF(BP524=0,0,1),(BP524-BH524)/BH524)</f>
        <v>0</v>
      </c>
      <c r="BY524" s="32" t="n">
        <f aca="false">IF(BI524=0,IF(BQ524=0,0,1),(BQ524-BI524)/BI524)</f>
        <v>0</v>
      </c>
      <c r="BZ524" s="32" t="n">
        <f aca="false">IF(BJ524=0,IF(BR524=0,0,1),(BR524-BJ524)/BJ524)</f>
        <v>0</v>
      </c>
      <c r="CA524" s="32" t="n">
        <f aca="false">IF(BK524=0,IF(BS524=0,0,1),(BS524-BK524)/BK524)</f>
        <v>0</v>
      </c>
      <c r="CB524" s="32" t="n">
        <f aca="false">IF(BL524=0,IF(BT524=0,0,1),(BT524-BL524)/BL524)</f>
        <v>0</v>
      </c>
      <c r="CC524" s="32" t="n">
        <f aca="false">IF(BM524=0,IF(BU524=0,0,1),(BU524-BM524)/BM524)</f>
        <v>0</v>
      </c>
      <c r="CD524" s="32" t="n">
        <f aca="false">MAX(MAX(BV524:CC524),-MIN(BV524:CC524))</f>
        <v>-0</v>
      </c>
      <c r="CE524" s="31" t="n">
        <f aca="false">IF(CI524="","",SUMIFS($CF$7:$CF$696,$A$7:$A$696,CI524,$B$7:$B$696,B524))</f>
        <v>552297</v>
      </c>
      <c r="CF524" s="31" t="n">
        <f aca="false">SUM(AU524:BE524)</f>
        <v>524823</v>
      </c>
      <c r="CG524" s="33" t="str">
        <f aca="false">A524&amp;"|"&amp;B524</f>
        <v>2027-01 月例|教育委員会（教育給与課）</v>
      </c>
      <c r="CH524" s="34" t="str">
        <f aca="false">IFERROR(INDEX(設定!$D$61:$D$106,MATCH(B524,設定!$B$61:$B$106,0)),"Y")</f>
        <v>Y</v>
      </c>
      <c r="CI524" s="34" t="str">
        <f aca="false">IFERROR(INDEX(設定!$D$20:$D$34,MATCH(A524,設定!$A$20:$A$34,0))&amp;"","")</f>
        <v>2026-12 月例</v>
      </c>
    </row>
    <row r="525" customFormat="false" ht="15" hidden="true" customHeight="false" outlineLevel="0" collapsed="false">
      <c r="A525" s="22" t="s">
        <v>219</v>
      </c>
      <c r="B525" s="23" t="s">
        <v>172</v>
      </c>
      <c r="C525" s="10" t="str">
        <f aca="false">IF(G525="","未受領",IF(G525="なし","報告なし",IF(AH525="○","起票済",IF(OR(AG525="○",F525="一致",F525="入金不要"),"入金確認済","受領済"))))</f>
        <v>報告なし</v>
      </c>
      <c r="D525" s="10" t="str">
        <f aca="false">IF(OR(G525="",G525="なし"),"―",IF(CH525="N","対象外",IF(AND(I525="",J525="",K525=""),"標報未入力",IF(CD525&gt;=設定!$B$4,"要確認","問題なし"))))</f>
        <v>―</v>
      </c>
      <c r="E525" s="24" t="str">
        <f aca="false">IF(OR(G525="",G525="なし",CE525="",CF525=0),"―",IF(CF525=CE525,"前月同額",IF(CE525=0,"―",IF(ABS(CF525/CE525-1)&gt;=設定!$B$5,"変動大 "&amp;TEXT(CF525/CE525-1,"+0%;-0%"),"〇"))))</f>
        <v>―</v>
      </c>
      <c r="F525" s="10" t="str">
        <f aca="false">IF(OR(G525="",G525="なし"),"―",IF(CF525=0,"入金不要",IF(COUNT(Z525,AB525,AD525,AF525)=0,IF(AG525="○","手動確認","未入金"),IF(AND(N(Z525)=Y525,IF(AA525="",TRUE(),N(AB525)=AA525),IF(AC525="",TRUE(),N(AD525)=AC525),IF(AE525="",TRUE(),N(AF525)=AE525)),"一致","不一致"))))</f>
        <v>―</v>
      </c>
      <c r="G525" s="25" t="s">
        <v>173</v>
      </c>
      <c r="H525" s="26"/>
      <c r="I525" s="27"/>
      <c r="J525" s="27"/>
      <c r="K525" s="27"/>
      <c r="L525" s="27"/>
      <c r="M525" s="27"/>
      <c r="N525" s="27"/>
      <c r="O525" s="27"/>
      <c r="P525" s="27"/>
      <c r="Q525" s="27"/>
      <c r="R525" s="27"/>
      <c r="S525" s="27"/>
      <c r="T525" s="27"/>
      <c r="U525" s="27"/>
      <c r="V525" s="27"/>
      <c r="W525" s="10" t="str">
        <f aca="false">IFERROR(INDEX(設定!$E$61:$E$106,MATCH(B525,設定!$B$61:$B$106,0)),"合算")</f>
        <v>合算</v>
      </c>
      <c r="X525" s="28"/>
      <c r="Y525" s="29" t="str">
        <f aca="false">IF(OR(G525="",G525="なし"),"",IF(W525="合算",CF525,IF(W525="掛金・負担金別",(AU525+AV525+AZ525+BB525+BD525),SUM(AU525:AY525))))</f>
        <v/>
      </c>
      <c r="Z525" s="27"/>
      <c r="AA525" s="29" t="str">
        <f aca="false">IF(OR(G525="",G525="なし"),"",IF(W525="掛金・負担金別",(AW525+AX525+AY525+BA525+BC525+BE525),IF(W525="経理区分別",AZ525+BA525,"")))</f>
        <v/>
      </c>
      <c r="AB525" s="27"/>
      <c r="AC525" s="29" t="str">
        <f aca="false">IF(OR(G525="",G525="なし"),"",IF(W525="経理区分別",BB525+BC525,""))</f>
        <v/>
      </c>
      <c r="AD525" s="27"/>
      <c r="AE525" s="29" t="str">
        <f aca="false">IF(OR(G525="",G525="なし"),"",IF(W525="経理区分別",BD525+BE525,""))</f>
        <v/>
      </c>
      <c r="AF525" s="27"/>
      <c r="AG525" s="26"/>
      <c r="AH525" s="26"/>
      <c r="AI525" s="30"/>
      <c r="AJ525" s="31"/>
      <c r="AK525" s="31"/>
      <c r="AL525" s="31"/>
      <c r="AM525" s="31"/>
      <c r="AN525" s="31"/>
      <c r="AO525" s="31"/>
      <c r="AP525" s="31"/>
      <c r="AQ525" s="31"/>
      <c r="AR525" s="31"/>
      <c r="AS525" s="31"/>
      <c r="AT525" s="31"/>
      <c r="AU525" s="31" t="n">
        <f aca="false">IF($G525="",AJ525,L525)</f>
        <v>0</v>
      </c>
      <c r="AV525" s="31" t="n">
        <f aca="false">IF($G525="",AK525,M525)</f>
        <v>0</v>
      </c>
      <c r="AW525" s="31" t="n">
        <f aca="false">IF($G525="",AL525,N525)</f>
        <v>0</v>
      </c>
      <c r="AX525" s="31" t="n">
        <f aca="false">IF($G525="",AM525,O525)</f>
        <v>0</v>
      </c>
      <c r="AY525" s="31" t="n">
        <f aca="false">IF($G525="",AN525,P525)</f>
        <v>0</v>
      </c>
      <c r="AZ525" s="31" t="n">
        <f aca="false">IF($G525="",AO525,Q525)</f>
        <v>0</v>
      </c>
      <c r="BA525" s="31" t="n">
        <f aca="false">IF($G525="",AP525,R525)</f>
        <v>0</v>
      </c>
      <c r="BB525" s="31" t="n">
        <f aca="false">IF($G525="",AQ525,S525)</f>
        <v>0</v>
      </c>
      <c r="BC525" s="31" t="n">
        <f aca="false">IF($G525="",AR525,T525)</f>
        <v>0</v>
      </c>
      <c r="BD525" s="31" t="n">
        <f aca="false">IF($G525="",AS525,U525)</f>
        <v>0</v>
      </c>
      <c r="BE525" s="31" t="n">
        <f aca="false">IF($G525="",AT525,V525)</f>
        <v>0</v>
      </c>
      <c r="BF525" s="31" t="n">
        <f aca="false">ROUNDDOWN(I525*設定!$B$10/1000,0)+ROUNDDOWN(I525*設定!$B$11/1000,0)</f>
        <v>0</v>
      </c>
      <c r="BG525" s="31" t="n">
        <f aca="false">ROUNDDOWN(I525*設定!$C$10/1000,0)+ROUNDDOWN(I525*設定!$C$11/1000,0)+ROUNDDOWN(I525*設定!$C$12/1000,0)</f>
        <v>0</v>
      </c>
      <c r="BH525" s="31" t="n">
        <f aca="false">ROUNDDOWN(J525*設定!$B$13/1000,0)</f>
        <v>0</v>
      </c>
      <c r="BI525" s="31" t="n">
        <f aca="false">ROUNDDOWN(J525*設定!$C$13/1000,0)</f>
        <v>0</v>
      </c>
      <c r="BJ525" s="31" t="n">
        <f aca="false">ROUNDDOWN(K525*設定!$B$14/1000,0)</f>
        <v>0</v>
      </c>
      <c r="BK525" s="31" t="n">
        <f aca="false">ROUNDDOWN(K525*設定!$C$14/1000,0)</f>
        <v>0</v>
      </c>
      <c r="BL525" s="31" t="n">
        <f aca="false">ROUNDDOWN(J525*設定!$B$15/1000,0)</f>
        <v>0</v>
      </c>
      <c r="BM525" s="31" t="n">
        <f aca="false">ROUNDDOWN(J525*設定!$C$15/1000,0)</f>
        <v>0</v>
      </c>
      <c r="BN525" s="31" t="n">
        <f aca="false">L525+M525</f>
        <v>0</v>
      </c>
      <c r="BO525" s="31" t="n">
        <f aca="false">N525+O525+P525</f>
        <v>0</v>
      </c>
      <c r="BP525" s="31" t="n">
        <f aca="false">Q525</f>
        <v>0</v>
      </c>
      <c r="BQ525" s="31" t="n">
        <f aca="false">R525</f>
        <v>0</v>
      </c>
      <c r="BR525" s="31" t="n">
        <f aca="false">S525</f>
        <v>0</v>
      </c>
      <c r="BS525" s="31" t="n">
        <f aca="false">T525</f>
        <v>0</v>
      </c>
      <c r="BT525" s="31" t="n">
        <f aca="false">U525</f>
        <v>0</v>
      </c>
      <c r="BU525" s="31" t="n">
        <f aca="false">V525</f>
        <v>0</v>
      </c>
      <c r="BV525" s="32" t="n">
        <f aca="false">IF(BF525=0,IF(BN525=0,0,1),(BN525-BF525)/BF525)</f>
        <v>0</v>
      </c>
      <c r="BW525" s="32" t="n">
        <f aca="false">IF(BG525=0,IF(BO525=0,0,1),(BO525-BG525)/BG525)</f>
        <v>0</v>
      </c>
      <c r="BX525" s="32" t="n">
        <f aca="false">IF(BH525=0,IF(BP525=0,0,1),(BP525-BH525)/BH525)</f>
        <v>0</v>
      </c>
      <c r="BY525" s="32" t="n">
        <f aca="false">IF(BI525=0,IF(BQ525=0,0,1),(BQ525-BI525)/BI525)</f>
        <v>0</v>
      </c>
      <c r="BZ525" s="32" t="n">
        <f aca="false">IF(BJ525=0,IF(BR525=0,0,1),(BR525-BJ525)/BJ525)</f>
        <v>0</v>
      </c>
      <c r="CA525" s="32" t="n">
        <f aca="false">IF(BK525=0,IF(BS525=0,0,1),(BS525-BK525)/BK525)</f>
        <v>0</v>
      </c>
      <c r="CB525" s="32" t="n">
        <f aca="false">IF(BL525=0,IF(BT525=0,0,1),(BT525-BL525)/BL525)</f>
        <v>0</v>
      </c>
      <c r="CC525" s="32" t="n">
        <f aca="false">IF(BM525=0,IF(BU525=0,0,1),(BU525-BM525)/BM525)</f>
        <v>0</v>
      </c>
      <c r="CD525" s="32" t="n">
        <f aca="false">MAX(MAX(BV525:CC525),-MIN(BV525:CC525))</f>
        <v>-0</v>
      </c>
      <c r="CE525" s="31" t="n">
        <f aca="false">IF(CI525="","",SUMIFS($CF$7:$CF$696,$A$7:$A$696,CI525,$B$7:$B$696,B525))</f>
        <v>0</v>
      </c>
      <c r="CF525" s="31" t="n">
        <f aca="false">SUM(AU525:BE525)</f>
        <v>0</v>
      </c>
      <c r="CG525" s="33" t="str">
        <f aca="false">A525&amp;"|"&amp;B525</f>
        <v>2027-01 月例|地方税共同機構</v>
      </c>
      <c r="CH525" s="34" t="str">
        <f aca="false">IFERROR(INDEX(設定!$D$61:$D$106,MATCH(B525,設定!$B$61:$B$106,0)),"Y")</f>
        <v>Y</v>
      </c>
      <c r="CI525" s="34" t="str">
        <f aca="false">IFERROR(INDEX(設定!$D$20:$D$34,MATCH(A525,設定!$A$20:$A$34,0))&amp;"","")</f>
        <v>2026-12 月例</v>
      </c>
    </row>
    <row r="526" customFormat="false" ht="15" hidden="true" customHeight="false" outlineLevel="0" collapsed="false">
      <c r="A526" s="22" t="s">
        <v>219</v>
      </c>
      <c r="B526" s="23" t="s">
        <v>174</v>
      </c>
      <c r="C526" s="10" t="str">
        <f aca="false">IF(G526="","未受領",IF(G526="なし","報告なし",IF(AH526="○","起票済",IF(OR(AG526="○",F526="一致",F526="入金不要"),"入金確認済","受領済"))))</f>
        <v>未受領</v>
      </c>
      <c r="D526" s="10" t="str">
        <f aca="false">IF(OR(G526="",G526="なし"),"―",IF(CH526="N","対象外",IF(AND(I526="",J526="",K526=""),"標報未入力",IF(CD526&gt;=設定!$B$4,"要確認","問題なし"))))</f>
        <v>―</v>
      </c>
      <c r="E526" s="24" t="str">
        <f aca="false">IF(OR(G526="",G526="なし",CE526="",CF526=0),"―",IF(CF526=CE526,"前月同額",IF(CE526=0,"―",IF(ABS(CF526/CE526-1)&gt;=設定!$B$5,"変動大 "&amp;TEXT(CF526/CE526-1,"+0%;-0%"),"〇"))))</f>
        <v>―</v>
      </c>
      <c r="F526" s="10" t="str">
        <f aca="false">IF(OR(G526="",G526="なし"),"―",IF(CF526=0,"入金不要",IF(COUNT(Z526,AB526,AD526,AF526)=0,IF(AG526="○","手動確認","未入金"),IF(AND(N(Z526)=Y526,IF(AA526="",TRUE(),N(AB526)=AA526),IF(AC526="",TRUE(),N(AD526)=AC526),IF(AE526="",TRUE(),N(AF526)=AE526)),"一致","不一致"))))</f>
        <v>―</v>
      </c>
      <c r="G526" s="25"/>
      <c r="H526" s="26"/>
      <c r="I526" s="27"/>
      <c r="J526" s="27"/>
      <c r="K526" s="27"/>
      <c r="L526" s="27"/>
      <c r="M526" s="27"/>
      <c r="N526" s="27"/>
      <c r="O526" s="27"/>
      <c r="P526" s="27"/>
      <c r="Q526" s="27"/>
      <c r="R526" s="27"/>
      <c r="S526" s="27"/>
      <c r="T526" s="27"/>
      <c r="U526" s="27"/>
      <c r="V526" s="27"/>
      <c r="W526" s="10" t="str">
        <f aca="false">IFERROR(INDEX(設定!$E$61:$E$106,MATCH(B526,設定!$B$61:$B$106,0)),"合算")</f>
        <v>合算</v>
      </c>
      <c r="X526" s="28"/>
      <c r="Y526" s="29" t="str">
        <f aca="false">IF(OR(G526="",G526="なし"),"",IF(W526="合算",CF526,IF(W526="掛金・負担金別",(AU526+AV526+AZ526+BB526+BD526),SUM(AU526:AY526))))</f>
        <v/>
      </c>
      <c r="Z526" s="27"/>
      <c r="AA526" s="29" t="str">
        <f aca="false">IF(OR(G526="",G526="なし"),"",IF(W526="掛金・負担金別",(AW526+AX526+AY526+BA526+BC526+BE526),IF(W526="経理区分別",AZ526+BA526,"")))</f>
        <v/>
      </c>
      <c r="AB526" s="27"/>
      <c r="AC526" s="29" t="str">
        <f aca="false">IF(OR(G526="",G526="なし"),"",IF(W526="経理区分別",BB526+BC526,""))</f>
        <v/>
      </c>
      <c r="AD526" s="27"/>
      <c r="AE526" s="29" t="str">
        <f aca="false">IF(OR(G526="",G526="なし"),"",IF(W526="経理区分別",BD526+BE526,""))</f>
        <v/>
      </c>
      <c r="AF526" s="27"/>
      <c r="AG526" s="26"/>
      <c r="AH526" s="26"/>
      <c r="AI526" s="30"/>
      <c r="AJ526" s="31" t="n">
        <v>0</v>
      </c>
      <c r="AK526" s="31" t="n">
        <v>0</v>
      </c>
      <c r="AL526" s="31" t="n">
        <v>638670</v>
      </c>
      <c r="AM526" s="31" t="n">
        <v>52350</v>
      </c>
      <c r="AN526" s="31" t="n">
        <v>723</v>
      </c>
      <c r="AO526" s="31" t="n">
        <v>0</v>
      </c>
      <c r="AP526" s="31" t="n">
        <v>386320</v>
      </c>
      <c r="AQ526" s="31" t="n">
        <v>0</v>
      </c>
      <c r="AR526" s="31" t="n">
        <v>52377</v>
      </c>
      <c r="AS526" s="31" t="n">
        <v>0</v>
      </c>
      <c r="AT526" s="31" t="n">
        <v>1</v>
      </c>
      <c r="AU526" s="31" t="n">
        <f aca="false">IF($G526="",AJ526,L526)</f>
        <v>0</v>
      </c>
      <c r="AV526" s="31" t="n">
        <f aca="false">IF($G526="",AK526,M526)</f>
        <v>0</v>
      </c>
      <c r="AW526" s="31" t="n">
        <f aca="false">IF($G526="",AL526,N526)</f>
        <v>638670</v>
      </c>
      <c r="AX526" s="31" t="n">
        <f aca="false">IF($G526="",AM526,O526)</f>
        <v>52350</v>
      </c>
      <c r="AY526" s="31" t="n">
        <f aca="false">IF($G526="",AN526,P526)</f>
        <v>723</v>
      </c>
      <c r="AZ526" s="31" t="n">
        <f aca="false">IF($G526="",AO526,Q526)</f>
        <v>0</v>
      </c>
      <c r="BA526" s="31" t="n">
        <f aca="false">IF($G526="",AP526,R526)</f>
        <v>386320</v>
      </c>
      <c r="BB526" s="31" t="n">
        <f aca="false">IF($G526="",AQ526,S526)</f>
        <v>0</v>
      </c>
      <c r="BC526" s="31" t="n">
        <f aca="false">IF($G526="",AR526,T526)</f>
        <v>52377</v>
      </c>
      <c r="BD526" s="31" t="n">
        <f aca="false">IF($G526="",AS526,U526)</f>
        <v>0</v>
      </c>
      <c r="BE526" s="31" t="n">
        <f aca="false">IF($G526="",AT526,V526)</f>
        <v>1</v>
      </c>
      <c r="BF526" s="31" t="n">
        <f aca="false">ROUNDDOWN(I526*設定!$B$10/1000,0)+ROUNDDOWN(I526*設定!$B$11/1000,0)</f>
        <v>0</v>
      </c>
      <c r="BG526" s="31" t="n">
        <f aca="false">ROUNDDOWN(I526*設定!$C$10/1000,0)+ROUNDDOWN(I526*設定!$C$11/1000,0)+ROUNDDOWN(I526*設定!$C$12/1000,0)</f>
        <v>0</v>
      </c>
      <c r="BH526" s="31" t="n">
        <f aca="false">ROUNDDOWN(J526*設定!$B$13/1000,0)</f>
        <v>0</v>
      </c>
      <c r="BI526" s="31" t="n">
        <f aca="false">ROUNDDOWN(J526*設定!$C$13/1000,0)</f>
        <v>0</v>
      </c>
      <c r="BJ526" s="31" t="n">
        <f aca="false">ROUNDDOWN(K526*設定!$B$14/1000,0)</f>
        <v>0</v>
      </c>
      <c r="BK526" s="31" t="n">
        <f aca="false">ROUNDDOWN(K526*設定!$C$14/1000,0)</f>
        <v>0</v>
      </c>
      <c r="BL526" s="31" t="n">
        <f aca="false">ROUNDDOWN(J526*設定!$B$15/1000,0)</f>
        <v>0</v>
      </c>
      <c r="BM526" s="31" t="n">
        <f aca="false">ROUNDDOWN(J526*設定!$C$15/1000,0)</f>
        <v>0</v>
      </c>
      <c r="BN526" s="31" t="n">
        <f aca="false">L526+M526</f>
        <v>0</v>
      </c>
      <c r="BO526" s="31" t="n">
        <f aca="false">N526+O526+P526</f>
        <v>0</v>
      </c>
      <c r="BP526" s="31" t="n">
        <f aca="false">Q526</f>
        <v>0</v>
      </c>
      <c r="BQ526" s="31" t="n">
        <f aca="false">R526</f>
        <v>0</v>
      </c>
      <c r="BR526" s="31" t="n">
        <f aca="false">S526</f>
        <v>0</v>
      </c>
      <c r="BS526" s="31" t="n">
        <f aca="false">T526</f>
        <v>0</v>
      </c>
      <c r="BT526" s="31" t="n">
        <f aca="false">U526</f>
        <v>0</v>
      </c>
      <c r="BU526" s="31" t="n">
        <f aca="false">V526</f>
        <v>0</v>
      </c>
      <c r="BV526" s="32" t="n">
        <f aca="false">IF(BF526=0,IF(BN526=0,0,1),(BN526-BF526)/BF526)</f>
        <v>0</v>
      </c>
      <c r="BW526" s="32" t="n">
        <f aca="false">IF(BG526=0,IF(BO526=0,0,1),(BO526-BG526)/BG526)</f>
        <v>0</v>
      </c>
      <c r="BX526" s="32" t="n">
        <f aca="false">IF(BH526=0,IF(BP526=0,0,1),(BP526-BH526)/BH526)</f>
        <v>0</v>
      </c>
      <c r="BY526" s="32" t="n">
        <f aca="false">IF(BI526=0,IF(BQ526=0,0,1),(BQ526-BI526)/BI526)</f>
        <v>0</v>
      </c>
      <c r="BZ526" s="32" t="n">
        <f aca="false">IF(BJ526=0,IF(BR526=0,0,1),(BR526-BJ526)/BJ526)</f>
        <v>0</v>
      </c>
      <c r="CA526" s="32" t="n">
        <f aca="false">IF(BK526=0,IF(BS526=0,0,1),(BS526-BK526)/BK526)</f>
        <v>0</v>
      </c>
      <c r="CB526" s="32" t="n">
        <f aca="false">IF(BL526=0,IF(BT526=0,0,1),(BT526-BL526)/BL526)</f>
        <v>0</v>
      </c>
      <c r="CC526" s="32" t="n">
        <f aca="false">IF(BM526=0,IF(BU526=0,0,1),(BU526-BM526)/BM526)</f>
        <v>0</v>
      </c>
      <c r="CD526" s="32" t="n">
        <f aca="false">MAX(MAX(BV526:CC526),-MIN(BV526:CC526))</f>
        <v>-0</v>
      </c>
      <c r="CE526" s="31" t="n">
        <f aca="false">IF(CI526="","",SUMIFS($CF$7:$CF$696,$A$7:$A$696,CI526,$B$7:$B$696,B526))</f>
        <v>1114546</v>
      </c>
      <c r="CF526" s="31" t="n">
        <f aca="false">SUM(AU526:BE526)</f>
        <v>1130441</v>
      </c>
      <c r="CG526" s="33" t="str">
        <f aca="false">A526&amp;"|"&amp;B526</f>
        <v>2027-01 月例|平和文化センター</v>
      </c>
      <c r="CH526" s="34" t="str">
        <f aca="false">IFERROR(INDEX(設定!$D$61:$D$106,MATCH(B526,設定!$B$61:$B$106,0)),"Y")</f>
        <v>Y</v>
      </c>
      <c r="CI526" s="34" t="str">
        <f aca="false">IFERROR(INDEX(設定!$D$20:$D$34,MATCH(A526,設定!$A$20:$A$34,0))&amp;"","")</f>
        <v>2026-12 月例</v>
      </c>
    </row>
    <row r="527" customFormat="false" ht="15" hidden="true" customHeight="false" outlineLevel="0" collapsed="false">
      <c r="A527" s="22" t="s">
        <v>219</v>
      </c>
      <c r="B527" s="23" t="s">
        <v>175</v>
      </c>
      <c r="C527" s="10" t="str">
        <f aca="false">IF(G527="","未受領",IF(G527="なし","報告なし",IF(AH527="○","起票済",IF(OR(AG527="○",F527="一致",F527="入金不要"),"入金確認済","受領済"))))</f>
        <v>未受領</v>
      </c>
      <c r="D527" s="10" t="str">
        <f aca="false">IF(OR(G527="",G527="なし"),"―",IF(CH527="N","対象外",IF(AND(I527="",J527="",K527=""),"標報未入力",IF(CD527&gt;=設定!$B$4,"要確認","問題なし"))))</f>
        <v>―</v>
      </c>
      <c r="E527" s="24" t="str">
        <f aca="false">IF(OR(G527="",G527="なし",CE527="",CF527=0),"―",IF(CF527=CE527,"前月同額",IF(CE527=0,"―",IF(ABS(CF527/CE527-1)&gt;=設定!$B$5,"変動大 "&amp;TEXT(CF527/CE527-1,"+0%;-0%"),"〇"))))</f>
        <v>―</v>
      </c>
      <c r="F527" s="10" t="str">
        <f aca="false">IF(OR(G527="",G527="なし"),"―",IF(CF527=0,"入金不要",IF(COUNT(Z527,AB527,AD527,AF527)=0,IF(AG527="○","手動確認","未入金"),IF(AND(N(Z527)=Y527,IF(AA527="",TRUE(),N(AB527)=AA527),IF(AC527="",TRUE(),N(AD527)=AC527),IF(AE527="",TRUE(),N(AF527)=AE527)),"一致","不一致"))))</f>
        <v>―</v>
      </c>
      <c r="G527" s="25"/>
      <c r="H527" s="26"/>
      <c r="I527" s="27"/>
      <c r="J527" s="27"/>
      <c r="K527" s="27"/>
      <c r="L527" s="27"/>
      <c r="M527" s="27"/>
      <c r="N527" s="27"/>
      <c r="O527" s="27"/>
      <c r="P527" s="27"/>
      <c r="Q527" s="27"/>
      <c r="R527" s="27"/>
      <c r="S527" s="27"/>
      <c r="T527" s="27"/>
      <c r="U527" s="27"/>
      <c r="V527" s="27"/>
      <c r="W527" s="10" t="str">
        <f aca="false">IFERROR(INDEX(設定!$E$61:$E$106,MATCH(B527,設定!$B$61:$B$106,0)),"合算")</f>
        <v>合算</v>
      </c>
      <c r="X527" s="28"/>
      <c r="Y527" s="29" t="str">
        <f aca="false">IF(OR(G527="",G527="なし"),"",IF(W527="合算",CF527,IF(W527="掛金・負担金別",(AU527+AV527+AZ527+BB527+BD527),SUM(AU527:AY527))))</f>
        <v/>
      </c>
      <c r="Z527" s="27"/>
      <c r="AA527" s="29" t="str">
        <f aca="false">IF(OR(G527="",G527="なし"),"",IF(W527="掛金・負担金別",(AW527+AX527+AY527+BA527+BC527+BE527),IF(W527="経理区分別",AZ527+BA527,"")))</f>
        <v/>
      </c>
      <c r="AB527" s="27"/>
      <c r="AC527" s="29" t="str">
        <f aca="false">IF(OR(G527="",G527="なし"),"",IF(W527="経理区分別",BB527+BC527,""))</f>
        <v/>
      </c>
      <c r="AD527" s="27"/>
      <c r="AE527" s="29" t="str">
        <f aca="false">IF(OR(G527="",G527="なし"),"",IF(W527="経理区分別",BD527+BE527,""))</f>
        <v/>
      </c>
      <c r="AF527" s="27"/>
      <c r="AG527" s="26"/>
      <c r="AH527" s="26"/>
      <c r="AI527" s="30"/>
      <c r="AJ527" s="31"/>
      <c r="AK527" s="31"/>
      <c r="AL527" s="31" t="n">
        <v>1886730</v>
      </c>
      <c r="AM527" s="31" t="n">
        <v>154650</v>
      </c>
      <c r="AN527" s="31" t="n">
        <v>1988</v>
      </c>
      <c r="AO527" s="31"/>
      <c r="AP527" s="31" t="n">
        <v>1275306</v>
      </c>
      <c r="AQ527" s="31"/>
      <c r="AR527" s="31" t="n">
        <v>141252</v>
      </c>
      <c r="AS527" s="31"/>
      <c r="AT527" s="31" t="n">
        <v>1</v>
      </c>
      <c r="AU527" s="31" t="n">
        <f aca="false">IF($G527="",AJ527,L527)</f>
        <v>0</v>
      </c>
      <c r="AV527" s="31" t="n">
        <f aca="false">IF($G527="",AK527,M527)</f>
        <v>0</v>
      </c>
      <c r="AW527" s="31" t="n">
        <f aca="false">IF($G527="",AL527,N527)</f>
        <v>1886730</v>
      </c>
      <c r="AX527" s="31" t="n">
        <f aca="false">IF($G527="",AM527,O527)</f>
        <v>154650</v>
      </c>
      <c r="AY527" s="31" t="n">
        <f aca="false">IF($G527="",AN527,P527)</f>
        <v>1988</v>
      </c>
      <c r="AZ527" s="31" t="n">
        <f aca="false">IF($G527="",AO527,Q527)</f>
        <v>0</v>
      </c>
      <c r="BA527" s="31" t="n">
        <f aca="false">IF($G527="",AP527,R527)</f>
        <v>1275306</v>
      </c>
      <c r="BB527" s="31" t="n">
        <f aca="false">IF($G527="",AQ527,S527)</f>
        <v>0</v>
      </c>
      <c r="BC527" s="31" t="n">
        <f aca="false">IF($G527="",AR527,T527)</f>
        <v>141252</v>
      </c>
      <c r="BD527" s="31" t="n">
        <f aca="false">IF($G527="",AS527,U527)</f>
        <v>0</v>
      </c>
      <c r="BE527" s="31" t="n">
        <f aca="false">IF($G527="",AT527,V527)</f>
        <v>1</v>
      </c>
      <c r="BF527" s="31" t="n">
        <f aca="false">ROUNDDOWN(I527*設定!$B$10/1000,0)+ROUNDDOWN(I527*設定!$B$11/1000,0)</f>
        <v>0</v>
      </c>
      <c r="BG527" s="31" t="n">
        <f aca="false">ROUNDDOWN(I527*設定!$C$10/1000,0)+ROUNDDOWN(I527*設定!$C$11/1000,0)+ROUNDDOWN(I527*設定!$C$12/1000,0)</f>
        <v>0</v>
      </c>
      <c r="BH527" s="31" t="n">
        <f aca="false">ROUNDDOWN(J527*設定!$B$13/1000,0)</f>
        <v>0</v>
      </c>
      <c r="BI527" s="31" t="n">
        <f aca="false">ROUNDDOWN(J527*設定!$C$13/1000,0)</f>
        <v>0</v>
      </c>
      <c r="BJ527" s="31" t="n">
        <f aca="false">ROUNDDOWN(K527*設定!$B$14/1000,0)</f>
        <v>0</v>
      </c>
      <c r="BK527" s="31" t="n">
        <f aca="false">ROUNDDOWN(K527*設定!$C$14/1000,0)</f>
        <v>0</v>
      </c>
      <c r="BL527" s="31" t="n">
        <f aca="false">ROUNDDOWN(J527*設定!$B$15/1000,0)</f>
        <v>0</v>
      </c>
      <c r="BM527" s="31" t="n">
        <f aca="false">ROUNDDOWN(J527*設定!$C$15/1000,0)</f>
        <v>0</v>
      </c>
      <c r="BN527" s="31" t="n">
        <f aca="false">L527+M527</f>
        <v>0</v>
      </c>
      <c r="BO527" s="31" t="n">
        <f aca="false">N527+O527+P527</f>
        <v>0</v>
      </c>
      <c r="BP527" s="31" t="n">
        <f aca="false">Q527</f>
        <v>0</v>
      </c>
      <c r="BQ527" s="31" t="n">
        <f aca="false">R527</f>
        <v>0</v>
      </c>
      <c r="BR527" s="31" t="n">
        <f aca="false">S527</f>
        <v>0</v>
      </c>
      <c r="BS527" s="31" t="n">
        <f aca="false">T527</f>
        <v>0</v>
      </c>
      <c r="BT527" s="31" t="n">
        <f aca="false">U527</f>
        <v>0</v>
      </c>
      <c r="BU527" s="31" t="n">
        <f aca="false">V527</f>
        <v>0</v>
      </c>
      <c r="BV527" s="32" t="n">
        <f aca="false">IF(BF527=0,IF(BN527=0,0,1),(BN527-BF527)/BF527)</f>
        <v>0</v>
      </c>
      <c r="BW527" s="32" t="n">
        <f aca="false">IF(BG527=0,IF(BO527=0,0,1),(BO527-BG527)/BG527)</f>
        <v>0</v>
      </c>
      <c r="BX527" s="32" t="n">
        <f aca="false">IF(BH527=0,IF(BP527=0,0,1),(BP527-BH527)/BH527)</f>
        <v>0</v>
      </c>
      <c r="BY527" s="32" t="n">
        <f aca="false">IF(BI527=0,IF(BQ527=0,0,1),(BQ527-BI527)/BI527)</f>
        <v>0</v>
      </c>
      <c r="BZ527" s="32" t="n">
        <f aca="false">IF(BJ527=0,IF(BR527=0,0,1),(BR527-BJ527)/BJ527)</f>
        <v>0</v>
      </c>
      <c r="CA527" s="32" t="n">
        <f aca="false">IF(BK527=0,IF(BS527=0,0,1),(BS527-BK527)/BK527)</f>
        <v>0</v>
      </c>
      <c r="CB527" s="32" t="n">
        <f aca="false">IF(BL527=0,IF(BT527=0,0,1),(BT527-BL527)/BL527)</f>
        <v>0</v>
      </c>
      <c r="CC527" s="32" t="n">
        <f aca="false">IF(BM527=0,IF(BU527=0,0,1),(BU527-BM527)/BM527)</f>
        <v>0</v>
      </c>
      <c r="CD527" s="32" t="n">
        <f aca="false">MAX(MAX(BV527:CC527),-MIN(BV527:CC527))</f>
        <v>-0</v>
      </c>
      <c r="CE527" s="31" t="n">
        <f aca="false">IF(CI527="","",SUMIFS($CF$7:$CF$696,$A$7:$A$696,CI527,$B$7:$B$696,B527))</f>
        <v>3450617</v>
      </c>
      <c r="CF527" s="31" t="n">
        <f aca="false">SUM(AU527:BE527)</f>
        <v>3459927</v>
      </c>
      <c r="CG527" s="33" t="str">
        <f aca="false">A527&amp;"|"&amp;B527</f>
        <v>2027-01 月例|社会福祉事業団</v>
      </c>
      <c r="CH527" s="34" t="str">
        <f aca="false">IFERROR(INDEX(設定!$D$61:$D$106,MATCH(B527,設定!$B$61:$B$106,0)),"Y")</f>
        <v>Y</v>
      </c>
      <c r="CI527" s="34" t="str">
        <f aca="false">IFERROR(INDEX(設定!$D$20:$D$34,MATCH(A527,設定!$A$20:$A$34,0))&amp;"","")</f>
        <v>2026-12 月例</v>
      </c>
    </row>
    <row r="528" customFormat="false" ht="15" hidden="true" customHeight="false" outlineLevel="0" collapsed="false">
      <c r="A528" s="22" t="s">
        <v>219</v>
      </c>
      <c r="B528" s="23" t="s">
        <v>176</v>
      </c>
      <c r="C528" s="10" t="str">
        <f aca="false">IF(G528="","未受領",IF(G528="なし","報告なし",IF(AH528="○","起票済",IF(OR(AG528="○",F528="一致",F528="入金不要"),"入金確認済","受領済"))))</f>
        <v>未受領</v>
      </c>
      <c r="D528" s="10" t="str">
        <f aca="false">IF(OR(G528="",G528="なし"),"―",IF(CH528="N","対象外",IF(AND(I528="",J528="",K528=""),"標報未入力",IF(CD528&gt;=設定!$B$4,"要確認","問題なし"))))</f>
        <v>―</v>
      </c>
      <c r="E528" s="24" t="str">
        <f aca="false">IF(OR(G528="",G528="なし",CE528="",CF528=0),"―",IF(CF528=CE528,"前月同額",IF(CE528=0,"―",IF(ABS(CF528/CE528-1)&gt;=設定!$B$5,"変動大 "&amp;TEXT(CF528/CE528-1,"+0%;-0%"),"〇"))))</f>
        <v>―</v>
      </c>
      <c r="F528" s="10" t="str">
        <f aca="false">IF(OR(G528="",G528="なし"),"―",IF(CF528=0,"入金不要",IF(COUNT(Z528,AB528,AD528,AF528)=0,IF(AG528="○","手動確認","未入金"),IF(AND(N(Z528)=Y528,IF(AA528="",TRUE(),N(AB528)=AA528),IF(AC528="",TRUE(),N(AD528)=AC528),IF(AE528="",TRUE(),N(AF528)=AE528)),"一致","不一致"))))</f>
        <v>―</v>
      </c>
      <c r="G528" s="25"/>
      <c r="H528" s="26"/>
      <c r="I528" s="27"/>
      <c r="J528" s="27"/>
      <c r="K528" s="27"/>
      <c r="L528" s="27"/>
      <c r="M528" s="27"/>
      <c r="N528" s="27"/>
      <c r="O528" s="27"/>
      <c r="P528" s="27"/>
      <c r="Q528" s="27"/>
      <c r="R528" s="27"/>
      <c r="S528" s="27"/>
      <c r="T528" s="27"/>
      <c r="U528" s="27"/>
      <c r="V528" s="27"/>
      <c r="W528" s="10" t="str">
        <f aca="false">IFERROR(INDEX(設定!$E$61:$E$106,MATCH(B528,設定!$B$61:$B$106,0)),"合算")</f>
        <v>合算</v>
      </c>
      <c r="X528" s="28"/>
      <c r="Y528" s="29" t="str">
        <f aca="false">IF(OR(G528="",G528="なし"),"",IF(W528="合算",CF528,IF(W528="掛金・負担金別",(AU528+AV528+AZ528+BB528+BD528),SUM(AU528:AY528))))</f>
        <v/>
      </c>
      <c r="Z528" s="27"/>
      <c r="AA528" s="29" t="str">
        <f aca="false">IF(OR(G528="",G528="なし"),"",IF(W528="掛金・負担金別",(AW528+AX528+AY528+BA528+BC528+BE528),IF(W528="経理区分別",AZ528+BA528,"")))</f>
        <v/>
      </c>
      <c r="AB528" s="27"/>
      <c r="AC528" s="29" t="str">
        <f aca="false">IF(OR(G528="",G528="なし"),"",IF(W528="経理区分別",BB528+BC528,""))</f>
        <v/>
      </c>
      <c r="AD528" s="27"/>
      <c r="AE528" s="29" t="str">
        <f aca="false">IF(OR(G528="",G528="なし"),"",IF(W528="経理区分別",BD528+BE528,""))</f>
        <v/>
      </c>
      <c r="AF528" s="27"/>
      <c r="AG528" s="26"/>
      <c r="AH528" s="26"/>
      <c r="AI528" s="30"/>
      <c r="AJ528" s="31"/>
      <c r="AK528" s="31"/>
      <c r="AL528" s="31" t="n">
        <v>48495</v>
      </c>
      <c r="AM528" s="31" t="n">
        <v>3975</v>
      </c>
      <c r="AN528" s="31" t="n">
        <v>49</v>
      </c>
      <c r="AO528" s="31"/>
      <c r="AP528" s="31" t="n">
        <v>29208</v>
      </c>
      <c r="AQ528" s="31"/>
      <c r="AR528" s="31" t="n">
        <v>4187</v>
      </c>
      <c r="AS528" s="31"/>
      <c r="AT528" s="31" t="n">
        <v>1</v>
      </c>
      <c r="AU528" s="31" t="n">
        <f aca="false">IF($G528="",AJ528,L528)</f>
        <v>0</v>
      </c>
      <c r="AV528" s="31" t="n">
        <f aca="false">IF($G528="",AK528,M528)</f>
        <v>0</v>
      </c>
      <c r="AW528" s="31" t="n">
        <f aca="false">IF($G528="",AL528,N528)</f>
        <v>48495</v>
      </c>
      <c r="AX528" s="31" t="n">
        <f aca="false">IF($G528="",AM528,O528)</f>
        <v>3975</v>
      </c>
      <c r="AY528" s="31" t="n">
        <f aca="false">IF($G528="",AN528,P528)</f>
        <v>49</v>
      </c>
      <c r="AZ528" s="31" t="n">
        <f aca="false">IF($G528="",AO528,Q528)</f>
        <v>0</v>
      </c>
      <c r="BA528" s="31" t="n">
        <f aca="false">IF($G528="",AP528,R528)</f>
        <v>29208</v>
      </c>
      <c r="BB528" s="31" t="n">
        <f aca="false">IF($G528="",AQ528,S528)</f>
        <v>0</v>
      </c>
      <c r="BC528" s="31" t="n">
        <f aca="false">IF($G528="",AR528,T528)</f>
        <v>4187</v>
      </c>
      <c r="BD528" s="31" t="n">
        <f aca="false">IF($G528="",AS528,U528)</f>
        <v>0</v>
      </c>
      <c r="BE528" s="31" t="n">
        <f aca="false">IF($G528="",AT528,V528)</f>
        <v>1</v>
      </c>
      <c r="BF528" s="31" t="n">
        <f aca="false">ROUNDDOWN(I528*設定!$B$10/1000,0)+ROUNDDOWN(I528*設定!$B$11/1000,0)</f>
        <v>0</v>
      </c>
      <c r="BG528" s="31" t="n">
        <f aca="false">ROUNDDOWN(I528*設定!$C$10/1000,0)+ROUNDDOWN(I528*設定!$C$11/1000,0)+ROUNDDOWN(I528*設定!$C$12/1000,0)</f>
        <v>0</v>
      </c>
      <c r="BH528" s="31" t="n">
        <f aca="false">ROUNDDOWN(J528*設定!$B$13/1000,0)</f>
        <v>0</v>
      </c>
      <c r="BI528" s="31" t="n">
        <f aca="false">ROUNDDOWN(J528*設定!$C$13/1000,0)</f>
        <v>0</v>
      </c>
      <c r="BJ528" s="31" t="n">
        <f aca="false">ROUNDDOWN(K528*設定!$B$14/1000,0)</f>
        <v>0</v>
      </c>
      <c r="BK528" s="31" t="n">
        <f aca="false">ROUNDDOWN(K528*設定!$C$14/1000,0)</f>
        <v>0</v>
      </c>
      <c r="BL528" s="31" t="n">
        <f aca="false">ROUNDDOWN(J528*設定!$B$15/1000,0)</f>
        <v>0</v>
      </c>
      <c r="BM528" s="31" t="n">
        <f aca="false">ROUNDDOWN(J528*設定!$C$15/1000,0)</f>
        <v>0</v>
      </c>
      <c r="BN528" s="31" t="n">
        <f aca="false">L528+M528</f>
        <v>0</v>
      </c>
      <c r="BO528" s="31" t="n">
        <f aca="false">N528+O528+P528</f>
        <v>0</v>
      </c>
      <c r="BP528" s="31" t="n">
        <f aca="false">Q528</f>
        <v>0</v>
      </c>
      <c r="BQ528" s="31" t="n">
        <f aca="false">R528</f>
        <v>0</v>
      </c>
      <c r="BR528" s="31" t="n">
        <f aca="false">S528</f>
        <v>0</v>
      </c>
      <c r="BS528" s="31" t="n">
        <f aca="false">T528</f>
        <v>0</v>
      </c>
      <c r="BT528" s="31" t="n">
        <f aca="false">U528</f>
        <v>0</v>
      </c>
      <c r="BU528" s="31" t="n">
        <f aca="false">V528</f>
        <v>0</v>
      </c>
      <c r="BV528" s="32" t="n">
        <f aca="false">IF(BF528=0,IF(BN528=0,0,1),(BN528-BF528)/BF528)</f>
        <v>0</v>
      </c>
      <c r="BW528" s="32" t="n">
        <f aca="false">IF(BG528=0,IF(BO528=0,0,1),(BO528-BG528)/BG528)</f>
        <v>0</v>
      </c>
      <c r="BX528" s="32" t="n">
        <f aca="false">IF(BH528=0,IF(BP528=0,0,1),(BP528-BH528)/BH528)</f>
        <v>0</v>
      </c>
      <c r="BY528" s="32" t="n">
        <f aca="false">IF(BI528=0,IF(BQ528=0,0,1),(BQ528-BI528)/BI528)</f>
        <v>0</v>
      </c>
      <c r="BZ528" s="32" t="n">
        <f aca="false">IF(BJ528=0,IF(BR528=0,0,1),(BR528-BJ528)/BJ528)</f>
        <v>0</v>
      </c>
      <c r="CA528" s="32" t="n">
        <f aca="false">IF(BK528=0,IF(BS528=0,0,1),(BS528-BK528)/BK528)</f>
        <v>0</v>
      </c>
      <c r="CB528" s="32" t="n">
        <f aca="false">IF(BL528=0,IF(BT528=0,0,1),(BT528-BL528)/BL528)</f>
        <v>0</v>
      </c>
      <c r="CC528" s="32" t="n">
        <f aca="false">IF(BM528=0,IF(BU528=0,0,1),(BU528-BM528)/BM528)</f>
        <v>0</v>
      </c>
      <c r="CD528" s="32" t="n">
        <f aca="false">MAX(MAX(BV528:CC528),-MIN(BV528:CC528))</f>
        <v>-0</v>
      </c>
      <c r="CE528" s="31" t="n">
        <f aca="false">IF(CI528="","",SUMIFS($CF$7:$CF$696,$A$7:$A$696,CI528,$B$7:$B$696,B528))</f>
        <v>85915</v>
      </c>
      <c r="CF528" s="31" t="n">
        <f aca="false">SUM(AU528:BE528)</f>
        <v>85915</v>
      </c>
      <c r="CG528" s="33" t="str">
        <f aca="false">A528&amp;"|"&amp;B528</f>
        <v>2027-01 月例|原爆障害対策協議会</v>
      </c>
      <c r="CH528" s="34" t="str">
        <f aca="false">IFERROR(INDEX(設定!$D$61:$D$106,MATCH(B528,設定!$B$61:$B$106,0)),"Y")</f>
        <v>Y</v>
      </c>
      <c r="CI528" s="34" t="str">
        <f aca="false">IFERROR(INDEX(設定!$D$20:$D$34,MATCH(A528,設定!$A$20:$A$34,0))&amp;"","")</f>
        <v>2026-12 月例</v>
      </c>
    </row>
    <row r="529" customFormat="false" ht="15" hidden="true" customHeight="false" outlineLevel="0" collapsed="false">
      <c r="A529" s="22" t="s">
        <v>219</v>
      </c>
      <c r="B529" s="23" t="s">
        <v>177</v>
      </c>
      <c r="C529" s="10" t="str">
        <f aca="false">IF(G529="","未受領",IF(G529="なし","報告なし",IF(AH529="○","起票済",IF(OR(AG529="○",F529="一致",F529="入金不要"),"入金確認済","受領済"))))</f>
        <v>未受領</v>
      </c>
      <c r="D529" s="10" t="str">
        <f aca="false">IF(OR(G529="",G529="なし"),"―",IF(CH529="N","対象外",IF(AND(I529="",J529="",K529=""),"標報未入力",IF(CD529&gt;=設定!$B$4,"要確認","問題なし"))))</f>
        <v>―</v>
      </c>
      <c r="E529" s="24" t="str">
        <f aca="false">IF(OR(G529="",G529="なし",CE529="",CF529=0),"―",IF(CF529=CE529,"前月同額",IF(CE529=0,"―",IF(ABS(CF529/CE529-1)&gt;=設定!$B$5,"変動大 "&amp;TEXT(CF529/CE529-1,"+0%;-0%"),"〇"))))</f>
        <v>―</v>
      </c>
      <c r="F529" s="10" t="str">
        <f aca="false">IF(OR(G529="",G529="なし"),"―",IF(CF529=0,"入金不要",IF(COUNT(Z529,AB529,AD529,AF529)=0,IF(AG529="○","手動確認","未入金"),IF(AND(N(Z529)=Y529,IF(AA529="",TRUE(),N(AB529)=AA529),IF(AC529="",TRUE(),N(AD529)=AC529),IF(AE529="",TRUE(),N(AF529)=AE529)),"一致","不一致"))))</f>
        <v>―</v>
      </c>
      <c r="G529" s="25"/>
      <c r="H529" s="26"/>
      <c r="I529" s="27"/>
      <c r="J529" s="27"/>
      <c r="K529" s="27"/>
      <c r="L529" s="27"/>
      <c r="M529" s="27"/>
      <c r="N529" s="27"/>
      <c r="O529" s="27"/>
      <c r="P529" s="27"/>
      <c r="Q529" s="27"/>
      <c r="R529" s="27"/>
      <c r="S529" s="27"/>
      <c r="T529" s="27"/>
      <c r="U529" s="27"/>
      <c r="V529" s="27"/>
      <c r="W529" s="10" t="str">
        <f aca="false">IFERROR(INDEX(設定!$E$61:$E$106,MATCH(B529,設定!$B$61:$B$106,0)),"合算")</f>
        <v>合算</v>
      </c>
      <c r="X529" s="28"/>
      <c r="Y529" s="29" t="str">
        <f aca="false">IF(OR(G529="",G529="なし"),"",IF(W529="合算",CF529,IF(W529="掛金・負担金別",(AU529+AV529+AZ529+BB529+BD529),SUM(AU529:AY529))))</f>
        <v/>
      </c>
      <c r="Z529" s="27"/>
      <c r="AA529" s="29" t="str">
        <f aca="false">IF(OR(G529="",G529="なし"),"",IF(W529="掛金・負担金別",(AW529+AX529+AY529+BA529+BC529+BE529),IF(W529="経理区分別",AZ529+BA529,"")))</f>
        <v/>
      </c>
      <c r="AB529" s="27"/>
      <c r="AC529" s="29" t="str">
        <f aca="false">IF(OR(G529="",G529="なし"),"",IF(W529="経理区分別",BB529+BC529,""))</f>
        <v/>
      </c>
      <c r="AD529" s="27"/>
      <c r="AE529" s="29" t="str">
        <f aca="false">IF(OR(G529="",G529="なし"),"",IF(W529="経理区分別",BD529+BE529,""))</f>
        <v/>
      </c>
      <c r="AF529" s="27"/>
      <c r="AG529" s="26"/>
      <c r="AH529" s="26"/>
      <c r="AI529" s="30"/>
      <c r="AJ529" s="31"/>
      <c r="AK529" s="31"/>
      <c r="AL529" s="31" t="n">
        <v>425475</v>
      </c>
      <c r="AM529" s="31" t="n">
        <v>34875</v>
      </c>
      <c r="AN529" s="31" t="n">
        <v>435</v>
      </c>
      <c r="AO529" s="31"/>
      <c r="AP529" s="31" t="n">
        <v>256260</v>
      </c>
      <c r="AQ529" s="31"/>
      <c r="AR529" s="31" t="n">
        <v>34207</v>
      </c>
      <c r="AS529" s="31"/>
      <c r="AT529" s="31" t="n">
        <v>1</v>
      </c>
      <c r="AU529" s="31" t="n">
        <f aca="false">IF($G529="",AJ529,L529)</f>
        <v>0</v>
      </c>
      <c r="AV529" s="31" t="n">
        <f aca="false">IF($G529="",AK529,M529)</f>
        <v>0</v>
      </c>
      <c r="AW529" s="31" t="n">
        <f aca="false">IF($G529="",AL529,N529)</f>
        <v>425475</v>
      </c>
      <c r="AX529" s="31" t="n">
        <f aca="false">IF($G529="",AM529,O529)</f>
        <v>34875</v>
      </c>
      <c r="AY529" s="31" t="n">
        <f aca="false">IF($G529="",AN529,P529)</f>
        <v>435</v>
      </c>
      <c r="AZ529" s="31" t="n">
        <f aca="false">IF($G529="",AO529,Q529)</f>
        <v>0</v>
      </c>
      <c r="BA529" s="31" t="n">
        <f aca="false">IF($G529="",AP529,R529)</f>
        <v>256260</v>
      </c>
      <c r="BB529" s="31" t="n">
        <f aca="false">IF($G529="",AQ529,S529)</f>
        <v>0</v>
      </c>
      <c r="BC529" s="31" t="n">
        <f aca="false">IF($G529="",AR529,T529)</f>
        <v>34207</v>
      </c>
      <c r="BD529" s="31" t="n">
        <f aca="false">IF($G529="",AS529,U529)</f>
        <v>0</v>
      </c>
      <c r="BE529" s="31" t="n">
        <f aca="false">IF($G529="",AT529,V529)</f>
        <v>1</v>
      </c>
      <c r="BF529" s="31" t="n">
        <f aca="false">ROUNDDOWN(I529*設定!$B$10/1000,0)+ROUNDDOWN(I529*設定!$B$11/1000,0)</f>
        <v>0</v>
      </c>
      <c r="BG529" s="31" t="n">
        <f aca="false">ROUNDDOWN(I529*設定!$C$10/1000,0)+ROUNDDOWN(I529*設定!$C$11/1000,0)+ROUNDDOWN(I529*設定!$C$12/1000,0)</f>
        <v>0</v>
      </c>
      <c r="BH529" s="31" t="n">
        <f aca="false">ROUNDDOWN(J529*設定!$B$13/1000,0)</f>
        <v>0</v>
      </c>
      <c r="BI529" s="31" t="n">
        <f aca="false">ROUNDDOWN(J529*設定!$C$13/1000,0)</f>
        <v>0</v>
      </c>
      <c r="BJ529" s="31" t="n">
        <f aca="false">ROUNDDOWN(K529*設定!$B$14/1000,0)</f>
        <v>0</v>
      </c>
      <c r="BK529" s="31" t="n">
        <f aca="false">ROUNDDOWN(K529*設定!$C$14/1000,0)</f>
        <v>0</v>
      </c>
      <c r="BL529" s="31" t="n">
        <f aca="false">ROUNDDOWN(J529*設定!$B$15/1000,0)</f>
        <v>0</v>
      </c>
      <c r="BM529" s="31" t="n">
        <f aca="false">ROUNDDOWN(J529*設定!$C$15/1000,0)</f>
        <v>0</v>
      </c>
      <c r="BN529" s="31" t="n">
        <f aca="false">L529+M529</f>
        <v>0</v>
      </c>
      <c r="BO529" s="31" t="n">
        <f aca="false">N529+O529+P529</f>
        <v>0</v>
      </c>
      <c r="BP529" s="31" t="n">
        <f aca="false">Q529</f>
        <v>0</v>
      </c>
      <c r="BQ529" s="31" t="n">
        <f aca="false">R529</f>
        <v>0</v>
      </c>
      <c r="BR529" s="31" t="n">
        <f aca="false">S529</f>
        <v>0</v>
      </c>
      <c r="BS529" s="31" t="n">
        <f aca="false">T529</f>
        <v>0</v>
      </c>
      <c r="BT529" s="31" t="n">
        <f aca="false">U529</f>
        <v>0</v>
      </c>
      <c r="BU529" s="31" t="n">
        <f aca="false">V529</f>
        <v>0</v>
      </c>
      <c r="BV529" s="32" t="n">
        <f aca="false">IF(BF529=0,IF(BN529=0,0,1),(BN529-BF529)/BF529)</f>
        <v>0</v>
      </c>
      <c r="BW529" s="32" t="n">
        <f aca="false">IF(BG529=0,IF(BO529=0,0,1),(BO529-BG529)/BG529)</f>
        <v>0</v>
      </c>
      <c r="BX529" s="32" t="n">
        <f aca="false">IF(BH529=0,IF(BP529=0,0,1),(BP529-BH529)/BH529)</f>
        <v>0</v>
      </c>
      <c r="BY529" s="32" t="n">
        <f aca="false">IF(BI529=0,IF(BQ529=0,0,1),(BQ529-BI529)/BI529)</f>
        <v>0</v>
      </c>
      <c r="BZ529" s="32" t="n">
        <f aca="false">IF(BJ529=0,IF(BR529=0,0,1),(BR529-BJ529)/BJ529)</f>
        <v>0</v>
      </c>
      <c r="CA529" s="32" t="n">
        <f aca="false">IF(BK529=0,IF(BS529=0,0,1),(BS529-BK529)/BK529)</f>
        <v>0</v>
      </c>
      <c r="CB529" s="32" t="n">
        <f aca="false">IF(BL529=0,IF(BT529=0,0,1),(BT529-BL529)/BL529)</f>
        <v>0</v>
      </c>
      <c r="CC529" s="32" t="n">
        <f aca="false">IF(BM529=0,IF(BU529=0,0,1),(BU529-BM529)/BM529)</f>
        <v>0</v>
      </c>
      <c r="CD529" s="32" t="n">
        <f aca="false">MAX(MAX(BV529:CC529),-MIN(BV529:CC529))</f>
        <v>-0</v>
      </c>
      <c r="CE529" s="31" t="n">
        <f aca="false">IF(CI529="","",SUMIFS($CF$7:$CF$696,$A$7:$A$696,CI529,$B$7:$B$696,B529))</f>
        <v>751253</v>
      </c>
      <c r="CF529" s="31" t="n">
        <f aca="false">SUM(AU529:BE529)</f>
        <v>751253</v>
      </c>
      <c r="CG529" s="33" t="str">
        <f aca="false">A529&amp;"|"&amp;B529</f>
        <v>2027-01 月例|産業振興センター</v>
      </c>
      <c r="CH529" s="34" t="str">
        <f aca="false">IFERROR(INDEX(設定!$D$61:$D$106,MATCH(B529,設定!$B$61:$B$106,0)),"Y")</f>
        <v>Y</v>
      </c>
      <c r="CI529" s="34" t="str">
        <f aca="false">IFERROR(INDEX(設定!$D$20:$D$34,MATCH(A529,設定!$A$20:$A$34,0))&amp;"","")</f>
        <v>2026-12 月例</v>
      </c>
    </row>
    <row r="530" customFormat="false" ht="15" hidden="true" customHeight="false" outlineLevel="0" collapsed="false">
      <c r="A530" s="22" t="s">
        <v>219</v>
      </c>
      <c r="B530" s="23" t="s">
        <v>178</v>
      </c>
      <c r="C530" s="10" t="str">
        <f aca="false">IF(G530="","未受領",IF(G530="なし","報告なし",IF(AH530="○","起票済",IF(OR(AG530="○",F530="一致",F530="入金不要"),"入金確認済","受領済"))))</f>
        <v>未受領</v>
      </c>
      <c r="D530" s="10" t="str">
        <f aca="false">IF(OR(G530="",G530="なし"),"―",IF(CH530="N","対象外",IF(AND(I530="",J530="",K530=""),"標報未入力",IF(CD530&gt;=設定!$B$4,"要確認","問題なし"))))</f>
        <v>―</v>
      </c>
      <c r="E530" s="24" t="str">
        <f aca="false">IF(OR(G530="",G530="なし",CE530="",CF530=0),"―",IF(CF530=CE530,"前月同額",IF(CE530=0,"―",IF(ABS(CF530/CE530-1)&gt;=設定!$B$5,"変動大 "&amp;TEXT(CF530/CE530-1,"+0%;-0%"),"〇"))))</f>
        <v>―</v>
      </c>
      <c r="F530" s="10" t="str">
        <f aca="false">IF(OR(G530="",G530="なし"),"―",IF(CF530=0,"入金不要",IF(COUNT(Z530,AB530,AD530,AF530)=0,IF(AG530="○","手動確認","未入金"),IF(AND(N(Z530)=Y530,IF(AA530="",TRUE(),N(AB530)=AA530),IF(AC530="",TRUE(),N(AD530)=AC530),IF(AE530="",TRUE(),N(AF530)=AE530)),"一致","不一致"))))</f>
        <v>―</v>
      </c>
      <c r="G530" s="25"/>
      <c r="H530" s="26"/>
      <c r="I530" s="27"/>
      <c r="J530" s="27"/>
      <c r="K530" s="27"/>
      <c r="L530" s="27"/>
      <c r="M530" s="27"/>
      <c r="N530" s="27"/>
      <c r="O530" s="27"/>
      <c r="P530" s="27"/>
      <c r="Q530" s="27"/>
      <c r="R530" s="27"/>
      <c r="S530" s="27"/>
      <c r="T530" s="27"/>
      <c r="U530" s="27"/>
      <c r="V530" s="27"/>
      <c r="W530" s="10" t="str">
        <f aca="false">IFERROR(INDEX(設定!$E$61:$E$106,MATCH(B530,設定!$B$61:$B$106,0)),"合算")</f>
        <v>合算</v>
      </c>
      <c r="X530" s="28"/>
      <c r="Y530" s="29" t="str">
        <f aca="false">IF(OR(G530="",G530="なし"),"",IF(W530="合算",CF530,IF(W530="掛金・負担金別",(AU530+AV530+AZ530+BB530+BD530),SUM(AU530:AY530))))</f>
        <v/>
      </c>
      <c r="Z530" s="27"/>
      <c r="AA530" s="29" t="str">
        <f aca="false">IF(OR(G530="",G530="なし"),"",IF(W530="掛金・負担金別",(AW530+AX530+AY530+BA530+BC530+BE530),IF(W530="経理区分別",AZ530+BA530,"")))</f>
        <v/>
      </c>
      <c r="AB530" s="27"/>
      <c r="AC530" s="29" t="str">
        <f aca="false">IF(OR(G530="",G530="なし"),"",IF(W530="経理区分別",BB530+BC530,""))</f>
        <v/>
      </c>
      <c r="AD530" s="27"/>
      <c r="AE530" s="29" t="str">
        <f aca="false">IF(OR(G530="",G530="なし"),"",IF(W530="経理区分別",BD530+BE530,""))</f>
        <v/>
      </c>
      <c r="AF530" s="27"/>
      <c r="AG530" s="26"/>
      <c r="AH530" s="26"/>
      <c r="AI530" s="30"/>
      <c r="AJ530" s="31"/>
      <c r="AK530" s="31"/>
      <c r="AL530" s="31" t="n">
        <v>86010</v>
      </c>
      <c r="AM530" s="31" t="n">
        <v>7050</v>
      </c>
      <c r="AN530" s="31" t="n">
        <v>88</v>
      </c>
      <c r="AO530" s="31"/>
      <c r="AP530" s="31" t="n">
        <v>51803</v>
      </c>
      <c r="AQ530" s="31"/>
      <c r="AR530" s="31" t="n">
        <v>7426</v>
      </c>
      <c r="AS530" s="31"/>
      <c r="AT530" s="31" t="n">
        <v>1</v>
      </c>
      <c r="AU530" s="31" t="n">
        <f aca="false">IF($G530="",AJ530,L530)</f>
        <v>0</v>
      </c>
      <c r="AV530" s="31" t="n">
        <f aca="false">IF($G530="",AK530,M530)</f>
        <v>0</v>
      </c>
      <c r="AW530" s="31" t="n">
        <f aca="false">IF($G530="",AL530,N530)</f>
        <v>86010</v>
      </c>
      <c r="AX530" s="31" t="n">
        <f aca="false">IF($G530="",AM530,O530)</f>
        <v>7050</v>
      </c>
      <c r="AY530" s="31" t="n">
        <f aca="false">IF($G530="",AN530,P530)</f>
        <v>88</v>
      </c>
      <c r="AZ530" s="31" t="n">
        <f aca="false">IF($G530="",AO530,Q530)</f>
        <v>0</v>
      </c>
      <c r="BA530" s="31" t="n">
        <f aca="false">IF($G530="",AP530,R530)</f>
        <v>51803</v>
      </c>
      <c r="BB530" s="31" t="n">
        <f aca="false">IF($G530="",AQ530,S530)</f>
        <v>0</v>
      </c>
      <c r="BC530" s="31" t="n">
        <f aca="false">IF($G530="",AR530,T530)</f>
        <v>7426</v>
      </c>
      <c r="BD530" s="31" t="n">
        <f aca="false">IF($G530="",AS530,U530)</f>
        <v>0</v>
      </c>
      <c r="BE530" s="31" t="n">
        <f aca="false">IF($G530="",AT530,V530)</f>
        <v>1</v>
      </c>
      <c r="BF530" s="31" t="n">
        <f aca="false">ROUNDDOWN(I530*設定!$B$10/1000,0)+ROUNDDOWN(I530*設定!$B$11/1000,0)</f>
        <v>0</v>
      </c>
      <c r="BG530" s="31" t="n">
        <f aca="false">ROUNDDOWN(I530*設定!$C$10/1000,0)+ROUNDDOWN(I530*設定!$C$11/1000,0)+ROUNDDOWN(I530*設定!$C$12/1000,0)</f>
        <v>0</v>
      </c>
      <c r="BH530" s="31" t="n">
        <f aca="false">ROUNDDOWN(J530*設定!$B$13/1000,0)</f>
        <v>0</v>
      </c>
      <c r="BI530" s="31" t="n">
        <f aca="false">ROUNDDOWN(J530*設定!$C$13/1000,0)</f>
        <v>0</v>
      </c>
      <c r="BJ530" s="31" t="n">
        <f aca="false">ROUNDDOWN(K530*設定!$B$14/1000,0)</f>
        <v>0</v>
      </c>
      <c r="BK530" s="31" t="n">
        <f aca="false">ROUNDDOWN(K530*設定!$C$14/1000,0)</f>
        <v>0</v>
      </c>
      <c r="BL530" s="31" t="n">
        <f aca="false">ROUNDDOWN(J530*設定!$B$15/1000,0)</f>
        <v>0</v>
      </c>
      <c r="BM530" s="31" t="n">
        <f aca="false">ROUNDDOWN(J530*設定!$C$15/1000,0)</f>
        <v>0</v>
      </c>
      <c r="BN530" s="31" t="n">
        <f aca="false">L530+M530</f>
        <v>0</v>
      </c>
      <c r="BO530" s="31" t="n">
        <f aca="false">N530+O530+P530</f>
        <v>0</v>
      </c>
      <c r="BP530" s="31" t="n">
        <f aca="false">Q530</f>
        <v>0</v>
      </c>
      <c r="BQ530" s="31" t="n">
        <f aca="false">R530</f>
        <v>0</v>
      </c>
      <c r="BR530" s="31" t="n">
        <f aca="false">S530</f>
        <v>0</v>
      </c>
      <c r="BS530" s="31" t="n">
        <f aca="false">T530</f>
        <v>0</v>
      </c>
      <c r="BT530" s="31" t="n">
        <f aca="false">U530</f>
        <v>0</v>
      </c>
      <c r="BU530" s="31" t="n">
        <f aca="false">V530</f>
        <v>0</v>
      </c>
      <c r="BV530" s="32" t="n">
        <f aca="false">IF(BF530=0,IF(BN530=0,0,1),(BN530-BF530)/BF530)</f>
        <v>0</v>
      </c>
      <c r="BW530" s="32" t="n">
        <f aca="false">IF(BG530=0,IF(BO530=0,0,1),(BO530-BG530)/BG530)</f>
        <v>0</v>
      </c>
      <c r="BX530" s="32" t="n">
        <f aca="false">IF(BH530=0,IF(BP530=0,0,1),(BP530-BH530)/BH530)</f>
        <v>0</v>
      </c>
      <c r="BY530" s="32" t="n">
        <f aca="false">IF(BI530=0,IF(BQ530=0,0,1),(BQ530-BI530)/BI530)</f>
        <v>0</v>
      </c>
      <c r="BZ530" s="32" t="n">
        <f aca="false">IF(BJ530=0,IF(BR530=0,0,1),(BR530-BJ530)/BJ530)</f>
        <v>0</v>
      </c>
      <c r="CA530" s="32" t="n">
        <f aca="false">IF(BK530=0,IF(BS530=0,0,1),(BS530-BK530)/BK530)</f>
        <v>0</v>
      </c>
      <c r="CB530" s="32" t="n">
        <f aca="false">IF(BL530=0,IF(BT530=0,0,1),(BT530-BL530)/BL530)</f>
        <v>0</v>
      </c>
      <c r="CC530" s="32" t="n">
        <f aca="false">IF(BM530=0,IF(BU530=0,0,1),(BU530-BM530)/BM530)</f>
        <v>0</v>
      </c>
      <c r="CD530" s="32" t="n">
        <f aca="false">MAX(MAX(BV530:CC530),-MIN(BV530:CC530))</f>
        <v>-0</v>
      </c>
      <c r="CE530" s="31" t="n">
        <f aca="false">IF(CI530="","",SUMIFS($CF$7:$CF$696,$A$7:$A$696,CI530,$B$7:$B$696,B530))</f>
        <v>152378</v>
      </c>
      <c r="CF530" s="31" t="n">
        <f aca="false">SUM(AU530:BE530)</f>
        <v>152378</v>
      </c>
      <c r="CG530" s="33" t="str">
        <f aca="false">A530&amp;"|"&amp;B530</f>
        <v>2027-01 月例|ひろしま産業振興</v>
      </c>
      <c r="CH530" s="34" t="str">
        <f aca="false">IFERROR(INDEX(設定!$D$61:$D$106,MATCH(B530,設定!$B$61:$B$106,0)),"Y")</f>
        <v>Y</v>
      </c>
      <c r="CI530" s="34" t="str">
        <f aca="false">IFERROR(INDEX(設定!$D$20:$D$34,MATCH(A530,設定!$A$20:$A$34,0))&amp;"","")</f>
        <v>2026-12 月例</v>
      </c>
    </row>
    <row r="531" customFormat="false" ht="15" hidden="true" customHeight="false" outlineLevel="0" collapsed="false">
      <c r="A531" s="22" t="s">
        <v>219</v>
      </c>
      <c r="B531" s="23" t="s">
        <v>179</v>
      </c>
      <c r="C531" s="10" t="str">
        <f aca="false">IF(G531="","未受領",IF(G531="なし","報告なし",IF(AH531="○","起票済",IF(OR(AG531="○",F531="一致",F531="入金不要"),"入金確認済","受領済"))))</f>
        <v>未受領</v>
      </c>
      <c r="D531" s="10" t="str">
        <f aca="false">IF(OR(G531="",G531="なし"),"―",IF(CH531="N","対象外",IF(AND(I531="",J531="",K531=""),"標報未入力",IF(CD531&gt;=設定!$B$4,"要確認","問題なし"))))</f>
        <v>―</v>
      </c>
      <c r="E531" s="24" t="str">
        <f aca="false">IF(OR(G531="",G531="なし",CE531="",CF531=0),"―",IF(CF531=CE531,"前月同額",IF(CE531=0,"―",IF(ABS(CF531/CE531-1)&gt;=設定!$B$5,"変動大 "&amp;TEXT(CF531/CE531-1,"+0%;-0%"),"〇"))))</f>
        <v>―</v>
      </c>
      <c r="F531" s="10" t="str">
        <f aca="false">IF(OR(G531="",G531="なし"),"―",IF(CF531=0,"入金不要",IF(COUNT(Z531,AB531,AD531,AF531)=0,IF(AG531="○","手動確認","未入金"),IF(AND(N(Z531)=Y531,IF(AA531="",TRUE(),N(AB531)=AA531),IF(AC531="",TRUE(),N(AD531)=AC531),IF(AE531="",TRUE(),N(AF531)=AE531)),"一致","不一致"))))</f>
        <v>―</v>
      </c>
      <c r="G531" s="25"/>
      <c r="H531" s="26"/>
      <c r="I531" s="27"/>
      <c r="J531" s="27"/>
      <c r="K531" s="27"/>
      <c r="L531" s="27"/>
      <c r="M531" s="27"/>
      <c r="N531" s="27"/>
      <c r="O531" s="27"/>
      <c r="P531" s="27"/>
      <c r="Q531" s="27"/>
      <c r="R531" s="27"/>
      <c r="S531" s="27"/>
      <c r="T531" s="27"/>
      <c r="U531" s="27"/>
      <c r="V531" s="27"/>
      <c r="W531" s="10" t="str">
        <f aca="false">IFERROR(INDEX(設定!$E$61:$E$106,MATCH(B531,設定!$B$61:$B$106,0)),"合算")</f>
        <v>合算</v>
      </c>
      <c r="X531" s="28"/>
      <c r="Y531" s="29" t="str">
        <f aca="false">IF(OR(G531="",G531="なし"),"",IF(W531="合算",CF531,IF(W531="掛金・負担金別",(AU531+AV531+AZ531+BB531+BD531),SUM(AU531:AY531))))</f>
        <v/>
      </c>
      <c r="Z531" s="27"/>
      <c r="AA531" s="29" t="str">
        <f aca="false">IF(OR(G531="",G531="なし"),"",IF(W531="掛金・負担金別",(AW531+AX531+AY531+BA531+BC531+BE531),IF(W531="経理区分別",AZ531+BA531,"")))</f>
        <v/>
      </c>
      <c r="AB531" s="27"/>
      <c r="AC531" s="29" t="str">
        <f aca="false">IF(OR(G531="",G531="なし"),"",IF(W531="経理区分別",BB531+BC531,""))</f>
        <v/>
      </c>
      <c r="AD531" s="27"/>
      <c r="AE531" s="29" t="str">
        <f aca="false">IF(OR(G531="",G531="なし"),"",IF(W531="経理区分別",BD531+BE531,""))</f>
        <v/>
      </c>
      <c r="AF531" s="27"/>
      <c r="AG531" s="26"/>
      <c r="AH531" s="26"/>
      <c r="AI531" s="30"/>
      <c r="AJ531" s="31"/>
      <c r="AK531" s="31"/>
      <c r="AL531" s="31" t="n">
        <v>48495</v>
      </c>
      <c r="AM531" s="31" t="n">
        <v>3975</v>
      </c>
      <c r="AN531" s="31" t="n">
        <v>49</v>
      </c>
      <c r="AO531" s="31"/>
      <c r="AP531" s="31" t="n">
        <v>29208</v>
      </c>
      <c r="AQ531" s="31"/>
      <c r="AR531" s="31" t="n">
        <v>4187</v>
      </c>
      <c r="AS531" s="31"/>
      <c r="AT531" s="31" t="n">
        <v>1</v>
      </c>
      <c r="AU531" s="31" t="n">
        <f aca="false">IF($G531="",AJ531,L531)</f>
        <v>0</v>
      </c>
      <c r="AV531" s="31" t="n">
        <f aca="false">IF($G531="",AK531,M531)</f>
        <v>0</v>
      </c>
      <c r="AW531" s="31" t="n">
        <f aca="false">IF($G531="",AL531,N531)</f>
        <v>48495</v>
      </c>
      <c r="AX531" s="31" t="n">
        <f aca="false">IF($G531="",AM531,O531)</f>
        <v>3975</v>
      </c>
      <c r="AY531" s="31" t="n">
        <f aca="false">IF($G531="",AN531,P531)</f>
        <v>49</v>
      </c>
      <c r="AZ531" s="31" t="n">
        <f aca="false">IF($G531="",AO531,Q531)</f>
        <v>0</v>
      </c>
      <c r="BA531" s="31" t="n">
        <f aca="false">IF($G531="",AP531,R531)</f>
        <v>29208</v>
      </c>
      <c r="BB531" s="31" t="n">
        <f aca="false">IF($G531="",AQ531,S531)</f>
        <v>0</v>
      </c>
      <c r="BC531" s="31" t="n">
        <f aca="false">IF($G531="",AR531,T531)</f>
        <v>4187</v>
      </c>
      <c r="BD531" s="31" t="n">
        <f aca="false">IF($G531="",AS531,U531)</f>
        <v>0</v>
      </c>
      <c r="BE531" s="31" t="n">
        <f aca="false">IF($G531="",AT531,V531)</f>
        <v>1</v>
      </c>
      <c r="BF531" s="31" t="n">
        <f aca="false">ROUNDDOWN(I531*設定!$B$10/1000,0)+ROUNDDOWN(I531*設定!$B$11/1000,0)</f>
        <v>0</v>
      </c>
      <c r="BG531" s="31" t="n">
        <f aca="false">ROUNDDOWN(I531*設定!$C$10/1000,0)+ROUNDDOWN(I531*設定!$C$11/1000,0)+ROUNDDOWN(I531*設定!$C$12/1000,0)</f>
        <v>0</v>
      </c>
      <c r="BH531" s="31" t="n">
        <f aca="false">ROUNDDOWN(J531*設定!$B$13/1000,0)</f>
        <v>0</v>
      </c>
      <c r="BI531" s="31" t="n">
        <f aca="false">ROUNDDOWN(J531*設定!$C$13/1000,0)</f>
        <v>0</v>
      </c>
      <c r="BJ531" s="31" t="n">
        <f aca="false">ROUNDDOWN(K531*設定!$B$14/1000,0)</f>
        <v>0</v>
      </c>
      <c r="BK531" s="31" t="n">
        <f aca="false">ROUNDDOWN(K531*設定!$C$14/1000,0)</f>
        <v>0</v>
      </c>
      <c r="BL531" s="31" t="n">
        <f aca="false">ROUNDDOWN(J531*設定!$B$15/1000,0)</f>
        <v>0</v>
      </c>
      <c r="BM531" s="31" t="n">
        <f aca="false">ROUNDDOWN(J531*設定!$C$15/1000,0)</f>
        <v>0</v>
      </c>
      <c r="BN531" s="31" t="n">
        <f aca="false">L531+M531</f>
        <v>0</v>
      </c>
      <c r="BO531" s="31" t="n">
        <f aca="false">N531+O531+P531</f>
        <v>0</v>
      </c>
      <c r="BP531" s="31" t="n">
        <f aca="false">Q531</f>
        <v>0</v>
      </c>
      <c r="BQ531" s="31" t="n">
        <f aca="false">R531</f>
        <v>0</v>
      </c>
      <c r="BR531" s="31" t="n">
        <f aca="false">S531</f>
        <v>0</v>
      </c>
      <c r="BS531" s="31" t="n">
        <f aca="false">T531</f>
        <v>0</v>
      </c>
      <c r="BT531" s="31" t="n">
        <f aca="false">U531</f>
        <v>0</v>
      </c>
      <c r="BU531" s="31" t="n">
        <f aca="false">V531</f>
        <v>0</v>
      </c>
      <c r="BV531" s="32" t="n">
        <f aca="false">IF(BF531=0,IF(BN531=0,0,1),(BN531-BF531)/BF531)</f>
        <v>0</v>
      </c>
      <c r="BW531" s="32" t="n">
        <f aca="false">IF(BG531=0,IF(BO531=0,0,1),(BO531-BG531)/BG531)</f>
        <v>0</v>
      </c>
      <c r="BX531" s="32" t="n">
        <f aca="false">IF(BH531=0,IF(BP531=0,0,1),(BP531-BH531)/BH531)</f>
        <v>0</v>
      </c>
      <c r="BY531" s="32" t="n">
        <f aca="false">IF(BI531=0,IF(BQ531=0,0,1),(BQ531-BI531)/BI531)</f>
        <v>0</v>
      </c>
      <c r="BZ531" s="32" t="n">
        <f aca="false">IF(BJ531=0,IF(BR531=0,0,1),(BR531-BJ531)/BJ531)</f>
        <v>0</v>
      </c>
      <c r="CA531" s="32" t="n">
        <f aca="false">IF(BK531=0,IF(BS531=0,0,1),(BS531-BK531)/BK531)</f>
        <v>0</v>
      </c>
      <c r="CB531" s="32" t="n">
        <f aca="false">IF(BL531=0,IF(BT531=0,0,1),(BT531-BL531)/BL531)</f>
        <v>0</v>
      </c>
      <c r="CC531" s="32" t="n">
        <f aca="false">IF(BM531=0,IF(BU531=0,0,1),(BU531-BM531)/BM531)</f>
        <v>0</v>
      </c>
      <c r="CD531" s="32" t="n">
        <f aca="false">MAX(MAX(BV531:CC531),-MIN(BV531:CC531))</f>
        <v>-0</v>
      </c>
      <c r="CE531" s="31" t="n">
        <f aca="false">IF(CI531="","",SUMIFS($CF$7:$CF$696,$A$7:$A$696,CI531,$B$7:$B$696,B531))</f>
        <v>85915</v>
      </c>
      <c r="CF531" s="31" t="n">
        <f aca="false">SUM(AU531:BE531)</f>
        <v>85915</v>
      </c>
      <c r="CG531" s="33" t="str">
        <f aca="false">A531&amp;"|"&amp;B531</f>
        <v>2027-01 月例|都市整備公社　市</v>
      </c>
      <c r="CH531" s="34" t="str">
        <f aca="false">IFERROR(INDEX(設定!$D$61:$D$106,MATCH(B531,設定!$B$61:$B$106,0)),"Y")</f>
        <v>Y</v>
      </c>
      <c r="CI531" s="34" t="str">
        <f aca="false">IFERROR(INDEX(設定!$D$20:$D$34,MATCH(A531,設定!$A$20:$A$34,0))&amp;"","")</f>
        <v>2026-12 月例</v>
      </c>
    </row>
    <row r="532" customFormat="false" ht="15" hidden="true" customHeight="false" outlineLevel="0" collapsed="false">
      <c r="A532" s="22" t="s">
        <v>219</v>
      </c>
      <c r="B532" s="23" t="s">
        <v>180</v>
      </c>
      <c r="C532" s="10" t="str">
        <f aca="false">IF(G532="","未受領",IF(G532="なし","報告なし",IF(AH532="○","起票済",IF(OR(AG532="○",F532="一致",F532="入金不要"),"入金確認済","受領済"))))</f>
        <v>未受領</v>
      </c>
      <c r="D532" s="10" t="str">
        <f aca="false">IF(OR(G532="",G532="なし"),"―",IF(CH532="N","対象外",IF(AND(I532="",J532="",K532=""),"標報未入力",IF(CD532&gt;=設定!$B$4,"要確認","問題なし"))))</f>
        <v>―</v>
      </c>
      <c r="E532" s="24" t="str">
        <f aca="false">IF(OR(G532="",G532="なし",CE532="",CF532=0),"―",IF(CF532=CE532,"前月同額",IF(CE532=0,"―",IF(ABS(CF532/CE532-1)&gt;=設定!$B$5,"変動大 "&amp;TEXT(CF532/CE532-1,"+0%;-0%"),"〇"))))</f>
        <v>―</v>
      </c>
      <c r="F532" s="10" t="str">
        <f aca="false">IF(OR(G532="",G532="なし"),"―",IF(CF532=0,"入金不要",IF(COUNT(Z532,AB532,AD532,AF532)=0,IF(AG532="○","手動確認","未入金"),IF(AND(N(Z532)=Y532,IF(AA532="",TRUE(),N(AB532)=AA532),IF(AC532="",TRUE(),N(AD532)=AC532),IF(AE532="",TRUE(),N(AF532)=AE532)),"一致","不一致"))))</f>
        <v>―</v>
      </c>
      <c r="G532" s="25"/>
      <c r="H532" s="26"/>
      <c r="I532" s="27"/>
      <c r="J532" s="27"/>
      <c r="K532" s="27"/>
      <c r="L532" s="27"/>
      <c r="M532" s="27"/>
      <c r="N532" s="27"/>
      <c r="O532" s="27"/>
      <c r="P532" s="27"/>
      <c r="Q532" s="27"/>
      <c r="R532" s="27"/>
      <c r="S532" s="27"/>
      <c r="T532" s="27"/>
      <c r="U532" s="27"/>
      <c r="V532" s="27"/>
      <c r="W532" s="10" t="str">
        <f aca="false">IFERROR(INDEX(設定!$E$61:$E$106,MATCH(B532,設定!$B$61:$B$106,0)),"合算")</f>
        <v>合算</v>
      </c>
      <c r="X532" s="28"/>
      <c r="Y532" s="29" t="str">
        <f aca="false">IF(OR(G532="",G532="なし"),"",IF(W532="合算",CF532,IF(W532="掛金・負担金別",(AU532+AV532+AZ532+BB532+BD532),SUM(AU532:AY532))))</f>
        <v/>
      </c>
      <c r="Z532" s="27"/>
      <c r="AA532" s="29" t="str">
        <f aca="false">IF(OR(G532="",G532="なし"),"",IF(W532="掛金・負担金別",(AW532+AX532+AY532+BA532+BC532+BE532),IF(W532="経理区分別",AZ532+BA532,"")))</f>
        <v/>
      </c>
      <c r="AB532" s="27"/>
      <c r="AC532" s="29" t="str">
        <f aca="false">IF(OR(G532="",G532="なし"),"",IF(W532="経理区分別",BB532+BC532,""))</f>
        <v/>
      </c>
      <c r="AD532" s="27"/>
      <c r="AE532" s="29" t="str">
        <f aca="false">IF(OR(G532="",G532="なし"),"",IF(W532="経理区分別",BD532+BE532,""))</f>
        <v/>
      </c>
      <c r="AF532" s="27"/>
      <c r="AG532" s="26"/>
      <c r="AH532" s="26"/>
      <c r="AI532" s="30"/>
      <c r="AJ532" s="31"/>
      <c r="AK532" s="31"/>
      <c r="AL532" s="31" t="n">
        <v>124440</v>
      </c>
      <c r="AM532" s="31" t="n">
        <v>10200</v>
      </c>
      <c r="AN532" s="31" t="n">
        <v>127</v>
      </c>
      <c r="AO532" s="31"/>
      <c r="AP532" s="31" t="n">
        <v>74949</v>
      </c>
      <c r="AQ532" s="31"/>
      <c r="AR532" s="31" t="n">
        <v>7031</v>
      </c>
      <c r="AS532" s="31"/>
      <c r="AT532" s="31" t="n">
        <v>1</v>
      </c>
      <c r="AU532" s="31" t="n">
        <f aca="false">IF($G532="",AJ532,L532)</f>
        <v>0</v>
      </c>
      <c r="AV532" s="31" t="n">
        <f aca="false">IF($G532="",AK532,M532)</f>
        <v>0</v>
      </c>
      <c r="AW532" s="31" t="n">
        <f aca="false">IF($G532="",AL532,N532)</f>
        <v>124440</v>
      </c>
      <c r="AX532" s="31" t="n">
        <f aca="false">IF($G532="",AM532,O532)</f>
        <v>10200</v>
      </c>
      <c r="AY532" s="31" t="n">
        <f aca="false">IF($G532="",AN532,P532)</f>
        <v>127</v>
      </c>
      <c r="AZ532" s="31" t="n">
        <f aca="false">IF($G532="",AO532,Q532)</f>
        <v>0</v>
      </c>
      <c r="BA532" s="31" t="n">
        <f aca="false">IF($G532="",AP532,R532)</f>
        <v>74949</v>
      </c>
      <c r="BB532" s="31" t="n">
        <f aca="false">IF($G532="",AQ532,S532)</f>
        <v>0</v>
      </c>
      <c r="BC532" s="31" t="n">
        <f aca="false">IF($G532="",AR532,T532)</f>
        <v>7031</v>
      </c>
      <c r="BD532" s="31" t="n">
        <f aca="false">IF($G532="",AS532,U532)</f>
        <v>0</v>
      </c>
      <c r="BE532" s="31" t="n">
        <f aca="false">IF($G532="",AT532,V532)</f>
        <v>1</v>
      </c>
      <c r="BF532" s="31" t="n">
        <f aca="false">ROUNDDOWN(I532*設定!$B$10/1000,0)+ROUNDDOWN(I532*設定!$B$11/1000,0)</f>
        <v>0</v>
      </c>
      <c r="BG532" s="31" t="n">
        <f aca="false">ROUNDDOWN(I532*設定!$C$10/1000,0)+ROUNDDOWN(I532*設定!$C$11/1000,0)+ROUNDDOWN(I532*設定!$C$12/1000,0)</f>
        <v>0</v>
      </c>
      <c r="BH532" s="31" t="n">
        <f aca="false">ROUNDDOWN(J532*設定!$B$13/1000,0)</f>
        <v>0</v>
      </c>
      <c r="BI532" s="31" t="n">
        <f aca="false">ROUNDDOWN(J532*設定!$C$13/1000,0)</f>
        <v>0</v>
      </c>
      <c r="BJ532" s="31" t="n">
        <f aca="false">ROUNDDOWN(K532*設定!$B$14/1000,0)</f>
        <v>0</v>
      </c>
      <c r="BK532" s="31" t="n">
        <f aca="false">ROUNDDOWN(K532*設定!$C$14/1000,0)</f>
        <v>0</v>
      </c>
      <c r="BL532" s="31" t="n">
        <f aca="false">ROUNDDOWN(J532*設定!$B$15/1000,0)</f>
        <v>0</v>
      </c>
      <c r="BM532" s="31" t="n">
        <f aca="false">ROUNDDOWN(J532*設定!$C$15/1000,0)</f>
        <v>0</v>
      </c>
      <c r="BN532" s="31" t="n">
        <f aca="false">L532+M532</f>
        <v>0</v>
      </c>
      <c r="BO532" s="31" t="n">
        <f aca="false">N532+O532+P532</f>
        <v>0</v>
      </c>
      <c r="BP532" s="31" t="n">
        <f aca="false">Q532</f>
        <v>0</v>
      </c>
      <c r="BQ532" s="31" t="n">
        <f aca="false">R532</f>
        <v>0</v>
      </c>
      <c r="BR532" s="31" t="n">
        <f aca="false">S532</f>
        <v>0</v>
      </c>
      <c r="BS532" s="31" t="n">
        <f aca="false">T532</f>
        <v>0</v>
      </c>
      <c r="BT532" s="31" t="n">
        <f aca="false">U532</f>
        <v>0</v>
      </c>
      <c r="BU532" s="31" t="n">
        <f aca="false">V532</f>
        <v>0</v>
      </c>
      <c r="BV532" s="32" t="n">
        <f aca="false">IF(BF532=0,IF(BN532=0,0,1),(BN532-BF532)/BF532)</f>
        <v>0</v>
      </c>
      <c r="BW532" s="32" t="n">
        <f aca="false">IF(BG532=0,IF(BO532=0,0,1),(BO532-BG532)/BG532)</f>
        <v>0</v>
      </c>
      <c r="BX532" s="32" t="n">
        <f aca="false">IF(BH532=0,IF(BP532=0,0,1),(BP532-BH532)/BH532)</f>
        <v>0</v>
      </c>
      <c r="BY532" s="32" t="n">
        <f aca="false">IF(BI532=0,IF(BQ532=0,0,1),(BQ532-BI532)/BI532)</f>
        <v>0</v>
      </c>
      <c r="BZ532" s="32" t="n">
        <f aca="false">IF(BJ532=0,IF(BR532=0,0,1),(BR532-BJ532)/BJ532)</f>
        <v>0</v>
      </c>
      <c r="CA532" s="32" t="n">
        <f aca="false">IF(BK532=0,IF(BS532=0,0,1),(BS532-BK532)/BK532)</f>
        <v>0</v>
      </c>
      <c r="CB532" s="32" t="n">
        <f aca="false">IF(BL532=0,IF(BT532=0,0,1),(BT532-BL532)/BL532)</f>
        <v>0</v>
      </c>
      <c r="CC532" s="32" t="n">
        <f aca="false">IF(BM532=0,IF(BU532=0,0,1),(BU532-BM532)/BM532)</f>
        <v>0</v>
      </c>
      <c r="CD532" s="32" t="n">
        <f aca="false">MAX(MAX(BV532:CC532),-MIN(BV532:CC532))</f>
        <v>-0</v>
      </c>
      <c r="CE532" s="31" t="n">
        <f aca="false">IF(CI532="","",SUMIFS($CF$7:$CF$696,$A$7:$A$696,CI532,$B$7:$B$696,B532))</f>
        <v>216748</v>
      </c>
      <c r="CF532" s="31" t="n">
        <f aca="false">SUM(AU532:BE532)</f>
        <v>216748</v>
      </c>
      <c r="CG532" s="33" t="str">
        <f aca="false">A532&amp;"|"&amp;B532</f>
        <v>2027-01 月例|都市整備公社　消防</v>
      </c>
      <c r="CH532" s="34" t="str">
        <f aca="false">IFERROR(INDEX(設定!$D$61:$D$106,MATCH(B532,設定!$B$61:$B$106,0)),"Y")</f>
        <v>Y</v>
      </c>
      <c r="CI532" s="34" t="str">
        <f aca="false">IFERROR(INDEX(設定!$D$20:$D$34,MATCH(A532,設定!$A$20:$A$34,0))&amp;"","")</f>
        <v>2026-12 月例</v>
      </c>
    </row>
    <row r="533" customFormat="false" ht="15" hidden="true" customHeight="false" outlineLevel="0" collapsed="false">
      <c r="A533" s="22" t="s">
        <v>219</v>
      </c>
      <c r="B533" s="23" t="s">
        <v>181</v>
      </c>
      <c r="C533" s="10" t="str">
        <f aca="false">IF(G533="","未受領",IF(G533="なし","報告なし",IF(AH533="○","起票済",IF(OR(AG533="○",F533="一致",F533="入金不要"),"入金確認済","受領済"))))</f>
        <v>未受領</v>
      </c>
      <c r="D533" s="10" t="str">
        <f aca="false">IF(OR(G533="",G533="なし"),"―",IF(CH533="N","対象外",IF(AND(I533="",J533="",K533=""),"標報未入力",IF(CD533&gt;=設定!$B$4,"要確認","問題なし"))))</f>
        <v>―</v>
      </c>
      <c r="E533" s="24" t="str">
        <f aca="false">IF(OR(G533="",G533="なし",CE533="",CF533=0),"―",IF(CF533=CE533,"前月同額",IF(CE533=0,"―",IF(ABS(CF533/CE533-1)&gt;=設定!$B$5,"変動大 "&amp;TEXT(CF533/CE533-1,"+0%;-0%"),"〇"))))</f>
        <v>―</v>
      </c>
      <c r="F533" s="10" t="str">
        <f aca="false">IF(OR(G533="",G533="なし"),"―",IF(CF533=0,"入金不要",IF(COUNT(Z533,AB533,AD533,AF533)=0,IF(AG533="○","手動確認","未入金"),IF(AND(N(Z533)=Y533,IF(AA533="",TRUE(),N(AB533)=AA533),IF(AC533="",TRUE(),N(AD533)=AC533),IF(AE533="",TRUE(),N(AF533)=AE533)),"一致","不一致"))))</f>
        <v>―</v>
      </c>
      <c r="G533" s="25"/>
      <c r="H533" s="26"/>
      <c r="I533" s="27"/>
      <c r="J533" s="27"/>
      <c r="K533" s="27"/>
      <c r="L533" s="27"/>
      <c r="M533" s="27"/>
      <c r="N533" s="27"/>
      <c r="O533" s="27"/>
      <c r="P533" s="27"/>
      <c r="Q533" s="27"/>
      <c r="R533" s="27"/>
      <c r="S533" s="27"/>
      <c r="T533" s="27"/>
      <c r="U533" s="27"/>
      <c r="V533" s="27"/>
      <c r="W533" s="10" t="str">
        <f aca="false">IFERROR(INDEX(設定!$E$61:$E$106,MATCH(B533,設定!$B$61:$B$106,0)),"合算")</f>
        <v>合算</v>
      </c>
      <c r="X533" s="28"/>
      <c r="Y533" s="29" t="str">
        <f aca="false">IF(OR(G533="",G533="なし"),"",IF(W533="合算",CF533,IF(W533="掛金・負担金別",(AU533+AV533+AZ533+BB533+BD533),SUM(AU533:AY533))))</f>
        <v/>
      </c>
      <c r="Z533" s="27"/>
      <c r="AA533" s="29" t="str">
        <f aca="false">IF(OR(G533="",G533="なし"),"",IF(W533="掛金・負担金別",(AW533+AX533+AY533+BA533+BC533+BE533),IF(W533="経理区分別",AZ533+BA533,"")))</f>
        <v/>
      </c>
      <c r="AB533" s="27"/>
      <c r="AC533" s="29" t="str">
        <f aca="false">IF(OR(G533="",G533="なし"),"",IF(W533="経理区分別",BB533+BC533,""))</f>
        <v/>
      </c>
      <c r="AD533" s="27"/>
      <c r="AE533" s="29" t="str">
        <f aca="false">IF(OR(G533="",G533="なし"),"",IF(W533="経理区分別",BD533+BE533,""))</f>
        <v/>
      </c>
      <c r="AF533" s="27"/>
      <c r="AG533" s="26"/>
      <c r="AH533" s="26"/>
      <c r="AI533" s="30"/>
      <c r="AJ533" s="31" t="n">
        <v>245220</v>
      </c>
      <c r="AK533" s="31" t="n">
        <v>20100</v>
      </c>
      <c r="AL533" s="31" t="n">
        <v>245220</v>
      </c>
      <c r="AM533" s="31" t="n">
        <v>20100</v>
      </c>
      <c r="AN533" s="31" t="n">
        <v>251</v>
      </c>
      <c r="AO533" s="31" t="n">
        <v>147425</v>
      </c>
      <c r="AP533" s="31" t="n">
        <v>147694</v>
      </c>
      <c r="AQ533" s="31" t="n">
        <v>9559</v>
      </c>
      <c r="AR533" s="31" t="n">
        <v>9559</v>
      </c>
      <c r="AS533" s="31" t="n">
        <v>1</v>
      </c>
      <c r="AT533" s="31" t="n">
        <v>1</v>
      </c>
      <c r="AU533" s="31" t="n">
        <f aca="false">IF($G533="",AJ533,L533)</f>
        <v>245220</v>
      </c>
      <c r="AV533" s="31" t="n">
        <f aca="false">IF($G533="",AK533,M533)</f>
        <v>20100</v>
      </c>
      <c r="AW533" s="31" t="n">
        <f aca="false">IF($G533="",AL533,N533)</f>
        <v>245220</v>
      </c>
      <c r="AX533" s="31" t="n">
        <f aca="false">IF($G533="",AM533,O533)</f>
        <v>20100</v>
      </c>
      <c r="AY533" s="31" t="n">
        <f aca="false">IF($G533="",AN533,P533)</f>
        <v>251</v>
      </c>
      <c r="AZ533" s="31" t="n">
        <f aca="false">IF($G533="",AO533,Q533)</f>
        <v>147425</v>
      </c>
      <c r="BA533" s="31" t="n">
        <f aca="false">IF($G533="",AP533,R533)</f>
        <v>147694</v>
      </c>
      <c r="BB533" s="31" t="n">
        <f aca="false">IF($G533="",AQ533,S533)</f>
        <v>9559</v>
      </c>
      <c r="BC533" s="31" t="n">
        <f aca="false">IF($G533="",AR533,T533)</f>
        <v>9559</v>
      </c>
      <c r="BD533" s="31" t="n">
        <f aca="false">IF($G533="",AS533,U533)</f>
        <v>1</v>
      </c>
      <c r="BE533" s="31" t="n">
        <f aca="false">IF($G533="",AT533,V533)</f>
        <v>1</v>
      </c>
      <c r="BF533" s="31" t="n">
        <f aca="false">ROUNDDOWN(I533*設定!$B$10/1000,0)+ROUNDDOWN(I533*設定!$B$11/1000,0)</f>
        <v>0</v>
      </c>
      <c r="BG533" s="31" t="n">
        <f aca="false">ROUNDDOWN(I533*設定!$C$10/1000,0)+ROUNDDOWN(I533*設定!$C$11/1000,0)+ROUNDDOWN(I533*設定!$C$12/1000,0)</f>
        <v>0</v>
      </c>
      <c r="BH533" s="31" t="n">
        <f aca="false">ROUNDDOWN(J533*設定!$B$13/1000,0)</f>
        <v>0</v>
      </c>
      <c r="BI533" s="31" t="n">
        <f aca="false">ROUNDDOWN(J533*設定!$C$13/1000,0)</f>
        <v>0</v>
      </c>
      <c r="BJ533" s="31" t="n">
        <f aca="false">ROUNDDOWN(K533*設定!$B$14/1000,0)</f>
        <v>0</v>
      </c>
      <c r="BK533" s="31" t="n">
        <f aca="false">ROUNDDOWN(K533*設定!$C$14/1000,0)</f>
        <v>0</v>
      </c>
      <c r="BL533" s="31" t="n">
        <f aca="false">ROUNDDOWN(J533*設定!$B$15/1000,0)</f>
        <v>0</v>
      </c>
      <c r="BM533" s="31" t="n">
        <f aca="false">ROUNDDOWN(J533*設定!$C$15/1000,0)</f>
        <v>0</v>
      </c>
      <c r="BN533" s="31" t="n">
        <f aca="false">L533+M533</f>
        <v>0</v>
      </c>
      <c r="BO533" s="31" t="n">
        <f aca="false">N533+O533+P533</f>
        <v>0</v>
      </c>
      <c r="BP533" s="31" t="n">
        <f aca="false">Q533</f>
        <v>0</v>
      </c>
      <c r="BQ533" s="31" t="n">
        <f aca="false">R533</f>
        <v>0</v>
      </c>
      <c r="BR533" s="31" t="n">
        <f aca="false">S533</f>
        <v>0</v>
      </c>
      <c r="BS533" s="31" t="n">
        <f aca="false">T533</f>
        <v>0</v>
      </c>
      <c r="BT533" s="31" t="n">
        <f aca="false">U533</f>
        <v>0</v>
      </c>
      <c r="BU533" s="31" t="n">
        <f aca="false">V533</f>
        <v>0</v>
      </c>
      <c r="BV533" s="32" t="n">
        <f aca="false">IF(BF533=0,IF(BN533=0,0,1),(BN533-BF533)/BF533)</f>
        <v>0</v>
      </c>
      <c r="BW533" s="32" t="n">
        <f aca="false">IF(BG533=0,IF(BO533=0,0,1),(BO533-BG533)/BG533)</f>
        <v>0</v>
      </c>
      <c r="BX533" s="32" t="n">
        <f aca="false">IF(BH533=0,IF(BP533=0,0,1),(BP533-BH533)/BH533)</f>
        <v>0</v>
      </c>
      <c r="BY533" s="32" t="n">
        <f aca="false">IF(BI533=0,IF(BQ533=0,0,1),(BQ533-BI533)/BI533)</f>
        <v>0</v>
      </c>
      <c r="BZ533" s="32" t="n">
        <f aca="false">IF(BJ533=0,IF(BR533=0,0,1),(BR533-BJ533)/BJ533)</f>
        <v>0</v>
      </c>
      <c r="CA533" s="32" t="n">
        <f aca="false">IF(BK533=0,IF(BS533=0,0,1),(BS533-BK533)/BK533)</f>
        <v>0</v>
      </c>
      <c r="CB533" s="32" t="n">
        <f aca="false">IF(BL533=0,IF(BT533=0,0,1),(BT533-BL533)/BL533)</f>
        <v>0</v>
      </c>
      <c r="CC533" s="32" t="n">
        <f aca="false">IF(BM533=0,IF(BU533=0,0,1),(BU533-BM533)/BM533)</f>
        <v>0</v>
      </c>
      <c r="CD533" s="32" t="n">
        <f aca="false">MAX(MAX(BV533:CC533),-MIN(BV533:CC533))</f>
        <v>-0</v>
      </c>
      <c r="CE533" s="31" t="n">
        <f aca="false">IF(CI533="","",SUMIFS($CF$7:$CF$696,$A$7:$A$696,CI533,$B$7:$B$696,B533))</f>
        <v>845130</v>
      </c>
      <c r="CF533" s="31" t="n">
        <f aca="false">SUM(AU533:BE533)</f>
        <v>845130</v>
      </c>
      <c r="CG533" s="33" t="str">
        <f aca="false">A533&amp;"|"&amp;B533</f>
        <v>2027-01 月例|日本下水道事業団</v>
      </c>
      <c r="CH533" s="34" t="str">
        <f aca="false">IFERROR(INDEX(設定!$D$61:$D$106,MATCH(B533,設定!$B$61:$B$106,0)),"Y")</f>
        <v>Y</v>
      </c>
      <c r="CI533" s="34" t="str">
        <f aca="false">IFERROR(INDEX(設定!$D$20:$D$34,MATCH(A533,設定!$A$20:$A$34,0))&amp;"","")</f>
        <v>2026-12 月例</v>
      </c>
    </row>
    <row r="534" customFormat="false" ht="15" hidden="true" customHeight="false" outlineLevel="0" collapsed="false">
      <c r="A534" s="22" t="s">
        <v>219</v>
      </c>
      <c r="B534" s="23" t="s">
        <v>182</v>
      </c>
      <c r="C534" s="10" t="str">
        <f aca="false">IF(G534="","未受領",IF(G534="なし","報告なし",IF(AH534="○","起票済",IF(OR(AG534="○",F534="一致",F534="入金不要"),"入金確認済","受領済"))))</f>
        <v>未受領</v>
      </c>
      <c r="D534" s="10" t="str">
        <f aca="false">IF(OR(G534="",G534="なし"),"―",IF(CH534="N","対象外",IF(AND(I534="",J534="",K534=""),"標報未入力",IF(CD534&gt;=設定!$B$4,"要確認","問題なし"))))</f>
        <v>―</v>
      </c>
      <c r="E534" s="24" t="str">
        <f aca="false">IF(OR(G534="",G534="なし",CE534="",CF534=0),"―",IF(CF534=CE534,"前月同額",IF(CE534=0,"―",IF(ABS(CF534/CE534-1)&gt;=設定!$B$5,"変動大 "&amp;TEXT(CF534/CE534-1,"+0%;-0%"),"〇"))))</f>
        <v>―</v>
      </c>
      <c r="F534" s="10" t="str">
        <f aca="false">IF(OR(G534="",G534="なし"),"―",IF(CF534=0,"入金不要",IF(COUNT(Z534,AB534,AD534,AF534)=0,IF(AG534="○","手動確認","未入金"),IF(AND(N(Z534)=Y534,IF(AA534="",TRUE(),N(AB534)=AA534),IF(AC534="",TRUE(),N(AD534)=AC534),IF(AE534="",TRUE(),N(AF534)=AE534)),"一致","不一致"))))</f>
        <v>―</v>
      </c>
      <c r="G534" s="25"/>
      <c r="H534" s="26"/>
      <c r="I534" s="27"/>
      <c r="J534" s="27"/>
      <c r="K534" s="27"/>
      <c r="L534" s="27"/>
      <c r="M534" s="27"/>
      <c r="N534" s="27"/>
      <c r="O534" s="27"/>
      <c r="P534" s="27"/>
      <c r="Q534" s="27"/>
      <c r="R534" s="27"/>
      <c r="S534" s="27"/>
      <c r="T534" s="27"/>
      <c r="U534" s="27"/>
      <c r="V534" s="27"/>
      <c r="W534" s="10" t="str">
        <f aca="false">IFERROR(INDEX(設定!$E$61:$E$106,MATCH(B534,設定!$B$61:$B$106,0)),"合算")</f>
        <v>合算</v>
      </c>
      <c r="X534" s="28"/>
      <c r="Y534" s="29" t="str">
        <f aca="false">IF(OR(G534="",G534="なし"),"",IF(W534="合算",CF534,IF(W534="掛金・負担金別",(AU534+AV534+AZ534+BB534+BD534),SUM(AU534:AY534))))</f>
        <v/>
      </c>
      <c r="Z534" s="27"/>
      <c r="AA534" s="29" t="str">
        <f aca="false">IF(OR(G534="",G534="なし"),"",IF(W534="掛金・負担金別",(AW534+AX534+AY534+BA534+BC534+BE534),IF(W534="経理区分別",AZ534+BA534,"")))</f>
        <v/>
      </c>
      <c r="AB534" s="27"/>
      <c r="AC534" s="29" t="str">
        <f aca="false">IF(OR(G534="",G534="なし"),"",IF(W534="経理区分別",BB534+BC534,""))</f>
        <v/>
      </c>
      <c r="AD534" s="27"/>
      <c r="AE534" s="29" t="str">
        <f aca="false">IF(OR(G534="",G534="なし"),"",IF(W534="経理区分別",BD534+BE534,""))</f>
        <v/>
      </c>
      <c r="AF534" s="27"/>
      <c r="AG534" s="26"/>
      <c r="AH534" s="26"/>
      <c r="AI534" s="30"/>
      <c r="AJ534" s="31" t="n">
        <v>40260</v>
      </c>
      <c r="AK534" s="31" t="n">
        <v>3300</v>
      </c>
      <c r="AL534" s="31" t="n">
        <v>40260</v>
      </c>
      <c r="AM534" s="31" t="n">
        <v>3300</v>
      </c>
      <c r="AN534" s="31" t="n">
        <v>41</v>
      </c>
      <c r="AO534" s="31" t="n">
        <v>24204</v>
      </c>
      <c r="AP534" s="31" t="n">
        <v>24248</v>
      </c>
      <c r="AQ534" s="31" t="n">
        <v>0</v>
      </c>
      <c r="AR534" s="31" t="n">
        <v>0</v>
      </c>
      <c r="AS534" s="31" t="n">
        <v>1</v>
      </c>
      <c r="AT534" s="31" t="n">
        <v>1</v>
      </c>
      <c r="AU534" s="31" t="n">
        <f aca="false">IF($G534="",AJ534,L534)</f>
        <v>40260</v>
      </c>
      <c r="AV534" s="31" t="n">
        <f aca="false">IF($G534="",AK534,M534)</f>
        <v>3300</v>
      </c>
      <c r="AW534" s="31" t="n">
        <f aca="false">IF($G534="",AL534,N534)</f>
        <v>40260</v>
      </c>
      <c r="AX534" s="31" t="n">
        <f aca="false">IF($G534="",AM534,O534)</f>
        <v>3300</v>
      </c>
      <c r="AY534" s="31" t="n">
        <f aca="false">IF($G534="",AN534,P534)</f>
        <v>41</v>
      </c>
      <c r="AZ534" s="31" t="n">
        <f aca="false">IF($G534="",AO534,Q534)</f>
        <v>24204</v>
      </c>
      <c r="BA534" s="31" t="n">
        <f aca="false">IF($G534="",AP534,R534)</f>
        <v>24248</v>
      </c>
      <c r="BB534" s="31" t="n">
        <f aca="false">IF($G534="",AQ534,S534)</f>
        <v>0</v>
      </c>
      <c r="BC534" s="31" t="n">
        <f aca="false">IF($G534="",AR534,T534)</f>
        <v>0</v>
      </c>
      <c r="BD534" s="31" t="n">
        <f aca="false">IF($G534="",AS534,U534)</f>
        <v>1</v>
      </c>
      <c r="BE534" s="31" t="n">
        <f aca="false">IF($G534="",AT534,V534)</f>
        <v>1</v>
      </c>
      <c r="BF534" s="31" t="n">
        <f aca="false">ROUNDDOWN(I534*設定!$B$10/1000,0)+ROUNDDOWN(I534*設定!$B$11/1000,0)</f>
        <v>0</v>
      </c>
      <c r="BG534" s="31" t="n">
        <f aca="false">ROUNDDOWN(I534*設定!$C$10/1000,0)+ROUNDDOWN(I534*設定!$C$11/1000,0)+ROUNDDOWN(I534*設定!$C$12/1000,0)</f>
        <v>0</v>
      </c>
      <c r="BH534" s="31" t="n">
        <f aca="false">ROUNDDOWN(J534*設定!$B$13/1000,0)</f>
        <v>0</v>
      </c>
      <c r="BI534" s="31" t="n">
        <f aca="false">ROUNDDOWN(J534*設定!$C$13/1000,0)</f>
        <v>0</v>
      </c>
      <c r="BJ534" s="31" t="n">
        <f aca="false">ROUNDDOWN(K534*設定!$B$14/1000,0)</f>
        <v>0</v>
      </c>
      <c r="BK534" s="31" t="n">
        <f aca="false">ROUNDDOWN(K534*設定!$C$14/1000,0)</f>
        <v>0</v>
      </c>
      <c r="BL534" s="31" t="n">
        <f aca="false">ROUNDDOWN(J534*設定!$B$15/1000,0)</f>
        <v>0</v>
      </c>
      <c r="BM534" s="31" t="n">
        <f aca="false">ROUNDDOWN(J534*設定!$C$15/1000,0)</f>
        <v>0</v>
      </c>
      <c r="BN534" s="31" t="n">
        <f aca="false">L534+M534</f>
        <v>0</v>
      </c>
      <c r="BO534" s="31" t="n">
        <f aca="false">N534+O534+P534</f>
        <v>0</v>
      </c>
      <c r="BP534" s="31" t="n">
        <f aca="false">Q534</f>
        <v>0</v>
      </c>
      <c r="BQ534" s="31" t="n">
        <f aca="false">R534</f>
        <v>0</v>
      </c>
      <c r="BR534" s="31" t="n">
        <f aca="false">S534</f>
        <v>0</v>
      </c>
      <c r="BS534" s="31" t="n">
        <f aca="false">T534</f>
        <v>0</v>
      </c>
      <c r="BT534" s="31" t="n">
        <f aca="false">U534</f>
        <v>0</v>
      </c>
      <c r="BU534" s="31" t="n">
        <f aca="false">V534</f>
        <v>0</v>
      </c>
      <c r="BV534" s="32" t="n">
        <f aca="false">IF(BF534=0,IF(BN534=0,0,1),(BN534-BF534)/BF534)</f>
        <v>0</v>
      </c>
      <c r="BW534" s="32" t="n">
        <f aca="false">IF(BG534=0,IF(BO534=0,0,1),(BO534-BG534)/BG534)</f>
        <v>0</v>
      </c>
      <c r="BX534" s="32" t="n">
        <f aca="false">IF(BH534=0,IF(BP534=0,0,1),(BP534-BH534)/BH534)</f>
        <v>0</v>
      </c>
      <c r="BY534" s="32" t="n">
        <f aca="false">IF(BI534=0,IF(BQ534=0,0,1),(BQ534-BI534)/BI534)</f>
        <v>0</v>
      </c>
      <c r="BZ534" s="32" t="n">
        <f aca="false">IF(BJ534=0,IF(BR534=0,0,1),(BR534-BJ534)/BJ534)</f>
        <v>0</v>
      </c>
      <c r="CA534" s="32" t="n">
        <f aca="false">IF(BK534=0,IF(BS534=0,0,1),(BS534-BK534)/BK534)</f>
        <v>0</v>
      </c>
      <c r="CB534" s="32" t="n">
        <f aca="false">IF(BL534=0,IF(BT534=0,0,1),(BT534-BL534)/BL534)</f>
        <v>0</v>
      </c>
      <c r="CC534" s="32" t="n">
        <f aca="false">IF(BM534=0,IF(BU534=0,0,1),(BU534-BM534)/BM534)</f>
        <v>0</v>
      </c>
      <c r="CD534" s="32" t="n">
        <f aca="false">MAX(MAX(BV534:CC534),-MIN(BV534:CC534))</f>
        <v>-0</v>
      </c>
      <c r="CE534" s="31" t="n">
        <f aca="false">IF(CI534="","",SUMIFS($CF$7:$CF$696,$A$7:$A$696,CI534,$B$7:$B$696,B534))</f>
        <v>135615</v>
      </c>
      <c r="CF534" s="31" t="n">
        <f aca="false">SUM(AU534:BE534)</f>
        <v>135615</v>
      </c>
      <c r="CG534" s="33" t="str">
        <f aca="false">A534&amp;"|"&amp;B534</f>
        <v>2027-01 月例|地方公務員災害補償基金本部</v>
      </c>
      <c r="CH534" s="34" t="str">
        <f aca="false">IFERROR(INDEX(設定!$D$61:$D$106,MATCH(B534,設定!$B$61:$B$106,0)),"Y")</f>
        <v>Y</v>
      </c>
      <c r="CI534" s="34" t="str">
        <f aca="false">IFERROR(INDEX(設定!$D$20:$D$34,MATCH(A534,設定!$A$20:$A$34,0))&amp;"","")</f>
        <v>2026-12 月例</v>
      </c>
    </row>
    <row r="535" customFormat="false" ht="15" hidden="true" customHeight="false" outlineLevel="0" collapsed="false">
      <c r="A535" s="22" t="s">
        <v>219</v>
      </c>
      <c r="B535" s="23" t="s">
        <v>183</v>
      </c>
      <c r="C535" s="10" t="str">
        <f aca="false">IF(G535="","未受領",IF(G535="なし","報告なし",IF(AH535="○","起票済",IF(OR(AG535="○",F535="一致",F535="入金不要"),"入金確認済","受領済"))))</f>
        <v>未受領</v>
      </c>
      <c r="D535" s="10" t="str">
        <f aca="false">IF(OR(G535="",G535="なし"),"―",IF(CH535="N","対象外",IF(AND(I535="",J535="",K535=""),"標報未入力",IF(CD535&gt;=設定!$B$4,"要確認","問題なし"))))</f>
        <v>―</v>
      </c>
      <c r="E535" s="24" t="str">
        <f aca="false">IF(OR(G535="",G535="なし",CE535="",CF535=0),"―",IF(CF535=CE535,"前月同額",IF(CE535=0,"―",IF(ABS(CF535/CE535-1)&gt;=設定!$B$5,"変動大 "&amp;TEXT(CF535/CE535-1,"+0%;-0%"),"〇"))))</f>
        <v>―</v>
      </c>
      <c r="F535" s="10" t="str">
        <f aca="false">IF(OR(G535="",G535="なし"),"―",IF(CF535=0,"入金不要",IF(COUNT(Z535,AB535,AD535,AF535)=0,IF(AG535="○","手動確認","未入金"),IF(AND(N(Z535)=Y535,IF(AA535="",TRUE(),N(AB535)=AA535),IF(AC535="",TRUE(),N(AD535)=AC535),IF(AE535="",TRUE(),N(AF535)=AE535)),"一致","不一致"))))</f>
        <v>―</v>
      </c>
      <c r="G535" s="25"/>
      <c r="H535" s="26"/>
      <c r="I535" s="27"/>
      <c r="J535" s="27"/>
      <c r="K535" s="27"/>
      <c r="L535" s="27"/>
      <c r="M535" s="27"/>
      <c r="N535" s="27"/>
      <c r="O535" s="27"/>
      <c r="P535" s="27"/>
      <c r="Q535" s="27"/>
      <c r="R535" s="27"/>
      <c r="S535" s="27"/>
      <c r="T535" s="27"/>
      <c r="U535" s="27"/>
      <c r="V535" s="27"/>
      <c r="W535" s="10" t="str">
        <f aca="false">IFERROR(INDEX(設定!$E$61:$E$106,MATCH(B535,設定!$B$61:$B$106,0)),"合算")</f>
        <v>合算</v>
      </c>
      <c r="X535" s="28"/>
      <c r="Y535" s="29" t="str">
        <f aca="false">IF(OR(G535="",G535="なし"),"",IF(W535="合算",CF535,IF(W535="掛金・負担金別",(AU535+AV535+AZ535+BB535+BD535),SUM(AU535:AY535))))</f>
        <v/>
      </c>
      <c r="Z535" s="27"/>
      <c r="AA535" s="29" t="str">
        <f aca="false">IF(OR(G535="",G535="なし"),"",IF(W535="掛金・負担金別",(AW535+AX535+AY535+BA535+BC535+BE535),IF(W535="経理区分別",AZ535+BA535,"")))</f>
        <v/>
      </c>
      <c r="AB535" s="27"/>
      <c r="AC535" s="29" t="str">
        <f aca="false">IF(OR(G535="",G535="なし"),"",IF(W535="経理区分別",BB535+BC535,""))</f>
        <v/>
      </c>
      <c r="AD535" s="27"/>
      <c r="AE535" s="29" t="str">
        <f aca="false">IF(OR(G535="",G535="なし"),"",IF(W535="経理区分別",BD535+BE535,""))</f>
        <v/>
      </c>
      <c r="AF535" s="27"/>
      <c r="AG535" s="26"/>
      <c r="AH535" s="26"/>
      <c r="AI535" s="30"/>
      <c r="AJ535" s="31" t="n">
        <v>102480</v>
      </c>
      <c r="AK535" s="31" t="n">
        <v>8400</v>
      </c>
      <c r="AL535" s="31" t="n">
        <v>102480</v>
      </c>
      <c r="AM535" s="31" t="n">
        <v>8400</v>
      </c>
      <c r="AN535" s="31" t="n">
        <v>105</v>
      </c>
      <c r="AO535" s="31" t="n">
        <v>61610</v>
      </c>
      <c r="AP535" s="31" t="n">
        <v>61723</v>
      </c>
      <c r="AQ535" s="31" t="n">
        <v>4661</v>
      </c>
      <c r="AR535" s="31" t="n">
        <v>4661</v>
      </c>
      <c r="AS535" s="31" t="n">
        <v>1</v>
      </c>
      <c r="AT535" s="31" t="n">
        <v>1</v>
      </c>
      <c r="AU535" s="31" t="n">
        <f aca="false">IF($G535="",AJ535,L535)</f>
        <v>102480</v>
      </c>
      <c r="AV535" s="31" t="n">
        <f aca="false">IF($G535="",AK535,M535)</f>
        <v>8400</v>
      </c>
      <c r="AW535" s="31" t="n">
        <f aca="false">IF($G535="",AL535,N535)</f>
        <v>102480</v>
      </c>
      <c r="AX535" s="31" t="n">
        <f aca="false">IF($G535="",AM535,O535)</f>
        <v>8400</v>
      </c>
      <c r="AY535" s="31" t="n">
        <f aca="false">IF($G535="",AN535,P535)</f>
        <v>105</v>
      </c>
      <c r="AZ535" s="31" t="n">
        <f aca="false">IF($G535="",AO535,Q535)</f>
        <v>61610</v>
      </c>
      <c r="BA535" s="31" t="n">
        <f aca="false">IF($G535="",AP535,R535)</f>
        <v>61723</v>
      </c>
      <c r="BB535" s="31" t="n">
        <f aca="false">IF($G535="",AQ535,S535)</f>
        <v>4661</v>
      </c>
      <c r="BC535" s="31" t="n">
        <f aca="false">IF($G535="",AR535,T535)</f>
        <v>4661</v>
      </c>
      <c r="BD535" s="31" t="n">
        <f aca="false">IF($G535="",AS535,U535)</f>
        <v>1</v>
      </c>
      <c r="BE535" s="31" t="n">
        <f aca="false">IF($G535="",AT535,V535)</f>
        <v>1</v>
      </c>
      <c r="BF535" s="31" t="n">
        <f aca="false">ROUNDDOWN(I535*設定!$B$10/1000,0)+ROUNDDOWN(I535*設定!$B$11/1000,0)</f>
        <v>0</v>
      </c>
      <c r="BG535" s="31" t="n">
        <f aca="false">ROUNDDOWN(I535*設定!$C$10/1000,0)+ROUNDDOWN(I535*設定!$C$11/1000,0)+ROUNDDOWN(I535*設定!$C$12/1000,0)</f>
        <v>0</v>
      </c>
      <c r="BH535" s="31" t="n">
        <f aca="false">ROUNDDOWN(J535*設定!$B$13/1000,0)</f>
        <v>0</v>
      </c>
      <c r="BI535" s="31" t="n">
        <f aca="false">ROUNDDOWN(J535*設定!$C$13/1000,0)</f>
        <v>0</v>
      </c>
      <c r="BJ535" s="31" t="n">
        <f aca="false">ROUNDDOWN(K535*設定!$B$14/1000,0)</f>
        <v>0</v>
      </c>
      <c r="BK535" s="31" t="n">
        <f aca="false">ROUNDDOWN(K535*設定!$C$14/1000,0)</f>
        <v>0</v>
      </c>
      <c r="BL535" s="31" t="n">
        <f aca="false">ROUNDDOWN(J535*設定!$B$15/1000,0)</f>
        <v>0</v>
      </c>
      <c r="BM535" s="31" t="n">
        <f aca="false">ROUNDDOWN(J535*設定!$C$15/1000,0)</f>
        <v>0</v>
      </c>
      <c r="BN535" s="31" t="n">
        <f aca="false">L535+M535</f>
        <v>0</v>
      </c>
      <c r="BO535" s="31" t="n">
        <f aca="false">N535+O535+P535</f>
        <v>0</v>
      </c>
      <c r="BP535" s="31" t="n">
        <f aca="false">Q535</f>
        <v>0</v>
      </c>
      <c r="BQ535" s="31" t="n">
        <f aca="false">R535</f>
        <v>0</v>
      </c>
      <c r="BR535" s="31" t="n">
        <f aca="false">S535</f>
        <v>0</v>
      </c>
      <c r="BS535" s="31" t="n">
        <f aca="false">T535</f>
        <v>0</v>
      </c>
      <c r="BT535" s="31" t="n">
        <f aca="false">U535</f>
        <v>0</v>
      </c>
      <c r="BU535" s="31" t="n">
        <f aca="false">V535</f>
        <v>0</v>
      </c>
      <c r="BV535" s="32" t="n">
        <f aca="false">IF(BF535=0,IF(BN535=0,0,1),(BN535-BF535)/BF535)</f>
        <v>0</v>
      </c>
      <c r="BW535" s="32" t="n">
        <f aca="false">IF(BG535=0,IF(BO535=0,0,1),(BO535-BG535)/BG535)</f>
        <v>0</v>
      </c>
      <c r="BX535" s="32" t="n">
        <f aca="false">IF(BH535=0,IF(BP535=0,0,1),(BP535-BH535)/BH535)</f>
        <v>0</v>
      </c>
      <c r="BY535" s="32" t="n">
        <f aca="false">IF(BI535=0,IF(BQ535=0,0,1),(BQ535-BI535)/BI535)</f>
        <v>0</v>
      </c>
      <c r="BZ535" s="32" t="n">
        <f aca="false">IF(BJ535=0,IF(BR535=0,0,1),(BR535-BJ535)/BJ535)</f>
        <v>0</v>
      </c>
      <c r="CA535" s="32" t="n">
        <f aca="false">IF(BK535=0,IF(BS535=0,0,1),(BS535-BK535)/BK535)</f>
        <v>0</v>
      </c>
      <c r="CB535" s="32" t="n">
        <f aca="false">IF(BL535=0,IF(BT535=0,0,1),(BT535-BL535)/BL535)</f>
        <v>0</v>
      </c>
      <c r="CC535" s="32" t="n">
        <f aca="false">IF(BM535=0,IF(BU535=0,0,1),(BU535-BM535)/BM535)</f>
        <v>0</v>
      </c>
      <c r="CD535" s="32" t="n">
        <f aca="false">MAX(MAX(BV535:CC535),-MIN(BV535:CC535))</f>
        <v>-0</v>
      </c>
      <c r="CE535" s="31" t="n">
        <f aca="false">IF(CI535="","",SUMIFS($CF$7:$CF$696,$A$7:$A$696,CI535,$B$7:$B$696,B535))</f>
        <v>354522</v>
      </c>
      <c r="CF535" s="31" t="n">
        <f aca="false">SUM(AU535:BE535)</f>
        <v>354522</v>
      </c>
      <c r="CG535" s="33" t="str">
        <f aca="false">A535&amp;"|"&amp;B535</f>
        <v>2027-01 月例|救急振興財団</v>
      </c>
      <c r="CH535" s="34" t="str">
        <f aca="false">IFERROR(INDEX(設定!$D$61:$D$106,MATCH(B535,設定!$B$61:$B$106,0)),"Y")</f>
        <v>Y</v>
      </c>
      <c r="CI535" s="34" t="str">
        <f aca="false">IFERROR(INDEX(設定!$D$20:$D$34,MATCH(A535,設定!$A$20:$A$34,0))&amp;"","")</f>
        <v>2026-12 月例</v>
      </c>
    </row>
    <row r="536" customFormat="false" ht="15" hidden="true" customHeight="false" outlineLevel="0" collapsed="false">
      <c r="A536" s="22" t="s">
        <v>219</v>
      </c>
      <c r="B536" s="23" t="s">
        <v>184</v>
      </c>
      <c r="C536" s="10" t="str">
        <f aca="false">IF(G536="","未受領",IF(G536="なし","報告なし",IF(AH536="○","起票済",IF(OR(AG536="○",F536="一致",F536="入金不要"),"入金確認済","受領済"))))</f>
        <v>未受領</v>
      </c>
      <c r="D536" s="10" t="str">
        <f aca="false">IF(OR(G536="",G536="なし"),"―",IF(CH536="N","対象外",IF(AND(I536="",J536="",K536=""),"標報未入力",IF(CD536&gt;=設定!$B$4,"要確認","問題なし"))))</f>
        <v>―</v>
      </c>
      <c r="E536" s="24" t="str">
        <f aca="false">IF(OR(G536="",G536="なし",CE536="",CF536=0),"―",IF(CF536=CE536,"前月同額",IF(CE536=0,"―",IF(ABS(CF536/CE536-1)&gt;=設定!$B$5,"変動大 "&amp;TEXT(CF536/CE536-1,"+0%;-0%"),"〇"))))</f>
        <v>―</v>
      </c>
      <c r="F536" s="10" t="str">
        <f aca="false">IF(OR(G536="",G536="なし"),"―",IF(CF536=0,"入金不要",IF(COUNT(Z536,AB536,AD536,AF536)=0,IF(AG536="○","手動確認","未入金"),IF(AND(N(Z536)=Y536,IF(AA536="",TRUE(),N(AB536)=AA536),IF(AC536="",TRUE(),N(AD536)=AC536),IF(AE536="",TRUE(),N(AF536)=AE536)),"一致","不一致"))))</f>
        <v>―</v>
      </c>
      <c r="G536" s="25"/>
      <c r="H536" s="26"/>
      <c r="I536" s="27"/>
      <c r="J536" s="27"/>
      <c r="K536" s="27"/>
      <c r="L536" s="27"/>
      <c r="M536" s="27"/>
      <c r="N536" s="27"/>
      <c r="O536" s="27"/>
      <c r="P536" s="27"/>
      <c r="Q536" s="27"/>
      <c r="R536" s="27"/>
      <c r="S536" s="27"/>
      <c r="T536" s="27"/>
      <c r="U536" s="27"/>
      <c r="V536" s="27"/>
      <c r="W536" s="10" t="str">
        <f aca="false">IFERROR(INDEX(設定!$E$61:$E$106,MATCH(B536,設定!$B$61:$B$106,0)),"合算")</f>
        <v>合算</v>
      </c>
      <c r="X536" s="28"/>
      <c r="Y536" s="29" t="str">
        <f aca="false">IF(OR(G536="",G536="なし"),"",IF(W536="合算",CF536,IF(W536="掛金・負担金別",(AU536+AV536+AZ536+BB536+BD536),SUM(AU536:AY536))))</f>
        <v/>
      </c>
      <c r="Z536" s="27"/>
      <c r="AA536" s="29" t="str">
        <f aca="false">IF(OR(G536="",G536="なし"),"",IF(W536="掛金・負担金別",(AW536+AX536+AY536+BA536+BC536+BE536),IF(W536="経理区分別",AZ536+BA536,"")))</f>
        <v/>
      </c>
      <c r="AB536" s="27"/>
      <c r="AC536" s="29" t="str">
        <f aca="false">IF(OR(G536="",G536="なし"),"",IF(W536="経理区分別",BB536+BC536,""))</f>
        <v/>
      </c>
      <c r="AD536" s="27"/>
      <c r="AE536" s="29" t="str">
        <f aca="false">IF(OR(G536="",G536="なし"),"",IF(W536="経理区分別",BD536+BE536,""))</f>
        <v/>
      </c>
      <c r="AF536" s="27"/>
      <c r="AG536" s="26"/>
      <c r="AH536" s="26"/>
      <c r="AI536" s="30"/>
      <c r="AJ536" s="31" t="n">
        <v>923235</v>
      </c>
      <c r="AK536" s="31" t="n">
        <v>75675</v>
      </c>
      <c r="AL536" s="31" t="n">
        <v>923235</v>
      </c>
      <c r="AM536" s="31" t="n">
        <v>75675</v>
      </c>
      <c r="AN536" s="31" t="n">
        <v>947</v>
      </c>
      <c r="AO536" s="31" t="n">
        <v>556693</v>
      </c>
      <c r="AP536" s="31" t="n">
        <v>557713</v>
      </c>
      <c r="AQ536" s="31" t="n">
        <v>50797</v>
      </c>
      <c r="AR536" s="31" t="n">
        <v>50797</v>
      </c>
      <c r="AS536" s="31" t="n">
        <v>1</v>
      </c>
      <c r="AT536" s="31" t="n">
        <v>1</v>
      </c>
      <c r="AU536" s="31" t="n">
        <f aca="false">IF($G536="",AJ536,L536)</f>
        <v>923235</v>
      </c>
      <c r="AV536" s="31" t="n">
        <f aca="false">IF($G536="",AK536,M536)</f>
        <v>75675</v>
      </c>
      <c r="AW536" s="31" t="n">
        <f aca="false">IF($G536="",AL536,N536)</f>
        <v>923235</v>
      </c>
      <c r="AX536" s="31" t="n">
        <f aca="false">IF($G536="",AM536,O536)</f>
        <v>75675</v>
      </c>
      <c r="AY536" s="31" t="n">
        <f aca="false">IF($G536="",AN536,P536)</f>
        <v>947</v>
      </c>
      <c r="AZ536" s="31" t="n">
        <f aca="false">IF($G536="",AO536,Q536)</f>
        <v>556693</v>
      </c>
      <c r="BA536" s="31" t="n">
        <f aca="false">IF($G536="",AP536,R536)</f>
        <v>557713</v>
      </c>
      <c r="BB536" s="31" t="n">
        <f aca="false">IF($G536="",AQ536,S536)</f>
        <v>50797</v>
      </c>
      <c r="BC536" s="31" t="n">
        <f aca="false">IF($G536="",AR536,T536)</f>
        <v>50797</v>
      </c>
      <c r="BD536" s="31" t="n">
        <f aca="false">IF($G536="",AS536,U536)</f>
        <v>1</v>
      </c>
      <c r="BE536" s="31" t="n">
        <f aca="false">IF($G536="",AT536,V536)</f>
        <v>1</v>
      </c>
      <c r="BF536" s="31" t="n">
        <f aca="false">ROUNDDOWN(I536*設定!$B$10/1000,0)+ROUNDDOWN(I536*設定!$B$11/1000,0)</f>
        <v>0</v>
      </c>
      <c r="BG536" s="31" t="n">
        <f aca="false">ROUNDDOWN(I536*設定!$C$10/1000,0)+ROUNDDOWN(I536*設定!$C$11/1000,0)+ROUNDDOWN(I536*設定!$C$12/1000,0)</f>
        <v>0</v>
      </c>
      <c r="BH536" s="31" t="n">
        <f aca="false">ROUNDDOWN(J536*設定!$B$13/1000,0)</f>
        <v>0</v>
      </c>
      <c r="BI536" s="31" t="n">
        <f aca="false">ROUNDDOWN(J536*設定!$C$13/1000,0)</f>
        <v>0</v>
      </c>
      <c r="BJ536" s="31" t="n">
        <f aca="false">ROUNDDOWN(K536*設定!$B$14/1000,0)</f>
        <v>0</v>
      </c>
      <c r="BK536" s="31" t="n">
        <f aca="false">ROUNDDOWN(K536*設定!$C$14/1000,0)</f>
        <v>0</v>
      </c>
      <c r="BL536" s="31" t="n">
        <f aca="false">ROUNDDOWN(J536*設定!$B$15/1000,0)</f>
        <v>0</v>
      </c>
      <c r="BM536" s="31" t="n">
        <f aca="false">ROUNDDOWN(J536*設定!$C$15/1000,0)</f>
        <v>0</v>
      </c>
      <c r="BN536" s="31" t="n">
        <f aca="false">L536+M536</f>
        <v>0</v>
      </c>
      <c r="BO536" s="31" t="n">
        <f aca="false">N536+O536+P536</f>
        <v>0</v>
      </c>
      <c r="BP536" s="31" t="n">
        <f aca="false">Q536</f>
        <v>0</v>
      </c>
      <c r="BQ536" s="31" t="n">
        <f aca="false">R536</f>
        <v>0</v>
      </c>
      <c r="BR536" s="31" t="n">
        <f aca="false">S536</f>
        <v>0</v>
      </c>
      <c r="BS536" s="31" t="n">
        <f aca="false">T536</f>
        <v>0</v>
      </c>
      <c r="BT536" s="31" t="n">
        <f aca="false">U536</f>
        <v>0</v>
      </c>
      <c r="BU536" s="31" t="n">
        <f aca="false">V536</f>
        <v>0</v>
      </c>
      <c r="BV536" s="32" t="n">
        <f aca="false">IF(BF536=0,IF(BN536=0,0,1),(BN536-BF536)/BF536)</f>
        <v>0</v>
      </c>
      <c r="BW536" s="32" t="n">
        <f aca="false">IF(BG536=0,IF(BO536=0,0,1),(BO536-BG536)/BG536)</f>
        <v>0</v>
      </c>
      <c r="BX536" s="32" t="n">
        <f aca="false">IF(BH536=0,IF(BP536=0,0,1),(BP536-BH536)/BH536)</f>
        <v>0</v>
      </c>
      <c r="BY536" s="32" t="n">
        <f aca="false">IF(BI536=0,IF(BQ536=0,0,1),(BQ536-BI536)/BI536)</f>
        <v>0</v>
      </c>
      <c r="BZ536" s="32" t="n">
        <f aca="false">IF(BJ536=0,IF(BR536=0,0,1),(BR536-BJ536)/BJ536)</f>
        <v>0</v>
      </c>
      <c r="CA536" s="32" t="n">
        <f aca="false">IF(BK536=0,IF(BS536=0,0,1),(BS536-BK536)/BK536)</f>
        <v>0</v>
      </c>
      <c r="CB536" s="32" t="n">
        <f aca="false">IF(BL536=0,IF(BT536=0,0,1),(BT536-BL536)/BL536)</f>
        <v>0</v>
      </c>
      <c r="CC536" s="32" t="n">
        <f aca="false">IF(BM536=0,IF(BU536=0,0,1),(BU536-BM536)/BM536)</f>
        <v>0</v>
      </c>
      <c r="CD536" s="32" t="n">
        <f aca="false">MAX(MAX(BV536:CC536),-MIN(BV536:CC536))</f>
        <v>-0</v>
      </c>
      <c r="CE536" s="31" t="n">
        <f aca="false">IF(CI536="","",SUMIFS($CF$7:$CF$696,$A$7:$A$696,CI536,$B$7:$B$696,B536))</f>
        <v>3173058</v>
      </c>
      <c r="CF536" s="31" t="n">
        <f aca="false">SUM(AU536:BE536)</f>
        <v>3214769</v>
      </c>
      <c r="CG536" s="33" t="str">
        <f aca="false">A536&amp;"|"&amp;B536</f>
        <v>2027-01 月例|高速道路公社</v>
      </c>
      <c r="CH536" s="34" t="str">
        <f aca="false">IFERROR(INDEX(設定!$D$61:$D$106,MATCH(B536,設定!$B$61:$B$106,0)),"Y")</f>
        <v>Y</v>
      </c>
      <c r="CI536" s="34" t="str">
        <f aca="false">IFERROR(INDEX(設定!$D$20:$D$34,MATCH(A536,設定!$A$20:$A$34,0))&amp;"","")</f>
        <v>2026-12 月例</v>
      </c>
    </row>
    <row r="537" customFormat="false" ht="15" hidden="true" customHeight="false" outlineLevel="0" collapsed="false">
      <c r="A537" s="22" t="s">
        <v>219</v>
      </c>
      <c r="B537" s="23" t="s">
        <v>185</v>
      </c>
      <c r="C537" s="10" t="str">
        <f aca="false">IF(G537="","未受領",IF(G537="なし","報告なし",IF(AH537="○","起票済",IF(OR(AG537="○",F537="一致",F537="入金不要"),"入金確認済","受領済"))))</f>
        <v>未受領</v>
      </c>
      <c r="D537" s="10" t="str">
        <f aca="false">IF(OR(G537="",G537="なし"),"―",IF(CH537="N","対象外",IF(AND(I537="",J537="",K537=""),"標報未入力",IF(CD537&gt;=設定!$B$4,"要確認","問題なし"))))</f>
        <v>―</v>
      </c>
      <c r="E537" s="24" t="str">
        <f aca="false">IF(OR(G537="",G537="なし",CE537="",CF537=0),"―",IF(CF537=CE537,"前月同額",IF(CE537=0,"―",IF(ABS(CF537/CE537-1)&gt;=設定!$B$5,"変動大 "&amp;TEXT(CF537/CE537-1,"+0%;-0%"),"〇"))))</f>
        <v>―</v>
      </c>
      <c r="F537" s="10" t="str">
        <f aca="false">IF(OR(G537="",G537="なし"),"―",IF(CF537=0,"入金不要",IF(COUNT(Z537,AB537,AD537,AF537)=0,IF(AG537="○","手動確認","未入金"),IF(AND(N(Z537)=Y537,IF(AA537="",TRUE(),N(AB537)=AA537),IF(AC537="",TRUE(),N(AD537)=AC537),IF(AE537="",TRUE(),N(AF537)=AE537)),"一致","不一致"))))</f>
        <v>―</v>
      </c>
      <c r="G537" s="25"/>
      <c r="H537" s="26"/>
      <c r="I537" s="27"/>
      <c r="J537" s="27"/>
      <c r="K537" s="27"/>
      <c r="L537" s="27"/>
      <c r="M537" s="27"/>
      <c r="N537" s="27"/>
      <c r="O537" s="27"/>
      <c r="P537" s="27"/>
      <c r="Q537" s="27"/>
      <c r="R537" s="27"/>
      <c r="S537" s="27"/>
      <c r="T537" s="27"/>
      <c r="U537" s="27"/>
      <c r="V537" s="27"/>
      <c r="W537" s="10" t="str">
        <f aca="false">IFERROR(INDEX(設定!$E$61:$E$106,MATCH(B537,設定!$B$61:$B$106,0)),"合算")</f>
        <v>合算</v>
      </c>
      <c r="X537" s="28"/>
      <c r="Y537" s="29" t="str">
        <f aca="false">IF(OR(G537="",G537="なし"),"",IF(W537="合算",CF537,IF(W537="掛金・負担金別",(AU537+AV537+AZ537+BB537+BD537),SUM(AU537:AY537))))</f>
        <v/>
      </c>
      <c r="Z537" s="27"/>
      <c r="AA537" s="29" t="str">
        <f aca="false">IF(OR(G537="",G537="なし"),"",IF(W537="掛金・負担金別",(AW537+AX537+AY537+BA537+BC537+BE537),IF(W537="経理区分別",AZ537+BA537,"")))</f>
        <v/>
      </c>
      <c r="AB537" s="27"/>
      <c r="AC537" s="29" t="str">
        <f aca="false">IF(OR(G537="",G537="なし"),"",IF(W537="経理区分別",BB537+BC537,""))</f>
        <v/>
      </c>
      <c r="AD537" s="27"/>
      <c r="AE537" s="29" t="str">
        <f aca="false">IF(OR(G537="",G537="なし"),"",IF(W537="経理区分別",BD537+BE537,""))</f>
        <v/>
      </c>
      <c r="AF537" s="27"/>
      <c r="AG537" s="26"/>
      <c r="AH537" s="26"/>
      <c r="AI537" s="30"/>
      <c r="AJ537" s="31"/>
      <c r="AK537" s="31"/>
      <c r="AL537" s="31" t="n">
        <v>571875</v>
      </c>
      <c r="AM537" s="31" t="n">
        <v>46875</v>
      </c>
      <c r="AN537" s="31" t="n">
        <v>613</v>
      </c>
      <c r="AO537" s="31"/>
      <c r="AP537" s="31" t="n">
        <v>344467</v>
      </c>
      <c r="AQ537" s="31"/>
      <c r="AR537" s="31" t="n">
        <v>27255</v>
      </c>
      <c r="AS537" s="31"/>
      <c r="AT537" s="31" t="n">
        <v>1</v>
      </c>
      <c r="AU537" s="31" t="n">
        <f aca="false">IF($G537="",AJ537,L537)</f>
        <v>0</v>
      </c>
      <c r="AV537" s="31" t="n">
        <f aca="false">IF($G537="",AK537,M537)</f>
        <v>0</v>
      </c>
      <c r="AW537" s="31" t="n">
        <f aca="false">IF($G537="",AL537,N537)</f>
        <v>571875</v>
      </c>
      <c r="AX537" s="31" t="n">
        <f aca="false">IF($G537="",AM537,O537)</f>
        <v>46875</v>
      </c>
      <c r="AY537" s="31" t="n">
        <f aca="false">IF($G537="",AN537,P537)</f>
        <v>613</v>
      </c>
      <c r="AZ537" s="31" t="n">
        <f aca="false">IF($G537="",AO537,Q537)</f>
        <v>0</v>
      </c>
      <c r="BA537" s="31" t="n">
        <f aca="false">IF($G537="",AP537,R537)</f>
        <v>344467</v>
      </c>
      <c r="BB537" s="31" t="n">
        <f aca="false">IF($G537="",AQ537,S537)</f>
        <v>0</v>
      </c>
      <c r="BC537" s="31" t="n">
        <f aca="false">IF($G537="",AR537,T537)</f>
        <v>27255</v>
      </c>
      <c r="BD537" s="31" t="n">
        <f aca="false">IF($G537="",AS537,U537)</f>
        <v>0</v>
      </c>
      <c r="BE537" s="31" t="n">
        <f aca="false">IF($G537="",AT537,V537)</f>
        <v>1</v>
      </c>
      <c r="BF537" s="31" t="n">
        <f aca="false">ROUNDDOWN(I537*設定!$B$10/1000,0)+ROUNDDOWN(I537*設定!$B$11/1000,0)</f>
        <v>0</v>
      </c>
      <c r="BG537" s="31" t="n">
        <f aca="false">ROUNDDOWN(I537*設定!$C$10/1000,0)+ROUNDDOWN(I537*設定!$C$11/1000,0)+ROUNDDOWN(I537*設定!$C$12/1000,0)</f>
        <v>0</v>
      </c>
      <c r="BH537" s="31" t="n">
        <f aca="false">ROUNDDOWN(J537*設定!$B$13/1000,0)</f>
        <v>0</v>
      </c>
      <c r="BI537" s="31" t="n">
        <f aca="false">ROUNDDOWN(J537*設定!$C$13/1000,0)</f>
        <v>0</v>
      </c>
      <c r="BJ537" s="31" t="n">
        <f aca="false">ROUNDDOWN(K537*設定!$B$14/1000,0)</f>
        <v>0</v>
      </c>
      <c r="BK537" s="31" t="n">
        <f aca="false">ROUNDDOWN(K537*設定!$C$14/1000,0)</f>
        <v>0</v>
      </c>
      <c r="BL537" s="31" t="n">
        <f aca="false">ROUNDDOWN(J537*設定!$B$15/1000,0)</f>
        <v>0</v>
      </c>
      <c r="BM537" s="31" t="n">
        <f aca="false">ROUNDDOWN(J537*設定!$C$15/1000,0)</f>
        <v>0</v>
      </c>
      <c r="BN537" s="31" t="n">
        <f aca="false">L537+M537</f>
        <v>0</v>
      </c>
      <c r="BO537" s="31" t="n">
        <f aca="false">N537+O537+P537</f>
        <v>0</v>
      </c>
      <c r="BP537" s="31" t="n">
        <f aca="false">Q537</f>
        <v>0</v>
      </c>
      <c r="BQ537" s="31" t="n">
        <f aca="false">R537</f>
        <v>0</v>
      </c>
      <c r="BR537" s="31" t="n">
        <f aca="false">S537</f>
        <v>0</v>
      </c>
      <c r="BS537" s="31" t="n">
        <f aca="false">T537</f>
        <v>0</v>
      </c>
      <c r="BT537" s="31" t="n">
        <f aca="false">U537</f>
        <v>0</v>
      </c>
      <c r="BU537" s="31" t="n">
        <f aca="false">V537</f>
        <v>0</v>
      </c>
      <c r="BV537" s="32" t="n">
        <f aca="false">IF(BF537=0,IF(BN537=0,0,1),(BN537-BF537)/BF537)</f>
        <v>0</v>
      </c>
      <c r="BW537" s="32" t="n">
        <f aca="false">IF(BG537=0,IF(BO537=0,0,1),(BO537-BG537)/BG537)</f>
        <v>0</v>
      </c>
      <c r="BX537" s="32" t="n">
        <f aca="false">IF(BH537=0,IF(BP537=0,0,1),(BP537-BH537)/BH537)</f>
        <v>0</v>
      </c>
      <c r="BY537" s="32" t="n">
        <f aca="false">IF(BI537=0,IF(BQ537=0,0,1),(BQ537-BI537)/BI537)</f>
        <v>0</v>
      </c>
      <c r="BZ537" s="32" t="n">
        <f aca="false">IF(BJ537=0,IF(BR537=0,0,1),(BR537-BJ537)/BJ537)</f>
        <v>0</v>
      </c>
      <c r="CA537" s="32" t="n">
        <f aca="false">IF(BK537=0,IF(BS537=0,0,1),(BS537-BK537)/BK537)</f>
        <v>0</v>
      </c>
      <c r="CB537" s="32" t="n">
        <f aca="false">IF(BL537=0,IF(BT537=0,0,1),(BT537-BL537)/BL537)</f>
        <v>0</v>
      </c>
      <c r="CC537" s="32" t="n">
        <f aca="false">IF(BM537=0,IF(BU537=0,0,1),(BU537-BM537)/BM537)</f>
        <v>0</v>
      </c>
      <c r="CD537" s="32" t="n">
        <f aca="false">MAX(MAX(BV537:CC537),-MIN(BV537:CC537))</f>
        <v>-0</v>
      </c>
      <c r="CE537" s="31" t="n">
        <f aca="false">IF(CI537="","",SUMIFS($CF$7:$CF$696,$A$7:$A$696,CI537,$B$7:$B$696,B537))</f>
        <v>991086</v>
      </c>
      <c r="CF537" s="31" t="n">
        <f aca="false">SUM(AU537:BE537)</f>
        <v>991086</v>
      </c>
      <c r="CG537" s="33" t="str">
        <f aca="false">A537&amp;"|"&amp;B537</f>
        <v>2027-01 月例|農林水産振興センタ</v>
      </c>
      <c r="CH537" s="34" t="str">
        <f aca="false">IFERROR(INDEX(設定!$D$61:$D$106,MATCH(B537,設定!$B$61:$B$106,0)),"Y")</f>
        <v>Y</v>
      </c>
      <c r="CI537" s="34" t="str">
        <f aca="false">IFERROR(INDEX(設定!$D$20:$D$34,MATCH(A537,設定!$A$20:$A$34,0))&amp;"","")</f>
        <v>2026-12 月例</v>
      </c>
    </row>
    <row r="538" customFormat="false" ht="15" hidden="true" customHeight="false" outlineLevel="0" collapsed="false">
      <c r="A538" s="22" t="s">
        <v>219</v>
      </c>
      <c r="B538" s="23" t="s">
        <v>186</v>
      </c>
      <c r="C538" s="10" t="str">
        <f aca="false">IF(G538="","未受領",IF(G538="なし","報告なし",IF(AH538="○","起票済",IF(OR(AG538="○",F538="一致",F538="入金不要"),"入金確認済","受領済"))))</f>
        <v>未受領</v>
      </c>
      <c r="D538" s="10" t="str">
        <f aca="false">IF(OR(G538="",G538="なし"),"―",IF(CH538="N","対象外",IF(AND(I538="",J538="",K538=""),"標報未入力",IF(CD538&gt;=設定!$B$4,"要確認","問題なし"))))</f>
        <v>―</v>
      </c>
      <c r="E538" s="24" t="str">
        <f aca="false">IF(OR(G538="",G538="なし",CE538="",CF538=0),"―",IF(CF538=CE538,"前月同額",IF(CE538=0,"―",IF(ABS(CF538/CE538-1)&gt;=設定!$B$5,"変動大 "&amp;TEXT(CF538/CE538-1,"+0%;-0%"),"〇"))))</f>
        <v>―</v>
      </c>
      <c r="F538" s="10" t="str">
        <f aca="false">IF(OR(G538="",G538="なし"),"―",IF(CF538=0,"入金不要",IF(COUNT(Z538,AB538,AD538,AF538)=0,IF(AG538="○","手動確認","未入金"),IF(AND(N(Z538)=Y538,IF(AA538="",TRUE(),N(AB538)=AA538),IF(AC538="",TRUE(),N(AD538)=AC538),IF(AE538="",TRUE(),N(AF538)=AE538)),"一致","不一致"))))</f>
        <v>―</v>
      </c>
      <c r="G538" s="25"/>
      <c r="H538" s="26"/>
      <c r="I538" s="27"/>
      <c r="J538" s="27"/>
      <c r="K538" s="27"/>
      <c r="L538" s="27"/>
      <c r="M538" s="27"/>
      <c r="N538" s="27"/>
      <c r="O538" s="27"/>
      <c r="P538" s="27"/>
      <c r="Q538" s="27"/>
      <c r="R538" s="27"/>
      <c r="S538" s="27"/>
      <c r="T538" s="27"/>
      <c r="U538" s="27"/>
      <c r="V538" s="27"/>
      <c r="W538" s="10" t="str">
        <f aca="false">IFERROR(INDEX(設定!$E$61:$E$106,MATCH(B538,設定!$B$61:$B$106,0)),"合算")</f>
        <v>合算</v>
      </c>
      <c r="X538" s="28"/>
      <c r="Y538" s="29" t="str">
        <f aca="false">IF(OR(G538="",G538="なし"),"",IF(W538="合算",CF538,IF(W538="掛金・負担金別",(AU538+AV538+AZ538+BB538+BD538),SUM(AU538:AY538))))</f>
        <v/>
      </c>
      <c r="Z538" s="27"/>
      <c r="AA538" s="29" t="str">
        <f aca="false">IF(OR(G538="",G538="なし"),"",IF(W538="掛金・負担金別",(AW538+AX538+AY538+BA538+BC538+BE538),IF(W538="経理区分別",AZ538+BA538,"")))</f>
        <v/>
      </c>
      <c r="AB538" s="27"/>
      <c r="AC538" s="29" t="str">
        <f aca="false">IF(OR(G538="",G538="なし"),"",IF(W538="経理区分別",BB538+BC538,""))</f>
        <v/>
      </c>
      <c r="AD538" s="27"/>
      <c r="AE538" s="29" t="str">
        <f aca="false">IF(OR(G538="",G538="なし"),"",IF(W538="経理区分別",BD538+BE538,""))</f>
        <v/>
      </c>
      <c r="AF538" s="27"/>
      <c r="AG538" s="26"/>
      <c r="AH538" s="26"/>
      <c r="AI538" s="30"/>
      <c r="AJ538" s="31"/>
      <c r="AK538" s="31"/>
      <c r="AL538" s="31" t="n">
        <v>1160220</v>
      </c>
      <c r="AM538" s="31" t="n">
        <v>95100</v>
      </c>
      <c r="AN538" s="31" t="n">
        <v>1185</v>
      </c>
      <c r="AO538" s="31"/>
      <c r="AP538" s="31" t="n">
        <v>698790</v>
      </c>
      <c r="AQ538" s="31"/>
      <c r="AR538" s="31" t="n">
        <v>94721</v>
      </c>
      <c r="AS538" s="31"/>
      <c r="AT538" s="31" t="n">
        <v>1</v>
      </c>
      <c r="AU538" s="31" t="n">
        <f aca="false">IF($G538="",AJ538,L538)</f>
        <v>0</v>
      </c>
      <c r="AV538" s="31" t="n">
        <f aca="false">IF($G538="",AK538,M538)</f>
        <v>0</v>
      </c>
      <c r="AW538" s="31" t="n">
        <f aca="false">IF($G538="",AL538,N538)</f>
        <v>1160220</v>
      </c>
      <c r="AX538" s="31" t="n">
        <f aca="false">IF($G538="",AM538,O538)</f>
        <v>95100</v>
      </c>
      <c r="AY538" s="31" t="n">
        <f aca="false">IF($G538="",AN538,P538)</f>
        <v>1185</v>
      </c>
      <c r="AZ538" s="31" t="n">
        <f aca="false">IF($G538="",AO538,Q538)</f>
        <v>0</v>
      </c>
      <c r="BA538" s="31" t="n">
        <f aca="false">IF($G538="",AP538,R538)</f>
        <v>698790</v>
      </c>
      <c r="BB538" s="31" t="n">
        <f aca="false">IF($G538="",AQ538,S538)</f>
        <v>0</v>
      </c>
      <c r="BC538" s="31" t="n">
        <f aca="false">IF($G538="",AR538,T538)</f>
        <v>94721</v>
      </c>
      <c r="BD538" s="31" t="n">
        <f aca="false">IF($G538="",AS538,U538)</f>
        <v>0</v>
      </c>
      <c r="BE538" s="31" t="n">
        <f aca="false">IF($G538="",AT538,V538)</f>
        <v>1</v>
      </c>
      <c r="BF538" s="31" t="n">
        <f aca="false">ROUNDDOWN(I538*設定!$B$10/1000,0)+ROUNDDOWN(I538*設定!$B$11/1000,0)</f>
        <v>0</v>
      </c>
      <c r="BG538" s="31" t="n">
        <f aca="false">ROUNDDOWN(I538*設定!$C$10/1000,0)+ROUNDDOWN(I538*設定!$C$11/1000,0)+ROUNDDOWN(I538*設定!$C$12/1000,0)</f>
        <v>0</v>
      </c>
      <c r="BH538" s="31" t="n">
        <f aca="false">ROUNDDOWN(J538*設定!$B$13/1000,0)</f>
        <v>0</v>
      </c>
      <c r="BI538" s="31" t="n">
        <f aca="false">ROUNDDOWN(J538*設定!$C$13/1000,0)</f>
        <v>0</v>
      </c>
      <c r="BJ538" s="31" t="n">
        <f aca="false">ROUNDDOWN(K538*設定!$B$14/1000,0)</f>
        <v>0</v>
      </c>
      <c r="BK538" s="31" t="n">
        <f aca="false">ROUNDDOWN(K538*設定!$C$14/1000,0)</f>
        <v>0</v>
      </c>
      <c r="BL538" s="31" t="n">
        <f aca="false">ROUNDDOWN(J538*設定!$B$15/1000,0)</f>
        <v>0</v>
      </c>
      <c r="BM538" s="31" t="n">
        <f aca="false">ROUNDDOWN(J538*設定!$C$15/1000,0)</f>
        <v>0</v>
      </c>
      <c r="BN538" s="31" t="n">
        <f aca="false">L538+M538</f>
        <v>0</v>
      </c>
      <c r="BO538" s="31" t="n">
        <f aca="false">N538+O538+P538</f>
        <v>0</v>
      </c>
      <c r="BP538" s="31" t="n">
        <f aca="false">Q538</f>
        <v>0</v>
      </c>
      <c r="BQ538" s="31" t="n">
        <f aca="false">R538</f>
        <v>0</v>
      </c>
      <c r="BR538" s="31" t="n">
        <f aca="false">S538</f>
        <v>0</v>
      </c>
      <c r="BS538" s="31" t="n">
        <f aca="false">T538</f>
        <v>0</v>
      </c>
      <c r="BT538" s="31" t="n">
        <f aca="false">U538</f>
        <v>0</v>
      </c>
      <c r="BU538" s="31" t="n">
        <f aca="false">V538</f>
        <v>0</v>
      </c>
      <c r="BV538" s="32" t="n">
        <f aca="false">IF(BF538=0,IF(BN538=0,0,1),(BN538-BF538)/BF538)</f>
        <v>0</v>
      </c>
      <c r="BW538" s="32" t="n">
        <f aca="false">IF(BG538=0,IF(BO538=0,0,1),(BO538-BG538)/BG538)</f>
        <v>0</v>
      </c>
      <c r="BX538" s="32" t="n">
        <f aca="false">IF(BH538=0,IF(BP538=0,0,1),(BP538-BH538)/BH538)</f>
        <v>0</v>
      </c>
      <c r="BY538" s="32" t="n">
        <f aca="false">IF(BI538=0,IF(BQ538=0,0,1),(BQ538-BI538)/BI538)</f>
        <v>0</v>
      </c>
      <c r="BZ538" s="32" t="n">
        <f aca="false">IF(BJ538=0,IF(BR538=0,0,1),(BR538-BJ538)/BJ538)</f>
        <v>0</v>
      </c>
      <c r="CA538" s="32" t="n">
        <f aca="false">IF(BK538=0,IF(BS538=0,0,1),(BS538-BK538)/BK538)</f>
        <v>0</v>
      </c>
      <c r="CB538" s="32" t="n">
        <f aca="false">IF(BL538=0,IF(BT538=0,0,1),(BT538-BL538)/BL538)</f>
        <v>0</v>
      </c>
      <c r="CC538" s="32" t="n">
        <f aca="false">IF(BM538=0,IF(BU538=0,0,1),(BU538-BM538)/BM538)</f>
        <v>0</v>
      </c>
      <c r="CD538" s="32" t="n">
        <f aca="false">MAX(MAX(BV538:CC538),-MIN(BV538:CC538))</f>
        <v>-0</v>
      </c>
      <c r="CE538" s="31" t="n">
        <f aca="false">IF(CI538="","",SUMIFS($CF$7:$CF$696,$A$7:$A$696,CI538,$B$7:$B$696,B538))</f>
        <v>2050017</v>
      </c>
      <c r="CF538" s="31" t="n">
        <f aca="false">SUM(AU538:BE538)</f>
        <v>2050017</v>
      </c>
      <c r="CG538" s="33" t="str">
        <f aca="false">A538&amp;"|"&amp;B538</f>
        <v>2027-01 月例|文化財団　市長部局</v>
      </c>
      <c r="CH538" s="34" t="str">
        <f aca="false">IFERROR(INDEX(設定!$D$61:$D$106,MATCH(B538,設定!$B$61:$B$106,0)),"Y")</f>
        <v>Y</v>
      </c>
      <c r="CI538" s="34" t="str">
        <f aca="false">IFERROR(INDEX(設定!$D$20:$D$34,MATCH(A538,設定!$A$20:$A$34,0))&amp;"","")</f>
        <v>2026-12 月例</v>
      </c>
    </row>
    <row r="539" customFormat="false" ht="15" hidden="true" customHeight="false" outlineLevel="0" collapsed="false">
      <c r="A539" s="22" t="s">
        <v>219</v>
      </c>
      <c r="B539" s="23" t="s">
        <v>187</v>
      </c>
      <c r="C539" s="10" t="str">
        <f aca="false">IF(G539="","未受領",IF(G539="なし","報告なし",IF(AH539="○","起票済",IF(OR(AG539="○",F539="一致",F539="入金不要"),"入金確認済","受領済"))))</f>
        <v>未受領</v>
      </c>
      <c r="D539" s="10" t="str">
        <f aca="false">IF(OR(G539="",G539="なし"),"―",IF(CH539="N","対象外",IF(AND(I539="",J539="",K539=""),"標報未入力",IF(CD539&gt;=設定!$B$4,"要確認","問題なし"))))</f>
        <v>―</v>
      </c>
      <c r="E539" s="24" t="str">
        <f aca="false">IF(OR(G539="",G539="なし",CE539="",CF539=0),"―",IF(CF539=CE539,"前月同額",IF(CE539=0,"―",IF(ABS(CF539/CE539-1)&gt;=設定!$B$5,"変動大 "&amp;TEXT(CF539/CE539-1,"+0%;-0%"),"〇"))))</f>
        <v>―</v>
      </c>
      <c r="F539" s="10" t="str">
        <f aca="false">IF(OR(G539="",G539="なし"),"―",IF(CF539=0,"入金不要",IF(COUNT(Z539,AB539,AD539,AF539)=0,IF(AG539="○","手動確認","未入金"),IF(AND(N(Z539)=Y539,IF(AA539="",TRUE(),N(AB539)=AA539),IF(AC539="",TRUE(),N(AD539)=AC539),IF(AE539="",TRUE(),N(AF539)=AE539)),"一致","不一致"))))</f>
        <v>―</v>
      </c>
      <c r="G539" s="25"/>
      <c r="H539" s="26"/>
      <c r="I539" s="27"/>
      <c r="J539" s="27"/>
      <c r="K539" s="27"/>
      <c r="L539" s="27"/>
      <c r="M539" s="27"/>
      <c r="N539" s="27"/>
      <c r="O539" s="27"/>
      <c r="P539" s="27"/>
      <c r="Q539" s="27"/>
      <c r="R539" s="27"/>
      <c r="S539" s="27"/>
      <c r="T539" s="27"/>
      <c r="U539" s="27"/>
      <c r="V539" s="27"/>
      <c r="W539" s="10" t="str">
        <f aca="false">IFERROR(INDEX(設定!$E$61:$E$106,MATCH(B539,設定!$B$61:$B$106,0)),"合算")</f>
        <v>合算</v>
      </c>
      <c r="X539" s="28"/>
      <c r="Y539" s="29" t="str">
        <f aca="false">IF(OR(G539="",G539="なし"),"",IF(W539="合算",CF539,IF(W539="掛金・負担金別",(AU539+AV539+AZ539+BB539+BD539),SUM(AU539:AY539))))</f>
        <v/>
      </c>
      <c r="Z539" s="27"/>
      <c r="AA539" s="29" t="str">
        <f aca="false">IF(OR(G539="",G539="なし"),"",IF(W539="掛金・負担金別",(AW539+AX539+AY539+BA539+BC539+BE539),IF(W539="経理区分別",AZ539+BA539,"")))</f>
        <v/>
      </c>
      <c r="AB539" s="27"/>
      <c r="AC539" s="29" t="str">
        <f aca="false">IF(OR(G539="",G539="なし"),"",IF(W539="経理区分別",BB539+BC539,""))</f>
        <v/>
      </c>
      <c r="AD539" s="27"/>
      <c r="AE539" s="29" t="str">
        <f aca="false">IF(OR(G539="",G539="なし"),"",IF(W539="経理区分別",BD539+BE539,""))</f>
        <v/>
      </c>
      <c r="AF539" s="27"/>
      <c r="AG539" s="26"/>
      <c r="AH539" s="26"/>
      <c r="AI539" s="30"/>
      <c r="AJ539" s="31"/>
      <c r="AK539" s="31"/>
      <c r="AL539" s="31" t="n">
        <v>0</v>
      </c>
      <c r="AM539" s="31" t="n">
        <v>0</v>
      </c>
      <c r="AN539" s="31" t="n">
        <v>0</v>
      </c>
      <c r="AO539" s="31"/>
      <c r="AP539" s="31" t="n">
        <v>0</v>
      </c>
      <c r="AQ539" s="31"/>
      <c r="AR539" s="31" t="n">
        <v>0</v>
      </c>
      <c r="AS539" s="31"/>
      <c r="AT539" s="31" t="n">
        <v>0</v>
      </c>
      <c r="AU539" s="31" t="n">
        <f aca="false">IF($G539="",AJ539,L539)</f>
        <v>0</v>
      </c>
      <c r="AV539" s="31" t="n">
        <f aca="false">IF($G539="",AK539,M539)</f>
        <v>0</v>
      </c>
      <c r="AW539" s="31" t="n">
        <f aca="false">IF($G539="",AL539,N539)</f>
        <v>0</v>
      </c>
      <c r="AX539" s="31" t="n">
        <f aca="false">IF($G539="",AM539,O539)</f>
        <v>0</v>
      </c>
      <c r="AY539" s="31" t="n">
        <f aca="false">IF($G539="",AN539,P539)</f>
        <v>0</v>
      </c>
      <c r="AZ539" s="31" t="n">
        <f aca="false">IF($G539="",AO539,Q539)</f>
        <v>0</v>
      </c>
      <c r="BA539" s="31" t="n">
        <f aca="false">IF($G539="",AP539,R539)</f>
        <v>0</v>
      </c>
      <c r="BB539" s="31" t="n">
        <f aca="false">IF($G539="",AQ539,S539)</f>
        <v>0</v>
      </c>
      <c r="BC539" s="31" t="n">
        <f aca="false">IF($G539="",AR539,T539)</f>
        <v>0</v>
      </c>
      <c r="BD539" s="31" t="n">
        <f aca="false">IF($G539="",AS539,U539)</f>
        <v>0</v>
      </c>
      <c r="BE539" s="31" t="n">
        <f aca="false">IF($G539="",AT539,V539)</f>
        <v>0</v>
      </c>
      <c r="BF539" s="31" t="n">
        <f aca="false">ROUNDDOWN(I539*設定!$B$10/1000,0)+ROUNDDOWN(I539*設定!$B$11/1000,0)</f>
        <v>0</v>
      </c>
      <c r="BG539" s="31" t="n">
        <f aca="false">ROUNDDOWN(I539*設定!$C$10/1000,0)+ROUNDDOWN(I539*設定!$C$11/1000,0)+ROUNDDOWN(I539*設定!$C$12/1000,0)</f>
        <v>0</v>
      </c>
      <c r="BH539" s="31" t="n">
        <f aca="false">ROUNDDOWN(J539*設定!$B$13/1000,0)</f>
        <v>0</v>
      </c>
      <c r="BI539" s="31" t="n">
        <f aca="false">ROUNDDOWN(J539*設定!$C$13/1000,0)</f>
        <v>0</v>
      </c>
      <c r="BJ539" s="31" t="n">
        <f aca="false">ROUNDDOWN(K539*設定!$B$14/1000,0)</f>
        <v>0</v>
      </c>
      <c r="BK539" s="31" t="n">
        <f aca="false">ROUNDDOWN(K539*設定!$C$14/1000,0)</f>
        <v>0</v>
      </c>
      <c r="BL539" s="31" t="n">
        <f aca="false">ROUNDDOWN(J539*設定!$B$15/1000,0)</f>
        <v>0</v>
      </c>
      <c r="BM539" s="31" t="n">
        <f aca="false">ROUNDDOWN(J539*設定!$C$15/1000,0)</f>
        <v>0</v>
      </c>
      <c r="BN539" s="31" t="n">
        <f aca="false">L539+M539</f>
        <v>0</v>
      </c>
      <c r="BO539" s="31" t="n">
        <f aca="false">N539+O539+P539</f>
        <v>0</v>
      </c>
      <c r="BP539" s="31" t="n">
        <f aca="false">Q539</f>
        <v>0</v>
      </c>
      <c r="BQ539" s="31" t="n">
        <f aca="false">R539</f>
        <v>0</v>
      </c>
      <c r="BR539" s="31" t="n">
        <f aca="false">S539</f>
        <v>0</v>
      </c>
      <c r="BS539" s="31" t="n">
        <f aca="false">T539</f>
        <v>0</v>
      </c>
      <c r="BT539" s="31" t="n">
        <f aca="false">U539</f>
        <v>0</v>
      </c>
      <c r="BU539" s="31" t="n">
        <f aca="false">V539</f>
        <v>0</v>
      </c>
      <c r="BV539" s="32" t="n">
        <f aca="false">IF(BF539=0,IF(BN539=0,0,1),(BN539-BF539)/BF539)</f>
        <v>0</v>
      </c>
      <c r="BW539" s="32" t="n">
        <f aca="false">IF(BG539=0,IF(BO539=0,0,1),(BO539-BG539)/BG539)</f>
        <v>0</v>
      </c>
      <c r="BX539" s="32" t="n">
        <f aca="false">IF(BH539=0,IF(BP539=0,0,1),(BP539-BH539)/BH539)</f>
        <v>0</v>
      </c>
      <c r="BY539" s="32" t="n">
        <f aca="false">IF(BI539=0,IF(BQ539=0,0,1),(BQ539-BI539)/BI539)</f>
        <v>0</v>
      </c>
      <c r="BZ539" s="32" t="n">
        <f aca="false">IF(BJ539=0,IF(BR539=0,0,1),(BR539-BJ539)/BJ539)</f>
        <v>0</v>
      </c>
      <c r="CA539" s="32" t="n">
        <f aca="false">IF(BK539=0,IF(BS539=0,0,1),(BS539-BK539)/BK539)</f>
        <v>0</v>
      </c>
      <c r="CB539" s="32" t="n">
        <f aca="false">IF(BL539=0,IF(BT539=0,0,1),(BT539-BL539)/BL539)</f>
        <v>0</v>
      </c>
      <c r="CC539" s="32" t="n">
        <f aca="false">IF(BM539=0,IF(BU539=0,0,1),(BU539-BM539)/BM539)</f>
        <v>0</v>
      </c>
      <c r="CD539" s="32" t="n">
        <f aca="false">MAX(MAX(BV539:CC539),-MIN(BV539:CC539))</f>
        <v>-0</v>
      </c>
      <c r="CE539" s="31" t="n">
        <f aca="false">IF(CI539="","",SUMIFS($CF$7:$CF$696,$A$7:$A$696,CI539,$B$7:$B$696,B539))</f>
        <v>0</v>
      </c>
      <c r="CF539" s="31" t="n">
        <f aca="false">SUM(AU539:BE539)</f>
        <v>0</v>
      </c>
      <c r="CG539" s="33" t="str">
        <f aca="false">A539&amp;"|"&amp;B539</f>
        <v>2027-01 月例|文化財団　教育委員会</v>
      </c>
      <c r="CH539" s="34" t="str">
        <f aca="false">IFERROR(INDEX(設定!$D$61:$D$106,MATCH(B539,設定!$B$61:$B$106,0)),"Y")</f>
        <v>Y</v>
      </c>
      <c r="CI539" s="34" t="str">
        <f aca="false">IFERROR(INDEX(設定!$D$20:$D$34,MATCH(A539,設定!$A$20:$A$34,0))&amp;"","")</f>
        <v>2026-12 月例</v>
      </c>
    </row>
    <row r="540" customFormat="false" ht="15" hidden="true" customHeight="false" outlineLevel="0" collapsed="false">
      <c r="A540" s="22" t="s">
        <v>219</v>
      </c>
      <c r="B540" s="23" t="s">
        <v>188</v>
      </c>
      <c r="C540" s="10" t="str">
        <f aca="false">IF(G540="","未受領",IF(G540="なし","報告なし",IF(AH540="○","起票済",IF(OR(AG540="○",F540="一致",F540="入金不要"),"入金確認済","受領済"))))</f>
        <v>未受領</v>
      </c>
      <c r="D540" s="10" t="str">
        <f aca="false">IF(OR(G540="",G540="なし"),"―",IF(CH540="N","対象外",IF(AND(I540="",J540="",K540=""),"標報未入力",IF(CD540&gt;=設定!$B$4,"要確認","問題なし"))))</f>
        <v>―</v>
      </c>
      <c r="E540" s="24" t="str">
        <f aca="false">IF(OR(G540="",G540="なし",CE540="",CF540=0),"―",IF(CF540=CE540,"前月同額",IF(CE540=0,"―",IF(ABS(CF540/CE540-1)&gt;=設定!$B$5,"変動大 "&amp;TEXT(CF540/CE540-1,"+0%;-0%"),"〇"))))</f>
        <v>―</v>
      </c>
      <c r="F540" s="10" t="str">
        <f aca="false">IF(OR(G540="",G540="なし"),"―",IF(CF540=0,"入金不要",IF(COUNT(Z540,AB540,AD540,AF540)=0,IF(AG540="○","手動確認","未入金"),IF(AND(N(Z540)=Y540,IF(AA540="",TRUE(),N(AB540)=AA540),IF(AC540="",TRUE(),N(AD540)=AC540),IF(AE540="",TRUE(),N(AF540)=AE540)),"一致","不一致"))))</f>
        <v>―</v>
      </c>
      <c r="G540" s="25"/>
      <c r="H540" s="26"/>
      <c r="I540" s="27"/>
      <c r="J540" s="27"/>
      <c r="K540" s="27"/>
      <c r="L540" s="27"/>
      <c r="M540" s="27"/>
      <c r="N540" s="27"/>
      <c r="O540" s="27"/>
      <c r="P540" s="27"/>
      <c r="Q540" s="27"/>
      <c r="R540" s="27"/>
      <c r="S540" s="27"/>
      <c r="T540" s="27"/>
      <c r="U540" s="27"/>
      <c r="V540" s="27"/>
      <c r="W540" s="10" t="str">
        <f aca="false">IFERROR(INDEX(設定!$E$61:$E$106,MATCH(B540,設定!$B$61:$B$106,0)),"合算")</f>
        <v>合算</v>
      </c>
      <c r="X540" s="28"/>
      <c r="Y540" s="29" t="str">
        <f aca="false">IF(OR(G540="",G540="なし"),"",IF(W540="合算",CF540,IF(W540="掛金・負担金別",(AU540+AV540+AZ540+BB540+BD540),SUM(AU540:AY540))))</f>
        <v/>
      </c>
      <c r="Z540" s="27"/>
      <c r="AA540" s="29" t="str">
        <f aca="false">IF(OR(G540="",G540="なし"),"",IF(W540="掛金・負担金別",(AW540+AX540+AY540+BA540+BC540+BE540),IF(W540="経理区分別",AZ540+BA540,"")))</f>
        <v/>
      </c>
      <c r="AB540" s="27"/>
      <c r="AC540" s="29" t="str">
        <f aca="false">IF(OR(G540="",G540="なし"),"",IF(W540="経理区分別",BB540+BC540,""))</f>
        <v/>
      </c>
      <c r="AD540" s="27"/>
      <c r="AE540" s="29" t="str">
        <f aca="false">IF(OR(G540="",G540="なし"),"",IF(W540="経理区分別",BD540+BE540,""))</f>
        <v/>
      </c>
      <c r="AF540" s="27"/>
      <c r="AG540" s="26"/>
      <c r="AH540" s="26"/>
      <c r="AI540" s="30"/>
      <c r="AJ540" s="31"/>
      <c r="AK540" s="31"/>
      <c r="AL540" s="31" t="n">
        <v>402600</v>
      </c>
      <c r="AM540" s="31" t="n">
        <v>33000</v>
      </c>
      <c r="AN540" s="31" t="n">
        <v>412</v>
      </c>
      <c r="AO540" s="31"/>
      <c r="AP540" s="31" t="n">
        <v>242482</v>
      </c>
      <c r="AQ540" s="31"/>
      <c r="AR540" s="31" t="n">
        <v>34760</v>
      </c>
      <c r="AS540" s="31"/>
      <c r="AT540" s="31" t="n">
        <v>1</v>
      </c>
      <c r="AU540" s="31" t="n">
        <f aca="false">IF($G540="",AJ540,L540)</f>
        <v>0</v>
      </c>
      <c r="AV540" s="31" t="n">
        <f aca="false">IF($G540="",AK540,M540)</f>
        <v>0</v>
      </c>
      <c r="AW540" s="31" t="n">
        <f aca="false">IF($G540="",AL540,N540)</f>
        <v>402600</v>
      </c>
      <c r="AX540" s="31" t="n">
        <f aca="false">IF($G540="",AM540,O540)</f>
        <v>33000</v>
      </c>
      <c r="AY540" s="31" t="n">
        <f aca="false">IF($G540="",AN540,P540)</f>
        <v>412</v>
      </c>
      <c r="AZ540" s="31" t="n">
        <f aca="false">IF($G540="",AO540,Q540)</f>
        <v>0</v>
      </c>
      <c r="BA540" s="31" t="n">
        <f aca="false">IF($G540="",AP540,R540)</f>
        <v>242482</v>
      </c>
      <c r="BB540" s="31" t="n">
        <f aca="false">IF($G540="",AQ540,S540)</f>
        <v>0</v>
      </c>
      <c r="BC540" s="31" t="n">
        <f aca="false">IF($G540="",AR540,T540)</f>
        <v>34760</v>
      </c>
      <c r="BD540" s="31" t="n">
        <f aca="false">IF($G540="",AS540,U540)</f>
        <v>0</v>
      </c>
      <c r="BE540" s="31" t="n">
        <f aca="false">IF($G540="",AT540,V540)</f>
        <v>1</v>
      </c>
      <c r="BF540" s="31" t="n">
        <f aca="false">ROUNDDOWN(I540*設定!$B$10/1000,0)+ROUNDDOWN(I540*設定!$B$11/1000,0)</f>
        <v>0</v>
      </c>
      <c r="BG540" s="31" t="n">
        <f aca="false">ROUNDDOWN(I540*設定!$C$10/1000,0)+ROUNDDOWN(I540*設定!$C$11/1000,0)+ROUNDDOWN(I540*設定!$C$12/1000,0)</f>
        <v>0</v>
      </c>
      <c r="BH540" s="31" t="n">
        <f aca="false">ROUNDDOWN(J540*設定!$B$13/1000,0)</f>
        <v>0</v>
      </c>
      <c r="BI540" s="31" t="n">
        <f aca="false">ROUNDDOWN(J540*設定!$C$13/1000,0)</f>
        <v>0</v>
      </c>
      <c r="BJ540" s="31" t="n">
        <f aca="false">ROUNDDOWN(K540*設定!$B$14/1000,0)</f>
        <v>0</v>
      </c>
      <c r="BK540" s="31" t="n">
        <f aca="false">ROUNDDOWN(K540*設定!$C$14/1000,0)</f>
        <v>0</v>
      </c>
      <c r="BL540" s="31" t="n">
        <f aca="false">ROUNDDOWN(J540*設定!$B$15/1000,0)</f>
        <v>0</v>
      </c>
      <c r="BM540" s="31" t="n">
        <f aca="false">ROUNDDOWN(J540*設定!$C$15/1000,0)</f>
        <v>0</v>
      </c>
      <c r="BN540" s="31" t="n">
        <f aca="false">L540+M540</f>
        <v>0</v>
      </c>
      <c r="BO540" s="31" t="n">
        <f aca="false">N540+O540+P540</f>
        <v>0</v>
      </c>
      <c r="BP540" s="31" t="n">
        <f aca="false">Q540</f>
        <v>0</v>
      </c>
      <c r="BQ540" s="31" t="n">
        <f aca="false">R540</f>
        <v>0</v>
      </c>
      <c r="BR540" s="31" t="n">
        <f aca="false">S540</f>
        <v>0</v>
      </c>
      <c r="BS540" s="31" t="n">
        <f aca="false">T540</f>
        <v>0</v>
      </c>
      <c r="BT540" s="31" t="n">
        <f aca="false">U540</f>
        <v>0</v>
      </c>
      <c r="BU540" s="31" t="n">
        <f aca="false">V540</f>
        <v>0</v>
      </c>
      <c r="BV540" s="32" t="n">
        <f aca="false">IF(BF540=0,IF(BN540=0,0,1),(BN540-BF540)/BF540)</f>
        <v>0</v>
      </c>
      <c r="BW540" s="32" t="n">
        <f aca="false">IF(BG540=0,IF(BO540=0,0,1),(BO540-BG540)/BG540)</f>
        <v>0</v>
      </c>
      <c r="BX540" s="32" t="n">
        <f aca="false">IF(BH540=0,IF(BP540=0,0,1),(BP540-BH540)/BH540)</f>
        <v>0</v>
      </c>
      <c r="BY540" s="32" t="n">
        <f aca="false">IF(BI540=0,IF(BQ540=0,0,1),(BQ540-BI540)/BI540)</f>
        <v>0</v>
      </c>
      <c r="BZ540" s="32" t="n">
        <f aca="false">IF(BJ540=0,IF(BR540=0,0,1),(BR540-BJ540)/BJ540)</f>
        <v>0</v>
      </c>
      <c r="CA540" s="32" t="n">
        <f aca="false">IF(BK540=0,IF(BS540=0,0,1),(BS540-BK540)/BK540)</f>
        <v>0</v>
      </c>
      <c r="CB540" s="32" t="n">
        <f aca="false">IF(BL540=0,IF(BT540=0,0,1),(BT540-BL540)/BL540)</f>
        <v>0</v>
      </c>
      <c r="CC540" s="32" t="n">
        <f aca="false">IF(BM540=0,IF(BU540=0,0,1),(BU540-BM540)/BM540)</f>
        <v>0</v>
      </c>
      <c r="CD540" s="32" t="n">
        <f aca="false">MAX(MAX(BV540:CC540),-MIN(BV540:CC540))</f>
        <v>-0</v>
      </c>
      <c r="CE540" s="31" t="n">
        <f aca="false">IF(CI540="","",SUMIFS($CF$7:$CF$696,$A$7:$A$696,CI540,$B$7:$B$696,B540))</f>
        <v>698666</v>
      </c>
      <c r="CF540" s="31" t="n">
        <f aca="false">SUM(AU540:BE540)</f>
        <v>713255</v>
      </c>
      <c r="CG540" s="33" t="str">
        <f aca="false">A540&amp;"|"&amp;B540</f>
        <v>2027-01 月例|みどり生きもの協会</v>
      </c>
      <c r="CH540" s="34" t="str">
        <f aca="false">IFERROR(INDEX(設定!$D$61:$D$106,MATCH(B540,設定!$B$61:$B$106,0)),"Y")</f>
        <v>Y</v>
      </c>
      <c r="CI540" s="34" t="str">
        <f aca="false">IFERROR(INDEX(設定!$D$20:$D$34,MATCH(A540,設定!$A$20:$A$34,0))&amp;"","")</f>
        <v>2026-12 月例</v>
      </c>
    </row>
    <row r="541" customFormat="false" ht="15" hidden="true" customHeight="false" outlineLevel="0" collapsed="false">
      <c r="A541" s="22" t="s">
        <v>219</v>
      </c>
      <c r="B541" s="23" t="s">
        <v>189</v>
      </c>
      <c r="C541" s="10" t="str">
        <f aca="false">IF(G541="","未受領",IF(G541="なし","報告なし",IF(AH541="○","起票済",IF(OR(AG541="○",F541="一致",F541="入金不要"),"入金確認済","受領済"))))</f>
        <v>未受領</v>
      </c>
      <c r="D541" s="10" t="str">
        <f aca="false">IF(OR(G541="",G541="なし"),"―",IF(CH541="N","対象外",IF(AND(I541="",J541="",K541=""),"標報未入力",IF(CD541&gt;=設定!$B$4,"要確認","問題なし"))))</f>
        <v>―</v>
      </c>
      <c r="E541" s="24" t="str">
        <f aca="false">IF(OR(G541="",G541="なし",CE541="",CF541=0),"―",IF(CF541=CE541,"前月同額",IF(CE541=0,"―",IF(ABS(CF541/CE541-1)&gt;=設定!$B$5,"変動大 "&amp;TEXT(CF541/CE541-1,"+0%;-0%"),"〇"))))</f>
        <v>―</v>
      </c>
      <c r="F541" s="10" t="str">
        <f aca="false">IF(OR(G541="",G541="なし"),"―",IF(CF541=0,"入金不要",IF(COUNT(Z541,AB541,AD541,AF541)=0,IF(AG541="○","手動確認","未入金"),IF(AND(N(Z541)=Y541,IF(AA541="",TRUE(),N(AB541)=AA541),IF(AC541="",TRUE(),N(AD541)=AC541),IF(AE541="",TRUE(),N(AF541)=AE541)),"一致","不一致"))))</f>
        <v>―</v>
      </c>
      <c r="G541" s="25"/>
      <c r="H541" s="26"/>
      <c r="I541" s="27"/>
      <c r="J541" s="27"/>
      <c r="K541" s="27"/>
      <c r="L541" s="27"/>
      <c r="M541" s="27"/>
      <c r="N541" s="27"/>
      <c r="O541" s="27"/>
      <c r="P541" s="27"/>
      <c r="Q541" s="27"/>
      <c r="R541" s="27"/>
      <c r="S541" s="27"/>
      <c r="T541" s="27"/>
      <c r="U541" s="27"/>
      <c r="V541" s="27"/>
      <c r="W541" s="10" t="str">
        <f aca="false">IFERROR(INDEX(設定!$E$61:$E$106,MATCH(B541,設定!$B$61:$B$106,0)),"合算")</f>
        <v>合算</v>
      </c>
      <c r="X541" s="28"/>
      <c r="Y541" s="29" t="str">
        <f aca="false">IF(OR(G541="",G541="なし"),"",IF(W541="合算",CF541,IF(W541="掛金・負担金別",(AU541+AV541+AZ541+BB541+BD541),SUM(AU541:AY541))))</f>
        <v/>
      </c>
      <c r="Z541" s="27"/>
      <c r="AA541" s="29" t="str">
        <f aca="false">IF(OR(G541="",G541="なし"),"",IF(W541="掛金・負担金別",(AW541+AX541+AY541+BA541+BC541+BE541),IF(W541="経理区分別",AZ541+BA541,"")))</f>
        <v/>
      </c>
      <c r="AB541" s="27"/>
      <c r="AC541" s="29" t="str">
        <f aca="false">IF(OR(G541="",G541="なし"),"",IF(W541="経理区分別",BB541+BC541,""))</f>
        <v/>
      </c>
      <c r="AD541" s="27"/>
      <c r="AE541" s="29" t="str">
        <f aca="false">IF(OR(G541="",G541="なし"),"",IF(W541="経理区分別",BD541+BE541,""))</f>
        <v/>
      </c>
      <c r="AF541" s="27"/>
      <c r="AG541" s="26"/>
      <c r="AH541" s="26"/>
      <c r="AI541" s="30"/>
      <c r="AJ541" s="31" t="n">
        <v>137250</v>
      </c>
      <c r="AK541" s="31" t="n">
        <v>11250</v>
      </c>
      <c r="AL541" s="31" t="n">
        <v>137250</v>
      </c>
      <c r="AM541" s="31" t="n">
        <v>11250</v>
      </c>
      <c r="AN541" s="31" t="n">
        <v>140</v>
      </c>
      <c r="AO541" s="31" t="n">
        <v>82514</v>
      </c>
      <c r="AP541" s="31" t="n">
        <v>82665</v>
      </c>
      <c r="AQ541" s="31" t="n">
        <v>8611</v>
      </c>
      <c r="AR541" s="31" t="n">
        <v>8611</v>
      </c>
      <c r="AS541" s="31" t="n">
        <v>1</v>
      </c>
      <c r="AT541" s="31" t="n">
        <v>1</v>
      </c>
      <c r="AU541" s="31" t="n">
        <f aca="false">IF($G541="",AJ541,L541)</f>
        <v>137250</v>
      </c>
      <c r="AV541" s="31" t="n">
        <f aca="false">IF($G541="",AK541,M541)</f>
        <v>11250</v>
      </c>
      <c r="AW541" s="31" t="n">
        <f aca="false">IF($G541="",AL541,N541)</f>
        <v>137250</v>
      </c>
      <c r="AX541" s="31" t="n">
        <f aca="false">IF($G541="",AM541,O541)</f>
        <v>11250</v>
      </c>
      <c r="AY541" s="31" t="n">
        <f aca="false">IF($G541="",AN541,P541)</f>
        <v>140</v>
      </c>
      <c r="AZ541" s="31" t="n">
        <f aca="false">IF($G541="",AO541,Q541)</f>
        <v>82514</v>
      </c>
      <c r="BA541" s="31" t="n">
        <f aca="false">IF($G541="",AP541,R541)</f>
        <v>82665</v>
      </c>
      <c r="BB541" s="31" t="n">
        <f aca="false">IF($G541="",AQ541,S541)</f>
        <v>8611</v>
      </c>
      <c r="BC541" s="31" t="n">
        <f aca="false">IF($G541="",AR541,T541)</f>
        <v>8611</v>
      </c>
      <c r="BD541" s="31" t="n">
        <f aca="false">IF($G541="",AS541,U541)</f>
        <v>1</v>
      </c>
      <c r="BE541" s="31" t="n">
        <f aca="false">IF($G541="",AT541,V541)</f>
        <v>1</v>
      </c>
      <c r="BF541" s="31" t="n">
        <f aca="false">ROUNDDOWN(I541*設定!$B$10/1000,0)+ROUNDDOWN(I541*設定!$B$11/1000,0)</f>
        <v>0</v>
      </c>
      <c r="BG541" s="31" t="n">
        <f aca="false">ROUNDDOWN(I541*設定!$C$10/1000,0)+ROUNDDOWN(I541*設定!$C$11/1000,0)+ROUNDDOWN(I541*設定!$C$12/1000,0)</f>
        <v>0</v>
      </c>
      <c r="BH541" s="31" t="n">
        <f aca="false">ROUNDDOWN(J541*設定!$B$13/1000,0)</f>
        <v>0</v>
      </c>
      <c r="BI541" s="31" t="n">
        <f aca="false">ROUNDDOWN(J541*設定!$C$13/1000,0)</f>
        <v>0</v>
      </c>
      <c r="BJ541" s="31" t="n">
        <f aca="false">ROUNDDOWN(K541*設定!$B$14/1000,0)</f>
        <v>0</v>
      </c>
      <c r="BK541" s="31" t="n">
        <f aca="false">ROUNDDOWN(K541*設定!$C$14/1000,0)</f>
        <v>0</v>
      </c>
      <c r="BL541" s="31" t="n">
        <f aca="false">ROUNDDOWN(J541*設定!$B$15/1000,0)</f>
        <v>0</v>
      </c>
      <c r="BM541" s="31" t="n">
        <f aca="false">ROUNDDOWN(J541*設定!$C$15/1000,0)</f>
        <v>0</v>
      </c>
      <c r="BN541" s="31" t="n">
        <f aca="false">L541+M541</f>
        <v>0</v>
      </c>
      <c r="BO541" s="31" t="n">
        <f aca="false">N541+O541+P541</f>
        <v>0</v>
      </c>
      <c r="BP541" s="31" t="n">
        <f aca="false">Q541</f>
        <v>0</v>
      </c>
      <c r="BQ541" s="31" t="n">
        <f aca="false">R541</f>
        <v>0</v>
      </c>
      <c r="BR541" s="31" t="n">
        <f aca="false">S541</f>
        <v>0</v>
      </c>
      <c r="BS541" s="31" t="n">
        <f aca="false">T541</f>
        <v>0</v>
      </c>
      <c r="BT541" s="31" t="n">
        <f aca="false">U541</f>
        <v>0</v>
      </c>
      <c r="BU541" s="31" t="n">
        <f aca="false">V541</f>
        <v>0</v>
      </c>
      <c r="BV541" s="32" t="n">
        <f aca="false">IF(BF541=0,IF(BN541=0,0,1),(BN541-BF541)/BF541)</f>
        <v>0</v>
      </c>
      <c r="BW541" s="32" t="n">
        <f aca="false">IF(BG541=0,IF(BO541=0,0,1),(BO541-BG541)/BG541)</f>
        <v>0</v>
      </c>
      <c r="BX541" s="32" t="n">
        <f aca="false">IF(BH541=0,IF(BP541=0,0,1),(BP541-BH541)/BH541)</f>
        <v>0</v>
      </c>
      <c r="BY541" s="32" t="n">
        <f aca="false">IF(BI541=0,IF(BQ541=0,0,1),(BQ541-BI541)/BI541)</f>
        <v>0</v>
      </c>
      <c r="BZ541" s="32" t="n">
        <f aca="false">IF(BJ541=0,IF(BR541=0,0,1),(BR541-BJ541)/BJ541)</f>
        <v>0</v>
      </c>
      <c r="CA541" s="32" t="n">
        <f aca="false">IF(BK541=0,IF(BS541=0,0,1),(BS541-BK541)/BK541)</f>
        <v>0</v>
      </c>
      <c r="CB541" s="32" t="n">
        <f aca="false">IF(BL541=0,IF(BT541=0,0,1),(BT541-BL541)/BL541)</f>
        <v>0</v>
      </c>
      <c r="CC541" s="32" t="n">
        <f aca="false">IF(BM541=0,IF(BU541=0,0,1),(BU541-BM541)/BM541)</f>
        <v>0</v>
      </c>
      <c r="CD541" s="32" t="n">
        <f aca="false">MAX(MAX(BV541:CC541),-MIN(BV541:CC541))</f>
        <v>-0</v>
      </c>
      <c r="CE541" s="31" t="n">
        <f aca="false">IF(CI541="","",SUMIFS($CF$7:$CF$696,$A$7:$A$696,CI541,$B$7:$B$696,B541))</f>
        <v>479543</v>
      </c>
      <c r="CF541" s="31" t="n">
        <f aca="false">SUM(AU541:BE541)</f>
        <v>479543</v>
      </c>
      <c r="CG541" s="33" t="str">
        <f aca="false">A541&amp;"|"&amp;B541</f>
        <v>2027-01 月例|県下水道公社</v>
      </c>
      <c r="CH541" s="34" t="str">
        <f aca="false">IFERROR(INDEX(設定!$D$61:$D$106,MATCH(B541,設定!$B$61:$B$106,0)),"Y")</f>
        <v>Y</v>
      </c>
      <c r="CI541" s="34" t="str">
        <f aca="false">IFERROR(INDEX(設定!$D$20:$D$34,MATCH(A541,設定!$A$20:$A$34,0))&amp;"","")</f>
        <v>2026-12 月例</v>
      </c>
    </row>
    <row r="542" customFormat="false" ht="26.85" hidden="true" customHeight="false" outlineLevel="0" collapsed="false">
      <c r="A542" s="22" t="s">
        <v>219</v>
      </c>
      <c r="B542" s="35" t="s">
        <v>190</v>
      </c>
      <c r="C542" s="10" t="str">
        <f aca="false">IF(G542="","未受領",IF(G542="なし","報告なし",IF(AH542="○","起票済",IF(OR(AG542="○",F542="一致",F542="入金不要"),"入金確認済","受領済"))))</f>
        <v>未受領</v>
      </c>
      <c r="D542" s="10" t="str">
        <f aca="false">IF(OR(G542="",G542="なし"),"―",IF(CH542="N","対象外",IF(AND(I542="",J542="",K542=""),"標報未入力",IF(CD542&gt;=設定!$B$4,"要確認","問題なし"))))</f>
        <v>―</v>
      </c>
      <c r="E542" s="24" t="str">
        <f aca="false">IF(OR(G542="",G542="なし",CE542="",CF542=0),"―",IF(CF542=CE542,"前月同額",IF(CE542=0,"―",IF(ABS(CF542/CE542-1)&gt;=設定!$B$5,"変動大 "&amp;TEXT(CF542/CE542-1,"+0%;-0%"),"〇"))))</f>
        <v>―</v>
      </c>
      <c r="F542" s="10" t="str">
        <f aca="false">IF(OR(G542="",G542="なし"),"―",IF(CF542=0,"入金不要",IF(COUNT(Z542,AB542,AD542,AF542)=0,IF(AG542="○","手動確認","未入金"),IF(AND(N(Z542)=Y542,IF(AA542="",TRUE(),N(AB542)=AA542),IF(AC542="",TRUE(),N(AD542)=AC542),IF(AE542="",TRUE(),N(AF542)=AE542)),"一致","不一致"))))</f>
        <v>―</v>
      </c>
      <c r="G542" s="25"/>
      <c r="H542" s="26"/>
      <c r="I542" s="27"/>
      <c r="J542" s="27"/>
      <c r="K542" s="27"/>
      <c r="L542" s="27"/>
      <c r="M542" s="27"/>
      <c r="N542" s="27"/>
      <c r="O542" s="27"/>
      <c r="P542" s="27"/>
      <c r="Q542" s="27"/>
      <c r="R542" s="27"/>
      <c r="S542" s="27"/>
      <c r="T542" s="27"/>
      <c r="U542" s="27"/>
      <c r="V542" s="27"/>
      <c r="W542" s="10" t="str">
        <f aca="false">IFERROR(INDEX(設定!$E$61:$E$106,MATCH(B542,設定!$B$61:$B$106,0)),"合算")</f>
        <v>合算</v>
      </c>
      <c r="X542" s="28"/>
      <c r="Y542" s="29" t="str">
        <f aca="false">IF(OR(G542="",G542="なし"),"",IF(W542="合算",CF542,IF(W542="掛金・負担金別",(AU542+AV542+AZ542+BB542+BD542),SUM(AU542:AY542))))</f>
        <v/>
      </c>
      <c r="Z542" s="27"/>
      <c r="AA542" s="29" t="str">
        <f aca="false">IF(OR(G542="",G542="なし"),"",IF(W542="掛金・負担金別",(AW542+AX542+AY542+BA542+BC542+BE542),IF(W542="経理区分別",AZ542+BA542,"")))</f>
        <v/>
      </c>
      <c r="AB542" s="27"/>
      <c r="AC542" s="29" t="str">
        <f aca="false">IF(OR(G542="",G542="なし"),"",IF(W542="経理区分別",BB542+BC542,""))</f>
        <v/>
      </c>
      <c r="AD542" s="27"/>
      <c r="AE542" s="29" t="str">
        <f aca="false">IF(OR(G542="",G542="なし"),"",IF(W542="経理区分別",BD542+BE542,""))</f>
        <v/>
      </c>
      <c r="AF542" s="27"/>
      <c r="AG542" s="26"/>
      <c r="AH542" s="26"/>
      <c r="AI542" s="30"/>
      <c r="AJ542" s="31"/>
      <c r="AK542" s="31"/>
      <c r="AL542" s="31" t="n">
        <v>477630</v>
      </c>
      <c r="AM542" s="31" t="n">
        <v>39150</v>
      </c>
      <c r="AN542" s="31" t="n">
        <v>490</v>
      </c>
      <c r="AO542" s="31"/>
      <c r="AP542" s="31" t="n">
        <v>293185</v>
      </c>
      <c r="AQ542" s="31"/>
      <c r="AR542" s="31" t="n">
        <v>25517</v>
      </c>
      <c r="AS542" s="31"/>
      <c r="AT542" s="31" t="n">
        <v>1</v>
      </c>
      <c r="AU542" s="31" t="n">
        <f aca="false">IF($G542="",AJ542,L542)</f>
        <v>0</v>
      </c>
      <c r="AV542" s="31" t="n">
        <f aca="false">IF($G542="",AK542,M542)</f>
        <v>0</v>
      </c>
      <c r="AW542" s="31" t="n">
        <f aca="false">IF($G542="",AL542,N542)</f>
        <v>477630</v>
      </c>
      <c r="AX542" s="31" t="n">
        <f aca="false">IF($G542="",AM542,O542)</f>
        <v>39150</v>
      </c>
      <c r="AY542" s="31" t="n">
        <f aca="false">IF($G542="",AN542,P542)</f>
        <v>490</v>
      </c>
      <c r="AZ542" s="31" t="n">
        <f aca="false">IF($G542="",AO542,Q542)</f>
        <v>0</v>
      </c>
      <c r="BA542" s="31" t="n">
        <f aca="false">IF($G542="",AP542,R542)</f>
        <v>293185</v>
      </c>
      <c r="BB542" s="31" t="n">
        <f aca="false">IF($G542="",AQ542,S542)</f>
        <v>0</v>
      </c>
      <c r="BC542" s="31" t="n">
        <f aca="false">IF($G542="",AR542,T542)</f>
        <v>25517</v>
      </c>
      <c r="BD542" s="31" t="n">
        <f aca="false">IF($G542="",AS542,U542)</f>
        <v>0</v>
      </c>
      <c r="BE542" s="31" t="n">
        <f aca="false">IF($G542="",AT542,V542)</f>
        <v>1</v>
      </c>
      <c r="BF542" s="31" t="n">
        <f aca="false">ROUNDDOWN(I542*設定!$B$10/1000,0)+ROUNDDOWN(I542*設定!$B$11/1000,0)</f>
        <v>0</v>
      </c>
      <c r="BG542" s="31" t="n">
        <f aca="false">ROUNDDOWN(I542*設定!$C$10/1000,0)+ROUNDDOWN(I542*設定!$C$11/1000,0)+ROUNDDOWN(I542*設定!$C$12/1000,0)</f>
        <v>0</v>
      </c>
      <c r="BH542" s="31" t="n">
        <f aca="false">ROUNDDOWN(J542*設定!$B$13/1000,0)</f>
        <v>0</v>
      </c>
      <c r="BI542" s="31" t="n">
        <f aca="false">ROUNDDOWN(J542*設定!$C$13/1000,0)</f>
        <v>0</v>
      </c>
      <c r="BJ542" s="31" t="n">
        <f aca="false">ROUNDDOWN(K542*設定!$B$14/1000,0)</f>
        <v>0</v>
      </c>
      <c r="BK542" s="31" t="n">
        <f aca="false">ROUNDDOWN(K542*設定!$C$14/1000,0)</f>
        <v>0</v>
      </c>
      <c r="BL542" s="31" t="n">
        <f aca="false">ROUNDDOWN(J542*設定!$B$15/1000,0)</f>
        <v>0</v>
      </c>
      <c r="BM542" s="31" t="n">
        <f aca="false">ROUNDDOWN(J542*設定!$C$15/1000,0)</f>
        <v>0</v>
      </c>
      <c r="BN542" s="31" t="n">
        <f aca="false">L542+M542</f>
        <v>0</v>
      </c>
      <c r="BO542" s="31" t="n">
        <f aca="false">N542+O542+P542</f>
        <v>0</v>
      </c>
      <c r="BP542" s="31" t="n">
        <f aca="false">Q542</f>
        <v>0</v>
      </c>
      <c r="BQ542" s="31" t="n">
        <f aca="false">R542</f>
        <v>0</v>
      </c>
      <c r="BR542" s="31" t="n">
        <f aca="false">S542</f>
        <v>0</v>
      </c>
      <c r="BS542" s="31" t="n">
        <f aca="false">T542</f>
        <v>0</v>
      </c>
      <c r="BT542" s="31" t="n">
        <f aca="false">U542</f>
        <v>0</v>
      </c>
      <c r="BU542" s="31" t="n">
        <f aca="false">V542</f>
        <v>0</v>
      </c>
      <c r="BV542" s="32" t="n">
        <f aca="false">IF(BF542=0,IF(BN542=0,0,1),(BN542-BF542)/BF542)</f>
        <v>0</v>
      </c>
      <c r="BW542" s="32" t="n">
        <f aca="false">IF(BG542=0,IF(BO542=0,0,1),(BO542-BG542)/BG542)</f>
        <v>0</v>
      </c>
      <c r="BX542" s="32" t="n">
        <f aca="false">IF(BH542=0,IF(BP542=0,0,1),(BP542-BH542)/BH542)</f>
        <v>0</v>
      </c>
      <c r="BY542" s="32" t="n">
        <f aca="false">IF(BI542=0,IF(BQ542=0,0,1),(BQ542-BI542)/BI542)</f>
        <v>0</v>
      </c>
      <c r="BZ542" s="32" t="n">
        <f aca="false">IF(BJ542=0,IF(BR542=0,0,1),(BR542-BJ542)/BJ542)</f>
        <v>0</v>
      </c>
      <c r="CA542" s="32" t="n">
        <f aca="false">IF(BK542=0,IF(BS542=0,0,1),(BS542-BK542)/BK542)</f>
        <v>0</v>
      </c>
      <c r="CB542" s="32" t="n">
        <f aca="false">IF(BL542=0,IF(BT542=0,0,1),(BT542-BL542)/BL542)</f>
        <v>0</v>
      </c>
      <c r="CC542" s="32" t="n">
        <f aca="false">IF(BM542=0,IF(BU542=0,0,1),(BU542-BM542)/BM542)</f>
        <v>0</v>
      </c>
      <c r="CD542" s="32" t="n">
        <f aca="false">MAX(MAX(BV542:CC542),-MIN(BV542:CC542))</f>
        <v>-0</v>
      </c>
      <c r="CE542" s="31" t="n">
        <f aca="false">IF(CI542="","",SUMIFS($CF$7:$CF$696,$A$7:$A$696,CI542,$B$7:$B$696,B542))</f>
        <v>826720</v>
      </c>
      <c r="CF542" s="31" t="n">
        <f aca="false">SUM(AU542:BE542)</f>
        <v>835973</v>
      </c>
      <c r="CG542" s="36" t="str">
        <f aca="false">A542&amp;"|"&amp;B542</f>
        <v>2027-01 月例|バス協調・共創
プラットフォーム</v>
      </c>
      <c r="CH542" s="34" t="str">
        <f aca="false">IFERROR(INDEX(設定!$D$61:$D$106,MATCH(B542,設定!$B$61:$B$106,0)),"Y")</f>
        <v>Y</v>
      </c>
      <c r="CI542" s="34" t="str">
        <f aca="false">IFERROR(INDEX(設定!$D$20:$D$34,MATCH(A542,設定!$A$20:$A$34,0))&amp;"","")</f>
        <v>2026-12 月例</v>
      </c>
    </row>
    <row r="543" customFormat="false" ht="15" hidden="true" customHeight="false" outlineLevel="0" collapsed="false">
      <c r="A543" s="22" t="s">
        <v>219</v>
      </c>
      <c r="B543" s="23" t="s">
        <v>191</v>
      </c>
      <c r="C543" s="10" t="str">
        <f aca="false">IF(G543="","未受領",IF(G543="なし","報告なし",IF(AH543="○","起票済",IF(OR(AG543="○",F543="一致",F543="入金不要"),"入金確認済","受領済"))))</f>
        <v>未受領</v>
      </c>
      <c r="D543" s="10" t="str">
        <f aca="false">IF(OR(G543="",G543="なし"),"―",IF(CH543="N","対象外",IF(AND(I543="",J543="",K543=""),"標報未入力",IF(CD543&gt;=設定!$B$4,"要確認","問題なし"))))</f>
        <v>―</v>
      </c>
      <c r="E543" s="24" t="str">
        <f aca="false">IF(OR(G543="",G543="なし",CE543="",CF543=0),"―",IF(CF543=CE543,"前月同額",IF(CE543=0,"―",IF(ABS(CF543/CE543-1)&gt;=設定!$B$5,"変動大 "&amp;TEXT(CF543/CE543-1,"+0%;-0%"),"〇"))))</f>
        <v>―</v>
      </c>
      <c r="F543" s="10" t="str">
        <f aca="false">IF(OR(G543="",G543="なし"),"―",IF(CF543=0,"入金不要",IF(COUNT(Z543,AB543,AD543,AF543)=0,IF(AG543="○","手動確認","未入金"),IF(AND(N(Z543)=Y543,IF(AA543="",TRUE(),N(AB543)=AA543),IF(AC543="",TRUE(),N(AD543)=AC543),IF(AE543="",TRUE(),N(AF543)=AE543)),"一致","不一致"))))</f>
        <v>―</v>
      </c>
      <c r="G543" s="25"/>
      <c r="H543" s="26"/>
      <c r="I543" s="27"/>
      <c r="J543" s="27"/>
      <c r="K543" s="27"/>
      <c r="L543" s="27"/>
      <c r="M543" s="27"/>
      <c r="N543" s="27"/>
      <c r="O543" s="27"/>
      <c r="P543" s="27"/>
      <c r="Q543" s="27"/>
      <c r="R543" s="27"/>
      <c r="S543" s="27"/>
      <c r="T543" s="27"/>
      <c r="U543" s="27"/>
      <c r="V543" s="27"/>
      <c r="W543" s="10" t="str">
        <f aca="false">IFERROR(INDEX(設定!$E$61:$E$106,MATCH(B543,設定!$B$61:$B$106,0)),"合算")</f>
        <v>合算</v>
      </c>
      <c r="X543" s="28"/>
      <c r="Y543" s="29" t="str">
        <f aca="false">IF(OR(G543="",G543="なし"),"",IF(W543="合算",CF543,IF(W543="掛金・負担金別",(AU543+AV543+AZ543+BB543+BD543),SUM(AU543:AY543))))</f>
        <v/>
      </c>
      <c r="Z543" s="27"/>
      <c r="AA543" s="29" t="str">
        <f aca="false">IF(OR(G543="",G543="なし"),"",IF(W543="掛金・負担金別",(AW543+AX543+AY543+BA543+BC543+BE543),IF(W543="経理区分別",AZ543+BA543,"")))</f>
        <v/>
      </c>
      <c r="AB543" s="27"/>
      <c r="AC543" s="29" t="str">
        <f aca="false">IF(OR(G543="",G543="なし"),"",IF(W543="経理区分別",BB543+BC543,""))</f>
        <v/>
      </c>
      <c r="AD543" s="27"/>
      <c r="AE543" s="29" t="str">
        <f aca="false">IF(OR(G543="",G543="なし"),"",IF(W543="経理区分別",BD543+BE543,""))</f>
        <v/>
      </c>
      <c r="AF543" s="27"/>
      <c r="AG543" s="26"/>
      <c r="AH543" s="26"/>
      <c r="AI543" s="30"/>
      <c r="AJ543" s="31" t="n">
        <v>56730</v>
      </c>
      <c r="AK543" s="31" t="n">
        <v>4650</v>
      </c>
      <c r="AL543" s="31" t="n">
        <v>56730</v>
      </c>
      <c r="AM543" s="31" t="n">
        <v>4650</v>
      </c>
      <c r="AN543" s="31" t="n">
        <v>58</v>
      </c>
      <c r="AO543" s="31" t="n">
        <v>34106</v>
      </c>
      <c r="AP543" s="31" t="n">
        <v>34168</v>
      </c>
      <c r="AQ543" s="31" t="n">
        <v>4898</v>
      </c>
      <c r="AR543" s="31" t="n">
        <v>4898</v>
      </c>
      <c r="AS543" s="31" t="n">
        <v>1</v>
      </c>
      <c r="AT543" s="31" t="n">
        <v>1</v>
      </c>
      <c r="AU543" s="31" t="n">
        <f aca="false">IF($G543="",AJ543,L543)</f>
        <v>56730</v>
      </c>
      <c r="AV543" s="31" t="n">
        <f aca="false">IF($G543="",AK543,M543)</f>
        <v>4650</v>
      </c>
      <c r="AW543" s="31" t="n">
        <f aca="false">IF($G543="",AL543,N543)</f>
        <v>56730</v>
      </c>
      <c r="AX543" s="31" t="n">
        <f aca="false">IF($G543="",AM543,O543)</f>
        <v>4650</v>
      </c>
      <c r="AY543" s="31" t="n">
        <f aca="false">IF($G543="",AN543,P543)</f>
        <v>58</v>
      </c>
      <c r="AZ543" s="31" t="n">
        <f aca="false">IF($G543="",AO543,Q543)</f>
        <v>34106</v>
      </c>
      <c r="BA543" s="31" t="n">
        <f aca="false">IF($G543="",AP543,R543)</f>
        <v>34168</v>
      </c>
      <c r="BB543" s="31" t="n">
        <f aca="false">IF($G543="",AQ543,S543)</f>
        <v>4898</v>
      </c>
      <c r="BC543" s="31" t="n">
        <f aca="false">IF($G543="",AR543,T543)</f>
        <v>4898</v>
      </c>
      <c r="BD543" s="31" t="n">
        <f aca="false">IF($G543="",AS543,U543)</f>
        <v>1</v>
      </c>
      <c r="BE543" s="31" t="n">
        <f aca="false">IF($G543="",AT543,V543)</f>
        <v>1</v>
      </c>
      <c r="BF543" s="31" t="n">
        <f aca="false">ROUNDDOWN(I543*設定!$B$10/1000,0)+ROUNDDOWN(I543*設定!$B$11/1000,0)</f>
        <v>0</v>
      </c>
      <c r="BG543" s="31" t="n">
        <f aca="false">ROUNDDOWN(I543*設定!$C$10/1000,0)+ROUNDDOWN(I543*設定!$C$11/1000,0)+ROUNDDOWN(I543*設定!$C$12/1000,0)</f>
        <v>0</v>
      </c>
      <c r="BH543" s="31" t="n">
        <f aca="false">ROUNDDOWN(J543*設定!$B$13/1000,0)</f>
        <v>0</v>
      </c>
      <c r="BI543" s="31" t="n">
        <f aca="false">ROUNDDOWN(J543*設定!$C$13/1000,0)</f>
        <v>0</v>
      </c>
      <c r="BJ543" s="31" t="n">
        <f aca="false">ROUNDDOWN(K543*設定!$B$14/1000,0)</f>
        <v>0</v>
      </c>
      <c r="BK543" s="31" t="n">
        <f aca="false">ROUNDDOWN(K543*設定!$C$14/1000,0)</f>
        <v>0</v>
      </c>
      <c r="BL543" s="31" t="n">
        <f aca="false">ROUNDDOWN(J543*設定!$B$15/1000,0)</f>
        <v>0</v>
      </c>
      <c r="BM543" s="31" t="n">
        <f aca="false">ROUNDDOWN(J543*設定!$C$15/1000,0)</f>
        <v>0</v>
      </c>
      <c r="BN543" s="31" t="n">
        <f aca="false">L543+M543</f>
        <v>0</v>
      </c>
      <c r="BO543" s="31" t="n">
        <f aca="false">N543+O543+P543</f>
        <v>0</v>
      </c>
      <c r="BP543" s="31" t="n">
        <f aca="false">Q543</f>
        <v>0</v>
      </c>
      <c r="BQ543" s="31" t="n">
        <f aca="false">R543</f>
        <v>0</v>
      </c>
      <c r="BR543" s="31" t="n">
        <f aca="false">S543</f>
        <v>0</v>
      </c>
      <c r="BS543" s="31" t="n">
        <f aca="false">T543</f>
        <v>0</v>
      </c>
      <c r="BT543" s="31" t="n">
        <f aca="false">U543</f>
        <v>0</v>
      </c>
      <c r="BU543" s="31" t="n">
        <f aca="false">V543</f>
        <v>0</v>
      </c>
      <c r="BV543" s="32" t="n">
        <f aca="false">IF(BF543=0,IF(BN543=0,0,1),(BN543-BF543)/BF543)</f>
        <v>0</v>
      </c>
      <c r="BW543" s="32" t="n">
        <f aca="false">IF(BG543=0,IF(BO543=0,0,1),(BO543-BG543)/BG543)</f>
        <v>0</v>
      </c>
      <c r="BX543" s="32" t="n">
        <f aca="false">IF(BH543=0,IF(BP543=0,0,1),(BP543-BH543)/BH543)</f>
        <v>0</v>
      </c>
      <c r="BY543" s="32" t="n">
        <f aca="false">IF(BI543=0,IF(BQ543=0,0,1),(BQ543-BI543)/BI543)</f>
        <v>0</v>
      </c>
      <c r="BZ543" s="32" t="n">
        <f aca="false">IF(BJ543=0,IF(BR543=0,0,1),(BR543-BJ543)/BJ543)</f>
        <v>0</v>
      </c>
      <c r="CA543" s="32" t="n">
        <f aca="false">IF(BK543=0,IF(BS543=0,0,1),(BS543-BK543)/BK543)</f>
        <v>0</v>
      </c>
      <c r="CB543" s="32" t="n">
        <f aca="false">IF(BL543=0,IF(BT543=0,0,1),(BT543-BL543)/BL543)</f>
        <v>0</v>
      </c>
      <c r="CC543" s="32" t="n">
        <f aca="false">IF(BM543=0,IF(BU543=0,0,1),(BU543-BM543)/BM543)</f>
        <v>0</v>
      </c>
      <c r="CD543" s="32" t="n">
        <f aca="false">MAX(MAX(BV543:CC543),-MIN(BV543:CC543))</f>
        <v>-0</v>
      </c>
      <c r="CE543" s="31" t="n">
        <f aca="false">IF(CI543="","",SUMIFS($CF$7:$CF$696,$A$7:$A$696,CI543,$B$7:$B$696,B543))</f>
        <v>200890</v>
      </c>
      <c r="CF543" s="31" t="n">
        <f aca="false">SUM(AU543:BE543)</f>
        <v>200890</v>
      </c>
      <c r="CG543" s="33" t="str">
        <f aca="false">A543&amp;"|"&amp;B543</f>
        <v>2027-01 月例|広島県市長会</v>
      </c>
      <c r="CH543" s="34" t="str">
        <f aca="false">IFERROR(INDEX(設定!$D$61:$D$106,MATCH(B543,設定!$B$61:$B$106,0)),"Y")</f>
        <v>Y</v>
      </c>
      <c r="CI543" s="34" t="str">
        <f aca="false">IFERROR(INDEX(設定!$D$20:$D$34,MATCH(A543,設定!$A$20:$A$34,0))&amp;"","")</f>
        <v>2026-12 月例</v>
      </c>
    </row>
    <row r="544" customFormat="false" ht="15" hidden="true" customHeight="false" outlineLevel="0" collapsed="false">
      <c r="A544" s="22" t="s">
        <v>219</v>
      </c>
      <c r="B544" s="23" t="s">
        <v>192</v>
      </c>
      <c r="C544" s="10" t="str">
        <f aca="false">IF(G544="","未受領",IF(G544="なし","報告なし",IF(AH544="○","起票済",IF(OR(AG544="○",F544="一致",F544="入金不要"),"入金確認済","受領済"))))</f>
        <v>未受領</v>
      </c>
      <c r="D544" s="10" t="str">
        <f aca="false">IF(OR(G544="",G544="なし"),"―",IF(CH544="N","対象外",IF(AND(I544="",J544="",K544=""),"標報未入力",IF(CD544&gt;=設定!$B$4,"要確認","問題なし"))))</f>
        <v>―</v>
      </c>
      <c r="E544" s="24" t="str">
        <f aca="false">IF(OR(G544="",G544="なし",CE544="",CF544=0),"―",IF(CF544=CE544,"前月同額",IF(CE544=0,"―",IF(ABS(CF544/CE544-1)&gt;=設定!$B$5,"変動大 "&amp;TEXT(CF544/CE544-1,"+0%;-0%"),"〇"))))</f>
        <v>―</v>
      </c>
      <c r="F544" s="10" t="str">
        <f aca="false">IF(OR(G544="",G544="なし"),"―",IF(CF544=0,"入金不要",IF(COUNT(Z544,AB544,AD544,AF544)=0,IF(AG544="○","手動確認","未入金"),IF(AND(N(Z544)=Y544,IF(AA544="",TRUE(),N(AB544)=AA544),IF(AC544="",TRUE(),N(AD544)=AC544),IF(AE544="",TRUE(),N(AF544)=AE544)),"一致","不一致"))))</f>
        <v>―</v>
      </c>
      <c r="G544" s="25"/>
      <c r="H544" s="26"/>
      <c r="I544" s="27"/>
      <c r="J544" s="27"/>
      <c r="K544" s="27"/>
      <c r="L544" s="27"/>
      <c r="M544" s="27"/>
      <c r="N544" s="27"/>
      <c r="O544" s="27"/>
      <c r="P544" s="27"/>
      <c r="Q544" s="27"/>
      <c r="R544" s="27"/>
      <c r="S544" s="27"/>
      <c r="T544" s="27"/>
      <c r="U544" s="27"/>
      <c r="V544" s="27"/>
      <c r="W544" s="10" t="str">
        <f aca="false">IFERROR(INDEX(設定!$E$61:$E$106,MATCH(B544,設定!$B$61:$B$106,0)),"合算")</f>
        <v>合算</v>
      </c>
      <c r="X544" s="28"/>
      <c r="Y544" s="29" t="str">
        <f aca="false">IF(OR(G544="",G544="なし"),"",IF(W544="合算",CF544,IF(W544="掛金・負担金別",(AU544+AV544+AZ544+BB544+BD544),SUM(AU544:AY544))))</f>
        <v/>
      </c>
      <c r="Z544" s="27"/>
      <c r="AA544" s="29" t="str">
        <f aca="false">IF(OR(G544="",G544="なし"),"",IF(W544="掛金・負担金別",(AW544+AX544+AY544+BA544+BC544+BE544),IF(W544="経理区分別",AZ544+BA544,"")))</f>
        <v/>
      </c>
      <c r="AB544" s="27"/>
      <c r="AC544" s="29" t="str">
        <f aca="false">IF(OR(G544="",G544="なし"),"",IF(W544="経理区分別",BB544+BC544,""))</f>
        <v/>
      </c>
      <c r="AD544" s="27"/>
      <c r="AE544" s="29" t="str">
        <f aca="false">IF(OR(G544="",G544="なし"),"",IF(W544="経理区分別",BD544+BE544,""))</f>
        <v/>
      </c>
      <c r="AF544" s="27"/>
      <c r="AG544" s="26"/>
      <c r="AH544" s="26"/>
      <c r="AI544" s="30"/>
      <c r="AJ544" s="31" t="n">
        <v>59475</v>
      </c>
      <c r="AK544" s="31" t="n">
        <v>4875</v>
      </c>
      <c r="AL544" s="31" t="n">
        <v>59475</v>
      </c>
      <c r="AM544" s="31" t="n">
        <v>4875</v>
      </c>
      <c r="AN544" s="31" t="n">
        <v>61</v>
      </c>
      <c r="AO544" s="31" t="n">
        <v>41257</v>
      </c>
      <c r="AP544" s="31" t="n">
        <v>41332</v>
      </c>
      <c r="AQ544" s="31" t="n">
        <v>5925</v>
      </c>
      <c r="AR544" s="31" t="n">
        <v>5925</v>
      </c>
      <c r="AS544" s="31" t="n">
        <v>1</v>
      </c>
      <c r="AT544" s="31" t="n">
        <v>1</v>
      </c>
      <c r="AU544" s="31" t="n">
        <f aca="false">IF($G544="",AJ544,L544)</f>
        <v>59475</v>
      </c>
      <c r="AV544" s="31" t="n">
        <f aca="false">IF($G544="",AK544,M544)</f>
        <v>4875</v>
      </c>
      <c r="AW544" s="31" t="n">
        <f aca="false">IF($G544="",AL544,N544)</f>
        <v>59475</v>
      </c>
      <c r="AX544" s="31" t="n">
        <f aca="false">IF($G544="",AM544,O544)</f>
        <v>4875</v>
      </c>
      <c r="AY544" s="31" t="n">
        <f aca="false">IF($G544="",AN544,P544)</f>
        <v>61</v>
      </c>
      <c r="AZ544" s="31" t="n">
        <f aca="false">IF($G544="",AO544,Q544)</f>
        <v>41257</v>
      </c>
      <c r="BA544" s="31" t="n">
        <f aca="false">IF($G544="",AP544,R544)</f>
        <v>41332</v>
      </c>
      <c r="BB544" s="31" t="n">
        <f aca="false">IF($G544="",AQ544,S544)</f>
        <v>5925</v>
      </c>
      <c r="BC544" s="31" t="n">
        <f aca="false">IF($G544="",AR544,T544)</f>
        <v>5925</v>
      </c>
      <c r="BD544" s="31" t="n">
        <f aca="false">IF($G544="",AS544,U544)</f>
        <v>1</v>
      </c>
      <c r="BE544" s="31" t="n">
        <f aca="false">IF($G544="",AT544,V544)</f>
        <v>1</v>
      </c>
      <c r="BF544" s="31" t="n">
        <f aca="false">ROUNDDOWN(I544*設定!$B$10/1000,0)+ROUNDDOWN(I544*設定!$B$11/1000,0)</f>
        <v>0</v>
      </c>
      <c r="BG544" s="31" t="n">
        <f aca="false">ROUNDDOWN(I544*設定!$C$10/1000,0)+ROUNDDOWN(I544*設定!$C$11/1000,0)+ROUNDDOWN(I544*設定!$C$12/1000,0)</f>
        <v>0</v>
      </c>
      <c r="BH544" s="31" t="n">
        <f aca="false">ROUNDDOWN(J544*設定!$B$13/1000,0)</f>
        <v>0</v>
      </c>
      <c r="BI544" s="31" t="n">
        <f aca="false">ROUNDDOWN(J544*設定!$C$13/1000,0)</f>
        <v>0</v>
      </c>
      <c r="BJ544" s="31" t="n">
        <f aca="false">ROUNDDOWN(K544*設定!$B$14/1000,0)</f>
        <v>0</v>
      </c>
      <c r="BK544" s="31" t="n">
        <f aca="false">ROUNDDOWN(K544*設定!$C$14/1000,0)</f>
        <v>0</v>
      </c>
      <c r="BL544" s="31" t="n">
        <f aca="false">ROUNDDOWN(J544*設定!$B$15/1000,0)</f>
        <v>0</v>
      </c>
      <c r="BM544" s="31" t="n">
        <f aca="false">ROUNDDOWN(J544*設定!$C$15/1000,0)</f>
        <v>0</v>
      </c>
      <c r="BN544" s="31" t="n">
        <f aca="false">L544+M544</f>
        <v>0</v>
      </c>
      <c r="BO544" s="31" t="n">
        <f aca="false">N544+O544+P544</f>
        <v>0</v>
      </c>
      <c r="BP544" s="31" t="n">
        <f aca="false">Q544</f>
        <v>0</v>
      </c>
      <c r="BQ544" s="31" t="n">
        <f aca="false">R544</f>
        <v>0</v>
      </c>
      <c r="BR544" s="31" t="n">
        <f aca="false">S544</f>
        <v>0</v>
      </c>
      <c r="BS544" s="31" t="n">
        <f aca="false">T544</f>
        <v>0</v>
      </c>
      <c r="BT544" s="31" t="n">
        <f aca="false">U544</f>
        <v>0</v>
      </c>
      <c r="BU544" s="31" t="n">
        <f aca="false">V544</f>
        <v>0</v>
      </c>
      <c r="BV544" s="32" t="n">
        <f aca="false">IF(BF544=0,IF(BN544=0,0,1),(BN544-BF544)/BF544)</f>
        <v>0</v>
      </c>
      <c r="BW544" s="32" t="n">
        <f aca="false">IF(BG544=0,IF(BO544=0,0,1),(BO544-BG544)/BG544)</f>
        <v>0</v>
      </c>
      <c r="BX544" s="32" t="n">
        <f aca="false">IF(BH544=0,IF(BP544=0,0,1),(BP544-BH544)/BH544)</f>
        <v>0</v>
      </c>
      <c r="BY544" s="32" t="n">
        <f aca="false">IF(BI544=0,IF(BQ544=0,0,1),(BQ544-BI544)/BI544)</f>
        <v>0</v>
      </c>
      <c r="BZ544" s="32" t="n">
        <f aca="false">IF(BJ544=0,IF(BR544=0,0,1),(BR544-BJ544)/BJ544)</f>
        <v>0</v>
      </c>
      <c r="CA544" s="32" t="n">
        <f aca="false">IF(BK544=0,IF(BS544=0,0,1),(BS544-BK544)/BK544)</f>
        <v>0</v>
      </c>
      <c r="CB544" s="32" t="n">
        <f aca="false">IF(BL544=0,IF(BT544=0,0,1),(BT544-BL544)/BL544)</f>
        <v>0</v>
      </c>
      <c r="CC544" s="32" t="n">
        <f aca="false">IF(BM544=0,IF(BU544=0,0,1),(BU544-BM544)/BM544)</f>
        <v>0</v>
      </c>
      <c r="CD544" s="32" t="n">
        <f aca="false">MAX(MAX(BV544:CC544),-MIN(BV544:CC544))</f>
        <v>-0</v>
      </c>
      <c r="CE544" s="31" t="n">
        <f aca="false">IF(CI544="","",SUMIFS($CF$7:$CF$696,$A$7:$A$696,CI544,$B$7:$B$696,B544))</f>
        <v>223202</v>
      </c>
      <c r="CF544" s="31" t="n">
        <f aca="false">SUM(AU544:BE544)</f>
        <v>223202</v>
      </c>
      <c r="CG544" s="33" t="str">
        <f aca="false">A544&amp;"|"&amp;B544</f>
        <v>2027-01 月例|全国市町村研修財団</v>
      </c>
      <c r="CH544" s="34" t="str">
        <f aca="false">IFERROR(INDEX(設定!$D$61:$D$106,MATCH(B544,設定!$B$61:$B$106,0)),"Y")</f>
        <v>Y</v>
      </c>
      <c r="CI544" s="34" t="str">
        <f aca="false">IFERROR(INDEX(設定!$D$20:$D$34,MATCH(A544,設定!$A$20:$A$34,0))&amp;"","")</f>
        <v>2026-12 月例</v>
      </c>
    </row>
    <row r="545" customFormat="false" ht="15" hidden="true" customHeight="false" outlineLevel="0" collapsed="false">
      <c r="A545" s="22" t="s">
        <v>219</v>
      </c>
      <c r="B545" s="23" t="s">
        <v>193</v>
      </c>
      <c r="C545" s="10" t="str">
        <f aca="false">IF(G545="","未受領",IF(G545="なし","報告なし",IF(AH545="○","起票済",IF(OR(AG545="○",F545="一致",F545="入金不要"),"入金確認済","受領済"))))</f>
        <v>未受領</v>
      </c>
      <c r="D545" s="10" t="str">
        <f aca="false">IF(OR(G545="",G545="なし"),"―",IF(CH545="N","対象外",IF(AND(I545="",J545="",K545=""),"標報未入力",IF(CD545&gt;=設定!$B$4,"要確認","問題なし"))))</f>
        <v>―</v>
      </c>
      <c r="E545" s="24" t="str">
        <f aca="false">IF(OR(G545="",G545="なし",CE545="",CF545=0),"―",IF(CF545=CE545,"前月同額",IF(CE545=0,"―",IF(ABS(CF545/CE545-1)&gt;=設定!$B$5,"変動大 "&amp;TEXT(CF545/CE545-1,"+0%;-0%"),"〇"))))</f>
        <v>―</v>
      </c>
      <c r="F545" s="10" t="str">
        <f aca="false">IF(OR(G545="",G545="なし"),"―",IF(CF545=0,"入金不要",IF(COUNT(Z545,AB545,AD545,AF545)=0,IF(AG545="○","手動確認","未入金"),IF(AND(N(Z545)=Y545,IF(AA545="",TRUE(),N(AB545)=AA545),IF(AC545="",TRUE(),N(AD545)=AC545),IF(AE545="",TRUE(),N(AF545)=AE545)),"一致","不一致"))))</f>
        <v>―</v>
      </c>
      <c r="G545" s="25"/>
      <c r="H545" s="26"/>
      <c r="I545" s="27"/>
      <c r="J545" s="27"/>
      <c r="K545" s="27"/>
      <c r="L545" s="27"/>
      <c r="M545" s="27"/>
      <c r="N545" s="27"/>
      <c r="O545" s="27"/>
      <c r="P545" s="27"/>
      <c r="Q545" s="27"/>
      <c r="R545" s="27"/>
      <c r="S545" s="27"/>
      <c r="T545" s="27"/>
      <c r="U545" s="27"/>
      <c r="V545" s="27"/>
      <c r="W545" s="10" t="str">
        <f aca="false">IFERROR(INDEX(設定!$E$61:$E$106,MATCH(B545,設定!$B$61:$B$106,0)),"合算")</f>
        <v>合算</v>
      </c>
      <c r="X545" s="28"/>
      <c r="Y545" s="29" t="str">
        <f aca="false">IF(OR(G545="",G545="なし"),"",IF(W545="合算",CF545,IF(W545="掛金・負担金別",(AU545+AV545+AZ545+BB545+BD545),SUM(AU545:AY545))))</f>
        <v/>
      </c>
      <c r="Z545" s="27"/>
      <c r="AA545" s="29" t="str">
        <f aca="false">IF(OR(G545="",G545="なし"),"",IF(W545="掛金・負担金別",(AW545+AX545+AY545+BA545+BC545+BE545),IF(W545="経理区分別",AZ545+BA545,"")))</f>
        <v/>
      </c>
      <c r="AB545" s="27"/>
      <c r="AC545" s="29" t="str">
        <f aca="false">IF(OR(G545="",G545="なし"),"",IF(W545="経理区分別",BB545+BC545,""))</f>
        <v/>
      </c>
      <c r="AD545" s="27"/>
      <c r="AE545" s="29" t="str">
        <f aca="false">IF(OR(G545="",G545="なし"),"",IF(W545="経理区分別",BD545+BE545,""))</f>
        <v/>
      </c>
      <c r="AF545" s="27"/>
      <c r="AG545" s="26"/>
      <c r="AH545" s="26"/>
      <c r="AI545" s="30"/>
      <c r="AJ545" s="31" t="n">
        <v>53985</v>
      </c>
      <c r="AK545" s="31" t="n">
        <v>4425</v>
      </c>
      <c r="AL545" s="31" t="n">
        <v>53985</v>
      </c>
      <c r="AM545" s="31" t="n">
        <v>4425</v>
      </c>
      <c r="AN545" s="31" t="n">
        <v>55</v>
      </c>
      <c r="AO545" s="31" t="n">
        <v>32455</v>
      </c>
      <c r="AP545" s="31" t="n">
        <v>32514</v>
      </c>
      <c r="AQ545" s="31" t="n">
        <v>0</v>
      </c>
      <c r="AR545" s="31" t="n">
        <v>0</v>
      </c>
      <c r="AS545" s="31" t="n">
        <v>1</v>
      </c>
      <c r="AT545" s="31" t="n">
        <v>1</v>
      </c>
      <c r="AU545" s="31" t="n">
        <f aca="false">IF($G545="",AJ545,L545)</f>
        <v>53985</v>
      </c>
      <c r="AV545" s="31" t="n">
        <f aca="false">IF($G545="",AK545,M545)</f>
        <v>4425</v>
      </c>
      <c r="AW545" s="31" t="n">
        <f aca="false">IF($G545="",AL545,N545)</f>
        <v>53985</v>
      </c>
      <c r="AX545" s="31" t="n">
        <f aca="false">IF($G545="",AM545,O545)</f>
        <v>4425</v>
      </c>
      <c r="AY545" s="31" t="n">
        <f aca="false">IF($G545="",AN545,P545)</f>
        <v>55</v>
      </c>
      <c r="AZ545" s="31" t="n">
        <f aca="false">IF($G545="",AO545,Q545)</f>
        <v>32455</v>
      </c>
      <c r="BA545" s="31" t="n">
        <f aca="false">IF($G545="",AP545,R545)</f>
        <v>32514</v>
      </c>
      <c r="BB545" s="31" t="n">
        <f aca="false">IF($G545="",AQ545,S545)</f>
        <v>0</v>
      </c>
      <c r="BC545" s="31" t="n">
        <f aca="false">IF($G545="",AR545,T545)</f>
        <v>0</v>
      </c>
      <c r="BD545" s="31" t="n">
        <f aca="false">IF($G545="",AS545,U545)</f>
        <v>1</v>
      </c>
      <c r="BE545" s="31" t="n">
        <f aca="false">IF($G545="",AT545,V545)</f>
        <v>1</v>
      </c>
      <c r="BF545" s="31" t="n">
        <f aca="false">ROUNDDOWN(I545*設定!$B$10/1000,0)+ROUNDDOWN(I545*設定!$B$11/1000,0)</f>
        <v>0</v>
      </c>
      <c r="BG545" s="31" t="n">
        <f aca="false">ROUNDDOWN(I545*設定!$C$10/1000,0)+ROUNDDOWN(I545*設定!$C$11/1000,0)+ROUNDDOWN(I545*設定!$C$12/1000,0)</f>
        <v>0</v>
      </c>
      <c r="BH545" s="31" t="n">
        <f aca="false">ROUNDDOWN(J545*設定!$B$13/1000,0)</f>
        <v>0</v>
      </c>
      <c r="BI545" s="31" t="n">
        <f aca="false">ROUNDDOWN(J545*設定!$C$13/1000,0)</f>
        <v>0</v>
      </c>
      <c r="BJ545" s="31" t="n">
        <f aca="false">ROUNDDOWN(K545*設定!$B$14/1000,0)</f>
        <v>0</v>
      </c>
      <c r="BK545" s="31" t="n">
        <f aca="false">ROUNDDOWN(K545*設定!$C$14/1000,0)</f>
        <v>0</v>
      </c>
      <c r="BL545" s="31" t="n">
        <f aca="false">ROUNDDOWN(J545*設定!$B$15/1000,0)</f>
        <v>0</v>
      </c>
      <c r="BM545" s="31" t="n">
        <f aca="false">ROUNDDOWN(J545*設定!$C$15/1000,0)</f>
        <v>0</v>
      </c>
      <c r="BN545" s="31" t="n">
        <f aca="false">L545+M545</f>
        <v>0</v>
      </c>
      <c r="BO545" s="31" t="n">
        <f aca="false">N545+O545+P545</f>
        <v>0</v>
      </c>
      <c r="BP545" s="31" t="n">
        <f aca="false">Q545</f>
        <v>0</v>
      </c>
      <c r="BQ545" s="31" t="n">
        <f aca="false">R545</f>
        <v>0</v>
      </c>
      <c r="BR545" s="31" t="n">
        <f aca="false">S545</f>
        <v>0</v>
      </c>
      <c r="BS545" s="31" t="n">
        <f aca="false">T545</f>
        <v>0</v>
      </c>
      <c r="BT545" s="31" t="n">
        <f aca="false">U545</f>
        <v>0</v>
      </c>
      <c r="BU545" s="31" t="n">
        <f aca="false">V545</f>
        <v>0</v>
      </c>
      <c r="BV545" s="32" t="n">
        <f aca="false">IF(BF545=0,IF(BN545=0,0,1),(BN545-BF545)/BF545)</f>
        <v>0</v>
      </c>
      <c r="BW545" s="32" t="n">
        <f aca="false">IF(BG545=0,IF(BO545=0,0,1),(BO545-BG545)/BG545)</f>
        <v>0</v>
      </c>
      <c r="BX545" s="32" t="n">
        <f aca="false">IF(BH545=0,IF(BP545=0,0,1),(BP545-BH545)/BH545)</f>
        <v>0</v>
      </c>
      <c r="BY545" s="32" t="n">
        <f aca="false">IF(BI545=0,IF(BQ545=0,0,1),(BQ545-BI545)/BI545)</f>
        <v>0</v>
      </c>
      <c r="BZ545" s="32" t="n">
        <f aca="false">IF(BJ545=0,IF(BR545=0,0,1),(BR545-BJ545)/BJ545)</f>
        <v>0</v>
      </c>
      <c r="CA545" s="32" t="n">
        <f aca="false">IF(BK545=0,IF(BS545=0,0,1),(BS545-BK545)/BK545)</f>
        <v>0</v>
      </c>
      <c r="CB545" s="32" t="n">
        <f aca="false">IF(BL545=0,IF(BT545=0,0,1),(BT545-BL545)/BL545)</f>
        <v>0</v>
      </c>
      <c r="CC545" s="32" t="n">
        <f aca="false">IF(BM545=0,IF(BU545=0,0,1),(BU545-BM545)/BM545)</f>
        <v>0</v>
      </c>
      <c r="CD545" s="32" t="n">
        <f aca="false">MAX(MAX(BV545:CC545),-MIN(BV545:CC545))</f>
        <v>-0</v>
      </c>
      <c r="CE545" s="31" t="n">
        <f aca="false">IF(CI545="","",SUMIFS($CF$7:$CF$696,$A$7:$A$696,CI545,$B$7:$B$696,B545))</f>
        <v>163354</v>
      </c>
      <c r="CF545" s="31" t="n">
        <f aca="false">SUM(AU545:BE545)</f>
        <v>181846</v>
      </c>
      <c r="CG545" s="33" t="str">
        <f aca="false">A545&amp;"|"&amp;B545</f>
        <v>2027-01 月例|都市再生機構</v>
      </c>
      <c r="CH545" s="34" t="str">
        <f aca="false">IFERROR(INDEX(設定!$D$61:$D$106,MATCH(B545,設定!$B$61:$B$106,0)),"Y")</f>
        <v>Y</v>
      </c>
      <c r="CI545" s="34" t="str">
        <f aca="false">IFERROR(INDEX(設定!$D$20:$D$34,MATCH(A545,設定!$A$20:$A$34,0))&amp;"","")</f>
        <v>2026-12 月例</v>
      </c>
    </row>
    <row r="546" customFormat="false" ht="15" hidden="true" customHeight="false" outlineLevel="0" collapsed="false">
      <c r="A546" s="22" t="s">
        <v>219</v>
      </c>
      <c r="B546" s="23" t="s">
        <v>194</v>
      </c>
      <c r="C546" s="10" t="str">
        <f aca="false">IF(G546="","未受領",IF(G546="なし","報告なし",IF(AH546="○","起票済",IF(OR(AG546="○",F546="一致",F546="入金不要"),"入金確認済","受領済"))))</f>
        <v>未受領</v>
      </c>
      <c r="D546" s="10" t="str">
        <f aca="false">IF(OR(G546="",G546="なし"),"―",IF(CH546="N","対象外",IF(AND(I546="",J546="",K546=""),"標報未入力",IF(CD546&gt;=設定!$B$4,"要確認","問題なし"))))</f>
        <v>―</v>
      </c>
      <c r="E546" s="24" t="str">
        <f aca="false">IF(OR(G546="",G546="なし",CE546="",CF546=0),"―",IF(CF546=CE546,"前月同額",IF(CE546=0,"―",IF(ABS(CF546/CE546-1)&gt;=設定!$B$5,"変動大 "&amp;TEXT(CF546/CE546-1,"+0%;-0%"),"〇"))))</f>
        <v>―</v>
      </c>
      <c r="F546" s="10" t="str">
        <f aca="false">IF(OR(G546="",G546="なし"),"―",IF(CF546=0,"入金不要",IF(COUNT(Z546,AB546,AD546,AF546)=0,IF(AG546="○","手動確認","未入金"),IF(AND(N(Z546)=Y546,IF(AA546="",TRUE(),N(AB546)=AA546),IF(AC546="",TRUE(),N(AD546)=AC546),IF(AE546="",TRUE(),N(AF546)=AE546)),"一致","不一致"))))</f>
        <v>―</v>
      </c>
      <c r="G546" s="25"/>
      <c r="H546" s="26"/>
      <c r="I546" s="27"/>
      <c r="J546" s="27"/>
      <c r="K546" s="27"/>
      <c r="L546" s="27"/>
      <c r="M546" s="27"/>
      <c r="N546" s="27"/>
      <c r="O546" s="27"/>
      <c r="P546" s="27"/>
      <c r="Q546" s="27"/>
      <c r="R546" s="27"/>
      <c r="S546" s="27"/>
      <c r="T546" s="27"/>
      <c r="U546" s="27"/>
      <c r="V546" s="27"/>
      <c r="W546" s="10" t="str">
        <f aca="false">IFERROR(INDEX(設定!$E$61:$E$106,MATCH(B546,設定!$B$61:$B$106,0)),"合算")</f>
        <v>合算</v>
      </c>
      <c r="X546" s="28"/>
      <c r="Y546" s="29" t="str">
        <f aca="false">IF(OR(G546="",G546="なし"),"",IF(W546="合算",CF546,IF(W546="掛金・負担金別",(AU546+AV546+AZ546+BB546+BD546),SUM(AU546:AY546))))</f>
        <v/>
      </c>
      <c r="Z546" s="27"/>
      <c r="AA546" s="29" t="str">
        <f aca="false">IF(OR(G546="",G546="なし"),"",IF(W546="掛金・負担金別",(AW546+AX546+AY546+BA546+BC546+BE546),IF(W546="経理区分別",AZ546+BA546,"")))</f>
        <v/>
      </c>
      <c r="AB546" s="27"/>
      <c r="AC546" s="29" t="str">
        <f aca="false">IF(OR(G546="",G546="なし"),"",IF(W546="経理区分別",BB546+BC546,""))</f>
        <v/>
      </c>
      <c r="AD546" s="27"/>
      <c r="AE546" s="29" t="str">
        <f aca="false">IF(OR(G546="",G546="なし"),"",IF(W546="経理区分別",BD546+BE546,""))</f>
        <v/>
      </c>
      <c r="AF546" s="27"/>
      <c r="AG546" s="26"/>
      <c r="AH546" s="26"/>
      <c r="AI546" s="30"/>
      <c r="AJ546" s="31" t="n">
        <v>1197735</v>
      </c>
      <c r="AK546" s="31" t="n">
        <v>98175</v>
      </c>
      <c r="AL546" s="31" t="n">
        <v>1197735</v>
      </c>
      <c r="AM546" s="31" t="n">
        <v>98175</v>
      </c>
      <c r="AN546" s="31" t="n">
        <v>1340</v>
      </c>
      <c r="AO546" s="31" t="n">
        <v>720070</v>
      </c>
      <c r="AP546" s="31" t="n">
        <v>721509</v>
      </c>
      <c r="AQ546" s="31" t="n">
        <v>67940</v>
      </c>
      <c r="AR546" s="31" t="n">
        <v>67940</v>
      </c>
      <c r="AS546" s="31" t="n">
        <v>1</v>
      </c>
      <c r="AT546" s="31" t="n">
        <v>1</v>
      </c>
      <c r="AU546" s="31" t="n">
        <f aca="false">IF($G546="",AJ546,L546)</f>
        <v>1197735</v>
      </c>
      <c r="AV546" s="31" t="n">
        <f aca="false">IF($G546="",AK546,M546)</f>
        <v>98175</v>
      </c>
      <c r="AW546" s="31" t="n">
        <f aca="false">IF($G546="",AL546,N546)</f>
        <v>1197735</v>
      </c>
      <c r="AX546" s="31" t="n">
        <f aca="false">IF($G546="",AM546,O546)</f>
        <v>98175</v>
      </c>
      <c r="AY546" s="31" t="n">
        <f aca="false">IF($G546="",AN546,P546)</f>
        <v>1340</v>
      </c>
      <c r="AZ546" s="31" t="n">
        <f aca="false">IF($G546="",AO546,Q546)</f>
        <v>720070</v>
      </c>
      <c r="BA546" s="31" t="n">
        <f aca="false">IF($G546="",AP546,R546)</f>
        <v>721509</v>
      </c>
      <c r="BB546" s="31" t="n">
        <f aca="false">IF($G546="",AQ546,S546)</f>
        <v>67940</v>
      </c>
      <c r="BC546" s="31" t="n">
        <f aca="false">IF($G546="",AR546,T546)</f>
        <v>67940</v>
      </c>
      <c r="BD546" s="31" t="n">
        <f aca="false">IF($G546="",AS546,U546)</f>
        <v>1</v>
      </c>
      <c r="BE546" s="31" t="n">
        <f aca="false">IF($G546="",AT546,V546)</f>
        <v>1</v>
      </c>
      <c r="BF546" s="31" t="n">
        <f aca="false">ROUNDDOWN(I546*設定!$B$10/1000,0)+ROUNDDOWN(I546*設定!$B$11/1000,0)</f>
        <v>0</v>
      </c>
      <c r="BG546" s="31" t="n">
        <f aca="false">ROUNDDOWN(I546*設定!$C$10/1000,0)+ROUNDDOWN(I546*設定!$C$11/1000,0)+ROUNDDOWN(I546*設定!$C$12/1000,0)</f>
        <v>0</v>
      </c>
      <c r="BH546" s="31" t="n">
        <f aca="false">ROUNDDOWN(J546*設定!$B$13/1000,0)</f>
        <v>0</v>
      </c>
      <c r="BI546" s="31" t="n">
        <f aca="false">ROUNDDOWN(J546*設定!$C$13/1000,0)</f>
        <v>0</v>
      </c>
      <c r="BJ546" s="31" t="n">
        <f aca="false">ROUNDDOWN(K546*設定!$B$14/1000,0)</f>
        <v>0</v>
      </c>
      <c r="BK546" s="31" t="n">
        <f aca="false">ROUNDDOWN(K546*設定!$C$14/1000,0)</f>
        <v>0</v>
      </c>
      <c r="BL546" s="31" t="n">
        <f aca="false">ROUNDDOWN(J546*設定!$B$15/1000,0)</f>
        <v>0</v>
      </c>
      <c r="BM546" s="31" t="n">
        <f aca="false">ROUNDDOWN(J546*設定!$C$15/1000,0)</f>
        <v>0</v>
      </c>
      <c r="BN546" s="31" t="n">
        <f aca="false">L546+M546</f>
        <v>0</v>
      </c>
      <c r="BO546" s="31" t="n">
        <f aca="false">N546+O546+P546</f>
        <v>0</v>
      </c>
      <c r="BP546" s="31" t="n">
        <f aca="false">Q546</f>
        <v>0</v>
      </c>
      <c r="BQ546" s="31" t="n">
        <f aca="false">R546</f>
        <v>0</v>
      </c>
      <c r="BR546" s="31" t="n">
        <f aca="false">S546</f>
        <v>0</v>
      </c>
      <c r="BS546" s="31" t="n">
        <f aca="false">T546</f>
        <v>0</v>
      </c>
      <c r="BT546" s="31" t="n">
        <f aca="false">U546</f>
        <v>0</v>
      </c>
      <c r="BU546" s="31" t="n">
        <f aca="false">V546</f>
        <v>0</v>
      </c>
      <c r="BV546" s="32" t="n">
        <f aca="false">IF(BF546=0,IF(BN546=0,0,1),(BN546-BF546)/BF546)</f>
        <v>0</v>
      </c>
      <c r="BW546" s="32" t="n">
        <f aca="false">IF(BG546=0,IF(BO546=0,0,1),(BO546-BG546)/BG546)</f>
        <v>0</v>
      </c>
      <c r="BX546" s="32" t="n">
        <f aca="false">IF(BH546=0,IF(BP546=0,0,1),(BP546-BH546)/BH546)</f>
        <v>0</v>
      </c>
      <c r="BY546" s="32" t="n">
        <f aca="false">IF(BI546=0,IF(BQ546=0,0,1),(BQ546-BI546)/BI546)</f>
        <v>0</v>
      </c>
      <c r="BZ546" s="32" t="n">
        <f aca="false">IF(BJ546=0,IF(BR546=0,0,1),(BR546-BJ546)/BJ546)</f>
        <v>0</v>
      </c>
      <c r="CA546" s="32" t="n">
        <f aca="false">IF(BK546=0,IF(BS546=0,0,1),(BS546-BK546)/BK546)</f>
        <v>0</v>
      </c>
      <c r="CB546" s="32" t="n">
        <f aca="false">IF(BL546=0,IF(BT546=0,0,1),(BT546-BL546)/BL546)</f>
        <v>0</v>
      </c>
      <c r="CC546" s="32" t="n">
        <f aca="false">IF(BM546=0,IF(BU546=0,0,1),(BU546-BM546)/BM546)</f>
        <v>0</v>
      </c>
      <c r="CD546" s="32" t="n">
        <f aca="false">MAX(MAX(BV546:CC546),-MIN(BV546:CC546))</f>
        <v>-0</v>
      </c>
      <c r="CE546" s="31" t="n">
        <f aca="false">IF(CI546="","",SUMIFS($CF$7:$CF$696,$A$7:$A$696,CI546,$B$7:$B$696,B546))</f>
        <v>4150868</v>
      </c>
      <c r="CF546" s="31" t="n">
        <f aca="false">SUM(AU546:BE546)</f>
        <v>4170621</v>
      </c>
      <c r="CG546" s="33" t="str">
        <f aca="false">A546&amp;"|"&amp;B546</f>
        <v>2027-01 月例|広島市立大学</v>
      </c>
      <c r="CH546" s="34" t="str">
        <f aca="false">IFERROR(INDEX(設定!$D$61:$D$106,MATCH(B546,設定!$B$61:$B$106,0)),"Y")</f>
        <v>Y</v>
      </c>
      <c r="CI546" s="34" t="str">
        <f aca="false">IFERROR(INDEX(設定!$D$20:$D$34,MATCH(A546,設定!$A$20:$A$34,0))&amp;"","")</f>
        <v>2026-12 月例</v>
      </c>
    </row>
    <row r="547" customFormat="false" ht="15" hidden="true" customHeight="false" outlineLevel="0" collapsed="false">
      <c r="A547" s="22" t="s">
        <v>219</v>
      </c>
      <c r="B547" s="23" t="s">
        <v>195</v>
      </c>
      <c r="C547" s="10" t="str">
        <f aca="false">IF(G547="","未受領",IF(G547="なし","報告なし",IF(AH547="○","起票済",IF(OR(AG547="○",F547="一致",F547="入金不要"),"入金確認済","受領済"))))</f>
        <v>未受領</v>
      </c>
      <c r="D547" s="10" t="str">
        <f aca="false">IF(OR(G547="",G547="なし"),"―",IF(CH547="N","対象外",IF(AND(I547="",J547="",K547=""),"標報未入力",IF(CD547&gt;=設定!$B$4,"要確認","問題なし"))))</f>
        <v>―</v>
      </c>
      <c r="E547" s="24" t="str">
        <f aca="false">IF(OR(G547="",G547="なし",CE547="",CF547=0),"―",IF(CF547=CE547,"前月同額",IF(CE547=0,"―",IF(ABS(CF547/CE547-1)&gt;=設定!$B$5,"変動大 "&amp;TEXT(CF547/CE547-1,"+0%;-0%"),"〇"))))</f>
        <v>―</v>
      </c>
      <c r="F547" s="10" t="str">
        <f aca="false">IF(OR(G547="",G547="なし"),"―",IF(CF547=0,"入金不要",IF(COUNT(Z547,AB547,AD547,AF547)=0,IF(AG547="○","手動確認","未入金"),IF(AND(N(Z547)=Y547,IF(AA547="",TRUE(),N(AB547)=AA547),IF(AC547="",TRUE(),N(AD547)=AC547),IF(AE547="",TRUE(),N(AF547)=AE547)),"一致","不一致"))))</f>
        <v>―</v>
      </c>
      <c r="G547" s="25"/>
      <c r="H547" s="26"/>
      <c r="I547" s="27"/>
      <c r="J547" s="27"/>
      <c r="K547" s="27"/>
      <c r="L547" s="27"/>
      <c r="M547" s="27"/>
      <c r="N547" s="27"/>
      <c r="O547" s="27"/>
      <c r="P547" s="27"/>
      <c r="Q547" s="27"/>
      <c r="R547" s="27"/>
      <c r="S547" s="27"/>
      <c r="T547" s="27"/>
      <c r="U547" s="27"/>
      <c r="V547" s="27"/>
      <c r="W547" s="10" t="str">
        <f aca="false">IFERROR(INDEX(設定!$E$61:$E$106,MATCH(B547,設定!$B$61:$B$106,0)),"合算")</f>
        <v>合算</v>
      </c>
      <c r="X547" s="28"/>
      <c r="Y547" s="29" t="str">
        <f aca="false">IF(OR(G547="",G547="なし"),"",IF(W547="合算",CF547,IF(W547="掛金・負担金別",(AU547+AV547+AZ547+BB547+BD547),SUM(AU547:AY547))))</f>
        <v/>
      </c>
      <c r="Z547" s="27"/>
      <c r="AA547" s="29" t="str">
        <f aca="false">IF(OR(G547="",G547="なし"),"",IF(W547="掛金・負担金別",(AW547+AX547+AY547+BA547+BC547+BE547),IF(W547="経理区分別",AZ547+BA547,"")))</f>
        <v/>
      </c>
      <c r="AB547" s="27"/>
      <c r="AC547" s="29" t="str">
        <f aca="false">IF(OR(G547="",G547="なし"),"",IF(W547="経理区分別",BB547+BC547,""))</f>
        <v/>
      </c>
      <c r="AD547" s="27"/>
      <c r="AE547" s="29" t="str">
        <f aca="false">IF(OR(G547="",G547="なし"),"",IF(W547="経理区分別",BD547+BE547,""))</f>
        <v/>
      </c>
      <c r="AF547" s="27"/>
      <c r="AG547" s="26"/>
      <c r="AH547" s="26"/>
      <c r="AI547" s="30"/>
      <c r="AJ547" s="31"/>
      <c r="AK547" s="31"/>
      <c r="AL547" s="31" t="n">
        <v>245220</v>
      </c>
      <c r="AM547" s="31" t="n">
        <v>20100</v>
      </c>
      <c r="AN547" s="31" t="n">
        <v>251</v>
      </c>
      <c r="AO547" s="31"/>
      <c r="AP547" s="31" t="n">
        <v>151001</v>
      </c>
      <c r="AQ547" s="31"/>
      <c r="AR547" s="31" t="n">
        <v>10744</v>
      </c>
      <c r="AS547" s="31"/>
      <c r="AT547" s="31" t="n">
        <v>1</v>
      </c>
      <c r="AU547" s="31" t="n">
        <f aca="false">IF($G547="",AJ547,L547)</f>
        <v>0</v>
      </c>
      <c r="AV547" s="31" t="n">
        <f aca="false">IF($G547="",AK547,M547)</f>
        <v>0</v>
      </c>
      <c r="AW547" s="31" t="n">
        <f aca="false">IF($G547="",AL547,N547)</f>
        <v>245220</v>
      </c>
      <c r="AX547" s="31" t="n">
        <f aca="false">IF($G547="",AM547,O547)</f>
        <v>20100</v>
      </c>
      <c r="AY547" s="31" t="n">
        <f aca="false">IF($G547="",AN547,P547)</f>
        <v>251</v>
      </c>
      <c r="AZ547" s="31" t="n">
        <f aca="false">IF($G547="",AO547,Q547)</f>
        <v>0</v>
      </c>
      <c r="BA547" s="31" t="n">
        <f aca="false">IF($G547="",AP547,R547)</f>
        <v>151001</v>
      </c>
      <c r="BB547" s="31" t="n">
        <f aca="false">IF($G547="",AQ547,S547)</f>
        <v>0</v>
      </c>
      <c r="BC547" s="31" t="n">
        <f aca="false">IF($G547="",AR547,T547)</f>
        <v>10744</v>
      </c>
      <c r="BD547" s="31" t="n">
        <f aca="false">IF($G547="",AS547,U547)</f>
        <v>0</v>
      </c>
      <c r="BE547" s="31" t="n">
        <f aca="false">IF($G547="",AT547,V547)</f>
        <v>1</v>
      </c>
      <c r="BF547" s="31" t="n">
        <f aca="false">ROUNDDOWN(I547*設定!$B$10/1000,0)+ROUNDDOWN(I547*設定!$B$11/1000,0)</f>
        <v>0</v>
      </c>
      <c r="BG547" s="31" t="n">
        <f aca="false">ROUNDDOWN(I547*設定!$C$10/1000,0)+ROUNDDOWN(I547*設定!$C$11/1000,0)+ROUNDDOWN(I547*設定!$C$12/1000,0)</f>
        <v>0</v>
      </c>
      <c r="BH547" s="31" t="n">
        <f aca="false">ROUNDDOWN(J547*設定!$B$13/1000,0)</f>
        <v>0</v>
      </c>
      <c r="BI547" s="31" t="n">
        <f aca="false">ROUNDDOWN(J547*設定!$C$13/1000,0)</f>
        <v>0</v>
      </c>
      <c r="BJ547" s="31" t="n">
        <f aca="false">ROUNDDOWN(K547*設定!$B$14/1000,0)</f>
        <v>0</v>
      </c>
      <c r="BK547" s="31" t="n">
        <f aca="false">ROUNDDOWN(K547*設定!$C$14/1000,0)</f>
        <v>0</v>
      </c>
      <c r="BL547" s="31" t="n">
        <f aca="false">ROUNDDOWN(J547*設定!$B$15/1000,0)</f>
        <v>0</v>
      </c>
      <c r="BM547" s="31" t="n">
        <f aca="false">ROUNDDOWN(J547*設定!$C$15/1000,0)</f>
        <v>0</v>
      </c>
      <c r="BN547" s="31" t="n">
        <f aca="false">L547+M547</f>
        <v>0</v>
      </c>
      <c r="BO547" s="31" t="n">
        <f aca="false">N547+O547+P547</f>
        <v>0</v>
      </c>
      <c r="BP547" s="31" t="n">
        <f aca="false">Q547</f>
        <v>0</v>
      </c>
      <c r="BQ547" s="31" t="n">
        <f aca="false">R547</f>
        <v>0</v>
      </c>
      <c r="BR547" s="31" t="n">
        <f aca="false">S547</f>
        <v>0</v>
      </c>
      <c r="BS547" s="31" t="n">
        <f aca="false">T547</f>
        <v>0</v>
      </c>
      <c r="BT547" s="31" t="n">
        <f aca="false">U547</f>
        <v>0</v>
      </c>
      <c r="BU547" s="31" t="n">
        <f aca="false">V547</f>
        <v>0</v>
      </c>
      <c r="BV547" s="32" t="n">
        <f aca="false">IF(BF547=0,IF(BN547=0,0,1),(BN547-BF547)/BF547)</f>
        <v>0</v>
      </c>
      <c r="BW547" s="32" t="n">
        <f aca="false">IF(BG547=0,IF(BO547=0,0,1),(BO547-BG547)/BG547)</f>
        <v>0</v>
      </c>
      <c r="BX547" s="32" t="n">
        <f aca="false">IF(BH547=0,IF(BP547=0,0,1),(BP547-BH547)/BH547)</f>
        <v>0</v>
      </c>
      <c r="BY547" s="32" t="n">
        <f aca="false">IF(BI547=0,IF(BQ547=0,0,1),(BQ547-BI547)/BI547)</f>
        <v>0</v>
      </c>
      <c r="BZ547" s="32" t="n">
        <f aca="false">IF(BJ547=0,IF(BR547=0,0,1),(BR547-BJ547)/BJ547)</f>
        <v>0</v>
      </c>
      <c r="CA547" s="32" t="n">
        <f aca="false">IF(BK547=0,IF(BS547=0,0,1),(BS547-BK547)/BK547)</f>
        <v>0</v>
      </c>
      <c r="CB547" s="32" t="n">
        <f aca="false">IF(BL547=0,IF(BT547=0,0,1),(BT547-BL547)/BL547)</f>
        <v>0</v>
      </c>
      <c r="CC547" s="32" t="n">
        <f aca="false">IF(BM547=0,IF(BU547=0,0,1),(BU547-BM547)/BM547)</f>
        <v>0</v>
      </c>
      <c r="CD547" s="32" t="n">
        <f aca="false">MAX(MAX(BV547:CC547),-MIN(BV547:CC547))</f>
        <v>-0</v>
      </c>
      <c r="CE547" s="31" t="n">
        <f aca="false">IF(CI547="","",SUMIFS($CF$7:$CF$696,$A$7:$A$696,CI547,$B$7:$B$696,B547))</f>
        <v>427317</v>
      </c>
      <c r="CF547" s="31" t="n">
        <f aca="false">SUM(AU547:BE547)</f>
        <v>427317</v>
      </c>
      <c r="CG547" s="33" t="str">
        <f aca="false">A547&amp;"|"&amp;B547</f>
        <v>2027-01 月例|社会福祉協議会</v>
      </c>
      <c r="CH547" s="34" t="str">
        <f aca="false">IFERROR(INDEX(設定!$D$61:$D$106,MATCH(B547,設定!$B$61:$B$106,0)),"Y")</f>
        <v>Y</v>
      </c>
      <c r="CI547" s="34" t="str">
        <f aca="false">IFERROR(INDEX(設定!$D$20:$D$34,MATCH(A547,設定!$A$20:$A$34,0))&amp;"","")</f>
        <v>2026-12 月例</v>
      </c>
    </row>
    <row r="548" customFormat="false" ht="15" hidden="true" customHeight="false" outlineLevel="0" collapsed="false">
      <c r="A548" s="22" t="s">
        <v>219</v>
      </c>
      <c r="B548" s="23" t="s">
        <v>196</v>
      </c>
      <c r="C548" s="10" t="str">
        <f aca="false">IF(G548="","未受領",IF(G548="なし","報告なし",IF(AH548="○","起票済",IF(OR(AG548="○",F548="一致",F548="入金不要"),"入金確認済","受領済"))))</f>
        <v>未受領</v>
      </c>
      <c r="D548" s="10" t="str">
        <f aca="false">IF(OR(G548="",G548="なし"),"―",IF(CH548="N","対象外",IF(AND(I548="",J548="",K548=""),"標報未入力",IF(CD548&gt;=設定!$B$4,"要確認","問題なし"))))</f>
        <v>―</v>
      </c>
      <c r="E548" s="24" t="str">
        <f aca="false">IF(OR(G548="",G548="なし",CE548="",CF548=0),"―",IF(CF548=CE548,"前月同額",IF(CE548=0,"―",IF(ABS(CF548/CE548-1)&gt;=設定!$B$5,"変動大 "&amp;TEXT(CF548/CE548-1,"+0%;-0%"),"〇"))))</f>
        <v>―</v>
      </c>
      <c r="F548" s="10" t="str">
        <f aca="false">IF(OR(G548="",G548="なし"),"―",IF(CF548=0,"入金不要",IF(COUNT(Z548,AB548,AD548,AF548)=0,IF(AG548="○","手動確認","未入金"),IF(AND(N(Z548)=Y548,IF(AA548="",TRUE(),N(AB548)=AA548),IF(AC548="",TRUE(),N(AD548)=AC548),IF(AE548="",TRUE(),N(AF548)=AE548)),"一致","不一致"))))</f>
        <v>―</v>
      </c>
      <c r="G548" s="25"/>
      <c r="H548" s="26"/>
      <c r="I548" s="27"/>
      <c r="J548" s="27"/>
      <c r="K548" s="27"/>
      <c r="L548" s="27"/>
      <c r="M548" s="27"/>
      <c r="N548" s="27"/>
      <c r="O548" s="27"/>
      <c r="P548" s="27"/>
      <c r="Q548" s="27"/>
      <c r="R548" s="27"/>
      <c r="S548" s="27"/>
      <c r="T548" s="27"/>
      <c r="U548" s="27"/>
      <c r="V548" s="27"/>
      <c r="W548" s="10" t="str">
        <f aca="false">IFERROR(INDEX(設定!$E$61:$E$106,MATCH(B548,設定!$B$61:$B$106,0)),"合算")</f>
        <v>合算</v>
      </c>
      <c r="X548" s="28"/>
      <c r="Y548" s="29" t="str">
        <f aca="false">IF(OR(G548="",G548="なし"),"",IF(W548="合算",CF548,IF(W548="掛金・負担金別",(AU548+AV548+AZ548+BB548+BD548),SUM(AU548:AY548))))</f>
        <v/>
      </c>
      <c r="Z548" s="27"/>
      <c r="AA548" s="29" t="str">
        <f aca="false">IF(OR(G548="",G548="なし"),"",IF(W548="掛金・負担金別",(AW548+AX548+AY548+BA548+BC548+BE548),IF(W548="経理区分別",AZ548+BA548,"")))</f>
        <v/>
      </c>
      <c r="AB548" s="27"/>
      <c r="AC548" s="29" t="str">
        <f aca="false">IF(OR(G548="",G548="なし"),"",IF(W548="経理区分別",BB548+BC548,""))</f>
        <v/>
      </c>
      <c r="AD548" s="27"/>
      <c r="AE548" s="29" t="str">
        <f aca="false">IF(OR(G548="",G548="なし"),"",IF(W548="経理区分別",BD548+BE548,""))</f>
        <v/>
      </c>
      <c r="AF548" s="27"/>
      <c r="AG548" s="26"/>
      <c r="AH548" s="26"/>
      <c r="AI548" s="30"/>
      <c r="AJ548" s="31" t="n">
        <v>124182702</v>
      </c>
      <c r="AK548" s="31" t="n">
        <v>10170060</v>
      </c>
      <c r="AL548" s="31" t="n">
        <v>183964729</v>
      </c>
      <c r="AM548" s="31" t="n">
        <v>10170060</v>
      </c>
      <c r="AN548" s="31" t="n">
        <v>135218</v>
      </c>
      <c r="AO548" s="31" t="n">
        <v>96575695</v>
      </c>
      <c r="AP548" s="31" t="n">
        <v>96764159</v>
      </c>
      <c r="AQ548" s="31" t="n">
        <v>7824224</v>
      </c>
      <c r="AR548" s="31" t="n">
        <v>7824224</v>
      </c>
      <c r="AS548" s="31" t="n">
        <v>1</v>
      </c>
      <c r="AT548" s="31" t="n">
        <v>1</v>
      </c>
      <c r="AU548" s="31" t="n">
        <f aca="false">IF($G548="",AJ548,L548)</f>
        <v>124182702</v>
      </c>
      <c r="AV548" s="31" t="n">
        <f aca="false">IF($G548="",AK548,M548)</f>
        <v>10170060</v>
      </c>
      <c r="AW548" s="31" t="n">
        <f aca="false">IF($G548="",AL548,N548)</f>
        <v>183964729</v>
      </c>
      <c r="AX548" s="31" t="n">
        <f aca="false">IF($G548="",AM548,O548)</f>
        <v>10170060</v>
      </c>
      <c r="AY548" s="31" t="n">
        <f aca="false">IF($G548="",AN548,P548)</f>
        <v>135218</v>
      </c>
      <c r="AZ548" s="31" t="n">
        <f aca="false">IF($G548="",AO548,Q548)</f>
        <v>96575695</v>
      </c>
      <c r="BA548" s="31" t="n">
        <f aca="false">IF($G548="",AP548,R548)</f>
        <v>96764159</v>
      </c>
      <c r="BB548" s="31" t="n">
        <f aca="false">IF($G548="",AQ548,S548)</f>
        <v>7824224</v>
      </c>
      <c r="BC548" s="31" t="n">
        <f aca="false">IF($G548="",AR548,T548)</f>
        <v>7824224</v>
      </c>
      <c r="BD548" s="31" t="n">
        <f aca="false">IF($G548="",AS548,U548)</f>
        <v>1</v>
      </c>
      <c r="BE548" s="31" t="n">
        <f aca="false">IF($G548="",AT548,V548)</f>
        <v>1</v>
      </c>
      <c r="BF548" s="31" t="n">
        <f aca="false">ROUNDDOWN(I548*設定!$B$10/1000,0)+ROUNDDOWN(I548*設定!$B$11/1000,0)</f>
        <v>0</v>
      </c>
      <c r="BG548" s="31" t="n">
        <f aca="false">ROUNDDOWN(I548*設定!$C$10/1000,0)+ROUNDDOWN(I548*設定!$C$11/1000,0)+ROUNDDOWN(I548*設定!$C$12/1000,0)</f>
        <v>0</v>
      </c>
      <c r="BH548" s="31" t="n">
        <f aca="false">ROUNDDOWN(J548*設定!$B$13/1000,0)</f>
        <v>0</v>
      </c>
      <c r="BI548" s="31" t="n">
        <f aca="false">ROUNDDOWN(J548*設定!$C$13/1000,0)</f>
        <v>0</v>
      </c>
      <c r="BJ548" s="31" t="n">
        <f aca="false">ROUNDDOWN(K548*設定!$B$14/1000,0)</f>
        <v>0</v>
      </c>
      <c r="BK548" s="31" t="n">
        <f aca="false">ROUNDDOWN(K548*設定!$C$14/1000,0)</f>
        <v>0</v>
      </c>
      <c r="BL548" s="31" t="n">
        <f aca="false">ROUNDDOWN(J548*設定!$B$15/1000,0)</f>
        <v>0</v>
      </c>
      <c r="BM548" s="31" t="n">
        <f aca="false">ROUNDDOWN(J548*設定!$C$15/1000,0)</f>
        <v>0</v>
      </c>
      <c r="BN548" s="31" t="n">
        <f aca="false">L548+M548</f>
        <v>0</v>
      </c>
      <c r="BO548" s="31" t="n">
        <f aca="false">N548+O548+P548</f>
        <v>0</v>
      </c>
      <c r="BP548" s="31" t="n">
        <f aca="false">Q548</f>
        <v>0</v>
      </c>
      <c r="BQ548" s="31" t="n">
        <f aca="false">R548</f>
        <v>0</v>
      </c>
      <c r="BR548" s="31" t="n">
        <f aca="false">S548</f>
        <v>0</v>
      </c>
      <c r="BS548" s="31" t="n">
        <f aca="false">T548</f>
        <v>0</v>
      </c>
      <c r="BT548" s="31" t="n">
        <f aca="false">U548</f>
        <v>0</v>
      </c>
      <c r="BU548" s="31" t="n">
        <f aca="false">V548</f>
        <v>0</v>
      </c>
      <c r="BV548" s="32" t="n">
        <f aca="false">IF(BF548=0,IF(BN548=0,0,1),(BN548-BF548)/BF548)</f>
        <v>0</v>
      </c>
      <c r="BW548" s="32" t="n">
        <f aca="false">IF(BG548=0,IF(BO548=0,0,1),(BO548-BG548)/BG548)</f>
        <v>0</v>
      </c>
      <c r="BX548" s="32" t="n">
        <f aca="false">IF(BH548=0,IF(BP548=0,0,1),(BP548-BH548)/BH548)</f>
        <v>0</v>
      </c>
      <c r="BY548" s="32" t="n">
        <f aca="false">IF(BI548=0,IF(BQ548=0,0,1),(BQ548-BI548)/BI548)</f>
        <v>0</v>
      </c>
      <c r="BZ548" s="32" t="n">
        <f aca="false">IF(BJ548=0,IF(BR548=0,0,1),(BR548-BJ548)/BJ548)</f>
        <v>0</v>
      </c>
      <c r="CA548" s="32" t="n">
        <f aca="false">IF(BK548=0,IF(BS548=0,0,1),(BS548-BK548)/BK548)</f>
        <v>0</v>
      </c>
      <c r="CB548" s="32" t="n">
        <f aca="false">IF(BL548=0,IF(BT548=0,0,1),(BT548-BL548)/BL548)</f>
        <v>0</v>
      </c>
      <c r="CC548" s="32" t="n">
        <f aca="false">IF(BM548=0,IF(BU548=0,0,1),(BU548-BM548)/BM548)</f>
        <v>0</v>
      </c>
      <c r="CD548" s="32" t="n">
        <f aca="false">MAX(MAX(BV548:CC548),-MIN(BV548:CC548))</f>
        <v>-0</v>
      </c>
      <c r="CE548" s="31" t="n">
        <f aca="false">IF(CI548="","",SUMIFS($CF$7:$CF$696,$A$7:$A$696,CI548,$B$7:$B$696,B548))</f>
        <v>534795571</v>
      </c>
      <c r="CF548" s="31" t="n">
        <f aca="false">SUM(AU548:BE548)</f>
        <v>537611073</v>
      </c>
      <c r="CG548" s="33" t="str">
        <f aca="false">A548&amp;"|"&amp;B548</f>
        <v>2027-01 月例|市立病院機構</v>
      </c>
      <c r="CH548" s="34" t="str">
        <f aca="false">IFERROR(INDEX(設定!$D$61:$D$106,MATCH(B548,設定!$B$61:$B$106,0)),"Y")</f>
        <v>N</v>
      </c>
      <c r="CI548" s="34" t="str">
        <f aca="false">IFERROR(INDEX(設定!$D$20:$D$34,MATCH(A548,設定!$A$20:$A$34,0))&amp;"","")</f>
        <v>2026-12 月例</v>
      </c>
    </row>
    <row r="549" customFormat="false" ht="15" hidden="true" customHeight="false" outlineLevel="0" collapsed="false">
      <c r="A549" s="22" t="s">
        <v>219</v>
      </c>
      <c r="B549" s="23" t="s">
        <v>197</v>
      </c>
      <c r="C549" s="10" t="str">
        <f aca="false">IF(G549="","未受領",IF(G549="なし","報告なし",IF(AH549="○","起票済",IF(OR(AG549="○",F549="一致",F549="入金不要"),"入金確認済","受領済"))))</f>
        <v>未受領</v>
      </c>
      <c r="D549" s="10" t="str">
        <f aca="false">IF(OR(G549="",G549="なし"),"―",IF(CH549="N","対象外",IF(AND(I549="",J549="",K549=""),"標報未入力",IF(CD549&gt;=設定!$B$4,"要確認","問題なし"))))</f>
        <v>―</v>
      </c>
      <c r="E549" s="24" t="str">
        <f aca="false">IF(OR(G549="",G549="なし",CE549="",CF549=0),"―",IF(CF549=CE549,"前月同額",IF(CE549=0,"―",IF(ABS(CF549/CE549-1)&gt;=設定!$B$5,"変動大 "&amp;TEXT(CF549/CE549-1,"+0%;-0%"),"〇"))))</f>
        <v>―</v>
      </c>
      <c r="F549" s="10" t="str">
        <f aca="false">IF(OR(G549="",G549="なし"),"―",IF(CF549=0,"入金不要",IF(COUNT(Z549,AB549,AD549,AF549)=0,IF(AG549="○","手動確認","未入金"),IF(AND(N(Z549)=Y549,IF(AA549="",TRUE(),N(AB549)=AA549),IF(AC549="",TRUE(),N(AD549)=AC549),IF(AE549="",TRUE(),N(AF549)=AE549)),"一致","不一致"))))</f>
        <v>―</v>
      </c>
      <c r="G549" s="25"/>
      <c r="H549" s="26"/>
      <c r="I549" s="27"/>
      <c r="J549" s="27"/>
      <c r="K549" s="27"/>
      <c r="L549" s="27"/>
      <c r="M549" s="27"/>
      <c r="N549" s="27"/>
      <c r="O549" s="27"/>
      <c r="P549" s="27"/>
      <c r="Q549" s="27"/>
      <c r="R549" s="27"/>
      <c r="S549" s="27"/>
      <c r="T549" s="27"/>
      <c r="U549" s="27"/>
      <c r="V549" s="27"/>
      <c r="W549" s="10" t="str">
        <f aca="false">IFERROR(INDEX(設定!$E$61:$E$106,MATCH(B549,設定!$B$61:$B$106,0)),"合算")</f>
        <v>合算</v>
      </c>
      <c r="X549" s="28"/>
      <c r="Y549" s="29" t="str">
        <f aca="false">IF(OR(G549="",G549="なし"),"",IF(W549="合算",CF549,IF(W549="掛金・負担金別",(AU549+AV549+AZ549+BB549+BD549),SUM(AU549:AY549))))</f>
        <v/>
      </c>
      <c r="Z549" s="27"/>
      <c r="AA549" s="29" t="str">
        <f aca="false">IF(OR(G549="",G549="なし"),"",IF(W549="掛金・負担金別",(AW549+AX549+AY549+BA549+BC549+BE549),IF(W549="経理区分別",AZ549+BA549,"")))</f>
        <v/>
      </c>
      <c r="AB549" s="27"/>
      <c r="AC549" s="29" t="str">
        <f aca="false">IF(OR(G549="",G549="なし"),"",IF(W549="経理区分別",BB549+BC549,""))</f>
        <v/>
      </c>
      <c r="AD549" s="27"/>
      <c r="AE549" s="29" t="str">
        <f aca="false">IF(OR(G549="",G549="なし"),"",IF(W549="経理区分別",BD549+BE549,""))</f>
        <v/>
      </c>
      <c r="AF549" s="27"/>
      <c r="AG549" s="26"/>
      <c r="AH549" s="26"/>
      <c r="AI549" s="30"/>
      <c r="AJ549" s="31"/>
      <c r="AK549" s="31"/>
      <c r="AL549" s="31"/>
      <c r="AM549" s="31"/>
      <c r="AN549" s="31"/>
      <c r="AO549" s="31" t="n">
        <v>108364</v>
      </c>
      <c r="AP549" s="31" t="n">
        <v>108566</v>
      </c>
      <c r="AQ549" s="31" t="n">
        <v>12245</v>
      </c>
      <c r="AR549" s="31" t="n">
        <v>12245</v>
      </c>
      <c r="AS549" s="31" t="n">
        <v>1</v>
      </c>
      <c r="AT549" s="31" t="n">
        <v>1</v>
      </c>
      <c r="AU549" s="31" t="n">
        <f aca="false">IF($G549="",AJ549,L549)</f>
        <v>0</v>
      </c>
      <c r="AV549" s="31" t="n">
        <f aca="false">IF($G549="",AK549,M549)</f>
        <v>0</v>
      </c>
      <c r="AW549" s="31" t="n">
        <f aca="false">IF($G549="",AL549,N549)</f>
        <v>0</v>
      </c>
      <c r="AX549" s="31" t="n">
        <f aca="false">IF($G549="",AM549,O549)</f>
        <v>0</v>
      </c>
      <c r="AY549" s="31" t="n">
        <f aca="false">IF($G549="",AN549,P549)</f>
        <v>0</v>
      </c>
      <c r="AZ549" s="31" t="n">
        <f aca="false">IF($G549="",AO549,Q549)</f>
        <v>108364</v>
      </c>
      <c r="BA549" s="31" t="n">
        <f aca="false">IF($G549="",AP549,R549)</f>
        <v>108566</v>
      </c>
      <c r="BB549" s="31" t="n">
        <f aca="false">IF($G549="",AQ549,S549)</f>
        <v>12245</v>
      </c>
      <c r="BC549" s="31" t="n">
        <f aca="false">IF($G549="",AR549,T549)</f>
        <v>12245</v>
      </c>
      <c r="BD549" s="31" t="n">
        <f aca="false">IF($G549="",AS549,U549)</f>
        <v>1</v>
      </c>
      <c r="BE549" s="31" t="n">
        <f aca="false">IF($G549="",AT549,V549)</f>
        <v>1</v>
      </c>
      <c r="BF549" s="31" t="n">
        <f aca="false">ROUNDDOWN(I549*設定!$B$10/1000,0)+ROUNDDOWN(I549*設定!$B$11/1000,0)</f>
        <v>0</v>
      </c>
      <c r="BG549" s="31" t="n">
        <f aca="false">ROUNDDOWN(I549*設定!$C$10/1000,0)+ROUNDDOWN(I549*設定!$C$11/1000,0)+ROUNDDOWN(I549*設定!$C$12/1000,0)</f>
        <v>0</v>
      </c>
      <c r="BH549" s="31" t="n">
        <f aca="false">ROUNDDOWN(J549*設定!$B$13/1000,0)</f>
        <v>0</v>
      </c>
      <c r="BI549" s="31" t="n">
        <f aca="false">ROUNDDOWN(J549*設定!$C$13/1000,0)</f>
        <v>0</v>
      </c>
      <c r="BJ549" s="31" t="n">
        <f aca="false">ROUNDDOWN(K549*設定!$B$14/1000,0)</f>
        <v>0</v>
      </c>
      <c r="BK549" s="31" t="n">
        <f aca="false">ROUNDDOWN(K549*設定!$C$14/1000,0)</f>
        <v>0</v>
      </c>
      <c r="BL549" s="31" t="n">
        <f aca="false">ROUNDDOWN(J549*設定!$B$15/1000,0)</f>
        <v>0</v>
      </c>
      <c r="BM549" s="31" t="n">
        <f aca="false">ROUNDDOWN(J549*設定!$C$15/1000,0)</f>
        <v>0</v>
      </c>
      <c r="BN549" s="31" t="n">
        <f aca="false">L549+M549</f>
        <v>0</v>
      </c>
      <c r="BO549" s="31" t="n">
        <f aca="false">N549+O549+P549</f>
        <v>0</v>
      </c>
      <c r="BP549" s="31" t="n">
        <f aca="false">Q549</f>
        <v>0</v>
      </c>
      <c r="BQ549" s="31" t="n">
        <f aca="false">R549</f>
        <v>0</v>
      </c>
      <c r="BR549" s="31" t="n">
        <f aca="false">S549</f>
        <v>0</v>
      </c>
      <c r="BS549" s="31" t="n">
        <f aca="false">T549</f>
        <v>0</v>
      </c>
      <c r="BT549" s="31" t="n">
        <f aca="false">U549</f>
        <v>0</v>
      </c>
      <c r="BU549" s="31" t="n">
        <f aca="false">V549</f>
        <v>0</v>
      </c>
      <c r="BV549" s="32" t="n">
        <f aca="false">IF(BF549=0,IF(BN549=0,0,1),(BN549-BF549)/BF549)</f>
        <v>0</v>
      </c>
      <c r="BW549" s="32" t="n">
        <f aca="false">IF(BG549=0,IF(BO549=0,0,1),(BO549-BG549)/BG549)</f>
        <v>0</v>
      </c>
      <c r="BX549" s="32" t="n">
        <f aca="false">IF(BH549=0,IF(BP549=0,0,1),(BP549-BH549)/BH549)</f>
        <v>0</v>
      </c>
      <c r="BY549" s="32" t="n">
        <f aca="false">IF(BI549=0,IF(BQ549=0,0,1),(BQ549-BI549)/BI549)</f>
        <v>0</v>
      </c>
      <c r="BZ549" s="32" t="n">
        <f aca="false">IF(BJ549=0,IF(BR549=0,0,1),(BR549-BJ549)/BJ549)</f>
        <v>0</v>
      </c>
      <c r="CA549" s="32" t="n">
        <f aca="false">IF(BK549=0,IF(BS549=0,0,1),(BS549-BK549)/BK549)</f>
        <v>0</v>
      </c>
      <c r="CB549" s="32" t="n">
        <f aca="false">IF(BL549=0,IF(BT549=0,0,1),(BT549-BL549)/BL549)</f>
        <v>0</v>
      </c>
      <c r="CC549" s="32" t="n">
        <f aca="false">IF(BM549=0,IF(BU549=0,0,1),(BU549-BM549)/BM549)</f>
        <v>0</v>
      </c>
      <c r="CD549" s="32" t="n">
        <f aca="false">MAX(MAX(BV549:CC549),-MIN(BV549:CC549))</f>
        <v>-0</v>
      </c>
      <c r="CE549" s="31" t="n">
        <f aca="false">IF(CI549="","",SUMIFS($CF$7:$CF$696,$A$7:$A$696,CI549,$B$7:$B$696,B549))</f>
        <v>241422</v>
      </c>
      <c r="CF549" s="31" t="n">
        <f aca="false">SUM(AU549:BE549)</f>
        <v>241422</v>
      </c>
      <c r="CG549" s="33" t="str">
        <f aca="false">A549&amp;"|"&amp;B549</f>
        <v>2027-01 月例|職員共済組合</v>
      </c>
      <c r="CH549" s="34" t="str">
        <f aca="false">IFERROR(INDEX(設定!$D$61:$D$106,MATCH(B549,設定!$B$61:$B$106,0)),"Y")</f>
        <v>Y</v>
      </c>
      <c r="CI549" s="34" t="str">
        <f aca="false">IFERROR(INDEX(設定!$D$20:$D$34,MATCH(A549,設定!$A$20:$A$34,0))&amp;"","")</f>
        <v>2026-12 月例</v>
      </c>
    </row>
    <row r="550" customFormat="false" ht="26.85" hidden="true" customHeight="false" outlineLevel="0" collapsed="false">
      <c r="A550" s="22" t="s">
        <v>219</v>
      </c>
      <c r="B550" s="35" t="s">
        <v>216</v>
      </c>
      <c r="C550" s="10" t="str">
        <f aca="false">IF(G550="","未受領",IF(G550="なし","報告なし",IF(AH550="○","起票済",IF(OR(AG550="○",F550="一致",F550="入金不要"),"入金確認済","受領済"))))</f>
        <v>報告なし</v>
      </c>
      <c r="D550" s="10" t="str">
        <f aca="false">IF(OR(G550="",G550="なし"),"―",IF(CH550="N","対象外",IF(AND(I550="",J550="",K550=""),"標報未入力",IF(CD550&gt;=設定!$B$4,"要確認","問題なし"))))</f>
        <v>―</v>
      </c>
      <c r="E550" s="24" t="str">
        <f aca="false">IF(OR(G550="",G550="なし",CE550="",CF550=0),"―",IF(CF550=CE550,"前月同額",IF(CE550=0,"―",IF(ABS(CF550/CE550-1)&gt;=設定!$B$5,"変動大 "&amp;TEXT(CF550/CE550-1,"+0%;-0%"),"〇"))))</f>
        <v>―</v>
      </c>
      <c r="F550" s="10" t="str">
        <f aca="false">IF(OR(G550="",G550="なし"),"―",IF(CF550=0,"入金不要",IF(COUNT(Z550,AB550,AD550,AF550)=0,IF(AG550="○","手動確認","未入金"),IF(AND(N(Z550)=Y550,IF(AA550="",TRUE(),N(AB550)=AA550),IF(AC550="",TRUE(),N(AD550)=AC550),IF(AE550="",TRUE(),N(AF550)=AE550)),"一致","不一致"))))</f>
        <v>―</v>
      </c>
      <c r="G550" s="25" t="s">
        <v>173</v>
      </c>
      <c r="H550" s="26"/>
      <c r="I550" s="27"/>
      <c r="J550" s="27"/>
      <c r="K550" s="27"/>
      <c r="L550" s="27"/>
      <c r="M550" s="27"/>
      <c r="N550" s="27"/>
      <c r="O550" s="27"/>
      <c r="P550" s="27"/>
      <c r="Q550" s="27"/>
      <c r="R550" s="27"/>
      <c r="S550" s="27"/>
      <c r="T550" s="27"/>
      <c r="U550" s="27"/>
      <c r="V550" s="27"/>
      <c r="W550" s="10" t="str">
        <f aca="false">IFERROR(INDEX(設定!$E$61:$E$106,MATCH(B550,設定!$B$61:$B$106,0)),"合算")</f>
        <v>合算</v>
      </c>
      <c r="X550" s="28"/>
      <c r="Y550" s="29" t="str">
        <f aca="false">IF(OR(G550="",G550="なし"),"",IF(W550="合算",CF550,IF(W550="掛金・負担金別",(AU550+AV550+AZ550+BB550+BD550),SUM(AU550:AY550))))</f>
        <v/>
      </c>
      <c r="Z550" s="27"/>
      <c r="AA550" s="29" t="str">
        <f aca="false">IF(OR(G550="",G550="なし"),"",IF(W550="掛金・負担金別",(AW550+AX550+AY550+BA550+BC550+BE550),IF(W550="経理区分別",AZ550+BA550,"")))</f>
        <v/>
      </c>
      <c r="AB550" s="27"/>
      <c r="AC550" s="29" t="str">
        <f aca="false">IF(OR(G550="",G550="なし"),"",IF(W550="経理区分別",BB550+BC550,""))</f>
        <v/>
      </c>
      <c r="AD550" s="27"/>
      <c r="AE550" s="29" t="str">
        <f aca="false">IF(OR(G550="",G550="なし"),"",IF(W550="経理区分別",BD550+BE550,""))</f>
        <v/>
      </c>
      <c r="AF550" s="27"/>
      <c r="AG550" s="26"/>
      <c r="AH550" s="26"/>
      <c r="AI550" s="30"/>
      <c r="AJ550" s="31"/>
      <c r="AK550" s="31"/>
      <c r="AL550" s="31"/>
      <c r="AM550" s="31"/>
      <c r="AN550" s="31"/>
      <c r="AO550" s="31"/>
      <c r="AP550" s="31"/>
      <c r="AQ550" s="31"/>
      <c r="AR550" s="31"/>
      <c r="AS550" s="31"/>
      <c r="AT550" s="31"/>
      <c r="AU550" s="31" t="n">
        <f aca="false">IF($G550="",AJ550,L550)</f>
        <v>0</v>
      </c>
      <c r="AV550" s="31" t="n">
        <f aca="false">IF($G550="",AK550,M550)</f>
        <v>0</v>
      </c>
      <c r="AW550" s="31" t="n">
        <f aca="false">IF($G550="",AL550,N550)</f>
        <v>0</v>
      </c>
      <c r="AX550" s="31" t="n">
        <f aca="false">IF($G550="",AM550,O550)</f>
        <v>0</v>
      </c>
      <c r="AY550" s="31" t="n">
        <f aca="false">IF($G550="",AN550,P550)</f>
        <v>0</v>
      </c>
      <c r="AZ550" s="31" t="n">
        <f aca="false">IF($G550="",AO550,Q550)</f>
        <v>0</v>
      </c>
      <c r="BA550" s="31" t="n">
        <f aca="false">IF($G550="",AP550,R550)</f>
        <v>0</v>
      </c>
      <c r="BB550" s="31" t="n">
        <f aca="false">IF($G550="",AQ550,S550)</f>
        <v>0</v>
      </c>
      <c r="BC550" s="31" t="n">
        <f aca="false">IF($G550="",AR550,T550)</f>
        <v>0</v>
      </c>
      <c r="BD550" s="31" t="n">
        <f aca="false">IF($G550="",AS550,U550)</f>
        <v>0</v>
      </c>
      <c r="BE550" s="31" t="n">
        <f aca="false">IF($G550="",AT550,V550)</f>
        <v>0</v>
      </c>
      <c r="BF550" s="31" t="n">
        <f aca="false">ROUNDDOWN(I550*設定!$B$10/1000,0)+ROUNDDOWN(I550*設定!$B$11/1000,0)</f>
        <v>0</v>
      </c>
      <c r="BG550" s="31" t="n">
        <f aca="false">ROUNDDOWN(I550*設定!$C$10/1000,0)+ROUNDDOWN(I550*設定!$C$11/1000,0)+ROUNDDOWN(I550*設定!$C$12/1000,0)</f>
        <v>0</v>
      </c>
      <c r="BH550" s="31" t="n">
        <f aca="false">ROUNDDOWN(J550*設定!$B$13/1000,0)</f>
        <v>0</v>
      </c>
      <c r="BI550" s="31" t="n">
        <f aca="false">ROUNDDOWN(J550*設定!$C$13/1000,0)</f>
        <v>0</v>
      </c>
      <c r="BJ550" s="31" t="n">
        <f aca="false">ROUNDDOWN(K550*設定!$B$14/1000,0)</f>
        <v>0</v>
      </c>
      <c r="BK550" s="31" t="n">
        <f aca="false">ROUNDDOWN(K550*設定!$C$14/1000,0)</f>
        <v>0</v>
      </c>
      <c r="BL550" s="31" t="n">
        <f aca="false">ROUNDDOWN(J550*設定!$B$15/1000,0)</f>
        <v>0</v>
      </c>
      <c r="BM550" s="31" t="n">
        <f aca="false">ROUNDDOWN(J550*設定!$C$15/1000,0)</f>
        <v>0</v>
      </c>
      <c r="BN550" s="31" t="n">
        <f aca="false">L550+M550</f>
        <v>0</v>
      </c>
      <c r="BO550" s="31" t="n">
        <f aca="false">N550+O550+P550</f>
        <v>0</v>
      </c>
      <c r="BP550" s="31" t="n">
        <f aca="false">Q550</f>
        <v>0</v>
      </c>
      <c r="BQ550" s="31" t="n">
        <f aca="false">R550</f>
        <v>0</v>
      </c>
      <c r="BR550" s="31" t="n">
        <f aca="false">S550</f>
        <v>0</v>
      </c>
      <c r="BS550" s="31" t="n">
        <f aca="false">T550</f>
        <v>0</v>
      </c>
      <c r="BT550" s="31" t="n">
        <f aca="false">U550</f>
        <v>0</v>
      </c>
      <c r="BU550" s="31" t="n">
        <f aca="false">V550</f>
        <v>0</v>
      </c>
      <c r="BV550" s="32" t="n">
        <f aca="false">IF(BF550=0,IF(BN550=0,0,1),(BN550-BF550)/BF550)</f>
        <v>0</v>
      </c>
      <c r="BW550" s="32" t="n">
        <f aca="false">IF(BG550=0,IF(BO550=0,0,1),(BO550-BG550)/BG550)</f>
        <v>0</v>
      </c>
      <c r="BX550" s="32" t="n">
        <f aca="false">IF(BH550=0,IF(BP550=0,0,1),(BP550-BH550)/BH550)</f>
        <v>0</v>
      </c>
      <c r="BY550" s="32" t="n">
        <f aca="false">IF(BI550=0,IF(BQ550=0,0,1),(BQ550-BI550)/BI550)</f>
        <v>0</v>
      </c>
      <c r="BZ550" s="32" t="n">
        <f aca="false">IF(BJ550=0,IF(BR550=0,0,1),(BR550-BJ550)/BJ550)</f>
        <v>0</v>
      </c>
      <c r="CA550" s="32" t="n">
        <f aca="false">IF(BK550=0,IF(BS550=0,0,1),(BS550-BK550)/BK550)</f>
        <v>0</v>
      </c>
      <c r="CB550" s="32" t="n">
        <f aca="false">IF(BL550=0,IF(BT550=0,0,1),(BT550-BL550)/BL550)</f>
        <v>0</v>
      </c>
      <c r="CC550" s="32" t="n">
        <f aca="false">IF(BM550=0,IF(BU550=0,0,1),(BU550-BM550)/BM550)</f>
        <v>0</v>
      </c>
      <c r="CD550" s="32" t="n">
        <f aca="false">MAX(MAX(BV550:CC550),-MIN(BV550:CC550))</f>
        <v>-0</v>
      </c>
      <c r="CE550" s="31" t="n">
        <f aca="false">IF(CI550="","",SUMIFS($CF$7:$CF$696,$A$7:$A$696,CI550,$B$7:$B$696,B550))</f>
        <v>0</v>
      </c>
      <c r="CF550" s="31" t="n">
        <f aca="false">SUM(AU550:BE550)</f>
        <v>0</v>
      </c>
      <c r="CG550" s="36" t="str">
        <f aca="false">A550&amp;"|"&amp;B550</f>
        <v>2027-01 月例|地方公共団体
情報システム機構</v>
      </c>
      <c r="CH550" s="34" t="str">
        <f aca="false">IFERROR(INDEX(設定!$D$61:$D$106,MATCH(B550,設定!$B$61:$B$106,0)),"Y")</f>
        <v>Y</v>
      </c>
      <c r="CI550" s="34" t="str">
        <f aca="false">IFERROR(INDEX(設定!$D$20:$D$34,MATCH(A550,設定!$A$20:$A$34,0))&amp;"","")</f>
        <v>2026-12 月例</v>
      </c>
    </row>
    <row r="551" customFormat="false" ht="15" hidden="true" customHeight="false" outlineLevel="0" collapsed="false">
      <c r="A551" s="22" t="s">
        <v>219</v>
      </c>
      <c r="B551" s="23" t="s">
        <v>199</v>
      </c>
      <c r="C551" s="10" t="str">
        <f aca="false">IF(G551="","未受領",IF(G551="なし","報告なし",IF(AH551="○","起票済",IF(OR(AG551="○",F551="一致",F551="入金不要"),"入金確認済","受領済"))))</f>
        <v>未受領</v>
      </c>
      <c r="D551" s="10" t="str">
        <f aca="false">IF(OR(G551="",G551="なし"),"―",IF(CH551="N","対象外",IF(AND(I551="",J551="",K551=""),"標報未入力",IF(CD551&gt;=設定!$B$4,"要確認","問題なし"))))</f>
        <v>―</v>
      </c>
      <c r="E551" s="24" t="str">
        <f aca="false">IF(OR(G551="",G551="なし",CE551="",CF551=0),"―",IF(CF551=CE551,"前月同額",IF(CE551=0,"―",IF(ABS(CF551/CE551-1)&gt;=設定!$B$5,"変動大 "&amp;TEXT(CF551/CE551-1,"+0%;-0%"),"〇"))))</f>
        <v>―</v>
      </c>
      <c r="F551" s="10" t="str">
        <f aca="false">IF(OR(G551="",G551="なし"),"―",IF(CF551=0,"入金不要",IF(COUNT(Z551,AB551,AD551,AF551)=0,IF(AG551="○","手動確認","未入金"),IF(AND(N(Z551)=Y551,IF(AA551="",TRUE(),N(AB551)=AA551),IF(AC551="",TRUE(),N(AD551)=AC551),IF(AE551="",TRUE(),N(AF551)=AE551)),"一致","不一致"))))</f>
        <v>―</v>
      </c>
      <c r="G551" s="25"/>
      <c r="H551" s="26"/>
      <c r="I551" s="27"/>
      <c r="J551" s="27"/>
      <c r="K551" s="27"/>
      <c r="L551" s="27"/>
      <c r="M551" s="27"/>
      <c r="N551" s="27"/>
      <c r="O551" s="27"/>
      <c r="P551" s="27"/>
      <c r="Q551" s="27"/>
      <c r="R551" s="27"/>
      <c r="S551" s="27"/>
      <c r="T551" s="27"/>
      <c r="U551" s="27"/>
      <c r="V551" s="27"/>
      <c r="W551" s="10" t="str">
        <f aca="false">IFERROR(INDEX(設定!$E$61:$E$106,MATCH(B551,設定!$B$61:$B$106,0)),"合算")</f>
        <v>合算</v>
      </c>
      <c r="X551" s="28"/>
      <c r="Y551" s="29" t="str">
        <f aca="false">IF(OR(G551="",G551="なし"),"",IF(W551="合算",CF551,IF(W551="掛金・負担金別",(AU551+AV551+AZ551+BB551+BD551),SUM(AU551:AY551))))</f>
        <v/>
      </c>
      <c r="Z551" s="27"/>
      <c r="AA551" s="29" t="str">
        <f aca="false">IF(OR(G551="",G551="なし"),"",IF(W551="掛金・負担金別",(AW551+AX551+AY551+BA551+BC551+BE551),IF(W551="経理区分別",AZ551+BA551,"")))</f>
        <v/>
      </c>
      <c r="AB551" s="27"/>
      <c r="AC551" s="29" t="str">
        <f aca="false">IF(OR(G551="",G551="なし"),"",IF(W551="経理区分別",BB551+BC551,""))</f>
        <v/>
      </c>
      <c r="AD551" s="27"/>
      <c r="AE551" s="29" t="str">
        <f aca="false">IF(OR(G551="",G551="なし"),"",IF(W551="経理区分別",BD551+BE551,""))</f>
        <v/>
      </c>
      <c r="AF551" s="27"/>
      <c r="AG551" s="26"/>
      <c r="AH551" s="26"/>
      <c r="AI551" s="30"/>
      <c r="AJ551" s="31" t="n">
        <v>59475</v>
      </c>
      <c r="AK551" s="31" t="n">
        <v>4875</v>
      </c>
      <c r="AL551" s="31" t="n">
        <v>59475</v>
      </c>
      <c r="AM551" s="31" t="n">
        <v>4875</v>
      </c>
      <c r="AN551" s="31" t="n">
        <v>61</v>
      </c>
      <c r="AO551" s="31" t="n">
        <v>41257</v>
      </c>
      <c r="AP551" s="31" t="n">
        <v>41332</v>
      </c>
      <c r="AQ551" s="31" t="n">
        <v>5925</v>
      </c>
      <c r="AR551" s="31" t="n">
        <v>5925</v>
      </c>
      <c r="AS551" s="31" t="n">
        <v>1</v>
      </c>
      <c r="AT551" s="31" t="n">
        <v>1</v>
      </c>
      <c r="AU551" s="31" t="n">
        <f aca="false">IF($G551="",AJ551,L551)</f>
        <v>59475</v>
      </c>
      <c r="AV551" s="31" t="n">
        <f aca="false">IF($G551="",AK551,M551)</f>
        <v>4875</v>
      </c>
      <c r="AW551" s="31" t="n">
        <f aca="false">IF($G551="",AL551,N551)</f>
        <v>59475</v>
      </c>
      <c r="AX551" s="31" t="n">
        <f aca="false">IF($G551="",AM551,O551)</f>
        <v>4875</v>
      </c>
      <c r="AY551" s="31" t="n">
        <f aca="false">IF($G551="",AN551,P551)</f>
        <v>61</v>
      </c>
      <c r="AZ551" s="31" t="n">
        <f aca="false">IF($G551="",AO551,Q551)</f>
        <v>41257</v>
      </c>
      <c r="BA551" s="31" t="n">
        <f aca="false">IF($G551="",AP551,R551)</f>
        <v>41332</v>
      </c>
      <c r="BB551" s="31" t="n">
        <f aca="false">IF($G551="",AQ551,S551)</f>
        <v>5925</v>
      </c>
      <c r="BC551" s="31" t="n">
        <f aca="false">IF($G551="",AR551,T551)</f>
        <v>5925</v>
      </c>
      <c r="BD551" s="31" t="n">
        <f aca="false">IF($G551="",AS551,U551)</f>
        <v>1</v>
      </c>
      <c r="BE551" s="31" t="n">
        <f aca="false">IF($G551="",AT551,V551)</f>
        <v>1</v>
      </c>
      <c r="BF551" s="31" t="n">
        <f aca="false">ROUNDDOWN(I551*設定!$B$10/1000,0)+ROUNDDOWN(I551*設定!$B$11/1000,0)</f>
        <v>0</v>
      </c>
      <c r="BG551" s="31" t="n">
        <f aca="false">ROUNDDOWN(I551*設定!$C$10/1000,0)+ROUNDDOWN(I551*設定!$C$11/1000,0)+ROUNDDOWN(I551*設定!$C$12/1000,0)</f>
        <v>0</v>
      </c>
      <c r="BH551" s="31" t="n">
        <f aca="false">ROUNDDOWN(J551*設定!$B$13/1000,0)</f>
        <v>0</v>
      </c>
      <c r="BI551" s="31" t="n">
        <f aca="false">ROUNDDOWN(J551*設定!$C$13/1000,0)</f>
        <v>0</v>
      </c>
      <c r="BJ551" s="31" t="n">
        <f aca="false">ROUNDDOWN(K551*設定!$B$14/1000,0)</f>
        <v>0</v>
      </c>
      <c r="BK551" s="31" t="n">
        <f aca="false">ROUNDDOWN(K551*設定!$C$14/1000,0)</f>
        <v>0</v>
      </c>
      <c r="BL551" s="31" t="n">
        <f aca="false">ROUNDDOWN(J551*設定!$B$15/1000,0)</f>
        <v>0</v>
      </c>
      <c r="BM551" s="31" t="n">
        <f aca="false">ROUNDDOWN(J551*設定!$C$15/1000,0)</f>
        <v>0</v>
      </c>
      <c r="BN551" s="31" t="n">
        <f aca="false">L551+M551</f>
        <v>0</v>
      </c>
      <c r="BO551" s="31" t="n">
        <f aca="false">N551+O551+P551</f>
        <v>0</v>
      </c>
      <c r="BP551" s="31" t="n">
        <f aca="false">Q551</f>
        <v>0</v>
      </c>
      <c r="BQ551" s="31" t="n">
        <f aca="false">R551</f>
        <v>0</v>
      </c>
      <c r="BR551" s="31" t="n">
        <f aca="false">S551</f>
        <v>0</v>
      </c>
      <c r="BS551" s="31" t="n">
        <f aca="false">T551</f>
        <v>0</v>
      </c>
      <c r="BT551" s="31" t="n">
        <f aca="false">U551</f>
        <v>0</v>
      </c>
      <c r="BU551" s="31" t="n">
        <f aca="false">V551</f>
        <v>0</v>
      </c>
      <c r="BV551" s="32" t="n">
        <f aca="false">IF(BF551=0,IF(BN551=0,0,1),(BN551-BF551)/BF551)</f>
        <v>0</v>
      </c>
      <c r="BW551" s="32" t="n">
        <f aca="false">IF(BG551=0,IF(BO551=0,0,1),(BO551-BG551)/BG551)</f>
        <v>0</v>
      </c>
      <c r="BX551" s="32" t="n">
        <f aca="false">IF(BH551=0,IF(BP551=0,0,1),(BP551-BH551)/BH551)</f>
        <v>0</v>
      </c>
      <c r="BY551" s="32" t="n">
        <f aca="false">IF(BI551=0,IF(BQ551=0,0,1),(BQ551-BI551)/BI551)</f>
        <v>0</v>
      </c>
      <c r="BZ551" s="32" t="n">
        <f aca="false">IF(BJ551=0,IF(BR551=0,0,1),(BR551-BJ551)/BJ551)</f>
        <v>0</v>
      </c>
      <c r="CA551" s="32" t="n">
        <f aca="false">IF(BK551=0,IF(BS551=0,0,1),(BS551-BK551)/BK551)</f>
        <v>0</v>
      </c>
      <c r="CB551" s="32" t="n">
        <f aca="false">IF(BL551=0,IF(BT551=0,0,1),(BT551-BL551)/BL551)</f>
        <v>0</v>
      </c>
      <c r="CC551" s="32" t="n">
        <f aca="false">IF(BM551=0,IF(BU551=0,0,1),(BU551-BM551)/BM551)</f>
        <v>0</v>
      </c>
      <c r="CD551" s="32" t="n">
        <f aca="false">MAX(MAX(BV551:CC551),-MIN(BV551:CC551))</f>
        <v>-0</v>
      </c>
      <c r="CE551" s="31" t="n">
        <f aca="false">IF(CI551="","",SUMIFS($CF$7:$CF$696,$A$7:$A$696,CI551,$B$7:$B$696,B551))</f>
        <v>223202</v>
      </c>
      <c r="CF551" s="31" t="n">
        <f aca="false">SUM(AU551:BE551)</f>
        <v>223202</v>
      </c>
      <c r="CG551" s="33" t="str">
        <f aca="false">A551&amp;"|"&amp;B551</f>
        <v>2027-01 月例|全国市長会</v>
      </c>
      <c r="CH551" s="34" t="str">
        <f aca="false">IFERROR(INDEX(設定!$D$61:$D$106,MATCH(B551,設定!$B$61:$B$106,0)),"Y")</f>
        <v>Y</v>
      </c>
      <c r="CI551" s="34" t="str">
        <f aca="false">IFERROR(INDEX(設定!$D$20:$D$34,MATCH(A551,設定!$A$20:$A$34,0))&amp;"","")</f>
        <v>2026-12 月例</v>
      </c>
    </row>
    <row r="552" customFormat="false" ht="15" hidden="true" customHeight="false" outlineLevel="0" collapsed="false">
      <c r="A552" s="22" t="s">
        <v>219</v>
      </c>
      <c r="B552" s="23" t="s">
        <v>200</v>
      </c>
      <c r="C552" s="10" t="str">
        <f aca="false">IF(G552="","未受領",IF(G552="なし","報告なし",IF(AH552="○","起票済",IF(OR(AG552="○",F552="一致",F552="入金不要"),"入金確認済","受領済"))))</f>
        <v>未受領</v>
      </c>
      <c r="D552" s="10" t="str">
        <f aca="false">IF(OR(G552="",G552="なし"),"―",IF(CH552="N","対象外",IF(AND(I552="",J552="",K552=""),"標報未入力",IF(CD552&gt;=設定!$B$4,"要確認","問題なし"))))</f>
        <v>―</v>
      </c>
      <c r="E552" s="24" t="str">
        <f aca="false">IF(OR(G552="",G552="なし",CE552="",CF552=0),"―",IF(CF552=CE552,"前月同額",IF(CE552=0,"―",IF(ABS(CF552/CE552-1)&gt;=設定!$B$5,"変動大 "&amp;TEXT(CF552/CE552-1,"+0%;-0%"),"〇"))))</f>
        <v>―</v>
      </c>
      <c r="F552" s="10" t="str">
        <f aca="false">IF(OR(G552="",G552="なし"),"―",IF(CF552=0,"入金不要",IF(COUNT(Z552,AB552,AD552,AF552)=0,IF(AG552="○","手動確認","未入金"),IF(AND(N(Z552)=Y552,IF(AA552="",TRUE(),N(AB552)=AA552),IF(AC552="",TRUE(),N(AD552)=AC552),IF(AE552="",TRUE(),N(AF552)=AE552)),"一致","不一致"))))</f>
        <v>―</v>
      </c>
      <c r="G552" s="25"/>
      <c r="H552" s="26"/>
      <c r="I552" s="27"/>
      <c r="J552" s="27"/>
      <c r="K552" s="27"/>
      <c r="L552" s="27"/>
      <c r="M552" s="27"/>
      <c r="N552" s="27"/>
      <c r="O552" s="27"/>
      <c r="P552" s="27"/>
      <c r="Q552" s="27"/>
      <c r="R552" s="27"/>
      <c r="S552" s="27"/>
      <c r="T552" s="27"/>
      <c r="U552" s="27"/>
      <c r="V552" s="27"/>
      <c r="W552" s="10" t="str">
        <f aca="false">IFERROR(INDEX(設定!$E$61:$E$106,MATCH(B552,設定!$B$61:$B$106,0)),"合算")</f>
        <v>合算</v>
      </c>
      <c r="X552" s="28"/>
      <c r="Y552" s="29" t="str">
        <f aca="false">IF(OR(G552="",G552="なし"),"",IF(W552="合算",CF552,IF(W552="掛金・負担金別",(AU552+AV552+AZ552+BB552+BD552),SUM(AU552:AY552))))</f>
        <v/>
      </c>
      <c r="Z552" s="27"/>
      <c r="AA552" s="29" t="str">
        <f aca="false">IF(OR(G552="",G552="なし"),"",IF(W552="掛金・負担金別",(AW552+AX552+AY552+BA552+BC552+BE552),IF(W552="経理区分別",AZ552+BA552,"")))</f>
        <v/>
      </c>
      <c r="AB552" s="27"/>
      <c r="AC552" s="29" t="str">
        <f aca="false">IF(OR(G552="",G552="なし"),"",IF(W552="経理区分別",BB552+BC552,""))</f>
        <v/>
      </c>
      <c r="AD552" s="27"/>
      <c r="AE552" s="29" t="str">
        <f aca="false">IF(OR(G552="",G552="なし"),"",IF(W552="経理区分別",BD552+BE552,""))</f>
        <v/>
      </c>
      <c r="AF552" s="27"/>
      <c r="AG552" s="26"/>
      <c r="AH552" s="26"/>
      <c r="AI552" s="30"/>
      <c r="AJ552" s="31" t="n">
        <v>145485</v>
      </c>
      <c r="AK552" s="31" t="n">
        <v>11925</v>
      </c>
      <c r="AL552" s="31" t="n">
        <v>145485</v>
      </c>
      <c r="AM552" s="31" t="n">
        <v>11925</v>
      </c>
      <c r="AN552" s="31" t="n">
        <v>149</v>
      </c>
      <c r="AO552" s="31"/>
      <c r="AP552" s="31"/>
      <c r="AQ552" s="31"/>
      <c r="AR552" s="31"/>
      <c r="AS552" s="31"/>
      <c r="AT552" s="31"/>
      <c r="AU552" s="31" t="n">
        <f aca="false">IF($G552="",AJ552,L552)</f>
        <v>145485</v>
      </c>
      <c r="AV552" s="31" t="n">
        <f aca="false">IF($G552="",AK552,M552)</f>
        <v>11925</v>
      </c>
      <c r="AW552" s="31" t="n">
        <f aca="false">IF($G552="",AL552,N552)</f>
        <v>145485</v>
      </c>
      <c r="AX552" s="31" t="n">
        <f aca="false">IF($G552="",AM552,O552)</f>
        <v>11925</v>
      </c>
      <c r="AY552" s="31" t="n">
        <f aca="false">IF($G552="",AN552,P552)</f>
        <v>149</v>
      </c>
      <c r="AZ552" s="31" t="n">
        <f aca="false">IF($G552="",AO552,Q552)</f>
        <v>0</v>
      </c>
      <c r="BA552" s="31" t="n">
        <f aca="false">IF($G552="",AP552,R552)</f>
        <v>0</v>
      </c>
      <c r="BB552" s="31" t="n">
        <f aca="false">IF($G552="",AQ552,S552)</f>
        <v>0</v>
      </c>
      <c r="BC552" s="31" t="n">
        <f aca="false">IF($G552="",AR552,T552)</f>
        <v>0</v>
      </c>
      <c r="BD552" s="31" t="n">
        <f aca="false">IF($G552="",AS552,U552)</f>
        <v>0</v>
      </c>
      <c r="BE552" s="31" t="n">
        <f aca="false">IF($G552="",AT552,V552)</f>
        <v>0</v>
      </c>
      <c r="BF552" s="31" t="n">
        <f aca="false">ROUNDDOWN(I552*設定!$B$10/1000,0)+ROUNDDOWN(I552*設定!$B$11/1000,0)</f>
        <v>0</v>
      </c>
      <c r="BG552" s="31" t="n">
        <f aca="false">ROUNDDOWN(I552*設定!$C$10/1000,0)+ROUNDDOWN(I552*設定!$C$11/1000,0)+ROUNDDOWN(I552*設定!$C$12/1000,0)</f>
        <v>0</v>
      </c>
      <c r="BH552" s="31" t="n">
        <f aca="false">ROUNDDOWN(J552*設定!$B$13/1000,0)</f>
        <v>0</v>
      </c>
      <c r="BI552" s="31" t="n">
        <f aca="false">ROUNDDOWN(J552*設定!$C$13/1000,0)</f>
        <v>0</v>
      </c>
      <c r="BJ552" s="31" t="n">
        <f aca="false">ROUNDDOWN(K552*設定!$B$14/1000,0)</f>
        <v>0</v>
      </c>
      <c r="BK552" s="31" t="n">
        <f aca="false">ROUNDDOWN(K552*設定!$C$14/1000,0)</f>
        <v>0</v>
      </c>
      <c r="BL552" s="31" t="n">
        <f aca="false">ROUNDDOWN(J552*設定!$B$15/1000,0)</f>
        <v>0</v>
      </c>
      <c r="BM552" s="31" t="n">
        <f aca="false">ROUNDDOWN(J552*設定!$C$15/1000,0)</f>
        <v>0</v>
      </c>
      <c r="BN552" s="31" t="n">
        <f aca="false">L552+M552</f>
        <v>0</v>
      </c>
      <c r="BO552" s="31" t="n">
        <f aca="false">N552+O552+P552</f>
        <v>0</v>
      </c>
      <c r="BP552" s="31" t="n">
        <f aca="false">Q552</f>
        <v>0</v>
      </c>
      <c r="BQ552" s="31" t="n">
        <f aca="false">R552</f>
        <v>0</v>
      </c>
      <c r="BR552" s="31" t="n">
        <f aca="false">S552</f>
        <v>0</v>
      </c>
      <c r="BS552" s="31" t="n">
        <f aca="false">T552</f>
        <v>0</v>
      </c>
      <c r="BT552" s="31" t="n">
        <f aca="false">U552</f>
        <v>0</v>
      </c>
      <c r="BU552" s="31" t="n">
        <f aca="false">V552</f>
        <v>0</v>
      </c>
      <c r="BV552" s="32" t="n">
        <f aca="false">IF(BF552=0,IF(BN552=0,0,1),(BN552-BF552)/BF552)</f>
        <v>0</v>
      </c>
      <c r="BW552" s="32" t="n">
        <f aca="false">IF(BG552=0,IF(BO552=0,0,1),(BO552-BG552)/BG552)</f>
        <v>0</v>
      </c>
      <c r="BX552" s="32" t="n">
        <f aca="false">IF(BH552=0,IF(BP552=0,0,1),(BP552-BH552)/BH552)</f>
        <v>0</v>
      </c>
      <c r="BY552" s="32" t="n">
        <f aca="false">IF(BI552=0,IF(BQ552=0,0,1),(BQ552-BI552)/BI552)</f>
        <v>0</v>
      </c>
      <c r="BZ552" s="32" t="n">
        <f aca="false">IF(BJ552=0,IF(BR552=0,0,1),(BR552-BJ552)/BJ552)</f>
        <v>0</v>
      </c>
      <c r="CA552" s="32" t="n">
        <f aca="false">IF(BK552=0,IF(BS552=0,0,1),(BS552-BK552)/BK552)</f>
        <v>0</v>
      </c>
      <c r="CB552" s="32" t="n">
        <f aca="false">IF(BL552=0,IF(BT552=0,0,1),(BT552-BL552)/BL552)</f>
        <v>0</v>
      </c>
      <c r="CC552" s="32" t="n">
        <f aca="false">IF(BM552=0,IF(BU552=0,0,1),(BU552-BM552)/BM552)</f>
        <v>0</v>
      </c>
      <c r="CD552" s="32" t="n">
        <f aca="false">MAX(MAX(BV552:CC552),-MIN(BV552:CC552))</f>
        <v>-0</v>
      </c>
      <c r="CE552" s="31" t="n">
        <f aca="false">IF(CI552="","",SUMIFS($CF$7:$CF$696,$A$7:$A$696,CI552,$B$7:$B$696,B552))</f>
        <v>314969</v>
      </c>
      <c r="CF552" s="31" t="n">
        <f aca="false">SUM(AU552:BE552)</f>
        <v>314969</v>
      </c>
      <c r="CG552" s="33" t="str">
        <f aca="false">A552&amp;"|"&amp;B552</f>
        <v>2027-01 月例|高速交通（株）</v>
      </c>
      <c r="CH552" s="34" t="str">
        <f aca="false">IFERROR(INDEX(設定!$D$61:$D$106,MATCH(B552,設定!$B$61:$B$106,0)),"Y")</f>
        <v>Y</v>
      </c>
      <c r="CI552" s="34" t="str">
        <f aca="false">IFERROR(INDEX(設定!$D$20:$D$34,MATCH(A552,設定!$A$20:$A$34,0))&amp;"","")</f>
        <v>2026-12 月例</v>
      </c>
    </row>
    <row r="553" customFormat="false" ht="15" hidden="true" customHeight="false" outlineLevel="0" collapsed="false">
      <c r="A553" s="22" t="s">
        <v>219</v>
      </c>
      <c r="B553" s="23" t="s">
        <v>201</v>
      </c>
      <c r="C553" s="10" t="str">
        <f aca="false">IF(G553="","未受領",IF(G553="なし","報告なし",IF(AH553="○","起票済",IF(OR(AG553="○",F553="一致",F553="入金不要"),"入金確認済","受領済"))))</f>
        <v>未受領</v>
      </c>
      <c r="D553" s="10" t="str">
        <f aca="false">IF(OR(G553="",G553="なし"),"―",IF(CH553="N","対象外",IF(AND(I553="",J553="",K553=""),"標報未入力",IF(CD553&gt;=設定!$B$4,"要確認","問題なし"))))</f>
        <v>―</v>
      </c>
      <c r="E553" s="24" t="str">
        <f aca="false">IF(OR(G553="",G553="なし",CE553="",CF553=0),"―",IF(CF553=CE553,"前月同額",IF(CE553=0,"―",IF(ABS(CF553/CE553-1)&gt;=設定!$B$5,"変動大 "&amp;TEXT(CF553/CE553-1,"+0%;-0%"),"〇"))))</f>
        <v>―</v>
      </c>
      <c r="F553" s="10" t="str">
        <f aca="false">IF(OR(G553="",G553="なし"),"―",IF(CF553=0,"入金不要",IF(COUNT(Z553,AB553,AD553,AF553)=0,IF(AG553="○","手動確認","未入金"),IF(AND(N(Z553)=Y553,IF(AA553="",TRUE(),N(AB553)=AA553),IF(AC553="",TRUE(),N(AD553)=AC553),IF(AE553="",TRUE(),N(AF553)=AE553)),"一致","不一致"))))</f>
        <v>―</v>
      </c>
      <c r="G553" s="25"/>
      <c r="H553" s="26"/>
      <c r="I553" s="27"/>
      <c r="J553" s="27"/>
      <c r="K553" s="27"/>
      <c r="L553" s="27"/>
      <c r="M553" s="27"/>
      <c r="N553" s="27"/>
      <c r="O553" s="27"/>
      <c r="P553" s="27"/>
      <c r="Q553" s="27"/>
      <c r="R553" s="27"/>
      <c r="S553" s="27"/>
      <c r="T553" s="27"/>
      <c r="U553" s="27"/>
      <c r="V553" s="27"/>
      <c r="W553" s="10" t="str">
        <f aca="false">IFERROR(INDEX(設定!$E$61:$E$106,MATCH(B553,設定!$B$61:$B$106,0)),"合算")</f>
        <v>合算</v>
      </c>
      <c r="X553" s="28"/>
      <c r="Y553" s="29" t="str">
        <f aca="false">IF(OR(G553="",G553="なし"),"",IF(W553="合算",CF553,IF(W553="掛金・負担金別",(AU553+AV553+AZ553+BB553+BD553),SUM(AU553:AY553))))</f>
        <v/>
      </c>
      <c r="Z553" s="27"/>
      <c r="AA553" s="29" t="str">
        <f aca="false">IF(OR(G553="",G553="なし"),"",IF(W553="掛金・負担金別",(AW553+AX553+AY553+BA553+BC553+BE553),IF(W553="経理区分別",AZ553+BA553,"")))</f>
        <v/>
      </c>
      <c r="AB553" s="27"/>
      <c r="AC553" s="29" t="str">
        <f aca="false">IF(OR(G553="",G553="なし"),"",IF(W553="経理区分別",BB553+BC553,""))</f>
        <v/>
      </c>
      <c r="AD553" s="27"/>
      <c r="AE553" s="29" t="str">
        <f aca="false">IF(OR(G553="",G553="なし"),"",IF(W553="経理区分別",BD553+BE553,""))</f>
        <v/>
      </c>
      <c r="AF553" s="27"/>
      <c r="AG553" s="26"/>
      <c r="AH553" s="26"/>
      <c r="AI553" s="30"/>
      <c r="AJ553" s="31" t="n">
        <v>53985</v>
      </c>
      <c r="AK553" s="31" t="n">
        <v>4425</v>
      </c>
      <c r="AL553" s="31" t="n">
        <v>53985</v>
      </c>
      <c r="AM553" s="31" t="n">
        <v>4425</v>
      </c>
      <c r="AN553" s="31" t="n">
        <v>55</v>
      </c>
      <c r="AO553" s="31"/>
      <c r="AP553" s="31"/>
      <c r="AQ553" s="31"/>
      <c r="AR553" s="31"/>
      <c r="AS553" s="31"/>
      <c r="AT553" s="31"/>
      <c r="AU553" s="31" t="n">
        <f aca="false">IF($G553="",AJ553,L553)</f>
        <v>53985</v>
      </c>
      <c r="AV553" s="31" t="n">
        <f aca="false">IF($G553="",AK553,M553)</f>
        <v>4425</v>
      </c>
      <c r="AW553" s="31" t="n">
        <f aca="false">IF($G553="",AL553,N553)</f>
        <v>53985</v>
      </c>
      <c r="AX553" s="31" t="n">
        <f aca="false">IF($G553="",AM553,O553)</f>
        <v>4425</v>
      </c>
      <c r="AY553" s="31" t="n">
        <f aca="false">IF($G553="",AN553,P553)</f>
        <v>55</v>
      </c>
      <c r="AZ553" s="31" t="n">
        <f aca="false">IF($G553="",AO553,Q553)</f>
        <v>0</v>
      </c>
      <c r="BA553" s="31" t="n">
        <f aca="false">IF($G553="",AP553,R553)</f>
        <v>0</v>
      </c>
      <c r="BB553" s="31" t="n">
        <f aca="false">IF($G553="",AQ553,S553)</f>
        <v>0</v>
      </c>
      <c r="BC553" s="31" t="n">
        <f aca="false">IF($G553="",AR553,T553)</f>
        <v>0</v>
      </c>
      <c r="BD553" s="31" t="n">
        <f aca="false">IF($G553="",AS553,U553)</f>
        <v>0</v>
      </c>
      <c r="BE553" s="31" t="n">
        <f aca="false">IF($G553="",AT553,V553)</f>
        <v>0</v>
      </c>
      <c r="BF553" s="31" t="n">
        <f aca="false">ROUNDDOWN(I553*設定!$B$10/1000,0)+ROUNDDOWN(I553*設定!$B$11/1000,0)</f>
        <v>0</v>
      </c>
      <c r="BG553" s="31" t="n">
        <f aca="false">ROUNDDOWN(I553*設定!$C$10/1000,0)+ROUNDDOWN(I553*設定!$C$11/1000,0)+ROUNDDOWN(I553*設定!$C$12/1000,0)</f>
        <v>0</v>
      </c>
      <c r="BH553" s="31" t="n">
        <f aca="false">ROUNDDOWN(J553*設定!$B$13/1000,0)</f>
        <v>0</v>
      </c>
      <c r="BI553" s="31" t="n">
        <f aca="false">ROUNDDOWN(J553*設定!$C$13/1000,0)</f>
        <v>0</v>
      </c>
      <c r="BJ553" s="31" t="n">
        <f aca="false">ROUNDDOWN(K553*設定!$B$14/1000,0)</f>
        <v>0</v>
      </c>
      <c r="BK553" s="31" t="n">
        <f aca="false">ROUNDDOWN(K553*設定!$C$14/1000,0)</f>
        <v>0</v>
      </c>
      <c r="BL553" s="31" t="n">
        <f aca="false">ROUNDDOWN(J553*設定!$B$15/1000,0)</f>
        <v>0</v>
      </c>
      <c r="BM553" s="31" t="n">
        <f aca="false">ROUNDDOWN(J553*設定!$C$15/1000,0)</f>
        <v>0</v>
      </c>
      <c r="BN553" s="31" t="n">
        <f aca="false">L553+M553</f>
        <v>0</v>
      </c>
      <c r="BO553" s="31" t="n">
        <f aca="false">N553+O553+P553</f>
        <v>0</v>
      </c>
      <c r="BP553" s="31" t="n">
        <f aca="false">Q553</f>
        <v>0</v>
      </c>
      <c r="BQ553" s="31" t="n">
        <f aca="false">R553</f>
        <v>0</v>
      </c>
      <c r="BR553" s="31" t="n">
        <f aca="false">S553</f>
        <v>0</v>
      </c>
      <c r="BS553" s="31" t="n">
        <f aca="false">T553</f>
        <v>0</v>
      </c>
      <c r="BT553" s="31" t="n">
        <f aca="false">U553</f>
        <v>0</v>
      </c>
      <c r="BU553" s="31" t="n">
        <f aca="false">V553</f>
        <v>0</v>
      </c>
      <c r="BV553" s="32" t="n">
        <f aca="false">IF(BF553=0,IF(BN553=0,0,1),(BN553-BF553)/BF553)</f>
        <v>0</v>
      </c>
      <c r="BW553" s="32" t="n">
        <f aca="false">IF(BG553=0,IF(BO553=0,0,1),(BO553-BG553)/BG553)</f>
        <v>0</v>
      </c>
      <c r="BX553" s="32" t="n">
        <f aca="false">IF(BH553=0,IF(BP553=0,0,1),(BP553-BH553)/BH553)</f>
        <v>0</v>
      </c>
      <c r="BY553" s="32" t="n">
        <f aca="false">IF(BI553=0,IF(BQ553=0,0,1),(BQ553-BI553)/BI553)</f>
        <v>0</v>
      </c>
      <c r="BZ553" s="32" t="n">
        <f aca="false">IF(BJ553=0,IF(BR553=0,0,1),(BR553-BJ553)/BJ553)</f>
        <v>0</v>
      </c>
      <c r="CA553" s="32" t="n">
        <f aca="false">IF(BK553=0,IF(BS553=0,0,1),(BS553-BK553)/BK553)</f>
        <v>0</v>
      </c>
      <c r="CB553" s="32" t="n">
        <f aca="false">IF(BL553=0,IF(BT553=0,0,1),(BT553-BL553)/BL553)</f>
        <v>0</v>
      </c>
      <c r="CC553" s="32" t="n">
        <f aca="false">IF(BM553=0,IF(BU553=0,0,1),(BU553-BM553)/BM553)</f>
        <v>0</v>
      </c>
      <c r="CD553" s="32" t="n">
        <f aca="false">MAX(MAX(BV553:CC553),-MIN(BV553:CC553))</f>
        <v>-0</v>
      </c>
      <c r="CE553" s="31" t="n">
        <f aca="false">IF(CI553="","",SUMIFS($CF$7:$CF$696,$A$7:$A$696,CI553,$B$7:$B$696,B553))</f>
        <v>116875</v>
      </c>
      <c r="CF553" s="31" t="n">
        <f aca="false">SUM(AU553:BE553)</f>
        <v>116875</v>
      </c>
      <c r="CG553" s="33" t="str">
        <f aca="false">A553&amp;"|"&amp;B553</f>
        <v>2027-01 月例|広島駅南口開発（株）</v>
      </c>
      <c r="CH553" s="34" t="str">
        <f aca="false">IFERROR(INDEX(設定!$D$61:$D$106,MATCH(B553,設定!$B$61:$B$106,0)),"Y")</f>
        <v>Y</v>
      </c>
      <c r="CI553" s="34" t="str">
        <f aca="false">IFERROR(INDEX(設定!$D$20:$D$34,MATCH(A553,設定!$A$20:$A$34,0))&amp;"","")</f>
        <v>2026-12 月例</v>
      </c>
    </row>
    <row r="554" customFormat="false" ht="15" hidden="true" customHeight="false" outlineLevel="0" collapsed="false">
      <c r="A554" s="22" t="s">
        <v>219</v>
      </c>
      <c r="B554" s="23" t="s">
        <v>202</v>
      </c>
      <c r="C554" s="10" t="str">
        <f aca="false">IF(G554="","未受領",IF(G554="なし","報告なし",IF(AH554="○","起票済",IF(OR(AG554="○",F554="一致",F554="入金不要"),"入金確認済","受領済"))))</f>
        <v>未受領</v>
      </c>
      <c r="D554" s="10" t="str">
        <f aca="false">IF(OR(G554="",G554="なし"),"―",IF(CH554="N","対象外",IF(AND(I554="",J554="",K554=""),"標報未入力",IF(CD554&gt;=設定!$B$4,"要確認","問題なし"))))</f>
        <v>―</v>
      </c>
      <c r="E554" s="24" t="str">
        <f aca="false">IF(OR(G554="",G554="なし",CE554="",CF554=0),"―",IF(CF554=CE554,"前月同額",IF(CE554=0,"―",IF(ABS(CF554/CE554-1)&gt;=設定!$B$5,"変動大 "&amp;TEXT(CF554/CE554-1,"+0%;-0%"),"〇"))))</f>
        <v>―</v>
      </c>
      <c r="F554" s="10" t="str">
        <f aca="false">IF(OR(G554="",G554="なし"),"―",IF(CF554=0,"入金不要",IF(COUNT(Z554,AB554,AD554,AF554)=0,IF(AG554="○","手動確認","未入金"),IF(AND(N(Z554)=Y554,IF(AA554="",TRUE(),N(AB554)=AA554),IF(AC554="",TRUE(),N(AD554)=AC554),IF(AE554="",TRUE(),N(AF554)=AE554)),"一致","不一致"))))</f>
        <v>―</v>
      </c>
      <c r="G554" s="25"/>
      <c r="H554" s="26"/>
      <c r="I554" s="27"/>
      <c r="J554" s="27"/>
      <c r="K554" s="27"/>
      <c r="L554" s="27"/>
      <c r="M554" s="27"/>
      <c r="N554" s="27"/>
      <c r="O554" s="27"/>
      <c r="P554" s="27"/>
      <c r="Q554" s="27"/>
      <c r="R554" s="27"/>
      <c r="S554" s="27"/>
      <c r="T554" s="27"/>
      <c r="U554" s="27"/>
      <c r="V554" s="27"/>
      <c r="W554" s="10" t="str">
        <f aca="false">IFERROR(INDEX(設定!$E$61:$E$106,MATCH(B554,設定!$B$61:$B$106,0)),"合算")</f>
        <v>合算</v>
      </c>
      <c r="X554" s="28"/>
      <c r="Y554" s="29" t="str">
        <f aca="false">IF(OR(G554="",G554="なし"),"",IF(W554="合算",CF554,IF(W554="掛金・負担金別",(AU554+AV554+AZ554+BB554+BD554),SUM(AU554:AY554))))</f>
        <v/>
      </c>
      <c r="Z554" s="27"/>
      <c r="AA554" s="29" t="str">
        <f aca="false">IF(OR(G554="",G554="なし"),"",IF(W554="掛金・負担金別",(AW554+AX554+AY554+BA554+BC554+BE554),IF(W554="経理区分別",AZ554+BA554,"")))</f>
        <v/>
      </c>
      <c r="AB554" s="27"/>
      <c r="AC554" s="29" t="str">
        <f aca="false">IF(OR(G554="",G554="なし"),"",IF(W554="経理区分別",BB554+BC554,""))</f>
        <v/>
      </c>
      <c r="AD554" s="27"/>
      <c r="AE554" s="29" t="str">
        <f aca="false">IF(OR(G554="",G554="なし"),"",IF(W554="経理区分別",BD554+BE554,""))</f>
        <v/>
      </c>
      <c r="AF554" s="27"/>
      <c r="AG554" s="26"/>
      <c r="AH554" s="26"/>
      <c r="AI554" s="30"/>
      <c r="AJ554" s="31" t="n">
        <v>29280</v>
      </c>
      <c r="AK554" s="31" t="n">
        <v>2400</v>
      </c>
      <c r="AL554" s="31" t="n">
        <v>29280</v>
      </c>
      <c r="AM554" s="31" t="n">
        <v>2400</v>
      </c>
      <c r="AN554" s="31"/>
      <c r="AO554" s="31" t="n">
        <v>17603</v>
      </c>
      <c r="AP554" s="31" t="n">
        <v>17635</v>
      </c>
      <c r="AQ554" s="31" t="n">
        <v>2528</v>
      </c>
      <c r="AR554" s="31" t="n">
        <v>2528</v>
      </c>
      <c r="AS554" s="31" t="n">
        <v>1</v>
      </c>
      <c r="AT554" s="31" t="n">
        <v>1</v>
      </c>
      <c r="AU554" s="31" t="n">
        <f aca="false">IF($G554="",AJ554,L554)</f>
        <v>29280</v>
      </c>
      <c r="AV554" s="31" t="n">
        <f aca="false">IF($G554="",AK554,M554)</f>
        <v>2400</v>
      </c>
      <c r="AW554" s="31" t="n">
        <f aca="false">IF($G554="",AL554,N554)</f>
        <v>29280</v>
      </c>
      <c r="AX554" s="31" t="n">
        <f aca="false">IF($G554="",AM554,O554)</f>
        <v>2400</v>
      </c>
      <c r="AY554" s="31" t="n">
        <f aca="false">IF($G554="",AN554,P554)</f>
        <v>0</v>
      </c>
      <c r="AZ554" s="31" t="n">
        <f aca="false">IF($G554="",AO554,Q554)</f>
        <v>17603</v>
      </c>
      <c r="BA554" s="31" t="n">
        <f aca="false">IF($G554="",AP554,R554)</f>
        <v>17635</v>
      </c>
      <c r="BB554" s="31" t="n">
        <f aca="false">IF($G554="",AQ554,S554)</f>
        <v>2528</v>
      </c>
      <c r="BC554" s="31" t="n">
        <f aca="false">IF($G554="",AR554,T554)</f>
        <v>2528</v>
      </c>
      <c r="BD554" s="31" t="n">
        <f aca="false">IF($G554="",AS554,U554)</f>
        <v>1</v>
      </c>
      <c r="BE554" s="31" t="n">
        <f aca="false">IF($G554="",AT554,V554)</f>
        <v>1</v>
      </c>
      <c r="BF554" s="31" t="n">
        <f aca="false">ROUNDDOWN(I554*設定!$B$10/1000,0)+ROUNDDOWN(I554*設定!$B$11/1000,0)</f>
        <v>0</v>
      </c>
      <c r="BG554" s="31" t="n">
        <f aca="false">ROUNDDOWN(I554*設定!$C$10/1000,0)+ROUNDDOWN(I554*設定!$C$11/1000,0)+ROUNDDOWN(I554*設定!$C$12/1000,0)</f>
        <v>0</v>
      </c>
      <c r="BH554" s="31" t="n">
        <f aca="false">ROUNDDOWN(J554*設定!$B$13/1000,0)</f>
        <v>0</v>
      </c>
      <c r="BI554" s="31" t="n">
        <f aca="false">ROUNDDOWN(J554*設定!$C$13/1000,0)</f>
        <v>0</v>
      </c>
      <c r="BJ554" s="31" t="n">
        <f aca="false">ROUNDDOWN(K554*設定!$B$14/1000,0)</f>
        <v>0</v>
      </c>
      <c r="BK554" s="31" t="n">
        <f aca="false">ROUNDDOWN(K554*設定!$C$14/1000,0)</f>
        <v>0</v>
      </c>
      <c r="BL554" s="31" t="n">
        <f aca="false">ROUNDDOWN(J554*設定!$B$15/1000,0)</f>
        <v>0</v>
      </c>
      <c r="BM554" s="31" t="n">
        <f aca="false">ROUNDDOWN(J554*設定!$C$15/1000,0)</f>
        <v>0</v>
      </c>
      <c r="BN554" s="31" t="n">
        <f aca="false">L554+M554</f>
        <v>0</v>
      </c>
      <c r="BO554" s="31" t="n">
        <f aca="false">N554+O554+P554</f>
        <v>0</v>
      </c>
      <c r="BP554" s="31" t="n">
        <f aca="false">Q554</f>
        <v>0</v>
      </c>
      <c r="BQ554" s="31" t="n">
        <f aca="false">R554</f>
        <v>0</v>
      </c>
      <c r="BR554" s="31" t="n">
        <f aca="false">S554</f>
        <v>0</v>
      </c>
      <c r="BS554" s="31" t="n">
        <f aca="false">T554</f>
        <v>0</v>
      </c>
      <c r="BT554" s="31" t="n">
        <f aca="false">U554</f>
        <v>0</v>
      </c>
      <c r="BU554" s="31" t="n">
        <f aca="false">V554</f>
        <v>0</v>
      </c>
      <c r="BV554" s="32" t="n">
        <f aca="false">IF(BF554=0,IF(BN554=0,0,1),(BN554-BF554)/BF554)</f>
        <v>0</v>
      </c>
      <c r="BW554" s="32" t="n">
        <f aca="false">IF(BG554=0,IF(BO554=0,0,1),(BO554-BG554)/BG554)</f>
        <v>0</v>
      </c>
      <c r="BX554" s="32" t="n">
        <f aca="false">IF(BH554=0,IF(BP554=0,0,1),(BP554-BH554)/BH554)</f>
        <v>0</v>
      </c>
      <c r="BY554" s="32" t="n">
        <f aca="false">IF(BI554=0,IF(BQ554=0,0,1),(BQ554-BI554)/BI554)</f>
        <v>0</v>
      </c>
      <c r="BZ554" s="32" t="n">
        <f aca="false">IF(BJ554=0,IF(BR554=0,0,1),(BR554-BJ554)/BJ554)</f>
        <v>0</v>
      </c>
      <c r="CA554" s="32" t="n">
        <f aca="false">IF(BK554=0,IF(BS554=0,0,1),(BS554-BK554)/BK554)</f>
        <v>0</v>
      </c>
      <c r="CB554" s="32" t="n">
        <f aca="false">IF(BL554=0,IF(BT554=0,0,1),(BT554-BL554)/BL554)</f>
        <v>0</v>
      </c>
      <c r="CC554" s="32" t="n">
        <f aca="false">IF(BM554=0,IF(BU554=0,0,1),(BU554-BM554)/BM554)</f>
        <v>0</v>
      </c>
      <c r="CD554" s="32" t="n">
        <f aca="false">MAX(MAX(BV554:CC554),-MIN(BV554:CC554))</f>
        <v>-0</v>
      </c>
      <c r="CE554" s="31" t="n">
        <f aca="false">IF(CI554="","",SUMIFS($CF$7:$CF$696,$A$7:$A$696,CI554,$B$7:$B$696,B554))</f>
        <v>103656</v>
      </c>
      <c r="CF554" s="31" t="n">
        <f aca="false">SUM(AU554:BE554)</f>
        <v>103656</v>
      </c>
      <c r="CG554" s="33" t="str">
        <f aca="false">A554&amp;"|"&amp;B554</f>
        <v>2027-01 月例|市職員労働組合</v>
      </c>
      <c r="CH554" s="34" t="str">
        <f aca="false">IFERROR(INDEX(設定!$D$61:$D$106,MATCH(B554,設定!$B$61:$B$106,0)),"Y")</f>
        <v>Y</v>
      </c>
      <c r="CI554" s="34" t="str">
        <f aca="false">IFERROR(INDEX(設定!$D$20:$D$34,MATCH(A554,設定!$A$20:$A$34,0))&amp;"","")</f>
        <v>2026-12 月例</v>
      </c>
    </row>
    <row r="555" customFormat="false" ht="15" hidden="true" customHeight="false" outlineLevel="0" collapsed="false">
      <c r="A555" s="22" t="s">
        <v>219</v>
      </c>
      <c r="B555" s="23" t="s">
        <v>203</v>
      </c>
      <c r="C555" s="10" t="str">
        <f aca="false">IF(G555="","未受領",IF(G555="なし","報告なし",IF(AH555="○","起票済",IF(OR(AG555="○",F555="一致",F555="入金不要"),"入金確認済","受領済"))))</f>
        <v>報告なし</v>
      </c>
      <c r="D555" s="10" t="str">
        <f aca="false">IF(OR(G555="",G555="なし"),"―",IF(CH555="N","対象外",IF(AND(I555="",J555="",K555=""),"標報未入力",IF(CD555&gt;=設定!$B$4,"要確認","問題なし"))))</f>
        <v>―</v>
      </c>
      <c r="E555" s="24" t="str">
        <f aca="false">IF(OR(G555="",G555="なし",CE555="",CF555=0),"―",IF(CF555=CE555,"前月同額",IF(CE555=0,"―",IF(ABS(CF555/CE555-1)&gt;=設定!$B$5,"変動大 "&amp;TEXT(CF555/CE555-1,"+0%;-0%"),"〇"))))</f>
        <v>―</v>
      </c>
      <c r="F555" s="10" t="str">
        <f aca="false">IF(OR(G555="",G555="なし"),"―",IF(CF555=0,"入金不要",IF(COUNT(Z555,AB555,AD555,AF555)=0,IF(AG555="○","手動確認","未入金"),IF(AND(N(Z555)=Y555,IF(AA555="",TRUE(),N(AB555)=AA555),IF(AC555="",TRUE(),N(AD555)=AC555),IF(AE555="",TRUE(),N(AF555)=AE555)),"一致","不一致"))))</f>
        <v>―</v>
      </c>
      <c r="G555" s="25" t="s">
        <v>173</v>
      </c>
      <c r="H555" s="26"/>
      <c r="I555" s="27"/>
      <c r="J555" s="27"/>
      <c r="K555" s="27"/>
      <c r="L555" s="27"/>
      <c r="M555" s="27"/>
      <c r="N555" s="27"/>
      <c r="O555" s="27"/>
      <c r="P555" s="27"/>
      <c r="Q555" s="27"/>
      <c r="R555" s="27"/>
      <c r="S555" s="27"/>
      <c r="T555" s="27"/>
      <c r="U555" s="27"/>
      <c r="V555" s="27"/>
      <c r="W555" s="10" t="str">
        <f aca="false">IFERROR(INDEX(設定!$E$61:$E$106,MATCH(B555,設定!$B$61:$B$106,0)),"合算")</f>
        <v>合算</v>
      </c>
      <c r="X555" s="28"/>
      <c r="Y555" s="29" t="str">
        <f aca="false">IF(OR(G555="",G555="なし"),"",IF(W555="合算",CF555,IF(W555="掛金・負担金別",(AU555+AV555+AZ555+BB555+BD555),SUM(AU555:AY555))))</f>
        <v/>
      </c>
      <c r="Z555" s="27"/>
      <c r="AA555" s="29" t="str">
        <f aca="false">IF(OR(G555="",G555="なし"),"",IF(W555="掛金・負担金別",(AW555+AX555+AY555+BA555+BC555+BE555),IF(W555="経理区分別",AZ555+BA555,"")))</f>
        <v/>
      </c>
      <c r="AB555" s="27"/>
      <c r="AC555" s="29" t="str">
        <f aca="false">IF(OR(G555="",G555="なし"),"",IF(W555="経理区分別",BB555+BC555,""))</f>
        <v/>
      </c>
      <c r="AD555" s="27"/>
      <c r="AE555" s="29" t="str">
        <f aca="false">IF(OR(G555="",G555="なし"),"",IF(W555="経理区分別",BD555+BE555,""))</f>
        <v/>
      </c>
      <c r="AF555" s="27"/>
      <c r="AG555" s="26"/>
      <c r="AH555" s="26"/>
      <c r="AI555" s="30"/>
      <c r="AJ555" s="31"/>
      <c r="AK555" s="31"/>
      <c r="AL555" s="31"/>
      <c r="AM555" s="31"/>
      <c r="AN555" s="31"/>
      <c r="AO555" s="31"/>
      <c r="AP555" s="31"/>
      <c r="AQ555" s="31"/>
      <c r="AR555" s="31"/>
      <c r="AS555" s="31"/>
      <c r="AT555" s="31"/>
      <c r="AU555" s="31" t="n">
        <f aca="false">IF($G555="",AJ555,L555)</f>
        <v>0</v>
      </c>
      <c r="AV555" s="31" t="n">
        <f aca="false">IF($G555="",AK555,M555)</f>
        <v>0</v>
      </c>
      <c r="AW555" s="31" t="n">
        <f aca="false">IF($G555="",AL555,N555)</f>
        <v>0</v>
      </c>
      <c r="AX555" s="31" t="n">
        <f aca="false">IF($G555="",AM555,O555)</f>
        <v>0</v>
      </c>
      <c r="AY555" s="31" t="n">
        <f aca="false">IF($G555="",AN555,P555)</f>
        <v>0</v>
      </c>
      <c r="AZ555" s="31" t="n">
        <f aca="false">IF($G555="",AO555,Q555)</f>
        <v>0</v>
      </c>
      <c r="BA555" s="31" t="n">
        <f aca="false">IF($G555="",AP555,R555)</f>
        <v>0</v>
      </c>
      <c r="BB555" s="31" t="n">
        <f aca="false">IF($G555="",AQ555,S555)</f>
        <v>0</v>
      </c>
      <c r="BC555" s="31" t="n">
        <f aca="false">IF($G555="",AR555,T555)</f>
        <v>0</v>
      </c>
      <c r="BD555" s="31" t="n">
        <f aca="false">IF($G555="",AS555,U555)</f>
        <v>0</v>
      </c>
      <c r="BE555" s="31" t="n">
        <f aca="false">IF($G555="",AT555,V555)</f>
        <v>0</v>
      </c>
      <c r="BF555" s="31" t="n">
        <f aca="false">ROUNDDOWN(I555*設定!$B$10/1000,0)+ROUNDDOWN(I555*設定!$B$11/1000,0)</f>
        <v>0</v>
      </c>
      <c r="BG555" s="31" t="n">
        <f aca="false">ROUNDDOWN(I555*設定!$C$10/1000,0)+ROUNDDOWN(I555*設定!$C$11/1000,0)+ROUNDDOWN(I555*設定!$C$12/1000,0)</f>
        <v>0</v>
      </c>
      <c r="BH555" s="31" t="n">
        <f aca="false">ROUNDDOWN(J555*設定!$B$13/1000,0)</f>
        <v>0</v>
      </c>
      <c r="BI555" s="31" t="n">
        <f aca="false">ROUNDDOWN(J555*設定!$C$13/1000,0)</f>
        <v>0</v>
      </c>
      <c r="BJ555" s="31" t="n">
        <f aca="false">ROUNDDOWN(K555*設定!$B$14/1000,0)</f>
        <v>0</v>
      </c>
      <c r="BK555" s="31" t="n">
        <f aca="false">ROUNDDOWN(K555*設定!$C$14/1000,0)</f>
        <v>0</v>
      </c>
      <c r="BL555" s="31" t="n">
        <f aca="false">ROUNDDOWN(J555*設定!$B$15/1000,0)</f>
        <v>0</v>
      </c>
      <c r="BM555" s="31" t="n">
        <f aca="false">ROUNDDOWN(J555*設定!$C$15/1000,0)</f>
        <v>0</v>
      </c>
      <c r="BN555" s="31" t="n">
        <f aca="false">L555+M555</f>
        <v>0</v>
      </c>
      <c r="BO555" s="31" t="n">
        <f aca="false">N555+O555+P555</f>
        <v>0</v>
      </c>
      <c r="BP555" s="31" t="n">
        <f aca="false">Q555</f>
        <v>0</v>
      </c>
      <c r="BQ555" s="31" t="n">
        <f aca="false">R555</f>
        <v>0</v>
      </c>
      <c r="BR555" s="31" t="n">
        <f aca="false">S555</f>
        <v>0</v>
      </c>
      <c r="BS555" s="31" t="n">
        <f aca="false">T555</f>
        <v>0</v>
      </c>
      <c r="BT555" s="31" t="n">
        <f aca="false">U555</f>
        <v>0</v>
      </c>
      <c r="BU555" s="31" t="n">
        <f aca="false">V555</f>
        <v>0</v>
      </c>
      <c r="BV555" s="32" t="n">
        <f aca="false">IF(BF555=0,IF(BN555=0,0,1),(BN555-BF555)/BF555)</f>
        <v>0</v>
      </c>
      <c r="BW555" s="32" t="n">
        <f aca="false">IF(BG555=0,IF(BO555=0,0,1),(BO555-BG555)/BG555)</f>
        <v>0</v>
      </c>
      <c r="BX555" s="32" t="n">
        <f aca="false">IF(BH555=0,IF(BP555=0,0,1),(BP555-BH555)/BH555)</f>
        <v>0</v>
      </c>
      <c r="BY555" s="32" t="n">
        <f aca="false">IF(BI555=0,IF(BQ555=0,0,1),(BQ555-BI555)/BI555)</f>
        <v>0</v>
      </c>
      <c r="BZ555" s="32" t="n">
        <f aca="false">IF(BJ555=0,IF(BR555=0,0,1),(BR555-BJ555)/BJ555)</f>
        <v>0</v>
      </c>
      <c r="CA555" s="32" t="n">
        <f aca="false">IF(BK555=0,IF(BS555=0,0,1),(BS555-BK555)/BK555)</f>
        <v>0</v>
      </c>
      <c r="CB555" s="32" t="n">
        <f aca="false">IF(BL555=0,IF(BT555=0,0,1),(BT555-BL555)/BL555)</f>
        <v>0</v>
      </c>
      <c r="CC555" s="32" t="n">
        <f aca="false">IF(BM555=0,IF(BU555=0,0,1),(BU555-BM555)/BM555)</f>
        <v>0</v>
      </c>
      <c r="CD555" s="32" t="n">
        <f aca="false">MAX(MAX(BV555:CC555),-MIN(BV555:CC555))</f>
        <v>-0</v>
      </c>
      <c r="CE555" s="31" t="n">
        <f aca="false">IF(CI555="","",SUMIFS($CF$7:$CF$696,$A$7:$A$696,CI555,$B$7:$B$696,B555))</f>
        <v>0</v>
      </c>
      <c r="CF555" s="31" t="n">
        <f aca="false">SUM(AU555:BE555)</f>
        <v>0</v>
      </c>
      <c r="CG555" s="33" t="str">
        <f aca="false">A555&amp;"|"&amp;B555</f>
        <v>2027-01 月例|自治労労働組合</v>
      </c>
      <c r="CH555" s="34" t="str">
        <f aca="false">IFERROR(INDEX(設定!$D$61:$D$106,MATCH(B555,設定!$B$61:$B$106,0)),"Y")</f>
        <v>Y</v>
      </c>
      <c r="CI555" s="34" t="str">
        <f aca="false">IFERROR(INDEX(設定!$D$20:$D$34,MATCH(A555,設定!$A$20:$A$34,0))&amp;"","")</f>
        <v>2026-12 月例</v>
      </c>
    </row>
    <row r="556" customFormat="false" ht="15" hidden="true" customHeight="false" outlineLevel="0" collapsed="false">
      <c r="A556" s="22" t="s">
        <v>219</v>
      </c>
      <c r="B556" s="23" t="s">
        <v>204</v>
      </c>
      <c r="C556" s="10" t="str">
        <f aca="false">IF(G556="","未受領",IF(G556="なし","報告なし",IF(AH556="○","起票済",IF(OR(AG556="○",F556="一致",F556="入金不要"),"入金確認済","受領済"))))</f>
        <v>未受領</v>
      </c>
      <c r="D556" s="10" t="str">
        <f aca="false">IF(OR(G556="",G556="なし"),"―",IF(CH556="N","対象外",IF(AND(I556="",J556="",K556=""),"標報未入力",IF(CD556&gt;=設定!$B$4,"要確認","問題なし"))))</f>
        <v>―</v>
      </c>
      <c r="E556" s="24" t="str">
        <f aca="false">IF(OR(G556="",G556="なし",CE556="",CF556=0),"―",IF(CF556=CE556,"前月同額",IF(CE556=0,"―",IF(ABS(CF556/CE556-1)&gt;=設定!$B$5,"変動大 "&amp;TEXT(CF556/CE556-1,"+0%;-0%"),"〇"))))</f>
        <v>―</v>
      </c>
      <c r="F556" s="10" t="str">
        <f aca="false">IF(OR(G556="",G556="なし"),"―",IF(CF556=0,"入金不要",IF(COUNT(Z556,AB556,AD556,AF556)=0,IF(AG556="○","手動確認","未入金"),IF(AND(N(Z556)=Y556,IF(AA556="",TRUE(),N(AB556)=AA556),IF(AC556="",TRUE(),N(AD556)=AC556),IF(AE556="",TRUE(),N(AF556)=AE556)),"一致","不一致"))))</f>
        <v>―</v>
      </c>
      <c r="G556" s="25"/>
      <c r="H556" s="26"/>
      <c r="I556" s="27"/>
      <c r="J556" s="27"/>
      <c r="K556" s="27"/>
      <c r="L556" s="27"/>
      <c r="M556" s="27"/>
      <c r="N556" s="27"/>
      <c r="O556" s="27"/>
      <c r="P556" s="27"/>
      <c r="Q556" s="27"/>
      <c r="R556" s="27"/>
      <c r="S556" s="27"/>
      <c r="T556" s="27"/>
      <c r="U556" s="27"/>
      <c r="V556" s="27"/>
      <c r="W556" s="10" t="str">
        <f aca="false">IFERROR(INDEX(設定!$E$61:$E$106,MATCH(B556,設定!$B$61:$B$106,0)),"合算")</f>
        <v>合算</v>
      </c>
      <c r="X556" s="28"/>
      <c r="Y556" s="29" t="str">
        <f aca="false">IF(OR(G556="",G556="なし"),"",IF(W556="合算",CF556,IF(W556="掛金・負担金別",(AU556+AV556+AZ556+BB556+BD556),SUM(AU556:AY556))))</f>
        <v/>
      </c>
      <c r="Z556" s="27"/>
      <c r="AA556" s="29" t="str">
        <f aca="false">IF(OR(G556="",G556="なし"),"",IF(W556="掛金・負担金別",(AW556+AX556+AY556+BA556+BC556+BE556),IF(W556="経理区分別",AZ556+BA556,"")))</f>
        <v/>
      </c>
      <c r="AB556" s="27"/>
      <c r="AC556" s="29" t="str">
        <f aca="false">IF(OR(G556="",G556="なし"),"",IF(W556="経理区分別",BB556+BC556,""))</f>
        <v/>
      </c>
      <c r="AD556" s="27"/>
      <c r="AE556" s="29" t="str">
        <f aca="false">IF(OR(G556="",G556="なし"),"",IF(W556="経理区分別",BD556+BE556,""))</f>
        <v/>
      </c>
      <c r="AF556" s="27"/>
      <c r="AG556" s="26"/>
      <c r="AH556" s="26"/>
      <c r="AI556" s="30"/>
      <c r="AJ556" s="31" t="n">
        <v>27450</v>
      </c>
      <c r="AK556" s="31" t="n">
        <v>2250</v>
      </c>
      <c r="AL556" s="31" t="n">
        <v>27450</v>
      </c>
      <c r="AM556" s="31" t="n">
        <v>2250</v>
      </c>
      <c r="AN556" s="31"/>
      <c r="AO556" s="31" t="n">
        <v>33006</v>
      </c>
      <c r="AP556" s="31" t="n">
        <v>33066</v>
      </c>
      <c r="AQ556" s="31" t="n">
        <v>2370</v>
      </c>
      <c r="AR556" s="31" t="n">
        <v>2370</v>
      </c>
      <c r="AS556" s="31" t="n">
        <v>1</v>
      </c>
      <c r="AT556" s="31" t="n">
        <v>1</v>
      </c>
      <c r="AU556" s="31" t="n">
        <f aca="false">IF($G556="",AJ556,L556)</f>
        <v>27450</v>
      </c>
      <c r="AV556" s="31" t="n">
        <f aca="false">IF($G556="",AK556,M556)</f>
        <v>2250</v>
      </c>
      <c r="AW556" s="31" t="n">
        <f aca="false">IF($G556="",AL556,N556)</f>
        <v>27450</v>
      </c>
      <c r="AX556" s="31" t="n">
        <f aca="false">IF($G556="",AM556,O556)</f>
        <v>2250</v>
      </c>
      <c r="AY556" s="31" t="n">
        <f aca="false">IF($G556="",AN556,P556)</f>
        <v>0</v>
      </c>
      <c r="AZ556" s="31" t="n">
        <f aca="false">IF($G556="",AO556,Q556)</f>
        <v>33006</v>
      </c>
      <c r="BA556" s="31" t="n">
        <f aca="false">IF($G556="",AP556,R556)</f>
        <v>33066</v>
      </c>
      <c r="BB556" s="31" t="n">
        <f aca="false">IF($G556="",AQ556,S556)</f>
        <v>2370</v>
      </c>
      <c r="BC556" s="31" t="n">
        <f aca="false">IF($G556="",AR556,T556)</f>
        <v>2370</v>
      </c>
      <c r="BD556" s="31" t="n">
        <f aca="false">IF($G556="",AS556,U556)</f>
        <v>1</v>
      </c>
      <c r="BE556" s="31" t="n">
        <f aca="false">IF($G556="",AT556,V556)</f>
        <v>1</v>
      </c>
      <c r="BF556" s="31" t="n">
        <f aca="false">ROUNDDOWN(I556*設定!$B$10/1000,0)+ROUNDDOWN(I556*設定!$B$11/1000,0)</f>
        <v>0</v>
      </c>
      <c r="BG556" s="31" t="n">
        <f aca="false">ROUNDDOWN(I556*設定!$C$10/1000,0)+ROUNDDOWN(I556*設定!$C$11/1000,0)+ROUNDDOWN(I556*設定!$C$12/1000,0)</f>
        <v>0</v>
      </c>
      <c r="BH556" s="31" t="n">
        <f aca="false">ROUNDDOWN(J556*設定!$B$13/1000,0)</f>
        <v>0</v>
      </c>
      <c r="BI556" s="31" t="n">
        <f aca="false">ROUNDDOWN(J556*設定!$C$13/1000,0)</f>
        <v>0</v>
      </c>
      <c r="BJ556" s="31" t="n">
        <f aca="false">ROUNDDOWN(K556*設定!$B$14/1000,0)</f>
        <v>0</v>
      </c>
      <c r="BK556" s="31" t="n">
        <f aca="false">ROUNDDOWN(K556*設定!$C$14/1000,0)</f>
        <v>0</v>
      </c>
      <c r="BL556" s="31" t="n">
        <f aca="false">ROUNDDOWN(J556*設定!$B$15/1000,0)</f>
        <v>0</v>
      </c>
      <c r="BM556" s="31" t="n">
        <f aca="false">ROUNDDOWN(J556*設定!$C$15/1000,0)</f>
        <v>0</v>
      </c>
      <c r="BN556" s="31" t="n">
        <f aca="false">L556+M556</f>
        <v>0</v>
      </c>
      <c r="BO556" s="31" t="n">
        <f aca="false">N556+O556+P556</f>
        <v>0</v>
      </c>
      <c r="BP556" s="31" t="n">
        <f aca="false">Q556</f>
        <v>0</v>
      </c>
      <c r="BQ556" s="31" t="n">
        <f aca="false">R556</f>
        <v>0</v>
      </c>
      <c r="BR556" s="31" t="n">
        <f aca="false">S556</f>
        <v>0</v>
      </c>
      <c r="BS556" s="31" t="n">
        <f aca="false">T556</f>
        <v>0</v>
      </c>
      <c r="BT556" s="31" t="n">
        <f aca="false">U556</f>
        <v>0</v>
      </c>
      <c r="BU556" s="31" t="n">
        <f aca="false">V556</f>
        <v>0</v>
      </c>
      <c r="BV556" s="32" t="n">
        <f aca="false">IF(BF556=0,IF(BN556=0,0,1),(BN556-BF556)/BF556)</f>
        <v>0</v>
      </c>
      <c r="BW556" s="32" t="n">
        <f aca="false">IF(BG556=0,IF(BO556=0,0,1),(BO556-BG556)/BG556)</f>
        <v>0</v>
      </c>
      <c r="BX556" s="32" t="n">
        <f aca="false">IF(BH556=0,IF(BP556=0,0,1),(BP556-BH556)/BH556)</f>
        <v>0</v>
      </c>
      <c r="BY556" s="32" t="n">
        <f aca="false">IF(BI556=0,IF(BQ556=0,0,1),(BQ556-BI556)/BI556)</f>
        <v>0</v>
      </c>
      <c r="BZ556" s="32" t="n">
        <f aca="false">IF(BJ556=0,IF(BR556=0,0,1),(BR556-BJ556)/BJ556)</f>
        <v>0</v>
      </c>
      <c r="CA556" s="32" t="n">
        <f aca="false">IF(BK556=0,IF(BS556=0,0,1),(BS556-BK556)/BK556)</f>
        <v>0</v>
      </c>
      <c r="CB556" s="32" t="n">
        <f aca="false">IF(BL556=0,IF(BT556=0,0,1),(BT556-BL556)/BL556)</f>
        <v>0</v>
      </c>
      <c r="CC556" s="32" t="n">
        <f aca="false">IF(BM556=0,IF(BU556=0,0,1),(BU556-BM556)/BM556)</f>
        <v>0</v>
      </c>
      <c r="CD556" s="32" t="n">
        <f aca="false">MAX(MAX(BV556:CC556),-MIN(BV556:CC556))</f>
        <v>-0</v>
      </c>
      <c r="CE556" s="31" t="n">
        <f aca="false">IF(CI556="","",SUMIFS($CF$7:$CF$696,$A$7:$A$696,CI556,$B$7:$B$696,B556))</f>
        <v>117888</v>
      </c>
      <c r="CF556" s="31" t="n">
        <f aca="false">SUM(AU556:BE556)</f>
        <v>130214</v>
      </c>
      <c r="CG556" s="33" t="str">
        <f aca="false">A556&amp;"|"&amp;B556</f>
        <v>2027-01 月例|病院労働組合</v>
      </c>
      <c r="CH556" s="34" t="str">
        <f aca="false">IFERROR(INDEX(設定!$D$61:$D$106,MATCH(B556,設定!$B$61:$B$106,0)),"Y")</f>
        <v>Y</v>
      </c>
      <c r="CI556" s="34" t="str">
        <f aca="false">IFERROR(INDEX(設定!$D$20:$D$34,MATCH(A556,設定!$A$20:$A$34,0))&amp;"","")</f>
        <v>2026-12 月例</v>
      </c>
    </row>
    <row r="557" customFormat="false" ht="15" hidden="true" customHeight="false" outlineLevel="0" collapsed="false">
      <c r="A557" s="22" t="s">
        <v>219</v>
      </c>
      <c r="B557" s="23" t="s">
        <v>205</v>
      </c>
      <c r="C557" s="10" t="str">
        <f aca="false">IF(G557="","未受領",IF(G557="なし","報告なし",IF(AH557="○","起票済",IF(OR(AG557="○",F557="一致",F557="入金不要"),"入金確認済","受領済"))))</f>
        <v>報告なし</v>
      </c>
      <c r="D557" s="10" t="str">
        <f aca="false">IF(OR(G557="",G557="なし"),"―",IF(CH557="N","対象外",IF(AND(I557="",J557="",K557=""),"標報未入力",IF(CD557&gt;=設定!$B$4,"要確認","問題なし"))))</f>
        <v>―</v>
      </c>
      <c r="E557" s="24" t="str">
        <f aca="false">IF(OR(G557="",G557="なし",CE557="",CF557=0),"―",IF(CF557=CE557,"前月同額",IF(CE557=0,"―",IF(ABS(CF557/CE557-1)&gt;=設定!$B$5,"変動大 "&amp;TEXT(CF557/CE557-1,"+0%;-0%"),"〇"))))</f>
        <v>―</v>
      </c>
      <c r="F557" s="10" t="str">
        <f aca="false">IF(OR(G557="",G557="なし"),"―",IF(CF557=0,"入金不要",IF(COUNT(Z557,AB557,AD557,AF557)=0,IF(AG557="○","手動確認","未入金"),IF(AND(N(Z557)=Y557,IF(AA557="",TRUE(),N(AB557)=AA557),IF(AC557="",TRUE(),N(AD557)=AC557),IF(AE557="",TRUE(),N(AF557)=AE557)),"一致","不一致"))))</f>
        <v>―</v>
      </c>
      <c r="G557" s="25" t="s">
        <v>173</v>
      </c>
      <c r="H557" s="26"/>
      <c r="I557" s="27"/>
      <c r="J557" s="27"/>
      <c r="K557" s="27"/>
      <c r="L557" s="27"/>
      <c r="M557" s="27"/>
      <c r="N557" s="27"/>
      <c r="O557" s="27"/>
      <c r="P557" s="27"/>
      <c r="Q557" s="27"/>
      <c r="R557" s="27"/>
      <c r="S557" s="27"/>
      <c r="T557" s="27"/>
      <c r="U557" s="27"/>
      <c r="V557" s="27"/>
      <c r="W557" s="10" t="str">
        <f aca="false">IFERROR(INDEX(設定!$E$61:$E$106,MATCH(B557,設定!$B$61:$B$106,0)),"合算")</f>
        <v>合算</v>
      </c>
      <c r="X557" s="28"/>
      <c r="Y557" s="29" t="str">
        <f aca="false">IF(OR(G557="",G557="なし"),"",IF(W557="合算",CF557,IF(W557="掛金・負担金別",(AU557+AV557+AZ557+BB557+BD557),SUM(AU557:AY557))))</f>
        <v/>
      </c>
      <c r="Z557" s="27"/>
      <c r="AA557" s="29" t="str">
        <f aca="false">IF(OR(G557="",G557="なし"),"",IF(W557="掛金・負担金別",(AW557+AX557+AY557+BA557+BC557+BE557),IF(W557="経理区分別",AZ557+BA557,"")))</f>
        <v/>
      </c>
      <c r="AB557" s="27"/>
      <c r="AC557" s="29" t="str">
        <f aca="false">IF(OR(G557="",G557="なし"),"",IF(W557="経理区分別",BB557+BC557,""))</f>
        <v/>
      </c>
      <c r="AD557" s="27"/>
      <c r="AE557" s="29" t="str">
        <f aca="false">IF(OR(G557="",G557="なし"),"",IF(W557="経理区分別",BD557+BE557,""))</f>
        <v/>
      </c>
      <c r="AF557" s="27"/>
      <c r="AG557" s="26"/>
      <c r="AH557" s="26"/>
      <c r="AI557" s="30"/>
      <c r="AJ557" s="31"/>
      <c r="AK557" s="31"/>
      <c r="AL557" s="31"/>
      <c r="AM557" s="31"/>
      <c r="AN557" s="31"/>
      <c r="AO557" s="31"/>
      <c r="AP557" s="31"/>
      <c r="AQ557" s="31"/>
      <c r="AR557" s="31"/>
      <c r="AS557" s="31"/>
      <c r="AT557" s="31"/>
      <c r="AU557" s="31" t="n">
        <f aca="false">IF($G557="",AJ557,L557)</f>
        <v>0</v>
      </c>
      <c r="AV557" s="31" t="n">
        <f aca="false">IF($G557="",AK557,M557)</f>
        <v>0</v>
      </c>
      <c r="AW557" s="31" t="n">
        <f aca="false">IF($G557="",AL557,N557)</f>
        <v>0</v>
      </c>
      <c r="AX557" s="31" t="n">
        <f aca="false">IF($G557="",AM557,O557)</f>
        <v>0</v>
      </c>
      <c r="AY557" s="31" t="n">
        <f aca="false">IF($G557="",AN557,P557)</f>
        <v>0</v>
      </c>
      <c r="AZ557" s="31" t="n">
        <f aca="false">IF($G557="",AO557,Q557)</f>
        <v>0</v>
      </c>
      <c r="BA557" s="31" t="n">
        <f aca="false">IF($G557="",AP557,R557)</f>
        <v>0</v>
      </c>
      <c r="BB557" s="31" t="n">
        <f aca="false">IF($G557="",AQ557,S557)</f>
        <v>0</v>
      </c>
      <c r="BC557" s="31" t="n">
        <f aca="false">IF($G557="",AR557,T557)</f>
        <v>0</v>
      </c>
      <c r="BD557" s="31" t="n">
        <f aca="false">IF($G557="",AS557,U557)</f>
        <v>0</v>
      </c>
      <c r="BE557" s="31" t="n">
        <f aca="false">IF($G557="",AT557,V557)</f>
        <v>0</v>
      </c>
      <c r="BF557" s="31" t="n">
        <f aca="false">ROUNDDOWN(I557*設定!$B$10/1000,0)+ROUNDDOWN(I557*設定!$B$11/1000,0)</f>
        <v>0</v>
      </c>
      <c r="BG557" s="31" t="n">
        <f aca="false">ROUNDDOWN(I557*設定!$C$10/1000,0)+ROUNDDOWN(I557*設定!$C$11/1000,0)+ROUNDDOWN(I557*設定!$C$12/1000,0)</f>
        <v>0</v>
      </c>
      <c r="BH557" s="31" t="n">
        <f aca="false">ROUNDDOWN(J557*設定!$B$13/1000,0)</f>
        <v>0</v>
      </c>
      <c r="BI557" s="31" t="n">
        <f aca="false">ROUNDDOWN(J557*設定!$C$13/1000,0)</f>
        <v>0</v>
      </c>
      <c r="BJ557" s="31" t="n">
        <f aca="false">ROUNDDOWN(K557*設定!$B$14/1000,0)</f>
        <v>0</v>
      </c>
      <c r="BK557" s="31" t="n">
        <f aca="false">ROUNDDOWN(K557*設定!$C$14/1000,0)</f>
        <v>0</v>
      </c>
      <c r="BL557" s="31" t="n">
        <f aca="false">ROUNDDOWN(J557*設定!$B$15/1000,0)</f>
        <v>0</v>
      </c>
      <c r="BM557" s="31" t="n">
        <f aca="false">ROUNDDOWN(J557*設定!$C$15/1000,0)</f>
        <v>0</v>
      </c>
      <c r="BN557" s="31" t="n">
        <f aca="false">L557+M557</f>
        <v>0</v>
      </c>
      <c r="BO557" s="31" t="n">
        <f aca="false">N557+O557+P557</f>
        <v>0</v>
      </c>
      <c r="BP557" s="31" t="n">
        <f aca="false">Q557</f>
        <v>0</v>
      </c>
      <c r="BQ557" s="31" t="n">
        <f aca="false">R557</f>
        <v>0</v>
      </c>
      <c r="BR557" s="31" t="n">
        <f aca="false">S557</f>
        <v>0</v>
      </c>
      <c r="BS557" s="31" t="n">
        <f aca="false">T557</f>
        <v>0</v>
      </c>
      <c r="BT557" s="31" t="n">
        <f aca="false">U557</f>
        <v>0</v>
      </c>
      <c r="BU557" s="31" t="n">
        <f aca="false">V557</f>
        <v>0</v>
      </c>
      <c r="BV557" s="32" t="n">
        <f aca="false">IF(BF557=0,IF(BN557=0,0,1),(BN557-BF557)/BF557)</f>
        <v>0</v>
      </c>
      <c r="BW557" s="32" t="n">
        <f aca="false">IF(BG557=0,IF(BO557=0,0,1),(BO557-BG557)/BG557)</f>
        <v>0</v>
      </c>
      <c r="BX557" s="32" t="n">
        <f aca="false">IF(BH557=0,IF(BP557=0,0,1),(BP557-BH557)/BH557)</f>
        <v>0</v>
      </c>
      <c r="BY557" s="32" t="n">
        <f aca="false">IF(BI557=0,IF(BQ557=0,0,1),(BQ557-BI557)/BI557)</f>
        <v>0</v>
      </c>
      <c r="BZ557" s="32" t="n">
        <f aca="false">IF(BJ557=0,IF(BR557=0,0,1),(BR557-BJ557)/BJ557)</f>
        <v>0</v>
      </c>
      <c r="CA557" s="32" t="n">
        <f aca="false">IF(BK557=0,IF(BS557=0,0,1),(BS557-BK557)/BK557)</f>
        <v>0</v>
      </c>
      <c r="CB557" s="32" t="n">
        <f aca="false">IF(BL557=0,IF(BT557=0,0,1),(BT557-BL557)/BL557)</f>
        <v>0</v>
      </c>
      <c r="CC557" s="32" t="n">
        <f aca="false">IF(BM557=0,IF(BU557=0,0,1),(BU557-BM557)/BM557)</f>
        <v>0</v>
      </c>
      <c r="CD557" s="32" t="n">
        <f aca="false">MAX(MAX(BV557:CC557),-MIN(BV557:CC557))</f>
        <v>-0</v>
      </c>
      <c r="CE557" s="31" t="n">
        <f aca="false">IF(CI557="","",SUMIFS($CF$7:$CF$696,$A$7:$A$696,CI557,$B$7:$B$696,B557))</f>
        <v>0</v>
      </c>
      <c r="CF557" s="31" t="n">
        <f aca="false">SUM(AU557:BE557)</f>
        <v>0</v>
      </c>
      <c r="CG557" s="33" t="str">
        <f aca="false">A557&amp;"|"&amp;B557</f>
        <v>2027-01 月例|水道労働組合</v>
      </c>
      <c r="CH557" s="34" t="str">
        <f aca="false">IFERROR(INDEX(設定!$D$61:$D$106,MATCH(B557,設定!$B$61:$B$106,0)),"Y")</f>
        <v>Y</v>
      </c>
      <c r="CI557" s="34" t="str">
        <f aca="false">IFERROR(INDEX(設定!$D$20:$D$34,MATCH(A557,設定!$A$20:$A$34,0))&amp;"","")</f>
        <v>2026-12 月例</v>
      </c>
    </row>
    <row r="558" customFormat="false" ht="15" hidden="true" customHeight="false" outlineLevel="0" collapsed="false">
      <c r="A558" s="22" t="s">
        <v>219</v>
      </c>
      <c r="B558" s="23" t="s">
        <v>206</v>
      </c>
      <c r="C558" s="10" t="str">
        <f aca="false">IF(G558="","未受領",IF(G558="なし","報告なし",IF(AH558="○","起票済",IF(OR(AG558="○",F558="一致",F558="入金不要"),"入金確認済","受領済"))))</f>
        <v>未受領</v>
      </c>
      <c r="D558" s="10" t="str">
        <f aca="false">IF(OR(G558="",G558="なし"),"―",IF(CH558="N","対象外",IF(AND(I558="",J558="",K558=""),"標報未入力",IF(CD558&gt;=設定!$B$4,"要確認","問題なし"))))</f>
        <v>―</v>
      </c>
      <c r="E558" s="24" t="str">
        <f aca="false">IF(OR(G558="",G558="なし",CE558="",CF558=0),"―",IF(CF558=CE558,"前月同額",IF(CE558=0,"―",IF(ABS(CF558/CE558-1)&gt;=設定!$B$5,"変動大 "&amp;TEXT(CF558/CE558-1,"+0%;-0%"),"〇"))))</f>
        <v>―</v>
      </c>
      <c r="F558" s="10" t="str">
        <f aca="false">IF(OR(G558="",G558="なし"),"―",IF(CF558=0,"入金不要",IF(COUNT(Z558,AB558,AD558,AF558)=0,IF(AG558="○","手動確認","未入金"),IF(AND(N(Z558)=Y558,IF(AA558="",TRUE(),N(AB558)=AA558),IF(AC558="",TRUE(),N(AD558)=AC558),IF(AE558="",TRUE(),N(AF558)=AE558)),"一致","不一致"))))</f>
        <v>―</v>
      </c>
      <c r="G558" s="25"/>
      <c r="H558" s="26"/>
      <c r="I558" s="27"/>
      <c r="J558" s="27"/>
      <c r="K558" s="27"/>
      <c r="L558" s="27"/>
      <c r="M558" s="27"/>
      <c r="N558" s="27"/>
      <c r="O558" s="27"/>
      <c r="P558" s="27"/>
      <c r="Q558" s="27"/>
      <c r="R558" s="27"/>
      <c r="S558" s="27"/>
      <c r="T558" s="27"/>
      <c r="U558" s="27"/>
      <c r="V558" s="27"/>
      <c r="W558" s="10" t="str">
        <f aca="false">IFERROR(INDEX(設定!$E$61:$E$106,MATCH(B558,設定!$B$61:$B$106,0)),"合算")</f>
        <v>合算</v>
      </c>
      <c r="X558" s="28"/>
      <c r="Y558" s="29" t="str">
        <f aca="false">IF(OR(G558="",G558="なし"),"",IF(W558="合算",CF558,IF(W558="掛金・負担金別",(AU558+AV558+AZ558+BB558+BD558),SUM(AU558:AY558))))</f>
        <v/>
      </c>
      <c r="Z558" s="27"/>
      <c r="AA558" s="29" t="str">
        <f aca="false">IF(OR(G558="",G558="なし"),"",IF(W558="掛金・負担金別",(AW558+AX558+AY558+BA558+BC558+BE558),IF(W558="経理区分別",AZ558+BA558,"")))</f>
        <v/>
      </c>
      <c r="AB558" s="27"/>
      <c r="AC558" s="29" t="str">
        <f aca="false">IF(OR(G558="",G558="なし"),"",IF(W558="経理区分別",BB558+BC558,""))</f>
        <v/>
      </c>
      <c r="AD558" s="27"/>
      <c r="AE558" s="29" t="str">
        <f aca="false">IF(OR(G558="",G558="なし"),"",IF(W558="経理区分別",BD558+BE558,""))</f>
        <v/>
      </c>
      <c r="AF558" s="27"/>
      <c r="AG558" s="26"/>
      <c r="AH558" s="26"/>
      <c r="AI558" s="30"/>
      <c r="AJ558" s="31"/>
      <c r="AK558" s="31"/>
      <c r="AL558" s="31"/>
      <c r="AM558" s="31"/>
      <c r="AN558" s="31"/>
      <c r="AO558" s="31" t="n">
        <v>1487293</v>
      </c>
      <c r="AP558" s="31"/>
      <c r="AQ558" s="31" t="n">
        <v>75931</v>
      </c>
      <c r="AR558" s="31"/>
      <c r="AS558" s="31" t="n">
        <v>1</v>
      </c>
      <c r="AT558" s="31"/>
      <c r="AU558" s="31" t="n">
        <f aca="false">IF($G558="",AJ558,L558)</f>
        <v>0</v>
      </c>
      <c r="AV558" s="31" t="n">
        <f aca="false">IF($G558="",AK558,M558)</f>
        <v>0</v>
      </c>
      <c r="AW558" s="31" t="n">
        <f aca="false">IF($G558="",AL558,N558)</f>
        <v>0</v>
      </c>
      <c r="AX558" s="31" t="n">
        <f aca="false">IF($G558="",AM558,O558)</f>
        <v>0</v>
      </c>
      <c r="AY558" s="31" t="n">
        <f aca="false">IF($G558="",AN558,P558)</f>
        <v>0</v>
      </c>
      <c r="AZ558" s="31" t="n">
        <f aca="false">IF($G558="",AO558,Q558)</f>
        <v>1487293</v>
      </c>
      <c r="BA558" s="31" t="n">
        <f aca="false">IF($G558="",AP558,R558)</f>
        <v>0</v>
      </c>
      <c r="BB558" s="31" t="n">
        <f aca="false">IF($G558="",AQ558,S558)</f>
        <v>75931</v>
      </c>
      <c r="BC558" s="31" t="n">
        <f aca="false">IF($G558="",AR558,T558)</f>
        <v>0</v>
      </c>
      <c r="BD558" s="31" t="n">
        <f aca="false">IF($G558="",AS558,U558)</f>
        <v>1</v>
      </c>
      <c r="BE558" s="31" t="n">
        <f aca="false">IF($G558="",AT558,V558)</f>
        <v>0</v>
      </c>
      <c r="BF558" s="31" t="n">
        <f aca="false">ROUNDDOWN(I558*設定!$B$10/1000,0)+ROUNDDOWN(I558*設定!$B$11/1000,0)</f>
        <v>0</v>
      </c>
      <c r="BG558" s="31" t="n">
        <f aca="false">ROUNDDOWN(I558*設定!$C$10/1000,0)+ROUNDDOWN(I558*設定!$C$11/1000,0)+ROUNDDOWN(I558*設定!$C$12/1000,0)</f>
        <v>0</v>
      </c>
      <c r="BH558" s="31" t="n">
        <f aca="false">ROUNDDOWN(J558*設定!$B$13/1000,0)</f>
        <v>0</v>
      </c>
      <c r="BI558" s="31" t="n">
        <f aca="false">ROUNDDOWN(J558*設定!$C$13/1000,0)</f>
        <v>0</v>
      </c>
      <c r="BJ558" s="31" t="n">
        <f aca="false">ROUNDDOWN(K558*設定!$B$14/1000,0)</f>
        <v>0</v>
      </c>
      <c r="BK558" s="31" t="n">
        <f aca="false">ROUNDDOWN(K558*設定!$C$14/1000,0)</f>
        <v>0</v>
      </c>
      <c r="BL558" s="31" t="n">
        <f aca="false">ROUNDDOWN(J558*設定!$B$15/1000,0)</f>
        <v>0</v>
      </c>
      <c r="BM558" s="31" t="n">
        <f aca="false">ROUNDDOWN(J558*設定!$C$15/1000,0)</f>
        <v>0</v>
      </c>
      <c r="BN558" s="31" t="n">
        <f aca="false">L558+M558</f>
        <v>0</v>
      </c>
      <c r="BO558" s="31" t="n">
        <f aca="false">N558+O558+P558</f>
        <v>0</v>
      </c>
      <c r="BP558" s="31" t="n">
        <f aca="false">Q558</f>
        <v>0</v>
      </c>
      <c r="BQ558" s="31" t="n">
        <f aca="false">R558</f>
        <v>0</v>
      </c>
      <c r="BR558" s="31" t="n">
        <f aca="false">S558</f>
        <v>0</v>
      </c>
      <c r="BS558" s="31" t="n">
        <f aca="false">T558</f>
        <v>0</v>
      </c>
      <c r="BT558" s="31" t="n">
        <f aca="false">U558</f>
        <v>0</v>
      </c>
      <c r="BU558" s="31" t="n">
        <f aca="false">V558</f>
        <v>0</v>
      </c>
      <c r="BV558" s="32" t="n">
        <f aca="false">IF(BF558=0,IF(BN558=0,0,1),(BN558-BF558)/BF558)</f>
        <v>0</v>
      </c>
      <c r="BW558" s="32" t="n">
        <f aca="false">IF(BG558=0,IF(BO558=0,0,1),(BO558-BG558)/BG558)</f>
        <v>0</v>
      </c>
      <c r="BX558" s="32" t="n">
        <f aca="false">IF(BH558=0,IF(BP558=0,0,1),(BP558-BH558)/BH558)</f>
        <v>0</v>
      </c>
      <c r="BY558" s="32" t="n">
        <f aca="false">IF(BI558=0,IF(BQ558=0,0,1),(BQ558-BI558)/BI558)</f>
        <v>0</v>
      </c>
      <c r="BZ558" s="32" t="n">
        <f aca="false">IF(BJ558=0,IF(BR558=0,0,1),(BR558-BJ558)/BJ558)</f>
        <v>0</v>
      </c>
      <c r="CA558" s="32" t="n">
        <f aca="false">IF(BK558=0,IF(BS558=0,0,1),(BS558-BK558)/BK558)</f>
        <v>0</v>
      </c>
      <c r="CB558" s="32" t="n">
        <f aca="false">IF(BL558=0,IF(BT558=0,0,1),(BT558-BL558)/BL558)</f>
        <v>0</v>
      </c>
      <c r="CC558" s="32" t="n">
        <f aca="false">IF(BM558=0,IF(BU558=0,0,1),(BU558-BM558)/BM558)</f>
        <v>0</v>
      </c>
      <c r="CD558" s="32" t="n">
        <f aca="false">MAX(MAX(BV558:CC558),-MIN(BV558:CC558))</f>
        <v>-0</v>
      </c>
      <c r="CE558" s="31" t="n">
        <f aca="false">IF(CI558="","",SUMIFS($CF$7:$CF$696,$A$7:$A$696,CI558,$B$7:$B$696,B558))</f>
        <v>1347304</v>
      </c>
      <c r="CF558" s="31" t="n">
        <f aca="false">SUM(AU558:BE558)</f>
        <v>1563225</v>
      </c>
      <c r="CG558" s="33" t="str">
        <f aca="false">A558&amp;"|"&amp;B558</f>
        <v>2027-01 月例|任意継続組合員</v>
      </c>
      <c r="CH558" s="34" t="str">
        <f aca="false">IFERROR(INDEX(設定!$D$61:$D$106,MATCH(B558,設定!$B$61:$B$106,0)),"Y")</f>
        <v>N</v>
      </c>
      <c r="CI558" s="34" t="str">
        <f aca="false">IFERROR(INDEX(設定!$D$20:$D$34,MATCH(A558,設定!$A$20:$A$34,0))&amp;"","")</f>
        <v>2026-12 月例</v>
      </c>
    </row>
    <row r="559" customFormat="false" ht="15" hidden="true" customHeight="false" outlineLevel="0" collapsed="false">
      <c r="A559" s="22" t="s">
        <v>220</v>
      </c>
      <c r="B559" s="23" t="s">
        <v>158</v>
      </c>
      <c r="C559" s="10" t="str">
        <f aca="false">IF(G559="","未受領",IF(G559="なし","報告なし",IF(AH559="○","起票済",IF(OR(AG559="○",F559="一致",F559="入金不要"),"入金確認済","受領済"))))</f>
        <v>未受領</v>
      </c>
      <c r="D559" s="10" t="str">
        <f aca="false">IF(OR(G559="",G559="なし"),"―",IF(CH559="N","対象外",IF(AND(I559="",J559="",K559=""),"標報未入力",IF(CD559&gt;=設定!$B$4,"要確認","問題なし"))))</f>
        <v>―</v>
      </c>
      <c r="E559" s="24" t="str">
        <f aca="false">IF(OR(G559="",G559="なし",CE559="",CF559=0),"―",IF(CF559=CE559,"前月同額",IF(CE559=0,"―",IF(ABS(CF559/CE559-1)&gt;=設定!$B$5,"変動大 "&amp;TEXT(CF559/CE559-1,"+0%;-0%"),"〇"))))</f>
        <v>―</v>
      </c>
      <c r="F559" s="10" t="str">
        <f aca="false">IF(OR(G559="",G559="なし"),"―",IF(CF559=0,"入金不要",IF(COUNT(Z559,AB559,AD559,AF559)=0,IF(AG559="○","手動確認","未入金"),IF(AND(N(Z559)=Y559,IF(AA559="",TRUE(),N(AB559)=AA559),IF(AC559="",TRUE(),N(AD559)=AC559),IF(AE559="",TRUE(),N(AF559)=AE559)),"一致","不一致"))))</f>
        <v>―</v>
      </c>
      <c r="G559" s="25"/>
      <c r="H559" s="26"/>
      <c r="I559" s="27"/>
      <c r="J559" s="27"/>
      <c r="K559" s="27"/>
      <c r="L559" s="27"/>
      <c r="M559" s="27"/>
      <c r="N559" s="27"/>
      <c r="O559" s="27"/>
      <c r="P559" s="27"/>
      <c r="Q559" s="27"/>
      <c r="R559" s="27"/>
      <c r="S559" s="27"/>
      <c r="T559" s="27"/>
      <c r="U559" s="27"/>
      <c r="V559" s="27"/>
      <c r="W559" s="10" t="str">
        <f aca="false">IFERROR(INDEX(設定!$E$61:$E$106,MATCH(B559,設定!$B$61:$B$106,0)),"合算")</f>
        <v>合算</v>
      </c>
      <c r="X559" s="28"/>
      <c r="Y559" s="29" t="str">
        <f aca="false">IF(OR(G559="",G559="なし"),"",IF(W559="合算",CF559,IF(W559="掛金・負担金別",(AU559+AV559+AZ559+BB559+BD559),SUM(AU559:AY559))))</f>
        <v/>
      </c>
      <c r="Z559" s="27"/>
      <c r="AA559" s="29" t="str">
        <f aca="false">IF(OR(G559="",G559="なし"),"",IF(W559="掛金・負担金別",(AW559+AX559+AY559+BA559+BC559+BE559),IF(W559="経理区分別",AZ559+BA559,"")))</f>
        <v/>
      </c>
      <c r="AB559" s="27"/>
      <c r="AC559" s="29" t="str">
        <f aca="false">IF(OR(G559="",G559="なし"),"",IF(W559="経理区分別",BB559+BC559,""))</f>
        <v/>
      </c>
      <c r="AD559" s="27"/>
      <c r="AE559" s="29" t="str">
        <f aca="false">IF(OR(G559="",G559="なし"),"",IF(W559="経理区分別",BD559+BE559,""))</f>
        <v/>
      </c>
      <c r="AF559" s="27"/>
      <c r="AG559" s="26"/>
      <c r="AH559" s="26"/>
      <c r="AI559" s="30"/>
      <c r="AJ559" s="31" t="n">
        <v>232963119</v>
      </c>
      <c r="AK559" s="31" t="n">
        <v>19100214</v>
      </c>
      <c r="AL559" s="31" t="n">
        <v>339759219</v>
      </c>
      <c r="AM559" s="31" t="n">
        <v>18607559</v>
      </c>
      <c r="AN559" s="31" t="n">
        <v>245654</v>
      </c>
      <c r="AO559" s="31" t="n">
        <v>180228959</v>
      </c>
      <c r="AP559" s="31" t="n">
        <v>179795878</v>
      </c>
      <c r="AQ559" s="31" t="n">
        <v>15863531</v>
      </c>
      <c r="AR559" s="31" t="n">
        <v>15423045</v>
      </c>
      <c r="AS559" s="31" t="n">
        <v>1</v>
      </c>
      <c r="AT559" s="31" t="n">
        <v>1</v>
      </c>
      <c r="AU559" s="31" t="n">
        <f aca="false">IF($G559="",AJ559,L559)</f>
        <v>232963119</v>
      </c>
      <c r="AV559" s="31" t="n">
        <f aca="false">IF($G559="",AK559,M559)</f>
        <v>19100214</v>
      </c>
      <c r="AW559" s="31" t="n">
        <f aca="false">IF($G559="",AL559,N559)</f>
        <v>339759219</v>
      </c>
      <c r="AX559" s="31" t="n">
        <f aca="false">IF($G559="",AM559,O559)</f>
        <v>18607559</v>
      </c>
      <c r="AY559" s="31" t="n">
        <f aca="false">IF($G559="",AN559,P559)</f>
        <v>245654</v>
      </c>
      <c r="AZ559" s="31" t="n">
        <f aca="false">IF($G559="",AO559,Q559)</f>
        <v>180228959</v>
      </c>
      <c r="BA559" s="31" t="n">
        <f aca="false">IF($G559="",AP559,R559)</f>
        <v>179795878</v>
      </c>
      <c r="BB559" s="31" t="n">
        <f aca="false">IF($G559="",AQ559,S559)</f>
        <v>15863531</v>
      </c>
      <c r="BC559" s="31" t="n">
        <f aca="false">IF($G559="",AR559,T559)</f>
        <v>15423045</v>
      </c>
      <c r="BD559" s="31" t="n">
        <f aca="false">IF($G559="",AS559,U559)</f>
        <v>1</v>
      </c>
      <c r="BE559" s="31" t="n">
        <f aca="false">IF($G559="",AT559,V559)</f>
        <v>1</v>
      </c>
      <c r="BF559" s="31" t="n">
        <f aca="false">ROUNDDOWN(I559*設定!$B$10/1000,0)+ROUNDDOWN(I559*設定!$B$11/1000,0)</f>
        <v>0</v>
      </c>
      <c r="BG559" s="31" t="n">
        <f aca="false">ROUNDDOWN(I559*設定!$C$10/1000,0)+ROUNDDOWN(I559*設定!$C$11/1000,0)+ROUNDDOWN(I559*設定!$C$12/1000,0)</f>
        <v>0</v>
      </c>
      <c r="BH559" s="31" t="n">
        <f aca="false">ROUNDDOWN(J559*設定!$B$13/1000,0)</f>
        <v>0</v>
      </c>
      <c r="BI559" s="31" t="n">
        <f aca="false">ROUNDDOWN(J559*設定!$C$13/1000,0)</f>
        <v>0</v>
      </c>
      <c r="BJ559" s="31" t="n">
        <f aca="false">ROUNDDOWN(K559*設定!$B$14/1000,0)</f>
        <v>0</v>
      </c>
      <c r="BK559" s="31" t="n">
        <f aca="false">ROUNDDOWN(K559*設定!$C$14/1000,0)</f>
        <v>0</v>
      </c>
      <c r="BL559" s="31" t="n">
        <f aca="false">ROUNDDOWN(J559*設定!$B$15/1000,0)</f>
        <v>0</v>
      </c>
      <c r="BM559" s="31" t="n">
        <f aca="false">ROUNDDOWN(J559*設定!$C$15/1000,0)</f>
        <v>0</v>
      </c>
      <c r="BN559" s="31" t="n">
        <f aca="false">L559+M559</f>
        <v>0</v>
      </c>
      <c r="BO559" s="31" t="n">
        <f aca="false">N559+O559+P559</f>
        <v>0</v>
      </c>
      <c r="BP559" s="31" t="n">
        <f aca="false">Q559</f>
        <v>0</v>
      </c>
      <c r="BQ559" s="31" t="n">
        <f aca="false">R559</f>
        <v>0</v>
      </c>
      <c r="BR559" s="31" t="n">
        <f aca="false">S559</f>
        <v>0</v>
      </c>
      <c r="BS559" s="31" t="n">
        <f aca="false">T559</f>
        <v>0</v>
      </c>
      <c r="BT559" s="31" t="n">
        <f aca="false">U559</f>
        <v>0</v>
      </c>
      <c r="BU559" s="31" t="n">
        <f aca="false">V559</f>
        <v>0</v>
      </c>
      <c r="BV559" s="32" t="n">
        <f aca="false">IF(BF559=0,IF(BN559=0,0,1),(BN559-BF559)/BF559)</f>
        <v>0</v>
      </c>
      <c r="BW559" s="32" t="n">
        <f aca="false">IF(BG559=0,IF(BO559=0,0,1),(BO559-BG559)/BG559)</f>
        <v>0</v>
      </c>
      <c r="BX559" s="32" t="n">
        <f aca="false">IF(BH559=0,IF(BP559=0,0,1),(BP559-BH559)/BH559)</f>
        <v>0</v>
      </c>
      <c r="BY559" s="32" t="n">
        <f aca="false">IF(BI559=0,IF(BQ559=0,0,1),(BQ559-BI559)/BI559)</f>
        <v>0</v>
      </c>
      <c r="BZ559" s="32" t="n">
        <f aca="false">IF(BJ559=0,IF(BR559=0,0,1),(BR559-BJ559)/BJ559)</f>
        <v>0</v>
      </c>
      <c r="CA559" s="32" t="n">
        <f aca="false">IF(BK559=0,IF(BS559=0,0,1),(BS559-BK559)/BK559)</f>
        <v>0</v>
      </c>
      <c r="CB559" s="32" t="n">
        <f aca="false">IF(BL559=0,IF(BT559=0,0,1),(BT559-BL559)/BL559)</f>
        <v>0</v>
      </c>
      <c r="CC559" s="32" t="n">
        <f aca="false">IF(BM559=0,IF(BU559=0,0,1),(BU559-BM559)/BM559)</f>
        <v>0</v>
      </c>
      <c r="CD559" s="32" t="n">
        <f aca="false">MAX(MAX(BV559:CC559),-MIN(BV559:CC559))</f>
        <v>-0</v>
      </c>
      <c r="CE559" s="31" t="n">
        <f aca="false">IF(CI559="","",SUMIFS($CF$7:$CF$696,$A$7:$A$696,CI559,$B$7:$B$696,B559))</f>
        <v>1003147862</v>
      </c>
      <c r="CF559" s="31" t="n">
        <f aca="false">SUM(AU559:BE559)</f>
        <v>1001987180</v>
      </c>
      <c r="CG559" s="33" t="str">
        <f aca="false">A559&amp;"|"&amp;B559</f>
        <v>2027-02 月例|市長部局</v>
      </c>
      <c r="CH559" s="34" t="str">
        <f aca="false">IFERROR(INDEX(設定!$D$61:$D$106,MATCH(B559,設定!$B$61:$B$106,0)),"Y")</f>
        <v>N</v>
      </c>
      <c r="CI559" s="34" t="str">
        <f aca="false">IFERROR(INDEX(設定!$D$20:$D$34,MATCH(A559,設定!$A$20:$A$34,0))&amp;"","")</f>
        <v>2027-01 月例</v>
      </c>
    </row>
    <row r="560" customFormat="false" ht="15" hidden="true" customHeight="false" outlineLevel="0" collapsed="false">
      <c r="A560" s="22" t="s">
        <v>220</v>
      </c>
      <c r="B560" s="23" t="s">
        <v>161</v>
      </c>
      <c r="C560" s="10" t="str">
        <f aca="false">IF(G560="","未受領",IF(G560="なし","報告なし",IF(AH560="○","起票済",IF(OR(AG560="○",F560="一致",F560="入金不要"),"入金確認済","受領済"))))</f>
        <v>未受領</v>
      </c>
      <c r="D560" s="10" t="str">
        <f aca="false">IF(OR(G560="",G560="なし"),"―",IF(CH560="N","対象外",IF(AND(I560="",J560="",K560=""),"標報未入力",IF(CD560&gt;=設定!$B$4,"要確認","問題なし"))))</f>
        <v>―</v>
      </c>
      <c r="E560" s="24" t="str">
        <f aca="false">IF(OR(G560="",G560="なし",CE560="",CF560=0),"―",IF(CF560=CE560,"前月同額",IF(CE560=0,"―",IF(ABS(CF560/CE560-1)&gt;=設定!$B$5,"変動大 "&amp;TEXT(CF560/CE560-1,"+0%;-0%"),"〇"))))</f>
        <v>―</v>
      </c>
      <c r="F560" s="10" t="str">
        <f aca="false">IF(OR(G560="",G560="なし"),"―",IF(CF560=0,"入金不要",IF(COUNT(Z560,AB560,AD560,AF560)=0,IF(AG560="○","手動確認","未入金"),IF(AND(N(Z560)=Y560,IF(AA560="",TRUE(),N(AB560)=AA560),IF(AC560="",TRUE(),N(AD560)=AC560),IF(AE560="",TRUE(),N(AF560)=AE560)),"一致","不一致"))))</f>
        <v>―</v>
      </c>
      <c r="G560" s="25"/>
      <c r="H560" s="26"/>
      <c r="I560" s="27"/>
      <c r="J560" s="27"/>
      <c r="K560" s="27"/>
      <c r="L560" s="27"/>
      <c r="M560" s="27"/>
      <c r="N560" s="27"/>
      <c r="O560" s="27"/>
      <c r="P560" s="27"/>
      <c r="Q560" s="27"/>
      <c r="R560" s="27"/>
      <c r="S560" s="27"/>
      <c r="T560" s="27"/>
      <c r="U560" s="27"/>
      <c r="V560" s="27"/>
      <c r="W560" s="10" t="str">
        <f aca="false">IFERROR(INDEX(設定!$E$61:$E$106,MATCH(B560,設定!$B$61:$B$106,0)),"合算")</f>
        <v>合算</v>
      </c>
      <c r="X560" s="28"/>
      <c r="Y560" s="29" t="str">
        <f aca="false">IF(OR(G560="",G560="なし"),"",IF(W560="合算",CF560,IF(W560="掛金・負担金別",(AU560+AV560+AZ560+BB560+BD560),SUM(AU560:AY560))))</f>
        <v/>
      </c>
      <c r="Z560" s="27"/>
      <c r="AA560" s="29" t="str">
        <f aca="false">IF(OR(G560="",G560="なし"),"",IF(W560="掛金・負担金別",(AW560+AX560+AY560+BA560+BC560+BE560),IF(W560="経理区分別",AZ560+BA560,"")))</f>
        <v/>
      </c>
      <c r="AB560" s="27"/>
      <c r="AC560" s="29" t="str">
        <f aca="false">IF(OR(G560="",G560="なし"),"",IF(W560="経理区分別",BB560+BC560,""))</f>
        <v/>
      </c>
      <c r="AD560" s="27"/>
      <c r="AE560" s="29" t="str">
        <f aca="false">IF(OR(G560="",G560="なし"),"",IF(W560="経理区分別",BD560+BE560,""))</f>
        <v/>
      </c>
      <c r="AF560" s="27"/>
      <c r="AG560" s="26"/>
      <c r="AH560" s="26"/>
      <c r="AI560" s="30"/>
      <c r="AJ560" s="31" t="n">
        <v>16581906</v>
      </c>
      <c r="AK560" s="31" t="n">
        <v>1359174</v>
      </c>
      <c r="AL560" s="31" t="n">
        <v>24091980</v>
      </c>
      <c r="AM560" s="31" t="n">
        <v>1353375</v>
      </c>
      <c r="AN560" s="31" t="n">
        <v>17146</v>
      </c>
      <c r="AO560" s="31" t="n">
        <v>10386132</v>
      </c>
      <c r="AP560" s="31" t="n">
        <v>10528288</v>
      </c>
      <c r="AQ560" s="31" t="n">
        <v>1033192</v>
      </c>
      <c r="AR560" s="31" t="n">
        <v>1025529</v>
      </c>
      <c r="AS560" s="31" t="n">
        <v>1</v>
      </c>
      <c r="AT560" s="31" t="n">
        <v>1</v>
      </c>
      <c r="AU560" s="31" t="n">
        <f aca="false">IF($G560="",AJ560,L560)</f>
        <v>16581906</v>
      </c>
      <c r="AV560" s="31" t="n">
        <f aca="false">IF($G560="",AK560,M560)</f>
        <v>1359174</v>
      </c>
      <c r="AW560" s="31" t="n">
        <f aca="false">IF($G560="",AL560,N560)</f>
        <v>24091980</v>
      </c>
      <c r="AX560" s="31" t="n">
        <f aca="false">IF($G560="",AM560,O560)</f>
        <v>1353375</v>
      </c>
      <c r="AY560" s="31" t="n">
        <f aca="false">IF($G560="",AN560,P560)</f>
        <v>17146</v>
      </c>
      <c r="AZ560" s="31" t="n">
        <f aca="false">IF($G560="",AO560,Q560)</f>
        <v>10386132</v>
      </c>
      <c r="BA560" s="31" t="n">
        <f aca="false">IF($G560="",AP560,R560)</f>
        <v>10528288</v>
      </c>
      <c r="BB560" s="31" t="n">
        <f aca="false">IF($G560="",AQ560,S560)</f>
        <v>1033192</v>
      </c>
      <c r="BC560" s="31" t="n">
        <f aca="false">IF($G560="",AR560,T560)</f>
        <v>1025529</v>
      </c>
      <c r="BD560" s="31" t="n">
        <f aca="false">IF($G560="",AS560,U560)</f>
        <v>1</v>
      </c>
      <c r="BE560" s="31" t="n">
        <f aca="false">IF($G560="",AT560,V560)</f>
        <v>1</v>
      </c>
      <c r="BF560" s="31" t="n">
        <f aca="false">ROUNDDOWN(I560*設定!$B$10/1000,0)+ROUNDDOWN(I560*設定!$B$11/1000,0)</f>
        <v>0</v>
      </c>
      <c r="BG560" s="31" t="n">
        <f aca="false">ROUNDDOWN(I560*設定!$C$10/1000,0)+ROUNDDOWN(I560*設定!$C$11/1000,0)+ROUNDDOWN(I560*設定!$C$12/1000,0)</f>
        <v>0</v>
      </c>
      <c r="BH560" s="31" t="n">
        <f aca="false">ROUNDDOWN(J560*設定!$B$13/1000,0)</f>
        <v>0</v>
      </c>
      <c r="BI560" s="31" t="n">
        <f aca="false">ROUNDDOWN(J560*設定!$C$13/1000,0)</f>
        <v>0</v>
      </c>
      <c r="BJ560" s="31" t="n">
        <f aca="false">ROUNDDOWN(K560*設定!$B$14/1000,0)</f>
        <v>0</v>
      </c>
      <c r="BK560" s="31" t="n">
        <f aca="false">ROUNDDOWN(K560*設定!$C$14/1000,0)</f>
        <v>0</v>
      </c>
      <c r="BL560" s="31" t="n">
        <f aca="false">ROUNDDOWN(J560*設定!$B$15/1000,0)</f>
        <v>0</v>
      </c>
      <c r="BM560" s="31" t="n">
        <f aca="false">ROUNDDOWN(J560*設定!$C$15/1000,0)</f>
        <v>0</v>
      </c>
      <c r="BN560" s="31" t="n">
        <f aca="false">L560+M560</f>
        <v>0</v>
      </c>
      <c r="BO560" s="31" t="n">
        <f aca="false">N560+O560+P560</f>
        <v>0</v>
      </c>
      <c r="BP560" s="31" t="n">
        <f aca="false">Q560</f>
        <v>0</v>
      </c>
      <c r="BQ560" s="31" t="n">
        <f aca="false">R560</f>
        <v>0</v>
      </c>
      <c r="BR560" s="31" t="n">
        <f aca="false">S560</f>
        <v>0</v>
      </c>
      <c r="BS560" s="31" t="n">
        <f aca="false">T560</f>
        <v>0</v>
      </c>
      <c r="BT560" s="31" t="n">
        <f aca="false">U560</f>
        <v>0</v>
      </c>
      <c r="BU560" s="31" t="n">
        <f aca="false">V560</f>
        <v>0</v>
      </c>
      <c r="BV560" s="32" t="n">
        <f aca="false">IF(BF560=0,IF(BN560=0,0,1),(BN560-BF560)/BF560)</f>
        <v>0</v>
      </c>
      <c r="BW560" s="32" t="n">
        <f aca="false">IF(BG560=0,IF(BO560=0,0,1),(BO560-BG560)/BG560)</f>
        <v>0</v>
      </c>
      <c r="BX560" s="32" t="n">
        <f aca="false">IF(BH560=0,IF(BP560=0,0,1),(BP560-BH560)/BH560)</f>
        <v>0</v>
      </c>
      <c r="BY560" s="32" t="n">
        <f aca="false">IF(BI560=0,IF(BQ560=0,0,1),(BQ560-BI560)/BI560)</f>
        <v>0</v>
      </c>
      <c r="BZ560" s="32" t="n">
        <f aca="false">IF(BJ560=0,IF(BR560=0,0,1),(BR560-BJ560)/BJ560)</f>
        <v>0</v>
      </c>
      <c r="CA560" s="32" t="n">
        <f aca="false">IF(BK560=0,IF(BS560=0,0,1),(BS560-BK560)/BK560)</f>
        <v>0</v>
      </c>
      <c r="CB560" s="32" t="n">
        <f aca="false">IF(BL560=0,IF(BT560=0,0,1),(BT560-BL560)/BL560)</f>
        <v>0</v>
      </c>
      <c r="CC560" s="32" t="n">
        <f aca="false">IF(BM560=0,IF(BU560=0,0,1),(BU560-BM560)/BM560)</f>
        <v>0</v>
      </c>
      <c r="CD560" s="32" t="n">
        <f aca="false">MAX(MAX(BV560:CC560),-MIN(BV560:CC560))</f>
        <v>-0</v>
      </c>
      <c r="CE560" s="31" t="n">
        <f aca="false">IF(CI560="","",SUMIFS($CF$7:$CF$696,$A$7:$A$696,CI560,$B$7:$B$696,B560))</f>
        <v>66565472</v>
      </c>
      <c r="CF560" s="31" t="n">
        <f aca="false">SUM(AU560:BE560)</f>
        <v>66376724</v>
      </c>
      <c r="CG560" s="33" t="str">
        <f aca="false">A560&amp;"|"&amp;B560</f>
        <v>2027-02 月例|下水道局</v>
      </c>
      <c r="CH560" s="34" t="str">
        <f aca="false">IFERROR(INDEX(設定!$D$61:$D$106,MATCH(B560,設定!$B$61:$B$106,0)),"Y")</f>
        <v>Y</v>
      </c>
      <c r="CI560" s="34" t="str">
        <f aca="false">IFERROR(INDEX(設定!$D$20:$D$34,MATCH(A560,設定!$A$20:$A$34,0))&amp;"","")</f>
        <v>2027-01 月例</v>
      </c>
    </row>
    <row r="561" customFormat="false" ht="15" hidden="true" customHeight="false" outlineLevel="0" collapsed="false">
      <c r="A561" s="22" t="s">
        <v>220</v>
      </c>
      <c r="B561" s="23" t="s">
        <v>162</v>
      </c>
      <c r="C561" s="10" t="str">
        <f aca="false">IF(G561="","未受領",IF(G561="なし","報告なし",IF(AH561="○","起票済",IF(OR(AG561="○",F561="一致",F561="入金不要"),"入金確認済","受領済"))))</f>
        <v>未受領</v>
      </c>
      <c r="D561" s="10" t="str">
        <f aca="false">IF(OR(G561="",G561="なし"),"―",IF(CH561="N","対象外",IF(AND(I561="",J561="",K561=""),"標報未入力",IF(CD561&gt;=設定!$B$4,"要確認","問題なし"))))</f>
        <v>―</v>
      </c>
      <c r="E561" s="24" t="str">
        <f aca="false">IF(OR(G561="",G561="なし",CE561="",CF561=0),"―",IF(CF561=CE561,"前月同額",IF(CE561=0,"―",IF(ABS(CF561/CE561-1)&gt;=設定!$B$5,"変動大 "&amp;TEXT(CF561/CE561-1,"+0%;-0%"),"〇"))))</f>
        <v>―</v>
      </c>
      <c r="F561" s="10" t="str">
        <f aca="false">IF(OR(G561="",G561="なし"),"―",IF(CF561=0,"入金不要",IF(COUNT(Z561,AB561,AD561,AF561)=0,IF(AG561="○","手動確認","未入金"),IF(AND(N(Z561)=Y561,IF(AA561="",TRUE(),N(AB561)=AA561),IF(AC561="",TRUE(),N(AD561)=AC561),IF(AE561="",TRUE(),N(AF561)=AE561)),"一致","不一致"))))</f>
        <v>―</v>
      </c>
      <c r="G561" s="25"/>
      <c r="H561" s="26"/>
      <c r="I561" s="27"/>
      <c r="J561" s="27"/>
      <c r="K561" s="27"/>
      <c r="L561" s="27"/>
      <c r="M561" s="27"/>
      <c r="N561" s="27"/>
      <c r="O561" s="27"/>
      <c r="P561" s="27"/>
      <c r="Q561" s="27"/>
      <c r="R561" s="27"/>
      <c r="S561" s="27"/>
      <c r="T561" s="27"/>
      <c r="U561" s="27"/>
      <c r="V561" s="27"/>
      <c r="W561" s="10" t="str">
        <f aca="false">IFERROR(INDEX(設定!$E$61:$E$106,MATCH(B561,設定!$B$61:$B$106,0)),"合算")</f>
        <v>合算</v>
      </c>
      <c r="X561" s="28"/>
      <c r="Y561" s="29" t="str">
        <f aca="false">IF(OR(G561="",G561="なし"),"",IF(W561="合算",CF561,IF(W561="掛金・負担金別",(AU561+AV561+AZ561+BB561+BD561),SUM(AU561:AY561))))</f>
        <v/>
      </c>
      <c r="Z561" s="27"/>
      <c r="AA561" s="29" t="str">
        <f aca="false">IF(OR(G561="",G561="なし"),"",IF(W561="掛金・負担金別",(AW561+AX561+AY561+BA561+BC561+BE561),IF(W561="経理区分別",AZ561+BA561,"")))</f>
        <v/>
      </c>
      <c r="AB561" s="27"/>
      <c r="AC561" s="29" t="str">
        <f aca="false">IF(OR(G561="",G561="なし"),"",IF(W561="経理区分別",BB561+BC561,""))</f>
        <v/>
      </c>
      <c r="AD561" s="27"/>
      <c r="AE561" s="29" t="str">
        <f aca="false">IF(OR(G561="",G561="なし"),"",IF(W561="経理区分別",BD561+BE561,""))</f>
        <v/>
      </c>
      <c r="AF561" s="27"/>
      <c r="AG561" s="26"/>
      <c r="AH561" s="26"/>
      <c r="AI561" s="30"/>
      <c r="AJ561" s="31" t="n">
        <v>53727793</v>
      </c>
      <c r="AK561" s="31" t="n">
        <v>4403917</v>
      </c>
      <c r="AL561" s="31" t="n">
        <v>78203593</v>
      </c>
      <c r="AM561" s="31" t="n">
        <v>4396568</v>
      </c>
      <c r="AN561" s="31" t="n">
        <v>55349</v>
      </c>
      <c r="AO561" s="31" t="n">
        <v>33001840</v>
      </c>
      <c r="AP561" s="31" t="n">
        <v>33534812</v>
      </c>
      <c r="AQ561" s="31" t="n">
        <v>2001660</v>
      </c>
      <c r="AR561" s="31" t="n">
        <v>1994631</v>
      </c>
      <c r="AS561" s="31" t="n">
        <v>1</v>
      </c>
      <c r="AT561" s="31" t="n">
        <v>1</v>
      </c>
      <c r="AU561" s="31" t="n">
        <f aca="false">IF($G561="",AJ561,L561)</f>
        <v>53727793</v>
      </c>
      <c r="AV561" s="31" t="n">
        <f aca="false">IF($G561="",AK561,M561)</f>
        <v>4403917</v>
      </c>
      <c r="AW561" s="31" t="n">
        <f aca="false">IF($G561="",AL561,N561)</f>
        <v>78203593</v>
      </c>
      <c r="AX561" s="31" t="n">
        <f aca="false">IF($G561="",AM561,O561)</f>
        <v>4396568</v>
      </c>
      <c r="AY561" s="31" t="n">
        <f aca="false">IF($G561="",AN561,P561)</f>
        <v>55349</v>
      </c>
      <c r="AZ561" s="31" t="n">
        <f aca="false">IF($G561="",AO561,Q561)</f>
        <v>33001840</v>
      </c>
      <c r="BA561" s="31" t="n">
        <f aca="false">IF($G561="",AP561,R561)</f>
        <v>33534812</v>
      </c>
      <c r="BB561" s="31" t="n">
        <f aca="false">IF($G561="",AQ561,S561)</f>
        <v>2001660</v>
      </c>
      <c r="BC561" s="31" t="n">
        <f aca="false">IF($G561="",AR561,T561)</f>
        <v>1994631</v>
      </c>
      <c r="BD561" s="31" t="n">
        <f aca="false">IF($G561="",AS561,U561)</f>
        <v>1</v>
      </c>
      <c r="BE561" s="31" t="n">
        <f aca="false">IF($G561="",AT561,V561)</f>
        <v>1</v>
      </c>
      <c r="BF561" s="31" t="n">
        <f aca="false">ROUNDDOWN(I561*設定!$B$10/1000,0)+ROUNDDOWN(I561*設定!$B$11/1000,0)</f>
        <v>0</v>
      </c>
      <c r="BG561" s="31" t="n">
        <f aca="false">ROUNDDOWN(I561*設定!$C$10/1000,0)+ROUNDDOWN(I561*設定!$C$11/1000,0)+ROUNDDOWN(I561*設定!$C$12/1000,0)</f>
        <v>0</v>
      </c>
      <c r="BH561" s="31" t="n">
        <f aca="false">ROUNDDOWN(J561*設定!$B$13/1000,0)</f>
        <v>0</v>
      </c>
      <c r="BI561" s="31" t="n">
        <f aca="false">ROUNDDOWN(J561*設定!$C$13/1000,0)</f>
        <v>0</v>
      </c>
      <c r="BJ561" s="31" t="n">
        <f aca="false">ROUNDDOWN(K561*設定!$B$14/1000,0)</f>
        <v>0</v>
      </c>
      <c r="BK561" s="31" t="n">
        <f aca="false">ROUNDDOWN(K561*設定!$C$14/1000,0)</f>
        <v>0</v>
      </c>
      <c r="BL561" s="31" t="n">
        <f aca="false">ROUNDDOWN(J561*設定!$B$15/1000,0)</f>
        <v>0</v>
      </c>
      <c r="BM561" s="31" t="n">
        <f aca="false">ROUNDDOWN(J561*設定!$C$15/1000,0)</f>
        <v>0</v>
      </c>
      <c r="BN561" s="31" t="n">
        <f aca="false">L561+M561</f>
        <v>0</v>
      </c>
      <c r="BO561" s="31" t="n">
        <f aca="false">N561+O561+P561</f>
        <v>0</v>
      </c>
      <c r="BP561" s="31" t="n">
        <f aca="false">Q561</f>
        <v>0</v>
      </c>
      <c r="BQ561" s="31" t="n">
        <f aca="false">R561</f>
        <v>0</v>
      </c>
      <c r="BR561" s="31" t="n">
        <f aca="false">S561</f>
        <v>0</v>
      </c>
      <c r="BS561" s="31" t="n">
        <f aca="false">T561</f>
        <v>0</v>
      </c>
      <c r="BT561" s="31" t="n">
        <f aca="false">U561</f>
        <v>0</v>
      </c>
      <c r="BU561" s="31" t="n">
        <f aca="false">V561</f>
        <v>0</v>
      </c>
      <c r="BV561" s="32" t="n">
        <f aca="false">IF(BF561=0,IF(BN561=0,0,1),(BN561-BF561)/BF561)</f>
        <v>0</v>
      </c>
      <c r="BW561" s="32" t="n">
        <f aca="false">IF(BG561=0,IF(BO561=0,0,1),(BO561-BG561)/BG561)</f>
        <v>0</v>
      </c>
      <c r="BX561" s="32" t="n">
        <f aca="false">IF(BH561=0,IF(BP561=0,0,1),(BP561-BH561)/BH561)</f>
        <v>0</v>
      </c>
      <c r="BY561" s="32" t="n">
        <f aca="false">IF(BI561=0,IF(BQ561=0,0,1),(BQ561-BI561)/BI561)</f>
        <v>0</v>
      </c>
      <c r="BZ561" s="32" t="n">
        <f aca="false">IF(BJ561=0,IF(BR561=0,0,1),(BR561-BJ561)/BJ561)</f>
        <v>0</v>
      </c>
      <c r="CA561" s="32" t="n">
        <f aca="false">IF(BK561=0,IF(BS561=0,0,1),(BS561-BK561)/BK561)</f>
        <v>0</v>
      </c>
      <c r="CB561" s="32" t="n">
        <f aca="false">IF(BL561=0,IF(BT561=0,0,1),(BT561-BL561)/BL561)</f>
        <v>0</v>
      </c>
      <c r="CC561" s="32" t="n">
        <f aca="false">IF(BM561=0,IF(BU561=0,0,1),(BU561-BM561)/BM561)</f>
        <v>0</v>
      </c>
      <c r="CD561" s="32" t="n">
        <f aca="false">MAX(MAX(BV561:CC561),-MIN(BV561:CC561))</f>
        <v>-0</v>
      </c>
      <c r="CE561" s="31" t="n">
        <f aca="false">IF(CI561="","",SUMIFS($CF$7:$CF$696,$A$7:$A$696,CI561,$B$7:$B$696,B561))</f>
        <v>211153119</v>
      </c>
      <c r="CF561" s="31" t="n">
        <f aca="false">SUM(AU561:BE561)</f>
        <v>211320165</v>
      </c>
      <c r="CG561" s="33" t="str">
        <f aca="false">A561&amp;"|"&amp;B561</f>
        <v>2027-02 月例|消防局</v>
      </c>
      <c r="CH561" s="34" t="str">
        <f aca="false">IFERROR(INDEX(設定!$D$61:$D$106,MATCH(B561,設定!$B$61:$B$106,0)),"Y")</f>
        <v>N</v>
      </c>
      <c r="CI561" s="34" t="str">
        <f aca="false">IFERROR(INDEX(設定!$D$20:$D$34,MATCH(A561,設定!$A$20:$A$34,0))&amp;"","")</f>
        <v>2027-01 月例</v>
      </c>
    </row>
    <row r="562" customFormat="false" ht="15" hidden="true" customHeight="false" outlineLevel="0" collapsed="false">
      <c r="A562" s="22" t="s">
        <v>220</v>
      </c>
      <c r="B562" s="23" t="s">
        <v>163</v>
      </c>
      <c r="C562" s="10" t="str">
        <f aca="false">IF(G562="","未受領",IF(G562="なし","報告なし",IF(AH562="○","起票済",IF(OR(AG562="○",F562="一致",F562="入金不要"),"入金確認済","受領済"))))</f>
        <v>未受領</v>
      </c>
      <c r="D562" s="10" t="str">
        <f aca="false">IF(OR(G562="",G562="なし"),"―",IF(CH562="N","対象外",IF(AND(I562="",J562="",K562=""),"標報未入力",IF(CD562&gt;=設定!$B$4,"要確認","問題なし"))))</f>
        <v>―</v>
      </c>
      <c r="E562" s="24" t="str">
        <f aca="false">IF(OR(G562="",G562="なし",CE562="",CF562=0),"―",IF(CF562=CE562,"前月同額",IF(CE562=0,"―",IF(ABS(CF562/CE562-1)&gt;=設定!$B$5,"変動大 "&amp;TEXT(CF562/CE562-1,"+0%;-0%"),"〇"))))</f>
        <v>―</v>
      </c>
      <c r="F562" s="10" t="str">
        <f aca="false">IF(OR(G562="",G562="なし"),"―",IF(CF562=0,"入金不要",IF(COUNT(Z562,AB562,AD562,AF562)=0,IF(AG562="○","手動確認","未入金"),IF(AND(N(Z562)=Y562,IF(AA562="",TRUE(),N(AB562)=AA562),IF(AC562="",TRUE(),N(AD562)=AC562),IF(AE562="",TRUE(),N(AF562)=AE562)),"一致","不一致"))))</f>
        <v>―</v>
      </c>
      <c r="G562" s="25"/>
      <c r="H562" s="26"/>
      <c r="I562" s="27"/>
      <c r="J562" s="27"/>
      <c r="K562" s="27"/>
      <c r="L562" s="27"/>
      <c r="M562" s="27"/>
      <c r="N562" s="27"/>
      <c r="O562" s="27"/>
      <c r="P562" s="27"/>
      <c r="Q562" s="27"/>
      <c r="R562" s="27"/>
      <c r="S562" s="27"/>
      <c r="T562" s="27"/>
      <c r="U562" s="27"/>
      <c r="V562" s="27"/>
      <c r="W562" s="10" t="str">
        <f aca="false">IFERROR(INDEX(設定!$E$61:$E$106,MATCH(B562,設定!$B$61:$B$106,0)),"合算")</f>
        <v>合算</v>
      </c>
      <c r="X562" s="28"/>
      <c r="Y562" s="29" t="str">
        <f aca="false">IF(OR(G562="",G562="なし"),"",IF(W562="合算",CF562,IF(W562="掛金・負担金別",(AU562+AV562+AZ562+BB562+BD562),SUM(AU562:AY562))))</f>
        <v/>
      </c>
      <c r="Z562" s="27"/>
      <c r="AA562" s="29" t="str">
        <f aca="false">IF(OR(G562="",G562="なし"),"",IF(W562="掛金・負担金別",(AW562+AX562+AY562+BA562+BC562+BE562),IF(W562="経理区分別",AZ562+BA562,"")))</f>
        <v/>
      </c>
      <c r="AB562" s="27"/>
      <c r="AC562" s="29" t="str">
        <f aca="false">IF(OR(G562="",G562="なし"),"",IF(W562="経理区分別",BB562+BC562,""))</f>
        <v/>
      </c>
      <c r="AD562" s="27"/>
      <c r="AE562" s="29" t="str">
        <f aca="false">IF(OR(G562="",G562="なし"),"",IF(W562="経理区分別",BD562+BE562,""))</f>
        <v/>
      </c>
      <c r="AF562" s="27"/>
      <c r="AG562" s="26"/>
      <c r="AH562" s="26"/>
      <c r="AI562" s="30"/>
      <c r="AJ562" s="31" t="n">
        <v>1740330</v>
      </c>
      <c r="AK562" s="31" t="n">
        <v>142650</v>
      </c>
      <c r="AL562" s="31" t="n">
        <v>2539620</v>
      </c>
      <c r="AM562" s="31" t="n">
        <v>142650</v>
      </c>
      <c r="AN562" s="31" t="n">
        <v>1808</v>
      </c>
      <c r="AO562" s="31" t="n">
        <v>1055074</v>
      </c>
      <c r="AP562" s="31" t="n">
        <v>1073929</v>
      </c>
      <c r="AQ562" s="31" t="n">
        <v>99935</v>
      </c>
      <c r="AR562" s="31" t="n">
        <v>99935</v>
      </c>
      <c r="AS562" s="31" t="n">
        <v>1</v>
      </c>
      <c r="AT562" s="31" t="n">
        <v>1</v>
      </c>
      <c r="AU562" s="31" t="n">
        <f aca="false">IF($G562="",AJ562,L562)</f>
        <v>1740330</v>
      </c>
      <c r="AV562" s="31" t="n">
        <f aca="false">IF($G562="",AK562,M562)</f>
        <v>142650</v>
      </c>
      <c r="AW562" s="31" t="n">
        <f aca="false">IF($G562="",AL562,N562)</f>
        <v>2539620</v>
      </c>
      <c r="AX562" s="31" t="n">
        <f aca="false">IF($G562="",AM562,O562)</f>
        <v>142650</v>
      </c>
      <c r="AY562" s="31" t="n">
        <f aca="false">IF($G562="",AN562,P562)</f>
        <v>1808</v>
      </c>
      <c r="AZ562" s="31" t="n">
        <f aca="false">IF($G562="",AO562,Q562)</f>
        <v>1055074</v>
      </c>
      <c r="BA562" s="31" t="n">
        <f aca="false">IF($G562="",AP562,R562)</f>
        <v>1073929</v>
      </c>
      <c r="BB562" s="31" t="n">
        <f aca="false">IF($G562="",AQ562,S562)</f>
        <v>99935</v>
      </c>
      <c r="BC562" s="31" t="n">
        <f aca="false">IF($G562="",AR562,T562)</f>
        <v>99935</v>
      </c>
      <c r="BD562" s="31" t="n">
        <f aca="false">IF($G562="",AS562,U562)</f>
        <v>1</v>
      </c>
      <c r="BE562" s="31" t="n">
        <f aca="false">IF($G562="",AT562,V562)</f>
        <v>1</v>
      </c>
      <c r="BF562" s="31" t="n">
        <f aca="false">ROUNDDOWN(I562*設定!$B$10/1000,0)+ROUNDDOWN(I562*設定!$B$11/1000,0)</f>
        <v>0</v>
      </c>
      <c r="BG562" s="31" t="n">
        <f aca="false">ROUNDDOWN(I562*設定!$C$10/1000,0)+ROUNDDOWN(I562*設定!$C$11/1000,0)+ROUNDDOWN(I562*設定!$C$12/1000,0)</f>
        <v>0</v>
      </c>
      <c r="BH562" s="31" t="n">
        <f aca="false">ROUNDDOWN(J562*設定!$B$13/1000,0)</f>
        <v>0</v>
      </c>
      <c r="BI562" s="31" t="n">
        <f aca="false">ROUNDDOWN(J562*設定!$C$13/1000,0)</f>
        <v>0</v>
      </c>
      <c r="BJ562" s="31" t="n">
        <f aca="false">ROUNDDOWN(K562*設定!$B$14/1000,0)</f>
        <v>0</v>
      </c>
      <c r="BK562" s="31" t="n">
        <f aca="false">ROUNDDOWN(K562*設定!$C$14/1000,0)</f>
        <v>0</v>
      </c>
      <c r="BL562" s="31" t="n">
        <f aca="false">ROUNDDOWN(J562*設定!$B$15/1000,0)</f>
        <v>0</v>
      </c>
      <c r="BM562" s="31" t="n">
        <f aca="false">ROUNDDOWN(J562*設定!$C$15/1000,0)</f>
        <v>0</v>
      </c>
      <c r="BN562" s="31" t="n">
        <f aca="false">L562+M562</f>
        <v>0</v>
      </c>
      <c r="BO562" s="31" t="n">
        <f aca="false">N562+O562+P562</f>
        <v>0</v>
      </c>
      <c r="BP562" s="31" t="n">
        <f aca="false">Q562</f>
        <v>0</v>
      </c>
      <c r="BQ562" s="31" t="n">
        <f aca="false">R562</f>
        <v>0</v>
      </c>
      <c r="BR562" s="31" t="n">
        <f aca="false">S562</f>
        <v>0</v>
      </c>
      <c r="BS562" s="31" t="n">
        <f aca="false">T562</f>
        <v>0</v>
      </c>
      <c r="BT562" s="31" t="n">
        <f aca="false">U562</f>
        <v>0</v>
      </c>
      <c r="BU562" s="31" t="n">
        <f aca="false">V562</f>
        <v>0</v>
      </c>
      <c r="BV562" s="32" t="n">
        <f aca="false">IF(BF562=0,IF(BN562=0,0,1),(BN562-BF562)/BF562)</f>
        <v>0</v>
      </c>
      <c r="BW562" s="32" t="n">
        <f aca="false">IF(BG562=0,IF(BO562=0,0,1),(BO562-BG562)/BG562)</f>
        <v>0</v>
      </c>
      <c r="BX562" s="32" t="n">
        <f aca="false">IF(BH562=0,IF(BP562=0,0,1),(BP562-BH562)/BH562)</f>
        <v>0</v>
      </c>
      <c r="BY562" s="32" t="n">
        <f aca="false">IF(BI562=0,IF(BQ562=0,0,1),(BQ562-BI562)/BI562)</f>
        <v>0</v>
      </c>
      <c r="BZ562" s="32" t="n">
        <f aca="false">IF(BJ562=0,IF(BR562=0,0,1),(BR562-BJ562)/BJ562)</f>
        <v>0</v>
      </c>
      <c r="CA562" s="32" t="n">
        <f aca="false">IF(BK562=0,IF(BS562=0,0,1),(BS562-BK562)/BK562)</f>
        <v>0</v>
      </c>
      <c r="CB562" s="32" t="n">
        <f aca="false">IF(BL562=0,IF(BT562=0,0,1),(BT562-BL562)/BL562)</f>
        <v>0</v>
      </c>
      <c r="CC562" s="32" t="n">
        <f aca="false">IF(BM562=0,IF(BU562=0,0,1),(BU562-BM562)/BM562)</f>
        <v>0</v>
      </c>
      <c r="CD562" s="32" t="n">
        <f aca="false">MAX(MAX(BV562:CC562),-MIN(BV562:CC562))</f>
        <v>-0</v>
      </c>
      <c r="CE562" s="31" t="n">
        <f aca="false">IF(CI562="","",SUMIFS($CF$7:$CF$696,$A$7:$A$696,CI562,$B$7:$B$696,B562))</f>
        <v>6895933</v>
      </c>
      <c r="CF562" s="31" t="n">
        <f aca="false">SUM(AU562:BE562)</f>
        <v>6895933</v>
      </c>
      <c r="CG562" s="33" t="str">
        <f aca="false">A562&amp;"|"&amp;B562</f>
        <v>2027-02 月例|議会事務局</v>
      </c>
      <c r="CH562" s="34" t="str">
        <f aca="false">IFERROR(INDEX(設定!$D$61:$D$106,MATCH(B562,設定!$B$61:$B$106,0)),"Y")</f>
        <v>Y</v>
      </c>
      <c r="CI562" s="34" t="str">
        <f aca="false">IFERROR(INDEX(設定!$D$20:$D$34,MATCH(A562,設定!$A$20:$A$34,0))&amp;"","")</f>
        <v>2027-01 月例</v>
      </c>
    </row>
    <row r="563" customFormat="false" ht="15" hidden="true" customHeight="false" outlineLevel="0" collapsed="false">
      <c r="A563" s="22" t="s">
        <v>220</v>
      </c>
      <c r="B563" s="23" t="s">
        <v>164</v>
      </c>
      <c r="C563" s="10" t="str">
        <f aca="false">IF(G563="","未受領",IF(G563="なし","報告なし",IF(AH563="○","起票済",IF(OR(AG563="○",F563="一致",F563="入金不要"),"入金確認済","受領済"))))</f>
        <v>未受領</v>
      </c>
      <c r="D563" s="10" t="str">
        <f aca="false">IF(OR(G563="",G563="なし"),"―",IF(CH563="N","対象外",IF(AND(I563="",J563="",K563=""),"標報未入力",IF(CD563&gt;=設定!$B$4,"要確認","問題なし"))))</f>
        <v>―</v>
      </c>
      <c r="E563" s="24" t="str">
        <f aca="false">IF(OR(G563="",G563="なし",CE563="",CF563=0),"―",IF(CF563=CE563,"前月同額",IF(CE563=0,"―",IF(ABS(CF563/CE563-1)&gt;=設定!$B$5,"変動大 "&amp;TEXT(CF563/CE563-1,"+0%;-0%"),"〇"))))</f>
        <v>―</v>
      </c>
      <c r="F563" s="10" t="str">
        <f aca="false">IF(OR(G563="",G563="なし"),"―",IF(CF563=0,"入金不要",IF(COUNT(Z563,AB563,AD563,AF563)=0,IF(AG563="○","手動確認","未入金"),IF(AND(N(Z563)=Y563,IF(AA563="",TRUE(),N(AB563)=AA563),IF(AC563="",TRUE(),N(AD563)=AC563),IF(AE563="",TRUE(),N(AF563)=AE563)),"一致","不一致"))))</f>
        <v>―</v>
      </c>
      <c r="G563" s="25"/>
      <c r="H563" s="26"/>
      <c r="I563" s="27"/>
      <c r="J563" s="27"/>
      <c r="K563" s="27"/>
      <c r="L563" s="27"/>
      <c r="M563" s="27"/>
      <c r="N563" s="27"/>
      <c r="O563" s="27"/>
      <c r="P563" s="27"/>
      <c r="Q563" s="27"/>
      <c r="R563" s="27"/>
      <c r="S563" s="27"/>
      <c r="T563" s="27"/>
      <c r="U563" s="27"/>
      <c r="V563" s="27"/>
      <c r="W563" s="10" t="str">
        <f aca="false">IFERROR(INDEX(設定!$E$61:$E$106,MATCH(B563,設定!$B$61:$B$106,0)),"合算")</f>
        <v>合算</v>
      </c>
      <c r="X563" s="28"/>
      <c r="Y563" s="29" t="str">
        <f aca="false">IF(OR(G563="",G563="なし"),"",IF(W563="合算",CF563,IF(W563="掛金・負担金別",(AU563+AV563+AZ563+BB563+BD563),SUM(AU563:AY563))))</f>
        <v/>
      </c>
      <c r="Z563" s="27"/>
      <c r="AA563" s="29" t="str">
        <f aca="false">IF(OR(G563="",G563="なし"),"",IF(W563="掛金・負担金別",(AW563+AX563+AY563+BA563+BC563+BE563),IF(W563="経理区分別",AZ563+BA563,"")))</f>
        <v/>
      </c>
      <c r="AB563" s="27"/>
      <c r="AC563" s="29" t="str">
        <f aca="false">IF(OR(G563="",G563="なし"),"",IF(W563="経理区分別",BB563+BC563,""))</f>
        <v/>
      </c>
      <c r="AD563" s="27"/>
      <c r="AE563" s="29" t="str">
        <f aca="false">IF(OR(G563="",G563="なし"),"",IF(W563="経理区分別",BD563+BE563,""))</f>
        <v/>
      </c>
      <c r="AF563" s="27"/>
      <c r="AG563" s="26"/>
      <c r="AH563" s="26"/>
      <c r="AI563" s="30"/>
      <c r="AJ563" s="31" t="n">
        <v>24150144</v>
      </c>
      <c r="AK563" s="31" t="n">
        <v>1979520</v>
      </c>
      <c r="AL563" s="31" t="n">
        <v>35247213</v>
      </c>
      <c r="AM563" s="31" t="n">
        <v>1981470</v>
      </c>
      <c r="AN563" s="31" t="n">
        <v>25050</v>
      </c>
      <c r="AO563" s="31" t="n">
        <v>25548768</v>
      </c>
      <c r="AP563" s="31" t="n">
        <v>25995220</v>
      </c>
      <c r="AQ563" s="31" t="n">
        <v>2774507</v>
      </c>
      <c r="AR563" s="31" t="n">
        <v>2772516</v>
      </c>
      <c r="AS563" s="31" t="n">
        <v>1</v>
      </c>
      <c r="AT563" s="31" t="n">
        <v>1</v>
      </c>
      <c r="AU563" s="31" t="n">
        <f aca="false">IF($G563="",AJ563,L563)</f>
        <v>24150144</v>
      </c>
      <c r="AV563" s="31" t="n">
        <f aca="false">IF($G563="",AK563,M563)</f>
        <v>1979520</v>
      </c>
      <c r="AW563" s="31" t="n">
        <f aca="false">IF($G563="",AL563,N563)</f>
        <v>35247213</v>
      </c>
      <c r="AX563" s="31" t="n">
        <f aca="false">IF($G563="",AM563,O563)</f>
        <v>1981470</v>
      </c>
      <c r="AY563" s="31" t="n">
        <f aca="false">IF($G563="",AN563,P563)</f>
        <v>25050</v>
      </c>
      <c r="AZ563" s="31" t="n">
        <f aca="false">IF($G563="",AO563,Q563)</f>
        <v>25548768</v>
      </c>
      <c r="BA563" s="31" t="n">
        <f aca="false">IF($G563="",AP563,R563)</f>
        <v>25995220</v>
      </c>
      <c r="BB563" s="31" t="n">
        <f aca="false">IF($G563="",AQ563,S563)</f>
        <v>2774507</v>
      </c>
      <c r="BC563" s="31" t="n">
        <f aca="false">IF($G563="",AR563,T563)</f>
        <v>2772516</v>
      </c>
      <c r="BD563" s="31" t="n">
        <f aca="false">IF($G563="",AS563,U563)</f>
        <v>1</v>
      </c>
      <c r="BE563" s="31" t="n">
        <f aca="false">IF($G563="",AT563,V563)</f>
        <v>1</v>
      </c>
      <c r="BF563" s="31" t="n">
        <f aca="false">ROUNDDOWN(I563*設定!$B$10/1000,0)+ROUNDDOWN(I563*設定!$B$11/1000,0)</f>
        <v>0</v>
      </c>
      <c r="BG563" s="31" t="n">
        <f aca="false">ROUNDDOWN(I563*設定!$C$10/1000,0)+ROUNDDOWN(I563*設定!$C$11/1000,0)+ROUNDDOWN(I563*設定!$C$12/1000,0)</f>
        <v>0</v>
      </c>
      <c r="BH563" s="31" t="n">
        <f aca="false">ROUNDDOWN(J563*設定!$B$13/1000,0)</f>
        <v>0</v>
      </c>
      <c r="BI563" s="31" t="n">
        <f aca="false">ROUNDDOWN(J563*設定!$C$13/1000,0)</f>
        <v>0</v>
      </c>
      <c r="BJ563" s="31" t="n">
        <f aca="false">ROUNDDOWN(K563*設定!$B$14/1000,0)</f>
        <v>0</v>
      </c>
      <c r="BK563" s="31" t="n">
        <f aca="false">ROUNDDOWN(K563*設定!$C$14/1000,0)</f>
        <v>0</v>
      </c>
      <c r="BL563" s="31" t="n">
        <f aca="false">ROUNDDOWN(J563*設定!$B$15/1000,0)</f>
        <v>0</v>
      </c>
      <c r="BM563" s="31" t="n">
        <f aca="false">ROUNDDOWN(J563*設定!$C$15/1000,0)</f>
        <v>0</v>
      </c>
      <c r="BN563" s="31" t="n">
        <f aca="false">L563+M563</f>
        <v>0</v>
      </c>
      <c r="BO563" s="31" t="n">
        <f aca="false">N563+O563+P563</f>
        <v>0</v>
      </c>
      <c r="BP563" s="31" t="n">
        <f aca="false">Q563</f>
        <v>0</v>
      </c>
      <c r="BQ563" s="31" t="n">
        <f aca="false">R563</f>
        <v>0</v>
      </c>
      <c r="BR563" s="31" t="n">
        <f aca="false">S563</f>
        <v>0</v>
      </c>
      <c r="BS563" s="31" t="n">
        <f aca="false">T563</f>
        <v>0</v>
      </c>
      <c r="BT563" s="31" t="n">
        <f aca="false">U563</f>
        <v>0</v>
      </c>
      <c r="BU563" s="31" t="n">
        <f aca="false">V563</f>
        <v>0</v>
      </c>
      <c r="BV563" s="32" t="n">
        <f aca="false">IF(BF563=0,IF(BN563=0,0,1),(BN563-BF563)/BF563)</f>
        <v>0</v>
      </c>
      <c r="BW563" s="32" t="n">
        <f aca="false">IF(BG563=0,IF(BO563=0,0,1),(BO563-BG563)/BG563)</f>
        <v>0</v>
      </c>
      <c r="BX563" s="32" t="n">
        <f aca="false">IF(BH563=0,IF(BP563=0,0,1),(BP563-BH563)/BH563)</f>
        <v>0</v>
      </c>
      <c r="BY563" s="32" t="n">
        <f aca="false">IF(BI563=0,IF(BQ563=0,0,1),(BQ563-BI563)/BI563)</f>
        <v>0</v>
      </c>
      <c r="BZ563" s="32" t="n">
        <f aca="false">IF(BJ563=0,IF(BR563=0,0,1),(BR563-BJ563)/BJ563)</f>
        <v>0</v>
      </c>
      <c r="CA563" s="32" t="n">
        <f aca="false">IF(BK563=0,IF(BS563=0,0,1),(BS563-BK563)/BK563)</f>
        <v>0</v>
      </c>
      <c r="CB563" s="32" t="n">
        <f aca="false">IF(BL563=0,IF(BT563=0,0,1),(BT563-BL563)/BL563)</f>
        <v>0</v>
      </c>
      <c r="CC563" s="32" t="n">
        <f aca="false">IF(BM563=0,IF(BU563=0,0,1),(BU563-BM563)/BM563)</f>
        <v>0</v>
      </c>
      <c r="CD563" s="32" t="n">
        <f aca="false">MAX(MAX(BV563:CC563),-MIN(BV563:CC563))</f>
        <v>-0</v>
      </c>
      <c r="CE563" s="31" t="n">
        <f aca="false">IF(CI563="","",SUMIFS($CF$7:$CF$696,$A$7:$A$696,CI563,$B$7:$B$696,B563))</f>
        <v>119246845</v>
      </c>
      <c r="CF563" s="31" t="n">
        <f aca="false">SUM(AU563:BE563)</f>
        <v>120474410</v>
      </c>
      <c r="CG563" s="33" t="str">
        <f aca="false">A563&amp;"|"&amp;B563</f>
        <v>2027-02 月例|教育委員会（総務課）</v>
      </c>
      <c r="CH563" s="34" t="str">
        <f aca="false">IFERROR(INDEX(設定!$D$61:$D$106,MATCH(B563,設定!$B$61:$B$106,0)),"Y")</f>
        <v>N</v>
      </c>
      <c r="CI563" s="34" t="str">
        <f aca="false">IFERROR(INDEX(設定!$D$20:$D$34,MATCH(A563,設定!$A$20:$A$34,0))&amp;"","")</f>
        <v>2027-01 月例</v>
      </c>
    </row>
    <row r="564" customFormat="false" ht="15" hidden="true" customHeight="false" outlineLevel="0" collapsed="false">
      <c r="A564" s="22" t="s">
        <v>220</v>
      </c>
      <c r="B564" s="23" t="s">
        <v>165</v>
      </c>
      <c r="C564" s="10" t="str">
        <f aca="false">IF(G564="","未受領",IF(G564="なし","報告なし",IF(AH564="○","起票済",IF(OR(AG564="○",F564="一致",F564="入金不要"),"入金確認済","受領済"))))</f>
        <v>未受領</v>
      </c>
      <c r="D564" s="10" t="str">
        <f aca="false">IF(OR(G564="",G564="なし"),"―",IF(CH564="N","対象外",IF(AND(I564="",J564="",K564=""),"標報未入力",IF(CD564&gt;=設定!$B$4,"要確認","問題なし"))))</f>
        <v>―</v>
      </c>
      <c r="E564" s="24" t="str">
        <f aca="false">IF(OR(G564="",G564="なし",CE564="",CF564=0),"―",IF(CF564=CE564,"前月同額",IF(CE564=0,"―",IF(ABS(CF564/CE564-1)&gt;=設定!$B$5,"変動大 "&amp;TEXT(CF564/CE564-1,"+0%;-0%"),"〇"))))</f>
        <v>―</v>
      </c>
      <c r="F564" s="10" t="str">
        <f aca="false">IF(OR(G564="",G564="なし"),"―",IF(CF564=0,"入金不要",IF(COUNT(Z564,AB564,AD564,AF564)=0,IF(AG564="○","手動確認","未入金"),IF(AND(N(Z564)=Y564,IF(AA564="",TRUE(),N(AB564)=AA564),IF(AC564="",TRUE(),N(AD564)=AC564),IF(AE564="",TRUE(),N(AF564)=AE564)),"一致","不一致"))))</f>
        <v>―</v>
      </c>
      <c r="G564" s="25"/>
      <c r="H564" s="26"/>
      <c r="I564" s="27"/>
      <c r="J564" s="27"/>
      <c r="K564" s="27"/>
      <c r="L564" s="27"/>
      <c r="M564" s="27"/>
      <c r="N564" s="27"/>
      <c r="O564" s="27"/>
      <c r="P564" s="27"/>
      <c r="Q564" s="27"/>
      <c r="R564" s="27"/>
      <c r="S564" s="27"/>
      <c r="T564" s="27"/>
      <c r="U564" s="27"/>
      <c r="V564" s="27"/>
      <c r="W564" s="10" t="str">
        <f aca="false">IFERROR(INDEX(設定!$E$61:$E$106,MATCH(B564,設定!$B$61:$B$106,0)),"合算")</f>
        <v>合算</v>
      </c>
      <c r="X564" s="28"/>
      <c r="Y564" s="29" t="str">
        <f aca="false">IF(OR(G564="",G564="なし"),"",IF(W564="合算",CF564,IF(W564="掛金・負担金別",(AU564+AV564+AZ564+BB564+BD564),SUM(AU564:AY564))))</f>
        <v/>
      </c>
      <c r="Z564" s="27"/>
      <c r="AA564" s="29" t="str">
        <f aca="false">IF(OR(G564="",G564="なし"),"",IF(W564="掛金・負担金別",(AW564+AX564+AY564+BA564+BC564+BE564),IF(W564="経理区分別",AZ564+BA564,"")))</f>
        <v/>
      </c>
      <c r="AB564" s="27"/>
      <c r="AC564" s="29" t="str">
        <f aca="false">IF(OR(G564="",G564="なし"),"",IF(W564="経理区分別",BB564+BC564,""))</f>
        <v/>
      </c>
      <c r="AD564" s="27"/>
      <c r="AE564" s="29" t="str">
        <f aca="false">IF(OR(G564="",G564="なし"),"",IF(W564="経理区分別",BD564+BE564,""))</f>
        <v/>
      </c>
      <c r="AF564" s="27"/>
      <c r="AG564" s="26"/>
      <c r="AH564" s="26"/>
      <c r="AI564" s="30"/>
      <c r="AJ564" s="31" t="n">
        <v>253455</v>
      </c>
      <c r="AK564" s="31" t="n">
        <v>20775</v>
      </c>
      <c r="AL564" s="31" t="n">
        <v>368410</v>
      </c>
      <c r="AM564" s="31" t="n">
        <v>20775</v>
      </c>
      <c r="AN564" s="31" t="n">
        <v>260</v>
      </c>
      <c r="AO564" s="31" t="n">
        <v>173828</v>
      </c>
      <c r="AP564" s="31" t="n">
        <v>176896</v>
      </c>
      <c r="AQ564" s="31" t="n">
        <v>15326</v>
      </c>
      <c r="AR564" s="31" t="n">
        <v>15326</v>
      </c>
      <c r="AS564" s="31" t="n">
        <v>1</v>
      </c>
      <c r="AT564" s="31" t="n">
        <v>1</v>
      </c>
      <c r="AU564" s="31" t="n">
        <f aca="false">IF($G564="",AJ564,L564)</f>
        <v>253455</v>
      </c>
      <c r="AV564" s="31" t="n">
        <f aca="false">IF($G564="",AK564,M564)</f>
        <v>20775</v>
      </c>
      <c r="AW564" s="31" t="n">
        <f aca="false">IF($G564="",AL564,N564)</f>
        <v>368410</v>
      </c>
      <c r="AX564" s="31" t="n">
        <f aca="false">IF($G564="",AM564,O564)</f>
        <v>20775</v>
      </c>
      <c r="AY564" s="31" t="n">
        <f aca="false">IF($G564="",AN564,P564)</f>
        <v>260</v>
      </c>
      <c r="AZ564" s="31" t="n">
        <f aca="false">IF($G564="",AO564,Q564)</f>
        <v>173828</v>
      </c>
      <c r="BA564" s="31" t="n">
        <f aca="false">IF($G564="",AP564,R564)</f>
        <v>176896</v>
      </c>
      <c r="BB564" s="31" t="n">
        <f aca="false">IF($G564="",AQ564,S564)</f>
        <v>15326</v>
      </c>
      <c r="BC564" s="31" t="n">
        <f aca="false">IF($G564="",AR564,T564)</f>
        <v>15326</v>
      </c>
      <c r="BD564" s="31" t="n">
        <f aca="false">IF($G564="",AS564,U564)</f>
        <v>1</v>
      </c>
      <c r="BE564" s="31" t="n">
        <f aca="false">IF($G564="",AT564,V564)</f>
        <v>1</v>
      </c>
      <c r="BF564" s="31" t="n">
        <f aca="false">ROUNDDOWN(I564*設定!$B$10/1000,0)+ROUNDDOWN(I564*設定!$B$11/1000,0)</f>
        <v>0</v>
      </c>
      <c r="BG564" s="31" t="n">
        <f aca="false">ROUNDDOWN(I564*設定!$C$10/1000,0)+ROUNDDOWN(I564*設定!$C$11/1000,0)+ROUNDDOWN(I564*設定!$C$12/1000,0)</f>
        <v>0</v>
      </c>
      <c r="BH564" s="31" t="n">
        <f aca="false">ROUNDDOWN(J564*設定!$B$13/1000,0)</f>
        <v>0</v>
      </c>
      <c r="BI564" s="31" t="n">
        <f aca="false">ROUNDDOWN(J564*設定!$C$13/1000,0)</f>
        <v>0</v>
      </c>
      <c r="BJ564" s="31" t="n">
        <f aca="false">ROUNDDOWN(K564*設定!$B$14/1000,0)</f>
        <v>0</v>
      </c>
      <c r="BK564" s="31" t="n">
        <f aca="false">ROUNDDOWN(K564*設定!$C$14/1000,0)</f>
        <v>0</v>
      </c>
      <c r="BL564" s="31" t="n">
        <f aca="false">ROUNDDOWN(J564*設定!$B$15/1000,0)</f>
        <v>0</v>
      </c>
      <c r="BM564" s="31" t="n">
        <f aca="false">ROUNDDOWN(J564*設定!$C$15/1000,0)</f>
        <v>0</v>
      </c>
      <c r="BN564" s="31" t="n">
        <f aca="false">L564+M564</f>
        <v>0</v>
      </c>
      <c r="BO564" s="31" t="n">
        <f aca="false">N564+O564+P564</f>
        <v>0</v>
      </c>
      <c r="BP564" s="31" t="n">
        <f aca="false">Q564</f>
        <v>0</v>
      </c>
      <c r="BQ564" s="31" t="n">
        <f aca="false">R564</f>
        <v>0</v>
      </c>
      <c r="BR564" s="31" t="n">
        <f aca="false">S564</f>
        <v>0</v>
      </c>
      <c r="BS564" s="31" t="n">
        <f aca="false">T564</f>
        <v>0</v>
      </c>
      <c r="BT564" s="31" t="n">
        <f aca="false">U564</f>
        <v>0</v>
      </c>
      <c r="BU564" s="31" t="n">
        <f aca="false">V564</f>
        <v>0</v>
      </c>
      <c r="BV564" s="32" t="n">
        <f aca="false">IF(BF564=0,IF(BN564=0,0,1),(BN564-BF564)/BF564)</f>
        <v>0</v>
      </c>
      <c r="BW564" s="32" t="n">
        <f aca="false">IF(BG564=0,IF(BO564=0,0,1),(BO564-BG564)/BG564)</f>
        <v>0</v>
      </c>
      <c r="BX564" s="32" t="n">
        <f aca="false">IF(BH564=0,IF(BP564=0,0,1),(BP564-BH564)/BH564)</f>
        <v>0</v>
      </c>
      <c r="BY564" s="32" t="n">
        <f aca="false">IF(BI564=0,IF(BQ564=0,0,1),(BQ564-BI564)/BI564)</f>
        <v>0</v>
      </c>
      <c r="BZ564" s="32" t="n">
        <f aca="false">IF(BJ564=0,IF(BR564=0,0,1),(BR564-BJ564)/BJ564)</f>
        <v>0</v>
      </c>
      <c r="CA564" s="32" t="n">
        <f aca="false">IF(BK564=0,IF(BS564=0,0,1),(BS564-BK564)/BK564)</f>
        <v>0</v>
      </c>
      <c r="CB564" s="32" t="n">
        <f aca="false">IF(BL564=0,IF(BT564=0,0,1),(BT564-BL564)/BL564)</f>
        <v>0</v>
      </c>
      <c r="CC564" s="32" t="n">
        <f aca="false">IF(BM564=0,IF(BU564=0,0,1),(BU564-BM564)/BM564)</f>
        <v>0</v>
      </c>
      <c r="CD564" s="32" t="n">
        <f aca="false">MAX(MAX(BV564:CC564),-MIN(BV564:CC564))</f>
        <v>-0</v>
      </c>
      <c r="CE564" s="31" t="n">
        <f aca="false">IF(CI564="","",SUMIFS($CF$7:$CF$696,$A$7:$A$696,CI564,$B$7:$B$696,B564))</f>
        <v>1171262</v>
      </c>
      <c r="CF564" s="31" t="n">
        <f aca="false">SUM(AU564:BE564)</f>
        <v>1045053</v>
      </c>
      <c r="CG564" s="33" t="str">
        <f aca="false">A564&amp;"|"&amp;B564</f>
        <v>2027-02 月例|選挙管理委員会</v>
      </c>
      <c r="CH564" s="34" t="str">
        <f aca="false">IFERROR(INDEX(設定!$D$61:$D$106,MATCH(B564,設定!$B$61:$B$106,0)),"Y")</f>
        <v>Y</v>
      </c>
      <c r="CI564" s="34" t="str">
        <f aca="false">IFERROR(INDEX(設定!$D$20:$D$34,MATCH(A564,設定!$A$20:$A$34,0))&amp;"","")</f>
        <v>2027-01 月例</v>
      </c>
    </row>
    <row r="565" customFormat="false" ht="15" hidden="true" customHeight="false" outlineLevel="0" collapsed="false">
      <c r="A565" s="22" t="s">
        <v>220</v>
      </c>
      <c r="B565" s="23" t="s">
        <v>166</v>
      </c>
      <c r="C565" s="10" t="str">
        <f aca="false">IF(G565="","未受領",IF(G565="なし","報告なし",IF(AH565="○","起票済",IF(OR(AG565="○",F565="一致",F565="入金不要"),"入金確認済","受領済"))))</f>
        <v>未受領</v>
      </c>
      <c r="D565" s="10" t="str">
        <f aca="false">IF(OR(G565="",G565="なし"),"―",IF(CH565="N","対象外",IF(AND(I565="",J565="",K565=""),"標報未入力",IF(CD565&gt;=設定!$B$4,"要確認","問題なし"))))</f>
        <v>―</v>
      </c>
      <c r="E565" s="24" t="str">
        <f aca="false">IF(OR(G565="",G565="なし",CE565="",CF565=0),"―",IF(CF565=CE565,"前月同額",IF(CE565=0,"―",IF(ABS(CF565/CE565-1)&gt;=設定!$B$5,"変動大 "&amp;TEXT(CF565/CE565-1,"+0%;-0%"),"〇"))))</f>
        <v>―</v>
      </c>
      <c r="F565" s="10" t="str">
        <f aca="false">IF(OR(G565="",G565="なし"),"―",IF(CF565=0,"入金不要",IF(COUNT(Z565,AB565,AD565,AF565)=0,IF(AG565="○","手動確認","未入金"),IF(AND(N(Z565)=Y565,IF(AA565="",TRUE(),N(AB565)=AA565),IF(AC565="",TRUE(),N(AD565)=AC565),IF(AE565="",TRUE(),N(AF565)=AE565)),"一致","不一致"))))</f>
        <v>―</v>
      </c>
      <c r="G565" s="25"/>
      <c r="H565" s="26"/>
      <c r="I565" s="27"/>
      <c r="J565" s="27"/>
      <c r="K565" s="27"/>
      <c r="L565" s="27"/>
      <c r="M565" s="27"/>
      <c r="N565" s="27"/>
      <c r="O565" s="27"/>
      <c r="P565" s="27"/>
      <c r="Q565" s="27"/>
      <c r="R565" s="27"/>
      <c r="S565" s="27"/>
      <c r="T565" s="27"/>
      <c r="U565" s="27"/>
      <c r="V565" s="27"/>
      <c r="W565" s="10" t="str">
        <f aca="false">IFERROR(INDEX(設定!$E$61:$E$106,MATCH(B565,設定!$B$61:$B$106,0)),"合算")</f>
        <v>合算</v>
      </c>
      <c r="X565" s="28"/>
      <c r="Y565" s="29" t="str">
        <f aca="false">IF(OR(G565="",G565="なし"),"",IF(W565="合算",CF565,IF(W565="掛金・負担金別",(AU565+AV565+AZ565+BB565+BD565),SUM(AU565:AY565))))</f>
        <v/>
      </c>
      <c r="Z565" s="27"/>
      <c r="AA565" s="29" t="str">
        <f aca="false">IF(OR(G565="",G565="なし"),"",IF(W565="掛金・負担金別",(AW565+AX565+AY565+BA565+BC565+BE565),IF(W565="経理区分別",AZ565+BA565,"")))</f>
        <v/>
      </c>
      <c r="AB565" s="27"/>
      <c r="AC565" s="29" t="str">
        <f aca="false">IF(OR(G565="",G565="なし"),"",IF(W565="経理区分別",BB565+BC565,""))</f>
        <v/>
      </c>
      <c r="AD565" s="27"/>
      <c r="AE565" s="29" t="str">
        <f aca="false">IF(OR(G565="",G565="なし"),"",IF(W565="経理区分別",BD565+BE565,""))</f>
        <v/>
      </c>
      <c r="AF565" s="27"/>
      <c r="AG565" s="26"/>
      <c r="AH565" s="26"/>
      <c r="AI565" s="30"/>
      <c r="AJ565" s="31" t="n">
        <v>561810</v>
      </c>
      <c r="AK565" s="31" t="n">
        <v>46050</v>
      </c>
      <c r="AL565" s="31" t="n">
        <v>816620</v>
      </c>
      <c r="AM565" s="31" t="n">
        <v>46050</v>
      </c>
      <c r="AN565" s="31" t="n">
        <v>576</v>
      </c>
      <c r="AO565" s="31" t="n">
        <v>343259</v>
      </c>
      <c r="AP565" s="31" t="n">
        <v>349315</v>
      </c>
      <c r="AQ565" s="31" t="n">
        <v>32232</v>
      </c>
      <c r="AR565" s="31" t="n">
        <v>32232</v>
      </c>
      <c r="AS565" s="31" t="n">
        <v>1</v>
      </c>
      <c r="AT565" s="31" t="n">
        <v>1</v>
      </c>
      <c r="AU565" s="31" t="n">
        <f aca="false">IF($G565="",AJ565,L565)</f>
        <v>561810</v>
      </c>
      <c r="AV565" s="31" t="n">
        <f aca="false">IF($G565="",AK565,M565)</f>
        <v>46050</v>
      </c>
      <c r="AW565" s="31" t="n">
        <f aca="false">IF($G565="",AL565,N565)</f>
        <v>816620</v>
      </c>
      <c r="AX565" s="31" t="n">
        <f aca="false">IF($G565="",AM565,O565)</f>
        <v>46050</v>
      </c>
      <c r="AY565" s="31" t="n">
        <f aca="false">IF($G565="",AN565,P565)</f>
        <v>576</v>
      </c>
      <c r="AZ565" s="31" t="n">
        <f aca="false">IF($G565="",AO565,Q565)</f>
        <v>343259</v>
      </c>
      <c r="BA565" s="31" t="n">
        <f aca="false">IF($G565="",AP565,R565)</f>
        <v>349315</v>
      </c>
      <c r="BB565" s="31" t="n">
        <f aca="false">IF($G565="",AQ565,S565)</f>
        <v>32232</v>
      </c>
      <c r="BC565" s="31" t="n">
        <f aca="false">IF($G565="",AR565,T565)</f>
        <v>32232</v>
      </c>
      <c r="BD565" s="31" t="n">
        <f aca="false">IF($G565="",AS565,U565)</f>
        <v>1</v>
      </c>
      <c r="BE565" s="31" t="n">
        <f aca="false">IF($G565="",AT565,V565)</f>
        <v>1</v>
      </c>
      <c r="BF565" s="31" t="n">
        <f aca="false">ROUNDDOWN(I565*設定!$B$10/1000,0)+ROUNDDOWN(I565*設定!$B$11/1000,0)</f>
        <v>0</v>
      </c>
      <c r="BG565" s="31" t="n">
        <f aca="false">ROUNDDOWN(I565*設定!$C$10/1000,0)+ROUNDDOWN(I565*設定!$C$11/1000,0)+ROUNDDOWN(I565*設定!$C$12/1000,0)</f>
        <v>0</v>
      </c>
      <c r="BH565" s="31" t="n">
        <f aca="false">ROUNDDOWN(J565*設定!$B$13/1000,0)</f>
        <v>0</v>
      </c>
      <c r="BI565" s="31" t="n">
        <f aca="false">ROUNDDOWN(J565*設定!$C$13/1000,0)</f>
        <v>0</v>
      </c>
      <c r="BJ565" s="31" t="n">
        <f aca="false">ROUNDDOWN(K565*設定!$B$14/1000,0)</f>
        <v>0</v>
      </c>
      <c r="BK565" s="31" t="n">
        <f aca="false">ROUNDDOWN(K565*設定!$C$14/1000,0)</f>
        <v>0</v>
      </c>
      <c r="BL565" s="31" t="n">
        <f aca="false">ROUNDDOWN(J565*設定!$B$15/1000,0)</f>
        <v>0</v>
      </c>
      <c r="BM565" s="31" t="n">
        <f aca="false">ROUNDDOWN(J565*設定!$C$15/1000,0)</f>
        <v>0</v>
      </c>
      <c r="BN565" s="31" t="n">
        <f aca="false">L565+M565</f>
        <v>0</v>
      </c>
      <c r="BO565" s="31" t="n">
        <f aca="false">N565+O565+P565</f>
        <v>0</v>
      </c>
      <c r="BP565" s="31" t="n">
        <f aca="false">Q565</f>
        <v>0</v>
      </c>
      <c r="BQ565" s="31" t="n">
        <f aca="false">R565</f>
        <v>0</v>
      </c>
      <c r="BR565" s="31" t="n">
        <f aca="false">S565</f>
        <v>0</v>
      </c>
      <c r="BS565" s="31" t="n">
        <f aca="false">T565</f>
        <v>0</v>
      </c>
      <c r="BT565" s="31" t="n">
        <f aca="false">U565</f>
        <v>0</v>
      </c>
      <c r="BU565" s="31" t="n">
        <f aca="false">V565</f>
        <v>0</v>
      </c>
      <c r="BV565" s="32" t="n">
        <f aca="false">IF(BF565=0,IF(BN565=0,0,1),(BN565-BF565)/BF565)</f>
        <v>0</v>
      </c>
      <c r="BW565" s="32" t="n">
        <f aca="false">IF(BG565=0,IF(BO565=0,0,1),(BO565-BG565)/BG565)</f>
        <v>0</v>
      </c>
      <c r="BX565" s="32" t="n">
        <f aca="false">IF(BH565=0,IF(BP565=0,0,1),(BP565-BH565)/BH565)</f>
        <v>0</v>
      </c>
      <c r="BY565" s="32" t="n">
        <f aca="false">IF(BI565=0,IF(BQ565=0,0,1),(BQ565-BI565)/BI565)</f>
        <v>0</v>
      </c>
      <c r="BZ565" s="32" t="n">
        <f aca="false">IF(BJ565=0,IF(BR565=0,0,1),(BR565-BJ565)/BJ565)</f>
        <v>0</v>
      </c>
      <c r="CA565" s="32" t="n">
        <f aca="false">IF(BK565=0,IF(BS565=0,0,1),(BS565-BK565)/BK565)</f>
        <v>0</v>
      </c>
      <c r="CB565" s="32" t="n">
        <f aca="false">IF(BL565=0,IF(BT565=0,0,1),(BT565-BL565)/BL565)</f>
        <v>0</v>
      </c>
      <c r="CC565" s="32" t="n">
        <f aca="false">IF(BM565=0,IF(BU565=0,0,1),(BU565-BM565)/BM565)</f>
        <v>0</v>
      </c>
      <c r="CD565" s="32" t="n">
        <f aca="false">MAX(MAX(BV565:CC565),-MIN(BV565:CC565))</f>
        <v>-0</v>
      </c>
      <c r="CE565" s="31" t="n">
        <f aca="false">IF(CI565="","",SUMIFS($CF$7:$CF$696,$A$7:$A$696,CI565,$B$7:$B$696,B565))</f>
        <v>2228146</v>
      </c>
      <c r="CF565" s="31" t="n">
        <f aca="false">SUM(AU565:BE565)</f>
        <v>2228146</v>
      </c>
      <c r="CG565" s="33" t="str">
        <f aca="false">A565&amp;"|"&amp;B565</f>
        <v>2027-02 月例|人事委員会</v>
      </c>
      <c r="CH565" s="34" t="str">
        <f aca="false">IFERROR(INDEX(設定!$D$61:$D$106,MATCH(B565,設定!$B$61:$B$106,0)),"Y")</f>
        <v>Y</v>
      </c>
      <c r="CI565" s="34" t="str">
        <f aca="false">IFERROR(INDEX(設定!$D$20:$D$34,MATCH(A565,設定!$A$20:$A$34,0))&amp;"","")</f>
        <v>2027-01 月例</v>
      </c>
    </row>
    <row r="566" customFormat="false" ht="15" hidden="true" customHeight="false" outlineLevel="0" collapsed="false">
      <c r="A566" s="22" t="s">
        <v>220</v>
      </c>
      <c r="B566" s="23" t="s">
        <v>167</v>
      </c>
      <c r="C566" s="10" t="str">
        <f aca="false">IF(G566="","未受領",IF(G566="なし","報告なし",IF(AH566="○","起票済",IF(OR(AG566="○",F566="一致",F566="入金不要"),"入金確認済","受領済"))))</f>
        <v>未受領</v>
      </c>
      <c r="D566" s="10" t="str">
        <f aca="false">IF(OR(G566="",G566="なし"),"―",IF(CH566="N","対象外",IF(AND(I566="",J566="",K566=""),"標報未入力",IF(CD566&gt;=設定!$B$4,"要確認","問題なし"))))</f>
        <v>―</v>
      </c>
      <c r="E566" s="24" t="str">
        <f aca="false">IF(OR(G566="",G566="なし",CE566="",CF566=0),"―",IF(CF566=CE566,"前月同額",IF(CE566=0,"―",IF(ABS(CF566/CE566-1)&gt;=設定!$B$5,"変動大 "&amp;TEXT(CF566/CE566-1,"+0%;-0%"),"〇"))))</f>
        <v>―</v>
      </c>
      <c r="F566" s="10" t="str">
        <f aca="false">IF(OR(G566="",G566="なし"),"―",IF(CF566=0,"入金不要",IF(COUNT(Z566,AB566,AD566,AF566)=0,IF(AG566="○","手動確認","未入金"),IF(AND(N(Z566)=Y566,IF(AA566="",TRUE(),N(AB566)=AA566),IF(AC566="",TRUE(),N(AD566)=AC566),IF(AE566="",TRUE(),N(AF566)=AE566)),"一致","不一致"))))</f>
        <v>―</v>
      </c>
      <c r="G566" s="25"/>
      <c r="H566" s="26"/>
      <c r="I566" s="27"/>
      <c r="J566" s="27"/>
      <c r="K566" s="27"/>
      <c r="L566" s="27"/>
      <c r="M566" s="27"/>
      <c r="N566" s="27"/>
      <c r="O566" s="27"/>
      <c r="P566" s="27"/>
      <c r="Q566" s="27"/>
      <c r="R566" s="27"/>
      <c r="S566" s="27"/>
      <c r="T566" s="27"/>
      <c r="U566" s="27"/>
      <c r="V566" s="27"/>
      <c r="W566" s="10" t="str">
        <f aca="false">IFERROR(INDEX(設定!$E$61:$E$106,MATCH(B566,設定!$B$61:$B$106,0)),"合算")</f>
        <v>合算</v>
      </c>
      <c r="X566" s="28"/>
      <c r="Y566" s="29" t="str">
        <f aca="false">IF(OR(G566="",G566="なし"),"",IF(W566="合算",CF566,IF(W566="掛金・負担金別",(AU566+AV566+AZ566+BB566+BD566),SUM(AU566:AY566))))</f>
        <v/>
      </c>
      <c r="Z566" s="27"/>
      <c r="AA566" s="29" t="str">
        <f aca="false">IF(OR(G566="",G566="なし"),"",IF(W566="掛金・負担金別",(AW566+AX566+AY566+BA566+BC566+BE566),IF(W566="経理区分別",AZ566+BA566,"")))</f>
        <v/>
      </c>
      <c r="AB566" s="27"/>
      <c r="AC566" s="29" t="str">
        <f aca="false">IF(OR(G566="",G566="なし"),"",IF(W566="経理区分別",BB566+BC566,""))</f>
        <v/>
      </c>
      <c r="AD566" s="27"/>
      <c r="AE566" s="29" t="str">
        <f aca="false">IF(OR(G566="",G566="なし"),"",IF(W566="経理区分別",BD566+BE566,""))</f>
        <v/>
      </c>
      <c r="AF566" s="27"/>
      <c r="AG566" s="26"/>
      <c r="AH566" s="26"/>
      <c r="AI566" s="30"/>
      <c r="AJ566" s="31" t="n">
        <v>1344135</v>
      </c>
      <c r="AK566" s="31" t="n">
        <v>110175</v>
      </c>
      <c r="AL566" s="31" t="n">
        <v>1965390</v>
      </c>
      <c r="AM566" s="31" t="n">
        <v>110175</v>
      </c>
      <c r="AN566" s="31" t="n">
        <v>1405</v>
      </c>
      <c r="AO566" s="31" t="n">
        <v>836690</v>
      </c>
      <c r="AP566" s="31" t="n">
        <v>851727</v>
      </c>
      <c r="AQ566" s="31" t="n">
        <v>108309</v>
      </c>
      <c r="AR566" s="31" t="n">
        <v>108309</v>
      </c>
      <c r="AS566" s="31" t="n">
        <v>1</v>
      </c>
      <c r="AT566" s="31" t="n">
        <v>1</v>
      </c>
      <c r="AU566" s="31" t="n">
        <f aca="false">IF($G566="",AJ566,L566)</f>
        <v>1344135</v>
      </c>
      <c r="AV566" s="31" t="n">
        <f aca="false">IF($G566="",AK566,M566)</f>
        <v>110175</v>
      </c>
      <c r="AW566" s="31" t="n">
        <f aca="false">IF($G566="",AL566,N566)</f>
        <v>1965390</v>
      </c>
      <c r="AX566" s="31" t="n">
        <f aca="false">IF($G566="",AM566,O566)</f>
        <v>110175</v>
      </c>
      <c r="AY566" s="31" t="n">
        <f aca="false">IF($G566="",AN566,P566)</f>
        <v>1405</v>
      </c>
      <c r="AZ566" s="31" t="n">
        <f aca="false">IF($G566="",AO566,Q566)</f>
        <v>836690</v>
      </c>
      <c r="BA566" s="31" t="n">
        <f aca="false">IF($G566="",AP566,R566)</f>
        <v>851727</v>
      </c>
      <c r="BB566" s="31" t="n">
        <f aca="false">IF($G566="",AQ566,S566)</f>
        <v>108309</v>
      </c>
      <c r="BC566" s="31" t="n">
        <f aca="false">IF($G566="",AR566,T566)</f>
        <v>108309</v>
      </c>
      <c r="BD566" s="31" t="n">
        <f aca="false">IF($G566="",AS566,U566)</f>
        <v>1</v>
      </c>
      <c r="BE566" s="31" t="n">
        <f aca="false">IF($G566="",AT566,V566)</f>
        <v>1</v>
      </c>
      <c r="BF566" s="31" t="n">
        <f aca="false">ROUNDDOWN(I566*設定!$B$10/1000,0)+ROUNDDOWN(I566*設定!$B$11/1000,0)</f>
        <v>0</v>
      </c>
      <c r="BG566" s="31" t="n">
        <f aca="false">ROUNDDOWN(I566*設定!$C$10/1000,0)+ROUNDDOWN(I566*設定!$C$11/1000,0)+ROUNDDOWN(I566*設定!$C$12/1000,0)</f>
        <v>0</v>
      </c>
      <c r="BH566" s="31" t="n">
        <f aca="false">ROUNDDOWN(J566*設定!$B$13/1000,0)</f>
        <v>0</v>
      </c>
      <c r="BI566" s="31" t="n">
        <f aca="false">ROUNDDOWN(J566*設定!$C$13/1000,0)</f>
        <v>0</v>
      </c>
      <c r="BJ566" s="31" t="n">
        <f aca="false">ROUNDDOWN(K566*設定!$B$14/1000,0)</f>
        <v>0</v>
      </c>
      <c r="BK566" s="31" t="n">
        <f aca="false">ROUNDDOWN(K566*設定!$C$14/1000,0)</f>
        <v>0</v>
      </c>
      <c r="BL566" s="31" t="n">
        <f aca="false">ROUNDDOWN(J566*設定!$B$15/1000,0)</f>
        <v>0</v>
      </c>
      <c r="BM566" s="31" t="n">
        <f aca="false">ROUNDDOWN(J566*設定!$C$15/1000,0)</f>
        <v>0</v>
      </c>
      <c r="BN566" s="31" t="n">
        <f aca="false">L566+M566</f>
        <v>0</v>
      </c>
      <c r="BO566" s="31" t="n">
        <f aca="false">N566+O566+P566</f>
        <v>0</v>
      </c>
      <c r="BP566" s="31" t="n">
        <f aca="false">Q566</f>
        <v>0</v>
      </c>
      <c r="BQ566" s="31" t="n">
        <f aca="false">R566</f>
        <v>0</v>
      </c>
      <c r="BR566" s="31" t="n">
        <f aca="false">S566</f>
        <v>0</v>
      </c>
      <c r="BS566" s="31" t="n">
        <f aca="false">T566</f>
        <v>0</v>
      </c>
      <c r="BT566" s="31" t="n">
        <f aca="false">U566</f>
        <v>0</v>
      </c>
      <c r="BU566" s="31" t="n">
        <f aca="false">V566</f>
        <v>0</v>
      </c>
      <c r="BV566" s="32" t="n">
        <f aca="false">IF(BF566=0,IF(BN566=0,0,1),(BN566-BF566)/BF566)</f>
        <v>0</v>
      </c>
      <c r="BW566" s="32" t="n">
        <f aca="false">IF(BG566=0,IF(BO566=0,0,1),(BO566-BG566)/BG566)</f>
        <v>0</v>
      </c>
      <c r="BX566" s="32" t="n">
        <f aca="false">IF(BH566=0,IF(BP566=0,0,1),(BP566-BH566)/BH566)</f>
        <v>0</v>
      </c>
      <c r="BY566" s="32" t="n">
        <f aca="false">IF(BI566=0,IF(BQ566=0,0,1),(BQ566-BI566)/BI566)</f>
        <v>0</v>
      </c>
      <c r="BZ566" s="32" t="n">
        <f aca="false">IF(BJ566=0,IF(BR566=0,0,1),(BR566-BJ566)/BJ566)</f>
        <v>0</v>
      </c>
      <c r="CA566" s="32" t="n">
        <f aca="false">IF(BK566=0,IF(BS566=0,0,1),(BS566-BK566)/BK566)</f>
        <v>0</v>
      </c>
      <c r="CB566" s="32" t="n">
        <f aca="false">IF(BL566=0,IF(BT566=0,0,1),(BT566-BL566)/BL566)</f>
        <v>0</v>
      </c>
      <c r="CC566" s="32" t="n">
        <f aca="false">IF(BM566=0,IF(BU566=0,0,1),(BU566-BM566)/BM566)</f>
        <v>0</v>
      </c>
      <c r="CD566" s="32" t="n">
        <f aca="false">MAX(MAX(BV566:CC566),-MIN(BV566:CC566))</f>
        <v>-0</v>
      </c>
      <c r="CE566" s="31" t="n">
        <f aca="false">IF(CI566="","",SUMIFS($CF$7:$CF$696,$A$7:$A$696,CI566,$B$7:$B$696,B566))</f>
        <v>5436317</v>
      </c>
      <c r="CF566" s="31" t="n">
        <f aca="false">SUM(AU566:BE566)</f>
        <v>5436317</v>
      </c>
      <c r="CG566" s="33" t="str">
        <f aca="false">A566&amp;"|"&amp;B566</f>
        <v>2027-02 月例|監査事務局</v>
      </c>
      <c r="CH566" s="34" t="str">
        <f aca="false">IFERROR(INDEX(設定!$D$61:$D$106,MATCH(B566,設定!$B$61:$B$106,0)),"Y")</f>
        <v>Y</v>
      </c>
      <c r="CI566" s="34" t="str">
        <f aca="false">IFERROR(INDEX(設定!$D$20:$D$34,MATCH(A566,設定!$A$20:$A$34,0))&amp;"","")</f>
        <v>2027-01 月例</v>
      </c>
    </row>
    <row r="567" customFormat="false" ht="15" hidden="true" customHeight="false" outlineLevel="0" collapsed="false">
      <c r="A567" s="22" t="s">
        <v>220</v>
      </c>
      <c r="B567" s="23" t="s">
        <v>168</v>
      </c>
      <c r="C567" s="10" t="str">
        <f aca="false">IF(G567="","未受領",IF(G567="なし","報告なし",IF(AH567="○","起票済",IF(OR(AG567="○",F567="一致",F567="入金不要"),"入金確認済","受領済"))))</f>
        <v>未受領</v>
      </c>
      <c r="D567" s="10" t="str">
        <f aca="false">IF(OR(G567="",G567="なし"),"―",IF(CH567="N","対象外",IF(AND(I567="",J567="",K567=""),"標報未入力",IF(CD567&gt;=設定!$B$4,"要確認","問題なし"))))</f>
        <v>―</v>
      </c>
      <c r="E567" s="24" t="str">
        <f aca="false">IF(OR(G567="",G567="なし",CE567="",CF567=0),"―",IF(CF567=CE567,"前月同額",IF(CE567=0,"―",IF(ABS(CF567/CE567-1)&gt;=設定!$B$5,"変動大 "&amp;TEXT(CF567/CE567-1,"+0%;-0%"),"〇"))))</f>
        <v>―</v>
      </c>
      <c r="F567" s="10" t="str">
        <f aca="false">IF(OR(G567="",G567="なし"),"―",IF(CF567=0,"入金不要",IF(COUNT(Z567,AB567,AD567,AF567)=0,IF(AG567="○","手動確認","未入金"),IF(AND(N(Z567)=Y567,IF(AA567="",TRUE(),N(AB567)=AA567),IF(AC567="",TRUE(),N(AD567)=AC567),IF(AE567="",TRUE(),N(AF567)=AE567)),"一致","不一致"))))</f>
        <v>―</v>
      </c>
      <c r="G567" s="25"/>
      <c r="H567" s="26"/>
      <c r="I567" s="27"/>
      <c r="J567" s="27"/>
      <c r="K567" s="27"/>
      <c r="L567" s="27"/>
      <c r="M567" s="27"/>
      <c r="N567" s="27"/>
      <c r="O567" s="27"/>
      <c r="P567" s="27"/>
      <c r="Q567" s="27"/>
      <c r="R567" s="27"/>
      <c r="S567" s="27"/>
      <c r="T567" s="27"/>
      <c r="U567" s="27"/>
      <c r="V567" s="27"/>
      <c r="W567" s="10" t="str">
        <f aca="false">IFERROR(INDEX(設定!$E$61:$E$106,MATCH(B567,設定!$B$61:$B$106,0)),"合算")</f>
        <v>合算</v>
      </c>
      <c r="X567" s="28"/>
      <c r="Y567" s="29" t="str">
        <f aca="false">IF(OR(G567="",G567="なし"),"",IF(W567="合算",CF567,IF(W567="掛金・負担金別",(AU567+AV567+AZ567+BB567+BD567),SUM(AU567:AY567))))</f>
        <v/>
      </c>
      <c r="Z567" s="27"/>
      <c r="AA567" s="29" t="str">
        <f aca="false">IF(OR(G567="",G567="なし"),"",IF(W567="掛金・負担金別",(AW567+AX567+AY567+BA567+BC567+BE567),IF(W567="経理区分別",AZ567+BA567,"")))</f>
        <v/>
      </c>
      <c r="AB567" s="27"/>
      <c r="AC567" s="29" t="str">
        <f aca="false">IF(OR(G567="",G567="なし"),"",IF(W567="経理区分別",BB567+BC567,""))</f>
        <v/>
      </c>
      <c r="AD567" s="27"/>
      <c r="AE567" s="29" t="str">
        <f aca="false">IF(OR(G567="",G567="なし"),"",IF(W567="経理区分別",BD567+BE567,""))</f>
        <v/>
      </c>
      <c r="AF567" s="27"/>
      <c r="AG567" s="26"/>
      <c r="AH567" s="26"/>
      <c r="AI567" s="30"/>
      <c r="AJ567" s="31" t="n">
        <v>382470</v>
      </c>
      <c r="AK567" s="31" t="n">
        <v>31350</v>
      </c>
      <c r="AL567" s="31" t="n">
        <v>555940</v>
      </c>
      <c r="AM567" s="31" t="n">
        <v>31350</v>
      </c>
      <c r="AN567" s="31" t="n">
        <v>392</v>
      </c>
      <c r="AO567" s="31" t="n">
        <v>308930</v>
      </c>
      <c r="AP567" s="31" t="n">
        <v>314382</v>
      </c>
      <c r="AQ567" s="31" t="n">
        <v>32672</v>
      </c>
      <c r="AR567" s="31" t="n">
        <v>32674</v>
      </c>
      <c r="AS567" s="31" t="n">
        <v>1</v>
      </c>
      <c r="AT567" s="31" t="n">
        <v>1</v>
      </c>
      <c r="AU567" s="31" t="n">
        <f aca="false">IF($G567="",AJ567,L567)</f>
        <v>382470</v>
      </c>
      <c r="AV567" s="31" t="n">
        <f aca="false">IF($G567="",AK567,M567)</f>
        <v>31350</v>
      </c>
      <c r="AW567" s="31" t="n">
        <f aca="false">IF($G567="",AL567,N567)</f>
        <v>555940</v>
      </c>
      <c r="AX567" s="31" t="n">
        <f aca="false">IF($G567="",AM567,O567)</f>
        <v>31350</v>
      </c>
      <c r="AY567" s="31" t="n">
        <f aca="false">IF($G567="",AN567,P567)</f>
        <v>392</v>
      </c>
      <c r="AZ567" s="31" t="n">
        <f aca="false">IF($G567="",AO567,Q567)</f>
        <v>308930</v>
      </c>
      <c r="BA567" s="31" t="n">
        <f aca="false">IF($G567="",AP567,R567)</f>
        <v>314382</v>
      </c>
      <c r="BB567" s="31" t="n">
        <f aca="false">IF($G567="",AQ567,S567)</f>
        <v>32672</v>
      </c>
      <c r="BC567" s="31" t="n">
        <f aca="false">IF($G567="",AR567,T567)</f>
        <v>32674</v>
      </c>
      <c r="BD567" s="31" t="n">
        <f aca="false">IF($G567="",AS567,U567)</f>
        <v>1</v>
      </c>
      <c r="BE567" s="31" t="n">
        <f aca="false">IF($G567="",AT567,V567)</f>
        <v>1</v>
      </c>
      <c r="BF567" s="31" t="n">
        <f aca="false">ROUNDDOWN(I567*設定!$B$10/1000,0)+ROUNDDOWN(I567*設定!$B$11/1000,0)</f>
        <v>0</v>
      </c>
      <c r="BG567" s="31" t="n">
        <f aca="false">ROUNDDOWN(I567*設定!$C$10/1000,0)+ROUNDDOWN(I567*設定!$C$11/1000,0)+ROUNDDOWN(I567*設定!$C$12/1000,0)</f>
        <v>0</v>
      </c>
      <c r="BH567" s="31" t="n">
        <f aca="false">ROUNDDOWN(J567*設定!$B$13/1000,0)</f>
        <v>0</v>
      </c>
      <c r="BI567" s="31" t="n">
        <f aca="false">ROUNDDOWN(J567*設定!$C$13/1000,0)</f>
        <v>0</v>
      </c>
      <c r="BJ567" s="31" t="n">
        <f aca="false">ROUNDDOWN(K567*設定!$B$14/1000,0)</f>
        <v>0</v>
      </c>
      <c r="BK567" s="31" t="n">
        <f aca="false">ROUNDDOWN(K567*設定!$C$14/1000,0)</f>
        <v>0</v>
      </c>
      <c r="BL567" s="31" t="n">
        <f aca="false">ROUNDDOWN(J567*設定!$B$15/1000,0)</f>
        <v>0</v>
      </c>
      <c r="BM567" s="31" t="n">
        <f aca="false">ROUNDDOWN(J567*設定!$C$15/1000,0)</f>
        <v>0</v>
      </c>
      <c r="BN567" s="31" t="n">
        <f aca="false">L567+M567</f>
        <v>0</v>
      </c>
      <c r="BO567" s="31" t="n">
        <f aca="false">N567+O567+P567</f>
        <v>0</v>
      </c>
      <c r="BP567" s="31" t="n">
        <f aca="false">Q567</f>
        <v>0</v>
      </c>
      <c r="BQ567" s="31" t="n">
        <f aca="false">R567</f>
        <v>0</v>
      </c>
      <c r="BR567" s="31" t="n">
        <f aca="false">S567</f>
        <v>0</v>
      </c>
      <c r="BS567" s="31" t="n">
        <f aca="false">T567</f>
        <v>0</v>
      </c>
      <c r="BT567" s="31" t="n">
        <f aca="false">U567</f>
        <v>0</v>
      </c>
      <c r="BU567" s="31" t="n">
        <f aca="false">V567</f>
        <v>0</v>
      </c>
      <c r="BV567" s="32" t="n">
        <f aca="false">IF(BF567=0,IF(BN567=0,0,1),(BN567-BF567)/BF567)</f>
        <v>0</v>
      </c>
      <c r="BW567" s="32" t="n">
        <f aca="false">IF(BG567=0,IF(BO567=0,0,1),(BO567-BG567)/BG567)</f>
        <v>0</v>
      </c>
      <c r="BX567" s="32" t="n">
        <f aca="false">IF(BH567=0,IF(BP567=0,0,1),(BP567-BH567)/BH567)</f>
        <v>0</v>
      </c>
      <c r="BY567" s="32" t="n">
        <f aca="false">IF(BI567=0,IF(BQ567=0,0,1),(BQ567-BI567)/BI567)</f>
        <v>0</v>
      </c>
      <c r="BZ567" s="32" t="n">
        <f aca="false">IF(BJ567=0,IF(BR567=0,0,1),(BR567-BJ567)/BJ567)</f>
        <v>0</v>
      </c>
      <c r="CA567" s="32" t="n">
        <f aca="false">IF(BK567=0,IF(BS567=0,0,1),(BS567-BK567)/BK567)</f>
        <v>0</v>
      </c>
      <c r="CB567" s="32" t="n">
        <f aca="false">IF(BL567=0,IF(BT567=0,0,1),(BT567-BL567)/BL567)</f>
        <v>0</v>
      </c>
      <c r="CC567" s="32" t="n">
        <f aca="false">IF(BM567=0,IF(BU567=0,0,1),(BU567-BM567)/BM567)</f>
        <v>0</v>
      </c>
      <c r="CD567" s="32" t="n">
        <f aca="false">MAX(MAX(BV567:CC567),-MIN(BV567:CC567))</f>
        <v>-0</v>
      </c>
      <c r="CE567" s="31" t="n">
        <f aca="false">IF(CI567="","",SUMIFS($CF$7:$CF$696,$A$7:$A$696,CI567,$B$7:$B$696,B567))</f>
        <v>1690162</v>
      </c>
      <c r="CF567" s="31" t="n">
        <f aca="false">SUM(AU567:BE567)</f>
        <v>1690162</v>
      </c>
      <c r="CG567" s="33" t="str">
        <f aca="false">A567&amp;"|"&amp;B567</f>
        <v>2027-02 月例|農業委員会</v>
      </c>
      <c r="CH567" s="34" t="str">
        <f aca="false">IFERROR(INDEX(設定!$D$61:$D$106,MATCH(B567,設定!$B$61:$B$106,0)),"Y")</f>
        <v>Y</v>
      </c>
      <c r="CI567" s="34" t="str">
        <f aca="false">IFERROR(INDEX(設定!$D$20:$D$34,MATCH(A567,設定!$A$20:$A$34,0))&amp;"","")</f>
        <v>2027-01 月例</v>
      </c>
    </row>
    <row r="568" customFormat="false" ht="15" hidden="true" customHeight="false" outlineLevel="0" collapsed="false">
      <c r="A568" s="22" t="s">
        <v>220</v>
      </c>
      <c r="B568" s="23" t="s">
        <v>169</v>
      </c>
      <c r="C568" s="10" t="str">
        <f aca="false">IF(G568="","未受領",IF(G568="なし","報告なし",IF(AH568="○","起票済",IF(OR(AG568="○",F568="一致",F568="入金不要"),"入金確認済","受領済"))))</f>
        <v>未受領</v>
      </c>
      <c r="D568" s="10" t="str">
        <f aca="false">IF(OR(G568="",G568="なし"),"―",IF(CH568="N","対象外",IF(AND(I568="",J568="",K568=""),"標報未入力",IF(CD568&gt;=設定!$B$4,"要確認","問題なし"))))</f>
        <v>―</v>
      </c>
      <c r="E568" s="24" t="str">
        <f aca="false">IF(OR(G568="",G568="なし",CE568="",CF568=0),"―",IF(CF568=CE568,"前月同額",IF(CE568=0,"―",IF(ABS(CF568/CE568-1)&gt;=設定!$B$5,"変動大 "&amp;TEXT(CF568/CE568-1,"+0%;-0%"),"〇"))))</f>
        <v>―</v>
      </c>
      <c r="F568" s="10" t="str">
        <f aca="false">IF(OR(G568="",G568="なし"),"―",IF(CF568=0,"入金不要",IF(COUNT(Z568,AB568,AD568,AF568)=0,IF(AG568="○","手動確認","未入金"),IF(AND(N(Z568)=Y568,IF(AA568="",TRUE(),N(AB568)=AA568),IF(AC568="",TRUE(),N(AD568)=AC568),IF(AE568="",TRUE(),N(AF568)=AE568)),"一致","不一致"))))</f>
        <v>―</v>
      </c>
      <c r="G568" s="25"/>
      <c r="H568" s="26"/>
      <c r="I568" s="27"/>
      <c r="J568" s="27"/>
      <c r="K568" s="27"/>
      <c r="L568" s="27"/>
      <c r="M568" s="27"/>
      <c r="N568" s="27"/>
      <c r="O568" s="27"/>
      <c r="P568" s="27"/>
      <c r="Q568" s="27"/>
      <c r="R568" s="27"/>
      <c r="S568" s="27"/>
      <c r="T568" s="27"/>
      <c r="U568" s="27"/>
      <c r="V568" s="27"/>
      <c r="W568" s="10" t="str">
        <f aca="false">IFERROR(INDEX(設定!$E$61:$E$106,MATCH(B568,設定!$B$61:$B$106,0)),"合算")</f>
        <v>合算</v>
      </c>
      <c r="X568" s="28"/>
      <c r="Y568" s="29" t="str">
        <f aca="false">IF(OR(G568="",G568="なし"),"",IF(W568="合算",CF568,IF(W568="掛金・負担金別",(AU568+AV568+AZ568+BB568+BD568),SUM(AU568:AY568))))</f>
        <v/>
      </c>
      <c r="Z568" s="27"/>
      <c r="AA568" s="29" t="str">
        <f aca="false">IF(OR(G568="",G568="なし"),"",IF(W568="掛金・負担金別",(AW568+AX568+AY568+BA568+BC568+BE568),IF(W568="経理区分別",AZ568+BA568,"")))</f>
        <v/>
      </c>
      <c r="AB568" s="27"/>
      <c r="AC568" s="29" t="str">
        <f aca="false">IF(OR(G568="",G568="なし"),"",IF(W568="経理区分別",BB568+BC568,""))</f>
        <v/>
      </c>
      <c r="AD568" s="27"/>
      <c r="AE568" s="29" t="str">
        <f aca="false">IF(OR(G568="",G568="なし"),"",IF(W568="経理区分別",BD568+BE568,""))</f>
        <v/>
      </c>
      <c r="AF568" s="27"/>
      <c r="AG568" s="26"/>
      <c r="AH568" s="26"/>
      <c r="AI568" s="30"/>
      <c r="AJ568" s="31" t="n">
        <v>22497105</v>
      </c>
      <c r="AK568" s="31" t="n">
        <v>1844025</v>
      </c>
      <c r="AL568" s="31" t="n">
        <v>32830605</v>
      </c>
      <c r="AM568" s="31" t="n">
        <v>1844025</v>
      </c>
      <c r="AN568" s="31" t="n">
        <v>23375</v>
      </c>
      <c r="AO568" s="31" t="n">
        <v>14250081</v>
      </c>
      <c r="AP568" s="31" t="n">
        <v>14504654</v>
      </c>
      <c r="AQ568" s="31" t="n">
        <v>1332730</v>
      </c>
      <c r="AR568" s="31" t="n">
        <v>1332730</v>
      </c>
      <c r="AS568" s="31" t="n">
        <v>1</v>
      </c>
      <c r="AT568" s="31" t="n">
        <v>1</v>
      </c>
      <c r="AU568" s="31" t="n">
        <f aca="false">IF($G568="",AJ568,L568)</f>
        <v>22497105</v>
      </c>
      <c r="AV568" s="31" t="n">
        <f aca="false">IF($G568="",AK568,M568)</f>
        <v>1844025</v>
      </c>
      <c r="AW568" s="31" t="n">
        <f aca="false">IF($G568="",AL568,N568)</f>
        <v>32830605</v>
      </c>
      <c r="AX568" s="31" t="n">
        <f aca="false">IF($G568="",AM568,O568)</f>
        <v>1844025</v>
      </c>
      <c r="AY568" s="31" t="n">
        <f aca="false">IF($G568="",AN568,P568)</f>
        <v>23375</v>
      </c>
      <c r="AZ568" s="31" t="n">
        <f aca="false">IF($G568="",AO568,Q568)</f>
        <v>14250081</v>
      </c>
      <c r="BA568" s="31" t="n">
        <f aca="false">IF($G568="",AP568,R568)</f>
        <v>14504654</v>
      </c>
      <c r="BB568" s="31" t="n">
        <f aca="false">IF($G568="",AQ568,S568)</f>
        <v>1332730</v>
      </c>
      <c r="BC568" s="31" t="n">
        <f aca="false">IF($G568="",AR568,T568)</f>
        <v>1332730</v>
      </c>
      <c r="BD568" s="31" t="n">
        <f aca="false">IF($G568="",AS568,U568)</f>
        <v>1</v>
      </c>
      <c r="BE568" s="31" t="n">
        <f aca="false">IF($G568="",AT568,V568)</f>
        <v>1</v>
      </c>
      <c r="BF568" s="31" t="n">
        <f aca="false">ROUNDDOWN(I568*設定!$B$10/1000,0)+ROUNDDOWN(I568*設定!$B$11/1000,0)</f>
        <v>0</v>
      </c>
      <c r="BG568" s="31" t="n">
        <f aca="false">ROUNDDOWN(I568*設定!$C$10/1000,0)+ROUNDDOWN(I568*設定!$C$11/1000,0)+ROUNDDOWN(I568*設定!$C$12/1000,0)</f>
        <v>0</v>
      </c>
      <c r="BH568" s="31" t="n">
        <f aca="false">ROUNDDOWN(J568*設定!$B$13/1000,0)</f>
        <v>0</v>
      </c>
      <c r="BI568" s="31" t="n">
        <f aca="false">ROUNDDOWN(J568*設定!$C$13/1000,0)</f>
        <v>0</v>
      </c>
      <c r="BJ568" s="31" t="n">
        <f aca="false">ROUNDDOWN(K568*設定!$B$14/1000,0)</f>
        <v>0</v>
      </c>
      <c r="BK568" s="31" t="n">
        <f aca="false">ROUNDDOWN(K568*設定!$C$14/1000,0)</f>
        <v>0</v>
      </c>
      <c r="BL568" s="31" t="n">
        <f aca="false">ROUNDDOWN(J568*設定!$B$15/1000,0)</f>
        <v>0</v>
      </c>
      <c r="BM568" s="31" t="n">
        <f aca="false">ROUNDDOWN(J568*設定!$C$15/1000,0)</f>
        <v>0</v>
      </c>
      <c r="BN568" s="31" t="n">
        <f aca="false">L568+M568</f>
        <v>0</v>
      </c>
      <c r="BO568" s="31" t="n">
        <f aca="false">N568+O568+P568</f>
        <v>0</v>
      </c>
      <c r="BP568" s="31" t="n">
        <f aca="false">Q568</f>
        <v>0</v>
      </c>
      <c r="BQ568" s="31" t="n">
        <f aca="false">R568</f>
        <v>0</v>
      </c>
      <c r="BR568" s="31" t="n">
        <f aca="false">S568</f>
        <v>0</v>
      </c>
      <c r="BS568" s="31" t="n">
        <f aca="false">T568</f>
        <v>0</v>
      </c>
      <c r="BT568" s="31" t="n">
        <f aca="false">U568</f>
        <v>0</v>
      </c>
      <c r="BU568" s="31" t="n">
        <f aca="false">V568</f>
        <v>0</v>
      </c>
      <c r="BV568" s="32" t="n">
        <f aca="false">IF(BF568=0,IF(BN568=0,0,1),(BN568-BF568)/BF568)</f>
        <v>0</v>
      </c>
      <c r="BW568" s="32" t="n">
        <f aca="false">IF(BG568=0,IF(BO568=0,0,1),(BO568-BG568)/BG568)</f>
        <v>0</v>
      </c>
      <c r="BX568" s="32" t="n">
        <f aca="false">IF(BH568=0,IF(BP568=0,0,1),(BP568-BH568)/BH568)</f>
        <v>0</v>
      </c>
      <c r="BY568" s="32" t="n">
        <f aca="false">IF(BI568=0,IF(BQ568=0,0,1),(BQ568-BI568)/BI568)</f>
        <v>0</v>
      </c>
      <c r="BZ568" s="32" t="n">
        <f aca="false">IF(BJ568=0,IF(BR568=0,0,1),(BR568-BJ568)/BJ568)</f>
        <v>0</v>
      </c>
      <c r="CA568" s="32" t="n">
        <f aca="false">IF(BK568=0,IF(BS568=0,0,1),(BS568-BK568)/BK568)</f>
        <v>0</v>
      </c>
      <c r="CB568" s="32" t="n">
        <f aca="false">IF(BL568=0,IF(BT568=0,0,1),(BT568-BL568)/BL568)</f>
        <v>0</v>
      </c>
      <c r="CC568" s="32" t="n">
        <f aca="false">IF(BM568=0,IF(BU568=0,0,1),(BU568-BM568)/BM568)</f>
        <v>0</v>
      </c>
      <c r="CD568" s="32" t="n">
        <f aca="false">MAX(MAX(BV568:CC568),-MIN(BV568:CC568))</f>
        <v>-0</v>
      </c>
      <c r="CE568" s="31" t="n">
        <f aca="false">IF(CI568="","",SUMIFS($CF$7:$CF$696,$A$7:$A$696,CI568,$B$7:$B$696,B568))</f>
        <v>90202820</v>
      </c>
      <c r="CF568" s="31" t="n">
        <f aca="false">SUM(AU568:BE568)</f>
        <v>90459332</v>
      </c>
      <c r="CG568" s="33" t="str">
        <f aca="false">A568&amp;"|"&amp;B568</f>
        <v>2027-02 月例|水道局</v>
      </c>
      <c r="CH568" s="34" t="str">
        <f aca="false">IFERROR(INDEX(設定!$D$61:$D$106,MATCH(B568,設定!$B$61:$B$106,0)),"Y")</f>
        <v>N</v>
      </c>
      <c r="CI568" s="34" t="str">
        <f aca="false">IFERROR(INDEX(設定!$D$20:$D$34,MATCH(A568,設定!$A$20:$A$34,0))&amp;"","")</f>
        <v>2027-01 月例</v>
      </c>
    </row>
    <row r="569" customFormat="false" ht="15" hidden="true" customHeight="false" outlineLevel="0" collapsed="false">
      <c r="A569" s="22" t="s">
        <v>220</v>
      </c>
      <c r="B569" s="23" t="s">
        <v>170</v>
      </c>
      <c r="C569" s="10" t="str">
        <f aca="false">IF(G569="","未受領",IF(G569="なし","報告なし",IF(AH569="○","起票済",IF(OR(AG569="○",F569="一致",F569="入金不要"),"入金確認済","受領済"))))</f>
        <v>未受領</v>
      </c>
      <c r="D569" s="10" t="str">
        <f aca="false">IF(OR(G569="",G569="なし"),"―",IF(CH569="N","対象外",IF(AND(I569="",J569="",K569=""),"標報未入力",IF(CD569&gt;=設定!$B$4,"要確認","問題なし"))))</f>
        <v>―</v>
      </c>
      <c r="E569" s="24" t="str">
        <f aca="false">IF(OR(G569="",G569="なし",CE569="",CF569=0),"―",IF(CF569=CE569,"前月同額",IF(CE569=0,"―",IF(ABS(CF569/CE569-1)&gt;=設定!$B$5,"変動大 "&amp;TEXT(CF569/CE569-1,"+0%;-0%"),"〇"))))</f>
        <v>―</v>
      </c>
      <c r="F569" s="10" t="str">
        <f aca="false">IF(OR(G569="",G569="なし"),"―",IF(CF569=0,"入金不要",IF(COUNT(Z569,AB569,AD569,AF569)=0,IF(AG569="○","手動確認","未入金"),IF(AND(N(Z569)=Y569,IF(AA569="",TRUE(),N(AB569)=AA569),IF(AC569="",TRUE(),N(AD569)=AC569),IF(AE569="",TRUE(),N(AF569)=AE569)),"一致","不一致"))))</f>
        <v>―</v>
      </c>
      <c r="G569" s="25"/>
      <c r="H569" s="26"/>
      <c r="I569" s="27"/>
      <c r="J569" s="27"/>
      <c r="K569" s="27"/>
      <c r="L569" s="27"/>
      <c r="M569" s="27"/>
      <c r="N569" s="27"/>
      <c r="O569" s="27"/>
      <c r="P569" s="27"/>
      <c r="Q569" s="27"/>
      <c r="R569" s="27"/>
      <c r="S569" s="27"/>
      <c r="T569" s="27"/>
      <c r="U569" s="27"/>
      <c r="V569" s="27"/>
      <c r="W569" s="10" t="str">
        <f aca="false">IFERROR(INDEX(設定!$E$61:$E$106,MATCH(B569,設定!$B$61:$B$106,0)),"合算")</f>
        <v>合算</v>
      </c>
      <c r="X569" s="28"/>
      <c r="Y569" s="29" t="str">
        <f aca="false">IF(OR(G569="",G569="なし"),"",IF(W569="合算",CF569,IF(W569="掛金・負担金別",(AU569+AV569+AZ569+BB569+BD569),SUM(AU569:AY569))))</f>
        <v/>
      </c>
      <c r="Z569" s="27"/>
      <c r="AA569" s="29" t="str">
        <f aca="false">IF(OR(G569="",G569="なし"),"",IF(W569="掛金・負担金別",(AW569+AX569+AY569+BA569+BC569+BE569),IF(W569="経理区分別",AZ569+BA569,"")))</f>
        <v/>
      </c>
      <c r="AB569" s="27"/>
      <c r="AC569" s="29" t="str">
        <f aca="false">IF(OR(G569="",G569="なし"),"",IF(W569="経理区分別",BB569+BC569,""))</f>
        <v/>
      </c>
      <c r="AD569" s="27"/>
      <c r="AE569" s="29" t="str">
        <f aca="false">IF(OR(G569="",G569="なし"),"",IF(W569="経理区分別",BD569+BE569,""))</f>
        <v/>
      </c>
      <c r="AF569" s="27"/>
      <c r="AG569" s="26"/>
      <c r="AH569" s="26"/>
      <c r="AI569" s="30"/>
      <c r="AJ569" s="31" t="n">
        <v>48495</v>
      </c>
      <c r="AK569" s="31" t="n">
        <v>3975</v>
      </c>
      <c r="AL569" s="31" t="n">
        <v>70490</v>
      </c>
      <c r="AM569" s="31" t="n">
        <v>3975</v>
      </c>
      <c r="AN569" s="31" t="n">
        <v>49</v>
      </c>
      <c r="AO569" s="31" t="n">
        <v>29155</v>
      </c>
      <c r="AP569" s="31" t="n">
        <v>29669</v>
      </c>
      <c r="AQ569" s="31" t="n">
        <v>4187</v>
      </c>
      <c r="AR569" s="31" t="n">
        <v>4187</v>
      </c>
      <c r="AS569" s="31" t="n">
        <v>1</v>
      </c>
      <c r="AT569" s="31" t="n">
        <v>1</v>
      </c>
      <c r="AU569" s="31" t="n">
        <f aca="false">IF($G569="",AJ569,L569)</f>
        <v>48495</v>
      </c>
      <c r="AV569" s="31" t="n">
        <f aca="false">IF($G569="",AK569,M569)</f>
        <v>3975</v>
      </c>
      <c r="AW569" s="31" t="n">
        <f aca="false">IF($G569="",AL569,N569)</f>
        <v>70490</v>
      </c>
      <c r="AX569" s="31" t="n">
        <f aca="false">IF($G569="",AM569,O569)</f>
        <v>3975</v>
      </c>
      <c r="AY569" s="31" t="n">
        <f aca="false">IF($G569="",AN569,P569)</f>
        <v>49</v>
      </c>
      <c r="AZ569" s="31" t="n">
        <f aca="false">IF($G569="",AO569,Q569)</f>
        <v>29155</v>
      </c>
      <c r="BA569" s="31" t="n">
        <f aca="false">IF($G569="",AP569,R569)</f>
        <v>29669</v>
      </c>
      <c r="BB569" s="31" t="n">
        <f aca="false">IF($G569="",AQ569,S569)</f>
        <v>4187</v>
      </c>
      <c r="BC569" s="31" t="n">
        <f aca="false">IF($G569="",AR569,T569)</f>
        <v>4187</v>
      </c>
      <c r="BD569" s="31" t="n">
        <f aca="false">IF($G569="",AS569,U569)</f>
        <v>1</v>
      </c>
      <c r="BE569" s="31" t="n">
        <f aca="false">IF($G569="",AT569,V569)</f>
        <v>1</v>
      </c>
      <c r="BF569" s="31" t="n">
        <f aca="false">ROUNDDOWN(I569*設定!$B$10/1000,0)+ROUNDDOWN(I569*設定!$B$11/1000,0)</f>
        <v>0</v>
      </c>
      <c r="BG569" s="31" t="n">
        <f aca="false">ROUNDDOWN(I569*設定!$C$10/1000,0)+ROUNDDOWN(I569*設定!$C$11/1000,0)+ROUNDDOWN(I569*設定!$C$12/1000,0)</f>
        <v>0</v>
      </c>
      <c r="BH569" s="31" t="n">
        <f aca="false">ROUNDDOWN(J569*設定!$B$13/1000,0)</f>
        <v>0</v>
      </c>
      <c r="BI569" s="31" t="n">
        <f aca="false">ROUNDDOWN(J569*設定!$C$13/1000,0)</f>
        <v>0</v>
      </c>
      <c r="BJ569" s="31" t="n">
        <f aca="false">ROUNDDOWN(K569*設定!$B$14/1000,0)</f>
        <v>0</v>
      </c>
      <c r="BK569" s="31" t="n">
        <f aca="false">ROUNDDOWN(K569*設定!$C$14/1000,0)</f>
        <v>0</v>
      </c>
      <c r="BL569" s="31" t="n">
        <f aca="false">ROUNDDOWN(J569*設定!$B$15/1000,0)</f>
        <v>0</v>
      </c>
      <c r="BM569" s="31" t="n">
        <f aca="false">ROUNDDOWN(J569*設定!$C$15/1000,0)</f>
        <v>0</v>
      </c>
      <c r="BN569" s="31" t="n">
        <f aca="false">L569+M569</f>
        <v>0</v>
      </c>
      <c r="BO569" s="31" t="n">
        <f aca="false">N569+O569+P569</f>
        <v>0</v>
      </c>
      <c r="BP569" s="31" t="n">
        <f aca="false">Q569</f>
        <v>0</v>
      </c>
      <c r="BQ569" s="31" t="n">
        <f aca="false">R569</f>
        <v>0</v>
      </c>
      <c r="BR569" s="31" t="n">
        <f aca="false">S569</f>
        <v>0</v>
      </c>
      <c r="BS569" s="31" t="n">
        <f aca="false">T569</f>
        <v>0</v>
      </c>
      <c r="BT569" s="31" t="n">
        <f aca="false">U569</f>
        <v>0</v>
      </c>
      <c r="BU569" s="31" t="n">
        <f aca="false">V569</f>
        <v>0</v>
      </c>
      <c r="BV569" s="32" t="n">
        <f aca="false">IF(BF569=0,IF(BN569=0,0,1),(BN569-BF569)/BF569)</f>
        <v>0</v>
      </c>
      <c r="BW569" s="32" t="n">
        <f aca="false">IF(BG569=0,IF(BO569=0,0,1),(BO569-BG569)/BG569)</f>
        <v>0</v>
      </c>
      <c r="BX569" s="32" t="n">
        <f aca="false">IF(BH569=0,IF(BP569=0,0,1),(BP569-BH569)/BH569)</f>
        <v>0</v>
      </c>
      <c r="BY569" s="32" t="n">
        <f aca="false">IF(BI569=0,IF(BQ569=0,0,1),(BQ569-BI569)/BI569)</f>
        <v>0</v>
      </c>
      <c r="BZ569" s="32" t="n">
        <f aca="false">IF(BJ569=0,IF(BR569=0,0,1),(BR569-BJ569)/BJ569)</f>
        <v>0</v>
      </c>
      <c r="CA569" s="32" t="n">
        <f aca="false">IF(BK569=0,IF(BS569=0,0,1),(BS569-BK569)/BK569)</f>
        <v>0</v>
      </c>
      <c r="CB569" s="32" t="n">
        <f aca="false">IF(BL569=0,IF(BT569=0,0,1),(BT569-BL569)/BL569)</f>
        <v>0</v>
      </c>
      <c r="CC569" s="32" t="n">
        <f aca="false">IF(BM569=0,IF(BU569=0,0,1),(BU569-BM569)/BM569)</f>
        <v>0</v>
      </c>
      <c r="CD569" s="32" t="n">
        <f aca="false">MAX(MAX(BV569:CC569),-MIN(BV569:CC569))</f>
        <v>-0</v>
      </c>
      <c r="CE569" s="31" t="n">
        <f aca="false">IF(CI569="","",SUMIFS($CF$7:$CF$696,$A$7:$A$696,CI569,$B$7:$B$696,B569))</f>
        <v>194184</v>
      </c>
      <c r="CF569" s="31" t="n">
        <f aca="false">SUM(AU569:BE569)</f>
        <v>194184</v>
      </c>
      <c r="CG569" s="33" t="str">
        <f aca="false">A569&amp;"|"&amp;B569</f>
        <v>2027-02 月例|医療政策課(安芸市民)</v>
      </c>
      <c r="CH569" s="34" t="str">
        <f aca="false">IFERROR(INDEX(設定!$D$61:$D$106,MATCH(B569,設定!$B$61:$B$106,0)),"Y")</f>
        <v>Y</v>
      </c>
      <c r="CI569" s="34" t="str">
        <f aca="false">IFERROR(INDEX(設定!$D$20:$D$34,MATCH(A569,設定!$A$20:$A$34,0))&amp;"","")</f>
        <v>2027-01 月例</v>
      </c>
    </row>
    <row r="570" customFormat="false" ht="15" hidden="true" customHeight="false" outlineLevel="0" collapsed="false">
      <c r="A570" s="22" t="s">
        <v>220</v>
      </c>
      <c r="B570" s="23" t="s">
        <v>171</v>
      </c>
      <c r="C570" s="10" t="str">
        <f aca="false">IF(G570="","未受領",IF(G570="なし","報告なし",IF(AH570="○","起票済",IF(OR(AG570="○",F570="一致",F570="入金不要"),"入金確認済","受領済"))))</f>
        <v>未受領</v>
      </c>
      <c r="D570" s="10" t="str">
        <f aca="false">IF(OR(G570="",G570="なし"),"―",IF(CH570="N","対象外",IF(AND(I570="",J570="",K570=""),"標報未入力",IF(CD570&gt;=設定!$B$4,"要確認","問題なし"))))</f>
        <v>―</v>
      </c>
      <c r="E570" s="24" t="str">
        <f aca="false">IF(OR(G570="",G570="なし",CE570="",CF570=0),"―",IF(CF570=CE570,"前月同額",IF(CE570=0,"―",IF(ABS(CF570/CE570-1)&gt;=設定!$B$5,"変動大 "&amp;TEXT(CF570/CE570-1,"+0%;-0%"),"〇"))))</f>
        <v>―</v>
      </c>
      <c r="F570" s="10" t="str">
        <f aca="false">IF(OR(G570="",G570="なし"),"―",IF(CF570=0,"入金不要",IF(COUNT(Z570,AB570,AD570,AF570)=0,IF(AG570="○","手動確認","未入金"),IF(AND(N(Z570)=Y570,IF(AA570="",TRUE(),N(AB570)=AA570),IF(AC570="",TRUE(),N(AD570)=AC570),IF(AE570="",TRUE(),N(AF570)=AE570)),"一致","不一致"))))</f>
        <v>―</v>
      </c>
      <c r="G570" s="25"/>
      <c r="H570" s="26"/>
      <c r="I570" s="27"/>
      <c r="J570" s="27"/>
      <c r="K570" s="27"/>
      <c r="L570" s="27"/>
      <c r="M570" s="27"/>
      <c r="N570" s="27"/>
      <c r="O570" s="27"/>
      <c r="P570" s="27"/>
      <c r="Q570" s="27"/>
      <c r="R570" s="27"/>
      <c r="S570" s="27"/>
      <c r="T570" s="27"/>
      <c r="U570" s="27"/>
      <c r="V570" s="27"/>
      <c r="W570" s="10" t="str">
        <f aca="false">IFERROR(INDEX(設定!$E$61:$E$106,MATCH(B570,設定!$B$61:$B$106,0)),"合算")</f>
        <v>合算</v>
      </c>
      <c r="X570" s="28"/>
      <c r="Y570" s="29" t="str">
        <f aca="false">IF(OR(G570="",G570="なし"),"",IF(W570="合算",CF570,IF(W570="掛金・負担金別",(AU570+AV570+AZ570+BB570+BD570),SUM(AU570:AY570))))</f>
        <v/>
      </c>
      <c r="Z570" s="27"/>
      <c r="AA570" s="29" t="str">
        <f aca="false">IF(OR(G570="",G570="なし"),"",IF(W570="掛金・負担金別",(AW570+AX570+AY570+BA570+BC570+BE570),IF(W570="経理区分別",AZ570+BA570,"")))</f>
        <v/>
      </c>
      <c r="AB570" s="27"/>
      <c r="AC570" s="29" t="str">
        <f aca="false">IF(OR(G570="",G570="なし"),"",IF(W570="経理区分別",BB570+BC570,""))</f>
        <v/>
      </c>
      <c r="AD570" s="27"/>
      <c r="AE570" s="29" t="str">
        <f aca="false">IF(OR(G570="",G570="なし"),"",IF(W570="経理区分別",BD570+BE570,""))</f>
        <v/>
      </c>
      <c r="AF570" s="27"/>
      <c r="AG570" s="26"/>
      <c r="AH570" s="26"/>
      <c r="AI570" s="30"/>
      <c r="AJ570" s="31" t="n">
        <v>0</v>
      </c>
      <c r="AK570" s="31" t="n">
        <v>0</v>
      </c>
      <c r="AL570" s="31"/>
      <c r="AM570" s="31"/>
      <c r="AN570" s="31" t="n">
        <v>0</v>
      </c>
      <c r="AO570" s="31" t="n">
        <v>248959</v>
      </c>
      <c r="AP570" s="31" t="n">
        <v>253575</v>
      </c>
      <c r="AQ570" s="31" t="n">
        <v>7441</v>
      </c>
      <c r="AR570" s="31" t="n">
        <v>7441</v>
      </c>
      <c r="AS570" s="31" t="n">
        <v>1</v>
      </c>
      <c r="AT570" s="31" t="n">
        <v>1</v>
      </c>
      <c r="AU570" s="31" t="n">
        <f aca="false">IF($G570="",AJ570,L570)</f>
        <v>0</v>
      </c>
      <c r="AV570" s="31" t="n">
        <f aca="false">IF($G570="",AK570,M570)</f>
        <v>0</v>
      </c>
      <c r="AW570" s="31" t="n">
        <f aca="false">IF($G570="",AL570,N570)</f>
        <v>0</v>
      </c>
      <c r="AX570" s="31" t="n">
        <f aca="false">IF($G570="",AM570,O570)</f>
        <v>0</v>
      </c>
      <c r="AY570" s="31" t="n">
        <f aca="false">IF($G570="",AN570,P570)</f>
        <v>0</v>
      </c>
      <c r="AZ570" s="31" t="n">
        <f aca="false">IF($G570="",AO570,Q570)</f>
        <v>248959</v>
      </c>
      <c r="BA570" s="31" t="n">
        <f aca="false">IF($G570="",AP570,R570)</f>
        <v>253575</v>
      </c>
      <c r="BB570" s="31" t="n">
        <f aca="false">IF($G570="",AQ570,S570)</f>
        <v>7441</v>
      </c>
      <c r="BC570" s="31" t="n">
        <f aca="false">IF($G570="",AR570,T570)</f>
        <v>7441</v>
      </c>
      <c r="BD570" s="31" t="n">
        <f aca="false">IF($G570="",AS570,U570)</f>
        <v>1</v>
      </c>
      <c r="BE570" s="31" t="n">
        <f aca="false">IF($G570="",AT570,V570)</f>
        <v>1</v>
      </c>
      <c r="BF570" s="31" t="n">
        <f aca="false">ROUNDDOWN(I570*設定!$B$10/1000,0)+ROUNDDOWN(I570*設定!$B$11/1000,0)</f>
        <v>0</v>
      </c>
      <c r="BG570" s="31" t="n">
        <f aca="false">ROUNDDOWN(I570*設定!$C$10/1000,0)+ROUNDDOWN(I570*設定!$C$11/1000,0)+ROUNDDOWN(I570*設定!$C$12/1000,0)</f>
        <v>0</v>
      </c>
      <c r="BH570" s="31" t="n">
        <f aca="false">ROUNDDOWN(J570*設定!$B$13/1000,0)</f>
        <v>0</v>
      </c>
      <c r="BI570" s="31" t="n">
        <f aca="false">ROUNDDOWN(J570*設定!$C$13/1000,0)</f>
        <v>0</v>
      </c>
      <c r="BJ570" s="31" t="n">
        <f aca="false">ROUNDDOWN(K570*設定!$B$14/1000,0)</f>
        <v>0</v>
      </c>
      <c r="BK570" s="31" t="n">
        <f aca="false">ROUNDDOWN(K570*設定!$C$14/1000,0)</f>
        <v>0</v>
      </c>
      <c r="BL570" s="31" t="n">
        <f aca="false">ROUNDDOWN(J570*設定!$B$15/1000,0)</f>
        <v>0</v>
      </c>
      <c r="BM570" s="31" t="n">
        <f aca="false">ROUNDDOWN(J570*設定!$C$15/1000,0)</f>
        <v>0</v>
      </c>
      <c r="BN570" s="31" t="n">
        <f aca="false">L570+M570</f>
        <v>0</v>
      </c>
      <c r="BO570" s="31" t="n">
        <f aca="false">N570+O570+P570</f>
        <v>0</v>
      </c>
      <c r="BP570" s="31" t="n">
        <f aca="false">Q570</f>
        <v>0</v>
      </c>
      <c r="BQ570" s="31" t="n">
        <f aca="false">R570</f>
        <v>0</v>
      </c>
      <c r="BR570" s="31" t="n">
        <f aca="false">S570</f>
        <v>0</v>
      </c>
      <c r="BS570" s="31" t="n">
        <f aca="false">T570</f>
        <v>0</v>
      </c>
      <c r="BT570" s="31" t="n">
        <f aca="false">U570</f>
        <v>0</v>
      </c>
      <c r="BU570" s="31" t="n">
        <f aca="false">V570</f>
        <v>0</v>
      </c>
      <c r="BV570" s="32" t="n">
        <f aca="false">IF(BF570=0,IF(BN570=0,0,1),(BN570-BF570)/BF570)</f>
        <v>0</v>
      </c>
      <c r="BW570" s="32" t="n">
        <f aca="false">IF(BG570=0,IF(BO570=0,0,1),(BO570-BG570)/BG570)</f>
        <v>0</v>
      </c>
      <c r="BX570" s="32" t="n">
        <f aca="false">IF(BH570=0,IF(BP570=0,0,1),(BP570-BH570)/BH570)</f>
        <v>0</v>
      </c>
      <c r="BY570" s="32" t="n">
        <f aca="false">IF(BI570=0,IF(BQ570=0,0,1),(BQ570-BI570)/BI570)</f>
        <v>0</v>
      </c>
      <c r="BZ570" s="32" t="n">
        <f aca="false">IF(BJ570=0,IF(BR570=0,0,1),(BR570-BJ570)/BJ570)</f>
        <v>0</v>
      </c>
      <c r="CA570" s="32" t="n">
        <f aca="false">IF(BK570=0,IF(BS570=0,0,1),(BS570-BK570)/BK570)</f>
        <v>0</v>
      </c>
      <c r="CB570" s="32" t="n">
        <f aca="false">IF(BL570=0,IF(BT570=0,0,1),(BT570-BL570)/BL570)</f>
        <v>0</v>
      </c>
      <c r="CC570" s="32" t="n">
        <f aca="false">IF(BM570=0,IF(BU570=0,0,1),(BU570-BM570)/BM570)</f>
        <v>0</v>
      </c>
      <c r="CD570" s="32" t="n">
        <f aca="false">MAX(MAX(BV570:CC570),-MIN(BV570:CC570))</f>
        <v>-0</v>
      </c>
      <c r="CE570" s="31" t="n">
        <f aca="false">IF(CI570="","",SUMIFS($CF$7:$CF$696,$A$7:$A$696,CI570,$B$7:$B$696,B570))</f>
        <v>524823</v>
      </c>
      <c r="CF570" s="31" t="n">
        <f aca="false">SUM(AU570:BE570)</f>
        <v>517418</v>
      </c>
      <c r="CG570" s="33" t="str">
        <f aca="false">A570&amp;"|"&amp;B570</f>
        <v>2027-02 月例|教育委員会（教育給与課）</v>
      </c>
      <c r="CH570" s="34" t="str">
        <f aca="false">IFERROR(INDEX(設定!$D$61:$D$106,MATCH(B570,設定!$B$61:$B$106,0)),"Y")</f>
        <v>Y</v>
      </c>
      <c r="CI570" s="34" t="str">
        <f aca="false">IFERROR(INDEX(設定!$D$20:$D$34,MATCH(A570,設定!$A$20:$A$34,0))&amp;"","")</f>
        <v>2027-01 月例</v>
      </c>
    </row>
    <row r="571" customFormat="false" ht="15" hidden="true" customHeight="false" outlineLevel="0" collapsed="false">
      <c r="A571" s="22" t="s">
        <v>220</v>
      </c>
      <c r="B571" s="23" t="s">
        <v>172</v>
      </c>
      <c r="C571" s="10" t="str">
        <f aca="false">IF(G571="","未受領",IF(G571="なし","報告なし",IF(AH571="○","起票済",IF(OR(AG571="○",F571="一致",F571="入金不要"),"入金確認済","受領済"))))</f>
        <v>報告なし</v>
      </c>
      <c r="D571" s="10" t="str">
        <f aca="false">IF(OR(G571="",G571="なし"),"―",IF(CH571="N","対象外",IF(AND(I571="",J571="",K571=""),"標報未入力",IF(CD571&gt;=設定!$B$4,"要確認","問題なし"))))</f>
        <v>―</v>
      </c>
      <c r="E571" s="24" t="str">
        <f aca="false">IF(OR(G571="",G571="なし",CE571="",CF571=0),"―",IF(CF571=CE571,"前月同額",IF(CE571=0,"―",IF(ABS(CF571/CE571-1)&gt;=設定!$B$5,"変動大 "&amp;TEXT(CF571/CE571-1,"+0%;-0%"),"〇"))))</f>
        <v>―</v>
      </c>
      <c r="F571" s="10" t="str">
        <f aca="false">IF(OR(G571="",G571="なし"),"―",IF(CF571=0,"入金不要",IF(COUNT(Z571,AB571,AD571,AF571)=0,IF(AG571="○","手動確認","未入金"),IF(AND(N(Z571)=Y571,IF(AA571="",TRUE(),N(AB571)=AA571),IF(AC571="",TRUE(),N(AD571)=AC571),IF(AE571="",TRUE(),N(AF571)=AE571)),"一致","不一致"))))</f>
        <v>―</v>
      </c>
      <c r="G571" s="25" t="s">
        <v>173</v>
      </c>
      <c r="H571" s="26"/>
      <c r="I571" s="27"/>
      <c r="J571" s="27"/>
      <c r="K571" s="27"/>
      <c r="L571" s="27"/>
      <c r="M571" s="27"/>
      <c r="N571" s="27"/>
      <c r="O571" s="27"/>
      <c r="P571" s="27"/>
      <c r="Q571" s="27"/>
      <c r="R571" s="27"/>
      <c r="S571" s="27"/>
      <c r="T571" s="27"/>
      <c r="U571" s="27"/>
      <c r="V571" s="27"/>
      <c r="W571" s="10" t="str">
        <f aca="false">IFERROR(INDEX(設定!$E$61:$E$106,MATCH(B571,設定!$B$61:$B$106,0)),"合算")</f>
        <v>合算</v>
      </c>
      <c r="X571" s="28"/>
      <c r="Y571" s="29" t="str">
        <f aca="false">IF(OR(G571="",G571="なし"),"",IF(W571="合算",CF571,IF(W571="掛金・負担金別",(AU571+AV571+AZ571+BB571+BD571),SUM(AU571:AY571))))</f>
        <v/>
      </c>
      <c r="Z571" s="27"/>
      <c r="AA571" s="29" t="str">
        <f aca="false">IF(OR(G571="",G571="なし"),"",IF(W571="掛金・負担金別",(AW571+AX571+AY571+BA571+BC571+BE571),IF(W571="経理区分別",AZ571+BA571,"")))</f>
        <v/>
      </c>
      <c r="AB571" s="27"/>
      <c r="AC571" s="29" t="str">
        <f aca="false">IF(OR(G571="",G571="なし"),"",IF(W571="経理区分別",BB571+BC571,""))</f>
        <v/>
      </c>
      <c r="AD571" s="27"/>
      <c r="AE571" s="29" t="str">
        <f aca="false">IF(OR(G571="",G571="なし"),"",IF(W571="経理区分別",BD571+BE571,""))</f>
        <v/>
      </c>
      <c r="AF571" s="27"/>
      <c r="AG571" s="26"/>
      <c r="AH571" s="26"/>
      <c r="AI571" s="30"/>
      <c r="AJ571" s="31"/>
      <c r="AK571" s="31"/>
      <c r="AL571" s="31"/>
      <c r="AM571" s="31"/>
      <c r="AN571" s="31"/>
      <c r="AO571" s="31"/>
      <c r="AP571" s="31"/>
      <c r="AQ571" s="31"/>
      <c r="AR571" s="31"/>
      <c r="AS571" s="31"/>
      <c r="AT571" s="31"/>
      <c r="AU571" s="31" t="n">
        <f aca="false">IF($G571="",AJ571,L571)</f>
        <v>0</v>
      </c>
      <c r="AV571" s="31" t="n">
        <f aca="false">IF($G571="",AK571,M571)</f>
        <v>0</v>
      </c>
      <c r="AW571" s="31" t="n">
        <f aca="false">IF($G571="",AL571,N571)</f>
        <v>0</v>
      </c>
      <c r="AX571" s="31" t="n">
        <f aca="false">IF($G571="",AM571,O571)</f>
        <v>0</v>
      </c>
      <c r="AY571" s="31" t="n">
        <f aca="false">IF($G571="",AN571,P571)</f>
        <v>0</v>
      </c>
      <c r="AZ571" s="31" t="n">
        <f aca="false">IF($G571="",AO571,Q571)</f>
        <v>0</v>
      </c>
      <c r="BA571" s="31" t="n">
        <f aca="false">IF($G571="",AP571,R571)</f>
        <v>0</v>
      </c>
      <c r="BB571" s="31" t="n">
        <f aca="false">IF($G571="",AQ571,S571)</f>
        <v>0</v>
      </c>
      <c r="BC571" s="31" t="n">
        <f aca="false">IF($G571="",AR571,T571)</f>
        <v>0</v>
      </c>
      <c r="BD571" s="31" t="n">
        <f aca="false">IF($G571="",AS571,U571)</f>
        <v>0</v>
      </c>
      <c r="BE571" s="31" t="n">
        <f aca="false">IF($G571="",AT571,V571)</f>
        <v>0</v>
      </c>
      <c r="BF571" s="31" t="n">
        <f aca="false">ROUNDDOWN(I571*設定!$B$10/1000,0)+ROUNDDOWN(I571*設定!$B$11/1000,0)</f>
        <v>0</v>
      </c>
      <c r="BG571" s="31" t="n">
        <f aca="false">ROUNDDOWN(I571*設定!$C$10/1000,0)+ROUNDDOWN(I571*設定!$C$11/1000,0)+ROUNDDOWN(I571*設定!$C$12/1000,0)</f>
        <v>0</v>
      </c>
      <c r="BH571" s="31" t="n">
        <f aca="false">ROUNDDOWN(J571*設定!$B$13/1000,0)</f>
        <v>0</v>
      </c>
      <c r="BI571" s="31" t="n">
        <f aca="false">ROUNDDOWN(J571*設定!$C$13/1000,0)</f>
        <v>0</v>
      </c>
      <c r="BJ571" s="31" t="n">
        <f aca="false">ROUNDDOWN(K571*設定!$B$14/1000,0)</f>
        <v>0</v>
      </c>
      <c r="BK571" s="31" t="n">
        <f aca="false">ROUNDDOWN(K571*設定!$C$14/1000,0)</f>
        <v>0</v>
      </c>
      <c r="BL571" s="31" t="n">
        <f aca="false">ROUNDDOWN(J571*設定!$B$15/1000,0)</f>
        <v>0</v>
      </c>
      <c r="BM571" s="31" t="n">
        <f aca="false">ROUNDDOWN(J571*設定!$C$15/1000,0)</f>
        <v>0</v>
      </c>
      <c r="BN571" s="31" t="n">
        <f aca="false">L571+M571</f>
        <v>0</v>
      </c>
      <c r="BO571" s="31" t="n">
        <f aca="false">N571+O571+P571</f>
        <v>0</v>
      </c>
      <c r="BP571" s="31" t="n">
        <f aca="false">Q571</f>
        <v>0</v>
      </c>
      <c r="BQ571" s="31" t="n">
        <f aca="false">R571</f>
        <v>0</v>
      </c>
      <c r="BR571" s="31" t="n">
        <f aca="false">S571</f>
        <v>0</v>
      </c>
      <c r="BS571" s="31" t="n">
        <f aca="false">T571</f>
        <v>0</v>
      </c>
      <c r="BT571" s="31" t="n">
        <f aca="false">U571</f>
        <v>0</v>
      </c>
      <c r="BU571" s="31" t="n">
        <f aca="false">V571</f>
        <v>0</v>
      </c>
      <c r="BV571" s="32" t="n">
        <f aca="false">IF(BF571=0,IF(BN571=0,0,1),(BN571-BF571)/BF571)</f>
        <v>0</v>
      </c>
      <c r="BW571" s="32" t="n">
        <f aca="false">IF(BG571=0,IF(BO571=0,0,1),(BO571-BG571)/BG571)</f>
        <v>0</v>
      </c>
      <c r="BX571" s="32" t="n">
        <f aca="false">IF(BH571=0,IF(BP571=0,0,1),(BP571-BH571)/BH571)</f>
        <v>0</v>
      </c>
      <c r="BY571" s="32" t="n">
        <f aca="false">IF(BI571=0,IF(BQ571=0,0,1),(BQ571-BI571)/BI571)</f>
        <v>0</v>
      </c>
      <c r="BZ571" s="32" t="n">
        <f aca="false">IF(BJ571=0,IF(BR571=0,0,1),(BR571-BJ571)/BJ571)</f>
        <v>0</v>
      </c>
      <c r="CA571" s="32" t="n">
        <f aca="false">IF(BK571=0,IF(BS571=0,0,1),(BS571-BK571)/BK571)</f>
        <v>0</v>
      </c>
      <c r="CB571" s="32" t="n">
        <f aca="false">IF(BL571=0,IF(BT571=0,0,1),(BT571-BL571)/BL571)</f>
        <v>0</v>
      </c>
      <c r="CC571" s="32" t="n">
        <f aca="false">IF(BM571=0,IF(BU571=0,0,1),(BU571-BM571)/BM571)</f>
        <v>0</v>
      </c>
      <c r="CD571" s="32" t="n">
        <f aca="false">MAX(MAX(BV571:CC571),-MIN(BV571:CC571))</f>
        <v>-0</v>
      </c>
      <c r="CE571" s="31" t="n">
        <f aca="false">IF(CI571="","",SUMIFS($CF$7:$CF$696,$A$7:$A$696,CI571,$B$7:$B$696,B571))</f>
        <v>0</v>
      </c>
      <c r="CF571" s="31" t="n">
        <f aca="false">SUM(AU571:BE571)</f>
        <v>0</v>
      </c>
      <c r="CG571" s="33" t="str">
        <f aca="false">A571&amp;"|"&amp;B571</f>
        <v>2027-02 月例|地方税共同機構</v>
      </c>
      <c r="CH571" s="34" t="str">
        <f aca="false">IFERROR(INDEX(設定!$D$61:$D$106,MATCH(B571,設定!$B$61:$B$106,0)),"Y")</f>
        <v>Y</v>
      </c>
      <c r="CI571" s="34" t="str">
        <f aca="false">IFERROR(INDEX(設定!$D$20:$D$34,MATCH(A571,設定!$A$20:$A$34,0))&amp;"","")</f>
        <v>2027-01 月例</v>
      </c>
    </row>
    <row r="572" customFormat="false" ht="15" hidden="true" customHeight="false" outlineLevel="0" collapsed="false">
      <c r="A572" s="22" t="s">
        <v>220</v>
      </c>
      <c r="B572" s="23" t="s">
        <v>174</v>
      </c>
      <c r="C572" s="10" t="str">
        <f aca="false">IF(G572="","未受領",IF(G572="なし","報告なし",IF(AH572="○","起票済",IF(OR(AG572="○",F572="一致",F572="入金不要"),"入金確認済","受領済"))))</f>
        <v>未受領</v>
      </c>
      <c r="D572" s="10" t="str">
        <f aca="false">IF(OR(G572="",G572="なし"),"―",IF(CH572="N","対象外",IF(AND(I572="",J572="",K572=""),"標報未入力",IF(CD572&gt;=設定!$B$4,"要確認","問題なし"))))</f>
        <v>―</v>
      </c>
      <c r="E572" s="24" t="str">
        <f aca="false">IF(OR(G572="",G572="なし",CE572="",CF572=0),"―",IF(CF572=CE572,"前月同額",IF(CE572=0,"―",IF(ABS(CF572/CE572-1)&gt;=設定!$B$5,"変動大 "&amp;TEXT(CF572/CE572-1,"+0%;-0%"),"〇"))))</f>
        <v>―</v>
      </c>
      <c r="F572" s="10" t="str">
        <f aca="false">IF(OR(G572="",G572="なし"),"―",IF(CF572=0,"入金不要",IF(COUNT(Z572,AB572,AD572,AF572)=0,IF(AG572="○","手動確認","未入金"),IF(AND(N(Z572)=Y572,IF(AA572="",TRUE(),N(AB572)=AA572),IF(AC572="",TRUE(),N(AD572)=AC572),IF(AE572="",TRUE(),N(AF572)=AE572)),"一致","不一致"))))</f>
        <v>―</v>
      </c>
      <c r="G572" s="25"/>
      <c r="H572" s="26"/>
      <c r="I572" s="27"/>
      <c r="J572" s="27"/>
      <c r="K572" s="27"/>
      <c r="L572" s="27"/>
      <c r="M572" s="27"/>
      <c r="N572" s="27"/>
      <c r="O572" s="27"/>
      <c r="P572" s="27"/>
      <c r="Q572" s="27"/>
      <c r="R572" s="27"/>
      <c r="S572" s="27"/>
      <c r="T572" s="27"/>
      <c r="U572" s="27"/>
      <c r="V572" s="27"/>
      <c r="W572" s="10" t="str">
        <f aca="false">IFERROR(INDEX(設定!$E$61:$E$106,MATCH(B572,設定!$B$61:$B$106,0)),"合算")</f>
        <v>合算</v>
      </c>
      <c r="X572" s="28"/>
      <c r="Y572" s="29" t="str">
        <f aca="false">IF(OR(G572="",G572="なし"),"",IF(W572="合算",CF572,IF(W572="掛金・負担金別",(AU572+AV572+AZ572+BB572+BD572),SUM(AU572:AY572))))</f>
        <v/>
      </c>
      <c r="Z572" s="27"/>
      <c r="AA572" s="29" t="str">
        <f aca="false">IF(OR(G572="",G572="なし"),"",IF(W572="掛金・負担金別",(AW572+AX572+AY572+BA572+BC572+BE572),IF(W572="経理区分別",AZ572+BA572,"")))</f>
        <v/>
      </c>
      <c r="AB572" s="27"/>
      <c r="AC572" s="29" t="str">
        <f aca="false">IF(OR(G572="",G572="なし"),"",IF(W572="経理区分別",BB572+BC572,""))</f>
        <v/>
      </c>
      <c r="AD572" s="27"/>
      <c r="AE572" s="29" t="str">
        <f aca="false">IF(OR(G572="",G572="なし"),"",IF(W572="経理区分別",BD572+BE572,""))</f>
        <v/>
      </c>
      <c r="AF572" s="27"/>
      <c r="AG572" s="26"/>
      <c r="AH572" s="26"/>
      <c r="AI572" s="30"/>
      <c r="AJ572" s="31" t="n">
        <v>0</v>
      </c>
      <c r="AK572" s="31" t="n">
        <v>0</v>
      </c>
      <c r="AL572" s="31" t="n">
        <v>673440</v>
      </c>
      <c r="AM572" s="31" t="n">
        <v>55200</v>
      </c>
      <c r="AN572" s="31" t="n">
        <v>758</v>
      </c>
      <c r="AO572" s="31" t="n">
        <v>0</v>
      </c>
      <c r="AP572" s="31" t="n">
        <v>407262</v>
      </c>
      <c r="AQ572" s="31" t="n">
        <v>0</v>
      </c>
      <c r="AR572" s="31" t="n">
        <v>52377</v>
      </c>
      <c r="AS572" s="31" t="n">
        <v>0</v>
      </c>
      <c r="AT572" s="31" t="n">
        <v>1</v>
      </c>
      <c r="AU572" s="31" t="n">
        <f aca="false">IF($G572="",AJ572,L572)</f>
        <v>0</v>
      </c>
      <c r="AV572" s="31" t="n">
        <f aca="false">IF($G572="",AK572,M572)</f>
        <v>0</v>
      </c>
      <c r="AW572" s="31" t="n">
        <f aca="false">IF($G572="",AL572,N572)</f>
        <v>673440</v>
      </c>
      <c r="AX572" s="31" t="n">
        <f aca="false">IF($G572="",AM572,O572)</f>
        <v>55200</v>
      </c>
      <c r="AY572" s="31" t="n">
        <f aca="false">IF($G572="",AN572,P572)</f>
        <v>758</v>
      </c>
      <c r="AZ572" s="31" t="n">
        <f aca="false">IF($G572="",AO572,Q572)</f>
        <v>0</v>
      </c>
      <c r="BA572" s="31" t="n">
        <f aca="false">IF($G572="",AP572,R572)</f>
        <v>407262</v>
      </c>
      <c r="BB572" s="31" t="n">
        <f aca="false">IF($G572="",AQ572,S572)</f>
        <v>0</v>
      </c>
      <c r="BC572" s="31" t="n">
        <f aca="false">IF($G572="",AR572,T572)</f>
        <v>52377</v>
      </c>
      <c r="BD572" s="31" t="n">
        <f aca="false">IF($G572="",AS572,U572)</f>
        <v>0</v>
      </c>
      <c r="BE572" s="31" t="n">
        <f aca="false">IF($G572="",AT572,V572)</f>
        <v>1</v>
      </c>
      <c r="BF572" s="31" t="n">
        <f aca="false">ROUNDDOWN(I572*設定!$B$10/1000,0)+ROUNDDOWN(I572*設定!$B$11/1000,0)</f>
        <v>0</v>
      </c>
      <c r="BG572" s="31" t="n">
        <f aca="false">ROUNDDOWN(I572*設定!$C$10/1000,0)+ROUNDDOWN(I572*設定!$C$11/1000,0)+ROUNDDOWN(I572*設定!$C$12/1000,0)</f>
        <v>0</v>
      </c>
      <c r="BH572" s="31" t="n">
        <f aca="false">ROUNDDOWN(J572*設定!$B$13/1000,0)</f>
        <v>0</v>
      </c>
      <c r="BI572" s="31" t="n">
        <f aca="false">ROUNDDOWN(J572*設定!$C$13/1000,0)</f>
        <v>0</v>
      </c>
      <c r="BJ572" s="31" t="n">
        <f aca="false">ROUNDDOWN(K572*設定!$B$14/1000,0)</f>
        <v>0</v>
      </c>
      <c r="BK572" s="31" t="n">
        <f aca="false">ROUNDDOWN(K572*設定!$C$14/1000,0)</f>
        <v>0</v>
      </c>
      <c r="BL572" s="31" t="n">
        <f aca="false">ROUNDDOWN(J572*設定!$B$15/1000,0)</f>
        <v>0</v>
      </c>
      <c r="BM572" s="31" t="n">
        <f aca="false">ROUNDDOWN(J572*設定!$C$15/1000,0)</f>
        <v>0</v>
      </c>
      <c r="BN572" s="31" t="n">
        <f aca="false">L572+M572</f>
        <v>0</v>
      </c>
      <c r="BO572" s="31" t="n">
        <f aca="false">N572+O572+P572</f>
        <v>0</v>
      </c>
      <c r="BP572" s="31" t="n">
        <f aca="false">Q572</f>
        <v>0</v>
      </c>
      <c r="BQ572" s="31" t="n">
        <f aca="false">R572</f>
        <v>0</v>
      </c>
      <c r="BR572" s="31" t="n">
        <f aca="false">S572</f>
        <v>0</v>
      </c>
      <c r="BS572" s="31" t="n">
        <f aca="false">T572</f>
        <v>0</v>
      </c>
      <c r="BT572" s="31" t="n">
        <f aca="false">U572</f>
        <v>0</v>
      </c>
      <c r="BU572" s="31" t="n">
        <f aca="false">V572</f>
        <v>0</v>
      </c>
      <c r="BV572" s="32" t="n">
        <f aca="false">IF(BF572=0,IF(BN572=0,0,1),(BN572-BF572)/BF572)</f>
        <v>0</v>
      </c>
      <c r="BW572" s="32" t="n">
        <f aca="false">IF(BG572=0,IF(BO572=0,0,1),(BO572-BG572)/BG572)</f>
        <v>0</v>
      </c>
      <c r="BX572" s="32" t="n">
        <f aca="false">IF(BH572=0,IF(BP572=0,0,1),(BP572-BH572)/BH572)</f>
        <v>0</v>
      </c>
      <c r="BY572" s="32" t="n">
        <f aca="false">IF(BI572=0,IF(BQ572=0,0,1),(BQ572-BI572)/BI572)</f>
        <v>0</v>
      </c>
      <c r="BZ572" s="32" t="n">
        <f aca="false">IF(BJ572=0,IF(BR572=0,0,1),(BR572-BJ572)/BJ572)</f>
        <v>0</v>
      </c>
      <c r="CA572" s="32" t="n">
        <f aca="false">IF(BK572=0,IF(BS572=0,0,1),(BS572-BK572)/BK572)</f>
        <v>0</v>
      </c>
      <c r="CB572" s="32" t="n">
        <f aca="false">IF(BL572=0,IF(BT572=0,0,1),(BT572-BL572)/BL572)</f>
        <v>0</v>
      </c>
      <c r="CC572" s="32" t="n">
        <f aca="false">IF(BM572=0,IF(BU572=0,0,1),(BU572-BM572)/BM572)</f>
        <v>0</v>
      </c>
      <c r="CD572" s="32" t="n">
        <f aca="false">MAX(MAX(BV572:CC572),-MIN(BV572:CC572))</f>
        <v>-0</v>
      </c>
      <c r="CE572" s="31" t="n">
        <f aca="false">IF(CI572="","",SUMIFS($CF$7:$CF$696,$A$7:$A$696,CI572,$B$7:$B$696,B572))</f>
        <v>1130441</v>
      </c>
      <c r="CF572" s="31" t="n">
        <f aca="false">SUM(AU572:BE572)</f>
        <v>1189038</v>
      </c>
      <c r="CG572" s="33" t="str">
        <f aca="false">A572&amp;"|"&amp;B572</f>
        <v>2027-02 月例|平和文化センター</v>
      </c>
      <c r="CH572" s="34" t="str">
        <f aca="false">IFERROR(INDEX(設定!$D$61:$D$106,MATCH(B572,設定!$B$61:$B$106,0)),"Y")</f>
        <v>Y</v>
      </c>
      <c r="CI572" s="34" t="str">
        <f aca="false">IFERROR(INDEX(設定!$D$20:$D$34,MATCH(A572,設定!$A$20:$A$34,0))&amp;"","")</f>
        <v>2027-01 月例</v>
      </c>
    </row>
    <row r="573" customFormat="false" ht="15" hidden="true" customHeight="false" outlineLevel="0" collapsed="false">
      <c r="A573" s="22" t="s">
        <v>220</v>
      </c>
      <c r="B573" s="23" t="s">
        <v>175</v>
      </c>
      <c r="C573" s="10" t="str">
        <f aca="false">IF(G573="","未受領",IF(G573="なし","報告なし",IF(AH573="○","起票済",IF(OR(AG573="○",F573="一致",F573="入金不要"),"入金確認済","受領済"))))</f>
        <v>未受領</v>
      </c>
      <c r="D573" s="10" t="str">
        <f aca="false">IF(OR(G573="",G573="なし"),"―",IF(CH573="N","対象外",IF(AND(I573="",J573="",K573=""),"標報未入力",IF(CD573&gt;=設定!$B$4,"要確認","問題なし"))))</f>
        <v>―</v>
      </c>
      <c r="E573" s="24" t="str">
        <f aca="false">IF(OR(G573="",G573="なし",CE573="",CF573=0),"―",IF(CF573=CE573,"前月同額",IF(CE573=0,"―",IF(ABS(CF573/CE573-1)&gt;=設定!$B$5,"変動大 "&amp;TEXT(CF573/CE573-1,"+0%;-0%"),"〇"))))</f>
        <v>―</v>
      </c>
      <c r="F573" s="10" t="str">
        <f aca="false">IF(OR(G573="",G573="なし"),"―",IF(CF573=0,"入金不要",IF(COUNT(Z573,AB573,AD573,AF573)=0,IF(AG573="○","手動確認","未入金"),IF(AND(N(Z573)=Y573,IF(AA573="",TRUE(),N(AB573)=AA573),IF(AC573="",TRUE(),N(AD573)=AC573),IF(AE573="",TRUE(),N(AF573)=AE573)),"一致","不一致"))))</f>
        <v>―</v>
      </c>
      <c r="G573" s="25"/>
      <c r="H573" s="26"/>
      <c r="I573" s="27"/>
      <c r="J573" s="27"/>
      <c r="K573" s="27"/>
      <c r="L573" s="27"/>
      <c r="M573" s="27"/>
      <c r="N573" s="27"/>
      <c r="O573" s="27"/>
      <c r="P573" s="27"/>
      <c r="Q573" s="27"/>
      <c r="R573" s="27"/>
      <c r="S573" s="27"/>
      <c r="T573" s="27"/>
      <c r="U573" s="27"/>
      <c r="V573" s="27"/>
      <c r="W573" s="10" t="str">
        <f aca="false">IFERROR(INDEX(設定!$E$61:$E$106,MATCH(B573,設定!$B$61:$B$106,0)),"合算")</f>
        <v>合算</v>
      </c>
      <c r="X573" s="28"/>
      <c r="Y573" s="29" t="str">
        <f aca="false">IF(OR(G573="",G573="なし"),"",IF(W573="合算",CF573,IF(W573="掛金・負担金別",(AU573+AV573+AZ573+BB573+BD573),SUM(AU573:AY573))))</f>
        <v/>
      </c>
      <c r="Z573" s="27"/>
      <c r="AA573" s="29" t="str">
        <f aca="false">IF(OR(G573="",G573="なし"),"",IF(W573="掛金・負担金別",(AW573+AX573+AY573+BA573+BC573+BE573),IF(W573="経理区分別",AZ573+BA573,"")))</f>
        <v/>
      </c>
      <c r="AB573" s="27"/>
      <c r="AC573" s="29" t="str">
        <f aca="false">IF(OR(G573="",G573="なし"),"",IF(W573="経理区分別",BB573+BC573,""))</f>
        <v/>
      </c>
      <c r="AD573" s="27"/>
      <c r="AE573" s="29" t="str">
        <f aca="false">IF(OR(G573="",G573="なし"),"",IF(W573="経理区分別",BD573+BE573,""))</f>
        <v/>
      </c>
      <c r="AF573" s="27"/>
      <c r="AG573" s="26"/>
      <c r="AH573" s="26"/>
      <c r="AI573" s="30"/>
      <c r="AJ573" s="31"/>
      <c r="AK573" s="31"/>
      <c r="AL573" s="31" t="n">
        <v>1886730</v>
      </c>
      <c r="AM573" s="31" t="n">
        <v>154650</v>
      </c>
      <c r="AN573" s="31" t="n">
        <v>1988</v>
      </c>
      <c r="AO573" s="31"/>
      <c r="AP573" s="31" t="n">
        <v>1275306</v>
      </c>
      <c r="AQ573" s="31"/>
      <c r="AR573" s="31" t="n">
        <v>141252</v>
      </c>
      <c r="AS573" s="31"/>
      <c r="AT573" s="31" t="n">
        <v>1</v>
      </c>
      <c r="AU573" s="31" t="n">
        <f aca="false">IF($G573="",AJ573,L573)</f>
        <v>0</v>
      </c>
      <c r="AV573" s="31" t="n">
        <f aca="false">IF($G573="",AK573,M573)</f>
        <v>0</v>
      </c>
      <c r="AW573" s="31" t="n">
        <f aca="false">IF($G573="",AL573,N573)</f>
        <v>1886730</v>
      </c>
      <c r="AX573" s="31" t="n">
        <f aca="false">IF($G573="",AM573,O573)</f>
        <v>154650</v>
      </c>
      <c r="AY573" s="31" t="n">
        <f aca="false">IF($G573="",AN573,P573)</f>
        <v>1988</v>
      </c>
      <c r="AZ573" s="31" t="n">
        <f aca="false">IF($G573="",AO573,Q573)</f>
        <v>0</v>
      </c>
      <c r="BA573" s="31" t="n">
        <f aca="false">IF($G573="",AP573,R573)</f>
        <v>1275306</v>
      </c>
      <c r="BB573" s="31" t="n">
        <f aca="false">IF($G573="",AQ573,S573)</f>
        <v>0</v>
      </c>
      <c r="BC573" s="31" t="n">
        <f aca="false">IF($G573="",AR573,T573)</f>
        <v>141252</v>
      </c>
      <c r="BD573" s="31" t="n">
        <f aca="false">IF($G573="",AS573,U573)</f>
        <v>0</v>
      </c>
      <c r="BE573" s="31" t="n">
        <f aca="false">IF($G573="",AT573,V573)</f>
        <v>1</v>
      </c>
      <c r="BF573" s="31" t="n">
        <f aca="false">ROUNDDOWN(I573*設定!$B$10/1000,0)+ROUNDDOWN(I573*設定!$B$11/1000,0)</f>
        <v>0</v>
      </c>
      <c r="BG573" s="31" t="n">
        <f aca="false">ROUNDDOWN(I573*設定!$C$10/1000,0)+ROUNDDOWN(I573*設定!$C$11/1000,0)+ROUNDDOWN(I573*設定!$C$12/1000,0)</f>
        <v>0</v>
      </c>
      <c r="BH573" s="31" t="n">
        <f aca="false">ROUNDDOWN(J573*設定!$B$13/1000,0)</f>
        <v>0</v>
      </c>
      <c r="BI573" s="31" t="n">
        <f aca="false">ROUNDDOWN(J573*設定!$C$13/1000,0)</f>
        <v>0</v>
      </c>
      <c r="BJ573" s="31" t="n">
        <f aca="false">ROUNDDOWN(K573*設定!$B$14/1000,0)</f>
        <v>0</v>
      </c>
      <c r="BK573" s="31" t="n">
        <f aca="false">ROUNDDOWN(K573*設定!$C$14/1000,0)</f>
        <v>0</v>
      </c>
      <c r="BL573" s="31" t="n">
        <f aca="false">ROUNDDOWN(J573*設定!$B$15/1000,0)</f>
        <v>0</v>
      </c>
      <c r="BM573" s="31" t="n">
        <f aca="false">ROUNDDOWN(J573*設定!$C$15/1000,0)</f>
        <v>0</v>
      </c>
      <c r="BN573" s="31" t="n">
        <f aca="false">L573+M573</f>
        <v>0</v>
      </c>
      <c r="BO573" s="31" t="n">
        <f aca="false">N573+O573+P573</f>
        <v>0</v>
      </c>
      <c r="BP573" s="31" t="n">
        <f aca="false">Q573</f>
        <v>0</v>
      </c>
      <c r="BQ573" s="31" t="n">
        <f aca="false">R573</f>
        <v>0</v>
      </c>
      <c r="BR573" s="31" t="n">
        <f aca="false">S573</f>
        <v>0</v>
      </c>
      <c r="BS573" s="31" t="n">
        <f aca="false">T573</f>
        <v>0</v>
      </c>
      <c r="BT573" s="31" t="n">
        <f aca="false">U573</f>
        <v>0</v>
      </c>
      <c r="BU573" s="31" t="n">
        <f aca="false">V573</f>
        <v>0</v>
      </c>
      <c r="BV573" s="32" t="n">
        <f aca="false">IF(BF573=0,IF(BN573=0,0,1),(BN573-BF573)/BF573)</f>
        <v>0</v>
      </c>
      <c r="BW573" s="32" t="n">
        <f aca="false">IF(BG573=0,IF(BO573=0,0,1),(BO573-BG573)/BG573)</f>
        <v>0</v>
      </c>
      <c r="BX573" s="32" t="n">
        <f aca="false">IF(BH573=0,IF(BP573=0,0,1),(BP573-BH573)/BH573)</f>
        <v>0</v>
      </c>
      <c r="BY573" s="32" t="n">
        <f aca="false">IF(BI573=0,IF(BQ573=0,0,1),(BQ573-BI573)/BI573)</f>
        <v>0</v>
      </c>
      <c r="BZ573" s="32" t="n">
        <f aca="false">IF(BJ573=0,IF(BR573=0,0,1),(BR573-BJ573)/BJ573)</f>
        <v>0</v>
      </c>
      <c r="CA573" s="32" t="n">
        <f aca="false">IF(BK573=0,IF(BS573=0,0,1),(BS573-BK573)/BK573)</f>
        <v>0</v>
      </c>
      <c r="CB573" s="32" t="n">
        <f aca="false">IF(BL573=0,IF(BT573=0,0,1),(BT573-BL573)/BL573)</f>
        <v>0</v>
      </c>
      <c r="CC573" s="32" t="n">
        <f aca="false">IF(BM573=0,IF(BU573=0,0,1),(BU573-BM573)/BM573)</f>
        <v>0</v>
      </c>
      <c r="CD573" s="32" t="n">
        <f aca="false">MAX(MAX(BV573:CC573),-MIN(BV573:CC573))</f>
        <v>-0</v>
      </c>
      <c r="CE573" s="31" t="n">
        <f aca="false">IF(CI573="","",SUMIFS($CF$7:$CF$696,$A$7:$A$696,CI573,$B$7:$B$696,B573))</f>
        <v>3459927</v>
      </c>
      <c r="CF573" s="31" t="n">
        <f aca="false">SUM(AU573:BE573)</f>
        <v>3459927</v>
      </c>
      <c r="CG573" s="33" t="str">
        <f aca="false">A573&amp;"|"&amp;B573</f>
        <v>2027-02 月例|社会福祉事業団</v>
      </c>
      <c r="CH573" s="34" t="str">
        <f aca="false">IFERROR(INDEX(設定!$D$61:$D$106,MATCH(B573,設定!$B$61:$B$106,0)),"Y")</f>
        <v>Y</v>
      </c>
      <c r="CI573" s="34" t="str">
        <f aca="false">IFERROR(INDEX(設定!$D$20:$D$34,MATCH(A573,設定!$A$20:$A$34,0))&amp;"","")</f>
        <v>2027-01 月例</v>
      </c>
    </row>
    <row r="574" customFormat="false" ht="15" hidden="true" customHeight="false" outlineLevel="0" collapsed="false">
      <c r="A574" s="22" t="s">
        <v>220</v>
      </c>
      <c r="B574" s="23" t="s">
        <v>176</v>
      </c>
      <c r="C574" s="10" t="str">
        <f aca="false">IF(G574="","未受領",IF(G574="なし","報告なし",IF(AH574="○","起票済",IF(OR(AG574="○",F574="一致",F574="入金不要"),"入金確認済","受領済"))))</f>
        <v>未受領</v>
      </c>
      <c r="D574" s="10" t="str">
        <f aca="false">IF(OR(G574="",G574="なし"),"―",IF(CH574="N","対象外",IF(AND(I574="",J574="",K574=""),"標報未入力",IF(CD574&gt;=設定!$B$4,"要確認","問題なし"))))</f>
        <v>―</v>
      </c>
      <c r="E574" s="24" t="str">
        <f aca="false">IF(OR(G574="",G574="なし",CE574="",CF574=0),"―",IF(CF574=CE574,"前月同額",IF(CE574=0,"―",IF(ABS(CF574/CE574-1)&gt;=設定!$B$5,"変動大 "&amp;TEXT(CF574/CE574-1,"+0%;-0%"),"〇"))))</f>
        <v>―</v>
      </c>
      <c r="F574" s="10" t="str">
        <f aca="false">IF(OR(G574="",G574="なし"),"―",IF(CF574=0,"入金不要",IF(COUNT(Z574,AB574,AD574,AF574)=0,IF(AG574="○","手動確認","未入金"),IF(AND(N(Z574)=Y574,IF(AA574="",TRUE(),N(AB574)=AA574),IF(AC574="",TRUE(),N(AD574)=AC574),IF(AE574="",TRUE(),N(AF574)=AE574)),"一致","不一致"))))</f>
        <v>―</v>
      </c>
      <c r="G574" s="25"/>
      <c r="H574" s="26"/>
      <c r="I574" s="27"/>
      <c r="J574" s="27"/>
      <c r="K574" s="27"/>
      <c r="L574" s="27"/>
      <c r="M574" s="27"/>
      <c r="N574" s="27"/>
      <c r="O574" s="27"/>
      <c r="P574" s="27"/>
      <c r="Q574" s="27"/>
      <c r="R574" s="27"/>
      <c r="S574" s="27"/>
      <c r="T574" s="27"/>
      <c r="U574" s="27"/>
      <c r="V574" s="27"/>
      <c r="W574" s="10" t="str">
        <f aca="false">IFERROR(INDEX(設定!$E$61:$E$106,MATCH(B574,設定!$B$61:$B$106,0)),"合算")</f>
        <v>合算</v>
      </c>
      <c r="X574" s="28"/>
      <c r="Y574" s="29" t="str">
        <f aca="false">IF(OR(G574="",G574="なし"),"",IF(W574="合算",CF574,IF(W574="掛金・負担金別",(AU574+AV574+AZ574+BB574+BD574),SUM(AU574:AY574))))</f>
        <v/>
      </c>
      <c r="Z574" s="27"/>
      <c r="AA574" s="29" t="str">
        <f aca="false">IF(OR(G574="",G574="なし"),"",IF(W574="掛金・負担金別",(AW574+AX574+AY574+BA574+BC574+BE574),IF(W574="経理区分別",AZ574+BA574,"")))</f>
        <v/>
      </c>
      <c r="AB574" s="27"/>
      <c r="AC574" s="29" t="str">
        <f aca="false">IF(OR(G574="",G574="なし"),"",IF(W574="経理区分別",BB574+BC574,""))</f>
        <v/>
      </c>
      <c r="AD574" s="27"/>
      <c r="AE574" s="29" t="str">
        <f aca="false">IF(OR(G574="",G574="なし"),"",IF(W574="経理区分別",BD574+BE574,""))</f>
        <v/>
      </c>
      <c r="AF574" s="27"/>
      <c r="AG574" s="26"/>
      <c r="AH574" s="26"/>
      <c r="AI574" s="30"/>
      <c r="AJ574" s="31"/>
      <c r="AK574" s="31"/>
      <c r="AL574" s="31" t="n">
        <v>48495</v>
      </c>
      <c r="AM574" s="31" t="n">
        <v>3975</v>
      </c>
      <c r="AN574" s="31" t="n">
        <v>49</v>
      </c>
      <c r="AO574" s="31"/>
      <c r="AP574" s="31" t="n">
        <v>29208</v>
      </c>
      <c r="AQ574" s="31"/>
      <c r="AR574" s="31" t="n">
        <v>4187</v>
      </c>
      <c r="AS574" s="31"/>
      <c r="AT574" s="31" t="n">
        <v>1</v>
      </c>
      <c r="AU574" s="31" t="n">
        <f aca="false">IF($G574="",AJ574,L574)</f>
        <v>0</v>
      </c>
      <c r="AV574" s="31" t="n">
        <f aca="false">IF($G574="",AK574,M574)</f>
        <v>0</v>
      </c>
      <c r="AW574" s="31" t="n">
        <f aca="false">IF($G574="",AL574,N574)</f>
        <v>48495</v>
      </c>
      <c r="AX574" s="31" t="n">
        <f aca="false">IF($G574="",AM574,O574)</f>
        <v>3975</v>
      </c>
      <c r="AY574" s="31" t="n">
        <f aca="false">IF($G574="",AN574,P574)</f>
        <v>49</v>
      </c>
      <c r="AZ574" s="31" t="n">
        <f aca="false">IF($G574="",AO574,Q574)</f>
        <v>0</v>
      </c>
      <c r="BA574" s="31" t="n">
        <f aca="false">IF($G574="",AP574,R574)</f>
        <v>29208</v>
      </c>
      <c r="BB574" s="31" t="n">
        <f aca="false">IF($G574="",AQ574,S574)</f>
        <v>0</v>
      </c>
      <c r="BC574" s="31" t="n">
        <f aca="false">IF($G574="",AR574,T574)</f>
        <v>4187</v>
      </c>
      <c r="BD574" s="31" t="n">
        <f aca="false">IF($G574="",AS574,U574)</f>
        <v>0</v>
      </c>
      <c r="BE574" s="31" t="n">
        <f aca="false">IF($G574="",AT574,V574)</f>
        <v>1</v>
      </c>
      <c r="BF574" s="31" t="n">
        <f aca="false">ROUNDDOWN(I574*設定!$B$10/1000,0)+ROUNDDOWN(I574*設定!$B$11/1000,0)</f>
        <v>0</v>
      </c>
      <c r="BG574" s="31" t="n">
        <f aca="false">ROUNDDOWN(I574*設定!$C$10/1000,0)+ROUNDDOWN(I574*設定!$C$11/1000,0)+ROUNDDOWN(I574*設定!$C$12/1000,0)</f>
        <v>0</v>
      </c>
      <c r="BH574" s="31" t="n">
        <f aca="false">ROUNDDOWN(J574*設定!$B$13/1000,0)</f>
        <v>0</v>
      </c>
      <c r="BI574" s="31" t="n">
        <f aca="false">ROUNDDOWN(J574*設定!$C$13/1000,0)</f>
        <v>0</v>
      </c>
      <c r="BJ574" s="31" t="n">
        <f aca="false">ROUNDDOWN(K574*設定!$B$14/1000,0)</f>
        <v>0</v>
      </c>
      <c r="BK574" s="31" t="n">
        <f aca="false">ROUNDDOWN(K574*設定!$C$14/1000,0)</f>
        <v>0</v>
      </c>
      <c r="BL574" s="31" t="n">
        <f aca="false">ROUNDDOWN(J574*設定!$B$15/1000,0)</f>
        <v>0</v>
      </c>
      <c r="BM574" s="31" t="n">
        <f aca="false">ROUNDDOWN(J574*設定!$C$15/1000,0)</f>
        <v>0</v>
      </c>
      <c r="BN574" s="31" t="n">
        <f aca="false">L574+M574</f>
        <v>0</v>
      </c>
      <c r="BO574" s="31" t="n">
        <f aca="false">N574+O574+P574</f>
        <v>0</v>
      </c>
      <c r="BP574" s="31" t="n">
        <f aca="false">Q574</f>
        <v>0</v>
      </c>
      <c r="BQ574" s="31" t="n">
        <f aca="false">R574</f>
        <v>0</v>
      </c>
      <c r="BR574" s="31" t="n">
        <f aca="false">S574</f>
        <v>0</v>
      </c>
      <c r="BS574" s="31" t="n">
        <f aca="false">T574</f>
        <v>0</v>
      </c>
      <c r="BT574" s="31" t="n">
        <f aca="false">U574</f>
        <v>0</v>
      </c>
      <c r="BU574" s="31" t="n">
        <f aca="false">V574</f>
        <v>0</v>
      </c>
      <c r="BV574" s="32" t="n">
        <f aca="false">IF(BF574=0,IF(BN574=0,0,1),(BN574-BF574)/BF574)</f>
        <v>0</v>
      </c>
      <c r="BW574" s="32" t="n">
        <f aca="false">IF(BG574=0,IF(BO574=0,0,1),(BO574-BG574)/BG574)</f>
        <v>0</v>
      </c>
      <c r="BX574" s="32" t="n">
        <f aca="false">IF(BH574=0,IF(BP574=0,0,1),(BP574-BH574)/BH574)</f>
        <v>0</v>
      </c>
      <c r="BY574" s="32" t="n">
        <f aca="false">IF(BI574=0,IF(BQ574=0,0,1),(BQ574-BI574)/BI574)</f>
        <v>0</v>
      </c>
      <c r="BZ574" s="32" t="n">
        <f aca="false">IF(BJ574=0,IF(BR574=0,0,1),(BR574-BJ574)/BJ574)</f>
        <v>0</v>
      </c>
      <c r="CA574" s="32" t="n">
        <f aca="false">IF(BK574=0,IF(BS574=0,0,1),(BS574-BK574)/BK574)</f>
        <v>0</v>
      </c>
      <c r="CB574" s="32" t="n">
        <f aca="false">IF(BL574=0,IF(BT574=0,0,1),(BT574-BL574)/BL574)</f>
        <v>0</v>
      </c>
      <c r="CC574" s="32" t="n">
        <f aca="false">IF(BM574=0,IF(BU574=0,0,1),(BU574-BM574)/BM574)</f>
        <v>0</v>
      </c>
      <c r="CD574" s="32" t="n">
        <f aca="false">MAX(MAX(BV574:CC574),-MIN(BV574:CC574))</f>
        <v>-0</v>
      </c>
      <c r="CE574" s="31" t="n">
        <f aca="false">IF(CI574="","",SUMIFS($CF$7:$CF$696,$A$7:$A$696,CI574,$B$7:$B$696,B574))</f>
        <v>85915</v>
      </c>
      <c r="CF574" s="31" t="n">
        <f aca="false">SUM(AU574:BE574)</f>
        <v>85915</v>
      </c>
      <c r="CG574" s="33" t="str">
        <f aca="false">A574&amp;"|"&amp;B574</f>
        <v>2027-02 月例|原爆障害対策協議会</v>
      </c>
      <c r="CH574" s="34" t="str">
        <f aca="false">IFERROR(INDEX(設定!$D$61:$D$106,MATCH(B574,設定!$B$61:$B$106,0)),"Y")</f>
        <v>Y</v>
      </c>
      <c r="CI574" s="34" t="str">
        <f aca="false">IFERROR(INDEX(設定!$D$20:$D$34,MATCH(A574,設定!$A$20:$A$34,0))&amp;"","")</f>
        <v>2027-01 月例</v>
      </c>
    </row>
    <row r="575" customFormat="false" ht="15" hidden="true" customHeight="false" outlineLevel="0" collapsed="false">
      <c r="A575" s="22" t="s">
        <v>220</v>
      </c>
      <c r="B575" s="23" t="s">
        <v>177</v>
      </c>
      <c r="C575" s="10" t="str">
        <f aca="false">IF(G575="","未受領",IF(G575="なし","報告なし",IF(AH575="○","起票済",IF(OR(AG575="○",F575="一致",F575="入金不要"),"入金確認済","受領済"))))</f>
        <v>未受領</v>
      </c>
      <c r="D575" s="10" t="str">
        <f aca="false">IF(OR(G575="",G575="なし"),"―",IF(CH575="N","対象外",IF(AND(I575="",J575="",K575=""),"標報未入力",IF(CD575&gt;=設定!$B$4,"要確認","問題なし"))))</f>
        <v>―</v>
      </c>
      <c r="E575" s="24" t="str">
        <f aca="false">IF(OR(G575="",G575="なし",CE575="",CF575=0),"―",IF(CF575=CE575,"前月同額",IF(CE575=0,"―",IF(ABS(CF575/CE575-1)&gt;=設定!$B$5,"変動大 "&amp;TEXT(CF575/CE575-1,"+0%;-0%"),"〇"))))</f>
        <v>―</v>
      </c>
      <c r="F575" s="10" t="str">
        <f aca="false">IF(OR(G575="",G575="なし"),"―",IF(CF575=0,"入金不要",IF(COUNT(Z575,AB575,AD575,AF575)=0,IF(AG575="○","手動確認","未入金"),IF(AND(N(Z575)=Y575,IF(AA575="",TRUE(),N(AB575)=AA575),IF(AC575="",TRUE(),N(AD575)=AC575),IF(AE575="",TRUE(),N(AF575)=AE575)),"一致","不一致"))))</f>
        <v>―</v>
      </c>
      <c r="G575" s="25"/>
      <c r="H575" s="26"/>
      <c r="I575" s="27"/>
      <c r="J575" s="27"/>
      <c r="K575" s="27"/>
      <c r="L575" s="27"/>
      <c r="M575" s="27"/>
      <c r="N575" s="27"/>
      <c r="O575" s="27"/>
      <c r="P575" s="27"/>
      <c r="Q575" s="27"/>
      <c r="R575" s="27"/>
      <c r="S575" s="27"/>
      <c r="T575" s="27"/>
      <c r="U575" s="27"/>
      <c r="V575" s="27"/>
      <c r="W575" s="10" t="str">
        <f aca="false">IFERROR(INDEX(設定!$E$61:$E$106,MATCH(B575,設定!$B$61:$B$106,0)),"合算")</f>
        <v>合算</v>
      </c>
      <c r="X575" s="28"/>
      <c r="Y575" s="29" t="str">
        <f aca="false">IF(OR(G575="",G575="なし"),"",IF(W575="合算",CF575,IF(W575="掛金・負担金別",(AU575+AV575+AZ575+BB575+BD575),SUM(AU575:AY575))))</f>
        <v/>
      </c>
      <c r="Z575" s="27"/>
      <c r="AA575" s="29" t="str">
        <f aca="false">IF(OR(G575="",G575="なし"),"",IF(W575="掛金・負担金別",(AW575+AX575+AY575+BA575+BC575+BE575),IF(W575="経理区分別",AZ575+BA575,"")))</f>
        <v/>
      </c>
      <c r="AB575" s="27"/>
      <c r="AC575" s="29" t="str">
        <f aca="false">IF(OR(G575="",G575="なし"),"",IF(W575="経理区分別",BB575+BC575,""))</f>
        <v/>
      </c>
      <c r="AD575" s="27"/>
      <c r="AE575" s="29" t="str">
        <f aca="false">IF(OR(G575="",G575="なし"),"",IF(W575="経理区分別",BD575+BE575,""))</f>
        <v/>
      </c>
      <c r="AF575" s="27"/>
      <c r="AG575" s="26"/>
      <c r="AH575" s="26"/>
      <c r="AI575" s="30"/>
      <c r="AJ575" s="31"/>
      <c r="AK575" s="31"/>
      <c r="AL575" s="31" t="n">
        <v>425475</v>
      </c>
      <c r="AM575" s="31" t="n">
        <v>34875</v>
      </c>
      <c r="AN575" s="31" t="n">
        <v>435</v>
      </c>
      <c r="AO575" s="31"/>
      <c r="AP575" s="31" t="n">
        <v>256260</v>
      </c>
      <c r="AQ575" s="31"/>
      <c r="AR575" s="31" t="n">
        <v>34207</v>
      </c>
      <c r="AS575" s="31"/>
      <c r="AT575" s="31" t="n">
        <v>1</v>
      </c>
      <c r="AU575" s="31" t="n">
        <f aca="false">IF($G575="",AJ575,L575)</f>
        <v>0</v>
      </c>
      <c r="AV575" s="31" t="n">
        <f aca="false">IF($G575="",AK575,M575)</f>
        <v>0</v>
      </c>
      <c r="AW575" s="31" t="n">
        <f aca="false">IF($G575="",AL575,N575)</f>
        <v>425475</v>
      </c>
      <c r="AX575" s="31" t="n">
        <f aca="false">IF($G575="",AM575,O575)</f>
        <v>34875</v>
      </c>
      <c r="AY575" s="31" t="n">
        <f aca="false">IF($G575="",AN575,P575)</f>
        <v>435</v>
      </c>
      <c r="AZ575" s="31" t="n">
        <f aca="false">IF($G575="",AO575,Q575)</f>
        <v>0</v>
      </c>
      <c r="BA575" s="31" t="n">
        <f aca="false">IF($G575="",AP575,R575)</f>
        <v>256260</v>
      </c>
      <c r="BB575" s="31" t="n">
        <f aca="false">IF($G575="",AQ575,S575)</f>
        <v>0</v>
      </c>
      <c r="BC575" s="31" t="n">
        <f aca="false">IF($G575="",AR575,T575)</f>
        <v>34207</v>
      </c>
      <c r="BD575" s="31" t="n">
        <f aca="false">IF($G575="",AS575,U575)</f>
        <v>0</v>
      </c>
      <c r="BE575" s="31" t="n">
        <f aca="false">IF($G575="",AT575,V575)</f>
        <v>1</v>
      </c>
      <c r="BF575" s="31" t="n">
        <f aca="false">ROUNDDOWN(I575*設定!$B$10/1000,0)+ROUNDDOWN(I575*設定!$B$11/1000,0)</f>
        <v>0</v>
      </c>
      <c r="BG575" s="31" t="n">
        <f aca="false">ROUNDDOWN(I575*設定!$C$10/1000,0)+ROUNDDOWN(I575*設定!$C$11/1000,0)+ROUNDDOWN(I575*設定!$C$12/1000,0)</f>
        <v>0</v>
      </c>
      <c r="BH575" s="31" t="n">
        <f aca="false">ROUNDDOWN(J575*設定!$B$13/1000,0)</f>
        <v>0</v>
      </c>
      <c r="BI575" s="31" t="n">
        <f aca="false">ROUNDDOWN(J575*設定!$C$13/1000,0)</f>
        <v>0</v>
      </c>
      <c r="BJ575" s="31" t="n">
        <f aca="false">ROUNDDOWN(K575*設定!$B$14/1000,0)</f>
        <v>0</v>
      </c>
      <c r="BK575" s="31" t="n">
        <f aca="false">ROUNDDOWN(K575*設定!$C$14/1000,0)</f>
        <v>0</v>
      </c>
      <c r="BL575" s="31" t="n">
        <f aca="false">ROUNDDOWN(J575*設定!$B$15/1000,0)</f>
        <v>0</v>
      </c>
      <c r="BM575" s="31" t="n">
        <f aca="false">ROUNDDOWN(J575*設定!$C$15/1000,0)</f>
        <v>0</v>
      </c>
      <c r="BN575" s="31" t="n">
        <f aca="false">L575+M575</f>
        <v>0</v>
      </c>
      <c r="BO575" s="31" t="n">
        <f aca="false">N575+O575+P575</f>
        <v>0</v>
      </c>
      <c r="BP575" s="31" t="n">
        <f aca="false">Q575</f>
        <v>0</v>
      </c>
      <c r="BQ575" s="31" t="n">
        <f aca="false">R575</f>
        <v>0</v>
      </c>
      <c r="BR575" s="31" t="n">
        <f aca="false">S575</f>
        <v>0</v>
      </c>
      <c r="BS575" s="31" t="n">
        <f aca="false">T575</f>
        <v>0</v>
      </c>
      <c r="BT575" s="31" t="n">
        <f aca="false">U575</f>
        <v>0</v>
      </c>
      <c r="BU575" s="31" t="n">
        <f aca="false">V575</f>
        <v>0</v>
      </c>
      <c r="BV575" s="32" t="n">
        <f aca="false">IF(BF575=0,IF(BN575=0,0,1),(BN575-BF575)/BF575)</f>
        <v>0</v>
      </c>
      <c r="BW575" s="32" t="n">
        <f aca="false">IF(BG575=0,IF(BO575=0,0,1),(BO575-BG575)/BG575)</f>
        <v>0</v>
      </c>
      <c r="BX575" s="32" t="n">
        <f aca="false">IF(BH575=0,IF(BP575=0,0,1),(BP575-BH575)/BH575)</f>
        <v>0</v>
      </c>
      <c r="BY575" s="32" t="n">
        <f aca="false">IF(BI575=0,IF(BQ575=0,0,1),(BQ575-BI575)/BI575)</f>
        <v>0</v>
      </c>
      <c r="BZ575" s="32" t="n">
        <f aca="false">IF(BJ575=0,IF(BR575=0,0,1),(BR575-BJ575)/BJ575)</f>
        <v>0</v>
      </c>
      <c r="CA575" s="32" t="n">
        <f aca="false">IF(BK575=0,IF(BS575=0,0,1),(BS575-BK575)/BK575)</f>
        <v>0</v>
      </c>
      <c r="CB575" s="32" t="n">
        <f aca="false">IF(BL575=0,IF(BT575=0,0,1),(BT575-BL575)/BL575)</f>
        <v>0</v>
      </c>
      <c r="CC575" s="32" t="n">
        <f aca="false">IF(BM575=0,IF(BU575=0,0,1),(BU575-BM575)/BM575)</f>
        <v>0</v>
      </c>
      <c r="CD575" s="32" t="n">
        <f aca="false">MAX(MAX(BV575:CC575),-MIN(BV575:CC575))</f>
        <v>-0</v>
      </c>
      <c r="CE575" s="31" t="n">
        <f aca="false">IF(CI575="","",SUMIFS($CF$7:$CF$696,$A$7:$A$696,CI575,$B$7:$B$696,B575))</f>
        <v>751253</v>
      </c>
      <c r="CF575" s="31" t="n">
        <f aca="false">SUM(AU575:BE575)</f>
        <v>751253</v>
      </c>
      <c r="CG575" s="33" t="str">
        <f aca="false">A575&amp;"|"&amp;B575</f>
        <v>2027-02 月例|産業振興センター</v>
      </c>
      <c r="CH575" s="34" t="str">
        <f aca="false">IFERROR(INDEX(設定!$D$61:$D$106,MATCH(B575,設定!$B$61:$B$106,0)),"Y")</f>
        <v>Y</v>
      </c>
      <c r="CI575" s="34" t="str">
        <f aca="false">IFERROR(INDEX(設定!$D$20:$D$34,MATCH(A575,設定!$A$20:$A$34,0))&amp;"","")</f>
        <v>2027-01 月例</v>
      </c>
    </row>
    <row r="576" customFormat="false" ht="15" hidden="true" customHeight="false" outlineLevel="0" collapsed="false">
      <c r="A576" s="22" t="s">
        <v>220</v>
      </c>
      <c r="B576" s="23" t="s">
        <v>178</v>
      </c>
      <c r="C576" s="10" t="str">
        <f aca="false">IF(G576="","未受領",IF(G576="なし","報告なし",IF(AH576="○","起票済",IF(OR(AG576="○",F576="一致",F576="入金不要"),"入金確認済","受領済"))))</f>
        <v>未受領</v>
      </c>
      <c r="D576" s="10" t="str">
        <f aca="false">IF(OR(G576="",G576="なし"),"―",IF(CH576="N","対象外",IF(AND(I576="",J576="",K576=""),"標報未入力",IF(CD576&gt;=設定!$B$4,"要確認","問題なし"))))</f>
        <v>―</v>
      </c>
      <c r="E576" s="24" t="str">
        <f aca="false">IF(OR(G576="",G576="なし",CE576="",CF576=0),"―",IF(CF576=CE576,"前月同額",IF(CE576=0,"―",IF(ABS(CF576/CE576-1)&gt;=設定!$B$5,"変動大 "&amp;TEXT(CF576/CE576-1,"+0%;-0%"),"〇"))))</f>
        <v>―</v>
      </c>
      <c r="F576" s="10" t="str">
        <f aca="false">IF(OR(G576="",G576="なし"),"―",IF(CF576=0,"入金不要",IF(COUNT(Z576,AB576,AD576,AF576)=0,IF(AG576="○","手動確認","未入金"),IF(AND(N(Z576)=Y576,IF(AA576="",TRUE(),N(AB576)=AA576),IF(AC576="",TRUE(),N(AD576)=AC576),IF(AE576="",TRUE(),N(AF576)=AE576)),"一致","不一致"))))</f>
        <v>―</v>
      </c>
      <c r="G576" s="25"/>
      <c r="H576" s="26"/>
      <c r="I576" s="27"/>
      <c r="J576" s="27"/>
      <c r="K576" s="27"/>
      <c r="L576" s="27"/>
      <c r="M576" s="27"/>
      <c r="N576" s="27"/>
      <c r="O576" s="27"/>
      <c r="P576" s="27"/>
      <c r="Q576" s="27"/>
      <c r="R576" s="27"/>
      <c r="S576" s="27"/>
      <c r="T576" s="27"/>
      <c r="U576" s="27"/>
      <c r="V576" s="27"/>
      <c r="W576" s="10" t="str">
        <f aca="false">IFERROR(INDEX(設定!$E$61:$E$106,MATCH(B576,設定!$B$61:$B$106,0)),"合算")</f>
        <v>合算</v>
      </c>
      <c r="X576" s="28"/>
      <c r="Y576" s="29" t="str">
        <f aca="false">IF(OR(G576="",G576="なし"),"",IF(W576="合算",CF576,IF(W576="掛金・負担金別",(AU576+AV576+AZ576+BB576+BD576),SUM(AU576:AY576))))</f>
        <v/>
      </c>
      <c r="Z576" s="27"/>
      <c r="AA576" s="29" t="str">
        <f aca="false">IF(OR(G576="",G576="なし"),"",IF(W576="掛金・負担金別",(AW576+AX576+AY576+BA576+BC576+BE576),IF(W576="経理区分別",AZ576+BA576,"")))</f>
        <v/>
      </c>
      <c r="AB576" s="27"/>
      <c r="AC576" s="29" t="str">
        <f aca="false">IF(OR(G576="",G576="なし"),"",IF(W576="経理区分別",BB576+BC576,""))</f>
        <v/>
      </c>
      <c r="AD576" s="27"/>
      <c r="AE576" s="29" t="str">
        <f aca="false">IF(OR(G576="",G576="なし"),"",IF(W576="経理区分別",BD576+BE576,""))</f>
        <v/>
      </c>
      <c r="AF576" s="27"/>
      <c r="AG576" s="26"/>
      <c r="AH576" s="26"/>
      <c r="AI576" s="30"/>
      <c r="AJ576" s="31"/>
      <c r="AK576" s="31"/>
      <c r="AL576" s="31" t="n">
        <v>86010</v>
      </c>
      <c r="AM576" s="31" t="n">
        <v>7050</v>
      </c>
      <c r="AN576" s="31" t="n">
        <v>88</v>
      </c>
      <c r="AO576" s="31"/>
      <c r="AP576" s="31" t="n">
        <v>51803</v>
      </c>
      <c r="AQ576" s="31"/>
      <c r="AR576" s="31" t="n">
        <v>7426</v>
      </c>
      <c r="AS576" s="31"/>
      <c r="AT576" s="31" t="n">
        <v>1</v>
      </c>
      <c r="AU576" s="31" t="n">
        <f aca="false">IF($G576="",AJ576,L576)</f>
        <v>0</v>
      </c>
      <c r="AV576" s="31" t="n">
        <f aca="false">IF($G576="",AK576,M576)</f>
        <v>0</v>
      </c>
      <c r="AW576" s="31" t="n">
        <f aca="false">IF($G576="",AL576,N576)</f>
        <v>86010</v>
      </c>
      <c r="AX576" s="31" t="n">
        <f aca="false">IF($G576="",AM576,O576)</f>
        <v>7050</v>
      </c>
      <c r="AY576" s="31" t="n">
        <f aca="false">IF($G576="",AN576,P576)</f>
        <v>88</v>
      </c>
      <c r="AZ576" s="31" t="n">
        <f aca="false">IF($G576="",AO576,Q576)</f>
        <v>0</v>
      </c>
      <c r="BA576" s="31" t="n">
        <f aca="false">IF($G576="",AP576,R576)</f>
        <v>51803</v>
      </c>
      <c r="BB576" s="31" t="n">
        <f aca="false">IF($G576="",AQ576,S576)</f>
        <v>0</v>
      </c>
      <c r="BC576" s="31" t="n">
        <f aca="false">IF($G576="",AR576,T576)</f>
        <v>7426</v>
      </c>
      <c r="BD576" s="31" t="n">
        <f aca="false">IF($G576="",AS576,U576)</f>
        <v>0</v>
      </c>
      <c r="BE576" s="31" t="n">
        <f aca="false">IF($G576="",AT576,V576)</f>
        <v>1</v>
      </c>
      <c r="BF576" s="31" t="n">
        <f aca="false">ROUNDDOWN(I576*設定!$B$10/1000,0)+ROUNDDOWN(I576*設定!$B$11/1000,0)</f>
        <v>0</v>
      </c>
      <c r="BG576" s="31" t="n">
        <f aca="false">ROUNDDOWN(I576*設定!$C$10/1000,0)+ROUNDDOWN(I576*設定!$C$11/1000,0)+ROUNDDOWN(I576*設定!$C$12/1000,0)</f>
        <v>0</v>
      </c>
      <c r="BH576" s="31" t="n">
        <f aca="false">ROUNDDOWN(J576*設定!$B$13/1000,0)</f>
        <v>0</v>
      </c>
      <c r="BI576" s="31" t="n">
        <f aca="false">ROUNDDOWN(J576*設定!$C$13/1000,0)</f>
        <v>0</v>
      </c>
      <c r="BJ576" s="31" t="n">
        <f aca="false">ROUNDDOWN(K576*設定!$B$14/1000,0)</f>
        <v>0</v>
      </c>
      <c r="BK576" s="31" t="n">
        <f aca="false">ROUNDDOWN(K576*設定!$C$14/1000,0)</f>
        <v>0</v>
      </c>
      <c r="BL576" s="31" t="n">
        <f aca="false">ROUNDDOWN(J576*設定!$B$15/1000,0)</f>
        <v>0</v>
      </c>
      <c r="BM576" s="31" t="n">
        <f aca="false">ROUNDDOWN(J576*設定!$C$15/1000,0)</f>
        <v>0</v>
      </c>
      <c r="BN576" s="31" t="n">
        <f aca="false">L576+M576</f>
        <v>0</v>
      </c>
      <c r="BO576" s="31" t="n">
        <f aca="false">N576+O576+P576</f>
        <v>0</v>
      </c>
      <c r="BP576" s="31" t="n">
        <f aca="false">Q576</f>
        <v>0</v>
      </c>
      <c r="BQ576" s="31" t="n">
        <f aca="false">R576</f>
        <v>0</v>
      </c>
      <c r="BR576" s="31" t="n">
        <f aca="false">S576</f>
        <v>0</v>
      </c>
      <c r="BS576" s="31" t="n">
        <f aca="false">T576</f>
        <v>0</v>
      </c>
      <c r="BT576" s="31" t="n">
        <f aca="false">U576</f>
        <v>0</v>
      </c>
      <c r="BU576" s="31" t="n">
        <f aca="false">V576</f>
        <v>0</v>
      </c>
      <c r="BV576" s="32" t="n">
        <f aca="false">IF(BF576=0,IF(BN576=0,0,1),(BN576-BF576)/BF576)</f>
        <v>0</v>
      </c>
      <c r="BW576" s="32" t="n">
        <f aca="false">IF(BG576=0,IF(BO576=0,0,1),(BO576-BG576)/BG576)</f>
        <v>0</v>
      </c>
      <c r="BX576" s="32" t="n">
        <f aca="false">IF(BH576=0,IF(BP576=0,0,1),(BP576-BH576)/BH576)</f>
        <v>0</v>
      </c>
      <c r="BY576" s="32" t="n">
        <f aca="false">IF(BI576=0,IF(BQ576=0,0,1),(BQ576-BI576)/BI576)</f>
        <v>0</v>
      </c>
      <c r="BZ576" s="32" t="n">
        <f aca="false">IF(BJ576=0,IF(BR576=0,0,1),(BR576-BJ576)/BJ576)</f>
        <v>0</v>
      </c>
      <c r="CA576" s="32" t="n">
        <f aca="false">IF(BK576=0,IF(BS576=0,0,1),(BS576-BK576)/BK576)</f>
        <v>0</v>
      </c>
      <c r="CB576" s="32" t="n">
        <f aca="false">IF(BL576=0,IF(BT576=0,0,1),(BT576-BL576)/BL576)</f>
        <v>0</v>
      </c>
      <c r="CC576" s="32" t="n">
        <f aca="false">IF(BM576=0,IF(BU576=0,0,1),(BU576-BM576)/BM576)</f>
        <v>0</v>
      </c>
      <c r="CD576" s="32" t="n">
        <f aca="false">MAX(MAX(BV576:CC576),-MIN(BV576:CC576))</f>
        <v>-0</v>
      </c>
      <c r="CE576" s="31" t="n">
        <f aca="false">IF(CI576="","",SUMIFS($CF$7:$CF$696,$A$7:$A$696,CI576,$B$7:$B$696,B576))</f>
        <v>152378</v>
      </c>
      <c r="CF576" s="31" t="n">
        <f aca="false">SUM(AU576:BE576)</f>
        <v>152378</v>
      </c>
      <c r="CG576" s="33" t="str">
        <f aca="false">A576&amp;"|"&amp;B576</f>
        <v>2027-02 月例|ひろしま産業振興</v>
      </c>
      <c r="CH576" s="34" t="str">
        <f aca="false">IFERROR(INDEX(設定!$D$61:$D$106,MATCH(B576,設定!$B$61:$B$106,0)),"Y")</f>
        <v>Y</v>
      </c>
      <c r="CI576" s="34" t="str">
        <f aca="false">IFERROR(INDEX(設定!$D$20:$D$34,MATCH(A576,設定!$A$20:$A$34,0))&amp;"","")</f>
        <v>2027-01 月例</v>
      </c>
    </row>
    <row r="577" customFormat="false" ht="15" hidden="true" customHeight="false" outlineLevel="0" collapsed="false">
      <c r="A577" s="22" t="s">
        <v>220</v>
      </c>
      <c r="B577" s="23" t="s">
        <v>179</v>
      </c>
      <c r="C577" s="10" t="str">
        <f aca="false">IF(G577="","未受領",IF(G577="なし","報告なし",IF(AH577="○","起票済",IF(OR(AG577="○",F577="一致",F577="入金不要"),"入金確認済","受領済"))))</f>
        <v>未受領</v>
      </c>
      <c r="D577" s="10" t="str">
        <f aca="false">IF(OR(G577="",G577="なし"),"―",IF(CH577="N","対象外",IF(AND(I577="",J577="",K577=""),"標報未入力",IF(CD577&gt;=設定!$B$4,"要確認","問題なし"))))</f>
        <v>―</v>
      </c>
      <c r="E577" s="24" t="str">
        <f aca="false">IF(OR(G577="",G577="なし",CE577="",CF577=0),"―",IF(CF577=CE577,"前月同額",IF(CE577=0,"―",IF(ABS(CF577/CE577-1)&gt;=設定!$B$5,"変動大 "&amp;TEXT(CF577/CE577-1,"+0%;-0%"),"〇"))))</f>
        <v>―</v>
      </c>
      <c r="F577" s="10" t="str">
        <f aca="false">IF(OR(G577="",G577="なし"),"―",IF(CF577=0,"入金不要",IF(COUNT(Z577,AB577,AD577,AF577)=0,IF(AG577="○","手動確認","未入金"),IF(AND(N(Z577)=Y577,IF(AA577="",TRUE(),N(AB577)=AA577),IF(AC577="",TRUE(),N(AD577)=AC577),IF(AE577="",TRUE(),N(AF577)=AE577)),"一致","不一致"))))</f>
        <v>―</v>
      </c>
      <c r="G577" s="25"/>
      <c r="H577" s="26"/>
      <c r="I577" s="27"/>
      <c r="J577" s="27"/>
      <c r="K577" s="27"/>
      <c r="L577" s="27"/>
      <c r="M577" s="27"/>
      <c r="N577" s="27"/>
      <c r="O577" s="27"/>
      <c r="P577" s="27"/>
      <c r="Q577" s="27"/>
      <c r="R577" s="27"/>
      <c r="S577" s="27"/>
      <c r="T577" s="27"/>
      <c r="U577" s="27"/>
      <c r="V577" s="27"/>
      <c r="W577" s="10" t="str">
        <f aca="false">IFERROR(INDEX(設定!$E$61:$E$106,MATCH(B577,設定!$B$61:$B$106,0)),"合算")</f>
        <v>合算</v>
      </c>
      <c r="X577" s="28"/>
      <c r="Y577" s="29" t="str">
        <f aca="false">IF(OR(G577="",G577="なし"),"",IF(W577="合算",CF577,IF(W577="掛金・負担金別",(AU577+AV577+AZ577+BB577+BD577),SUM(AU577:AY577))))</f>
        <v/>
      </c>
      <c r="Z577" s="27"/>
      <c r="AA577" s="29" t="str">
        <f aca="false">IF(OR(G577="",G577="なし"),"",IF(W577="掛金・負担金別",(AW577+AX577+AY577+BA577+BC577+BE577),IF(W577="経理区分別",AZ577+BA577,"")))</f>
        <v/>
      </c>
      <c r="AB577" s="27"/>
      <c r="AC577" s="29" t="str">
        <f aca="false">IF(OR(G577="",G577="なし"),"",IF(W577="経理区分別",BB577+BC577,""))</f>
        <v/>
      </c>
      <c r="AD577" s="27"/>
      <c r="AE577" s="29" t="str">
        <f aca="false">IF(OR(G577="",G577="なし"),"",IF(W577="経理区分別",BD577+BE577,""))</f>
        <v/>
      </c>
      <c r="AF577" s="27"/>
      <c r="AG577" s="26"/>
      <c r="AH577" s="26"/>
      <c r="AI577" s="30"/>
      <c r="AJ577" s="31"/>
      <c r="AK577" s="31"/>
      <c r="AL577" s="31" t="n">
        <v>48495</v>
      </c>
      <c r="AM577" s="31" t="n">
        <v>3975</v>
      </c>
      <c r="AN577" s="31" t="n">
        <v>49</v>
      </c>
      <c r="AO577" s="31"/>
      <c r="AP577" s="31" t="n">
        <v>29208</v>
      </c>
      <c r="AQ577" s="31"/>
      <c r="AR577" s="31" t="n">
        <v>4187</v>
      </c>
      <c r="AS577" s="31"/>
      <c r="AT577" s="31" t="n">
        <v>1</v>
      </c>
      <c r="AU577" s="31" t="n">
        <f aca="false">IF($G577="",AJ577,L577)</f>
        <v>0</v>
      </c>
      <c r="AV577" s="31" t="n">
        <f aca="false">IF($G577="",AK577,M577)</f>
        <v>0</v>
      </c>
      <c r="AW577" s="31" t="n">
        <f aca="false">IF($G577="",AL577,N577)</f>
        <v>48495</v>
      </c>
      <c r="AX577" s="31" t="n">
        <f aca="false">IF($G577="",AM577,O577)</f>
        <v>3975</v>
      </c>
      <c r="AY577" s="31" t="n">
        <f aca="false">IF($G577="",AN577,P577)</f>
        <v>49</v>
      </c>
      <c r="AZ577" s="31" t="n">
        <f aca="false">IF($G577="",AO577,Q577)</f>
        <v>0</v>
      </c>
      <c r="BA577" s="31" t="n">
        <f aca="false">IF($G577="",AP577,R577)</f>
        <v>29208</v>
      </c>
      <c r="BB577" s="31" t="n">
        <f aca="false">IF($G577="",AQ577,S577)</f>
        <v>0</v>
      </c>
      <c r="BC577" s="31" t="n">
        <f aca="false">IF($G577="",AR577,T577)</f>
        <v>4187</v>
      </c>
      <c r="BD577" s="31" t="n">
        <f aca="false">IF($G577="",AS577,U577)</f>
        <v>0</v>
      </c>
      <c r="BE577" s="31" t="n">
        <f aca="false">IF($G577="",AT577,V577)</f>
        <v>1</v>
      </c>
      <c r="BF577" s="31" t="n">
        <f aca="false">ROUNDDOWN(I577*設定!$B$10/1000,0)+ROUNDDOWN(I577*設定!$B$11/1000,0)</f>
        <v>0</v>
      </c>
      <c r="BG577" s="31" t="n">
        <f aca="false">ROUNDDOWN(I577*設定!$C$10/1000,0)+ROUNDDOWN(I577*設定!$C$11/1000,0)+ROUNDDOWN(I577*設定!$C$12/1000,0)</f>
        <v>0</v>
      </c>
      <c r="BH577" s="31" t="n">
        <f aca="false">ROUNDDOWN(J577*設定!$B$13/1000,0)</f>
        <v>0</v>
      </c>
      <c r="BI577" s="31" t="n">
        <f aca="false">ROUNDDOWN(J577*設定!$C$13/1000,0)</f>
        <v>0</v>
      </c>
      <c r="BJ577" s="31" t="n">
        <f aca="false">ROUNDDOWN(K577*設定!$B$14/1000,0)</f>
        <v>0</v>
      </c>
      <c r="BK577" s="31" t="n">
        <f aca="false">ROUNDDOWN(K577*設定!$C$14/1000,0)</f>
        <v>0</v>
      </c>
      <c r="BL577" s="31" t="n">
        <f aca="false">ROUNDDOWN(J577*設定!$B$15/1000,0)</f>
        <v>0</v>
      </c>
      <c r="BM577" s="31" t="n">
        <f aca="false">ROUNDDOWN(J577*設定!$C$15/1000,0)</f>
        <v>0</v>
      </c>
      <c r="BN577" s="31" t="n">
        <f aca="false">L577+M577</f>
        <v>0</v>
      </c>
      <c r="BO577" s="31" t="n">
        <f aca="false">N577+O577+P577</f>
        <v>0</v>
      </c>
      <c r="BP577" s="31" t="n">
        <f aca="false">Q577</f>
        <v>0</v>
      </c>
      <c r="BQ577" s="31" t="n">
        <f aca="false">R577</f>
        <v>0</v>
      </c>
      <c r="BR577" s="31" t="n">
        <f aca="false">S577</f>
        <v>0</v>
      </c>
      <c r="BS577" s="31" t="n">
        <f aca="false">T577</f>
        <v>0</v>
      </c>
      <c r="BT577" s="31" t="n">
        <f aca="false">U577</f>
        <v>0</v>
      </c>
      <c r="BU577" s="31" t="n">
        <f aca="false">V577</f>
        <v>0</v>
      </c>
      <c r="BV577" s="32" t="n">
        <f aca="false">IF(BF577=0,IF(BN577=0,0,1),(BN577-BF577)/BF577)</f>
        <v>0</v>
      </c>
      <c r="BW577" s="32" t="n">
        <f aca="false">IF(BG577=0,IF(BO577=0,0,1),(BO577-BG577)/BG577)</f>
        <v>0</v>
      </c>
      <c r="BX577" s="32" t="n">
        <f aca="false">IF(BH577=0,IF(BP577=0,0,1),(BP577-BH577)/BH577)</f>
        <v>0</v>
      </c>
      <c r="BY577" s="32" t="n">
        <f aca="false">IF(BI577=0,IF(BQ577=0,0,1),(BQ577-BI577)/BI577)</f>
        <v>0</v>
      </c>
      <c r="BZ577" s="32" t="n">
        <f aca="false">IF(BJ577=0,IF(BR577=0,0,1),(BR577-BJ577)/BJ577)</f>
        <v>0</v>
      </c>
      <c r="CA577" s="32" t="n">
        <f aca="false">IF(BK577=0,IF(BS577=0,0,1),(BS577-BK577)/BK577)</f>
        <v>0</v>
      </c>
      <c r="CB577" s="32" t="n">
        <f aca="false">IF(BL577=0,IF(BT577=0,0,1),(BT577-BL577)/BL577)</f>
        <v>0</v>
      </c>
      <c r="CC577" s="32" t="n">
        <f aca="false">IF(BM577=0,IF(BU577=0,0,1),(BU577-BM577)/BM577)</f>
        <v>0</v>
      </c>
      <c r="CD577" s="32" t="n">
        <f aca="false">MAX(MAX(BV577:CC577),-MIN(BV577:CC577))</f>
        <v>-0</v>
      </c>
      <c r="CE577" s="31" t="n">
        <f aca="false">IF(CI577="","",SUMIFS($CF$7:$CF$696,$A$7:$A$696,CI577,$B$7:$B$696,B577))</f>
        <v>85915</v>
      </c>
      <c r="CF577" s="31" t="n">
        <f aca="false">SUM(AU577:BE577)</f>
        <v>85915</v>
      </c>
      <c r="CG577" s="33" t="str">
        <f aca="false">A577&amp;"|"&amp;B577</f>
        <v>2027-02 月例|都市整備公社　市</v>
      </c>
      <c r="CH577" s="34" t="str">
        <f aca="false">IFERROR(INDEX(設定!$D$61:$D$106,MATCH(B577,設定!$B$61:$B$106,0)),"Y")</f>
        <v>Y</v>
      </c>
      <c r="CI577" s="34" t="str">
        <f aca="false">IFERROR(INDEX(設定!$D$20:$D$34,MATCH(A577,設定!$A$20:$A$34,0))&amp;"","")</f>
        <v>2027-01 月例</v>
      </c>
    </row>
    <row r="578" customFormat="false" ht="15" hidden="true" customHeight="false" outlineLevel="0" collapsed="false">
      <c r="A578" s="22" t="s">
        <v>220</v>
      </c>
      <c r="B578" s="23" t="s">
        <v>180</v>
      </c>
      <c r="C578" s="10" t="str">
        <f aca="false">IF(G578="","未受領",IF(G578="なし","報告なし",IF(AH578="○","起票済",IF(OR(AG578="○",F578="一致",F578="入金不要"),"入金確認済","受領済"))))</f>
        <v>未受領</v>
      </c>
      <c r="D578" s="10" t="str">
        <f aca="false">IF(OR(G578="",G578="なし"),"―",IF(CH578="N","対象外",IF(AND(I578="",J578="",K578=""),"標報未入力",IF(CD578&gt;=設定!$B$4,"要確認","問題なし"))))</f>
        <v>―</v>
      </c>
      <c r="E578" s="24" t="str">
        <f aca="false">IF(OR(G578="",G578="なし",CE578="",CF578=0),"―",IF(CF578=CE578,"前月同額",IF(CE578=0,"―",IF(ABS(CF578/CE578-1)&gt;=設定!$B$5,"変動大 "&amp;TEXT(CF578/CE578-1,"+0%;-0%"),"〇"))))</f>
        <v>―</v>
      </c>
      <c r="F578" s="10" t="str">
        <f aca="false">IF(OR(G578="",G578="なし"),"―",IF(CF578=0,"入金不要",IF(COUNT(Z578,AB578,AD578,AF578)=0,IF(AG578="○","手動確認","未入金"),IF(AND(N(Z578)=Y578,IF(AA578="",TRUE(),N(AB578)=AA578),IF(AC578="",TRUE(),N(AD578)=AC578),IF(AE578="",TRUE(),N(AF578)=AE578)),"一致","不一致"))))</f>
        <v>―</v>
      </c>
      <c r="G578" s="25"/>
      <c r="H578" s="26"/>
      <c r="I578" s="27"/>
      <c r="J578" s="27"/>
      <c r="K578" s="27"/>
      <c r="L578" s="27"/>
      <c r="M578" s="27"/>
      <c r="N578" s="27"/>
      <c r="O578" s="27"/>
      <c r="P578" s="27"/>
      <c r="Q578" s="27"/>
      <c r="R578" s="27"/>
      <c r="S578" s="27"/>
      <c r="T578" s="27"/>
      <c r="U578" s="27"/>
      <c r="V578" s="27"/>
      <c r="W578" s="10" t="str">
        <f aca="false">IFERROR(INDEX(設定!$E$61:$E$106,MATCH(B578,設定!$B$61:$B$106,0)),"合算")</f>
        <v>合算</v>
      </c>
      <c r="X578" s="28"/>
      <c r="Y578" s="29" t="str">
        <f aca="false">IF(OR(G578="",G578="なし"),"",IF(W578="合算",CF578,IF(W578="掛金・負担金別",(AU578+AV578+AZ578+BB578+BD578),SUM(AU578:AY578))))</f>
        <v/>
      </c>
      <c r="Z578" s="27"/>
      <c r="AA578" s="29" t="str">
        <f aca="false">IF(OR(G578="",G578="なし"),"",IF(W578="掛金・負担金別",(AW578+AX578+AY578+BA578+BC578+BE578),IF(W578="経理区分別",AZ578+BA578,"")))</f>
        <v/>
      </c>
      <c r="AB578" s="27"/>
      <c r="AC578" s="29" t="str">
        <f aca="false">IF(OR(G578="",G578="なし"),"",IF(W578="経理区分別",BB578+BC578,""))</f>
        <v/>
      </c>
      <c r="AD578" s="27"/>
      <c r="AE578" s="29" t="str">
        <f aca="false">IF(OR(G578="",G578="なし"),"",IF(W578="経理区分別",BD578+BE578,""))</f>
        <v/>
      </c>
      <c r="AF578" s="27"/>
      <c r="AG578" s="26"/>
      <c r="AH578" s="26"/>
      <c r="AI578" s="30"/>
      <c r="AJ578" s="31"/>
      <c r="AK578" s="31"/>
      <c r="AL578" s="31" t="n">
        <v>122428</v>
      </c>
      <c r="AM578" s="31" t="n">
        <v>10034</v>
      </c>
      <c r="AN578" s="31" t="n">
        <v>125</v>
      </c>
      <c r="AO578" s="31"/>
      <c r="AP578" s="31" t="n">
        <v>73737</v>
      </c>
      <c r="AQ578" s="31"/>
      <c r="AR578" s="31" t="n">
        <v>7031</v>
      </c>
      <c r="AS578" s="31"/>
      <c r="AT578" s="31" t="n">
        <v>1</v>
      </c>
      <c r="AU578" s="31" t="n">
        <f aca="false">IF($G578="",AJ578,L578)</f>
        <v>0</v>
      </c>
      <c r="AV578" s="31" t="n">
        <f aca="false">IF($G578="",AK578,M578)</f>
        <v>0</v>
      </c>
      <c r="AW578" s="31" t="n">
        <f aca="false">IF($G578="",AL578,N578)</f>
        <v>122428</v>
      </c>
      <c r="AX578" s="31" t="n">
        <f aca="false">IF($G578="",AM578,O578)</f>
        <v>10034</v>
      </c>
      <c r="AY578" s="31" t="n">
        <f aca="false">IF($G578="",AN578,P578)</f>
        <v>125</v>
      </c>
      <c r="AZ578" s="31" t="n">
        <f aca="false">IF($G578="",AO578,Q578)</f>
        <v>0</v>
      </c>
      <c r="BA578" s="31" t="n">
        <f aca="false">IF($G578="",AP578,R578)</f>
        <v>73737</v>
      </c>
      <c r="BB578" s="31" t="n">
        <f aca="false">IF($G578="",AQ578,S578)</f>
        <v>0</v>
      </c>
      <c r="BC578" s="31" t="n">
        <f aca="false">IF($G578="",AR578,T578)</f>
        <v>7031</v>
      </c>
      <c r="BD578" s="31" t="n">
        <f aca="false">IF($G578="",AS578,U578)</f>
        <v>0</v>
      </c>
      <c r="BE578" s="31" t="n">
        <f aca="false">IF($G578="",AT578,V578)</f>
        <v>1</v>
      </c>
      <c r="BF578" s="31" t="n">
        <f aca="false">ROUNDDOWN(I578*設定!$B$10/1000,0)+ROUNDDOWN(I578*設定!$B$11/1000,0)</f>
        <v>0</v>
      </c>
      <c r="BG578" s="31" t="n">
        <f aca="false">ROUNDDOWN(I578*設定!$C$10/1000,0)+ROUNDDOWN(I578*設定!$C$11/1000,0)+ROUNDDOWN(I578*設定!$C$12/1000,0)</f>
        <v>0</v>
      </c>
      <c r="BH578" s="31" t="n">
        <f aca="false">ROUNDDOWN(J578*設定!$B$13/1000,0)</f>
        <v>0</v>
      </c>
      <c r="BI578" s="31" t="n">
        <f aca="false">ROUNDDOWN(J578*設定!$C$13/1000,0)</f>
        <v>0</v>
      </c>
      <c r="BJ578" s="31" t="n">
        <f aca="false">ROUNDDOWN(K578*設定!$B$14/1000,0)</f>
        <v>0</v>
      </c>
      <c r="BK578" s="31" t="n">
        <f aca="false">ROUNDDOWN(K578*設定!$C$14/1000,0)</f>
        <v>0</v>
      </c>
      <c r="BL578" s="31" t="n">
        <f aca="false">ROUNDDOWN(J578*設定!$B$15/1000,0)</f>
        <v>0</v>
      </c>
      <c r="BM578" s="31" t="n">
        <f aca="false">ROUNDDOWN(J578*設定!$C$15/1000,0)</f>
        <v>0</v>
      </c>
      <c r="BN578" s="31" t="n">
        <f aca="false">L578+M578</f>
        <v>0</v>
      </c>
      <c r="BO578" s="31" t="n">
        <f aca="false">N578+O578+P578</f>
        <v>0</v>
      </c>
      <c r="BP578" s="31" t="n">
        <f aca="false">Q578</f>
        <v>0</v>
      </c>
      <c r="BQ578" s="31" t="n">
        <f aca="false">R578</f>
        <v>0</v>
      </c>
      <c r="BR578" s="31" t="n">
        <f aca="false">S578</f>
        <v>0</v>
      </c>
      <c r="BS578" s="31" t="n">
        <f aca="false">T578</f>
        <v>0</v>
      </c>
      <c r="BT578" s="31" t="n">
        <f aca="false">U578</f>
        <v>0</v>
      </c>
      <c r="BU578" s="31" t="n">
        <f aca="false">V578</f>
        <v>0</v>
      </c>
      <c r="BV578" s="32" t="n">
        <f aca="false">IF(BF578=0,IF(BN578=0,0,1),(BN578-BF578)/BF578)</f>
        <v>0</v>
      </c>
      <c r="BW578" s="32" t="n">
        <f aca="false">IF(BG578=0,IF(BO578=0,0,1),(BO578-BG578)/BG578)</f>
        <v>0</v>
      </c>
      <c r="BX578" s="32" t="n">
        <f aca="false">IF(BH578=0,IF(BP578=0,0,1),(BP578-BH578)/BH578)</f>
        <v>0</v>
      </c>
      <c r="BY578" s="32" t="n">
        <f aca="false">IF(BI578=0,IF(BQ578=0,0,1),(BQ578-BI578)/BI578)</f>
        <v>0</v>
      </c>
      <c r="BZ578" s="32" t="n">
        <f aca="false">IF(BJ578=0,IF(BR578=0,0,1),(BR578-BJ578)/BJ578)</f>
        <v>0</v>
      </c>
      <c r="CA578" s="32" t="n">
        <f aca="false">IF(BK578=0,IF(BS578=0,0,1),(BS578-BK578)/BK578)</f>
        <v>0</v>
      </c>
      <c r="CB578" s="32" t="n">
        <f aca="false">IF(BL578=0,IF(BT578=0,0,1),(BT578-BL578)/BL578)</f>
        <v>0</v>
      </c>
      <c r="CC578" s="32" t="n">
        <f aca="false">IF(BM578=0,IF(BU578=0,0,1),(BU578-BM578)/BM578)</f>
        <v>0</v>
      </c>
      <c r="CD578" s="32" t="n">
        <f aca="false">MAX(MAX(BV578:CC578),-MIN(BV578:CC578))</f>
        <v>-0</v>
      </c>
      <c r="CE578" s="31" t="n">
        <f aca="false">IF(CI578="","",SUMIFS($CF$7:$CF$696,$A$7:$A$696,CI578,$B$7:$B$696,B578))</f>
        <v>216748</v>
      </c>
      <c r="CF578" s="31" t="n">
        <f aca="false">SUM(AU578:BE578)</f>
        <v>213356</v>
      </c>
      <c r="CG578" s="33" t="str">
        <f aca="false">A578&amp;"|"&amp;B578</f>
        <v>2027-02 月例|都市整備公社　消防</v>
      </c>
      <c r="CH578" s="34" t="str">
        <f aca="false">IFERROR(INDEX(設定!$D$61:$D$106,MATCH(B578,設定!$B$61:$B$106,0)),"Y")</f>
        <v>Y</v>
      </c>
      <c r="CI578" s="34" t="str">
        <f aca="false">IFERROR(INDEX(設定!$D$20:$D$34,MATCH(A578,設定!$A$20:$A$34,0))&amp;"","")</f>
        <v>2027-01 月例</v>
      </c>
    </row>
    <row r="579" customFormat="false" ht="15" hidden="true" customHeight="false" outlineLevel="0" collapsed="false">
      <c r="A579" s="22" t="s">
        <v>220</v>
      </c>
      <c r="B579" s="23" t="s">
        <v>181</v>
      </c>
      <c r="C579" s="10" t="str">
        <f aca="false">IF(G579="","未受領",IF(G579="なし","報告なし",IF(AH579="○","起票済",IF(OR(AG579="○",F579="一致",F579="入金不要"),"入金確認済","受領済"))))</f>
        <v>未受領</v>
      </c>
      <c r="D579" s="10" t="str">
        <f aca="false">IF(OR(G579="",G579="なし"),"―",IF(CH579="N","対象外",IF(AND(I579="",J579="",K579=""),"標報未入力",IF(CD579&gt;=設定!$B$4,"要確認","問題なし"))))</f>
        <v>―</v>
      </c>
      <c r="E579" s="24" t="str">
        <f aca="false">IF(OR(G579="",G579="なし",CE579="",CF579=0),"―",IF(CF579=CE579,"前月同額",IF(CE579=0,"―",IF(ABS(CF579/CE579-1)&gt;=設定!$B$5,"変動大 "&amp;TEXT(CF579/CE579-1,"+0%;-0%"),"〇"))))</f>
        <v>―</v>
      </c>
      <c r="F579" s="10" t="str">
        <f aca="false">IF(OR(G579="",G579="なし"),"―",IF(CF579=0,"入金不要",IF(COUNT(Z579,AB579,AD579,AF579)=0,IF(AG579="○","手動確認","未入金"),IF(AND(N(Z579)=Y579,IF(AA579="",TRUE(),N(AB579)=AA579),IF(AC579="",TRUE(),N(AD579)=AC579),IF(AE579="",TRUE(),N(AF579)=AE579)),"一致","不一致"))))</f>
        <v>―</v>
      </c>
      <c r="G579" s="25"/>
      <c r="H579" s="26"/>
      <c r="I579" s="27"/>
      <c r="J579" s="27"/>
      <c r="K579" s="27"/>
      <c r="L579" s="27"/>
      <c r="M579" s="27"/>
      <c r="N579" s="27"/>
      <c r="O579" s="27"/>
      <c r="P579" s="27"/>
      <c r="Q579" s="27"/>
      <c r="R579" s="27"/>
      <c r="S579" s="27"/>
      <c r="T579" s="27"/>
      <c r="U579" s="27"/>
      <c r="V579" s="27"/>
      <c r="W579" s="10" t="str">
        <f aca="false">IFERROR(INDEX(設定!$E$61:$E$106,MATCH(B579,設定!$B$61:$B$106,0)),"合算")</f>
        <v>合算</v>
      </c>
      <c r="X579" s="28"/>
      <c r="Y579" s="29" t="str">
        <f aca="false">IF(OR(G579="",G579="なし"),"",IF(W579="合算",CF579,IF(W579="掛金・負担金別",(AU579+AV579+AZ579+BB579+BD579),SUM(AU579:AY579))))</f>
        <v/>
      </c>
      <c r="Z579" s="27"/>
      <c r="AA579" s="29" t="str">
        <f aca="false">IF(OR(G579="",G579="なし"),"",IF(W579="掛金・負担金別",(AW579+AX579+AY579+BA579+BC579+BE579),IF(W579="経理区分別",AZ579+BA579,"")))</f>
        <v/>
      </c>
      <c r="AB579" s="27"/>
      <c r="AC579" s="29" t="str">
        <f aca="false">IF(OR(G579="",G579="なし"),"",IF(W579="経理区分別",BB579+BC579,""))</f>
        <v/>
      </c>
      <c r="AD579" s="27"/>
      <c r="AE579" s="29" t="str">
        <f aca="false">IF(OR(G579="",G579="なし"),"",IF(W579="経理区分別",BD579+BE579,""))</f>
        <v/>
      </c>
      <c r="AF579" s="27"/>
      <c r="AG579" s="26"/>
      <c r="AH579" s="26"/>
      <c r="AI579" s="30"/>
      <c r="AJ579" s="31" t="n">
        <v>245220</v>
      </c>
      <c r="AK579" s="31" t="n">
        <v>20100</v>
      </c>
      <c r="AL579" s="31" t="n">
        <v>245220</v>
      </c>
      <c r="AM579" s="31" t="n">
        <v>20100</v>
      </c>
      <c r="AN579" s="31" t="n">
        <v>251</v>
      </c>
      <c r="AO579" s="31" t="n">
        <v>147425</v>
      </c>
      <c r="AP579" s="31" t="n">
        <v>147694</v>
      </c>
      <c r="AQ579" s="31" t="n">
        <v>9559</v>
      </c>
      <c r="AR579" s="31" t="n">
        <v>9559</v>
      </c>
      <c r="AS579" s="31" t="n">
        <v>1</v>
      </c>
      <c r="AT579" s="31" t="n">
        <v>1</v>
      </c>
      <c r="AU579" s="31" t="n">
        <f aca="false">IF($G579="",AJ579,L579)</f>
        <v>245220</v>
      </c>
      <c r="AV579" s="31" t="n">
        <f aca="false">IF($G579="",AK579,M579)</f>
        <v>20100</v>
      </c>
      <c r="AW579" s="31" t="n">
        <f aca="false">IF($G579="",AL579,N579)</f>
        <v>245220</v>
      </c>
      <c r="AX579" s="31" t="n">
        <f aca="false">IF($G579="",AM579,O579)</f>
        <v>20100</v>
      </c>
      <c r="AY579" s="31" t="n">
        <f aca="false">IF($G579="",AN579,P579)</f>
        <v>251</v>
      </c>
      <c r="AZ579" s="31" t="n">
        <f aca="false">IF($G579="",AO579,Q579)</f>
        <v>147425</v>
      </c>
      <c r="BA579" s="31" t="n">
        <f aca="false">IF($G579="",AP579,R579)</f>
        <v>147694</v>
      </c>
      <c r="BB579" s="31" t="n">
        <f aca="false">IF($G579="",AQ579,S579)</f>
        <v>9559</v>
      </c>
      <c r="BC579" s="31" t="n">
        <f aca="false">IF($G579="",AR579,T579)</f>
        <v>9559</v>
      </c>
      <c r="BD579" s="31" t="n">
        <f aca="false">IF($G579="",AS579,U579)</f>
        <v>1</v>
      </c>
      <c r="BE579" s="31" t="n">
        <f aca="false">IF($G579="",AT579,V579)</f>
        <v>1</v>
      </c>
      <c r="BF579" s="31" t="n">
        <f aca="false">ROUNDDOWN(I579*設定!$B$10/1000,0)+ROUNDDOWN(I579*設定!$B$11/1000,0)</f>
        <v>0</v>
      </c>
      <c r="BG579" s="31" t="n">
        <f aca="false">ROUNDDOWN(I579*設定!$C$10/1000,0)+ROUNDDOWN(I579*設定!$C$11/1000,0)+ROUNDDOWN(I579*設定!$C$12/1000,0)</f>
        <v>0</v>
      </c>
      <c r="BH579" s="31" t="n">
        <f aca="false">ROUNDDOWN(J579*設定!$B$13/1000,0)</f>
        <v>0</v>
      </c>
      <c r="BI579" s="31" t="n">
        <f aca="false">ROUNDDOWN(J579*設定!$C$13/1000,0)</f>
        <v>0</v>
      </c>
      <c r="BJ579" s="31" t="n">
        <f aca="false">ROUNDDOWN(K579*設定!$B$14/1000,0)</f>
        <v>0</v>
      </c>
      <c r="BK579" s="31" t="n">
        <f aca="false">ROUNDDOWN(K579*設定!$C$14/1000,0)</f>
        <v>0</v>
      </c>
      <c r="BL579" s="31" t="n">
        <f aca="false">ROUNDDOWN(J579*設定!$B$15/1000,0)</f>
        <v>0</v>
      </c>
      <c r="BM579" s="31" t="n">
        <f aca="false">ROUNDDOWN(J579*設定!$C$15/1000,0)</f>
        <v>0</v>
      </c>
      <c r="BN579" s="31" t="n">
        <f aca="false">L579+M579</f>
        <v>0</v>
      </c>
      <c r="BO579" s="31" t="n">
        <f aca="false">N579+O579+P579</f>
        <v>0</v>
      </c>
      <c r="BP579" s="31" t="n">
        <f aca="false">Q579</f>
        <v>0</v>
      </c>
      <c r="BQ579" s="31" t="n">
        <f aca="false">R579</f>
        <v>0</v>
      </c>
      <c r="BR579" s="31" t="n">
        <f aca="false">S579</f>
        <v>0</v>
      </c>
      <c r="BS579" s="31" t="n">
        <f aca="false">T579</f>
        <v>0</v>
      </c>
      <c r="BT579" s="31" t="n">
        <f aca="false">U579</f>
        <v>0</v>
      </c>
      <c r="BU579" s="31" t="n">
        <f aca="false">V579</f>
        <v>0</v>
      </c>
      <c r="BV579" s="32" t="n">
        <f aca="false">IF(BF579=0,IF(BN579=0,0,1),(BN579-BF579)/BF579)</f>
        <v>0</v>
      </c>
      <c r="BW579" s="32" t="n">
        <f aca="false">IF(BG579=0,IF(BO579=0,0,1),(BO579-BG579)/BG579)</f>
        <v>0</v>
      </c>
      <c r="BX579" s="32" t="n">
        <f aca="false">IF(BH579=0,IF(BP579=0,0,1),(BP579-BH579)/BH579)</f>
        <v>0</v>
      </c>
      <c r="BY579" s="32" t="n">
        <f aca="false">IF(BI579=0,IF(BQ579=0,0,1),(BQ579-BI579)/BI579)</f>
        <v>0</v>
      </c>
      <c r="BZ579" s="32" t="n">
        <f aca="false">IF(BJ579=0,IF(BR579=0,0,1),(BR579-BJ579)/BJ579)</f>
        <v>0</v>
      </c>
      <c r="CA579" s="32" t="n">
        <f aca="false">IF(BK579=0,IF(BS579=0,0,1),(BS579-BK579)/BK579)</f>
        <v>0</v>
      </c>
      <c r="CB579" s="32" t="n">
        <f aca="false">IF(BL579=0,IF(BT579=0,0,1),(BT579-BL579)/BL579)</f>
        <v>0</v>
      </c>
      <c r="CC579" s="32" t="n">
        <f aca="false">IF(BM579=0,IF(BU579=0,0,1),(BU579-BM579)/BM579)</f>
        <v>0</v>
      </c>
      <c r="CD579" s="32" t="n">
        <f aca="false">MAX(MAX(BV579:CC579),-MIN(BV579:CC579))</f>
        <v>-0</v>
      </c>
      <c r="CE579" s="31" t="n">
        <f aca="false">IF(CI579="","",SUMIFS($CF$7:$CF$696,$A$7:$A$696,CI579,$B$7:$B$696,B579))</f>
        <v>845130</v>
      </c>
      <c r="CF579" s="31" t="n">
        <f aca="false">SUM(AU579:BE579)</f>
        <v>845130</v>
      </c>
      <c r="CG579" s="33" t="str">
        <f aca="false">A579&amp;"|"&amp;B579</f>
        <v>2027-02 月例|日本下水道事業団</v>
      </c>
      <c r="CH579" s="34" t="str">
        <f aca="false">IFERROR(INDEX(設定!$D$61:$D$106,MATCH(B579,設定!$B$61:$B$106,0)),"Y")</f>
        <v>Y</v>
      </c>
      <c r="CI579" s="34" t="str">
        <f aca="false">IFERROR(INDEX(設定!$D$20:$D$34,MATCH(A579,設定!$A$20:$A$34,0))&amp;"","")</f>
        <v>2027-01 月例</v>
      </c>
    </row>
    <row r="580" customFormat="false" ht="15" hidden="true" customHeight="false" outlineLevel="0" collapsed="false">
      <c r="A580" s="22" t="s">
        <v>220</v>
      </c>
      <c r="B580" s="23" t="s">
        <v>182</v>
      </c>
      <c r="C580" s="10" t="str">
        <f aca="false">IF(G580="","未受領",IF(G580="なし","報告なし",IF(AH580="○","起票済",IF(OR(AG580="○",F580="一致",F580="入金不要"),"入金確認済","受領済"))))</f>
        <v>未受領</v>
      </c>
      <c r="D580" s="10" t="str">
        <f aca="false">IF(OR(G580="",G580="なし"),"―",IF(CH580="N","対象外",IF(AND(I580="",J580="",K580=""),"標報未入力",IF(CD580&gt;=設定!$B$4,"要確認","問題なし"))))</f>
        <v>―</v>
      </c>
      <c r="E580" s="24" t="str">
        <f aca="false">IF(OR(G580="",G580="なし",CE580="",CF580=0),"―",IF(CF580=CE580,"前月同額",IF(CE580=0,"―",IF(ABS(CF580/CE580-1)&gt;=設定!$B$5,"変動大 "&amp;TEXT(CF580/CE580-1,"+0%;-0%"),"〇"))))</f>
        <v>―</v>
      </c>
      <c r="F580" s="10" t="str">
        <f aca="false">IF(OR(G580="",G580="なし"),"―",IF(CF580=0,"入金不要",IF(COUNT(Z580,AB580,AD580,AF580)=0,IF(AG580="○","手動確認","未入金"),IF(AND(N(Z580)=Y580,IF(AA580="",TRUE(),N(AB580)=AA580),IF(AC580="",TRUE(),N(AD580)=AC580),IF(AE580="",TRUE(),N(AF580)=AE580)),"一致","不一致"))))</f>
        <v>―</v>
      </c>
      <c r="G580" s="25"/>
      <c r="H580" s="26"/>
      <c r="I580" s="27"/>
      <c r="J580" s="27"/>
      <c r="K580" s="27"/>
      <c r="L580" s="27"/>
      <c r="M580" s="27"/>
      <c r="N580" s="27"/>
      <c r="O580" s="27"/>
      <c r="P580" s="27"/>
      <c r="Q580" s="27"/>
      <c r="R580" s="27"/>
      <c r="S580" s="27"/>
      <c r="T580" s="27"/>
      <c r="U580" s="27"/>
      <c r="V580" s="27"/>
      <c r="W580" s="10" t="str">
        <f aca="false">IFERROR(INDEX(設定!$E$61:$E$106,MATCH(B580,設定!$B$61:$B$106,0)),"合算")</f>
        <v>合算</v>
      </c>
      <c r="X580" s="28"/>
      <c r="Y580" s="29" t="str">
        <f aca="false">IF(OR(G580="",G580="なし"),"",IF(W580="合算",CF580,IF(W580="掛金・負担金別",(AU580+AV580+AZ580+BB580+BD580),SUM(AU580:AY580))))</f>
        <v/>
      </c>
      <c r="Z580" s="27"/>
      <c r="AA580" s="29" t="str">
        <f aca="false">IF(OR(G580="",G580="なし"),"",IF(W580="掛金・負担金別",(AW580+AX580+AY580+BA580+BC580+BE580),IF(W580="経理区分別",AZ580+BA580,"")))</f>
        <v/>
      </c>
      <c r="AB580" s="27"/>
      <c r="AC580" s="29" t="str">
        <f aca="false">IF(OR(G580="",G580="なし"),"",IF(W580="経理区分別",BB580+BC580,""))</f>
        <v/>
      </c>
      <c r="AD580" s="27"/>
      <c r="AE580" s="29" t="str">
        <f aca="false">IF(OR(G580="",G580="なし"),"",IF(W580="経理区分別",BD580+BE580,""))</f>
        <v/>
      </c>
      <c r="AF580" s="27"/>
      <c r="AG580" s="26"/>
      <c r="AH580" s="26"/>
      <c r="AI580" s="30"/>
      <c r="AJ580" s="31" t="n">
        <v>40260</v>
      </c>
      <c r="AK580" s="31" t="n">
        <v>3300</v>
      </c>
      <c r="AL580" s="31" t="n">
        <v>40260</v>
      </c>
      <c r="AM580" s="31" t="n">
        <v>3300</v>
      </c>
      <c r="AN580" s="31" t="n">
        <v>41</v>
      </c>
      <c r="AO580" s="31" t="n">
        <v>24204</v>
      </c>
      <c r="AP580" s="31" t="n">
        <v>24248</v>
      </c>
      <c r="AQ580" s="31" t="n">
        <v>0</v>
      </c>
      <c r="AR580" s="31" t="n">
        <v>0</v>
      </c>
      <c r="AS580" s="31" t="n">
        <v>1</v>
      </c>
      <c r="AT580" s="31" t="n">
        <v>1</v>
      </c>
      <c r="AU580" s="31" t="n">
        <f aca="false">IF($G580="",AJ580,L580)</f>
        <v>40260</v>
      </c>
      <c r="AV580" s="31" t="n">
        <f aca="false">IF($G580="",AK580,M580)</f>
        <v>3300</v>
      </c>
      <c r="AW580" s="31" t="n">
        <f aca="false">IF($G580="",AL580,N580)</f>
        <v>40260</v>
      </c>
      <c r="AX580" s="31" t="n">
        <f aca="false">IF($G580="",AM580,O580)</f>
        <v>3300</v>
      </c>
      <c r="AY580" s="31" t="n">
        <f aca="false">IF($G580="",AN580,P580)</f>
        <v>41</v>
      </c>
      <c r="AZ580" s="31" t="n">
        <f aca="false">IF($G580="",AO580,Q580)</f>
        <v>24204</v>
      </c>
      <c r="BA580" s="31" t="n">
        <f aca="false">IF($G580="",AP580,R580)</f>
        <v>24248</v>
      </c>
      <c r="BB580" s="31" t="n">
        <f aca="false">IF($G580="",AQ580,S580)</f>
        <v>0</v>
      </c>
      <c r="BC580" s="31" t="n">
        <f aca="false">IF($G580="",AR580,T580)</f>
        <v>0</v>
      </c>
      <c r="BD580" s="31" t="n">
        <f aca="false">IF($G580="",AS580,U580)</f>
        <v>1</v>
      </c>
      <c r="BE580" s="31" t="n">
        <f aca="false">IF($G580="",AT580,V580)</f>
        <v>1</v>
      </c>
      <c r="BF580" s="31" t="n">
        <f aca="false">ROUNDDOWN(I580*設定!$B$10/1000,0)+ROUNDDOWN(I580*設定!$B$11/1000,0)</f>
        <v>0</v>
      </c>
      <c r="BG580" s="31" t="n">
        <f aca="false">ROUNDDOWN(I580*設定!$C$10/1000,0)+ROUNDDOWN(I580*設定!$C$11/1000,0)+ROUNDDOWN(I580*設定!$C$12/1000,0)</f>
        <v>0</v>
      </c>
      <c r="BH580" s="31" t="n">
        <f aca="false">ROUNDDOWN(J580*設定!$B$13/1000,0)</f>
        <v>0</v>
      </c>
      <c r="BI580" s="31" t="n">
        <f aca="false">ROUNDDOWN(J580*設定!$C$13/1000,0)</f>
        <v>0</v>
      </c>
      <c r="BJ580" s="31" t="n">
        <f aca="false">ROUNDDOWN(K580*設定!$B$14/1000,0)</f>
        <v>0</v>
      </c>
      <c r="BK580" s="31" t="n">
        <f aca="false">ROUNDDOWN(K580*設定!$C$14/1000,0)</f>
        <v>0</v>
      </c>
      <c r="BL580" s="31" t="n">
        <f aca="false">ROUNDDOWN(J580*設定!$B$15/1000,0)</f>
        <v>0</v>
      </c>
      <c r="BM580" s="31" t="n">
        <f aca="false">ROUNDDOWN(J580*設定!$C$15/1000,0)</f>
        <v>0</v>
      </c>
      <c r="BN580" s="31" t="n">
        <f aca="false">L580+M580</f>
        <v>0</v>
      </c>
      <c r="BO580" s="31" t="n">
        <f aca="false">N580+O580+P580</f>
        <v>0</v>
      </c>
      <c r="BP580" s="31" t="n">
        <f aca="false">Q580</f>
        <v>0</v>
      </c>
      <c r="BQ580" s="31" t="n">
        <f aca="false">R580</f>
        <v>0</v>
      </c>
      <c r="BR580" s="31" t="n">
        <f aca="false">S580</f>
        <v>0</v>
      </c>
      <c r="BS580" s="31" t="n">
        <f aca="false">T580</f>
        <v>0</v>
      </c>
      <c r="BT580" s="31" t="n">
        <f aca="false">U580</f>
        <v>0</v>
      </c>
      <c r="BU580" s="31" t="n">
        <f aca="false">V580</f>
        <v>0</v>
      </c>
      <c r="BV580" s="32" t="n">
        <f aca="false">IF(BF580=0,IF(BN580=0,0,1),(BN580-BF580)/BF580)</f>
        <v>0</v>
      </c>
      <c r="BW580" s="32" t="n">
        <f aca="false">IF(BG580=0,IF(BO580=0,0,1),(BO580-BG580)/BG580)</f>
        <v>0</v>
      </c>
      <c r="BX580" s="32" t="n">
        <f aca="false">IF(BH580=0,IF(BP580=0,0,1),(BP580-BH580)/BH580)</f>
        <v>0</v>
      </c>
      <c r="BY580" s="32" t="n">
        <f aca="false">IF(BI580=0,IF(BQ580=0,0,1),(BQ580-BI580)/BI580)</f>
        <v>0</v>
      </c>
      <c r="BZ580" s="32" t="n">
        <f aca="false">IF(BJ580=0,IF(BR580=0,0,1),(BR580-BJ580)/BJ580)</f>
        <v>0</v>
      </c>
      <c r="CA580" s="32" t="n">
        <f aca="false">IF(BK580=0,IF(BS580=0,0,1),(BS580-BK580)/BK580)</f>
        <v>0</v>
      </c>
      <c r="CB580" s="32" t="n">
        <f aca="false">IF(BL580=0,IF(BT580=0,0,1),(BT580-BL580)/BL580)</f>
        <v>0</v>
      </c>
      <c r="CC580" s="32" t="n">
        <f aca="false">IF(BM580=0,IF(BU580=0,0,1),(BU580-BM580)/BM580)</f>
        <v>0</v>
      </c>
      <c r="CD580" s="32" t="n">
        <f aca="false">MAX(MAX(BV580:CC580),-MIN(BV580:CC580))</f>
        <v>-0</v>
      </c>
      <c r="CE580" s="31" t="n">
        <f aca="false">IF(CI580="","",SUMIFS($CF$7:$CF$696,$A$7:$A$696,CI580,$B$7:$B$696,B580))</f>
        <v>135615</v>
      </c>
      <c r="CF580" s="31" t="n">
        <f aca="false">SUM(AU580:BE580)</f>
        <v>135615</v>
      </c>
      <c r="CG580" s="33" t="str">
        <f aca="false">A580&amp;"|"&amp;B580</f>
        <v>2027-02 月例|地方公務員災害補償基金本部</v>
      </c>
      <c r="CH580" s="34" t="str">
        <f aca="false">IFERROR(INDEX(設定!$D$61:$D$106,MATCH(B580,設定!$B$61:$B$106,0)),"Y")</f>
        <v>Y</v>
      </c>
      <c r="CI580" s="34" t="str">
        <f aca="false">IFERROR(INDEX(設定!$D$20:$D$34,MATCH(A580,設定!$A$20:$A$34,0))&amp;"","")</f>
        <v>2027-01 月例</v>
      </c>
    </row>
    <row r="581" customFormat="false" ht="15" hidden="true" customHeight="false" outlineLevel="0" collapsed="false">
      <c r="A581" s="22" t="s">
        <v>220</v>
      </c>
      <c r="B581" s="23" t="s">
        <v>183</v>
      </c>
      <c r="C581" s="10" t="str">
        <f aca="false">IF(G581="","未受領",IF(G581="なし","報告なし",IF(AH581="○","起票済",IF(OR(AG581="○",F581="一致",F581="入金不要"),"入金確認済","受領済"))))</f>
        <v>未受領</v>
      </c>
      <c r="D581" s="10" t="str">
        <f aca="false">IF(OR(G581="",G581="なし"),"―",IF(CH581="N","対象外",IF(AND(I581="",J581="",K581=""),"標報未入力",IF(CD581&gt;=設定!$B$4,"要確認","問題なし"))))</f>
        <v>―</v>
      </c>
      <c r="E581" s="24" t="str">
        <f aca="false">IF(OR(G581="",G581="なし",CE581="",CF581=0),"―",IF(CF581=CE581,"前月同額",IF(CE581=0,"―",IF(ABS(CF581/CE581-1)&gt;=設定!$B$5,"変動大 "&amp;TEXT(CF581/CE581-1,"+0%;-0%"),"〇"))))</f>
        <v>―</v>
      </c>
      <c r="F581" s="10" t="str">
        <f aca="false">IF(OR(G581="",G581="なし"),"―",IF(CF581=0,"入金不要",IF(COUNT(Z581,AB581,AD581,AF581)=0,IF(AG581="○","手動確認","未入金"),IF(AND(N(Z581)=Y581,IF(AA581="",TRUE(),N(AB581)=AA581),IF(AC581="",TRUE(),N(AD581)=AC581),IF(AE581="",TRUE(),N(AF581)=AE581)),"一致","不一致"))))</f>
        <v>―</v>
      </c>
      <c r="G581" s="25"/>
      <c r="H581" s="26"/>
      <c r="I581" s="27"/>
      <c r="J581" s="27"/>
      <c r="K581" s="27"/>
      <c r="L581" s="27"/>
      <c r="M581" s="27"/>
      <c r="N581" s="27"/>
      <c r="O581" s="27"/>
      <c r="P581" s="27"/>
      <c r="Q581" s="27"/>
      <c r="R581" s="27"/>
      <c r="S581" s="27"/>
      <c r="T581" s="27"/>
      <c r="U581" s="27"/>
      <c r="V581" s="27"/>
      <c r="W581" s="10" t="str">
        <f aca="false">IFERROR(INDEX(設定!$E$61:$E$106,MATCH(B581,設定!$B$61:$B$106,0)),"合算")</f>
        <v>合算</v>
      </c>
      <c r="X581" s="28"/>
      <c r="Y581" s="29" t="str">
        <f aca="false">IF(OR(G581="",G581="なし"),"",IF(W581="合算",CF581,IF(W581="掛金・負担金別",(AU581+AV581+AZ581+BB581+BD581),SUM(AU581:AY581))))</f>
        <v/>
      </c>
      <c r="Z581" s="27"/>
      <c r="AA581" s="29" t="str">
        <f aca="false">IF(OR(G581="",G581="なし"),"",IF(W581="掛金・負担金別",(AW581+AX581+AY581+BA581+BC581+BE581),IF(W581="経理区分別",AZ581+BA581,"")))</f>
        <v/>
      </c>
      <c r="AB581" s="27"/>
      <c r="AC581" s="29" t="str">
        <f aca="false">IF(OR(G581="",G581="なし"),"",IF(W581="経理区分別",BB581+BC581,""))</f>
        <v/>
      </c>
      <c r="AD581" s="27"/>
      <c r="AE581" s="29" t="str">
        <f aca="false">IF(OR(G581="",G581="なし"),"",IF(W581="経理区分別",BD581+BE581,""))</f>
        <v/>
      </c>
      <c r="AF581" s="27"/>
      <c r="AG581" s="26"/>
      <c r="AH581" s="26"/>
      <c r="AI581" s="30"/>
      <c r="AJ581" s="31" t="n">
        <v>102480</v>
      </c>
      <c r="AK581" s="31" t="n">
        <v>8400</v>
      </c>
      <c r="AL581" s="31" t="n">
        <v>102480</v>
      </c>
      <c r="AM581" s="31" t="n">
        <v>8400</v>
      </c>
      <c r="AN581" s="31" t="n">
        <v>105</v>
      </c>
      <c r="AO581" s="31" t="n">
        <v>61610</v>
      </c>
      <c r="AP581" s="31" t="n">
        <v>61723</v>
      </c>
      <c r="AQ581" s="31" t="n">
        <v>4661</v>
      </c>
      <c r="AR581" s="31" t="n">
        <v>4661</v>
      </c>
      <c r="AS581" s="31" t="n">
        <v>1</v>
      </c>
      <c r="AT581" s="31" t="n">
        <v>1</v>
      </c>
      <c r="AU581" s="31" t="n">
        <f aca="false">IF($G581="",AJ581,L581)</f>
        <v>102480</v>
      </c>
      <c r="AV581" s="31" t="n">
        <f aca="false">IF($G581="",AK581,M581)</f>
        <v>8400</v>
      </c>
      <c r="AW581" s="31" t="n">
        <f aca="false">IF($G581="",AL581,N581)</f>
        <v>102480</v>
      </c>
      <c r="AX581" s="31" t="n">
        <f aca="false">IF($G581="",AM581,O581)</f>
        <v>8400</v>
      </c>
      <c r="AY581" s="31" t="n">
        <f aca="false">IF($G581="",AN581,P581)</f>
        <v>105</v>
      </c>
      <c r="AZ581" s="31" t="n">
        <f aca="false">IF($G581="",AO581,Q581)</f>
        <v>61610</v>
      </c>
      <c r="BA581" s="31" t="n">
        <f aca="false">IF($G581="",AP581,R581)</f>
        <v>61723</v>
      </c>
      <c r="BB581" s="31" t="n">
        <f aca="false">IF($G581="",AQ581,S581)</f>
        <v>4661</v>
      </c>
      <c r="BC581" s="31" t="n">
        <f aca="false">IF($G581="",AR581,T581)</f>
        <v>4661</v>
      </c>
      <c r="BD581" s="31" t="n">
        <f aca="false">IF($G581="",AS581,U581)</f>
        <v>1</v>
      </c>
      <c r="BE581" s="31" t="n">
        <f aca="false">IF($G581="",AT581,V581)</f>
        <v>1</v>
      </c>
      <c r="BF581" s="31" t="n">
        <f aca="false">ROUNDDOWN(I581*設定!$B$10/1000,0)+ROUNDDOWN(I581*設定!$B$11/1000,0)</f>
        <v>0</v>
      </c>
      <c r="BG581" s="31" t="n">
        <f aca="false">ROUNDDOWN(I581*設定!$C$10/1000,0)+ROUNDDOWN(I581*設定!$C$11/1000,0)+ROUNDDOWN(I581*設定!$C$12/1000,0)</f>
        <v>0</v>
      </c>
      <c r="BH581" s="31" t="n">
        <f aca="false">ROUNDDOWN(J581*設定!$B$13/1000,0)</f>
        <v>0</v>
      </c>
      <c r="BI581" s="31" t="n">
        <f aca="false">ROUNDDOWN(J581*設定!$C$13/1000,0)</f>
        <v>0</v>
      </c>
      <c r="BJ581" s="31" t="n">
        <f aca="false">ROUNDDOWN(K581*設定!$B$14/1000,0)</f>
        <v>0</v>
      </c>
      <c r="BK581" s="31" t="n">
        <f aca="false">ROUNDDOWN(K581*設定!$C$14/1000,0)</f>
        <v>0</v>
      </c>
      <c r="BL581" s="31" t="n">
        <f aca="false">ROUNDDOWN(J581*設定!$B$15/1000,0)</f>
        <v>0</v>
      </c>
      <c r="BM581" s="31" t="n">
        <f aca="false">ROUNDDOWN(J581*設定!$C$15/1000,0)</f>
        <v>0</v>
      </c>
      <c r="BN581" s="31" t="n">
        <f aca="false">L581+M581</f>
        <v>0</v>
      </c>
      <c r="BO581" s="31" t="n">
        <f aca="false">N581+O581+P581</f>
        <v>0</v>
      </c>
      <c r="BP581" s="31" t="n">
        <f aca="false">Q581</f>
        <v>0</v>
      </c>
      <c r="BQ581" s="31" t="n">
        <f aca="false">R581</f>
        <v>0</v>
      </c>
      <c r="BR581" s="31" t="n">
        <f aca="false">S581</f>
        <v>0</v>
      </c>
      <c r="BS581" s="31" t="n">
        <f aca="false">T581</f>
        <v>0</v>
      </c>
      <c r="BT581" s="31" t="n">
        <f aca="false">U581</f>
        <v>0</v>
      </c>
      <c r="BU581" s="31" t="n">
        <f aca="false">V581</f>
        <v>0</v>
      </c>
      <c r="BV581" s="32" t="n">
        <f aca="false">IF(BF581=0,IF(BN581=0,0,1),(BN581-BF581)/BF581)</f>
        <v>0</v>
      </c>
      <c r="BW581" s="32" t="n">
        <f aca="false">IF(BG581=0,IF(BO581=0,0,1),(BO581-BG581)/BG581)</f>
        <v>0</v>
      </c>
      <c r="BX581" s="32" t="n">
        <f aca="false">IF(BH581=0,IF(BP581=0,0,1),(BP581-BH581)/BH581)</f>
        <v>0</v>
      </c>
      <c r="BY581" s="32" t="n">
        <f aca="false">IF(BI581=0,IF(BQ581=0,0,1),(BQ581-BI581)/BI581)</f>
        <v>0</v>
      </c>
      <c r="BZ581" s="32" t="n">
        <f aca="false">IF(BJ581=0,IF(BR581=0,0,1),(BR581-BJ581)/BJ581)</f>
        <v>0</v>
      </c>
      <c r="CA581" s="32" t="n">
        <f aca="false">IF(BK581=0,IF(BS581=0,0,1),(BS581-BK581)/BK581)</f>
        <v>0</v>
      </c>
      <c r="CB581" s="32" t="n">
        <f aca="false">IF(BL581=0,IF(BT581=0,0,1),(BT581-BL581)/BL581)</f>
        <v>0</v>
      </c>
      <c r="CC581" s="32" t="n">
        <f aca="false">IF(BM581=0,IF(BU581=0,0,1),(BU581-BM581)/BM581)</f>
        <v>0</v>
      </c>
      <c r="CD581" s="32" t="n">
        <f aca="false">MAX(MAX(BV581:CC581),-MIN(BV581:CC581))</f>
        <v>-0</v>
      </c>
      <c r="CE581" s="31" t="n">
        <f aca="false">IF(CI581="","",SUMIFS($CF$7:$CF$696,$A$7:$A$696,CI581,$B$7:$B$696,B581))</f>
        <v>354522</v>
      </c>
      <c r="CF581" s="31" t="n">
        <f aca="false">SUM(AU581:BE581)</f>
        <v>354522</v>
      </c>
      <c r="CG581" s="33" t="str">
        <f aca="false">A581&amp;"|"&amp;B581</f>
        <v>2027-02 月例|救急振興財団</v>
      </c>
      <c r="CH581" s="34" t="str">
        <f aca="false">IFERROR(INDEX(設定!$D$61:$D$106,MATCH(B581,設定!$B$61:$B$106,0)),"Y")</f>
        <v>Y</v>
      </c>
      <c r="CI581" s="34" t="str">
        <f aca="false">IFERROR(INDEX(設定!$D$20:$D$34,MATCH(A581,設定!$A$20:$A$34,0))&amp;"","")</f>
        <v>2027-01 月例</v>
      </c>
    </row>
    <row r="582" customFormat="false" ht="15" hidden="true" customHeight="false" outlineLevel="0" collapsed="false">
      <c r="A582" s="22" t="s">
        <v>220</v>
      </c>
      <c r="B582" s="23" t="s">
        <v>184</v>
      </c>
      <c r="C582" s="10" t="str">
        <f aca="false">IF(G582="","未受領",IF(G582="なし","報告なし",IF(AH582="○","起票済",IF(OR(AG582="○",F582="一致",F582="入金不要"),"入金確認済","受領済"))))</f>
        <v>未受領</v>
      </c>
      <c r="D582" s="10" t="str">
        <f aca="false">IF(OR(G582="",G582="なし"),"―",IF(CH582="N","対象外",IF(AND(I582="",J582="",K582=""),"標報未入力",IF(CD582&gt;=設定!$B$4,"要確認","問題なし"))))</f>
        <v>―</v>
      </c>
      <c r="E582" s="24" t="str">
        <f aca="false">IF(OR(G582="",G582="なし",CE582="",CF582=0),"―",IF(CF582=CE582,"前月同額",IF(CE582=0,"―",IF(ABS(CF582/CE582-1)&gt;=設定!$B$5,"変動大 "&amp;TEXT(CF582/CE582-1,"+0%;-0%"),"〇"))))</f>
        <v>―</v>
      </c>
      <c r="F582" s="10" t="str">
        <f aca="false">IF(OR(G582="",G582="なし"),"―",IF(CF582=0,"入金不要",IF(COUNT(Z582,AB582,AD582,AF582)=0,IF(AG582="○","手動確認","未入金"),IF(AND(N(Z582)=Y582,IF(AA582="",TRUE(),N(AB582)=AA582),IF(AC582="",TRUE(),N(AD582)=AC582),IF(AE582="",TRUE(),N(AF582)=AE582)),"一致","不一致"))))</f>
        <v>―</v>
      </c>
      <c r="G582" s="25"/>
      <c r="H582" s="26"/>
      <c r="I582" s="27"/>
      <c r="J582" s="27"/>
      <c r="K582" s="27"/>
      <c r="L582" s="27"/>
      <c r="M582" s="27"/>
      <c r="N582" s="27"/>
      <c r="O582" s="27"/>
      <c r="P582" s="27"/>
      <c r="Q582" s="27"/>
      <c r="R582" s="27"/>
      <c r="S582" s="27"/>
      <c r="T582" s="27"/>
      <c r="U582" s="27"/>
      <c r="V582" s="27"/>
      <c r="W582" s="10" t="str">
        <f aca="false">IFERROR(INDEX(設定!$E$61:$E$106,MATCH(B582,設定!$B$61:$B$106,0)),"合算")</f>
        <v>合算</v>
      </c>
      <c r="X582" s="28"/>
      <c r="Y582" s="29" t="str">
        <f aca="false">IF(OR(G582="",G582="なし"),"",IF(W582="合算",CF582,IF(W582="掛金・負担金別",(AU582+AV582+AZ582+BB582+BD582),SUM(AU582:AY582))))</f>
        <v/>
      </c>
      <c r="Z582" s="27"/>
      <c r="AA582" s="29" t="str">
        <f aca="false">IF(OR(G582="",G582="なし"),"",IF(W582="掛金・負担金別",(AW582+AX582+AY582+BA582+BC582+BE582),IF(W582="経理区分別",AZ582+BA582,"")))</f>
        <v/>
      </c>
      <c r="AB582" s="27"/>
      <c r="AC582" s="29" t="str">
        <f aca="false">IF(OR(G582="",G582="なし"),"",IF(W582="経理区分別",BB582+BC582,""))</f>
        <v/>
      </c>
      <c r="AD582" s="27"/>
      <c r="AE582" s="29" t="str">
        <f aca="false">IF(OR(G582="",G582="なし"),"",IF(W582="経理区分別",BD582+BE582,""))</f>
        <v/>
      </c>
      <c r="AF582" s="27"/>
      <c r="AG582" s="26"/>
      <c r="AH582" s="26"/>
      <c r="AI582" s="30"/>
      <c r="AJ582" s="31" t="n">
        <v>923235</v>
      </c>
      <c r="AK582" s="31" t="n">
        <v>75675</v>
      </c>
      <c r="AL582" s="31" t="n">
        <v>923235</v>
      </c>
      <c r="AM582" s="31" t="n">
        <v>75675</v>
      </c>
      <c r="AN582" s="31" t="n">
        <v>947</v>
      </c>
      <c r="AO582" s="31" t="n">
        <v>556693</v>
      </c>
      <c r="AP582" s="31" t="n">
        <v>557713</v>
      </c>
      <c r="AQ582" s="31" t="n">
        <v>54747</v>
      </c>
      <c r="AR582" s="31" t="n">
        <v>54747</v>
      </c>
      <c r="AS582" s="31" t="n">
        <v>1</v>
      </c>
      <c r="AT582" s="31" t="n">
        <v>1</v>
      </c>
      <c r="AU582" s="31" t="n">
        <f aca="false">IF($G582="",AJ582,L582)</f>
        <v>923235</v>
      </c>
      <c r="AV582" s="31" t="n">
        <f aca="false">IF($G582="",AK582,M582)</f>
        <v>75675</v>
      </c>
      <c r="AW582" s="31" t="n">
        <f aca="false">IF($G582="",AL582,N582)</f>
        <v>923235</v>
      </c>
      <c r="AX582" s="31" t="n">
        <f aca="false">IF($G582="",AM582,O582)</f>
        <v>75675</v>
      </c>
      <c r="AY582" s="31" t="n">
        <f aca="false">IF($G582="",AN582,P582)</f>
        <v>947</v>
      </c>
      <c r="AZ582" s="31" t="n">
        <f aca="false">IF($G582="",AO582,Q582)</f>
        <v>556693</v>
      </c>
      <c r="BA582" s="31" t="n">
        <f aca="false">IF($G582="",AP582,R582)</f>
        <v>557713</v>
      </c>
      <c r="BB582" s="31" t="n">
        <f aca="false">IF($G582="",AQ582,S582)</f>
        <v>54747</v>
      </c>
      <c r="BC582" s="31" t="n">
        <f aca="false">IF($G582="",AR582,T582)</f>
        <v>54747</v>
      </c>
      <c r="BD582" s="31" t="n">
        <f aca="false">IF($G582="",AS582,U582)</f>
        <v>1</v>
      </c>
      <c r="BE582" s="31" t="n">
        <f aca="false">IF($G582="",AT582,V582)</f>
        <v>1</v>
      </c>
      <c r="BF582" s="31" t="n">
        <f aca="false">ROUNDDOWN(I582*設定!$B$10/1000,0)+ROUNDDOWN(I582*設定!$B$11/1000,0)</f>
        <v>0</v>
      </c>
      <c r="BG582" s="31" t="n">
        <f aca="false">ROUNDDOWN(I582*設定!$C$10/1000,0)+ROUNDDOWN(I582*設定!$C$11/1000,0)+ROUNDDOWN(I582*設定!$C$12/1000,0)</f>
        <v>0</v>
      </c>
      <c r="BH582" s="31" t="n">
        <f aca="false">ROUNDDOWN(J582*設定!$B$13/1000,0)</f>
        <v>0</v>
      </c>
      <c r="BI582" s="31" t="n">
        <f aca="false">ROUNDDOWN(J582*設定!$C$13/1000,0)</f>
        <v>0</v>
      </c>
      <c r="BJ582" s="31" t="n">
        <f aca="false">ROUNDDOWN(K582*設定!$B$14/1000,0)</f>
        <v>0</v>
      </c>
      <c r="BK582" s="31" t="n">
        <f aca="false">ROUNDDOWN(K582*設定!$C$14/1000,0)</f>
        <v>0</v>
      </c>
      <c r="BL582" s="31" t="n">
        <f aca="false">ROUNDDOWN(J582*設定!$B$15/1000,0)</f>
        <v>0</v>
      </c>
      <c r="BM582" s="31" t="n">
        <f aca="false">ROUNDDOWN(J582*設定!$C$15/1000,0)</f>
        <v>0</v>
      </c>
      <c r="BN582" s="31" t="n">
        <f aca="false">L582+M582</f>
        <v>0</v>
      </c>
      <c r="BO582" s="31" t="n">
        <f aca="false">N582+O582+P582</f>
        <v>0</v>
      </c>
      <c r="BP582" s="31" t="n">
        <f aca="false">Q582</f>
        <v>0</v>
      </c>
      <c r="BQ582" s="31" t="n">
        <f aca="false">R582</f>
        <v>0</v>
      </c>
      <c r="BR582" s="31" t="n">
        <f aca="false">S582</f>
        <v>0</v>
      </c>
      <c r="BS582" s="31" t="n">
        <f aca="false">T582</f>
        <v>0</v>
      </c>
      <c r="BT582" s="31" t="n">
        <f aca="false">U582</f>
        <v>0</v>
      </c>
      <c r="BU582" s="31" t="n">
        <f aca="false">V582</f>
        <v>0</v>
      </c>
      <c r="BV582" s="32" t="n">
        <f aca="false">IF(BF582=0,IF(BN582=0,0,1),(BN582-BF582)/BF582)</f>
        <v>0</v>
      </c>
      <c r="BW582" s="32" t="n">
        <f aca="false">IF(BG582=0,IF(BO582=0,0,1),(BO582-BG582)/BG582)</f>
        <v>0</v>
      </c>
      <c r="BX582" s="32" t="n">
        <f aca="false">IF(BH582=0,IF(BP582=0,0,1),(BP582-BH582)/BH582)</f>
        <v>0</v>
      </c>
      <c r="BY582" s="32" t="n">
        <f aca="false">IF(BI582=0,IF(BQ582=0,0,1),(BQ582-BI582)/BI582)</f>
        <v>0</v>
      </c>
      <c r="BZ582" s="32" t="n">
        <f aca="false">IF(BJ582=0,IF(BR582=0,0,1),(BR582-BJ582)/BJ582)</f>
        <v>0</v>
      </c>
      <c r="CA582" s="32" t="n">
        <f aca="false">IF(BK582=0,IF(BS582=0,0,1),(BS582-BK582)/BK582)</f>
        <v>0</v>
      </c>
      <c r="CB582" s="32" t="n">
        <f aca="false">IF(BL582=0,IF(BT582=0,0,1),(BT582-BL582)/BL582)</f>
        <v>0</v>
      </c>
      <c r="CC582" s="32" t="n">
        <f aca="false">IF(BM582=0,IF(BU582=0,0,1),(BU582-BM582)/BM582)</f>
        <v>0</v>
      </c>
      <c r="CD582" s="32" t="n">
        <f aca="false">MAX(MAX(BV582:CC582),-MIN(BV582:CC582))</f>
        <v>-0</v>
      </c>
      <c r="CE582" s="31" t="n">
        <f aca="false">IF(CI582="","",SUMIFS($CF$7:$CF$696,$A$7:$A$696,CI582,$B$7:$B$696,B582))</f>
        <v>3214769</v>
      </c>
      <c r="CF582" s="31" t="n">
        <f aca="false">SUM(AU582:BE582)</f>
        <v>3222669</v>
      </c>
      <c r="CG582" s="33" t="str">
        <f aca="false">A582&amp;"|"&amp;B582</f>
        <v>2027-02 月例|高速道路公社</v>
      </c>
      <c r="CH582" s="34" t="str">
        <f aca="false">IFERROR(INDEX(設定!$D$61:$D$106,MATCH(B582,設定!$B$61:$B$106,0)),"Y")</f>
        <v>Y</v>
      </c>
      <c r="CI582" s="34" t="str">
        <f aca="false">IFERROR(INDEX(設定!$D$20:$D$34,MATCH(A582,設定!$A$20:$A$34,0))&amp;"","")</f>
        <v>2027-01 月例</v>
      </c>
    </row>
    <row r="583" customFormat="false" ht="15" hidden="true" customHeight="false" outlineLevel="0" collapsed="false">
      <c r="A583" s="22" t="s">
        <v>220</v>
      </c>
      <c r="B583" s="23" t="s">
        <v>185</v>
      </c>
      <c r="C583" s="10" t="str">
        <f aca="false">IF(G583="","未受領",IF(G583="なし","報告なし",IF(AH583="○","起票済",IF(OR(AG583="○",F583="一致",F583="入金不要"),"入金確認済","受領済"))))</f>
        <v>未受領</v>
      </c>
      <c r="D583" s="10" t="str">
        <f aca="false">IF(OR(G583="",G583="なし"),"―",IF(CH583="N","対象外",IF(AND(I583="",J583="",K583=""),"標報未入力",IF(CD583&gt;=設定!$B$4,"要確認","問題なし"))))</f>
        <v>―</v>
      </c>
      <c r="E583" s="24" t="str">
        <f aca="false">IF(OR(G583="",G583="なし",CE583="",CF583=0),"―",IF(CF583=CE583,"前月同額",IF(CE583=0,"―",IF(ABS(CF583/CE583-1)&gt;=設定!$B$5,"変動大 "&amp;TEXT(CF583/CE583-1,"+0%;-0%"),"〇"))))</f>
        <v>―</v>
      </c>
      <c r="F583" s="10" t="str">
        <f aca="false">IF(OR(G583="",G583="なし"),"―",IF(CF583=0,"入金不要",IF(COUNT(Z583,AB583,AD583,AF583)=0,IF(AG583="○","手動確認","未入金"),IF(AND(N(Z583)=Y583,IF(AA583="",TRUE(),N(AB583)=AA583),IF(AC583="",TRUE(),N(AD583)=AC583),IF(AE583="",TRUE(),N(AF583)=AE583)),"一致","不一致"))))</f>
        <v>―</v>
      </c>
      <c r="G583" s="25"/>
      <c r="H583" s="26"/>
      <c r="I583" s="27"/>
      <c r="J583" s="27"/>
      <c r="K583" s="27"/>
      <c r="L583" s="27"/>
      <c r="M583" s="27"/>
      <c r="N583" s="27"/>
      <c r="O583" s="27"/>
      <c r="P583" s="27"/>
      <c r="Q583" s="27"/>
      <c r="R583" s="27"/>
      <c r="S583" s="27"/>
      <c r="T583" s="27"/>
      <c r="U583" s="27"/>
      <c r="V583" s="27"/>
      <c r="W583" s="10" t="str">
        <f aca="false">IFERROR(INDEX(設定!$E$61:$E$106,MATCH(B583,設定!$B$61:$B$106,0)),"合算")</f>
        <v>合算</v>
      </c>
      <c r="X583" s="28"/>
      <c r="Y583" s="29" t="str">
        <f aca="false">IF(OR(G583="",G583="なし"),"",IF(W583="合算",CF583,IF(W583="掛金・負担金別",(AU583+AV583+AZ583+BB583+BD583),SUM(AU583:AY583))))</f>
        <v/>
      </c>
      <c r="Z583" s="27"/>
      <c r="AA583" s="29" t="str">
        <f aca="false">IF(OR(G583="",G583="なし"),"",IF(W583="掛金・負担金別",(AW583+AX583+AY583+BA583+BC583+BE583),IF(W583="経理区分別",AZ583+BA583,"")))</f>
        <v/>
      </c>
      <c r="AB583" s="27"/>
      <c r="AC583" s="29" t="str">
        <f aca="false">IF(OR(G583="",G583="なし"),"",IF(W583="経理区分別",BB583+BC583,""))</f>
        <v/>
      </c>
      <c r="AD583" s="27"/>
      <c r="AE583" s="29" t="str">
        <f aca="false">IF(OR(G583="",G583="なし"),"",IF(W583="経理区分別",BD583+BE583,""))</f>
        <v/>
      </c>
      <c r="AF583" s="27"/>
      <c r="AG583" s="26"/>
      <c r="AH583" s="26"/>
      <c r="AI583" s="30"/>
      <c r="AJ583" s="31"/>
      <c r="AK583" s="31"/>
      <c r="AL583" s="31" t="n">
        <v>571875</v>
      </c>
      <c r="AM583" s="31" t="n">
        <v>46875</v>
      </c>
      <c r="AN583" s="31" t="n">
        <v>613</v>
      </c>
      <c r="AO583" s="31"/>
      <c r="AP583" s="31" t="n">
        <v>344467</v>
      </c>
      <c r="AQ583" s="31"/>
      <c r="AR583" s="31" t="n">
        <v>27255</v>
      </c>
      <c r="AS583" s="31"/>
      <c r="AT583" s="31" t="n">
        <v>1</v>
      </c>
      <c r="AU583" s="31" t="n">
        <f aca="false">IF($G583="",AJ583,L583)</f>
        <v>0</v>
      </c>
      <c r="AV583" s="31" t="n">
        <f aca="false">IF($G583="",AK583,M583)</f>
        <v>0</v>
      </c>
      <c r="AW583" s="31" t="n">
        <f aca="false">IF($G583="",AL583,N583)</f>
        <v>571875</v>
      </c>
      <c r="AX583" s="31" t="n">
        <f aca="false">IF($G583="",AM583,O583)</f>
        <v>46875</v>
      </c>
      <c r="AY583" s="31" t="n">
        <f aca="false">IF($G583="",AN583,P583)</f>
        <v>613</v>
      </c>
      <c r="AZ583" s="31" t="n">
        <f aca="false">IF($G583="",AO583,Q583)</f>
        <v>0</v>
      </c>
      <c r="BA583" s="31" t="n">
        <f aca="false">IF($G583="",AP583,R583)</f>
        <v>344467</v>
      </c>
      <c r="BB583" s="31" t="n">
        <f aca="false">IF($G583="",AQ583,S583)</f>
        <v>0</v>
      </c>
      <c r="BC583" s="31" t="n">
        <f aca="false">IF($G583="",AR583,T583)</f>
        <v>27255</v>
      </c>
      <c r="BD583" s="31" t="n">
        <f aca="false">IF($G583="",AS583,U583)</f>
        <v>0</v>
      </c>
      <c r="BE583" s="31" t="n">
        <f aca="false">IF($G583="",AT583,V583)</f>
        <v>1</v>
      </c>
      <c r="BF583" s="31" t="n">
        <f aca="false">ROUNDDOWN(I583*設定!$B$10/1000,0)+ROUNDDOWN(I583*設定!$B$11/1000,0)</f>
        <v>0</v>
      </c>
      <c r="BG583" s="31" t="n">
        <f aca="false">ROUNDDOWN(I583*設定!$C$10/1000,0)+ROUNDDOWN(I583*設定!$C$11/1000,0)+ROUNDDOWN(I583*設定!$C$12/1000,0)</f>
        <v>0</v>
      </c>
      <c r="BH583" s="31" t="n">
        <f aca="false">ROUNDDOWN(J583*設定!$B$13/1000,0)</f>
        <v>0</v>
      </c>
      <c r="BI583" s="31" t="n">
        <f aca="false">ROUNDDOWN(J583*設定!$C$13/1000,0)</f>
        <v>0</v>
      </c>
      <c r="BJ583" s="31" t="n">
        <f aca="false">ROUNDDOWN(K583*設定!$B$14/1000,0)</f>
        <v>0</v>
      </c>
      <c r="BK583" s="31" t="n">
        <f aca="false">ROUNDDOWN(K583*設定!$C$14/1000,0)</f>
        <v>0</v>
      </c>
      <c r="BL583" s="31" t="n">
        <f aca="false">ROUNDDOWN(J583*設定!$B$15/1000,0)</f>
        <v>0</v>
      </c>
      <c r="BM583" s="31" t="n">
        <f aca="false">ROUNDDOWN(J583*設定!$C$15/1000,0)</f>
        <v>0</v>
      </c>
      <c r="BN583" s="31" t="n">
        <f aca="false">L583+M583</f>
        <v>0</v>
      </c>
      <c r="BO583" s="31" t="n">
        <f aca="false">N583+O583+P583</f>
        <v>0</v>
      </c>
      <c r="BP583" s="31" t="n">
        <f aca="false">Q583</f>
        <v>0</v>
      </c>
      <c r="BQ583" s="31" t="n">
        <f aca="false">R583</f>
        <v>0</v>
      </c>
      <c r="BR583" s="31" t="n">
        <f aca="false">S583</f>
        <v>0</v>
      </c>
      <c r="BS583" s="31" t="n">
        <f aca="false">T583</f>
        <v>0</v>
      </c>
      <c r="BT583" s="31" t="n">
        <f aca="false">U583</f>
        <v>0</v>
      </c>
      <c r="BU583" s="31" t="n">
        <f aca="false">V583</f>
        <v>0</v>
      </c>
      <c r="BV583" s="32" t="n">
        <f aca="false">IF(BF583=0,IF(BN583=0,0,1),(BN583-BF583)/BF583)</f>
        <v>0</v>
      </c>
      <c r="BW583" s="32" t="n">
        <f aca="false">IF(BG583=0,IF(BO583=0,0,1),(BO583-BG583)/BG583)</f>
        <v>0</v>
      </c>
      <c r="BX583" s="32" t="n">
        <f aca="false">IF(BH583=0,IF(BP583=0,0,1),(BP583-BH583)/BH583)</f>
        <v>0</v>
      </c>
      <c r="BY583" s="32" t="n">
        <f aca="false">IF(BI583=0,IF(BQ583=0,0,1),(BQ583-BI583)/BI583)</f>
        <v>0</v>
      </c>
      <c r="BZ583" s="32" t="n">
        <f aca="false">IF(BJ583=0,IF(BR583=0,0,1),(BR583-BJ583)/BJ583)</f>
        <v>0</v>
      </c>
      <c r="CA583" s="32" t="n">
        <f aca="false">IF(BK583=0,IF(BS583=0,0,1),(BS583-BK583)/BK583)</f>
        <v>0</v>
      </c>
      <c r="CB583" s="32" t="n">
        <f aca="false">IF(BL583=0,IF(BT583=0,0,1),(BT583-BL583)/BL583)</f>
        <v>0</v>
      </c>
      <c r="CC583" s="32" t="n">
        <f aca="false">IF(BM583=0,IF(BU583=0,0,1),(BU583-BM583)/BM583)</f>
        <v>0</v>
      </c>
      <c r="CD583" s="32" t="n">
        <f aca="false">MAX(MAX(BV583:CC583),-MIN(BV583:CC583))</f>
        <v>-0</v>
      </c>
      <c r="CE583" s="31" t="n">
        <f aca="false">IF(CI583="","",SUMIFS($CF$7:$CF$696,$A$7:$A$696,CI583,$B$7:$B$696,B583))</f>
        <v>991086</v>
      </c>
      <c r="CF583" s="31" t="n">
        <f aca="false">SUM(AU583:BE583)</f>
        <v>991086</v>
      </c>
      <c r="CG583" s="33" t="str">
        <f aca="false">A583&amp;"|"&amp;B583</f>
        <v>2027-02 月例|農林水産振興センタ</v>
      </c>
      <c r="CH583" s="34" t="str">
        <f aca="false">IFERROR(INDEX(設定!$D$61:$D$106,MATCH(B583,設定!$B$61:$B$106,0)),"Y")</f>
        <v>Y</v>
      </c>
      <c r="CI583" s="34" t="str">
        <f aca="false">IFERROR(INDEX(設定!$D$20:$D$34,MATCH(A583,設定!$A$20:$A$34,0))&amp;"","")</f>
        <v>2027-01 月例</v>
      </c>
    </row>
    <row r="584" customFormat="false" ht="15" hidden="true" customHeight="false" outlineLevel="0" collapsed="false">
      <c r="A584" s="22" t="s">
        <v>220</v>
      </c>
      <c r="B584" s="23" t="s">
        <v>186</v>
      </c>
      <c r="C584" s="10" t="str">
        <f aca="false">IF(G584="","未受領",IF(G584="なし","報告なし",IF(AH584="○","起票済",IF(OR(AG584="○",F584="一致",F584="入金不要"),"入金確認済","受領済"))))</f>
        <v>未受領</v>
      </c>
      <c r="D584" s="10" t="str">
        <f aca="false">IF(OR(G584="",G584="なし"),"―",IF(CH584="N","対象外",IF(AND(I584="",J584="",K584=""),"標報未入力",IF(CD584&gt;=設定!$B$4,"要確認","問題なし"))))</f>
        <v>―</v>
      </c>
      <c r="E584" s="24" t="str">
        <f aca="false">IF(OR(G584="",G584="なし",CE584="",CF584=0),"―",IF(CF584=CE584,"前月同額",IF(CE584=0,"―",IF(ABS(CF584/CE584-1)&gt;=設定!$B$5,"変動大 "&amp;TEXT(CF584/CE584-1,"+0%;-0%"),"〇"))))</f>
        <v>―</v>
      </c>
      <c r="F584" s="10" t="str">
        <f aca="false">IF(OR(G584="",G584="なし"),"―",IF(CF584=0,"入金不要",IF(COUNT(Z584,AB584,AD584,AF584)=0,IF(AG584="○","手動確認","未入金"),IF(AND(N(Z584)=Y584,IF(AA584="",TRUE(),N(AB584)=AA584),IF(AC584="",TRUE(),N(AD584)=AC584),IF(AE584="",TRUE(),N(AF584)=AE584)),"一致","不一致"))))</f>
        <v>―</v>
      </c>
      <c r="G584" s="25"/>
      <c r="H584" s="26"/>
      <c r="I584" s="27"/>
      <c r="J584" s="27"/>
      <c r="K584" s="27"/>
      <c r="L584" s="27"/>
      <c r="M584" s="27"/>
      <c r="N584" s="27"/>
      <c r="O584" s="27"/>
      <c r="P584" s="27"/>
      <c r="Q584" s="27"/>
      <c r="R584" s="27"/>
      <c r="S584" s="27"/>
      <c r="T584" s="27"/>
      <c r="U584" s="27"/>
      <c r="V584" s="27"/>
      <c r="W584" s="10" t="str">
        <f aca="false">IFERROR(INDEX(設定!$E$61:$E$106,MATCH(B584,設定!$B$61:$B$106,0)),"合算")</f>
        <v>合算</v>
      </c>
      <c r="X584" s="28"/>
      <c r="Y584" s="29" t="str">
        <f aca="false">IF(OR(G584="",G584="なし"),"",IF(W584="合算",CF584,IF(W584="掛金・負担金別",(AU584+AV584+AZ584+BB584+BD584),SUM(AU584:AY584))))</f>
        <v/>
      </c>
      <c r="Z584" s="27"/>
      <c r="AA584" s="29" t="str">
        <f aca="false">IF(OR(G584="",G584="なし"),"",IF(W584="掛金・負担金別",(AW584+AX584+AY584+BA584+BC584+BE584),IF(W584="経理区分別",AZ584+BA584,"")))</f>
        <v/>
      </c>
      <c r="AB584" s="27"/>
      <c r="AC584" s="29" t="str">
        <f aca="false">IF(OR(G584="",G584="なし"),"",IF(W584="経理区分別",BB584+BC584,""))</f>
        <v/>
      </c>
      <c r="AD584" s="27"/>
      <c r="AE584" s="29" t="str">
        <f aca="false">IF(OR(G584="",G584="なし"),"",IF(W584="経理区分別",BD584+BE584,""))</f>
        <v/>
      </c>
      <c r="AF584" s="27"/>
      <c r="AG584" s="26"/>
      <c r="AH584" s="26"/>
      <c r="AI584" s="30"/>
      <c r="AJ584" s="31"/>
      <c r="AK584" s="31"/>
      <c r="AL584" s="31" t="n">
        <v>1160220</v>
      </c>
      <c r="AM584" s="31" t="n">
        <v>95100</v>
      </c>
      <c r="AN584" s="31" t="n">
        <v>1185</v>
      </c>
      <c r="AO584" s="31"/>
      <c r="AP584" s="31" t="n">
        <v>698790</v>
      </c>
      <c r="AQ584" s="31"/>
      <c r="AR584" s="31" t="n">
        <v>94721</v>
      </c>
      <c r="AS584" s="31"/>
      <c r="AT584" s="31" t="n">
        <v>1</v>
      </c>
      <c r="AU584" s="31" t="n">
        <f aca="false">IF($G584="",AJ584,L584)</f>
        <v>0</v>
      </c>
      <c r="AV584" s="31" t="n">
        <f aca="false">IF($G584="",AK584,M584)</f>
        <v>0</v>
      </c>
      <c r="AW584" s="31" t="n">
        <f aca="false">IF($G584="",AL584,N584)</f>
        <v>1160220</v>
      </c>
      <c r="AX584" s="31" t="n">
        <f aca="false">IF($G584="",AM584,O584)</f>
        <v>95100</v>
      </c>
      <c r="AY584" s="31" t="n">
        <f aca="false">IF($G584="",AN584,P584)</f>
        <v>1185</v>
      </c>
      <c r="AZ584" s="31" t="n">
        <f aca="false">IF($G584="",AO584,Q584)</f>
        <v>0</v>
      </c>
      <c r="BA584" s="31" t="n">
        <f aca="false">IF($G584="",AP584,R584)</f>
        <v>698790</v>
      </c>
      <c r="BB584" s="31" t="n">
        <f aca="false">IF($G584="",AQ584,S584)</f>
        <v>0</v>
      </c>
      <c r="BC584" s="31" t="n">
        <f aca="false">IF($G584="",AR584,T584)</f>
        <v>94721</v>
      </c>
      <c r="BD584" s="31" t="n">
        <f aca="false">IF($G584="",AS584,U584)</f>
        <v>0</v>
      </c>
      <c r="BE584" s="31" t="n">
        <f aca="false">IF($G584="",AT584,V584)</f>
        <v>1</v>
      </c>
      <c r="BF584" s="31" t="n">
        <f aca="false">ROUNDDOWN(I584*設定!$B$10/1000,0)+ROUNDDOWN(I584*設定!$B$11/1000,0)</f>
        <v>0</v>
      </c>
      <c r="BG584" s="31" t="n">
        <f aca="false">ROUNDDOWN(I584*設定!$C$10/1000,0)+ROUNDDOWN(I584*設定!$C$11/1000,0)+ROUNDDOWN(I584*設定!$C$12/1000,0)</f>
        <v>0</v>
      </c>
      <c r="BH584" s="31" t="n">
        <f aca="false">ROUNDDOWN(J584*設定!$B$13/1000,0)</f>
        <v>0</v>
      </c>
      <c r="BI584" s="31" t="n">
        <f aca="false">ROUNDDOWN(J584*設定!$C$13/1000,0)</f>
        <v>0</v>
      </c>
      <c r="BJ584" s="31" t="n">
        <f aca="false">ROUNDDOWN(K584*設定!$B$14/1000,0)</f>
        <v>0</v>
      </c>
      <c r="BK584" s="31" t="n">
        <f aca="false">ROUNDDOWN(K584*設定!$C$14/1000,0)</f>
        <v>0</v>
      </c>
      <c r="BL584" s="31" t="n">
        <f aca="false">ROUNDDOWN(J584*設定!$B$15/1000,0)</f>
        <v>0</v>
      </c>
      <c r="BM584" s="31" t="n">
        <f aca="false">ROUNDDOWN(J584*設定!$C$15/1000,0)</f>
        <v>0</v>
      </c>
      <c r="BN584" s="31" t="n">
        <f aca="false">L584+M584</f>
        <v>0</v>
      </c>
      <c r="BO584" s="31" t="n">
        <f aca="false">N584+O584+P584</f>
        <v>0</v>
      </c>
      <c r="BP584" s="31" t="n">
        <f aca="false">Q584</f>
        <v>0</v>
      </c>
      <c r="BQ584" s="31" t="n">
        <f aca="false">R584</f>
        <v>0</v>
      </c>
      <c r="BR584" s="31" t="n">
        <f aca="false">S584</f>
        <v>0</v>
      </c>
      <c r="BS584" s="31" t="n">
        <f aca="false">T584</f>
        <v>0</v>
      </c>
      <c r="BT584" s="31" t="n">
        <f aca="false">U584</f>
        <v>0</v>
      </c>
      <c r="BU584" s="31" t="n">
        <f aca="false">V584</f>
        <v>0</v>
      </c>
      <c r="BV584" s="32" t="n">
        <f aca="false">IF(BF584=0,IF(BN584=0,0,1),(BN584-BF584)/BF584)</f>
        <v>0</v>
      </c>
      <c r="BW584" s="32" t="n">
        <f aca="false">IF(BG584=0,IF(BO584=0,0,1),(BO584-BG584)/BG584)</f>
        <v>0</v>
      </c>
      <c r="BX584" s="32" t="n">
        <f aca="false">IF(BH584=0,IF(BP584=0,0,1),(BP584-BH584)/BH584)</f>
        <v>0</v>
      </c>
      <c r="BY584" s="32" t="n">
        <f aca="false">IF(BI584=0,IF(BQ584=0,0,1),(BQ584-BI584)/BI584)</f>
        <v>0</v>
      </c>
      <c r="BZ584" s="32" t="n">
        <f aca="false">IF(BJ584=0,IF(BR584=0,0,1),(BR584-BJ584)/BJ584)</f>
        <v>0</v>
      </c>
      <c r="CA584" s="32" t="n">
        <f aca="false">IF(BK584=0,IF(BS584=0,0,1),(BS584-BK584)/BK584)</f>
        <v>0</v>
      </c>
      <c r="CB584" s="32" t="n">
        <f aca="false">IF(BL584=0,IF(BT584=0,0,1),(BT584-BL584)/BL584)</f>
        <v>0</v>
      </c>
      <c r="CC584" s="32" t="n">
        <f aca="false">IF(BM584=0,IF(BU584=0,0,1),(BU584-BM584)/BM584)</f>
        <v>0</v>
      </c>
      <c r="CD584" s="32" t="n">
        <f aca="false">MAX(MAX(BV584:CC584),-MIN(BV584:CC584))</f>
        <v>-0</v>
      </c>
      <c r="CE584" s="31" t="n">
        <f aca="false">IF(CI584="","",SUMIFS($CF$7:$CF$696,$A$7:$A$696,CI584,$B$7:$B$696,B584))</f>
        <v>2050017</v>
      </c>
      <c r="CF584" s="31" t="n">
        <f aca="false">SUM(AU584:BE584)</f>
        <v>2050017</v>
      </c>
      <c r="CG584" s="33" t="str">
        <f aca="false">A584&amp;"|"&amp;B584</f>
        <v>2027-02 月例|文化財団　市長部局</v>
      </c>
      <c r="CH584" s="34" t="str">
        <f aca="false">IFERROR(INDEX(設定!$D$61:$D$106,MATCH(B584,設定!$B$61:$B$106,0)),"Y")</f>
        <v>Y</v>
      </c>
      <c r="CI584" s="34" t="str">
        <f aca="false">IFERROR(INDEX(設定!$D$20:$D$34,MATCH(A584,設定!$A$20:$A$34,0))&amp;"","")</f>
        <v>2027-01 月例</v>
      </c>
    </row>
    <row r="585" customFormat="false" ht="15" hidden="true" customHeight="false" outlineLevel="0" collapsed="false">
      <c r="A585" s="22" t="s">
        <v>220</v>
      </c>
      <c r="B585" s="23" t="s">
        <v>187</v>
      </c>
      <c r="C585" s="10" t="str">
        <f aca="false">IF(G585="","未受領",IF(G585="なし","報告なし",IF(AH585="○","起票済",IF(OR(AG585="○",F585="一致",F585="入金不要"),"入金確認済","受領済"))))</f>
        <v>未受領</v>
      </c>
      <c r="D585" s="10" t="str">
        <f aca="false">IF(OR(G585="",G585="なし"),"―",IF(CH585="N","対象外",IF(AND(I585="",J585="",K585=""),"標報未入力",IF(CD585&gt;=設定!$B$4,"要確認","問題なし"))))</f>
        <v>―</v>
      </c>
      <c r="E585" s="24" t="str">
        <f aca="false">IF(OR(G585="",G585="なし",CE585="",CF585=0),"―",IF(CF585=CE585,"前月同額",IF(CE585=0,"―",IF(ABS(CF585/CE585-1)&gt;=設定!$B$5,"変動大 "&amp;TEXT(CF585/CE585-1,"+0%;-0%"),"〇"))))</f>
        <v>―</v>
      </c>
      <c r="F585" s="10" t="str">
        <f aca="false">IF(OR(G585="",G585="なし"),"―",IF(CF585=0,"入金不要",IF(COUNT(Z585,AB585,AD585,AF585)=0,IF(AG585="○","手動確認","未入金"),IF(AND(N(Z585)=Y585,IF(AA585="",TRUE(),N(AB585)=AA585),IF(AC585="",TRUE(),N(AD585)=AC585),IF(AE585="",TRUE(),N(AF585)=AE585)),"一致","不一致"))))</f>
        <v>―</v>
      </c>
      <c r="G585" s="25"/>
      <c r="H585" s="26"/>
      <c r="I585" s="27"/>
      <c r="J585" s="27"/>
      <c r="K585" s="27"/>
      <c r="L585" s="27"/>
      <c r="M585" s="27"/>
      <c r="N585" s="27"/>
      <c r="O585" s="27"/>
      <c r="P585" s="27"/>
      <c r="Q585" s="27"/>
      <c r="R585" s="27"/>
      <c r="S585" s="27"/>
      <c r="T585" s="27"/>
      <c r="U585" s="27"/>
      <c r="V585" s="27"/>
      <c r="W585" s="10" t="str">
        <f aca="false">IFERROR(INDEX(設定!$E$61:$E$106,MATCH(B585,設定!$B$61:$B$106,0)),"合算")</f>
        <v>合算</v>
      </c>
      <c r="X585" s="28"/>
      <c r="Y585" s="29" t="str">
        <f aca="false">IF(OR(G585="",G585="なし"),"",IF(W585="合算",CF585,IF(W585="掛金・負担金別",(AU585+AV585+AZ585+BB585+BD585),SUM(AU585:AY585))))</f>
        <v/>
      </c>
      <c r="Z585" s="27"/>
      <c r="AA585" s="29" t="str">
        <f aca="false">IF(OR(G585="",G585="なし"),"",IF(W585="掛金・負担金別",(AW585+AX585+AY585+BA585+BC585+BE585),IF(W585="経理区分別",AZ585+BA585,"")))</f>
        <v/>
      </c>
      <c r="AB585" s="27"/>
      <c r="AC585" s="29" t="str">
        <f aca="false">IF(OR(G585="",G585="なし"),"",IF(W585="経理区分別",BB585+BC585,""))</f>
        <v/>
      </c>
      <c r="AD585" s="27"/>
      <c r="AE585" s="29" t="str">
        <f aca="false">IF(OR(G585="",G585="なし"),"",IF(W585="経理区分別",BD585+BE585,""))</f>
        <v/>
      </c>
      <c r="AF585" s="27"/>
      <c r="AG585" s="26"/>
      <c r="AH585" s="26"/>
      <c r="AI585" s="30"/>
      <c r="AJ585" s="31"/>
      <c r="AK585" s="31"/>
      <c r="AL585" s="31" t="n">
        <v>0</v>
      </c>
      <c r="AM585" s="31" t="n">
        <v>0</v>
      </c>
      <c r="AN585" s="31" t="n">
        <v>0</v>
      </c>
      <c r="AO585" s="31"/>
      <c r="AP585" s="31" t="n">
        <v>0</v>
      </c>
      <c r="AQ585" s="31"/>
      <c r="AR585" s="31" t="n">
        <v>0</v>
      </c>
      <c r="AS585" s="31"/>
      <c r="AT585" s="31" t="n">
        <v>0</v>
      </c>
      <c r="AU585" s="31" t="n">
        <f aca="false">IF($G585="",AJ585,L585)</f>
        <v>0</v>
      </c>
      <c r="AV585" s="31" t="n">
        <f aca="false">IF($G585="",AK585,M585)</f>
        <v>0</v>
      </c>
      <c r="AW585" s="31" t="n">
        <f aca="false">IF($G585="",AL585,N585)</f>
        <v>0</v>
      </c>
      <c r="AX585" s="31" t="n">
        <f aca="false">IF($G585="",AM585,O585)</f>
        <v>0</v>
      </c>
      <c r="AY585" s="31" t="n">
        <f aca="false">IF($G585="",AN585,P585)</f>
        <v>0</v>
      </c>
      <c r="AZ585" s="31" t="n">
        <f aca="false">IF($G585="",AO585,Q585)</f>
        <v>0</v>
      </c>
      <c r="BA585" s="31" t="n">
        <f aca="false">IF($G585="",AP585,R585)</f>
        <v>0</v>
      </c>
      <c r="BB585" s="31" t="n">
        <f aca="false">IF($G585="",AQ585,S585)</f>
        <v>0</v>
      </c>
      <c r="BC585" s="31" t="n">
        <f aca="false">IF($G585="",AR585,T585)</f>
        <v>0</v>
      </c>
      <c r="BD585" s="31" t="n">
        <f aca="false">IF($G585="",AS585,U585)</f>
        <v>0</v>
      </c>
      <c r="BE585" s="31" t="n">
        <f aca="false">IF($G585="",AT585,V585)</f>
        <v>0</v>
      </c>
      <c r="BF585" s="31" t="n">
        <f aca="false">ROUNDDOWN(I585*設定!$B$10/1000,0)+ROUNDDOWN(I585*設定!$B$11/1000,0)</f>
        <v>0</v>
      </c>
      <c r="BG585" s="31" t="n">
        <f aca="false">ROUNDDOWN(I585*設定!$C$10/1000,0)+ROUNDDOWN(I585*設定!$C$11/1000,0)+ROUNDDOWN(I585*設定!$C$12/1000,0)</f>
        <v>0</v>
      </c>
      <c r="BH585" s="31" t="n">
        <f aca="false">ROUNDDOWN(J585*設定!$B$13/1000,0)</f>
        <v>0</v>
      </c>
      <c r="BI585" s="31" t="n">
        <f aca="false">ROUNDDOWN(J585*設定!$C$13/1000,0)</f>
        <v>0</v>
      </c>
      <c r="BJ585" s="31" t="n">
        <f aca="false">ROUNDDOWN(K585*設定!$B$14/1000,0)</f>
        <v>0</v>
      </c>
      <c r="BK585" s="31" t="n">
        <f aca="false">ROUNDDOWN(K585*設定!$C$14/1000,0)</f>
        <v>0</v>
      </c>
      <c r="BL585" s="31" t="n">
        <f aca="false">ROUNDDOWN(J585*設定!$B$15/1000,0)</f>
        <v>0</v>
      </c>
      <c r="BM585" s="31" t="n">
        <f aca="false">ROUNDDOWN(J585*設定!$C$15/1000,0)</f>
        <v>0</v>
      </c>
      <c r="BN585" s="31" t="n">
        <f aca="false">L585+M585</f>
        <v>0</v>
      </c>
      <c r="BO585" s="31" t="n">
        <f aca="false">N585+O585+P585</f>
        <v>0</v>
      </c>
      <c r="BP585" s="31" t="n">
        <f aca="false">Q585</f>
        <v>0</v>
      </c>
      <c r="BQ585" s="31" t="n">
        <f aca="false">R585</f>
        <v>0</v>
      </c>
      <c r="BR585" s="31" t="n">
        <f aca="false">S585</f>
        <v>0</v>
      </c>
      <c r="BS585" s="31" t="n">
        <f aca="false">T585</f>
        <v>0</v>
      </c>
      <c r="BT585" s="31" t="n">
        <f aca="false">U585</f>
        <v>0</v>
      </c>
      <c r="BU585" s="31" t="n">
        <f aca="false">V585</f>
        <v>0</v>
      </c>
      <c r="BV585" s="32" t="n">
        <f aca="false">IF(BF585=0,IF(BN585=0,0,1),(BN585-BF585)/BF585)</f>
        <v>0</v>
      </c>
      <c r="BW585" s="32" t="n">
        <f aca="false">IF(BG585=0,IF(BO585=0,0,1),(BO585-BG585)/BG585)</f>
        <v>0</v>
      </c>
      <c r="BX585" s="32" t="n">
        <f aca="false">IF(BH585=0,IF(BP585=0,0,1),(BP585-BH585)/BH585)</f>
        <v>0</v>
      </c>
      <c r="BY585" s="32" t="n">
        <f aca="false">IF(BI585=0,IF(BQ585=0,0,1),(BQ585-BI585)/BI585)</f>
        <v>0</v>
      </c>
      <c r="BZ585" s="32" t="n">
        <f aca="false">IF(BJ585=0,IF(BR585=0,0,1),(BR585-BJ585)/BJ585)</f>
        <v>0</v>
      </c>
      <c r="CA585" s="32" t="n">
        <f aca="false">IF(BK585=0,IF(BS585=0,0,1),(BS585-BK585)/BK585)</f>
        <v>0</v>
      </c>
      <c r="CB585" s="32" t="n">
        <f aca="false">IF(BL585=0,IF(BT585=0,0,1),(BT585-BL585)/BL585)</f>
        <v>0</v>
      </c>
      <c r="CC585" s="32" t="n">
        <f aca="false">IF(BM585=0,IF(BU585=0,0,1),(BU585-BM585)/BM585)</f>
        <v>0</v>
      </c>
      <c r="CD585" s="32" t="n">
        <f aca="false">MAX(MAX(BV585:CC585),-MIN(BV585:CC585))</f>
        <v>-0</v>
      </c>
      <c r="CE585" s="31" t="n">
        <f aca="false">IF(CI585="","",SUMIFS($CF$7:$CF$696,$A$7:$A$696,CI585,$B$7:$B$696,B585))</f>
        <v>0</v>
      </c>
      <c r="CF585" s="31" t="n">
        <f aca="false">SUM(AU585:BE585)</f>
        <v>0</v>
      </c>
      <c r="CG585" s="33" t="str">
        <f aca="false">A585&amp;"|"&amp;B585</f>
        <v>2027-02 月例|文化財団　教育委員会</v>
      </c>
      <c r="CH585" s="34" t="str">
        <f aca="false">IFERROR(INDEX(設定!$D$61:$D$106,MATCH(B585,設定!$B$61:$B$106,0)),"Y")</f>
        <v>Y</v>
      </c>
      <c r="CI585" s="34" t="str">
        <f aca="false">IFERROR(INDEX(設定!$D$20:$D$34,MATCH(A585,設定!$A$20:$A$34,0))&amp;"","")</f>
        <v>2027-01 月例</v>
      </c>
    </row>
    <row r="586" customFormat="false" ht="15" hidden="true" customHeight="false" outlineLevel="0" collapsed="false">
      <c r="A586" s="22" t="s">
        <v>220</v>
      </c>
      <c r="B586" s="23" t="s">
        <v>188</v>
      </c>
      <c r="C586" s="10" t="str">
        <f aca="false">IF(G586="","未受領",IF(G586="なし","報告なし",IF(AH586="○","起票済",IF(OR(AG586="○",F586="一致",F586="入金不要"),"入金確認済","受領済"))))</f>
        <v>未受領</v>
      </c>
      <c r="D586" s="10" t="str">
        <f aca="false">IF(OR(G586="",G586="なし"),"―",IF(CH586="N","対象外",IF(AND(I586="",J586="",K586=""),"標報未入力",IF(CD586&gt;=設定!$B$4,"要確認","問題なし"))))</f>
        <v>―</v>
      </c>
      <c r="E586" s="24" t="str">
        <f aca="false">IF(OR(G586="",G586="なし",CE586="",CF586=0),"―",IF(CF586=CE586,"前月同額",IF(CE586=0,"―",IF(ABS(CF586/CE586-1)&gt;=設定!$B$5,"変動大 "&amp;TEXT(CF586/CE586-1,"+0%;-0%"),"〇"))))</f>
        <v>―</v>
      </c>
      <c r="F586" s="10" t="str">
        <f aca="false">IF(OR(G586="",G586="なし"),"―",IF(CF586=0,"入金不要",IF(COUNT(Z586,AB586,AD586,AF586)=0,IF(AG586="○","手動確認","未入金"),IF(AND(N(Z586)=Y586,IF(AA586="",TRUE(),N(AB586)=AA586),IF(AC586="",TRUE(),N(AD586)=AC586),IF(AE586="",TRUE(),N(AF586)=AE586)),"一致","不一致"))))</f>
        <v>―</v>
      </c>
      <c r="G586" s="25"/>
      <c r="H586" s="26"/>
      <c r="I586" s="27"/>
      <c r="J586" s="27"/>
      <c r="K586" s="27"/>
      <c r="L586" s="27"/>
      <c r="M586" s="27"/>
      <c r="N586" s="27"/>
      <c r="O586" s="27"/>
      <c r="P586" s="27"/>
      <c r="Q586" s="27"/>
      <c r="R586" s="27"/>
      <c r="S586" s="27"/>
      <c r="T586" s="27"/>
      <c r="U586" s="27"/>
      <c r="V586" s="27"/>
      <c r="W586" s="10" t="str">
        <f aca="false">IFERROR(INDEX(設定!$E$61:$E$106,MATCH(B586,設定!$B$61:$B$106,0)),"合算")</f>
        <v>合算</v>
      </c>
      <c r="X586" s="28"/>
      <c r="Y586" s="29" t="str">
        <f aca="false">IF(OR(G586="",G586="なし"),"",IF(W586="合算",CF586,IF(W586="掛金・負担金別",(AU586+AV586+AZ586+BB586+BD586),SUM(AU586:AY586))))</f>
        <v/>
      </c>
      <c r="Z586" s="27"/>
      <c r="AA586" s="29" t="str">
        <f aca="false">IF(OR(G586="",G586="なし"),"",IF(W586="掛金・負担金別",(AW586+AX586+AY586+BA586+BC586+BE586),IF(W586="経理区分別",AZ586+BA586,"")))</f>
        <v/>
      </c>
      <c r="AB586" s="27"/>
      <c r="AC586" s="29" t="str">
        <f aca="false">IF(OR(G586="",G586="なし"),"",IF(W586="経理区分別",BB586+BC586,""))</f>
        <v/>
      </c>
      <c r="AD586" s="27"/>
      <c r="AE586" s="29" t="str">
        <f aca="false">IF(OR(G586="",G586="なし"),"",IF(W586="経理区分別",BD586+BE586,""))</f>
        <v/>
      </c>
      <c r="AF586" s="27"/>
      <c r="AG586" s="26"/>
      <c r="AH586" s="26"/>
      <c r="AI586" s="30"/>
      <c r="AJ586" s="31"/>
      <c r="AK586" s="31"/>
      <c r="AL586" s="31" t="n">
        <v>402600</v>
      </c>
      <c r="AM586" s="31" t="n">
        <v>33000</v>
      </c>
      <c r="AN586" s="31" t="n">
        <v>412</v>
      </c>
      <c r="AO586" s="31"/>
      <c r="AP586" s="31" t="n">
        <v>242482</v>
      </c>
      <c r="AQ586" s="31"/>
      <c r="AR586" s="31" t="n">
        <v>34760</v>
      </c>
      <c r="AS586" s="31"/>
      <c r="AT586" s="31" t="n">
        <v>1</v>
      </c>
      <c r="AU586" s="31" t="n">
        <f aca="false">IF($G586="",AJ586,L586)</f>
        <v>0</v>
      </c>
      <c r="AV586" s="31" t="n">
        <f aca="false">IF($G586="",AK586,M586)</f>
        <v>0</v>
      </c>
      <c r="AW586" s="31" t="n">
        <f aca="false">IF($G586="",AL586,N586)</f>
        <v>402600</v>
      </c>
      <c r="AX586" s="31" t="n">
        <f aca="false">IF($G586="",AM586,O586)</f>
        <v>33000</v>
      </c>
      <c r="AY586" s="31" t="n">
        <f aca="false">IF($G586="",AN586,P586)</f>
        <v>412</v>
      </c>
      <c r="AZ586" s="31" t="n">
        <f aca="false">IF($G586="",AO586,Q586)</f>
        <v>0</v>
      </c>
      <c r="BA586" s="31" t="n">
        <f aca="false">IF($G586="",AP586,R586)</f>
        <v>242482</v>
      </c>
      <c r="BB586" s="31" t="n">
        <f aca="false">IF($G586="",AQ586,S586)</f>
        <v>0</v>
      </c>
      <c r="BC586" s="31" t="n">
        <f aca="false">IF($G586="",AR586,T586)</f>
        <v>34760</v>
      </c>
      <c r="BD586" s="31" t="n">
        <f aca="false">IF($G586="",AS586,U586)</f>
        <v>0</v>
      </c>
      <c r="BE586" s="31" t="n">
        <f aca="false">IF($G586="",AT586,V586)</f>
        <v>1</v>
      </c>
      <c r="BF586" s="31" t="n">
        <f aca="false">ROUNDDOWN(I586*設定!$B$10/1000,0)+ROUNDDOWN(I586*設定!$B$11/1000,0)</f>
        <v>0</v>
      </c>
      <c r="BG586" s="31" t="n">
        <f aca="false">ROUNDDOWN(I586*設定!$C$10/1000,0)+ROUNDDOWN(I586*設定!$C$11/1000,0)+ROUNDDOWN(I586*設定!$C$12/1000,0)</f>
        <v>0</v>
      </c>
      <c r="BH586" s="31" t="n">
        <f aca="false">ROUNDDOWN(J586*設定!$B$13/1000,0)</f>
        <v>0</v>
      </c>
      <c r="BI586" s="31" t="n">
        <f aca="false">ROUNDDOWN(J586*設定!$C$13/1000,0)</f>
        <v>0</v>
      </c>
      <c r="BJ586" s="31" t="n">
        <f aca="false">ROUNDDOWN(K586*設定!$B$14/1000,0)</f>
        <v>0</v>
      </c>
      <c r="BK586" s="31" t="n">
        <f aca="false">ROUNDDOWN(K586*設定!$C$14/1000,0)</f>
        <v>0</v>
      </c>
      <c r="BL586" s="31" t="n">
        <f aca="false">ROUNDDOWN(J586*設定!$B$15/1000,0)</f>
        <v>0</v>
      </c>
      <c r="BM586" s="31" t="n">
        <f aca="false">ROUNDDOWN(J586*設定!$C$15/1000,0)</f>
        <v>0</v>
      </c>
      <c r="BN586" s="31" t="n">
        <f aca="false">L586+M586</f>
        <v>0</v>
      </c>
      <c r="BO586" s="31" t="n">
        <f aca="false">N586+O586+P586</f>
        <v>0</v>
      </c>
      <c r="BP586" s="31" t="n">
        <f aca="false">Q586</f>
        <v>0</v>
      </c>
      <c r="BQ586" s="31" t="n">
        <f aca="false">R586</f>
        <v>0</v>
      </c>
      <c r="BR586" s="31" t="n">
        <f aca="false">S586</f>
        <v>0</v>
      </c>
      <c r="BS586" s="31" t="n">
        <f aca="false">T586</f>
        <v>0</v>
      </c>
      <c r="BT586" s="31" t="n">
        <f aca="false">U586</f>
        <v>0</v>
      </c>
      <c r="BU586" s="31" t="n">
        <f aca="false">V586</f>
        <v>0</v>
      </c>
      <c r="BV586" s="32" t="n">
        <f aca="false">IF(BF586=0,IF(BN586=0,0,1),(BN586-BF586)/BF586)</f>
        <v>0</v>
      </c>
      <c r="BW586" s="32" t="n">
        <f aca="false">IF(BG586=0,IF(BO586=0,0,1),(BO586-BG586)/BG586)</f>
        <v>0</v>
      </c>
      <c r="BX586" s="32" t="n">
        <f aca="false">IF(BH586=0,IF(BP586=0,0,1),(BP586-BH586)/BH586)</f>
        <v>0</v>
      </c>
      <c r="BY586" s="32" t="n">
        <f aca="false">IF(BI586=0,IF(BQ586=0,0,1),(BQ586-BI586)/BI586)</f>
        <v>0</v>
      </c>
      <c r="BZ586" s="32" t="n">
        <f aca="false">IF(BJ586=0,IF(BR586=0,0,1),(BR586-BJ586)/BJ586)</f>
        <v>0</v>
      </c>
      <c r="CA586" s="32" t="n">
        <f aca="false">IF(BK586=0,IF(BS586=0,0,1),(BS586-BK586)/BK586)</f>
        <v>0</v>
      </c>
      <c r="CB586" s="32" t="n">
        <f aca="false">IF(BL586=0,IF(BT586=0,0,1),(BT586-BL586)/BL586)</f>
        <v>0</v>
      </c>
      <c r="CC586" s="32" t="n">
        <f aca="false">IF(BM586=0,IF(BU586=0,0,1),(BU586-BM586)/BM586)</f>
        <v>0</v>
      </c>
      <c r="CD586" s="32" t="n">
        <f aca="false">MAX(MAX(BV586:CC586),-MIN(BV586:CC586))</f>
        <v>-0</v>
      </c>
      <c r="CE586" s="31" t="n">
        <f aca="false">IF(CI586="","",SUMIFS($CF$7:$CF$696,$A$7:$A$696,CI586,$B$7:$B$696,B586))</f>
        <v>713255</v>
      </c>
      <c r="CF586" s="31" t="n">
        <f aca="false">SUM(AU586:BE586)</f>
        <v>713255</v>
      </c>
      <c r="CG586" s="33" t="str">
        <f aca="false">A586&amp;"|"&amp;B586</f>
        <v>2027-02 月例|みどり生きもの協会</v>
      </c>
      <c r="CH586" s="34" t="str">
        <f aca="false">IFERROR(INDEX(設定!$D$61:$D$106,MATCH(B586,設定!$B$61:$B$106,0)),"Y")</f>
        <v>Y</v>
      </c>
      <c r="CI586" s="34" t="str">
        <f aca="false">IFERROR(INDEX(設定!$D$20:$D$34,MATCH(A586,設定!$A$20:$A$34,0))&amp;"","")</f>
        <v>2027-01 月例</v>
      </c>
    </row>
    <row r="587" customFormat="false" ht="15" hidden="true" customHeight="false" outlineLevel="0" collapsed="false">
      <c r="A587" s="22" t="s">
        <v>220</v>
      </c>
      <c r="B587" s="23" t="s">
        <v>189</v>
      </c>
      <c r="C587" s="10" t="str">
        <f aca="false">IF(G587="","未受領",IF(G587="なし","報告なし",IF(AH587="○","起票済",IF(OR(AG587="○",F587="一致",F587="入金不要"),"入金確認済","受領済"))))</f>
        <v>未受領</v>
      </c>
      <c r="D587" s="10" t="str">
        <f aca="false">IF(OR(G587="",G587="なし"),"―",IF(CH587="N","対象外",IF(AND(I587="",J587="",K587=""),"標報未入力",IF(CD587&gt;=設定!$B$4,"要確認","問題なし"))))</f>
        <v>―</v>
      </c>
      <c r="E587" s="24" t="str">
        <f aca="false">IF(OR(G587="",G587="なし",CE587="",CF587=0),"―",IF(CF587=CE587,"前月同額",IF(CE587=0,"―",IF(ABS(CF587/CE587-1)&gt;=設定!$B$5,"変動大 "&amp;TEXT(CF587/CE587-1,"+0%;-0%"),"〇"))))</f>
        <v>―</v>
      </c>
      <c r="F587" s="10" t="str">
        <f aca="false">IF(OR(G587="",G587="なし"),"―",IF(CF587=0,"入金不要",IF(COUNT(Z587,AB587,AD587,AF587)=0,IF(AG587="○","手動確認","未入金"),IF(AND(N(Z587)=Y587,IF(AA587="",TRUE(),N(AB587)=AA587),IF(AC587="",TRUE(),N(AD587)=AC587),IF(AE587="",TRUE(),N(AF587)=AE587)),"一致","不一致"))))</f>
        <v>―</v>
      </c>
      <c r="G587" s="25"/>
      <c r="H587" s="26"/>
      <c r="I587" s="27"/>
      <c r="J587" s="27"/>
      <c r="K587" s="27"/>
      <c r="L587" s="27"/>
      <c r="M587" s="27"/>
      <c r="N587" s="27"/>
      <c r="O587" s="27"/>
      <c r="P587" s="27"/>
      <c r="Q587" s="27"/>
      <c r="R587" s="27"/>
      <c r="S587" s="27"/>
      <c r="T587" s="27"/>
      <c r="U587" s="27"/>
      <c r="V587" s="27"/>
      <c r="W587" s="10" t="str">
        <f aca="false">IFERROR(INDEX(設定!$E$61:$E$106,MATCH(B587,設定!$B$61:$B$106,0)),"合算")</f>
        <v>合算</v>
      </c>
      <c r="X587" s="28"/>
      <c r="Y587" s="29" t="str">
        <f aca="false">IF(OR(G587="",G587="なし"),"",IF(W587="合算",CF587,IF(W587="掛金・負担金別",(AU587+AV587+AZ587+BB587+BD587),SUM(AU587:AY587))))</f>
        <v/>
      </c>
      <c r="Z587" s="27"/>
      <c r="AA587" s="29" t="str">
        <f aca="false">IF(OR(G587="",G587="なし"),"",IF(W587="掛金・負担金別",(AW587+AX587+AY587+BA587+BC587+BE587),IF(W587="経理区分別",AZ587+BA587,"")))</f>
        <v/>
      </c>
      <c r="AB587" s="27"/>
      <c r="AC587" s="29" t="str">
        <f aca="false">IF(OR(G587="",G587="なし"),"",IF(W587="経理区分別",BB587+BC587,""))</f>
        <v/>
      </c>
      <c r="AD587" s="27"/>
      <c r="AE587" s="29" t="str">
        <f aca="false">IF(OR(G587="",G587="なし"),"",IF(W587="経理区分別",BD587+BE587,""))</f>
        <v/>
      </c>
      <c r="AF587" s="27"/>
      <c r="AG587" s="26"/>
      <c r="AH587" s="26"/>
      <c r="AI587" s="30"/>
      <c r="AJ587" s="31" t="n">
        <v>137250</v>
      </c>
      <c r="AK587" s="31" t="n">
        <v>11250</v>
      </c>
      <c r="AL587" s="31" t="n">
        <v>137250</v>
      </c>
      <c r="AM587" s="31" t="n">
        <v>11250</v>
      </c>
      <c r="AN587" s="31" t="n">
        <v>140</v>
      </c>
      <c r="AO587" s="31" t="n">
        <v>82514</v>
      </c>
      <c r="AP587" s="31" t="n">
        <v>82665</v>
      </c>
      <c r="AQ587" s="31" t="n">
        <v>8611</v>
      </c>
      <c r="AR587" s="31" t="n">
        <v>8611</v>
      </c>
      <c r="AS587" s="31" t="n">
        <v>1</v>
      </c>
      <c r="AT587" s="31" t="n">
        <v>1</v>
      </c>
      <c r="AU587" s="31" t="n">
        <f aca="false">IF($G587="",AJ587,L587)</f>
        <v>137250</v>
      </c>
      <c r="AV587" s="31" t="n">
        <f aca="false">IF($G587="",AK587,M587)</f>
        <v>11250</v>
      </c>
      <c r="AW587" s="31" t="n">
        <f aca="false">IF($G587="",AL587,N587)</f>
        <v>137250</v>
      </c>
      <c r="AX587" s="31" t="n">
        <f aca="false">IF($G587="",AM587,O587)</f>
        <v>11250</v>
      </c>
      <c r="AY587" s="31" t="n">
        <f aca="false">IF($G587="",AN587,P587)</f>
        <v>140</v>
      </c>
      <c r="AZ587" s="31" t="n">
        <f aca="false">IF($G587="",AO587,Q587)</f>
        <v>82514</v>
      </c>
      <c r="BA587" s="31" t="n">
        <f aca="false">IF($G587="",AP587,R587)</f>
        <v>82665</v>
      </c>
      <c r="BB587" s="31" t="n">
        <f aca="false">IF($G587="",AQ587,S587)</f>
        <v>8611</v>
      </c>
      <c r="BC587" s="31" t="n">
        <f aca="false">IF($G587="",AR587,T587)</f>
        <v>8611</v>
      </c>
      <c r="BD587" s="31" t="n">
        <f aca="false">IF($G587="",AS587,U587)</f>
        <v>1</v>
      </c>
      <c r="BE587" s="31" t="n">
        <f aca="false">IF($G587="",AT587,V587)</f>
        <v>1</v>
      </c>
      <c r="BF587" s="31" t="n">
        <f aca="false">ROUNDDOWN(I587*設定!$B$10/1000,0)+ROUNDDOWN(I587*設定!$B$11/1000,0)</f>
        <v>0</v>
      </c>
      <c r="BG587" s="31" t="n">
        <f aca="false">ROUNDDOWN(I587*設定!$C$10/1000,0)+ROUNDDOWN(I587*設定!$C$11/1000,0)+ROUNDDOWN(I587*設定!$C$12/1000,0)</f>
        <v>0</v>
      </c>
      <c r="BH587" s="31" t="n">
        <f aca="false">ROUNDDOWN(J587*設定!$B$13/1000,0)</f>
        <v>0</v>
      </c>
      <c r="BI587" s="31" t="n">
        <f aca="false">ROUNDDOWN(J587*設定!$C$13/1000,0)</f>
        <v>0</v>
      </c>
      <c r="BJ587" s="31" t="n">
        <f aca="false">ROUNDDOWN(K587*設定!$B$14/1000,0)</f>
        <v>0</v>
      </c>
      <c r="BK587" s="31" t="n">
        <f aca="false">ROUNDDOWN(K587*設定!$C$14/1000,0)</f>
        <v>0</v>
      </c>
      <c r="BL587" s="31" t="n">
        <f aca="false">ROUNDDOWN(J587*設定!$B$15/1000,0)</f>
        <v>0</v>
      </c>
      <c r="BM587" s="31" t="n">
        <f aca="false">ROUNDDOWN(J587*設定!$C$15/1000,0)</f>
        <v>0</v>
      </c>
      <c r="BN587" s="31" t="n">
        <f aca="false">L587+M587</f>
        <v>0</v>
      </c>
      <c r="BO587" s="31" t="n">
        <f aca="false">N587+O587+P587</f>
        <v>0</v>
      </c>
      <c r="BP587" s="31" t="n">
        <f aca="false">Q587</f>
        <v>0</v>
      </c>
      <c r="BQ587" s="31" t="n">
        <f aca="false">R587</f>
        <v>0</v>
      </c>
      <c r="BR587" s="31" t="n">
        <f aca="false">S587</f>
        <v>0</v>
      </c>
      <c r="BS587" s="31" t="n">
        <f aca="false">T587</f>
        <v>0</v>
      </c>
      <c r="BT587" s="31" t="n">
        <f aca="false">U587</f>
        <v>0</v>
      </c>
      <c r="BU587" s="31" t="n">
        <f aca="false">V587</f>
        <v>0</v>
      </c>
      <c r="BV587" s="32" t="n">
        <f aca="false">IF(BF587=0,IF(BN587=0,0,1),(BN587-BF587)/BF587)</f>
        <v>0</v>
      </c>
      <c r="BW587" s="32" t="n">
        <f aca="false">IF(BG587=0,IF(BO587=0,0,1),(BO587-BG587)/BG587)</f>
        <v>0</v>
      </c>
      <c r="BX587" s="32" t="n">
        <f aca="false">IF(BH587=0,IF(BP587=0,0,1),(BP587-BH587)/BH587)</f>
        <v>0</v>
      </c>
      <c r="BY587" s="32" t="n">
        <f aca="false">IF(BI587=0,IF(BQ587=0,0,1),(BQ587-BI587)/BI587)</f>
        <v>0</v>
      </c>
      <c r="BZ587" s="32" t="n">
        <f aca="false">IF(BJ587=0,IF(BR587=0,0,1),(BR587-BJ587)/BJ587)</f>
        <v>0</v>
      </c>
      <c r="CA587" s="32" t="n">
        <f aca="false">IF(BK587=0,IF(BS587=0,0,1),(BS587-BK587)/BK587)</f>
        <v>0</v>
      </c>
      <c r="CB587" s="32" t="n">
        <f aca="false">IF(BL587=0,IF(BT587=0,0,1),(BT587-BL587)/BL587)</f>
        <v>0</v>
      </c>
      <c r="CC587" s="32" t="n">
        <f aca="false">IF(BM587=0,IF(BU587=0,0,1),(BU587-BM587)/BM587)</f>
        <v>0</v>
      </c>
      <c r="CD587" s="32" t="n">
        <f aca="false">MAX(MAX(BV587:CC587),-MIN(BV587:CC587))</f>
        <v>-0</v>
      </c>
      <c r="CE587" s="31" t="n">
        <f aca="false">IF(CI587="","",SUMIFS($CF$7:$CF$696,$A$7:$A$696,CI587,$B$7:$B$696,B587))</f>
        <v>479543</v>
      </c>
      <c r="CF587" s="31" t="n">
        <f aca="false">SUM(AU587:BE587)</f>
        <v>479543</v>
      </c>
      <c r="CG587" s="33" t="str">
        <f aca="false">A587&amp;"|"&amp;B587</f>
        <v>2027-02 月例|県下水道公社</v>
      </c>
      <c r="CH587" s="34" t="str">
        <f aca="false">IFERROR(INDEX(設定!$D$61:$D$106,MATCH(B587,設定!$B$61:$B$106,0)),"Y")</f>
        <v>Y</v>
      </c>
      <c r="CI587" s="34" t="str">
        <f aca="false">IFERROR(INDEX(設定!$D$20:$D$34,MATCH(A587,設定!$A$20:$A$34,0))&amp;"","")</f>
        <v>2027-01 月例</v>
      </c>
    </row>
    <row r="588" customFormat="false" ht="26.85" hidden="true" customHeight="false" outlineLevel="0" collapsed="false">
      <c r="A588" s="22" t="s">
        <v>220</v>
      </c>
      <c r="B588" s="35" t="s">
        <v>190</v>
      </c>
      <c r="C588" s="10" t="str">
        <f aca="false">IF(G588="","未受領",IF(G588="なし","報告なし",IF(AH588="○","起票済",IF(OR(AG588="○",F588="一致",F588="入金不要"),"入金確認済","受領済"))))</f>
        <v>受領済</v>
      </c>
      <c r="D588" s="10" t="str">
        <f aca="false">IF(OR(G588="",G588="なし"),"―",IF(CH588="N","対象外",IF(AND(I588="",J588="",K588=""),"標報未入力",IF(CD588&gt;=設定!$B$4,"要確認","問題なし"))))</f>
        <v>標報未入力</v>
      </c>
      <c r="E588" s="24" t="str">
        <f aca="false">IF(OR(G588="",G588="なし",CE588="",CF588=0),"―",IF(CF588=CE588,"前月同額",IF(CE588=0,"―",IF(ABS(CF588/CE588-1)&gt;=設定!$B$5,"変動大 "&amp;TEXT(CF588/CE588-1,"+0%;-0%"),"〇"))))</f>
        <v>前月同額</v>
      </c>
      <c r="F588" s="10" t="str">
        <f aca="false">IF(OR(G588="",G588="なし"),"―",IF(CF588=0,"入金不要",IF(COUNT(Z588,AB588,AD588,AF588)=0,IF(AG588="○","手動確認","未入金"),IF(AND(N(Z588)=Y588,IF(AA588="",TRUE(),N(AB588)=AA588),IF(AC588="",TRUE(),N(AD588)=AC588),IF(AE588="",TRUE(),N(AF588)=AE588)),"一致","不一致"))))</f>
        <v>未入金</v>
      </c>
      <c r="G588" s="25" t="s">
        <v>159</v>
      </c>
      <c r="H588" s="26"/>
      <c r="I588" s="27"/>
      <c r="J588" s="27"/>
      <c r="K588" s="27"/>
      <c r="L588" s="27"/>
      <c r="M588" s="27"/>
      <c r="N588" s="27" t="n">
        <v>477630</v>
      </c>
      <c r="O588" s="27" t="n">
        <v>39150</v>
      </c>
      <c r="P588" s="27" t="n">
        <v>490</v>
      </c>
      <c r="Q588" s="27"/>
      <c r="R588" s="27" t="n">
        <v>293185</v>
      </c>
      <c r="S588" s="27"/>
      <c r="T588" s="27" t="n">
        <v>25517</v>
      </c>
      <c r="U588" s="27"/>
      <c r="V588" s="27" t="n">
        <v>1</v>
      </c>
      <c r="W588" s="10" t="str">
        <f aca="false">IFERROR(INDEX(設定!$E$61:$E$106,MATCH(B588,設定!$B$61:$B$106,0)),"合算")</f>
        <v>合算</v>
      </c>
      <c r="X588" s="28"/>
      <c r="Y588" s="29" t="n">
        <f aca="false">IF(OR(G588="",G588="なし"),"",IF(W588="合算",CF588,IF(W588="掛金・負担金別",(AU588+AV588+AZ588+BB588+BD588),SUM(AU588:AY588))))</f>
        <v>835973</v>
      </c>
      <c r="Z588" s="27"/>
      <c r="AA588" s="29" t="str">
        <f aca="false">IF(OR(G588="",G588="なし"),"",IF(W588="掛金・負担金別",(AW588+AX588+AY588+BA588+BC588+BE588),IF(W588="経理区分別",AZ588+BA588,"")))</f>
        <v/>
      </c>
      <c r="AB588" s="27"/>
      <c r="AC588" s="29" t="str">
        <f aca="false">IF(OR(G588="",G588="なし"),"",IF(W588="経理区分別",BB588+BC588,""))</f>
        <v/>
      </c>
      <c r="AD588" s="27"/>
      <c r="AE588" s="29" t="str">
        <f aca="false">IF(OR(G588="",G588="なし"),"",IF(W588="経理区分別",BD588+BE588,""))</f>
        <v/>
      </c>
      <c r="AF588" s="27"/>
      <c r="AG588" s="26"/>
      <c r="AH588" s="26"/>
      <c r="AI588" s="30"/>
      <c r="AJ588" s="31"/>
      <c r="AK588" s="31"/>
      <c r="AL588" s="31"/>
      <c r="AM588" s="31"/>
      <c r="AN588" s="31"/>
      <c r="AO588" s="31"/>
      <c r="AP588" s="31"/>
      <c r="AQ588" s="31"/>
      <c r="AR588" s="31"/>
      <c r="AS588" s="31"/>
      <c r="AT588" s="31"/>
      <c r="AU588" s="31" t="n">
        <f aca="false">IF($G588="",AJ588,L588)</f>
        <v>0</v>
      </c>
      <c r="AV588" s="31" t="n">
        <f aca="false">IF($G588="",AK588,M588)</f>
        <v>0</v>
      </c>
      <c r="AW588" s="31" t="n">
        <f aca="false">IF($G588="",AL588,N588)</f>
        <v>477630</v>
      </c>
      <c r="AX588" s="31" t="n">
        <f aca="false">IF($G588="",AM588,O588)</f>
        <v>39150</v>
      </c>
      <c r="AY588" s="31" t="n">
        <f aca="false">IF($G588="",AN588,P588)</f>
        <v>490</v>
      </c>
      <c r="AZ588" s="31" t="n">
        <f aca="false">IF($G588="",AO588,Q588)</f>
        <v>0</v>
      </c>
      <c r="BA588" s="31" t="n">
        <f aca="false">IF($G588="",AP588,R588)</f>
        <v>293185</v>
      </c>
      <c r="BB588" s="31" t="n">
        <f aca="false">IF($G588="",AQ588,S588)</f>
        <v>0</v>
      </c>
      <c r="BC588" s="31" t="n">
        <f aca="false">IF($G588="",AR588,T588)</f>
        <v>25517</v>
      </c>
      <c r="BD588" s="31" t="n">
        <f aca="false">IF($G588="",AS588,U588)</f>
        <v>0</v>
      </c>
      <c r="BE588" s="31" t="n">
        <f aca="false">IF($G588="",AT588,V588)</f>
        <v>1</v>
      </c>
      <c r="BF588" s="31" t="n">
        <f aca="false">ROUNDDOWN(I588*設定!$B$10/1000,0)+ROUNDDOWN(I588*設定!$B$11/1000,0)</f>
        <v>0</v>
      </c>
      <c r="BG588" s="31" t="n">
        <f aca="false">ROUNDDOWN(I588*設定!$C$10/1000,0)+ROUNDDOWN(I588*設定!$C$11/1000,0)+ROUNDDOWN(I588*設定!$C$12/1000,0)</f>
        <v>0</v>
      </c>
      <c r="BH588" s="31" t="n">
        <f aca="false">ROUNDDOWN(J588*設定!$B$13/1000,0)</f>
        <v>0</v>
      </c>
      <c r="BI588" s="31" t="n">
        <f aca="false">ROUNDDOWN(J588*設定!$C$13/1000,0)</f>
        <v>0</v>
      </c>
      <c r="BJ588" s="31" t="n">
        <f aca="false">ROUNDDOWN(K588*設定!$B$14/1000,0)</f>
        <v>0</v>
      </c>
      <c r="BK588" s="31" t="n">
        <f aca="false">ROUNDDOWN(K588*設定!$C$14/1000,0)</f>
        <v>0</v>
      </c>
      <c r="BL588" s="31" t="n">
        <f aca="false">ROUNDDOWN(J588*設定!$B$15/1000,0)</f>
        <v>0</v>
      </c>
      <c r="BM588" s="31" t="n">
        <f aca="false">ROUNDDOWN(J588*設定!$C$15/1000,0)</f>
        <v>0</v>
      </c>
      <c r="BN588" s="31" t="n">
        <f aca="false">L588+M588</f>
        <v>0</v>
      </c>
      <c r="BO588" s="31" t="n">
        <f aca="false">N588+O588+P588</f>
        <v>517270</v>
      </c>
      <c r="BP588" s="31" t="n">
        <f aca="false">Q588</f>
        <v>0</v>
      </c>
      <c r="BQ588" s="31" t="n">
        <f aca="false">R588</f>
        <v>293185</v>
      </c>
      <c r="BR588" s="31" t="n">
        <f aca="false">S588</f>
        <v>0</v>
      </c>
      <c r="BS588" s="31" t="n">
        <f aca="false">T588</f>
        <v>25517</v>
      </c>
      <c r="BT588" s="31" t="n">
        <f aca="false">U588</f>
        <v>0</v>
      </c>
      <c r="BU588" s="31" t="n">
        <f aca="false">V588</f>
        <v>1</v>
      </c>
      <c r="BV588" s="32" t="n">
        <f aca="false">IF(BF588=0,IF(BN588=0,0,1),(BN588-BF588)/BF588)</f>
        <v>0</v>
      </c>
      <c r="BW588" s="32" t="n">
        <f aca="false">IF(BG588=0,IF(BO588=0,0,1),(BO588-BG588)/BG588)</f>
        <v>1</v>
      </c>
      <c r="BX588" s="32" t="n">
        <f aca="false">IF(BH588=0,IF(BP588=0,0,1),(BP588-BH588)/BH588)</f>
        <v>0</v>
      </c>
      <c r="BY588" s="32" t="n">
        <f aca="false">IF(BI588=0,IF(BQ588=0,0,1),(BQ588-BI588)/BI588)</f>
        <v>1</v>
      </c>
      <c r="BZ588" s="32" t="n">
        <f aca="false">IF(BJ588=0,IF(BR588=0,0,1),(BR588-BJ588)/BJ588)</f>
        <v>0</v>
      </c>
      <c r="CA588" s="32" t="n">
        <f aca="false">IF(BK588=0,IF(BS588=0,0,1),(BS588-BK588)/BK588)</f>
        <v>1</v>
      </c>
      <c r="CB588" s="32" t="n">
        <f aca="false">IF(BL588=0,IF(BT588=0,0,1),(BT588-BL588)/BL588)</f>
        <v>0</v>
      </c>
      <c r="CC588" s="32" t="n">
        <f aca="false">IF(BM588=0,IF(BU588=0,0,1),(BU588-BM588)/BM588)</f>
        <v>1</v>
      </c>
      <c r="CD588" s="32" t="n">
        <f aca="false">MAX(MAX(BV588:CC588),-MIN(BV588:CC588))</f>
        <v>1</v>
      </c>
      <c r="CE588" s="31" t="n">
        <f aca="false">IF(CI588="","",SUMIFS($CF$7:$CF$696,$A$7:$A$696,CI588,$B$7:$B$696,B588))</f>
        <v>835973</v>
      </c>
      <c r="CF588" s="31" t="n">
        <f aca="false">SUM(AU588:BE588)</f>
        <v>835973</v>
      </c>
      <c r="CG588" s="36" t="str">
        <f aca="false">A588&amp;"|"&amp;B588</f>
        <v>2027-02 月例|バス協調・共創
プラットフォーム</v>
      </c>
      <c r="CH588" s="34" t="str">
        <f aca="false">IFERROR(INDEX(設定!$D$61:$D$106,MATCH(B588,設定!$B$61:$B$106,0)),"Y")</f>
        <v>Y</v>
      </c>
      <c r="CI588" s="34" t="str">
        <f aca="false">IFERROR(INDEX(設定!$D$20:$D$34,MATCH(A588,設定!$A$20:$A$34,0))&amp;"","")</f>
        <v>2027-01 月例</v>
      </c>
    </row>
    <row r="589" customFormat="false" ht="15" hidden="true" customHeight="false" outlineLevel="0" collapsed="false">
      <c r="A589" s="22" t="s">
        <v>220</v>
      </c>
      <c r="B589" s="23" t="s">
        <v>191</v>
      </c>
      <c r="C589" s="10" t="str">
        <f aca="false">IF(G589="","未受領",IF(G589="なし","報告なし",IF(AH589="○","起票済",IF(OR(AG589="○",F589="一致",F589="入金不要"),"入金確認済","受領済"))))</f>
        <v>未受領</v>
      </c>
      <c r="D589" s="10" t="str">
        <f aca="false">IF(OR(G589="",G589="なし"),"―",IF(CH589="N","対象外",IF(AND(I589="",J589="",K589=""),"標報未入力",IF(CD589&gt;=設定!$B$4,"要確認","問題なし"))))</f>
        <v>―</v>
      </c>
      <c r="E589" s="24" t="str">
        <f aca="false">IF(OR(G589="",G589="なし",CE589="",CF589=0),"―",IF(CF589=CE589,"前月同額",IF(CE589=0,"―",IF(ABS(CF589/CE589-1)&gt;=設定!$B$5,"変動大 "&amp;TEXT(CF589/CE589-1,"+0%;-0%"),"〇"))))</f>
        <v>―</v>
      </c>
      <c r="F589" s="10" t="str">
        <f aca="false">IF(OR(G589="",G589="なし"),"―",IF(CF589=0,"入金不要",IF(COUNT(Z589,AB589,AD589,AF589)=0,IF(AG589="○","手動確認","未入金"),IF(AND(N(Z589)=Y589,IF(AA589="",TRUE(),N(AB589)=AA589),IF(AC589="",TRUE(),N(AD589)=AC589),IF(AE589="",TRUE(),N(AF589)=AE589)),"一致","不一致"))))</f>
        <v>―</v>
      </c>
      <c r="G589" s="25"/>
      <c r="H589" s="26"/>
      <c r="I589" s="27"/>
      <c r="J589" s="27"/>
      <c r="K589" s="27"/>
      <c r="L589" s="27"/>
      <c r="M589" s="27"/>
      <c r="N589" s="27"/>
      <c r="O589" s="27"/>
      <c r="P589" s="27"/>
      <c r="Q589" s="27"/>
      <c r="R589" s="27"/>
      <c r="S589" s="27"/>
      <c r="T589" s="27"/>
      <c r="U589" s="27"/>
      <c r="V589" s="27"/>
      <c r="W589" s="10" t="str">
        <f aca="false">IFERROR(INDEX(設定!$E$61:$E$106,MATCH(B589,設定!$B$61:$B$106,0)),"合算")</f>
        <v>合算</v>
      </c>
      <c r="X589" s="28"/>
      <c r="Y589" s="29" t="str">
        <f aca="false">IF(OR(G589="",G589="なし"),"",IF(W589="合算",CF589,IF(W589="掛金・負担金別",(AU589+AV589+AZ589+BB589+BD589),SUM(AU589:AY589))))</f>
        <v/>
      </c>
      <c r="Z589" s="27"/>
      <c r="AA589" s="29" t="str">
        <f aca="false">IF(OR(G589="",G589="なし"),"",IF(W589="掛金・負担金別",(AW589+AX589+AY589+BA589+BC589+BE589),IF(W589="経理区分別",AZ589+BA589,"")))</f>
        <v/>
      </c>
      <c r="AB589" s="27"/>
      <c r="AC589" s="29" t="str">
        <f aca="false">IF(OR(G589="",G589="なし"),"",IF(W589="経理区分別",BB589+BC589,""))</f>
        <v/>
      </c>
      <c r="AD589" s="27"/>
      <c r="AE589" s="29" t="str">
        <f aca="false">IF(OR(G589="",G589="なし"),"",IF(W589="経理区分別",BD589+BE589,""))</f>
        <v/>
      </c>
      <c r="AF589" s="27"/>
      <c r="AG589" s="26"/>
      <c r="AH589" s="26"/>
      <c r="AI589" s="30"/>
      <c r="AJ589" s="31" t="n">
        <v>56730</v>
      </c>
      <c r="AK589" s="31" t="n">
        <v>4650</v>
      </c>
      <c r="AL589" s="31" t="n">
        <v>56730</v>
      </c>
      <c r="AM589" s="31" t="n">
        <v>4650</v>
      </c>
      <c r="AN589" s="31" t="n">
        <v>58</v>
      </c>
      <c r="AO589" s="31" t="n">
        <v>34106</v>
      </c>
      <c r="AP589" s="31" t="n">
        <v>34168</v>
      </c>
      <c r="AQ589" s="31" t="n">
        <v>4898</v>
      </c>
      <c r="AR589" s="31" t="n">
        <v>4898</v>
      </c>
      <c r="AS589" s="31" t="n">
        <v>1</v>
      </c>
      <c r="AT589" s="31" t="n">
        <v>1</v>
      </c>
      <c r="AU589" s="31" t="n">
        <f aca="false">IF($G589="",AJ589,L589)</f>
        <v>56730</v>
      </c>
      <c r="AV589" s="31" t="n">
        <f aca="false">IF($G589="",AK589,M589)</f>
        <v>4650</v>
      </c>
      <c r="AW589" s="31" t="n">
        <f aca="false">IF($G589="",AL589,N589)</f>
        <v>56730</v>
      </c>
      <c r="AX589" s="31" t="n">
        <f aca="false">IF($G589="",AM589,O589)</f>
        <v>4650</v>
      </c>
      <c r="AY589" s="31" t="n">
        <f aca="false">IF($G589="",AN589,P589)</f>
        <v>58</v>
      </c>
      <c r="AZ589" s="31" t="n">
        <f aca="false">IF($G589="",AO589,Q589)</f>
        <v>34106</v>
      </c>
      <c r="BA589" s="31" t="n">
        <f aca="false">IF($G589="",AP589,R589)</f>
        <v>34168</v>
      </c>
      <c r="BB589" s="31" t="n">
        <f aca="false">IF($G589="",AQ589,S589)</f>
        <v>4898</v>
      </c>
      <c r="BC589" s="31" t="n">
        <f aca="false">IF($G589="",AR589,T589)</f>
        <v>4898</v>
      </c>
      <c r="BD589" s="31" t="n">
        <f aca="false">IF($G589="",AS589,U589)</f>
        <v>1</v>
      </c>
      <c r="BE589" s="31" t="n">
        <f aca="false">IF($G589="",AT589,V589)</f>
        <v>1</v>
      </c>
      <c r="BF589" s="31" t="n">
        <f aca="false">ROUNDDOWN(I589*設定!$B$10/1000,0)+ROUNDDOWN(I589*設定!$B$11/1000,0)</f>
        <v>0</v>
      </c>
      <c r="BG589" s="31" t="n">
        <f aca="false">ROUNDDOWN(I589*設定!$C$10/1000,0)+ROUNDDOWN(I589*設定!$C$11/1000,0)+ROUNDDOWN(I589*設定!$C$12/1000,0)</f>
        <v>0</v>
      </c>
      <c r="BH589" s="31" t="n">
        <f aca="false">ROUNDDOWN(J589*設定!$B$13/1000,0)</f>
        <v>0</v>
      </c>
      <c r="BI589" s="31" t="n">
        <f aca="false">ROUNDDOWN(J589*設定!$C$13/1000,0)</f>
        <v>0</v>
      </c>
      <c r="BJ589" s="31" t="n">
        <f aca="false">ROUNDDOWN(K589*設定!$B$14/1000,0)</f>
        <v>0</v>
      </c>
      <c r="BK589" s="31" t="n">
        <f aca="false">ROUNDDOWN(K589*設定!$C$14/1000,0)</f>
        <v>0</v>
      </c>
      <c r="BL589" s="31" t="n">
        <f aca="false">ROUNDDOWN(J589*設定!$B$15/1000,0)</f>
        <v>0</v>
      </c>
      <c r="BM589" s="31" t="n">
        <f aca="false">ROUNDDOWN(J589*設定!$C$15/1000,0)</f>
        <v>0</v>
      </c>
      <c r="BN589" s="31" t="n">
        <f aca="false">L589+M589</f>
        <v>0</v>
      </c>
      <c r="BO589" s="31" t="n">
        <f aca="false">N589+O589+P589</f>
        <v>0</v>
      </c>
      <c r="BP589" s="31" t="n">
        <f aca="false">Q589</f>
        <v>0</v>
      </c>
      <c r="BQ589" s="31" t="n">
        <f aca="false">R589</f>
        <v>0</v>
      </c>
      <c r="BR589" s="31" t="n">
        <f aca="false">S589</f>
        <v>0</v>
      </c>
      <c r="BS589" s="31" t="n">
        <f aca="false">T589</f>
        <v>0</v>
      </c>
      <c r="BT589" s="31" t="n">
        <f aca="false">U589</f>
        <v>0</v>
      </c>
      <c r="BU589" s="31" t="n">
        <f aca="false">V589</f>
        <v>0</v>
      </c>
      <c r="BV589" s="32" t="n">
        <f aca="false">IF(BF589=0,IF(BN589=0,0,1),(BN589-BF589)/BF589)</f>
        <v>0</v>
      </c>
      <c r="BW589" s="32" t="n">
        <f aca="false">IF(BG589=0,IF(BO589=0,0,1),(BO589-BG589)/BG589)</f>
        <v>0</v>
      </c>
      <c r="BX589" s="32" t="n">
        <f aca="false">IF(BH589=0,IF(BP589=0,0,1),(BP589-BH589)/BH589)</f>
        <v>0</v>
      </c>
      <c r="BY589" s="32" t="n">
        <f aca="false">IF(BI589=0,IF(BQ589=0,0,1),(BQ589-BI589)/BI589)</f>
        <v>0</v>
      </c>
      <c r="BZ589" s="32" t="n">
        <f aca="false">IF(BJ589=0,IF(BR589=0,0,1),(BR589-BJ589)/BJ589)</f>
        <v>0</v>
      </c>
      <c r="CA589" s="32" t="n">
        <f aca="false">IF(BK589=0,IF(BS589=0,0,1),(BS589-BK589)/BK589)</f>
        <v>0</v>
      </c>
      <c r="CB589" s="32" t="n">
        <f aca="false">IF(BL589=0,IF(BT589=0,0,1),(BT589-BL589)/BL589)</f>
        <v>0</v>
      </c>
      <c r="CC589" s="32" t="n">
        <f aca="false">IF(BM589=0,IF(BU589=0,0,1),(BU589-BM589)/BM589)</f>
        <v>0</v>
      </c>
      <c r="CD589" s="32" t="n">
        <f aca="false">MAX(MAX(BV589:CC589),-MIN(BV589:CC589))</f>
        <v>-0</v>
      </c>
      <c r="CE589" s="31" t="n">
        <f aca="false">IF(CI589="","",SUMIFS($CF$7:$CF$696,$A$7:$A$696,CI589,$B$7:$B$696,B589))</f>
        <v>200890</v>
      </c>
      <c r="CF589" s="31" t="n">
        <f aca="false">SUM(AU589:BE589)</f>
        <v>200890</v>
      </c>
      <c r="CG589" s="33" t="str">
        <f aca="false">A589&amp;"|"&amp;B589</f>
        <v>2027-02 月例|広島県市長会</v>
      </c>
      <c r="CH589" s="34" t="str">
        <f aca="false">IFERROR(INDEX(設定!$D$61:$D$106,MATCH(B589,設定!$B$61:$B$106,0)),"Y")</f>
        <v>Y</v>
      </c>
      <c r="CI589" s="34" t="str">
        <f aca="false">IFERROR(INDEX(設定!$D$20:$D$34,MATCH(A589,設定!$A$20:$A$34,0))&amp;"","")</f>
        <v>2027-01 月例</v>
      </c>
    </row>
    <row r="590" customFormat="false" ht="15" hidden="true" customHeight="false" outlineLevel="0" collapsed="false">
      <c r="A590" s="22" t="s">
        <v>220</v>
      </c>
      <c r="B590" s="23" t="s">
        <v>192</v>
      </c>
      <c r="C590" s="10" t="str">
        <f aca="false">IF(G590="","未受領",IF(G590="なし","報告なし",IF(AH590="○","起票済",IF(OR(AG590="○",F590="一致",F590="入金不要"),"入金確認済","受領済"))))</f>
        <v>未受領</v>
      </c>
      <c r="D590" s="10" t="str">
        <f aca="false">IF(OR(G590="",G590="なし"),"―",IF(CH590="N","対象外",IF(AND(I590="",J590="",K590=""),"標報未入力",IF(CD590&gt;=設定!$B$4,"要確認","問題なし"))))</f>
        <v>―</v>
      </c>
      <c r="E590" s="24" t="str">
        <f aca="false">IF(OR(G590="",G590="なし",CE590="",CF590=0),"―",IF(CF590=CE590,"前月同額",IF(CE590=0,"―",IF(ABS(CF590/CE590-1)&gt;=設定!$B$5,"変動大 "&amp;TEXT(CF590/CE590-1,"+0%;-0%"),"〇"))))</f>
        <v>―</v>
      </c>
      <c r="F590" s="10" t="str">
        <f aca="false">IF(OR(G590="",G590="なし"),"―",IF(CF590=0,"入金不要",IF(COUNT(Z590,AB590,AD590,AF590)=0,IF(AG590="○","手動確認","未入金"),IF(AND(N(Z590)=Y590,IF(AA590="",TRUE(),N(AB590)=AA590),IF(AC590="",TRUE(),N(AD590)=AC590),IF(AE590="",TRUE(),N(AF590)=AE590)),"一致","不一致"))))</f>
        <v>―</v>
      </c>
      <c r="G590" s="25"/>
      <c r="H590" s="26"/>
      <c r="I590" s="27"/>
      <c r="J590" s="27"/>
      <c r="K590" s="27"/>
      <c r="L590" s="27"/>
      <c r="M590" s="27"/>
      <c r="N590" s="27"/>
      <c r="O590" s="27"/>
      <c r="P590" s="27"/>
      <c r="Q590" s="27"/>
      <c r="R590" s="27"/>
      <c r="S590" s="27"/>
      <c r="T590" s="27"/>
      <c r="U590" s="27"/>
      <c r="V590" s="27"/>
      <c r="W590" s="10" t="str">
        <f aca="false">IFERROR(INDEX(設定!$E$61:$E$106,MATCH(B590,設定!$B$61:$B$106,0)),"合算")</f>
        <v>合算</v>
      </c>
      <c r="X590" s="28"/>
      <c r="Y590" s="29" t="str">
        <f aca="false">IF(OR(G590="",G590="なし"),"",IF(W590="合算",CF590,IF(W590="掛金・負担金別",(AU590+AV590+AZ590+BB590+BD590),SUM(AU590:AY590))))</f>
        <v/>
      </c>
      <c r="Z590" s="27"/>
      <c r="AA590" s="29" t="str">
        <f aca="false">IF(OR(G590="",G590="なし"),"",IF(W590="掛金・負担金別",(AW590+AX590+AY590+BA590+BC590+BE590),IF(W590="経理区分別",AZ590+BA590,"")))</f>
        <v/>
      </c>
      <c r="AB590" s="27"/>
      <c r="AC590" s="29" t="str">
        <f aca="false">IF(OR(G590="",G590="なし"),"",IF(W590="経理区分別",BB590+BC590,""))</f>
        <v/>
      </c>
      <c r="AD590" s="27"/>
      <c r="AE590" s="29" t="str">
        <f aca="false">IF(OR(G590="",G590="なし"),"",IF(W590="経理区分別",BD590+BE590,""))</f>
        <v/>
      </c>
      <c r="AF590" s="27"/>
      <c r="AG590" s="26"/>
      <c r="AH590" s="26"/>
      <c r="AI590" s="30"/>
      <c r="AJ590" s="31" t="n">
        <v>59475</v>
      </c>
      <c r="AK590" s="31" t="n">
        <v>4875</v>
      </c>
      <c r="AL590" s="31" t="n">
        <v>59475</v>
      </c>
      <c r="AM590" s="31" t="n">
        <v>4875</v>
      </c>
      <c r="AN590" s="31" t="n">
        <v>61</v>
      </c>
      <c r="AO590" s="31" t="n">
        <v>41257</v>
      </c>
      <c r="AP590" s="31" t="n">
        <v>41332</v>
      </c>
      <c r="AQ590" s="31" t="n">
        <v>5925</v>
      </c>
      <c r="AR590" s="31" t="n">
        <v>5925</v>
      </c>
      <c r="AS590" s="31" t="n">
        <v>1</v>
      </c>
      <c r="AT590" s="31" t="n">
        <v>1</v>
      </c>
      <c r="AU590" s="31" t="n">
        <f aca="false">IF($G590="",AJ590,L590)</f>
        <v>59475</v>
      </c>
      <c r="AV590" s="31" t="n">
        <f aca="false">IF($G590="",AK590,M590)</f>
        <v>4875</v>
      </c>
      <c r="AW590" s="31" t="n">
        <f aca="false">IF($G590="",AL590,N590)</f>
        <v>59475</v>
      </c>
      <c r="AX590" s="31" t="n">
        <f aca="false">IF($G590="",AM590,O590)</f>
        <v>4875</v>
      </c>
      <c r="AY590" s="31" t="n">
        <f aca="false">IF($G590="",AN590,P590)</f>
        <v>61</v>
      </c>
      <c r="AZ590" s="31" t="n">
        <f aca="false">IF($G590="",AO590,Q590)</f>
        <v>41257</v>
      </c>
      <c r="BA590" s="31" t="n">
        <f aca="false">IF($G590="",AP590,R590)</f>
        <v>41332</v>
      </c>
      <c r="BB590" s="31" t="n">
        <f aca="false">IF($G590="",AQ590,S590)</f>
        <v>5925</v>
      </c>
      <c r="BC590" s="31" t="n">
        <f aca="false">IF($G590="",AR590,T590)</f>
        <v>5925</v>
      </c>
      <c r="BD590" s="31" t="n">
        <f aca="false">IF($G590="",AS590,U590)</f>
        <v>1</v>
      </c>
      <c r="BE590" s="31" t="n">
        <f aca="false">IF($G590="",AT590,V590)</f>
        <v>1</v>
      </c>
      <c r="BF590" s="31" t="n">
        <f aca="false">ROUNDDOWN(I590*設定!$B$10/1000,0)+ROUNDDOWN(I590*設定!$B$11/1000,0)</f>
        <v>0</v>
      </c>
      <c r="BG590" s="31" t="n">
        <f aca="false">ROUNDDOWN(I590*設定!$C$10/1000,0)+ROUNDDOWN(I590*設定!$C$11/1000,0)+ROUNDDOWN(I590*設定!$C$12/1000,0)</f>
        <v>0</v>
      </c>
      <c r="BH590" s="31" t="n">
        <f aca="false">ROUNDDOWN(J590*設定!$B$13/1000,0)</f>
        <v>0</v>
      </c>
      <c r="BI590" s="31" t="n">
        <f aca="false">ROUNDDOWN(J590*設定!$C$13/1000,0)</f>
        <v>0</v>
      </c>
      <c r="BJ590" s="31" t="n">
        <f aca="false">ROUNDDOWN(K590*設定!$B$14/1000,0)</f>
        <v>0</v>
      </c>
      <c r="BK590" s="31" t="n">
        <f aca="false">ROUNDDOWN(K590*設定!$C$14/1000,0)</f>
        <v>0</v>
      </c>
      <c r="BL590" s="31" t="n">
        <f aca="false">ROUNDDOWN(J590*設定!$B$15/1000,0)</f>
        <v>0</v>
      </c>
      <c r="BM590" s="31" t="n">
        <f aca="false">ROUNDDOWN(J590*設定!$C$15/1000,0)</f>
        <v>0</v>
      </c>
      <c r="BN590" s="31" t="n">
        <f aca="false">L590+M590</f>
        <v>0</v>
      </c>
      <c r="BO590" s="31" t="n">
        <f aca="false">N590+O590+P590</f>
        <v>0</v>
      </c>
      <c r="BP590" s="31" t="n">
        <f aca="false">Q590</f>
        <v>0</v>
      </c>
      <c r="BQ590" s="31" t="n">
        <f aca="false">R590</f>
        <v>0</v>
      </c>
      <c r="BR590" s="31" t="n">
        <f aca="false">S590</f>
        <v>0</v>
      </c>
      <c r="BS590" s="31" t="n">
        <f aca="false">T590</f>
        <v>0</v>
      </c>
      <c r="BT590" s="31" t="n">
        <f aca="false">U590</f>
        <v>0</v>
      </c>
      <c r="BU590" s="31" t="n">
        <f aca="false">V590</f>
        <v>0</v>
      </c>
      <c r="BV590" s="32" t="n">
        <f aca="false">IF(BF590=0,IF(BN590=0,0,1),(BN590-BF590)/BF590)</f>
        <v>0</v>
      </c>
      <c r="BW590" s="32" t="n">
        <f aca="false">IF(BG590=0,IF(BO590=0,0,1),(BO590-BG590)/BG590)</f>
        <v>0</v>
      </c>
      <c r="BX590" s="32" t="n">
        <f aca="false">IF(BH590=0,IF(BP590=0,0,1),(BP590-BH590)/BH590)</f>
        <v>0</v>
      </c>
      <c r="BY590" s="32" t="n">
        <f aca="false">IF(BI590=0,IF(BQ590=0,0,1),(BQ590-BI590)/BI590)</f>
        <v>0</v>
      </c>
      <c r="BZ590" s="32" t="n">
        <f aca="false">IF(BJ590=0,IF(BR590=0,0,1),(BR590-BJ590)/BJ590)</f>
        <v>0</v>
      </c>
      <c r="CA590" s="32" t="n">
        <f aca="false">IF(BK590=0,IF(BS590=0,0,1),(BS590-BK590)/BK590)</f>
        <v>0</v>
      </c>
      <c r="CB590" s="32" t="n">
        <f aca="false">IF(BL590=0,IF(BT590=0,0,1),(BT590-BL590)/BL590)</f>
        <v>0</v>
      </c>
      <c r="CC590" s="32" t="n">
        <f aca="false">IF(BM590=0,IF(BU590=0,0,1),(BU590-BM590)/BM590)</f>
        <v>0</v>
      </c>
      <c r="CD590" s="32" t="n">
        <f aca="false">MAX(MAX(BV590:CC590),-MIN(BV590:CC590))</f>
        <v>-0</v>
      </c>
      <c r="CE590" s="31" t="n">
        <f aca="false">IF(CI590="","",SUMIFS($CF$7:$CF$696,$A$7:$A$696,CI590,$B$7:$B$696,B590))</f>
        <v>223202</v>
      </c>
      <c r="CF590" s="31" t="n">
        <f aca="false">SUM(AU590:BE590)</f>
        <v>223202</v>
      </c>
      <c r="CG590" s="33" t="str">
        <f aca="false">A590&amp;"|"&amp;B590</f>
        <v>2027-02 月例|全国市町村研修財団</v>
      </c>
      <c r="CH590" s="34" t="str">
        <f aca="false">IFERROR(INDEX(設定!$D$61:$D$106,MATCH(B590,設定!$B$61:$B$106,0)),"Y")</f>
        <v>Y</v>
      </c>
      <c r="CI590" s="34" t="str">
        <f aca="false">IFERROR(INDEX(設定!$D$20:$D$34,MATCH(A590,設定!$A$20:$A$34,0))&amp;"","")</f>
        <v>2027-01 月例</v>
      </c>
    </row>
    <row r="591" customFormat="false" ht="15" hidden="true" customHeight="false" outlineLevel="0" collapsed="false">
      <c r="A591" s="22" t="s">
        <v>220</v>
      </c>
      <c r="B591" s="23" t="s">
        <v>193</v>
      </c>
      <c r="C591" s="10" t="str">
        <f aca="false">IF(G591="","未受領",IF(G591="なし","報告なし",IF(AH591="○","起票済",IF(OR(AG591="○",F591="一致",F591="入金不要"),"入金確認済","受領済"))))</f>
        <v>未受領</v>
      </c>
      <c r="D591" s="10" t="str">
        <f aca="false">IF(OR(G591="",G591="なし"),"―",IF(CH591="N","対象外",IF(AND(I591="",J591="",K591=""),"標報未入力",IF(CD591&gt;=設定!$B$4,"要確認","問題なし"))))</f>
        <v>―</v>
      </c>
      <c r="E591" s="24" t="str">
        <f aca="false">IF(OR(G591="",G591="なし",CE591="",CF591=0),"―",IF(CF591=CE591,"前月同額",IF(CE591=0,"―",IF(ABS(CF591/CE591-1)&gt;=設定!$B$5,"変動大 "&amp;TEXT(CF591/CE591-1,"+0%;-0%"),"〇"))))</f>
        <v>―</v>
      </c>
      <c r="F591" s="10" t="str">
        <f aca="false">IF(OR(G591="",G591="なし"),"―",IF(CF591=0,"入金不要",IF(COUNT(Z591,AB591,AD591,AF591)=0,IF(AG591="○","手動確認","未入金"),IF(AND(N(Z591)=Y591,IF(AA591="",TRUE(),N(AB591)=AA591),IF(AC591="",TRUE(),N(AD591)=AC591),IF(AE591="",TRUE(),N(AF591)=AE591)),"一致","不一致"))))</f>
        <v>―</v>
      </c>
      <c r="G591" s="25"/>
      <c r="H591" s="26"/>
      <c r="I591" s="27"/>
      <c r="J591" s="27"/>
      <c r="K591" s="27"/>
      <c r="L591" s="27"/>
      <c r="M591" s="27"/>
      <c r="N591" s="27"/>
      <c r="O591" s="27"/>
      <c r="P591" s="27"/>
      <c r="Q591" s="27"/>
      <c r="R591" s="27"/>
      <c r="S591" s="27"/>
      <c r="T591" s="27"/>
      <c r="U591" s="27"/>
      <c r="V591" s="27"/>
      <c r="W591" s="10" t="str">
        <f aca="false">IFERROR(INDEX(設定!$E$61:$E$106,MATCH(B591,設定!$B$61:$B$106,0)),"合算")</f>
        <v>合算</v>
      </c>
      <c r="X591" s="28"/>
      <c r="Y591" s="29" t="str">
        <f aca="false">IF(OR(G591="",G591="なし"),"",IF(W591="合算",CF591,IF(W591="掛金・負担金別",(AU591+AV591+AZ591+BB591+BD591),SUM(AU591:AY591))))</f>
        <v/>
      </c>
      <c r="Z591" s="27"/>
      <c r="AA591" s="29" t="str">
        <f aca="false">IF(OR(G591="",G591="なし"),"",IF(W591="掛金・負担金別",(AW591+AX591+AY591+BA591+BC591+BE591),IF(W591="経理区分別",AZ591+BA591,"")))</f>
        <v/>
      </c>
      <c r="AB591" s="27"/>
      <c r="AC591" s="29" t="str">
        <f aca="false">IF(OR(G591="",G591="なし"),"",IF(W591="経理区分別",BB591+BC591,""))</f>
        <v/>
      </c>
      <c r="AD591" s="27"/>
      <c r="AE591" s="29" t="str">
        <f aca="false">IF(OR(G591="",G591="なし"),"",IF(W591="経理区分別",BD591+BE591,""))</f>
        <v/>
      </c>
      <c r="AF591" s="27"/>
      <c r="AG591" s="26"/>
      <c r="AH591" s="26"/>
      <c r="AI591" s="30"/>
      <c r="AJ591" s="31" t="n">
        <v>53985</v>
      </c>
      <c r="AK591" s="31" t="n">
        <v>4425</v>
      </c>
      <c r="AL591" s="31" t="n">
        <v>53985</v>
      </c>
      <c r="AM591" s="31" t="n">
        <v>4425</v>
      </c>
      <c r="AN591" s="31" t="n">
        <v>55</v>
      </c>
      <c r="AO591" s="31" t="n">
        <v>32455</v>
      </c>
      <c r="AP591" s="31" t="n">
        <v>32514</v>
      </c>
      <c r="AQ591" s="31" t="n">
        <v>0</v>
      </c>
      <c r="AR591" s="31" t="n">
        <v>0</v>
      </c>
      <c r="AS591" s="31" t="n">
        <v>1</v>
      </c>
      <c r="AT591" s="31" t="n">
        <v>1</v>
      </c>
      <c r="AU591" s="31" t="n">
        <f aca="false">IF($G591="",AJ591,L591)</f>
        <v>53985</v>
      </c>
      <c r="AV591" s="31" t="n">
        <f aca="false">IF($G591="",AK591,M591)</f>
        <v>4425</v>
      </c>
      <c r="AW591" s="31" t="n">
        <f aca="false">IF($G591="",AL591,N591)</f>
        <v>53985</v>
      </c>
      <c r="AX591" s="31" t="n">
        <f aca="false">IF($G591="",AM591,O591)</f>
        <v>4425</v>
      </c>
      <c r="AY591" s="31" t="n">
        <f aca="false">IF($G591="",AN591,P591)</f>
        <v>55</v>
      </c>
      <c r="AZ591" s="31" t="n">
        <f aca="false">IF($G591="",AO591,Q591)</f>
        <v>32455</v>
      </c>
      <c r="BA591" s="31" t="n">
        <f aca="false">IF($G591="",AP591,R591)</f>
        <v>32514</v>
      </c>
      <c r="BB591" s="31" t="n">
        <f aca="false">IF($G591="",AQ591,S591)</f>
        <v>0</v>
      </c>
      <c r="BC591" s="31" t="n">
        <f aca="false">IF($G591="",AR591,T591)</f>
        <v>0</v>
      </c>
      <c r="BD591" s="31" t="n">
        <f aca="false">IF($G591="",AS591,U591)</f>
        <v>1</v>
      </c>
      <c r="BE591" s="31" t="n">
        <f aca="false">IF($G591="",AT591,V591)</f>
        <v>1</v>
      </c>
      <c r="BF591" s="31" t="n">
        <f aca="false">ROUNDDOWN(I591*設定!$B$10/1000,0)+ROUNDDOWN(I591*設定!$B$11/1000,0)</f>
        <v>0</v>
      </c>
      <c r="BG591" s="31" t="n">
        <f aca="false">ROUNDDOWN(I591*設定!$C$10/1000,0)+ROUNDDOWN(I591*設定!$C$11/1000,0)+ROUNDDOWN(I591*設定!$C$12/1000,0)</f>
        <v>0</v>
      </c>
      <c r="BH591" s="31" t="n">
        <f aca="false">ROUNDDOWN(J591*設定!$B$13/1000,0)</f>
        <v>0</v>
      </c>
      <c r="BI591" s="31" t="n">
        <f aca="false">ROUNDDOWN(J591*設定!$C$13/1000,0)</f>
        <v>0</v>
      </c>
      <c r="BJ591" s="31" t="n">
        <f aca="false">ROUNDDOWN(K591*設定!$B$14/1000,0)</f>
        <v>0</v>
      </c>
      <c r="BK591" s="31" t="n">
        <f aca="false">ROUNDDOWN(K591*設定!$C$14/1000,0)</f>
        <v>0</v>
      </c>
      <c r="BL591" s="31" t="n">
        <f aca="false">ROUNDDOWN(J591*設定!$B$15/1000,0)</f>
        <v>0</v>
      </c>
      <c r="BM591" s="31" t="n">
        <f aca="false">ROUNDDOWN(J591*設定!$C$15/1000,0)</f>
        <v>0</v>
      </c>
      <c r="BN591" s="31" t="n">
        <f aca="false">L591+M591</f>
        <v>0</v>
      </c>
      <c r="BO591" s="31" t="n">
        <f aca="false">N591+O591+P591</f>
        <v>0</v>
      </c>
      <c r="BP591" s="31" t="n">
        <f aca="false">Q591</f>
        <v>0</v>
      </c>
      <c r="BQ591" s="31" t="n">
        <f aca="false">R591</f>
        <v>0</v>
      </c>
      <c r="BR591" s="31" t="n">
        <f aca="false">S591</f>
        <v>0</v>
      </c>
      <c r="BS591" s="31" t="n">
        <f aca="false">T591</f>
        <v>0</v>
      </c>
      <c r="BT591" s="31" t="n">
        <f aca="false">U591</f>
        <v>0</v>
      </c>
      <c r="BU591" s="31" t="n">
        <f aca="false">V591</f>
        <v>0</v>
      </c>
      <c r="BV591" s="32" t="n">
        <f aca="false">IF(BF591=0,IF(BN591=0,0,1),(BN591-BF591)/BF591)</f>
        <v>0</v>
      </c>
      <c r="BW591" s="32" t="n">
        <f aca="false">IF(BG591=0,IF(BO591=0,0,1),(BO591-BG591)/BG591)</f>
        <v>0</v>
      </c>
      <c r="BX591" s="32" t="n">
        <f aca="false">IF(BH591=0,IF(BP591=0,0,1),(BP591-BH591)/BH591)</f>
        <v>0</v>
      </c>
      <c r="BY591" s="32" t="n">
        <f aca="false">IF(BI591=0,IF(BQ591=0,0,1),(BQ591-BI591)/BI591)</f>
        <v>0</v>
      </c>
      <c r="BZ591" s="32" t="n">
        <f aca="false">IF(BJ591=0,IF(BR591=0,0,1),(BR591-BJ591)/BJ591)</f>
        <v>0</v>
      </c>
      <c r="CA591" s="32" t="n">
        <f aca="false">IF(BK591=0,IF(BS591=0,0,1),(BS591-BK591)/BK591)</f>
        <v>0</v>
      </c>
      <c r="CB591" s="32" t="n">
        <f aca="false">IF(BL591=0,IF(BT591=0,0,1),(BT591-BL591)/BL591)</f>
        <v>0</v>
      </c>
      <c r="CC591" s="32" t="n">
        <f aca="false">IF(BM591=0,IF(BU591=0,0,1),(BU591-BM591)/BM591)</f>
        <v>0</v>
      </c>
      <c r="CD591" s="32" t="n">
        <f aca="false">MAX(MAX(BV591:CC591),-MIN(BV591:CC591))</f>
        <v>-0</v>
      </c>
      <c r="CE591" s="31" t="n">
        <f aca="false">IF(CI591="","",SUMIFS($CF$7:$CF$696,$A$7:$A$696,CI591,$B$7:$B$696,B591))</f>
        <v>181846</v>
      </c>
      <c r="CF591" s="31" t="n">
        <f aca="false">SUM(AU591:BE591)</f>
        <v>181846</v>
      </c>
      <c r="CG591" s="33" t="str">
        <f aca="false">A591&amp;"|"&amp;B591</f>
        <v>2027-02 月例|都市再生機構</v>
      </c>
      <c r="CH591" s="34" t="str">
        <f aca="false">IFERROR(INDEX(設定!$D$61:$D$106,MATCH(B591,設定!$B$61:$B$106,0)),"Y")</f>
        <v>Y</v>
      </c>
      <c r="CI591" s="34" t="str">
        <f aca="false">IFERROR(INDEX(設定!$D$20:$D$34,MATCH(A591,設定!$A$20:$A$34,0))&amp;"","")</f>
        <v>2027-01 月例</v>
      </c>
    </row>
    <row r="592" customFormat="false" ht="15" hidden="true" customHeight="false" outlineLevel="0" collapsed="false">
      <c r="A592" s="22" t="s">
        <v>220</v>
      </c>
      <c r="B592" s="23" t="s">
        <v>194</v>
      </c>
      <c r="C592" s="10" t="str">
        <f aca="false">IF(G592="","未受領",IF(G592="なし","報告なし",IF(AH592="○","起票済",IF(OR(AG592="○",F592="一致",F592="入金不要"),"入金確認済","受領済"))))</f>
        <v>未受領</v>
      </c>
      <c r="D592" s="10" t="str">
        <f aca="false">IF(OR(G592="",G592="なし"),"―",IF(CH592="N","対象外",IF(AND(I592="",J592="",K592=""),"標報未入力",IF(CD592&gt;=設定!$B$4,"要確認","問題なし"))))</f>
        <v>―</v>
      </c>
      <c r="E592" s="24" t="str">
        <f aca="false">IF(OR(G592="",G592="なし",CE592="",CF592=0),"―",IF(CF592=CE592,"前月同額",IF(CE592=0,"―",IF(ABS(CF592/CE592-1)&gt;=設定!$B$5,"変動大 "&amp;TEXT(CF592/CE592-1,"+0%;-0%"),"〇"))))</f>
        <v>―</v>
      </c>
      <c r="F592" s="10" t="str">
        <f aca="false">IF(OR(G592="",G592="なし"),"―",IF(CF592=0,"入金不要",IF(COUNT(Z592,AB592,AD592,AF592)=0,IF(AG592="○","手動確認","未入金"),IF(AND(N(Z592)=Y592,IF(AA592="",TRUE(),N(AB592)=AA592),IF(AC592="",TRUE(),N(AD592)=AC592),IF(AE592="",TRUE(),N(AF592)=AE592)),"一致","不一致"))))</f>
        <v>―</v>
      </c>
      <c r="G592" s="25"/>
      <c r="H592" s="26"/>
      <c r="I592" s="27"/>
      <c r="J592" s="27"/>
      <c r="K592" s="27"/>
      <c r="L592" s="27"/>
      <c r="M592" s="27"/>
      <c r="N592" s="27"/>
      <c r="O592" s="27"/>
      <c r="P592" s="27"/>
      <c r="Q592" s="27"/>
      <c r="R592" s="27"/>
      <c r="S592" s="27"/>
      <c r="T592" s="27"/>
      <c r="U592" s="27"/>
      <c r="V592" s="27"/>
      <c r="W592" s="10" t="str">
        <f aca="false">IFERROR(INDEX(設定!$E$61:$E$106,MATCH(B592,設定!$B$61:$B$106,0)),"合算")</f>
        <v>合算</v>
      </c>
      <c r="X592" s="28"/>
      <c r="Y592" s="29" t="str">
        <f aca="false">IF(OR(G592="",G592="なし"),"",IF(W592="合算",CF592,IF(W592="掛金・負担金別",(AU592+AV592+AZ592+BB592+BD592),SUM(AU592:AY592))))</f>
        <v/>
      </c>
      <c r="Z592" s="27"/>
      <c r="AA592" s="29" t="str">
        <f aca="false">IF(OR(G592="",G592="なし"),"",IF(W592="掛金・負担金別",(AW592+AX592+AY592+BA592+BC592+BE592),IF(W592="経理区分別",AZ592+BA592,"")))</f>
        <v/>
      </c>
      <c r="AB592" s="27"/>
      <c r="AC592" s="29" t="str">
        <f aca="false">IF(OR(G592="",G592="なし"),"",IF(W592="経理区分別",BB592+BC592,""))</f>
        <v/>
      </c>
      <c r="AD592" s="27"/>
      <c r="AE592" s="29" t="str">
        <f aca="false">IF(OR(G592="",G592="なし"),"",IF(W592="経理区分別",BD592+BE592,""))</f>
        <v/>
      </c>
      <c r="AF592" s="27"/>
      <c r="AG592" s="26"/>
      <c r="AH592" s="26"/>
      <c r="AI592" s="30"/>
      <c r="AJ592" s="31" t="n">
        <v>1197735</v>
      </c>
      <c r="AK592" s="31" t="n">
        <v>98175</v>
      </c>
      <c r="AL592" s="31" t="n">
        <v>1197735</v>
      </c>
      <c r="AM592" s="31" t="n">
        <v>98175</v>
      </c>
      <c r="AN592" s="31" t="n">
        <v>1340</v>
      </c>
      <c r="AO592" s="31" t="n">
        <v>720070</v>
      </c>
      <c r="AP592" s="31" t="n">
        <v>721509</v>
      </c>
      <c r="AQ592" s="31" t="n">
        <v>67940</v>
      </c>
      <c r="AR592" s="31" t="n">
        <v>67940</v>
      </c>
      <c r="AS592" s="31" t="n">
        <v>1</v>
      </c>
      <c r="AT592" s="31" t="n">
        <v>1</v>
      </c>
      <c r="AU592" s="31" t="n">
        <f aca="false">IF($G592="",AJ592,L592)</f>
        <v>1197735</v>
      </c>
      <c r="AV592" s="31" t="n">
        <f aca="false">IF($G592="",AK592,M592)</f>
        <v>98175</v>
      </c>
      <c r="AW592" s="31" t="n">
        <f aca="false">IF($G592="",AL592,N592)</f>
        <v>1197735</v>
      </c>
      <c r="AX592" s="31" t="n">
        <f aca="false">IF($G592="",AM592,O592)</f>
        <v>98175</v>
      </c>
      <c r="AY592" s="31" t="n">
        <f aca="false">IF($G592="",AN592,P592)</f>
        <v>1340</v>
      </c>
      <c r="AZ592" s="31" t="n">
        <f aca="false">IF($G592="",AO592,Q592)</f>
        <v>720070</v>
      </c>
      <c r="BA592" s="31" t="n">
        <f aca="false">IF($G592="",AP592,R592)</f>
        <v>721509</v>
      </c>
      <c r="BB592" s="31" t="n">
        <f aca="false">IF($G592="",AQ592,S592)</f>
        <v>67940</v>
      </c>
      <c r="BC592" s="31" t="n">
        <f aca="false">IF($G592="",AR592,T592)</f>
        <v>67940</v>
      </c>
      <c r="BD592" s="31" t="n">
        <f aca="false">IF($G592="",AS592,U592)</f>
        <v>1</v>
      </c>
      <c r="BE592" s="31" t="n">
        <f aca="false">IF($G592="",AT592,V592)</f>
        <v>1</v>
      </c>
      <c r="BF592" s="31" t="n">
        <f aca="false">ROUNDDOWN(I592*設定!$B$10/1000,0)+ROUNDDOWN(I592*設定!$B$11/1000,0)</f>
        <v>0</v>
      </c>
      <c r="BG592" s="31" t="n">
        <f aca="false">ROUNDDOWN(I592*設定!$C$10/1000,0)+ROUNDDOWN(I592*設定!$C$11/1000,0)+ROUNDDOWN(I592*設定!$C$12/1000,0)</f>
        <v>0</v>
      </c>
      <c r="BH592" s="31" t="n">
        <f aca="false">ROUNDDOWN(J592*設定!$B$13/1000,0)</f>
        <v>0</v>
      </c>
      <c r="BI592" s="31" t="n">
        <f aca="false">ROUNDDOWN(J592*設定!$C$13/1000,0)</f>
        <v>0</v>
      </c>
      <c r="BJ592" s="31" t="n">
        <f aca="false">ROUNDDOWN(K592*設定!$B$14/1000,0)</f>
        <v>0</v>
      </c>
      <c r="BK592" s="31" t="n">
        <f aca="false">ROUNDDOWN(K592*設定!$C$14/1000,0)</f>
        <v>0</v>
      </c>
      <c r="BL592" s="31" t="n">
        <f aca="false">ROUNDDOWN(J592*設定!$B$15/1000,0)</f>
        <v>0</v>
      </c>
      <c r="BM592" s="31" t="n">
        <f aca="false">ROUNDDOWN(J592*設定!$C$15/1000,0)</f>
        <v>0</v>
      </c>
      <c r="BN592" s="31" t="n">
        <f aca="false">L592+M592</f>
        <v>0</v>
      </c>
      <c r="BO592" s="31" t="n">
        <f aca="false">N592+O592+P592</f>
        <v>0</v>
      </c>
      <c r="BP592" s="31" t="n">
        <f aca="false">Q592</f>
        <v>0</v>
      </c>
      <c r="BQ592" s="31" t="n">
        <f aca="false">R592</f>
        <v>0</v>
      </c>
      <c r="BR592" s="31" t="n">
        <f aca="false">S592</f>
        <v>0</v>
      </c>
      <c r="BS592" s="31" t="n">
        <f aca="false">T592</f>
        <v>0</v>
      </c>
      <c r="BT592" s="31" t="n">
        <f aca="false">U592</f>
        <v>0</v>
      </c>
      <c r="BU592" s="31" t="n">
        <f aca="false">V592</f>
        <v>0</v>
      </c>
      <c r="BV592" s="32" t="n">
        <f aca="false">IF(BF592=0,IF(BN592=0,0,1),(BN592-BF592)/BF592)</f>
        <v>0</v>
      </c>
      <c r="BW592" s="32" t="n">
        <f aca="false">IF(BG592=0,IF(BO592=0,0,1),(BO592-BG592)/BG592)</f>
        <v>0</v>
      </c>
      <c r="BX592" s="32" t="n">
        <f aca="false">IF(BH592=0,IF(BP592=0,0,1),(BP592-BH592)/BH592)</f>
        <v>0</v>
      </c>
      <c r="BY592" s="32" t="n">
        <f aca="false">IF(BI592=0,IF(BQ592=0,0,1),(BQ592-BI592)/BI592)</f>
        <v>0</v>
      </c>
      <c r="BZ592" s="32" t="n">
        <f aca="false">IF(BJ592=0,IF(BR592=0,0,1),(BR592-BJ592)/BJ592)</f>
        <v>0</v>
      </c>
      <c r="CA592" s="32" t="n">
        <f aca="false">IF(BK592=0,IF(BS592=0,0,1),(BS592-BK592)/BK592)</f>
        <v>0</v>
      </c>
      <c r="CB592" s="32" t="n">
        <f aca="false">IF(BL592=0,IF(BT592=0,0,1),(BT592-BL592)/BL592)</f>
        <v>0</v>
      </c>
      <c r="CC592" s="32" t="n">
        <f aca="false">IF(BM592=0,IF(BU592=0,0,1),(BU592-BM592)/BM592)</f>
        <v>0</v>
      </c>
      <c r="CD592" s="32" t="n">
        <f aca="false">MAX(MAX(BV592:CC592),-MIN(BV592:CC592))</f>
        <v>-0</v>
      </c>
      <c r="CE592" s="31" t="n">
        <f aca="false">IF(CI592="","",SUMIFS($CF$7:$CF$696,$A$7:$A$696,CI592,$B$7:$B$696,B592))</f>
        <v>4170621</v>
      </c>
      <c r="CF592" s="31" t="n">
        <f aca="false">SUM(AU592:BE592)</f>
        <v>4170621</v>
      </c>
      <c r="CG592" s="33" t="str">
        <f aca="false">A592&amp;"|"&amp;B592</f>
        <v>2027-02 月例|広島市立大学</v>
      </c>
      <c r="CH592" s="34" t="str">
        <f aca="false">IFERROR(INDEX(設定!$D$61:$D$106,MATCH(B592,設定!$B$61:$B$106,0)),"Y")</f>
        <v>Y</v>
      </c>
      <c r="CI592" s="34" t="str">
        <f aca="false">IFERROR(INDEX(設定!$D$20:$D$34,MATCH(A592,設定!$A$20:$A$34,0))&amp;"","")</f>
        <v>2027-01 月例</v>
      </c>
    </row>
    <row r="593" customFormat="false" ht="15" hidden="true" customHeight="false" outlineLevel="0" collapsed="false">
      <c r="A593" s="22" t="s">
        <v>220</v>
      </c>
      <c r="B593" s="23" t="s">
        <v>195</v>
      </c>
      <c r="C593" s="10" t="str">
        <f aca="false">IF(G593="","未受領",IF(G593="なし","報告なし",IF(AH593="○","起票済",IF(OR(AG593="○",F593="一致",F593="入金不要"),"入金確認済","受領済"))))</f>
        <v>未受領</v>
      </c>
      <c r="D593" s="10" t="str">
        <f aca="false">IF(OR(G593="",G593="なし"),"―",IF(CH593="N","対象外",IF(AND(I593="",J593="",K593=""),"標報未入力",IF(CD593&gt;=設定!$B$4,"要確認","問題なし"))))</f>
        <v>―</v>
      </c>
      <c r="E593" s="24" t="str">
        <f aca="false">IF(OR(G593="",G593="なし",CE593="",CF593=0),"―",IF(CF593=CE593,"前月同額",IF(CE593=0,"―",IF(ABS(CF593/CE593-1)&gt;=設定!$B$5,"変動大 "&amp;TEXT(CF593/CE593-1,"+0%;-0%"),"〇"))))</f>
        <v>―</v>
      </c>
      <c r="F593" s="10" t="str">
        <f aca="false">IF(OR(G593="",G593="なし"),"―",IF(CF593=0,"入金不要",IF(COUNT(Z593,AB593,AD593,AF593)=0,IF(AG593="○","手動確認","未入金"),IF(AND(N(Z593)=Y593,IF(AA593="",TRUE(),N(AB593)=AA593),IF(AC593="",TRUE(),N(AD593)=AC593),IF(AE593="",TRUE(),N(AF593)=AE593)),"一致","不一致"))))</f>
        <v>―</v>
      </c>
      <c r="G593" s="25"/>
      <c r="H593" s="26"/>
      <c r="I593" s="27"/>
      <c r="J593" s="27"/>
      <c r="K593" s="27"/>
      <c r="L593" s="27"/>
      <c r="M593" s="27"/>
      <c r="N593" s="27"/>
      <c r="O593" s="27"/>
      <c r="P593" s="27"/>
      <c r="Q593" s="27"/>
      <c r="R593" s="27"/>
      <c r="S593" s="27"/>
      <c r="T593" s="27"/>
      <c r="U593" s="27"/>
      <c r="V593" s="27"/>
      <c r="W593" s="10" t="str">
        <f aca="false">IFERROR(INDEX(設定!$E$61:$E$106,MATCH(B593,設定!$B$61:$B$106,0)),"合算")</f>
        <v>合算</v>
      </c>
      <c r="X593" s="28"/>
      <c r="Y593" s="29" t="str">
        <f aca="false">IF(OR(G593="",G593="なし"),"",IF(W593="合算",CF593,IF(W593="掛金・負担金別",(AU593+AV593+AZ593+BB593+BD593),SUM(AU593:AY593))))</f>
        <v/>
      </c>
      <c r="Z593" s="27"/>
      <c r="AA593" s="29" t="str">
        <f aca="false">IF(OR(G593="",G593="なし"),"",IF(W593="掛金・負担金別",(AW593+AX593+AY593+BA593+BC593+BE593),IF(W593="経理区分別",AZ593+BA593,"")))</f>
        <v/>
      </c>
      <c r="AB593" s="27"/>
      <c r="AC593" s="29" t="str">
        <f aca="false">IF(OR(G593="",G593="なし"),"",IF(W593="経理区分別",BB593+BC593,""))</f>
        <v/>
      </c>
      <c r="AD593" s="27"/>
      <c r="AE593" s="29" t="str">
        <f aca="false">IF(OR(G593="",G593="なし"),"",IF(W593="経理区分別",BD593+BE593,""))</f>
        <v/>
      </c>
      <c r="AF593" s="27"/>
      <c r="AG593" s="26"/>
      <c r="AH593" s="26"/>
      <c r="AI593" s="30"/>
      <c r="AJ593" s="31"/>
      <c r="AK593" s="31"/>
      <c r="AL593" s="31" t="n">
        <v>245220</v>
      </c>
      <c r="AM593" s="31" t="n">
        <v>20100</v>
      </c>
      <c r="AN593" s="31" t="n">
        <v>251</v>
      </c>
      <c r="AO593" s="31"/>
      <c r="AP593" s="31" t="n">
        <v>151001</v>
      </c>
      <c r="AQ593" s="31"/>
      <c r="AR593" s="31" t="n">
        <v>10744</v>
      </c>
      <c r="AS593" s="31"/>
      <c r="AT593" s="31" t="n">
        <v>1</v>
      </c>
      <c r="AU593" s="31" t="n">
        <f aca="false">IF($G593="",AJ593,L593)</f>
        <v>0</v>
      </c>
      <c r="AV593" s="31" t="n">
        <f aca="false">IF($G593="",AK593,M593)</f>
        <v>0</v>
      </c>
      <c r="AW593" s="31" t="n">
        <f aca="false">IF($G593="",AL593,N593)</f>
        <v>245220</v>
      </c>
      <c r="AX593" s="31" t="n">
        <f aca="false">IF($G593="",AM593,O593)</f>
        <v>20100</v>
      </c>
      <c r="AY593" s="31" t="n">
        <f aca="false">IF($G593="",AN593,P593)</f>
        <v>251</v>
      </c>
      <c r="AZ593" s="31" t="n">
        <f aca="false">IF($G593="",AO593,Q593)</f>
        <v>0</v>
      </c>
      <c r="BA593" s="31" t="n">
        <f aca="false">IF($G593="",AP593,R593)</f>
        <v>151001</v>
      </c>
      <c r="BB593" s="31" t="n">
        <f aca="false">IF($G593="",AQ593,S593)</f>
        <v>0</v>
      </c>
      <c r="BC593" s="31" t="n">
        <f aca="false">IF($G593="",AR593,T593)</f>
        <v>10744</v>
      </c>
      <c r="BD593" s="31" t="n">
        <f aca="false">IF($G593="",AS593,U593)</f>
        <v>0</v>
      </c>
      <c r="BE593" s="31" t="n">
        <f aca="false">IF($G593="",AT593,V593)</f>
        <v>1</v>
      </c>
      <c r="BF593" s="31" t="n">
        <f aca="false">ROUNDDOWN(I593*設定!$B$10/1000,0)+ROUNDDOWN(I593*設定!$B$11/1000,0)</f>
        <v>0</v>
      </c>
      <c r="BG593" s="31" t="n">
        <f aca="false">ROUNDDOWN(I593*設定!$C$10/1000,0)+ROUNDDOWN(I593*設定!$C$11/1000,0)+ROUNDDOWN(I593*設定!$C$12/1000,0)</f>
        <v>0</v>
      </c>
      <c r="BH593" s="31" t="n">
        <f aca="false">ROUNDDOWN(J593*設定!$B$13/1000,0)</f>
        <v>0</v>
      </c>
      <c r="BI593" s="31" t="n">
        <f aca="false">ROUNDDOWN(J593*設定!$C$13/1000,0)</f>
        <v>0</v>
      </c>
      <c r="BJ593" s="31" t="n">
        <f aca="false">ROUNDDOWN(K593*設定!$B$14/1000,0)</f>
        <v>0</v>
      </c>
      <c r="BK593" s="31" t="n">
        <f aca="false">ROUNDDOWN(K593*設定!$C$14/1000,0)</f>
        <v>0</v>
      </c>
      <c r="BL593" s="31" t="n">
        <f aca="false">ROUNDDOWN(J593*設定!$B$15/1000,0)</f>
        <v>0</v>
      </c>
      <c r="BM593" s="31" t="n">
        <f aca="false">ROUNDDOWN(J593*設定!$C$15/1000,0)</f>
        <v>0</v>
      </c>
      <c r="BN593" s="31" t="n">
        <f aca="false">L593+M593</f>
        <v>0</v>
      </c>
      <c r="BO593" s="31" t="n">
        <f aca="false">N593+O593+P593</f>
        <v>0</v>
      </c>
      <c r="BP593" s="31" t="n">
        <f aca="false">Q593</f>
        <v>0</v>
      </c>
      <c r="BQ593" s="31" t="n">
        <f aca="false">R593</f>
        <v>0</v>
      </c>
      <c r="BR593" s="31" t="n">
        <f aca="false">S593</f>
        <v>0</v>
      </c>
      <c r="BS593" s="31" t="n">
        <f aca="false">T593</f>
        <v>0</v>
      </c>
      <c r="BT593" s="31" t="n">
        <f aca="false">U593</f>
        <v>0</v>
      </c>
      <c r="BU593" s="31" t="n">
        <f aca="false">V593</f>
        <v>0</v>
      </c>
      <c r="BV593" s="32" t="n">
        <f aca="false">IF(BF593=0,IF(BN593=0,0,1),(BN593-BF593)/BF593)</f>
        <v>0</v>
      </c>
      <c r="BW593" s="32" t="n">
        <f aca="false">IF(BG593=0,IF(BO593=0,0,1),(BO593-BG593)/BG593)</f>
        <v>0</v>
      </c>
      <c r="BX593" s="32" t="n">
        <f aca="false">IF(BH593=0,IF(BP593=0,0,1),(BP593-BH593)/BH593)</f>
        <v>0</v>
      </c>
      <c r="BY593" s="32" t="n">
        <f aca="false">IF(BI593=0,IF(BQ593=0,0,1),(BQ593-BI593)/BI593)</f>
        <v>0</v>
      </c>
      <c r="BZ593" s="32" t="n">
        <f aca="false">IF(BJ593=0,IF(BR593=0,0,1),(BR593-BJ593)/BJ593)</f>
        <v>0</v>
      </c>
      <c r="CA593" s="32" t="n">
        <f aca="false">IF(BK593=0,IF(BS593=0,0,1),(BS593-BK593)/BK593)</f>
        <v>0</v>
      </c>
      <c r="CB593" s="32" t="n">
        <f aca="false">IF(BL593=0,IF(BT593=0,0,1),(BT593-BL593)/BL593)</f>
        <v>0</v>
      </c>
      <c r="CC593" s="32" t="n">
        <f aca="false">IF(BM593=0,IF(BU593=0,0,1),(BU593-BM593)/BM593)</f>
        <v>0</v>
      </c>
      <c r="CD593" s="32" t="n">
        <f aca="false">MAX(MAX(BV593:CC593),-MIN(BV593:CC593))</f>
        <v>-0</v>
      </c>
      <c r="CE593" s="31" t="n">
        <f aca="false">IF(CI593="","",SUMIFS($CF$7:$CF$696,$A$7:$A$696,CI593,$B$7:$B$696,B593))</f>
        <v>427317</v>
      </c>
      <c r="CF593" s="31" t="n">
        <f aca="false">SUM(AU593:BE593)</f>
        <v>427317</v>
      </c>
      <c r="CG593" s="33" t="str">
        <f aca="false">A593&amp;"|"&amp;B593</f>
        <v>2027-02 月例|社会福祉協議会</v>
      </c>
      <c r="CH593" s="34" t="str">
        <f aca="false">IFERROR(INDEX(設定!$D$61:$D$106,MATCH(B593,設定!$B$61:$B$106,0)),"Y")</f>
        <v>Y</v>
      </c>
      <c r="CI593" s="34" t="str">
        <f aca="false">IFERROR(INDEX(設定!$D$20:$D$34,MATCH(A593,設定!$A$20:$A$34,0))&amp;"","")</f>
        <v>2027-01 月例</v>
      </c>
    </row>
    <row r="594" customFormat="false" ht="15" hidden="true" customHeight="false" outlineLevel="0" collapsed="false">
      <c r="A594" s="22" t="s">
        <v>220</v>
      </c>
      <c r="B594" s="23" t="s">
        <v>196</v>
      </c>
      <c r="C594" s="10" t="str">
        <f aca="false">IF(G594="","未受領",IF(G594="なし","報告なし",IF(AH594="○","起票済",IF(OR(AG594="○",F594="一致",F594="入金不要"),"入金確認済","受領済"))))</f>
        <v>未受領</v>
      </c>
      <c r="D594" s="10" t="str">
        <f aca="false">IF(OR(G594="",G594="なし"),"―",IF(CH594="N","対象外",IF(AND(I594="",J594="",K594=""),"標報未入力",IF(CD594&gt;=設定!$B$4,"要確認","問題なし"))))</f>
        <v>―</v>
      </c>
      <c r="E594" s="24" t="str">
        <f aca="false">IF(OR(G594="",G594="なし",CE594="",CF594=0),"―",IF(CF594=CE594,"前月同額",IF(CE594=0,"―",IF(ABS(CF594/CE594-1)&gt;=設定!$B$5,"変動大 "&amp;TEXT(CF594/CE594-1,"+0%;-0%"),"〇"))))</f>
        <v>―</v>
      </c>
      <c r="F594" s="10" t="str">
        <f aca="false">IF(OR(G594="",G594="なし"),"―",IF(CF594=0,"入金不要",IF(COUNT(Z594,AB594,AD594,AF594)=0,IF(AG594="○","手動確認","未入金"),IF(AND(N(Z594)=Y594,IF(AA594="",TRUE(),N(AB594)=AA594),IF(AC594="",TRUE(),N(AD594)=AC594),IF(AE594="",TRUE(),N(AF594)=AE594)),"一致","不一致"))))</f>
        <v>―</v>
      </c>
      <c r="G594" s="25"/>
      <c r="H594" s="26"/>
      <c r="I594" s="27"/>
      <c r="J594" s="27"/>
      <c r="K594" s="27"/>
      <c r="L594" s="27"/>
      <c r="M594" s="27"/>
      <c r="N594" s="27"/>
      <c r="O594" s="27"/>
      <c r="P594" s="27"/>
      <c r="Q594" s="27"/>
      <c r="R594" s="27"/>
      <c r="S594" s="27"/>
      <c r="T594" s="27"/>
      <c r="U594" s="27"/>
      <c r="V594" s="27"/>
      <c r="W594" s="10" t="str">
        <f aca="false">IFERROR(INDEX(設定!$E$61:$E$106,MATCH(B594,設定!$B$61:$B$106,0)),"合算")</f>
        <v>合算</v>
      </c>
      <c r="X594" s="28"/>
      <c r="Y594" s="29" t="str">
        <f aca="false">IF(OR(G594="",G594="なし"),"",IF(W594="合算",CF594,IF(W594="掛金・負担金別",(AU594+AV594+AZ594+BB594+BD594),SUM(AU594:AY594))))</f>
        <v/>
      </c>
      <c r="Z594" s="27"/>
      <c r="AA594" s="29" t="str">
        <f aca="false">IF(OR(G594="",G594="なし"),"",IF(W594="掛金・負担金別",(AW594+AX594+AY594+BA594+BC594+BE594),IF(W594="経理区分別",AZ594+BA594,"")))</f>
        <v/>
      </c>
      <c r="AB594" s="27"/>
      <c r="AC594" s="29" t="str">
        <f aca="false">IF(OR(G594="",G594="なし"),"",IF(W594="経理区分別",BB594+BC594,""))</f>
        <v/>
      </c>
      <c r="AD594" s="27"/>
      <c r="AE594" s="29" t="str">
        <f aca="false">IF(OR(G594="",G594="なし"),"",IF(W594="経理区分別",BD594+BE594,""))</f>
        <v/>
      </c>
      <c r="AF594" s="27"/>
      <c r="AG594" s="26"/>
      <c r="AH594" s="26"/>
      <c r="AI594" s="30"/>
      <c r="AJ594" s="31" t="n">
        <v>123538633</v>
      </c>
      <c r="AK594" s="31" t="n">
        <v>10126117</v>
      </c>
      <c r="AL594" s="31" t="n">
        <v>183046981</v>
      </c>
      <c r="AM594" s="31" t="n">
        <v>10126117</v>
      </c>
      <c r="AN594" s="31" t="n">
        <v>134539</v>
      </c>
      <c r="AO594" s="31" t="n">
        <v>96329864</v>
      </c>
      <c r="AP594" s="31" t="n">
        <v>96517913</v>
      </c>
      <c r="AQ594" s="31" t="n">
        <v>7858664</v>
      </c>
      <c r="AR594" s="31" t="n">
        <v>7858664</v>
      </c>
      <c r="AS594" s="31" t="n">
        <v>1</v>
      </c>
      <c r="AT594" s="31" t="n">
        <v>1</v>
      </c>
      <c r="AU594" s="31" t="n">
        <f aca="false">IF($G594="",AJ594,L594)</f>
        <v>123538633</v>
      </c>
      <c r="AV594" s="31" t="n">
        <f aca="false">IF($G594="",AK594,M594)</f>
        <v>10126117</v>
      </c>
      <c r="AW594" s="31" t="n">
        <f aca="false">IF($G594="",AL594,N594)</f>
        <v>183046981</v>
      </c>
      <c r="AX594" s="31" t="n">
        <f aca="false">IF($G594="",AM594,O594)</f>
        <v>10126117</v>
      </c>
      <c r="AY594" s="31" t="n">
        <f aca="false">IF($G594="",AN594,P594)</f>
        <v>134539</v>
      </c>
      <c r="AZ594" s="31" t="n">
        <f aca="false">IF($G594="",AO594,Q594)</f>
        <v>96329864</v>
      </c>
      <c r="BA594" s="31" t="n">
        <f aca="false">IF($G594="",AP594,R594)</f>
        <v>96517913</v>
      </c>
      <c r="BB594" s="31" t="n">
        <f aca="false">IF($G594="",AQ594,S594)</f>
        <v>7858664</v>
      </c>
      <c r="BC594" s="31" t="n">
        <f aca="false">IF($G594="",AR594,T594)</f>
        <v>7858664</v>
      </c>
      <c r="BD594" s="31" t="n">
        <f aca="false">IF($G594="",AS594,U594)</f>
        <v>1</v>
      </c>
      <c r="BE594" s="31" t="n">
        <f aca="false">IF($G594="",AT594,V594)</f>
        <v>1</v>
      </c>
      <c r="BF594" s="31" t="n">
        <f aca="false">ROUNDDOWN(I594*設定!$B$10/1000,0)+ROUNDDOWN(I594*設定!$B$11/1000,0)</f>
        <v>0</v>
      </c>
      <c r="BG594" s="31" t="n">
        <f aca="false">ROUNDDOWN(I594*設定!$C$10/1000,0)+ROUNDDOWN(I594*設定!$C$11/1000,0)+ROUNDDOWN(I594*設定!$C$12/1000,0)</f>
        <v>0</v>
      </c>
      <c r="BH594" s="31" t="n">
        <f aca="false">ROUNDDOWN(J594*設定!$B$13/1000,0)</f>
        <v>0</v>
      </c>
      <c r="BI594" s="31" t="n">
        <f aca="false">ROUNDDOWN(J594*設定!$C$13/1000,0)</f>
        <v>0</v>
      </c>
      <c r="BJ594" s="31" t="n">
        <f aca="false">ROUNDDOWN(K594*設定!$B$14/1000,0)</f>
        <v>0</v>
      </c>
      <c r="BK594" s="31" t="n">
        <f aca="false">ROUNDDOWN(K594*設定!$C$14/1000,0)</f>
        <v>0</v>
      </c>
      <c r="BL594" s="31" t="n">
        <f aca="false">ROUNDDOWN(J594*設定!$B$15/1000,0)</f>
        <v>0</v>
      </c>
      <c r="BM594" s="31" t="n">
        <f aca="false">ROUNDDOWN(J594*設定!$C$15/1000,0)</f>
        <v>0</v>
      </c>
      <c r="BN594" s="31" t="n">
        <f aca="false">L594+M594</f>
        <v>0</v>
      </c>
      <c r="BO594" s="31" t="n">
        <f aca="false">N594+O594+P594</f>
        <v>0</v>
      </c>
      <c r="BP594" s="31" t="n">
        <f aca="false">Q594</f>
        <v>0</v>
      </c>
      <c r="BQ594" s="31" t="n">
        <f aca="false">R594</f>
        <v>0</v>
      </c>
      <c r="BR594" s="31" t="n">
        <f aca="false">S594</f>
        <v>0</v>
      </c>
      <c r="BS594" s="31" t="n">
        <f aca="false">T594</f>
        <v>0</v>
      </c>
      <c r="BT594" s="31" t="n">
        <f aca="false">U594</f>
        <v>0</v>
      </c>
      <c r="BU594" s="31" t="n">
        <f aca="false">V594</f>
        <v>0</v>
      </c>
      <c r="BV594" s="32" t="n">
        <f aca="false">IF(BF594=0,IF(BN594=0,0,1),(BN594-BF594)/BF594)</f>
        <v>0</v>
      </c>
      <c r="BW594" s="32" t="n">
        <f aca="false">IF(BG594=0,IF(BO594=0,0,1),(BO594-BG594)/BG594)</f>
        <v>0</v>
      </c>
      <c r="BX594" s="32" t="n">
        <f aca="false">IF(BH594=0,IF(BP594=0,0,1),(BP594-BH594)/BH594)</f>
        <v>0</v>
      </c>
      <c r="BY594" s="32" t="n">
        <f aca="false">IF(BI594=0,IF(BQ594=0,0,1),(BQ594-BI594)/BI594)</f>
        <v>0</v>
      </c>
      <c r="BZ594" s="32" t="n">
        <f aca="false">IF(BJ594=0,IF(BR594=0,0,1),(BR594-BJ594)/BJ594)</f>
        <v>0</v>
      </c>
      <c r="CA594" s="32" t="n">
        <f aca="false">IF(BK594=0,IF(BS594=0,0,1),(BS594-BK594)/BK594)</f>
        <v>0</v>
      </c>
      <c r="CB594" s="32" t="n">
        <f aca="false">IF(BL594=0,IF(BT594=0,0,1),(BT594-BL594)/BL594)</f>
        <v>0</v>
      </c>
      <c r="CC594" s="32" t="n">
        <f aca="false">IF(BM594=0,IF(BU594=0,0,1),(BU594-BM594)/BM594)</f>
        <v>0</v>
      </c>
      <c r="CD594" s="32" t="n">
        <f aca="false">MAX(MAX(BV594:CC594),-MIN(BV594:CC594))</f>
        <v>-0</v>
      </c>
      <c r="CE594" s="31" t="n">
        <f aca="false">IF(CI594="","",SUMIFS($CF$7:$CF$696,$A$7:$A$696,CI594,$B$7:$B$696,B594))</f>
        <v>537611073</v>
      </c>
      <c r="CF594" s="31" t="n">
        <f aca="false">SUM(AU594:BE594)</f>
        <v>535537494</v>
      </c>
      <c r="CG594" s="33" t="str">
        <f aca="false">A594&amp;"|"&amp;B594</f>
        <v>2027-02 月例|市立病院機構</v>
      </c>
      <c r="CH594" s="34" t="str">
        <f aca="false">IFERROR(INDEX(設定!$D$61:$D$106,MATCH(B594,設定!$B$61:$B$106,0)),"Y")</f>
        <v>N</v>
      </c>
      <c r="CI594" s="34" t="str">
        <f aca="false">IFERROR(INDEX(設定!$D$20:$D$34,MATCH(A594,設定!$A$20:$A$34,0))&amp;"","")</f>
        <v>2027-01 月例</v>
      </c>
    </row>
    <row r="595" customFormat="false" ht="15" hidden="true" customHeight="false" outlineLevel="0" collapsed="false">
      <c r="A595" s="22" t="s">
        <v>220</v>
      </c>
      <c r="B595" s="23" t="s">
        <v>197</v>
      </c>
      <c r="C595" s="10" t="str">
        <f aca="false">IF(G595="","未受領",IF(G595="なし","報告なし",IF(AH595="○","起票済",IF(OR(AG595="○",F595="一致",F595="入金不要"),"入金確認済","受領済"))))</f>
        <v>未受領</v>
      </c>
      <c r="D595" s="10" t="str">
        <f aca="false">IF(OR(G595="",G595="なし"),"―",IF(CH595="N","対象外",IF(AND(I595="",J595="",K595=""),"標報未入力",IF(CD595&gt;=設定!$B$4,"要確認","問題なし"))))</f>
        <v>―</v>
      </c>
      <c r="E595" s="24" t="str">
        <f aca="false">IF(OR(G595="",G595="なし",CE595="",CF595=0),"―",IF(CF595=CE595,"前月同額",IF(CE595=0,"―",IF(ABS(CF595/CE595-1)&gt;=設定!$B$5,"変動大 "&amp;TEXT(CF595/CE595-1,"+0%;-0%"),"〇"))))</f>
        <v>―</v>
      </c>
      <c r="F595" s="10" t="str">
        <f aca="false">IF(OR(G595="",G595="なし"),"―",IF(CF595=0,"入金不要",IF(COUNT(Z595,AB595,AD595,AF595)=0,IF(AG595="○","手動確認","未入金"),IF(AND(N(Z595)=Y595,IF(AA595="",TRUE(),N(AB595)=AA595),IF(AC595="",TRUE(),N(AD595)=AC595),IF(AE595="",TRUE(),N(AF595)=AE595)),"一致","不一致"))))</f>
        <v>―</v>
      </c>
      <c r="G595" s="25"/>
      <c r="H595" s="26"/>
      <c r="I595" s="27"/>
      <c r="J595" s="27"/>
      <c r="K595" s="27"/>
      <c r="L595" s="27"/>
      <c r="M595" s="27"/>
      <c r="N595" s="27"/>
      <c r="O595" s="27"/>
      <c r="P595" s="27"/>
      <c r="Q595" s="27"/>
      <c r="R595" s="27"/>
      <c r="S595" s="27"/>
      <c r="T595" s="27"/>
      <c r="U595" s="27"/>
      <c r="V595" s="27"/>
      <c r="W595" s="10" t="str">
        <f aca="false">IFERROR(INDEX(設定!$E$61:$E$106,MATCH(B595,設定!$B$61:$B$106,0)),"合算")</f>
        <v>合算</v>
      </c>
      <c r="X595" s="28"/>
      <c r="Y595" s="29" t="str">
        <f aca="false">IF(OR(G595="",G595="なし"),"",IF(W595="合算",CF595,IF(W595="掛金・負担金別",(AU595+AV595+AZ595+BB595+BD595),SUM(AU595:AY595))))</f>
        <v/>
      </c>
      <c r="Z595" s="27"/>
      <c r="AA595" s="29" t="str">
        <f aca="false">IF(OR(G595="",G595="なし"),"",IF(W595="掛金・負担金別",(AW595+AX595+AY595+BA595+BC595+BE595),IF(W595="経理区分別",AZ595+BA595,"")))</f>
        <v/>
      </c>
      <c r="AB595" s="27"/>
      <c r="AC595" s="29" t="str">
        <f aca="false">IF(OR(G595="",G595="なし"),"",IF(W595="経理区分別",BB595+BC595,""))</f>
        <v/>
      </c>
      <c r="AD595" s="27"/>
      <c r="AE595" s="29" t="str">
        <f aca="false">IF(OR(G595="",G595="なし"),"",IF(W595="経理区分別",BD595+BE595,""))</f>
        <v/>
      </c>
      <c r="AF595" s="27"/>
      <c r="AG595" s="26"/>
      <c r="AH595" s="26"/>
      <c r="AI595" s="30"/>
      <c r="AJ595" s="31"/>
      <c r="AK595" s="31"/>
      <c r="AL595" s="31"/>
      <c r="AM595" s="31"/>
      <c r="AN595" s="31"/>
      <c r="AO595" s="31" t="n">
        <v>108364</v>
      </c>
      <c r="AP595" s="31" t="n">
        <v>108566</v>
      </c>
      <c r="AQ595" s="31" t="n">
        <v>12245</v>
      </c>
      <c r="AR595" s="31" t="n">
        <v>12245</v>
      </c>
      <c r="AS595" s="31" t="n">
        <v>1</v>
      </c>
      <c r="AT595" s="31" t="n">
        <v>1</v>
      </c>
      <c r="AU595" s="31" t="n">
        <f aca="false">IF($G595="",AJ595,L595)</f>
        <v>0</v>
      </c>
      <c r="AV595" s="31" t="n">
        <f aca="false">IF($G595="",AK595,M595)</f>
        <v>0</v>
      </c>
      <c r="AW595" s="31" t="n">
        <f aca="false">IF($G595="",AL595,N595)</f>
        <v>0</v>
      </c>
      <c r="AX595" s="31" t="n">
        <f aca="false">IF($G595="",AM595,O595)</f>
        <v>0</v>
      </c>
      <c r="AY595" s="31" t="n">
        <f aca="false">IF($G595="",AN595,P595)</f>
        <v>0</v>
      </c>
      <c r="AZ595" s="31" t="n">
        <f aca="false">IF($G595="",AO595,Q595)</f>
        <v>108364</v>
      </c>
      <c r="BA595" s="31" t="n">
        <f aca="false">IF($G595="",AP595,R595)</f>
        <v>108566</v>
      </c>
      <c r="BB595" s="31" t="n">
        <f aca="false">IF($G595="",AQ595,S595)</f>
        <v>12245</v>
      </c>
      <c r="BC595" s="31" t="n">
        <f aca="false">IF($G595="",AR595,T595)</f>
        <v>12245</v>
      </c>
      <c r="BD595" s="31" t="n">
        <f aca="false">IF($G595="",AS595,U595)</f>
        <v>1</v>
      </c>
      <c r="BE595" s="31" t="n">
        <f aca="false">IF($G595="",AT595,V595)</f>
        <v>1</v>
      </c>
      <c r="BF595" s="31" t="n">
        <f aca="false">ROUNDDOWN(I595*設定!$B$10/1000,0)+ROUNDDOWN(I595*設定!$B$11/1000,0)</f>
        <v>0</v>
      </c>
      <c r="BG595" s="31" t="n">
        <f aca="false">ROUNDDOWN(I595*設定!$C$10/1000,0)+ROUNDDOWN(I595*設定!$C$11/1000,0)+ROUNDDOWN(I595*設定!$C$12/1000,0)</f>
        <v>0</v>
      </c>
      <c r="BH595" s="31" t="n">
        <f aca="false">ROUNDDOWN(J595*設定!$B$13/1000,0)</f>
        <v>0</v>
      </c>
      <c r="BI595" s="31" t="n">
        <f aca="false">ROUNDDOWN(J595*設定!$C$13/1000,0)</f>
        <v>0</v>
      </c>
      <c r="BJ595" s="31" t="n">
        <f aca="false">ROUNDDOWN(K595*設定!$B$14/1000,0)</f>
        <v>0</v>
      </c>
      <c r="BK595" s="31" t="n">
        <f aca="false">ROUNDDOWN(K595*設定!$C$14/1000,0)</f>
        <v>0</v>
      </c>
      <c r="BL595" s="31" t="n">
        <f aca="false">ROUNDDOWN(J595*設定!$B$15/1000,0)</f>
        <v>0</v>
      </c>
      <c r="BM595" s="31" t="n">
        <f aca="false">ROUNDDOWN(J595*設定!$C$15/1000,0)</f>
        <v>0</v>
      </c>
      <c r="BN595" s="31" t="n">
        <f aca="false">L595+M595</f>
        <v>0</v>
      </c>
      <c r="BO595" s="31" t="n">
        <f aca="false">N595+O595+P595</f>
        <v>0</v>
      </c>
      <c r="BP595" s="31" t="n">
        <f aca="false">Q595</f>
        <v>0</v>
      </c>
      <c r="BQ595" s="31" t="n">
        <f aca="false">R595</f>
        <v>0</v>
      </c>
      <c r="BR595" s="31" t="n">
        <f aca="false">S595</f>
        <v>0</v>
      </c>
      <c r="BS595" s="31" t="n">
        <f aca="false">T595</f>
        <v>0</v>
      </c>
      <c r="BT595" s="31" t="n">
        <f aca="false">U595</f>
        <v>0</v>
      </c>
      <c r="BU595" s="31" t="n">
        <f aca="false">V595</f>
        <v>0</v>
      </c>
      <c r="BV595" s="32" t="n">
        <f aca="false">IF(BF595=0,IF(BN595=0,0,1),(BN595-BF595)/BF595)</f>
        <v>0</v>
      </c>
      <c r="BW595" s="32" t="n">
        <f aca="false">IF(BG595=0,IF(BO595=0,0,1),(BO595-BG595)/BG595)</f>
        <v>0</v>
      </c>
      <c r="BX595" s="32" t="n">
        <f aca="false">IF(BH595=0,IF(BP595=0,0,1),(BP595-BH595)/BH595)</f>
        <v>0</v>
      </c>
      <c r="BY595" s="32" t="n">
        <f aca="false">IF(BI595=0,IF(BQ595=0,0,1),(BQ595-BI595)/BI595)</f>
        <v>0</v>
      </c>
      <c r="BZ595" s="32" t="n">
        <f aca="false">IF(BJ595=0,IF(BR595=0,0,1),(BR595-BJ595)/BJ595)</f>
        <v>0</v>
      </c>
      <c r="CA595" s="32" t="n">
        <f aca="false">IF(BK595=0,IF(BS595=0,0,1),(BS595-BK595)/BK595)</f>
        <v>0</v>
      </c>
      <c r="CB595" s="32" t="n">
        <f aca="false">IF(BL595=0,IF(BT595=0,0,1),(BT595-BL595)/BL595)</f>
        <v>0</v>
      </c>
      <c r="CC595" s="32" t="n">
        <f aca="false">IF(BM595=0,IF(BU595=0,0,1),(BU595-BM595)/BM595)</f>
        <v>0</v>
      </c>
      <c r="CD595" s="32" t="n">
        <f aca="false">MAX(MAX(BV595:CC595),-MIN(BV595:CC595))</f>
        <v>-0</v>
      </c>
      <c r="CE595" s="31" t="n">
        <f aca="false">IF(CI595="","",SUMIFS($CF$7:$CF$696,$A$7:$A$696,CI595,$B$7:$B$696,B595))</f>
        <v>241422</v>
      </c>
      <c r="CF595" s="31" t="n">
        <f aca="false">SUM(AU595:BE595)</f>
        <v>241422</v>
      </c>
      <c r="CG595" s="33" t="str">
        <f aca="false">A595&amp;"|"&amp;B595</f>
        <v>2027-02 月例|職員共済組合</v>
      </c>
      <c r="CH595" s="34" t="str">
        <f aca="false">IFERROR(INDEX(設定!$D$61:$D$106,MATCH(B595,設定!$B$61:$B$106,0)),"Y")</f>
        <v>Y</v>
      </c>
      <c r="CI595" s="34" t="str">
        <f aca="false">IFERROR(INDEX(設定!$D$20:$D$34,MATCH(A595,設定!$A$20:$A$34,0))&amp;"","")</f>
        <v>2027-01 月例</v>
      </c>
    </row>
    <row r="596" customFormat="false" ht="26.85" hidden="true" customHeight="false" outlineLevel="0" collapsed="false">
      <c r="A596" s="22" t="s">
        <v>220</v>
      </c>
      <c r="B596" s="35" t="s">
        <v>216</v>
      </c>
      <c r="C596" s="10" t="str">
        <f aca="false">IF(G596="","未受領",IF(G596="なし","報告なし",IF(AH596="○","起票済",IF(OR(AG596="○",F596="一致",F596="入金不要"),"入金確認済","受領済"))))</f>
        <v>報告なし</v>
      </c>
      <c r="D596" s="10" t="str">
        <f aca="false">IF(OR(G596="",G596="なし"),"―",IF(CH596="N","対象外",IF(AND(I596="",J596="",K596=""),"標報未入力",IF(CD596&gt;=設定!$B$4,"要確認","問題なし"))))</f>
        <v>―</v>
      </c>
      <c r="E596" s="24" t="str">
        <f aca="false">IF(OR(G596="",G596="なし",CE596="",CF596=0),"―",IF(CF596=CE596,"前月同額",IF(CE596=0,"―",IF(ABS(CF596/CE596-1)&gt;=設定!$B$5,"変動大 "&amp;TEXT(CF596/CE596-1,"+0%;-0%"),"〇"))))</f>
        <v>―</v>
      </c>
      <c r="F596" s="10" t="str">
        <f aca="false">IF(OR(G596="",G596="なし"),"―",IF(CF596=0,"入金不要",IF(COUNT(Z596,AB596,AD596,AF596)=0,IF(AG596="○","手動確認","未入金"),IF(AND(N(Z596)=Y596,IF(AA596="",TRUE(),N(AB596)=AA596),IF(AC596="",TRUE(),N(AD596)=AC596),IF(AE596="",TRUE(),N(AF596)=AE596)),"一致","不一致"))))</f>
        <v>―</v>
      </c>
      <c r="G596" s="25" t="s">
        <v>173</v>
      </c>
      <c r="H596" s="26"/>
      <c r="I596" s="27"/>
      <c r="J596" s="27"/>
      <c r="K596" s="27"/>
      <c r="L596" s="27"/>
      <c r="M596" s="27"/>
      <c r="N596" s="27"/>
      <c r="O596" s="27"/>
      <c r="P596" s="27"/>
      <c r="Q596" s="27"/>
      <c r="R596" s="27"/>
      <c r="S596" s="27"/>
      <c r="T596" s="27"/>
      <c r="U596" s="27"/>
      <c r="V596" s="27"/>
      <c r="W596" s="10" t="str">
        <f aca="false">IFERROR(INDEX(設定!$E$61:$E$106,MATCH(B596,設定!$B$61:$B$106,0)),"合算")</f>
        <v>合算</v>
      </c>
      <c r="X596" s="28"/>
      <c r="Y596" s="29" t="str">
        <f aca="false">IF(OR(G596="",G596="なし"),"",IF(W596="合算",CF596,IF(W596="掛金・負担金別",(AU596+AV596+AZ596+BB596+BD596),SUM(AU596:AY596))))</f>
        <v/>
      </c>
      <c r="Z596" s="27"/>
      <c r="AA596" s="29" t="str">
        <f aca="false">IF(OR(G596="",G596="なし"),"",IF(W596="掛金・負担金別",(AW596+AX596+AY596+BA596+BC596+BE596),IF(W596="経理区分別",AZ596+BA596,"")))</f>
        <v/>
      </c>
      <c r="AB596" s="27"/>
      <c r="AC596" s="29" t="str">
        <f aca="false">IF(OR(G596="",G596="なし"),"",IF(W596="経理区分別",BB596+BC596,""))</f>
        <v/>
      </c>
      <c r="AD596" s="27"/>
      <c r="AE596" s="29" t="str">
        <f aca="false">IF(OR(G596="",G596="なし"),"",IF(W596="経理区分別",BD596+BE596,""))</f>
        <v/>
      </c>
      <c r="AF596" s="27"/>
      <c r="AG596" s="26"/>
      <c r="AH596" s="26"/>
      <c r="AI596" s="30"/>
      <c r="AJ596" s="31"/>
      <c r="AK596" s="31"/>
      <c r="AL596" s="31"/>
      <c r="AM596" s="31"/>
      <c r="AN596" s="31"/>
      <c r="AO596" s="31"/>
      <c r="AP596" s="31"/>
      <c r="AQ596" s="31"/>
      <c r="AR596" s="31"/>
      <c r="AS596" s="31"/>
      <c r="AT596" s="31"/>
      <c r="AU596" s="31" t="n">
        <f aca="false">IF($G596="",AJ596,L596)</f>
        <v>0</v>
      </c>
      <c r="AV596" s="31" t="n">
        <f aca="false">IF($G596="",AK596,M596)</f>
        <v>0</v>
      </c>
      <c r="AW596" s="31" t="n">
        <f aca="false">IF($G596="",AL596,N596)</f>
        <v>0</v>
      </c>
      <c r="AX596" s="31" t="n">
        <f aca="false">IF($G596="",AM596,O596)</f>
        <v>0</v>
      </c>
      <c r="AY596" s="31" t="n">
        <f aca="false">IF($G596="",AN596,P596)</f>
        <v>0</v>
      </c>
      <c r="AZ596" s="31" t="n">
        <f aca="false">IF($G596="",AO596,Q596)</f>
        <v>0</v>
      </c>
      <c r="BA596" s="31" t="n">
        <f aca="false">IF($G596="",AP596,R596)</f>
        <v>0</v>
      </c>
      <c r="BB596" s="31" t="n">
        <f aca="false">IF($G596="",AQ596,S596)</f>
        <v>0</v>
      </c>
      <c r="BC596" s="31" t="n">
        <f aca="false">IF($G596="",AR596,T596)</f>
        <v>0</v>
      </c>
      <c r="BD596" s="31" t="n">
        <f aca="false">IF($G596="",AS596,U596)</f>
        <v>0</v>
      </c>
      <c r="BE596" s="31" t="n">
        <f aca="false">IF($G596="",AT596,V596)</f>
        <v>0</v>
      </c>
      <c r="BF596" s="31" t="n">
        <f aca="false">ROUNDDOWN(I596*設定!$B$10/1000,0)+ROUNDDOWN(I596*設定!$B$11/1000,0)</f>
        <v>0</v>
      </c>
      <c r="BG596" s="31" t="n">
        <f aca="false">ROUNDDOWN(I596*設定!$C$10/1000,0)+ROUNDDOWN(I596*設定!$C$11/1000,0)+ROUNDDOWN(I596*設定!$C$12/1000,0)</f>
        <v>0</v>
      </c>
      <c r="BH596" s="31" t="n">
        <f aca="false">ROUNDDOWN(J596*設定!$B$13/1000,0)</f>
        <v>0</v>
      </c>
      <c r="BI596" s="31" t="n">
        <f aca="false">ROUNDDOWN(J596*設定!$C$13/1000,0)</f>
        <v>0</v>
      </c>
      <c r="BJ596" s="31" t="n">
        <f aca="false">ROUNDDOWN(K596*設定!$B$14/1000,0)</f>
        <v>0</v>
      </c>
      <c r="BK596" s="31" t="n">
        <f aca="false">ROUNDDOWN(K596*設定!$C$14/1000,0)</f>
        <v>0</v>
      </c>
      <c r="BL596" s="31" t="n">
        <f aca="false">ROUNDDOWN(J596*設定!$B$15/1000,0)</f>
        <v>0</v>
      </c>
      <c r="BM596" s="31" t="n">
        <f aca="false">ROUNDDOWN(J596*設定!$C$15/1000,0)</f>
        <v>0</v>
      </c>
      <c r="BN596" s="31" t="n">
        <f aca="false">L596+M596</f>
        <v>0</v>
      </c>
      <c r="BO596" s="31" t="n">
        <f aca="false">N596+O596+P596</f>
        <v>0</v>
      </c>
      <c r="BP596" s="31" t="n">
        <f aca="false">Q596</f>
        <v>0</v>
      </c>
      <c r="BQ596" s="31" t="n">
        <f aca="false">R596</f>
        <v>0</v>
      </c>
      <c r="BR596" s="31" t="n">
        <f aca="false">S596</f>
        <v>0</v>
      </c>
      <c r="BS596" s="31" t="n">
        <f aca="false">T596</f>
        <v>0</v>
      </c>
      <c r="BT596" s="31" t="n">
        <f aca="false">U596</f>
        <v>0</v>
      </c>
      <c r="BU596" s="31" t="n">
        <f aca="false">V596</f>
        <v>0</v>
      </c>
      <c r="BV596" s="32" t="n">
        <f aca="false">IF(BF596=0,IF(BN596=0,0,1),(BN596-BF596)/BF596)</f>
        <v>0</v>
      </c>
      <c r="BW596" s="32" t="n">
        <f aca="false">IF(BG596=0,IF(BO596=0,0,1),(BO596-BG596)/BG596)</f>
        <v>0</v>
      </c>
      <c r="BX596" s="32" t="n">
        <f aca="false">IF(BH596=0,IF(BP596=0,0,1),(BP596-BH596)/BH596)</f>
        <v>0</v>
      </c>
      <c r="BY596" s="32" t="n">
        <f aca="false">IF(BI596=0,IF(BQ596=0,0,1),(BQ596-BI596)/BI596)</f>
        <v>0</v>
      </c>
      <c r="BZ596" s="32" t="n">
        <f aca="false">IF(BJ596=0,IF(BR596=0,0,1),(BR596-BJ596)/BJ596)</f>
        <v>0</v>
      </c>
      <c r="CA596" s="32" t="n">
        <f aca="false">IF(BK596=0,IF(BS596=0,0,1),(BS596-BK596)/BK596)</f>
        <v>0</v>
      </c>
      <c r="CB596" s="32" t="n">
        <f aca="false">IF(BL596=0,IF(BT596=0,0,1),(BT596-BL596)/BL596)</f>
        <v>0</v>
      </c>
      <c r="CC596" s="32" t="n">
        <f aca="false">IF(BM596=0,IF(BU596=0,0,1),(BU596-BM596)/BM596)</f>
        <v>0</v>
      </c>
      <c r="CD596" s="32" t="n">
        <f aca="false">MAX(MAX(BV596:CC596),-MIN(BV596:CC596))</f>
        <v>-0</v>
      </c>
      <c r="CE596" s="31" t="n">
        <f aca="false">IF(CI596="","",SUMIFS($CF$7:$CF$696,$A$7:$A$696,CI596,$B$7:$B$696,B596))</f>
        <v>0</v>
      </c>
      <c r="CF596" s="31" t="n">
        <f aca="false">SUM(AU596:BE596)</f>
        <v>0</v>
      </c>
      <c r="CG596" s="36" t="str">
        <f aca="false">A596&amp;"|"&amp;B596</f>
        <v>2027-02 月例|地方公共団体
情報システム機構</v>
      </c>
      <c r="CH596" s="34" t="str">
        <f aca="false">IFERROR(INDEX(設定!$D$61:$D$106,MATCH(B596,設定!$B$61:$B$106,0)),"Y")</f>
        <v>Y</v>
      </c>
      <c r="CI596" s="34" t="str">
        <f aca="false">IFERROR(INDEX(設定!$D$20:$D$34,MATCH(A596,設定!$A$20:$A$34,0))&amp;"","")</f>
        <v>2027-01 月例</v>
      </c>
    </row>
    <row r="597" customFormat="false" ht="15" hidden="true" customHeight="false" outlineLevel="0" collapsed="false">
      <c r="A597" s="22" t="s">
        <v>220</v>
      </c>
      <c r="B597" s="23" t="s">
        <v>199</v>
      </c>
      <c r="C597" s="10" t="str">
        <f aca="false">IF(G597="","未受領",IF(G597="なし","報告なし",IF(AH597="○","起票済",IF(OR(AG597="○",F597="一致",F597="入金不要"),"入金確認済","受領済"))))</f>
        <v>未受領</v>
      </c>
      <c r="D597" s="10" t="str">
        <f aca="false">IF(OR(G597="",G597="なし"),"―",IF(CH597="N","対象外",IF(AND(I597="",J597="",K597=""),"標報未入力",IF(CD597&gt;=設定!$B$4,"要確認","問題なし"))))</f>
        <v>―</v>
      </c>
      <c r="E597" s="24" t="str">
        <f aca="false">IF(OR(G597="",G597="なし",CE597="",CF597=0),"―",IF(CF597=CE597,"前月同額",IF(CE597=0,"―",IF(ABS(CF597/CE597-1)&gt;=設定!$B$5,"変動大 "&amp;TEXT(CF597/CE597-1,"+0%;-0%"),"〇"))))</f>
        <v>―</v>
      </c>
      <c r="F597" s="10" t="str">
        <f aca="false">IF(OR(G597="",G597="なし"),"―",IF(CF597=0,"入金不要",IF(COUNT(Z597,AB597,AD597,AF597)=0,IF(AG597="○","手動確認","未入金"),IF(AND(N(Z597)=Y597,IF(AA597="",TRUE(),N(AB597)=AA597),IF(AC597="",TRUE(),N(AD597)=AC597),IF(AE597="",TRUE(),N(AF597)=AE597)),"一致","不一致"))))</f>
        <v>―</v>
      </c>
      <c r="G597" s="25"/>
      <c r="H597" s="26"/>
      <c r="I597" s="27"/>
      <c r="J597" s="27"/>
      <c r="K597" s="27"/>
      <c r="L597" s="27"/>
      <c r="M597" s="27"/>
      <c r="N597" s="27"/>
      <c r="O597" s="27"/>
      <c r="P597" s="27"/>
      <c r="Q597" s="27"/>
      <c r="R597" s="27"/>
      <c r="S597" s="27"/>
      <c r="T597" s="27"/>
      <c r="U597" s="27"/>
      <c r="V597" s="27"/>
      <c r="W597" s="10" t="str">
        <f aca="false">IFERROR(INDEX(設定!$E$61:$E$106,MATCH(B597,設定!$B$61:$B$106,0)),"合算")</f>
        <v>合算</v>
      </c>
      <c r="X597" s="28"/>
      <c r="Y597" s="29" t="str">
        <f aca="false">IF(OR(G597="",G597="なし"),"",IF(W597="合算",CF597,IF(W597="掛金・負担金別",(AU597+AV597+AZ597+BB597+BD597),SUM(AU597:AY597))))</f>
        <v/>
      </c>
      <c r="Z597" s="27"/>
      <c r="AA597" s="29" t="str">
        <f aca="false">IF(OR(G597="",G597="なし"),"",IF(W597="掛金・負担金別",(AW597+AX597+AY597+BA597+BC597+BE597),IF(W597="経理区分別",AZ597+BA597,"")))</f>
        <v/>
      </c>
      <c r="AB597" s="27"/>
      <c r="AC597" s="29" t="str">
        <f aca="false">IF(OR(G597="",G597="なし"),"",IF(W597="経理区分別",BB597+BC597,""))</f>
        <v/>
      </c>
      <c r="AD597" s="27"/>
      <c r="AE597" s="29" t="str">
        <f aca="false">IF(OR(G597="",G597="なし"),"",IF(W597="経理区分別",BD597+BE597,""))</f>
        <v/>
      </c>
      <c r="AF597" s="27"/>
      <c r="AG597" s="26"/>
      <c r="AH597" s="26"/>
      <c r="AI597" s="30"/>
      <c r="AJ597" s="31" t="n">
        <v>59475</v>
      </c>
      <c r="AK597" s="31" t="n">
        <v>4875</v>
      </c>
      <c r="AL597" s="31" t="n">
        <v>59475</v>
      </c>
      <c r="AM597" s="31" t="n">
        <v>4875</v>
      </c>
      <c r="AN597" s="31" t="n">
        <v>61</v>
      </c>
      <c r="AO597" s="31" t="n">
        <v>41257</v>
      </c>
      <c r="AP597" s="31" t="n">
        <v>41332</v>
      </c>
      <c r="AQ597" s="31" t="n">
        <v>5925</v>
      </c>
      <c r="AR597" s="31" t="n">
        <v>5925</v>
      </c>
      <c r="AS597" s="31" t="n">
        <v>1</v>
      </c>
      <c r="AT597" s="31" t="n">
        <v>1</v>
      </c>
      <c r="AU597" s="31" t="n">
        <f aca="false">IF($G597="",AJ597,L597)</f>
        <v>59475</v>
      </c>
      <c r="AV597" s="31" t="n">
        <f aca="false">IF($G597="",AK597,M597)</f>
        <v>4875</v>
      </c>
      <c r="AW597" s="31" t="n">
        <f aca="false">IF($G597="",AL597,N597)</f>
        <v>59475</v>
      </c>
      <c r="AX597" s="31" t="n">
        <f aca="false">IF($G597="",AM597,O597)</f>
        <v>4875</v>
      </c>
      <c r="AY597" s="31" t="n">
        <f aca="false">IF($G597="",AN597,P597)</f>
        <v>61</v>
      </c>
      <c r="AZ597" s="31" t="n">
        <f aca="false">IF($G597="",AO597,Q597)</f>
        <v>41257</v>
      </c>
      <c r="BA597" s="31" t="n">
        <f aca="false">IF($G597="",AP597,R597)</f>
        <v>41332</v>
      </c>
      <c r="BB597" s="31" t="n">
        <f aca="false">IF($G597="",AQ597,S597)</f>
        <v>5925</v>
      </c>
      <c r="BC597" s="31" t="n">
        <f aca="false">IF($G597="",AR597,T597)</f>
        <v>5925</v>
      </c>
      <c r="BD597" s="31" t="n">
        <f aca="false">IF($G597="",AS597,U597)</f>
        <v>1</v>
      </c>
      <c r="BE597" s="31" t="n">
        <f aca="false">IF($G597="",AT597,V597)</f>
        <v>1</v>
      </c>
      <c r="BF597" s="31" t="n">
        <f aca="false">ROUNDDOWN(I597*設定!$B$10/1000,0)+ROUNDDOWN(I597*設定!$B$11/1000,0)</f>
        <v>0</v>
      </c>
      <c r="BG597" s="31" t="n">
        <f aca="false">ROUNDDOWN(I597*設定!$C$10/1000,0)+ROUNDDOWN(I597*設定!$C$11/1000,0)+ROUNDDOWN(I597*設定!$C$12/1000,0)</f>
        <v>0</v>
      </c>
      <c r="BH597" s="31" t="n">
        <f aca="false">ROUNDDOWN(J597*設定!$B$13/1000,0)</f>
        <v>0</v>
      </c>
      <c r="BI597" s="31" t="n">
        <f aca="false">ROUNDDOWN(J597*設定!$C$13/1000,0)</f>
        <v>0</v>
      </c>
      <c r="BJ597" s="31" t="n">
        <f aca="false">ROUNDDOWN(K597*設定!$B$14/1000,0)</f>
        <v>0</v>
      </c>
      <c r="BK597" s="31" t="n">
        <f aca="false">ROUNDDOWN(K597*設定!$C$14/1000,0)</f>
        <v>0</v>
      </c>
      <c r="BL597" s="31" t="n">
        <f aca="false">ROUNDDOWN(J597*設定!$B$15/1000,0)</f>
        <v>0</v>
      </c>
      <c r="BM597" s="31" t="n">
        <f aca="false">ROUNDDOWN(J597*設定!$C$15/1000,0)</f>
        <v>0</v>
      </c>
      <c r="BN597" s="31" t="n">
        <f aca="false">L597+M597</f>
        <v>0</v>
      </c>
      <c r="BO597" s="31" t="n">
        <f aca="false">N597+O597+P597</f>
        <v>0</v>
      </c>
      <c r="BP597" s="31" t="n">
        <f aca="false">Q597</f>
        <v>0</v>
      </c>
      <c r="BQ597" s="31" t="n">
        <f aca="false">R597</f>
        <v>0</v>
      </c>
      <c r="BR597" s="31" t="n">
        <f aca="false">S597</f>
        <v>0</v>
      </c>
      <c r="BS597" s="31" t="n">
        <f aca="false">T597</f>
        <v>0</v>
      </c>
      <c r="BT597" s="31" t="n">
        <f aca="false">U597</f>
        <v>0</v>
      </c>
      <c r="BU597" s="31" t="n">
        <f aca="false">V597</f>
        <v>0</v>
      </c>
      <c r="BV597" s="32" t="n">
        <f aca="false">IF(BF597=0,IF(BN597=0,0,1),(BN597-BF597)/BF597)</f>
        <v>0</v>
      </c>
      <c r="BW597" s="32" t="n">
        <f aca="false">IF(BG597=0,IF(BO597=0,0,1),(BO597-BG597)/BG597)</f>
        <v>0</v>
      </c>
      <c r="BX597" s="32" t="n">
        <f aca="false">IF(BH597=0,IF(BP597=0,0,1),(BP597-BH597)/BH597)</f>
        <v>0</v>
      </c>
      <c r="BY597" s="32" t="n">
        <f aca="false">IF(BI597=0,IF(BQ597=0,0,1),(BQ597-BI597)/BI597)</f>
        <v>0</v>
      </c>
      <c r="BZ597" s="32" t="n">
        <f aca="false">IF(BJ597=0,IF(BR597=0,0,1),(BR597-BJ597)/BJ597)</f>
        <v>0</v>
      </c>
      <c r="CA597" s="32" t="n">
        <f aca="false">IF(BK597=0,IF(BS597=0,0,1),(BS597-BK597)/BK597)</f>
        <v>0</v>
      </c>
      <c r="CB597" s="32" t="n">
        <f aca="false">IF(BL597=0,IF(BT597=0,0,1),(BT597-BL597)/BL597)</f>
        <v>0</v>
      </c>
      <c r="CC597" s="32" t="n">
        <f aca="false">IF(BM597=0,IF(BU597=0,0,1),(BU597-BM597)/BM597)</f>
        <v>0</v>
      </c>
      <c r="CD597" s="32" t="n">
        <f aca="false">MAX(MAX(BV597:CC597),-MIN(BV597:CC597))</f>
        <v>-0</v>
      </c>
      <c r="CE597" s="31" t="n">
        <f aca="false">IF(CI597="","",SUMIFS($CF$7:$CF$696,$A$7:$A$696,CI597,$B$7:$B$696,B597))</f>
        <v>223202</v>
      </c>
      <c r="CF597" s="31" t="n">
        <f aca="false">SUM(AU597:BE597)</f>
        <v>223202</v>
      </c>
      <c r="CG597" s="33" t="str">
        <f aca="false">A597&amp;"|"&amp;B597</f>
        <v>2027-02 月例|全国市長会</v>
      </c>
      <c r="CH597" s="34" t="str">
        <f aca="false">IFERROR(INDEX(設定!$D$61:$D$106,MATCH(B597,設定!$B$61:$B$106,0)),"Y")</f>
        <v>Y</v>
      </c>
      <c r="CI597" s="34" t="str">
        <f aca="false">IFERROR(INDEX(設定!$D$20:$D$34,MATCH(A597,設定!$A$20:$A$34,0))&amp;"","")</f>
        <v>2027-01 月例</v>
      </c>
    </row>
    <row r="598" customFormat="false" ht="15" hidden="true" customHeight="false" outlineLevel="0" collapsed="false">
      <c r="A598" s="22" t="s">
        <v>220</v>
      </c>
      <c r="B598" s="23" t="s">
        <v>200</v>
      </c>
      <c r="C598" s="10" t="str">
        <f aca="false">IF(G598="","未受領",IF(G598="なし","報告なし",IF(AH598="○","起票済",IF(OR(AG598="○",F598="一致",F598="入金不要"),"入金確認済","受領済"))))</f>
        <v>未受領</v>
      </c>
      <c r="D598" s="10" t="str">
        <f aca="false">IF(OR(G598="",G598="なし"),"―",IF(CH598="N","対象外",IF(AND(I598="",J598="",K598=""),"標報未入力",IF(CD598&gt;=設定!$B$4,"要確認","問題なし"))))</f>
        <v>―</v>
      </c>
      <c r="E598" s="24" t="str">
        <f aca="false">IF(OR(G598="",G598="なし",CE598="",CF598=0),"―",IF(CF598=CE598,"前月同額",IF(CE598=0,"―",IF(ABS(CF598/CE598-1)&gt;=設定!$B$5,"変動大 "&amp;TEXT(CF598/CE598-1,"+0%;-0%"),"〇"))))</f>
        <v>―</v>
      </c>
      <c r="F598" s="10" t="str">
        <f aca="false">IF(OR(G598="",G598="なし"),"―",IF(CF598=0,"入金不要",IF(COUNT(Z598,AB598,AD598,AF598)=0,IF(AG598="○","手動確認","未入金"),IF(AND(N(Z598)=Y598,IF(AA598="",TRUE(),N(AB598)=AA598),IF(AC598="",TRUE(),N(AD598)=AC598),IF(AE598="",TRUE(),N(AF598)=AE598)),"一致","不一致"))))</f>
        <v>―</v>
      </c>
      <c r="G598" s="25"/>
      <c r="H598" s="26"/>
      <c r="I598" s="27"/>
      <c r="J598" s="27"/>
      <c r="K598" s="27"/>
      <c r="L598" s="27"/>
      <c r="M598" s="27"/>
      <c r="N598" s="27"/>
      <c r="O598" s="27"/>
      <c r="P598" s="27"/>
      <c r="Q598" s="27"/>
      <c r="R598" s="27"/>
      <c r="S598" s="27"/>
      <c r="T598" s="27"/>
      <c r="U598" s="27"/>
      <c r="V598" s="27"/>
      <c r="W598" s="10" t="str">
        <f aca="false">IFERROR(INDEX(設定!$E$61:$E$106,MATCH(B598,設定!$B$61:$B$106,0)),"合算")</f>
        <v>合算</v>
      </c>
      <c r="X598" s="28"/>
      <c r="Y598" s="29" t="str">
        <f aca="false">IF(OR(G598="",G598="なし"),"",IF(W598="合算",CF598,IF(W598="掛金・負担金別",(AU598+AV598+AZ598+BB598+BD598),SUM(AU598:AY598))))</f>
        <v/>
      </c>
      <c r="Z598" s="27"/>
      <c r="AA598" s="29" t="str">
        <f aca="false">IF(OR(G598="",G598="なし"),"",IF(W598="掛金・負担金別",(AW598+AX598+AY598+BA598+BC598+BE598),IF(W598="経理区分別",AZ598+BA598,"")))</f>
        <v/>
      </c>
      <c r="AB598" s="27"/>
      <c r="AC598" s="29" t="str">
        <f aca="false">IF(OR(G598="",G598="なし"),"",IF(W598="経理区分別",BB598+BC598,""))</f>
        <v/>
      </c>
      <c r="AD598" s="27"/>
      <c r="AE598" s="29" t="str">
        <f aca="false">IF(OR(G598="",G598="なし"),"",IF(W598="経理区分別",BD598+BE598,""))</f>
        <v/>
      </c>
      <c r="AF598" s="27"/>
      <c r="AG598" s="26"/>
      <c r="AH598" s="26"/>
      <c r="AI598" s="30"/>
      <c r="AJ598" s="31" t="n">
        <v>145485</v>
      </c>
      <c r="AK598" s="31" t="n">
        <v>11925</v>
      </c>
      <c r="AL598" s="31" t="n">
        <v>145485</v>
      </c>
      <c r="AM598" s="31" t="n">
        <v>11925</v>
      </c>
      <c r="AN598" s="31" t="n">
        <v>149</v>
      </c>
      <c r="AO598" s="31"/>
      <c r="AP598" s="31"/>
      <c r="AQ598" s="31"/>
      <c r="AR598" s="31"/>
      <c r="AS598" s="31"/>
      <c r="AT598" s="31"/>
      <c r="AU598" s="31" t="n">
        <f aca="false">IF($G598="",AJ598,L598)</f>
        <v>145485</v>
      </c>
      <c r="AV598" s="31" t="n">
        <f aca="false">IF($G598="",AK598,M598)</f>
        <v>11925</v>
      </c>
      <c r="AW598" s="31" t="n">
        <f aca="false">IF($G598="",AL598,N598)</f>
        <v>145485</v>
      </c>
      <c r="AX598" s="31" t="n">
        <f aca="false">IF($G598="",AM598,O598)</f>
        <v>11925</v>
      </c>
      <c r="AY598" s="31" t="n">
        <f aca="false">IF($G598="",AN598,P598)</f>
        <v>149</v>
      </c>
      <c r="AZ598" s="31" t="n">
        <f aca="false">IF($G598="",AO598,Q598)</f>
        <v>0</v>
      </c>
      <c r="BA598" s="31" t="n">
        <f aca="false">IF($G598="",AP598,R598)</f>
        <v>0</v>
      </c>
      <c r="BB598" s="31" t="n">
        <f aca="false">IF($G598="",AQ598,S598)</f>
        <v>0</v>
      </c>
      <c r="BC598" s="31" t="n">
        <f aca="false">IF($G598="",AR598,T598)</f>
        <v>0</v>
      </c>
      <c r="BD598" s="31" t="n">
        <f aca="false">IF($G598="",AS598,U598)</f>
        <v>0</v>
      </c>
      <c r="BE598" s="31" t="n">
        <f aca="false">IF($G598="",AT598,V598)</f>
        <v>0</v>
      </c>
      <c r="BF598" s="31" t="n">
        <f aca="false">ROUNDDOWN(I598*設定!$B$10/1000,0)+ROUNDDOWN(I598*設定!$B$11/1000,0)</f>
        <v>0</v>
      </c>
      <c r="BG598" s="31" t="n">
        <f aca="false">ROUNDDOWN(I598*設定!$C$10/1000,0)+ROUNDDOWN(I598*設定!$C$11/1000,0)+ROUNDDOWN(I598*設定!$C$12/1000,0)</f>
        <v>0</v>
      </c>
      <c r="BH598" s="31" t="n">
        <f aca="false">ROUNDDOWN(J598*設定!$B$13/1000,0)</f>
        <v>0</v>
      </c>
      <c r="BI598" s="31" t="n">
        <f aca="false">ROUNDDOWN(J598*設定!$C$13/1000,0)</f>
        <v>0</v>
      </c>
      <c r="BJ598" s="31" t="n">
        <f aca="false">ROUNDDOWN(K598*設定!$B$14/1000,0)</f>
        <v>0</v>
      </c>
      <c r="BK598" s="31" t="n">
        <f aca="false">ROUNDDOWN(K598*設定!$C$14/1000,0)</f>
        <v>0</v>
      </c>
      <c r="BL598" s="31" t="n">
        <f aca="false">ROUNDDOWN(J598*設定!$B$15/1000,0)</f>
        <v>0</v>
      </c>
      <c r="BM598" s="31" t="n">
        <f aca="false">ROUNDDOWN(J598*設定!$C$15/1000,0)</f>
        <v>0</v>
      </c>
      <c r="BN598" s="31" t="n">
        <f aca="false">L598+M598</f>
        <v>0</v>
      </c>
      <c r="BO598" s="31" t="n">
        <f aca="false">N598+O598+P598</f>
        <v>0</v>
      </c>
      <c r="BP598" s="31" t="n">
        <f aca="false">Q598</f>
        <v>0</v>
      </c>
      <c r="BQ598" s="31" t="n">
        <f aca="false">R598</f>
        <v>0</v>
      </c>
      <c r="BR598" s="31" t="n">
        <f aca="false">S598</f>
        <v>0</v>
      </c>
      <c r="BS598" s="31" t="n">
        <f aca="false">T598</f>
        <v>0</v>
      </c>
      <c r="BT598" s="31" t="n">
        <f aca="false">U598</f>
        <v>0</v>
      </c>
      <c r="BU598" s="31" t="n">
        <f aca="false">V598</f>
        <v>0</v>
      </c>
      <c r="BV598" s="32" t="n">
        <f aca="false">IF(BF598=0,IF(BN598=0,0,1),(BN598-BF598)/BF598)</f>
        <v>0</v>
      </c>
      <c r="BW598" s="32" t="n">
        <f aca="false">IF(BG598=0,IF(BO598=0,0,1),(BO598-BG598)/BG598)</f>
        <v>0</v>
      </c>
      <c r="BX598" s="32" t="n">
        <f aca="false">IF(BH598=0,IF(BP598=0,0,1),(BP598-BH598)/BH598)</f>
        <v>0</v>
      </c>
      <c r="BY598" s="32" t="n">
        <f aca="false">IF(BI598=0,IF(BQ598=0,0,1),(BQ598-BI598)/BI598)</f>
        <v>0</v>
      </c>
      <c r="BZ598" s="32" t="n">
        <f aca="false">IF(BJ598=0,IF(BR598=0,0,1),(BR598-BJ598)/BJ598)</f>
        <v>0</v>
      </c>
      <c r="CA598" s="32" t="n">
        <f aca="false">IF(BK598=0,IF(BS598=0,0,1),(BS598-BK598)/BK598)</f>
        <v>0</v>
      </c>
      <c r="CB598" s="32" t="n">
        <f aca="false">IF(BL598=0,IF(BT598=0,0,1),(BT598-BL598)/BL598)</f>
        <v>0</v>
      </c>
      <c r="CC598" s="32" t="n">
        <f aca="false">IF(BM598=0,IF(BU598=0,0,1),(BU598-BM598)/BM598)</f>
        <v>0</v>
      </c>
      <c r="CD598" s="32" t="n">
        <f aca="false">MAX(MAX(BV598:CC598),-MIN(BV598:CC598))</f>
        <v>-0</v>
      </c>
      <c r="CE598" s="31" t="n">
        <f aca="false">IF(CI598="","",SUMIFS($CF$7:$CF$696,$A$7:$A$696,CI598,$B$7:$B$696,B598))</f>
        <v>314969</v>
      </c>
      <c r="CF598" s="31" t="n">
        <f aca="false">SUM(AU598:BE598)</f>
        <v>314969</v>
      </c>
      <c r="CG598" s="33" t="str">
        <f aca="false">A598&amp;"|"&amp;B598</f>
        <v>2027-02 月例|高速交通（株）</v>
      </c>
      <c r="CH598" s="34" t="str">
        <f aca="false">IFERROR(INDEX(設定!$D$61:$D$106,MATCH(B598,設定!$B$61:$B$106,0)),"Y")</f>
        <v>Y</v>
      </c>
      <c r="CI598" s="34" t="str">
        <f aca="false">IFERROR(INDEX(設定!$D$20:$D$34,MATCH(A598,設定!$A$20:$A$34,0))&amp;"","")</f>
        <v>2027-01 月例</v>
      </c>
    </row>
    <row r="599" customFormat="false" ht="15" hidden="true" customHeight="false" outlineLevel="0" collapsed="false">
      <c r="A599" s="22" t="s">
        <v>220</v>
      </c>
      <c r="B599" s="23" t="s">
        <v>201</v>
      </c>
      <c r="C599" s="10" t="str">
        <f aca="false">IF(G599="","未受領",IF(G599="なし","報告なし",IF(AH599="○","起票済",IF(OR(AG599="○",F599="一致",F599="入金不要"),"入金確認済","受領済"))))</f>
        <v>未受領</v>
      </c>
      <c r="D599" s="10" t="str">
        <f aca="false">IF(OR(G599="",G599="なし"),"―",IF(CH599="N","対象外",IF(AND(I599="",J599="",K599=""),"標報未入力",IF(CD599&gt;=設定!$B$4,"要確認","問題なし"))))</f>
        <v>―</v>
      </c>
      <c r="E599" s="24" t="str">
        <f aca="false">IF(OR(G599="",G599="なし",CE599="",CF599=0),"―",IF(CF599=CE599,"前月同額",IF(CE599=0,"―",IF(ABS(CF599/CE599-1)&gt;=設定!$B$5,"変動大 "&amp;TEXT(CF599/CE599-1,"+0%;-0%"),"〇"))))</f>
        <v>―</v>
      </c>
      <c r="F599" s="10" t="str">
        <f aca="false">IF(OR(G599="",G599="なし"),"―",IF(CF599=0,"入金不要",IF(COUNT(Z599,AB599,AD599,AF599)=0,IF(AG599="○","手動確認","未入金"),IF(AND(N(Z599)=Y599,IF(AA599="",TRUE(),N(AB599)=AA599),IF(AC599="",TRUE(),N(AD599)=AC599),IF(AE599="",TRUE(),N(AF599)=AE599)),"一致","不一致"))))</f>
        <v>―</v>
      </c>
      <c r="G599" s="25"/>
      <c r="H599" s="26"/>
      <c r="I599" s="27"/>
      <c r="J599" s="27"/>
      <c r="K599" s="27"/>
      <c r="L599" s="27"/>
      <c r="M599" s="27"/>
      <c r="N599" s="27"/>
      <c r="O599" s="27"/>
      <c r="P599" s="27"/>
      <c r="Q599" s="27"/>
      <c r="R599" s="27"/>
      <c r="S599" s="27"/>
      <c r="T599" s="27"/>
      <c r="U599" s="27"/>
      <c r="V599" s="27"/>
      <c r="W599" s="10" t="str">
        <f aca="false">IFERROR(INDEX(設定!$E$61:$E$106,MATCH(B599,設定!$B$61:$B$106,0)),"合算")</f>
        <v>合算</v>
      </c>
      <c r="X599" s="28"/>
      <c r="Y599" s="29" t="str">
        <f aca="false">IF(OR(G599="",G599="なし"),"",IF(W599="合算",CF599,IF(W599="掛金・負担金別",(AU599+AV599+AZ599+BB599+BD599),SUM(AU599:AY599))))</f>
        <v/>
      </c>
      <c r="Z599" s="27"/>
      <c r="AA599" s="29" t="str">
        <f aca="false">IF(OR(G599="",G599="なし"),"",IF(W599="掛金・負担金別",(AW599+AX599+AY599+BA599+BC599+BE599),IF(W599="経理区分別",AZ599+BA599,"")))</f>
        <v/>
      </c>
      <c r="AB599" s="27"/>
      <c r="AC599" s="29" t="str">
        <f aca="false">IF(OR(G599="",G599="なし"),"",IF(W599="経理区分別",BB599+BC599,""))</f>
        <v/>
      </c>
      <c r="AD599" s="27"/>
      <c r="AE599" s="29" t="str">
        <f aca="false">IF(OR(G599="",G599="なし"),"",IF(W599="経理区分別",BD599+BE599,""))</f>
        <v/>
      </c>
      <c r="AF599" s="27"/>
      <c r="AG599" s="26"/>
      <c r="AH599" s="26"/>
      <c r="AI599" s="30"/>
      <c r="AJ599" s="31" t="n">
        <v>53985</v>
      </c>
      <c r="AK599" s="31" t="n">
        <v>4425</v>
      </c>
      <c r="AL599" s="31" t="n">
        <v>53985</v>
      </c>
      <c r="AM599" s="31" t="n">
        <v>4425</v>
      </c>
      <c r="AN599" s="31" t="n">
        <v>55</v>
      </c>
      <c r="AO599" s="31"/>
      <c r="AP599" s="31"/>
      <c r="AQ599" s="31"/>
      <c r="AR599" s="31"/>
      <c r="AS599" s="31"/>
      <c r="AT599" s="31"/>
      <c r="AU599" s="31" t="n">
        <f aca="false">IF($G599="",AJ599,L599)</f>
        <v>53985</v>
      </c>
      <c r="AV599" s="31" t="n">
        <f aca="false">IF($G599="",AK599,M599)</f>
        <v>4425</v>
      </c>
      <c r="AW599" s="31" t="n">
        <f aca="false">IF($G599="",AL599,N599)</f>
        <v>53985</v>
      </c>
      <c r="AX599" s="31" t="n">
        <f aca="false">IF($G599="",AM599,O599)</f>
        <v>4425</v>
      </c>
      <c r="AY599" s="31" t="n">
        <f aca="false">IF($G599="",AN599,P599)</f>
        <v>55</v>
      </c>
      <c r="AZ599" s="31" t="n">
        <f aca="false">IF($G599="",AO599,Q599)</f>
        <v>0</v>
      </c>
      <c r="BA599" s="31" t="n">
        <f aca="false">IF($G599="",AP599,R599)</f>
        <v>0</v>
      </c>
      <c r="BB599" s="31" t="n">
        <f aca="false">IF($G599="",AQ599,S599)</f>
        <v>0</v>
      </c>
      <c r="BC599" s="31" t="n">
        <f aca="false">IF($G599="",AR599,T599)</f>
        <v>0</v>
      </c>
      <c r="BD599" s="31" t="n">
        <f aca="false">IF($G599="",AS599,U599)</f>
        <v>0</v>
      </c>
      <c r="BE599" s="31" t="n">
        <f aca="false">IF($G599="",AT599,V599)</f>
        <v>0</v>
      </c>
      <c r="BF599" s="31" t="n">
        <f aca="false">ROUNDDOWN(I599*設定!$B$10/1000,0)+ROUNDDOWN(I599*設定!$B$11/1000,0)</f>
        <v>0</v>
      </c>
      <c r="BG599" s="31" t="n">
        <f aca="false">ROUNDDOWN(I599*設定!$C$10/1000,0)+ROUNDDOWN(I599*設定!$C$11/1000,0)+ROUNDDOWN(I599*設定!$C$12/1000,0)</f>
        <v>0</v>
      </c>
      <c r="BH599" s="31" t="n">
        <f aca="false">ROUNDDOWN(J599*設定!$B$13/1000,0)</f>
        <v>0</v>
      </c>
      <c r="BI599" s="31" t="n">
        <f aca="false">ROUNDDOWN(J599*設定!$C$13/1000,0)</f>
        <v>0</v>
      </c>
      <c r="BJ599" s="31" t="n">
        <f aca="false">ROUNDDOWN(K599*設定!$B$14/1000,0)</f>
        <v>0</v>
      </c>
      <c r="BK599" s="31" t="n">
        <f aca="false">ROUNDDOWN(K599*設定!$C$14/1000,0)</f>
        <v>0</v>
      </c>
      <c r="BL599" s="31" t="n">
        <f aca="false">ROUNDDOWN(J599*設定!$B$15/1000,0)</f>
        <v>0</v>
      </c>
      <c r="BM599" s="31" t="n">
        <f aca="false">ROUNDDOWN(J599*設定!$C$15/1000,0)</f>
        <v>0</v>
      </c>
      <c r="BN599" s="31" t="n">
        <f aca="false">L599+M599</f>
        <v>0</v>
      </c>
      <c r="BO599" s="31" t="n">
        <f aca="false">N599+O599+P599</f>
        <v>0</v>
      </c>
      <c r="BP599" s="31" t="n">
        <f aca="false">Q599</f>
        <v>0</v>
      </c>
      <c r="BQ599" s="31" t="n">
        <f aca="false">R599</f>
        <v>0</v>
      </c>
      <c r="BR599" s="31" t="n">
        <f aca="false">S599</f>
        <v>0</v>
      </c>
      <c r="BS599" s="31" t="n">
        <f aca="false">T599</f>
        <v>0</v>
      </c>
      <c r="BT599" s="31" t="n">
        <f aca="false">U599</f>
        <v>0</v>
      </c>
      <c r="BU599" s="31" t="n">
        <f aca="false">V599</f>
        <v>0</v>
      </c>
      <c r="BV599" s="32" t="n">
        <f aca="false">IF(BF599=0,IF(BN599=0,0,1),(BN599-BF599)/BF599)</f>
        <v>0</v>
      </c>
      <c r="BW599" s="32" t="n">
        <f aca="false">IF(BG599=0,IF(BO599=0,0,1),(BO599-BG599)/BG599)</f>
        <v>0</v>
      </c>
      <c r="BX599" s="32" t="n">
        <f aca="false">IF(BH599=0,IF(BP599=0,0,1),(BP599-BH599)/BH599)</f>
        <v>0</v>
      </c>
      <c r="BY599" s="32" t="n">
        <f aca="false">IF(BI599=0,IF(BQ599=0,0,1),(BQ599-BI599)/BI599)</f>
        <v>0</v>
      </c>
      <c r="BZ599" s="32" t="n">
        <f aca="false">IF(BJ599=0,IF(BR599=0,0,1),(BR599-BJ599)/BJ599)</f>
        <v>0</v>
      </c>
      <c r="CA599" s="32" t="n">
        <f aca="false">IF(BK599=0,IF(BS599=0,0,1),(BS599-BK599)/BK599)</f>
        <v>0</v>
      </c>
      <c r="CB599" s="32" t="n">
        <f aca="false">IF(BL599=0,IF(BT599=0,0,1),(BT599-BL599)/BL599)</f>
        <v>0</v>
      </c>
      <c r="CC599" s="32" t="n">
        <f aca="false">IF(BM599=0,IF(BU599=0,0,1),(BU599-BM599)/BM599)</f>
        <v>0</v>
      </c>
      <c r="CD599" s="32" t="n">
        <f aca="false">MAX(MAX(BV599:CC599),-MIN(BV599:CC599))</f>
        <v>-0</v>
      </c>
      <c r="CE599" s="31" t="n">
        <f aca="false">IF(CI599="","",SUMIFS($CF$7:$CF$696,$A$7:$A$696,CI599,$B$7:$B$696,B599))</f>
        <v>116875</v>
      </c>
      <c r="CF599" s="31" t="n">
        <f aca="false">SUM(AU599:BE599)</f>
        <v>116875</v>
      </c>
      <c r="CG599" s="33" t="str">
        <f aca="false">A599&amp;"|"&amp;B599</f>
        <v>2027-02 月例|広島駅南口開発（株）</v>
      </c>
      <c r="CH599" s="34" t="str">
        <f aca="false">IFERROR(INDEX(設定!$D$61:$D$106,MATCH(B599,設定!$B$61:$B$106,0)),"Y")</f>
        <v>Y</v>
      </c>
      <c r="CI599" s="34" t="str">
        <f aca="false">IFERROR(INDEX(設定!$D$20:$D$34,MATCH(A599,設定!$A$20:$A$34,0))&amp;"","")</f>
        <v>2027-01 月例</v>
      </c>
    </row>
    <row r="600" customFormat="false" ht="15" hidden="true" customHeight="false" outlineLevel="0" collapsed="false">
      <c r="A600" s="22" t="s">
        <v>220</v>
      </c>
      <c r="B600" s="23" t="s">
        <v>202</v>
      </c>
      <c r="C600" s="10" t="str">
        <f aca="false">IF(G600="","未受領",IF(G600="なし","報告なし",IF(AH600="○","起票済",IF(OR(AG600="○",F600="一致",F600="入金不要"),"入金確認済","受領済"))))</f>
        <v>未受領</v>
      </c>
      <c r="D600" s="10" t="str">
        <f aca="false">IF(OR(G600="",G600="なし"),"―",IF(CH600="N","対象外",IF(AND(I600="",J600="",K600=""),"標報未入力",IF(CD600&gt;=設定!$B$4,"要確認","問題なし"))))</f>
        <v>―</v>
      </c>
      <c r="E600" s="24" t="str">
        <f aca="false">IF(OR(G600="",G600="なし",CE600="",CF600=0),"―",IF(CF600=CE600,"前月同額",IF(CE600=0,"―",IF(ABS(CF600/CE600-1)&gt;=設定!$B$5,"変動大 "&amp;TEXT(CF600/CE600-1,"+0%;-0%"),"〇"))))</f>
        <v>―</v>
      </c>
      <c r="F600" s="10" t="str">
        <f aca="false">IF(OR(G600="",G600="なし"),"―",IF(CF600=0,"入金不要",IF(COUNT(Z600,AB600,AD600,AF600)=0,IF(AG600="○","手動確認","未入金"),IF(AND(N(Z600)=Y600,IF(AA600="",TRUE(),N(AB600)=AA600),IF(AC600="",TRUE(),N(AD600)=AC600),IF(AE600="",TRUE(),N(AF600)=AE600)),"一致","不一致"))))</f>
        <v>―</v>
      </c>
      <c r="G600" s="25"/>
      <c r="H600" s="26"/>
      <c r="I600" s="27"/>
      <c r="J600" s="27"/>
      <c r="K600" s="27"/>
      <c r="L600" s="27"/>
      <c r="M600" s="27"/>
      <c r="N600" s="27"/>
      <c r="O600" s="27"/>
      <c r="P600" s="27"/>
      <c r="Q600" s="27"/>
      <c r="R600" s="27"/>
      <c r="S600" s="27"/>
      <c r="T600" s="27"/>
      <c r="U600" s="27"/>
      <c r="V600" s="27"/>
      <c r="W600" s="10" t="str">
        <f aca="false">IFERROR(INDEX(設定!$E$61:$E$106,MATCH(B600,設定!$B$61:$B$106,0)),"合算")</f>
        <v>合算</v>
      </c>
      <c r="X600" s="28"/>
      <c r="Y600" s="29" t="str">
        <f aca="false">IF(OR(G600="",G600="なし"),"",IF(W600="合算",CF600,IF(W600="掛金・負担金別",(AU600+AV600+AZ600+BB600+BD600),SUM(AU600:AY600))))</f>
        <v/>
      </c>
      <c r="Z600" s="27"/>
      <c r="AA600" s="29" t="str">
        <f aca="false">IF(OR(G600="",G600="なし"),"",IF(W600="掛金・負担金別",(AW600+AX600+AY600+BA600+BC600+BE600),IF(W600="経理区分別",AZ600+BA600,"")))</f>
        <v/>
      </c>
      <c r="AB600" s="27"/>
      <c r="AC600" s="29" t="str">
        <f aca="false">IF(OR(G600="",G600="なし"),"",IF(W600="経理区分別",BB600+BC600,""))</f>
        <v/>
      </c>
      <c r="AD600" s="27"/>
      <c r="AE600" s="29" t="str">
        <f aca="false">IF(OR(G600="",G600="なし"),"",IF(W600="経理区分別",BD600+BE600,""))</f>
        <v/>
      </c>
      <c r="AF600" s="27"/>
      <c r="AG600" s="26"/>
      <c r="AH600" s="26"/>
      <c r="AI600" s="30"/>
      <c r="AJ600" s="31" t="n">
        <v>29280</v>
      </c>
      <c r="AK600" s="31" t="n">
        <v>2400</v>
      </c>
      <c r="AL600" s="31" t="n">
        <v>29280</v>
      </c>
      <c r="AM600" s="31" t="n">
        <v>2400</v>
      </c>
      <c r="AN600" s="31"/>
      <c r="AO600" s="31" t="n">
        <v>17603</v>
      </c>
      <c r="AP600" s="31" t="n">
        <v>17635</v>
      </c>
      <c r="AQ600" s="31" t="n">
        <v>2528</v>
      </c>
      <c r="AR600" s="31" t="n">
        <v>2528</v>
      </c>
      <c r="AS600" s="31" t="n">
        <v>1</v>
      </c>
      <c r="AT600" s="31" t="n">
        <v>1</v>
      </c>
      <c r="AU600" s="31" t="n">
        <f aca="false">IF($G600="",AJ600,L600)</f>
        <v>29280</v>
      </c>
      <c r="AV600" s="31" t="n">
        <f aca="false">IF($G600="",AK600,M600)</f>
        <v>2400</v>
      </c>
      <c r="AW600" s="31" t="n">
        <f aca="false">IF($G600="",AL600,N600)</f>
        <v>29280</v>
      </c>
      <c r="AX600" s="31" t="n">
        <f aca="false">IF($G600="",AM600,O600)</f>
        <v>2400</v>
      </c>
      <c r="AY600" s="31" t="n">
        <f aca="false">IF($G600="",AN600,P600)</f>
        <v>0</v>
      </c>
      <c r="AZ600" s="31" t="n">
        <f aca="false">IF($G600="",AO600,Q600)</f>
        <v>17603</v>
      </c>
      <c r="BA600" s="31" t="n">
        <f aca="false">IF($G600="",AP600,R600)</f>
        <v>17635</v>
      </c>
      <c r="BB600" s="31" t="n">
        <f aca="false">IF($G600="",AQ600,S600)</f>
        <v>2528</v>
      </c>
      <c r="BC600" s="31" t="n">
        <f aca="false">IF($G600="",AR600,T600)</f>
        <v>2528</v>
      </c>
      <c r="BD600" s="31" t="n">
        <f aca="false">IF($G600="",AS600,U600)</f>
        <v>1</v>
      </c>
      <c r="BE600" s="31" t="n">
        <f aca="false">IF($G600="",AT600,V600)</f>
        <v>1</v>
      </c>
      <c r="BF600" s="31" t="n">
        <f aca="false">ROUNDDOWN(I600*設定!$B$10/1000,0)+ROUNDDOWN(I600*設定!$B$11/1000,0)</f>
        <v>0</v>
      </c>
      <c r="BG600" s="31" t="n">
        <f aca="false">ROUNDDOWN(I600*設定!$C$10/1000,0)+ROUNDDOWN(I600*設定!$C$11/1000,0)+ROUNDDOWN(I600*設定!$C$12/1000,0)</f>
        <v>0</v>
      </c>
      <c r="BH600" s="31" t="n">
        <f aca="false">ROUNDDOWN(J600*設定!$B$13/1000,0)</f>
        <v>0</v>
      </c>
      <c r="BI600" s="31" t="n">
        <f aca="false">ROUNDDOWN(J600*設定!$C$13/1000,0)</f>
        <v>0</v>
      </c>
      <c r="BJ600" s="31" t="n">
        <f aca="false">ROUNDDOWN(K600*設定!$B$14/1000,0)</f>
        <v>0</v>
      </c>
      <c r="BK600" s="31" t="n">
        <f aca="false">ROUNDDOWN(K600*設定!$C$14/1000,0)</f>
        <v>0</v>
      </c>
      <c r="BL600" s="31" t="n">
        <f aca="false">ROUNDDOWN(J600*設定!$B$15/1000,0)</f>
        <v>0</v>
      </c>
      <c r="BM600" s="31" t="n">
        <f aca="false">ROUNDDOWN(J600*設定!$C$15/1000,0)</f>
        <v>0</v>
      </c>
      <c r="BN600" s="31" t="n">
        <f aca="false">L600+M600</f>
        <v>0</v>
      </c>
      <c r="BO600" s="31" t="n">
        <f aca="false">N600+O600+P600</f>
        <v>0</v>
      </c>
      <c r="BP600" s="31" t="n">
        <f aca="false">Q600</f>
        <v>0</v>
      </c>
      <c r="BQ600" s="31" t="n">
        <f aca="false">R600</f>
        <v>0</v>
      </c>
      <c r="BR600" s="31" t="n">
        <f aca="false">S600</f>
        <v>0</v>
      </c>
      <c r="BS600" s="31" t="n">
        <f aca="false">T600</f>
        <v>0</v>
      </c>
      <c r="BT600" s="31" t="n">
        <f aca="false">U600</f>
        <v>0</v>
      </c>
      <c r="BU600" s="31" t="n">
        <f aca="false">V600</f>
        <v>0</v>
      </c>
      <c r="BV600" s="32" t="n">
        <f aca="false">IF(BF600=0,IF(BN600=0,0,1),(BN600-BF600)/BF600)</f>
        <v>0</v>
      </c>
      <c r="BW600" s="32" t="n">
        <f aca="false">IF(BG600=0,IF(BO600=0,0,1),(BO600-BG600)/BG600)</f>
        <v>0</v>
      </c>
      <c r="BX600" s="32" t="n">
        <f aca="false">IF(BH600=0,IF(BP600=0,0,1),(BP600-BH600)/BH600)</f>
        <v>0</v>
      </c>
      <c r="BY600" s="32" t="n">
        <f aca="false">IF(BI600=0,IF(BQ600=0,0,1),(BQ600-BI600)/BI600)</f>
        <v>0</v>
      </c>
      <c r="BZ600" s="32" t="n">
        <f aca="false">IF(BJ600=0,IF(BR600=0,0,1),(BR600-BJ600)/BJ600)</f>
        <v>0</v>
      </c>
      <c r="CA600" s="32" t="n">
        <f aca="false">IF(BK600=0,IF(BS600=0,0,1),(BS600-BK600)/BK600)</f>
        <v>0</v>
      </c>
      <c r="CB600" s="32" t="n">
        <f aca="false">IF(BL600=0,IF(BT600=0,0,1),(BT600-BL600)/BL600)</f>
        <v>0</v>
      </c>
      <c r="CC600" s="32" t="n">
        <f aca="false">IF(BM600=0,IF(BU600=0,0,1),(BU600-BM600)/BM600)</f>
        <v>0</v>
      </c>
      <c r="CD600" s="32" t="n">
        <f aca="false">MAX(MAX(BV600:CC600),-MIN(BV600:CC600))</f>
        <v>-0</v>
      </c>
      <c r="CE600" s="31" t="n">
        <f aca="false">IF(CI600="","",SUMIFS($CF$7:$CF$696,$A$7:$A$696,CI600,$B$7:$B$696,B600))</f>
        <v>103656</v>
      </c>
      <c r="CF600" s="31" t="n">
        <f aca="false">SUM(AU600:BE600)</f>
        <v>103656</v>
      </c>
      <c r="CG600" s="33" t="str">
        <f aca="false">A600&amp;"|"&amp;B600</f>
        <v>2027-02 月例|市職員労働組合</v>
      </c>
      <c r="CH600" s="34" t="str">
        <f aca="false">IFERROR(INDEX(設定!$D$61:$D$106,MATCH(B600,設定!$B$61:$B$106,0)),"Y")</f>
        <v>Y</v>
      </c>
      <c r="CI600" s="34" t="str">
        <f aca="false">IFERROR(INDEX(設定!$D$20:$D$34,MATCH(A600,設定!$A$20:$A$34,0))&amp;"","")</f>
        <v>2027-01 月例</v>
      </c>
    </row>
    <row r="601" customFormat="false" ht="15" hidden="true" customHeight="false" outlineLevel="0" collapsed="false">
      <c r="A601" s="22" t="s">
        <v>220</v>
      </c>
      <c r="B601" s="23" t="s">
        <v>203</v>
      </c>
      <c r="C601" s="10" t="str">
        <f aca="false">IF(G601="","未受領",IF(G601="なし","報告なし",IF(AH601="○","起票済",IF(OR(AG601="○",F601="一致",F601="入金不要"),"入金確認済","受領済"))))</f>
        <v>報告なし</v>
      </c>
      <c r="D601" s="10" t="str">
        <f aca="false">IF(OR(G601="",G601="なし"),"―",IF(CH601="N","対象外",IF(AND(I601="",J601="",K601=""),"標報未入力",IF(CD601&gt;=設定!$B$4,"要確認","問題なし"))))</f>
        <v>―</v>
      </c>
      <c r="E601" s="24" t="str">
        <f aca="false">IF(OR(G601="",G601="なし",CE601="",CF601=0),"―",IF(CF601=CE601,"前月同額",IF(CE601=0,"―",IF(ABS(CF601/CE601-1)&gt;=設定!$B$5,"変動大 "&amp;TEXT(CF601/CE601-1,"+0%;-0%"),"〇"))))</f>
        <v>―</v>
      </c>
      <c r="F601" s="10" t="str">
        <f aca="false">IF(OR(G601="",G601="なし"),"―",IF(CF601=0,"入金不要",IF(COUNT(Z601,AB601,AD601,AF601)=0,IF(AG601="○","手動確認","未入金"),IF(AND(N(Z601)=Y601,IF(AA601="",TRUE(),N(AB601)=AA601),IF(AC601="",TRUE(),N(AD601)=AC601),IF(AE601="",TRUE(),N(AF601)=AE601)),"一致","不一致"))))</f>
        <v>―</v>
      </c>
      <c r="G601" s="25" t="s">
        <v>173</v>
      </c>
      <c r="H601" s="26"/>
      <c r="I601" s="27"/>
      <c r="J601" s="27"/>
      <c r="K601" s="27"/>
      <c r="L601" s="27"/>
      <c r="M601" s="27"/>
      <c r="N601" s="27"/>
      <c r="O601" s="27"/>
      <c r="P601" s="27"/>
      <c r="Q601" s="27"/>
      <c r="R601" s="27"/>
      <c r="S601" s="27"/>
      <c r="T601" s="27"/>
      <c r="U601" s="27"/>
      <c r="V601" s="27"/>
      <c r="W601" s="10" t="str">
        <f aca="false">IFERROR(INDEX(設定!$E$61:$E$106,MATCH(B601,設定!$B$61:$B$106,0)),"合算")</f>
        <v>合算</v>
      </c>
      <c r="X601" s="28"/>
      <c r="Y601" s="29" t="str">
        <f aca="false">IF(OR(G601="",G601="なし"),"",IF(W601="合算",CF601,IF(W601="掛金・負担金別",(AU601+AV601+AZ601+BB601+BD601),SUM(AU601:AY601))))</f>
        <v/>
      </c>
      <c r="Z601" s="27"/>
      <c r="AA601" s="29" t="str">
        <f aca="false">IF(OR(G601="",G601="なし"),"",IF(W601="掛金・負担金別",(AW601+AX601+AY601+BA601+BC601+BE601),IF(W601="経理区分別",AZ601+BA601,"")))</f>
        <v/>
      </c>
      <c r="AB601" s="27"/>
      <c r="AC601" s="29" t="str">
        <f aca="false">IF(OR(G601="",G601="なし"),"",IF(W601="経理区分別",BB601+BC601,""))</f>
        <v/>
      </c>
      <c r="AD601" s="27"/>
      <c r="AE601" s="29" t="str">
        <f aca="false">IF(OR(G601="",G601="なし"),"",IF(W601="経理区分別",BD601+BE601,""))</f>
        <v/>
      </c>
      <c r="AF601" s="27"/>
      <c r="AG601" s="26"/>
      <c r="AH601" s="26"/>
      <c r="AI601" s="30"/>
      <c r="AJ601" s="31"/>
      <c r="AK601" s="31"/>
      <c r="AL601" s="31"/>
      <c r="AM601" s="31"/>
      <c r="AN601" s="31"/>
      <c r="AO601" s="31"/>
      <c r="AP601" s="31"/>
      <c r="AQ601" s="31"/>
      <c r="AR601" s="31"/>
      <c r="AS601" s="31"/>
      <c r="AT601" s="31"/>
      <c r="AU601" s="31" t="n">
        <f aca="false">IF($G601="",AJ601,L601)</f>
        <v>0</v>
      </c>
      <c r="AV601" s="31" t="n">
        <f aca="false">IF($G601="",AK601,M601)</f>
        <v>0</v>
      </c>
      <c r="AW601" s="31" t="n">
        <f aca="false">IF($G601="",AL601,N601)</f>
        <v>0</v>
      </c>
      <c r="AX601" s="31" t="n">
        <f aca="false">IF($G601="",AM601,O601)</f>
        <v>0</v>
      </c>
      <c r="AY601" s="31" t="n">
        <f aca="false">IF($G601="",AN601,P601)</f>
        <v>0</v>
      </c>
      <c r="AZ601" s="31" t="n">
        <f aca="false">IF($G601="",AO601,Q601)</f>
        <v>0</v>
      </c>
      <c r="BA601" s="31" t="n">
        <f aca="false">IF($G601="",AP601,R601)</f>
        <v>0</v>
      </c>
      <c r="BB601" s="31" t="n">
        <f aca="false">IF($G601="",AQ601,S601)</f>
        <v>0</v>
      </c>
      <c r="BC601" s="31" t="n">
        <f aca="false">IF($G601="",AR601,T601)</f>
        <v>0</v>
      </c>
      <c r="BD601" s="31" t="n">
        <f aca="false">IF($G601="",AS601,U601)</f>
        <v>0</v>
      </c>
      <c r="BE601" s="31" t="n">
        <f aca="false">IF($G601="",AT601,V601)</f>
        <v>0</v>
      </c>
      <c r="BF601" s="31" t="n">
        <f aca="false">ROUNDDOWN(I601*設定!$B$10/1000,0)+ROUNDDOWN(I601*設定!$B$11/1000,0)</f>
        <v>0</v>
      </c>
      <c r="BG601" s="31" t="n">
        <f aca="false">ROUNDDOWN(I601*設定!$C$10/1000,0)+ROUNDDOWN(I601*設定!$C$11/1000,0)+ROUNDDOWN(I601*設定!$C$12/1000,0)</f>
        <v>0</v>
      </c>
      <c r="BH601" s="31" t="n">
        <f aca="false">ROUNDDOWN(J601*設定!$B$13/1000,0)</f>
        <v>0</v>
      </c>
      <c r="BI601" s="31" t="n">
        <f aca="false">ROUNDDOWN(J601*設定!$C$13/1000,0)</f>
        <v>0</v>
      </c>
      <c r="BJ601" s="31" t="n">
        <f aca="false">ROUNDDOWN(K601*設定!$B$14/1000,0)</f>
        <v>0</v>
      </c>
      <c r="BK601" s="31" t="n">
        <f aca="false">ROUNDDOWN(K601*設定!$C$14/1000,0)</f>
        <v>0</v>
      </c>
      <c r="BL601" s="31" t="n">
        <f aca="false">ROUNDDOWN(J601*設定!$B$15/1000,0)</f>
        <v>0</v>
      </c>
      <c r="BM601" s="31" t="n">
        <f aca="false">ROUNDDOWN(J601*設定!$C$15/1000,0)</f>
        <v>0</v>
      </c>
      <c r="BN601" s="31" t="n">
        <f aca="false">L601+M601</f>
        <v>0</v>
      </c>
      <c r="BO601" s="31" t="n">
        <f aca="false">N601+O601+P601</f>
        <v>0</v>
      </c>
      <c r="BP601" s="31" t="n">
        <f aca="false">Q601</f>
        <v>0</v>
      </c>
      <c r="BQ601" s="31" t="n">
        <f aca="false">R601</f>
        <v>0</v>
      </c>
      <c r="BR601" s="31" t="n">
        <f aca="false">S601</f>
        <v>0</v>
      </c>
      <c r="BS601" s="31" t="n">
        <f aca="false">T601</f>
        <v>0</v>
      </c>
      <c r="BT601" s="31" t="n">
        <f aca="false">U601</f>
        <v>0</v>
      </c>
      <c r="BU601" s="31" t="n">
        <f aca="false">V601</f>
        <v>0</v>
      </c>
      <c r="BV601" s="32" t="n">
        <f aca="false">IF(BF601=0,IF(BN601=0,0,1),(BN601-BF601)/BF601)</f>
        <v>0</v>
      </c>
      <c r="BW601" s="32" t="n">
        <f aca="false">IF(BG601=0,IF(BO601=0,0,1),(BO601-BG601)/BG601)</f>
        <v>0</v>
      </c>
      <c r="BX601" s="32" t="n">
        <f aca="false">IF(BH601=0,IF(BP601=0,0,1),(BP601-BH601)/BH601)</f>
        <v>0</v>
      </c>
      <c r="BY601" s="32" t="n">
        <f aca="false">IF(BI601=0,IF(BQ601=0,0,1),(BQ601-BI601)/BI601)</f>
        <v>0</v>
      </c>
      <c r="BZ601" s="32" t="n">
        <f aca="false">IF(BJ601=0,IF(BR601=0,0,1),(BR601-BJ601)/BJ601)</f>
        <v>0</v>
      </c>
      <c r="CA601" s="32" t="n">
        <f aca="false">IF(BK601=0,IF(BS601=0,0,1),(BS601-BK601)/BK601)</f>
        <v>0</v>
      </c>
      <c r="CB601" s="32" t="n">
        <f aca="false">IF(BL601=0,IF(BT601=0,0,1),(BT601-BL601)/BL601)</f>
        <v>0</v>
      </c>
      <c r="CC601" s="32" t="n">
        <f aca="false">IF(BM601=0,IF(BU601=0,0,1),(BU601-BM601)/BM601)</f>
        <v>0</v>
      </c>
      <c r="CD601" s="32" t="n">
        <f aca="false">MAX(MAX(BV601:CC601),-MIN(BV601:CC601))</f>
        <v>-0</v>
      </c>
      <c r="CE601" s="31" t="n">
        <f aca="false">IF(CI601="","",SUMIFS($CF$7:$CF$696,$A$7:$A$696,CI601,$B$7:$B$696,B601))</f>
        <v>0</v>
      </c>
      <c r="CF601" s="31" t="n">
        <f aca="false">SUM(AU601:BE601)</f>
        <v>0</v>
      </c>
      <c r="CG601" s="33" t="str">
        <f aca="false">A601&amp;"|"&amp;B601</f>
        <v>2027-02 月例|自治労労働組合</v>
      </c>
      <c r="CH601" s="34" t="str">
        <f aca="false">IFERROR(INDEX(設定!$D$61:$D$106,MATCH(B601,設定!$B$61:$B$106,0)),"Y")</f>
        <v>Y</v>
      </c>
      <c r="CI601" s="34" t="str">
        <f aca="false">IFERROR(INDEX(設定!$D$20:$D$34,MATCH(A601,設定!$A$20:$A$34,0))&amp;"","")</f>
        <v>2027-01 月例</v>
      </c>
    </row>
    <row r="602" customFormat="false" ht="15" hidden="true" customHeight="false" outlineLevel="0" collapsed="false">
      <c r="A602" s="22" t="s">
        <v>220</v>
      </c>
      <c r="B602" s="23" t="s">
        <v>204</v>
      </c>
      <c r="C602" s="10" t="str">
        <f aca="false">IF(G602="","未受領",IF(G602="なし","報告なし",IF(AH602="○","起票済",IF(OR(AG602="○",F602="一致",F602="入金不要"),"入金確認済","受領済"))))</f>
        <v>未受領</v>
      </c>
      <c r="D602" s="10" t="str">
        <f aca="false">IF(OR(G602="",G602="なし"),"―",IF(CH602="N","対象外",IF(AND(I602="",J602="",K602=""),"標報未入力",IF(CD602&gt;=設定!$B$4,"要確認","問題なし"))))</f>
        <v>―</v>
      </c>
      <c r="E602" s="24" t="str">
        <f aca="false">IF(OR(G602="",G602="なし",CE602="",CF602=0),"―",IF(CF602=CE602,"前月同額",IF(CE602=0,"―",IF(ABS(CF602/CE602-1)&gt;=設定!$B$5,"変動大 "&amp;TEXT(CF602/CE602-1,"+0%;-0%"),"〇"))))</f>
        <v>―</v>
      </c>
      <c r="F602" s="10" t="str">
        <f aca="false">IF(OR(G602="",G602="なし"),"―",IF(CF602=0,"入金不要",IF(COUNT(Z602,AB602,AD602,AF602)=0,IF(AG602="○","手動確認","未入金"),IF(AND(N(Z602)=Y602,IF(AA602="",TRUE(),N(AB602)=AA602),IF(AC602="",TRUE(),N(AD602)=AC602),IF(AE602="",TRUE(),N(AF602)=AE602)),"一致","不一致"))))</f>
        <v>―</v>
      </c>
      <c r="G602" s="25"/>
      <c r="H602" s="26"/>
      <c r="I602" s="27"/>
      <c r="J602" s="27"/>
      <c r="K602" s="27"/>
      <c r="L602" s="27"/>
      <c r="M602" s="27"/>
      <c r="N602" s="27"/>
      <c r="O602" s="27"/>
      <c r="P602" s="27"/>
      <c r="Q602" s="27"/>
      <c r="R602" s="27"/>
      <c r="S602" s="27"/>
      <c r="T602" s="27"/>
      <c r="U602" s="27"/>
      <c r="V602" s="27"/>
      <c r="W602" s="10" t="str">
        <f aca="false">IFERROR(INDEX(設定!$E$61:$E$106,MATCH(B602,設定!$B$61:$B$106,0)),"合算")</f>
        <v>合算</v>
      </c>
      <c r="X602" s="28"/>
      <c r="Y602" s="29" t="str">
        <f aca="false">IF(OR(G602="",G602="なし"),"",IF(W602="合算",CF602,IF(W602="掛金・負担金別",(AU602+AV602+AZ602+BB602+BD602),SUM(AU602:AY602))))</f>
        <v/>
      </c>
      <c r="Z602" s="27"/>
      <c r="AA602" s="29" t="str">
        <f aca="false">IF(OR(G602="",G602="なし"),"",IF(W602="掛金・負担金別",(AW602+AX602+AY602+BA602+BC602+BE602),IF(W602="経理区分別",AZ602+BA602,"")))</f>
        <v/>
      </c>
      <c r="AB602" s="27"/>
      <c r="AC602" s="29" t="str">
        <f aca="false">IF(OR(G602="",G602="なし"),"",IF(W602="経理区分別",BB602+BC602,""))</f>
        <v/>
      </c>
      <c r="AD602" s="27"/>
      <c r="AE602" s="29" t="str">
        <f aca="false">IF(OR(G602="",G602="なし"),"",IF(W602="経理区分別",BD602+BE602,""))</f>
        <v/>
      </c>
      <c r="AF602" s="27"/>
      <c r="AG602" s="26"/>
      <c r="AH602" s="26"/>
      <c r="AI602" s="30"/>
      <c r="AJ602" s="31" t="n">
        <v>27450</v>
      </c>
      <c r="AK602" s="31" t="n">
        <v>2250</v>
      </c>
      <c r="AL602" s="31" t="n">
        <v>27450</v>
      </c>
      <c r="AM602" s="31" t="n">
        <v>2250</v>
      </c>
      <c r="AN602" s="31"/>
      <c r="AO602" s="31" t="n">
        <v>33006</v>
      </c>
      <c r="AP602" s="31" t="n">
        <v>33066</v>
      </c>
      <c r="AQ602" s="31" t="n">
        <v>2370</v>
      </c>
      <c r="AR602" s="31" t="n">
        <v>2370</v>
      </c>
      <c r="AS602" s="31" t="n">
        <v>1</v>
      </c>
      <c r="AT602" s="31" t="n">
        <v>1</v>
      </c>
      <c r="AU602" s="31" t="n">
        <f aca="false">IF($G602="",AJ602,L602)</f>
        <v>27450</v>
      </c>
      <c r="AV602" s="31" t="n">
        <f aca="false">IF($G602="",AK602,M602)</f>
        <v>2250</v>
      </c>
      <c r="AW602" s="31" t="n">
        <f aca="false">IF($G602="",AL602,N602)</f>
        <v>27450</v>
      </c>
      <c r="AX602" s="31" t="n">
        <f aca="false">IF($G602="",AM602,O602)</f>
        <v>2250</v>
      </c>
      <c r="AY602" s="31" t="n">
        <f aca="false">IF($G602="",AN602,P602)</f>
        <v>0</v>
      </c>
      <c r="AZ602" s="31" t="n">
        <f aca="false">IF($G602="",AO602,Q602)</f>
        <v>33006</v>
      </c>
      <c r="BA602" s="31" t="n">
        <f aca="false">IF($G602="",AP602,R602)</f>
        <v>33066</v>
      </c>
      <c r="BB602" s="31" t="n">
        <f aca="false">IF($G602="",AQ602,S602)</f>
        <v>2370</v>
      </c>
      <c r="BC602" s="31" t="n">
        <f aca="false">IF($G602="",AR602,T602)</f>
        <v>2370</v>
      </c>
      <c r="BD602" s="31" t="n">
        <f aca="false">IF($G602="",AS602,U602)</f>
        <v>1</v>
      </c>
      <c r="BE602" s="31" t="n">
        <f aca="false">IF($G602="",AT602,V602)</f>
        <v>1</v>
      </c>
      <c r="BF602" s="31" t="n">
        <f aca="false">ROUNDDOWN(I602*設定!$B$10/1000,0)+ROUNDDOWN(I602*設定!$B$11/1000,0)</f>
        <v>0</v>
      </c>
      <c r="BG602" s="31" t="n">
        <f aca="false">ROUNDDOWN(I602*設定!$C$10/1000,0)+ROUNDDOWN(I602*設定!$C$11/1000,0)+ROUNDDOWN(I602*設定!$C$12/1000,0)</f>
        <v>0</v>
      </c>
      <c r="BH602" s="31" t="n">
        <f aca="false">ROUNDDOWN(J602*設定!$B$13/1000,0)</f>
        <v>0</v>
      </c>
      <c r="BI602" s="31" t="n">
        <f aca="false">ROUNDDOWN(J602*設定!$C$13/1000,0)</f>
        <v>0</v>
      </c>
      <c r="BJ602" s="31" t="n">
        <f aca="false">ROUNDDOWN(K602*設定!$B$14/1000,0)</f>
        <v>0</v>
      </c>
      <c r="BK602" s="31" t="n">
        <f aca="false">ROUNDDOWN(K602*設定!$C$14/1000,0)</f>
        <v>0</v>
      </c>
      <c r="BL602" s="31" t="n">
        <f aca="false">ROUNDDOWN(J602*設定!$B$15/1000,0)</f>
        <v>0</v>
      </c>
      <c r="BM602" s="31" t="n">
        <f aca="false">ROUNDDOWN(J602*設定!$C$15/1000,0)</f>
        <v>0</v>
      </c>
      <c r="BN602" s="31" t="n">
        <f aca="false">L602+M602</f>
        <v>0</v>
      </c>
      <c r="BO602" s="31" t="n">
        <f aca="false">N602+O602+P602</f>
        <v>0</v>
      </c>
      <c r="BP602" s="31" t="n">
        <f aca="false">Q602</f>
        <v>0</v>
      </c>
      <c r="BQ602" s="31" t="n">
        <f aca="false">R602</f>
        <v>0</v>
      </c>
      <c r="BR602" s="31" t="n">
        <f aca="false">S602</f>
        <v>0</v>
      </c>
      <c r="BS602" s="31" t="n">
        <f aca="false">T602</f>
        <v>0</v>
      </c>
      <c r="BT602" s="31" t="n">
        <f aca="false">U602</f>
        <v>0</v>
      </c>
      <c r="BU602" s="31" t="n">
        <f aca="false">V602</f>
        <v>0</v>
      </c>
      <c r="BV602" s="32" t="n">
        <f aca="false">IF(BF602=0,IF(BN602=0,0,1),(BN602-BF602)/BF602)</f>
        <v>0</v>
      </c>
      <c r="BW602" s="32" t="n">
        <f aca="false">IF(BG602=0,IF(BO602=0,0,1),(BO602-BG602)/BG602)</f>
        <v>0</v>
      </c>
      <c r="BX602" s="32" t="n">
        <f aca="false">IF(BH602=0,IF(BP602=0,0,1),(BP602-BH602)/BH602)</f>
        <v>0</v>
      </c>
      <c r="BY602" s="32" t="n">
        <f aca="false">IF(BI602=0,IF(BQ602=0,0,1),(BQ602-BI602)/BI602)</f>
        <v>0</v>
      </c>
      <c r="BZ602" s="32" t="n">
        <f aca="false">IF(BJ602=0,IF(BR602=0,0,1),(BR602-BJ602)/BJ602)</f>
        <v>0</v>
      </c>
      <c r="CA602" s="32" t="n">
        <f aca="false">IF(BK602=0,IF(BS602=0,0,1),(BS602-BK602)/BK602)</f>
        <v>0</v>
      </c>
      <c r="CB602" s="32" t="n">
        <f aca="false">IF(BL602=0,IF(BT602=0,0,1),(BT602-BL602)/BL602)</f>
        <v>0</v>
      </c>
      <c r="CC602" s="32" t="n">
        <f aca="false">IF(BM602=0,IF(BU602=0,0,1),(BU602-BM602)/BM602)</f>
        <v>0</v>
      </c>
      <c r="CD602" s="32" t="n">
        <f aca="false">MAX(MAX(BV602:CC602),-MIN(BV602:CC602))</f>
        <v>-0</v>
      </c>
      <c r="CE602" s="31" t="n">
        <f aca="false">IF(CI602="","",SUMIFS($CF$7:$CF$696,$A$7:$A$696,CI602,$B$7:$B$696,B602))</f>
        <v>130214</v>
      </c>
      <c r="CF602" s="31" t="n">
        <f aca="false">SUM(AU602:BE602)</f>
        <v>130214</v>
      </c>
      <c r="CG602" s="33" t="str">
        <f aca="false">A602&amp;"|"&amp;B602</f>
        <v>2027-02 月例|病院労働組合</v>
      </c>
      <c r="CH602" s="34" t="str">
        <f aca="false">IFERROR(INDEX(設定!$D$61:$D$106,MATCH(B602,設定!$B$61:$B$106,0)),"Y")</f>
        <v>Y</v>
      </c>
      <c r="CI602" s="34" t="str">
        <f aca="false">IFERROR(INDEX(設定!$D$20:$D$34,MATCH(A602,設定!$A$20:$A$34,0))&amp;"","")</f>
        <v>2027-01 月例</v>
      </c>
    </row>
    <row r="603" customFormat="false" ht="15" hidden="true" customHeight="false" outlineLevel="0" collapsed="false">
      <c r="A603" s="22" t="s">
        <v>220</v>
      </c>
      <c r="B603" s="23" t="s">
        <v>205</v>
      </c>
      <c r="C603" s="10" t="str">
        <f aca="false">IF(G603="","未受領",IF(G603="なし","報告なし",IF(AH603="○","起票済",IF(OR(AG603="○",F603="一致",F603="入金不要"),"入金確認済","受領済"))))</f>
        <v>報告なし</v>
      </c>
      <c r="D603" s="10" t="str">
        <f aca="false">IF(OR(G603="",G603="なし"),"―",IF(CH603="N","対象外",IF(AND(I603="",J603="",K603=""),"標報未入力",IF(CD603&gt;=設定!$B$4,"要確認","問題なし"))))</f>
        <v>―</v>
      </c>
      <c r="E603" s="24" t="str">
        <f aca="false">IF(OR(G603="",G603="なし",CE603="",CF603=0),"―",IF(CF603=CE603,"前月同額",IF(CE603=0,"―",IF(ABS(CF603/CE603-1)&gt;=設定!$B$5,"変動大 "&amp;TEXT(CF603/CE603-1,"+0%;-0%"),"〇"))))</f>
        <v>―</v>
      </c>
      <c r="F603" s="10" t="str">
        <f aca="false">IF(OR(G603="",G603="なし"),"―",IF(CF603=0,"入金不要",IF(COUNT(Z603,AB603,AD603,AF603)=0,IF(AG603="○","手動確認","未入金"),IF(AND(N(Z603)=Y603,IF(AA603="",TRUE(),N(AB603)=AA603),IF(AC603="",TRUE(),N(AD603)=AC603),IF(AE603="",TRUE(),N(AF603)=AE603)),"一致","不一致"))))</f>
        <v>―</v>
      </c>
      <c r="G603" s="25" t="s">
        <v>173</v>
      </c>
      <c r="H603" s="26"/>
      <c r="I603" s="27"/>
      <c r="J603" s="27"/>
      <c r="K603" s="27"/>
      <c r="L603" s="27"/>
      <c r="M603" s="27"/>
      <c r="N603" s="27"/>
      <c r="O603" s="27"/>
      <c r="P603" s="27"/>
      <c r="Q603" s="27"/>
      <c r="R603" s="27"/>
      <c r="S603" s="27"/>
      <c r="T603" s="27"/>
      <c r="U603" s="27"/>
      <c r="V603" s="27"/>
      <c r="W603" s="10" t="str">
        <f aca="false">IFERROR(INDEX(設定!$E$61:$E$106,MATCH(B603,設定!$B$61:$B$106,0)),"合算")</f>
        <v>合算</v>
      </c>
      <c r="X603" s="28"/>
      <c r="Y603" s="29" t="str">
        <f aca="false">IF(OR(G603="",G603="なし"),"",IF(W603="合算",CF603,IF(W603="掛金・負担金別",(AU603+AV603+AZ603+BB603+BD603),SUM(AU603:AY603))))</f>
        <v/>
      </c>
      <c r="Z603" s="27"/>
      <c r="AA603" s="29" t="str">
        <f aca="false">IF(OR(G603="",G603="なし"),"",IF(W603="掛金・負担金別",(AW603+AX603+AY603+BA603+BC603+BE603),IF(W603="経理区分別",AZ603+BA603,"")))</f>
        <v/>
      </c>
      <c r="AB603" s="27"/>
      <c r="AC603" s="29" t="str">
        <f aca="false">IF(OR(G603="",G603="なし"),"",IF(W603="経理区分別",BB603+BC603,""))</f>
        <v/>
      </c>
      <c r="AD603" s="27"/>
      <c r="AE603" s="29" t="str">
        <f aca="false">IF(OR(G603="",G603="なし"),"",IF(W603="経理区分別",BD603+BE603,""))</f>
        <v/>
      </c>
      <c r="AF603" s="27"/>
      <c r="AG603" s="26"/>
      <c r="AH603" s="26"/>
      <c r="AI603" s="30"/>
      <c r="AJ603" s="31"/>
      <c r="AK603" s="31"/>
      <c r="AL603" s="31"/>
      <c r="AM603" s="31"/>
      <c r="AN603" s="31"/>
      <c r="AO603" s="31"/>
      <c r="AP603" s="31"/>
      <c r="AQ603" s="31"/>
      <c r="AR603" s="31"/>
      <c r="AS603" s="31"/>
      <c r="AT603" s="31"/>
      <c r="AU603" s="31" t="n">
        <f aca="false">IF($G603="",AJ603,L603)</f>
        <v>0</v>
      </c>
      <c r="AV603" s="31" t="n">
        <f aca="false">IF($G603="",AK603,M603)</f>
        <v>0</v>
      </c>
      <c r="AW603" s="31" t="n">
        <f aca="false">IF($G603="",AL603,N603)</f>
        <v>0</v>
      </c>
      <c r="AX603" s="31" t="n">
        <f aca="false">IF($G603="",AM603,O603)</f>
        <v>0</v>
      </c>
      <c r="AY603" s="31" t="n">
        <f aca="false">IF($G603="",AN603,P603)</f>
        <v>0</v>
      </c>
      <c r="AZ603" s="31" t="n">
        <f aca="false">IF($G603="",AO603,Q603)</f>
        <v>0</v>
      </c>
      <c r="BA603" s="31" t="n">
        <f aca="false">IF($G603="",AP603,R603)</f>
        <v>0</v>
      </c>
      <c r="BB603" s="31" t="n">
        <f aca="false">IF($G603="",AQ603,S603)</f>
        <v>0</v>
      </c>
      <c r="BC603" s="31" t="n">
        <f aca="false">IF($G603="",AR603,T603)</f>
        <v>0</v>
      </c>
      <c r="BD603" s="31" t="n">
        <f aca="false">IF($G603="",AS603,U603)</f>
        <v>0</v>
      </c>
      <c r="BE603" s="31" t="n">
        <f aca="false">IF($G603="",AT603,V603)</f>
        <v>0</v>
      </c>
      <c r="BF603" s="31" t="n">
        <f aca="false">ROUNDDOWN(I603*設定!$B$10/1000,0)+ROUNDDOWN(I603*設定!$B$11/1000,0)</f>
        <v>0</v>
      </c>
      <c r="BG603" s="31" t="n">
        <f aca="false">ROUNDDOWN(I603*設定!$C$10/1000,0)+ROUNDDOWN(I603*設定!$C$11/1000,0)+ROUNDDOWN(I603*設定!$C$12/1000,0)</f>
        <v>0</v>
      </c>
      <c r="BH603" s="31" t="n">
        <f aca="false">ROUNDDOWN(J603*設定!$B$13/1000,0)</f>
        <v>0</v>
      </c>
      <c r="BI603" s="31" t="n">
        <f aca="false">ROUNDDOWN(J603*設定!$C$13/1000,0)</f>
        <v>0</v>
      </c>
      <c r="BJ603" s="31" t="n">
        <f aca="false">ROUNDDOWN(K603*設定!$B$14/1000,0)</f>
        <v>0</v>
      </c>
      <c r="BK603" s="31" t="n">
        <f aca="false">ROUNDDOWN(K603*設定!$C$14/1000,0)</f>
        <v>0</v>
      </c>
      <c r="BL603" s="31" t="n">
        <f aca="false">ROUNDDOWN(J603*設定!$B$15/1000,0)</f>
        <v>0</v>
      </c>
      <c r="BM603" s="31" t="n">
        <f aca="false">ROUNDDOWN(J603*設定!$C$15/1000,0)</f>
        <v>0</v>
      </c>
      <c r="BN603" s="31" t="n">
        <f aca="false">L603+M603</f>
        <v>0</v>
      </c>
      <c r="BO603" s="31" t="n">
        <f aca="false">N603+O603+P603</f>
        <v>0</v>
      </c>
      <c r="BP603" s="31" t="n">
        <f aca="false">Q603</f>
        <v>0</v>
      </c>
      <c r="BQ603" s="31" t="n">
        <f aca="false">R603</f>
        <v>0</v>
      </c>
      <c r="BR603" s="31" t="n">
        <f aca="false">S603</f>
        <v>0</v>
      </c>
      <c r="BS603" s="31" t="n">
        <f aca="false">T603</f>
        <v>0</v>
      </c>
      <c r="BT603" s="31" t="n">
        <f aca="false">U603</f>
        <v>0</v>
      </c>
      <c r="BU603" s="31" t="n">
        <f aca="false">V603</f>
        <v>0</v>
      </c>
      <c r="BV603" s="32" t="n">
        <f aca="false">IF(BF603=0,IF(BN603=0,0,1),(BN603-BF603)/BF603)</f>
        <v>0</v>
      </c>
      <c r="BW603" s="32" t="n">
        <f aca="false">IF(BG603=0,IF(BO603=0,0,1),(BO603-BG603)/BG603)</f>
        <v>0</v>
      </c>
      <c r="BX603" s="32" t="n">
        <f aca="false">IF(BH603=0,IF(BP603=0,0,1),(BP603-BH603)/BH603)</f>
        <v>0</v>
      </c>
      <c r="BY603" s="32" t="n">
        <f aca="false">IF(BI603=0,IF(BQ603=0,0,1),(BQ603-BI603)/BI603)</f>
        <v>0</v>
      </c>
      <c r="BZ603" s="32" t="n">
        <f aca="false">IF(BJ603=0,IF(BR603=0,0,1),(BR603-BJ603)/BJ603)</f>
        <v>0</v>
      </c>
      <c r="CA603" s="32" t="n">
        <f aca="false">IF(BK603=0,IF(BS603=0,0,1),(BS603-BK603)/BK603)</f>
        <v>0</v>
      </c>
      <c r="CB603" s="32" t="n">
        <f aca="false">IF(BL603=0,IF(BT603=0,0,1),(BT603-BL603)/BL603)</f>
        <v>0</v>
      </c>
      <c r="CC603" s="32" t="n">
        <f aca="false">IF(BM603=0,IF(BU603=0,0,1),(BU603-BM603)/BM603)</f>
        <v>0</v>
      </c>
      <c r="CD603" s="32" t="n">
        <f aca="false">MAX(MAX(BV603:CC603),-MIN(BV603:CC603))</f>
        <v>-0</v>
      </c>
      <c r="CE603" s="31" t="n">
        <f aca="false">IF(CI603="","",SUMIFS($CF$7:$CF$696,$A$7:$A$696,CI603,$B$7:$B$696,B603))</f>
        <v>0</v>
      </c>
      <c r="CF603" s="31" t="n">
        <f aca="false">SUM(AU603:BE603)</f>
        <v>0</v>
      </c>
      <c r="CG603" s="33" t="str">
        <f aca="false">A603&amp;"|"&amp;B603</f>
        <v>2027-02 月例|水道労働組合</v>
      </c>
      <c r="CH603" s="34" t="str">
        <f aca="false">IFERROR(INDEX(設定!$D$61:$D$106,MATCH(B603,設定!$B$61:$B$106,0)),"Y")</f>
        <v>Y</v>
      </c>
      <c r="CI603" s="34" t="str">
        <f aca="false">IFERROR(INDEX(設定!$D$20:$D$34,MATCH(A603,設定!$A$20:$A$34,0))&amp;"","")</f>
        <v>2027-01 月例</v>
      </c>
    </row>
    <row r="604" customFormat="false" ht="15" hidden="true" customHeight="false" outlineLevel="0" collapsed="false">
      <c r="A604" s="22" t="s">
        <v>220</v>
      </c>
      <c r="B604" s="23" t="s">
        <v>206</v>
      </c>
      <c r="C604" s="10" t="str">
        <f aca="false">IF(G604="","未受領",IF(G604="なし","報告なし",IF(AH604="○","起票済",IF(OR(AG604="○",F604="一致",F604="入金不要"),"入金確認済","受領済"))))</f>
        <v>未受領</v>
      </c>
      <c r="D604" s="10" t="str">
        <f aca="false">IF(OR(G604="",G604="なし"),"―",IF(CH604="N","対象外",IF(AND(I604="",J604="",K604=""),"標報未入力",IF(CD604&gt;=設定!$B$4,"要確認","問題なし"))))</f>
        <v>―</v>
      </c>
      <c r="E604" s="24" t="str">
        <f aca="false">IF(OR(G604="",G604="なし",CE604="",CF604=0),"―",IF(CF604=CE604,"前月同額",IF(CE604=0,"―",IF(ABS(CF604/CE604-1)&gt;=設定!$B$5,"変動大 "&amp;TEXT(CF604/CE604-1,"+0%;-0%"),"〇"))))</f>
        <v>―</v>
      </c>
      <c r="F604" s="10" t="str">
        <f aca="false">IF(OR(G604="",G604="なし"),"―",IF(CF604=0,"入金不要",IF(COUNT(Z604,AB604,AD604,AF604)=0,IF(AG604="○","手動確認","未入金"),IF(AND(N(Z604)=Y604,IF(AA604="",TRUE(),N(AB604)=AA604),IF(AC604="",TRUE(),N(AD604)=AC604),IF(AE604="",TRUE(),N(AF604)=AE604)),"一致","不一致"))))</f>
        <v>―</v>
      </c>
      <c r="G604" s="25"/>
      <c r="H604" s="26"/>
      <c r="I604" s="27"/>
      <c r="J604" s="27"/>
      <c r="K604" s="27"/>
      <c r="L604" s="27"/>
      <c r="M604" s="27"/>
      <c r="N604" s="27"/>
      <c r="O604" s="27"/>
      <c r="P604" s="27"/>
      <c r="Q604" s="27"/>
      <c r="R604" s="27"/>
      <c r="S604" s="27"/>
      <c r="T604" s="27"/>
      <c r="U604" s="27"/>
      <c r="V604" s="27"/>
      <c r="W604" s="10" t="str">
        <f aca="false">IFERROR(INDEX(設定!$E$61:$E$106,MATCH(B604,設定!$B$61:$B$106,0)),"合算")</f>
        <v>合算</v>
      </c>
      <c r="X604" s="28"/>
      <c r="Y604" s="29" t="str">
        <f aca="false">IF(OR(G604="",G604="なし"),"",IF(W604="合算",CF604,IF(W604="掛金・負担金別",(AU604+AV604+AZ604+BB604+BD604),SUM(AU604:AY604))))</f>
        <v/>
      </c>
      <c r="Z604" s="27"/>
      <c r="AA604" s="29" t="str">
        <f aca="false">IF(OR(G604="",G604="なし"),"",IF(W604="掛金・負担金別",(AW604+AX604+AY604+BA604+BC604+BE604),IF(W604="経理区分別",AZ604+BA604,"")))</f>
        <v/>
      </c>
      <c r="AB604" s="27"/>
      <c r="AC604" s="29" t="str">
        <f aca="false">IF(OR(G604="",G604="なし"),"",IF(W604="経理区分別",BB604+BC604,""))</f>
        <v/>
      </c>
      <c r="AD604" s="27"/>
      <c r="AE604" s="29" t="str">
        <f aca="false">IF(OR(G604="",G604="なし"),"",IF(W604="経理区分別",BD604+BE604,""))</f>
        <v/>
      </c>
      <c r="AF604" s="27"/>
      <c r="AG604" s="26"/>
      <c r="AH604" s="26"/>
      <c r="AI604" s="30"/>
      <c r="AJ604" s="31"/>
      <c r="AK604" s="31"/>
      <c r="AL604" s="31"/>
      <c r="AM604" s="31"/>
      <c r="AN604" s="31"/>
      <c r="AO604" s="31" t="n">
        <v>873541</v>
      </c>
      <c r="AP604" s="31"/>
      <c r="AQ604" s="31" t="n">
        <v>60734</v>
      </c>
      <c r="AR604" s="31"/>
      <c r="AS604" s="31" t="n">
        <v>1</v>
      </c>
      <c r="AT604" s="31"/>
      <c r="AU604" s="31" t="n">
        <f aca="false">IF($G604="",AJ604,L604)</f>
        <v>0</v>
      </c>
      <c r="AV604" s="31" t="n">
        <f aca="false">IF($G604="",AK604,M604)</f>
        <v>0</v>
      </c>
      <c r="AW604" s="31" t="n">
        <f aca="false">IF($G604="",AL604,N604)</f>
        <v>0</v>
      </c>
      <c r="AX604" s="31" t="n">
        <f aca="false">IF($G604="",AM604,O604)</f>
        <v>0</v>
      </c>
      <c r="AY604" s="31" t="n">
        <f aca="false">IF($G604="",AN604,P604)</f>
        <v>0</v>
      </c>
      <c r="AZ604" s="31" t="n">
        <f aca="false">IF($G604="",AO604,Q604)</f>
        <v>873541</v>
      </c>
      <c r="BA604" s="31" t="n">
        <f aca="false">IF($G604="",AP604,R604)</f>
        <v>0</v>
      </c>
      <c r="BB604" s="31" t="n">
        <f aca="false">IF($G604="",AQ604,S604)</f>
        <v>60734</v>
      </c>
      <c r="BC604" s="31" t="n">
        <f aca="false">IF($G604="",AR604,T604)</f>
        <v>0</v>
      </c>
      <c r="BD604" s="31" t="n">
        <f aca="false">IF($G604="",AS604,U604)</f>
        <v>1</v>
      </c>
      <c r="BE604" s="31" t="n">
        <f aca="false">IF($G604="",AT604,V604)</f>
        <v>0</v>
      </c>
      <c r="BF604" s="31" t="n">
        <f aca="false">ROUNDDOWN(I604*設定!$B$10/1000,0)+ROUNDDOWN(I604*設定!$B$11/1000,0)</f>
        <v>0</v>
      </c>
      <c r="BG604" s="31" t="n">
        <f aca="false">ROUNDDOWN(I604*設定!$C$10/1000,0)+ROUNDDOWN(I604*設定!$C$11/1000,0)+ROUNDDOWN(I604*設定!$C$12/1000,0)</f>
        <v>0</v>
      </c>
      <c r="BH604" s="31" t="n">
        <f aca="false">ROUNDDOWN(J604*設定!$B$13/1000,0)</f>
        <v>0</v>
      </c>
      <c r="BI604" s="31" t="n">
        <f aca="false">ROUNDDOWN(J604*設定!$C$13/1000,0)</f>
        <v>0</v>
      </c>
      <c r="BJ604" s="31" t="n">
        <f aca="false">ROUNDDOWN(K604*設定!$B$14/1000,0)</f>
        <v>0</v>
      </c>
      <c r="BK604" s="31" t="n">
        <f aca="false">ROUNDDOWN(K604*設定!$C$14/1000,0)</f>
        <v>0</v>
      </c>
      <c r="BL604" s="31" t="n">
        <f aca="false">ROUNDDOWN(J604*設定!$B$15/1000,0)</f>
        <v>0</v>
      </c>
      <c r="BM604" s="31" t="n">
        <f aca="false">ROUNDDOWN(J604*設定!$C$15/1000,0)</f>
        <v>0</v>
      </c>
      <c r="BN604" s="31" t="n">
        <f aca="false">L604+M604</f>
        <v>0</v>
      </c>
      <c r="BO604" s="31" t="n">
        <f aca="false">N604+O604+P604</f>
        <v>0</v>
      </c>
      <c r="BP604" s="31" t="n">
        <f aca="false">Q604</f>
        <v>0</v>
      </c>
      <c r="BQ604" s="31" t="n">
        <f aca="false">R604</f>
        <v>0</v>
      </c>
      <c r="BR604" s="31" t="n">
        <f aca="false">S604</f>
        <v>0</v>
      </c>
      <c r="BS604" s="31" t="n">
        <f aca="false">T604</f>
        <v>0</v>
      </c>
      <c r="BT604" s="31" t="n">
        <f aca="false">U604</f>
        <v>0</v>
      </c>
      <c r="BU604" s="31" t="n">
        <f aca="false">V604</f>
        <v>0</v>
      </c>
      <c r="BV604" s="32" t="n">
        <f aca="false">IF(BF604=0,IF(BN604=0,0,1),(BN604-BF604)/BF604)</f>
        <v>0</v>
      </c>
      <c r="BW604" s="32" t="n">
        <f aca="false">IF(BG604=0,IF(BO604=0,0,1),(BO604-BG604)/BG604)</f>
        <v>0</v>
      </c>
      <c r="BX604" s="32" t="n">
        <f aca="false">IF(BH604=0,IF(BP604=0,0,1),(BP604-BH604)/BH604)</f>
        <v>0</v>
      </c>
      <c r="BY604" s="32" t="n">
        <f aca="false">IF(BI604=0,IF(BQ604=0,0,1),(BQ604-BI604)/BI604)</f>
        <v>0</v>
      </c>
      <c r="BZ604" s="32" t="n">
        <f aca="false">IF(BJ604=0,IF(BR604=0,0,1),(BR604-BJ604)/BJ604)</f>
        <v>0</v>
      </c>
      <c r="CA604" s="32" t="n">
        <f aca="false">IF(BK604=0,IF(BS604=0,0,1),(BS604-BK604)/BK604)</f>
        <v>0</v>
      </c>
      <c r="CB604" s="32" t="n">
        <f aca="false">IF(BL604=0,IF(BT604=0,0,1),(BT604-BL604)/BL604)</f>
        <v>0</v>
      </c>
      <c r="CC604" s="32" t="n">
        <f aca="false">IF(BM604=0,IF(BU604=0,0,1),(BU604-BM604)/BM604)</f>
        <v>0</v>
      </c>
      <c r="CD604" s="32" t="n">
        <f aca="false">MAX(MAX(BV604:CC604),-MIN(BV604:CC604))</f>
        <v>-0</v>
      </c>
      <c r="CE604" s="31" t="n">
        <f aca="false">IF(CI604="","",SUMIFS($CF$7:$CF$696,$A$7:$A$696,CI604,$B$7:$B$696,B604))</f>
        <v>1563225</v>
      </c>
      <c r="CF604" s="31" t="n">
        <f aca="false">SUM(AU604:BE604)</f>
        <v>934276</v>
      </c>
      <c r="CG604" s="33" t="str">
        <f aca="false">A604&amp;"|"&amp;B604</f>
        <v>2027-02 月例|任意継続組合員</v>
      </c>
      <c r="CH604" s="34" t="str">
        <f aca="false">IFERROR(INDEX(設定!$D$61:$D$106,MATCH(B604,設定!$B$61:$B$106,0)),"Y")</f>
        <v>N</v>
      </c>
      <c r="CI604" s="34" t="str">
        <f aca="false">IFERROR(INDEX(設定!$D$20:$D$34,MATCH(A604,設定!$A$20:$A$34,0))&amp;"","")</f>
        <v>2027-01 月例</v>
      </c>
    </row>
    <row r="605" customFormat="false" ht="15" hidden="true" customHeight="false" outlineLevel="0" collapsed="false">
      <c r="A605" s="22" t="s">
        <v>221</v>
      </c>
      <c r="B605" s="23" t="s">
        <v>158</v>
      </c>
      <c r="C605" s="10" t="str">
        <f aca="false">IF(G605="","未受領",IF(G605="なし","報告なし",IF(AH605="○","起票済",IF(OR(AG605="○",F605="一致",F605="入金不要"),"入金確認済","受領済"))))</f>
        <v>未受領</v>
      </c>
      <c r="D605" s="10" t="str">
        <f aca="false">IF(OR(G605="",G605="なし"),"―",IF(CH605="N","対象外",IF(AND(I605="",J605="",K605=""),"標報未入力",IF(CD605&gt;=設定!$B$4,"要確認","問題なし"))))</f>
        <v>―</v>
      </c>
      <c r="E605" s="24" t="str">
        <f aca="false">IF(OR(G605="",G605="なし",CE605="",CF605=0),"―",IF(CF605=CE605,"前月同額",IF(CE605=0,"―",IF(ABS(CF605/CE605-1)&gt;=設定!$B$5,"変動大 "&amp;TEXT(CF605/CE605-1,"+0%;-0%"),"〇"))))</f>
        <v>―</v>
      </c>
      <c r="F605" s="10" t="str">
        <f aca="false">IF(OR(G605="",G605="なし"),"―",IF(CF605=0,"入金不要",IF(COUNT(Z605,AB605,AD605,AF605)=0,IF(AG605="○","手動確認","未入金"),IF(AND(N(Z605)=Y605,IF(AA605="",TRUE(),N(AB605)=AA605),IF(AC605="",TRUE(),N(AD605)=AC605),IF(AE605="",TRUE(),N(AF605)=AE605)),"一致","不一致"))))</f>
        <v>―</v>
      </c>
      <c r="G605" s="25"/>
      <c r="H605" s="26"/>
      <c r="I605" s="27"/>
      <c r="J605" s="27"/>
      <c r="K605" s="27"/>
      <c r="L605" s="27"/>
      <c r="M605" s="27"/>
      <c r="N605" s="27"/>
      <c r="O605" s="27"/>
      <c r="P605" s="27"/>
      <c r="Q605" s="27"/>
      <c r="R605" s="27"/>
      <c r="S605" s="27"/>
      <c r="T605" s="27"/>
      <c r="U605" s="27"/>
      <c r="V605" s="27"/>
      <c r="W605" s="10" t="str">
        <f aca="false">IFERROR(INDEX(設定!$E$61:$E$106,MATCH(B605,設定!$B$61:$B$106,0)),"合算")</f>
        <v>合算</v>
      </c>
      <c r="X605" s="28"/>
      <c r="Y605" s="29" t="str">
        <f aca="false">IF(OR(G605="",G605="なし"),"",IF(W605="合算",CF605,IF(W605="掛金・負担金別",(AU605+AV605+AZ605+BB605+BD605),SUM(AU605:AY605))))</f>
        <v/>
      </c>
      <c r="Z605" s="27"/>
      <c r="AA605" s="29" t="str">
        <f aca="false">IF(OR(G605="",G605="なし"),"",IF(W605="掛金・負担金別",(AW605+AX605+AY605+BA605+BC605+BE605),IF(W605="経理区分別",AZ605+BA605,"")))</f>
        <v/>
      </c>
      <c r="AB605" s="27"/>
      <c r="AC605" s="29" t="str">
        <f aca="false">IF(OR(G605="",G605="なし"),"",IF(W605="経理区分別",BB605+BC605,""))</f>
        <v/>
      </c>
      <c r="AD605" s="27"/>
      <c r="AE605" s="29" t="str">
        <f aca="false">IF(OR(G605="",G605="なし"),"",IF(W605="経理区分別",BD605+BE605,""))</f>
        <v/>
      </c>
      <c r="AF605" s="27"/>
      <c r="AG605" s="26"/>
      <c r="AH605" s="26"/>
      <c r="AI605" s="30"/>
      <c r="AJ605" s="31" t="n">
        <v>96770566</v>
      </c>
      <c r="AK605" s="31" t="n">
        <v>7936030</v>
      </c>
      <c r="AL605" s="31" t="n">
        <v>139664515</v>
      </c>
      <c r="AM605" s="31" t="n">
        <v>8271054</v>
      </c>
      <c r="AN605" s="31" t="n">
        <v>106358</v>
      </c>
      <c r="AO605" s="31" t="n">
        <v>74532442</v>
      </c>
      <c r="AP605" s="31" t="n">
        <v>78429253</v>
      </c>
      <c r="AQ605" s="31" t="n">
        <v>6766104</v>
      </c>
      <c r="AR605" s="31" t="n">
        <v>7394555</v>
      </c>
      <c r="AS605" s="31" t="n">
        <v>1</v>
      </c>
      <c r="AT605" s="31" t="n">
        <v>1</v>
      </c>
      <c r="AU605" s="31" t="n">
        <f aca="false">IF($G605="",AJ605,L605)</f>
        <v>96770566</v>
      </c>
      <c r="AV605" s="31" t="n">
        <f aca="false">IF($G605="",AK605,M605)</f>
        <v>7936030</v>
      </c>
      <c r="AW605" s="31" t="n">
        <f aca="false">IF($G605="",AL605,N605)</f>
        <v>139664515</v>
      </c>
      <c r="AX605" s="31" t="n">
        <f aca="false">IF($G605="",AM605,O605)</f>
        <v>8271054</v>
      </c>
      <c r="AY605" s="31" t="n">
        <f aca="false">IF($G605="",AN605,P605)</f>
        <v>106358</v>
      </c>
      <c r="AZ605" s="31" t="n">
        <f aca="false">IF($G605="",AO605,Q605)</f>
        <v>74532442</v>
      </c>
      <c r="BA605" s="31" t="n">
        <f aca="false">IF($G605="",AP605,R605)</f>
        <v>78429253</v>
      </c>
      <c r="BB605" s="31" t="n">
        <f aca="false">IF($G605="",AQ605,S605)</f>
        <v>6766104</v>
      </c>
      <c r="BC605" s="31" t="n">
        <f aca="false">IF($G605="",AR605,T605)</f>
        <v>7394555</v>
      </c>
      <c r="BD605" s="31" t="n">
        <f aca="false">IF($G605="",AS605,U605)</f>
        <v>1</v>
      </c>
      <c r="BE605" s="31" t="n">
        <f aca="false">IF($G605="",AT605,V605)</f>
        <v>1</v>
      </c>
      <c r="BF605" s="31" t="n">
        <f aca="false">ROUNDDOWN(I605*設定!$B$10/1000,0)+ROUNDDOWN(I605*設定!$B$11/1000,0)</f>
        <v>0</v>
      </c>
      <c r="BG605" s="31" t="n">
        <f aca="false">ROUNDDOWN(I605*設定!$C$10/1000,0)+ROUNDDOWN(I605*設定!$C$11/1000,0)+ROUNDDOWN(I605*設定!$C$12/1000,0)</f>
        <v>0</v>
      </c>
      <c r="BH605" s="31" t="n">
        <f aca="false">ROUNDDOWN(J605*設定!$B$13/1000,0)</f>
        <v>0</v>
      </c>
      <c r="BI605" s="31" t="n">
        <f aca="false">ROUNDDOWN(J605*設定!$C$13/1000,0)</f>
        <v>0</v>
      </c>
      <c r="BJ605" s="31" t="n">
        <f aca="false">ROUNDDOWN(K605*設定!$B$14/1000,0)</f>
        <v>0</v>
      </c>
      <c r="BK605" s="31" t="n">
        <f aca="false">ROUNDDOWN(K605*設定!$C$14/1000,0)</f>
        <v>0</v>
      </c>
      <c r="BL605" s="31" t="n">
        <f aca="false">ROUNDDOWN(J605*設定!$B$15/1000,0)</f>
        <v>0</v>
      </c>
      <c r="BM605" s="31" t="n">
        <f aca="false">ROUNDDOWN(J605*設定!$C$15/1000,0)</f>
        <v>0</v>
      </c>
      <c r="BN605" s="31" t="n">
        <f aca="false">L605+M605</f>
        <v>0</v>
      </c>
      <c r="BO605" s="31" t="n">
        <f aca="false">N605+O605+P605</f>
        <v>0</v>
      </c>
      <c r="BP605" s="31" t="n">
        <f aca="false">Q605</f>
        <v>0</v>
      </c>
      <c r="BQ605" s="31" t="n">
        <f aca="false">R605</f>
        <v>0</v>
      </c>
      <c r="BR605" s="31" t="n">
        <f aca="false">S605</f>
        <v>0</v>
      </c>
      <c r="BS605" s="31" t="n">
        <f aca="false">T605</f>
        <v>0</v>
      </c>
      <c r="BT605" s="31" t="n">
        <f aca="false">U605</f>
        <v>0</v>
      </c>
      <c r="BU605" s="31" t="n">
        <f aca="false">V605</f>
        <v>0</v>
      </c>
      <c r="BV605" s="32" t="n">
        <f aca="false">IF(BF605=0,IF(BN605=0,0,1),(BN605-BF605)/BF605)</f>
        <v>0</v>
      </c>
      <c r="BW605" s="32" t="n">
        <f aca="false">IF(BG605=0,IF(BO605=0,0,1),(BO605-BG605)/BG605)</f>
        <v>0</v>
      </c>
      <c r="BX605" s="32" t="n">
        <f aca="false">IF(BH605=0,IF(BP605=0,0,1),(BP605-BH605)/BH605)</f>
        <v>0</v>
      </c>
      <c r="BY605" s="32" t="n">
        <f aca="false">IF(BI605=0,IF(BQ605=0,0,1),(BQ605-BI605)/BI605)</f>
        <v>0</v>
      </c>
      <c r="BZ605" s="32" t="n">
        <f aca="false">IF(BJ605=0,IF(BR605=0,0,1),(BR605-BJ605)/BJ605)</f>
        <v>0</v>
      </c>
      <c r="CA605" s="32" t="n">
        <f aca="false">IF(BK605=0,IF(BS605=0,0,1),(BS605-BK605)/BK605)</f>
        <v>0</v>
      </c>
      <c r="CB605" s="32" t="n">
        <f aca="false">IF(BL605=0,IF(BT605=0,0,1),(BT605-BL605)/BL605)</f>
        <v>0</v>
      </c>
      <c r="CC605" s="32" t="n">
        <f aca="false">IF(BM605=0,IF(BU605=0,0,1),(BU605-BM605)/BM605)</f>
        <v>0</v>
      </c>
      <c r="CD605" s="32" t="n">
        <f aca="false">MAX(MAX(BV605:CC605),-MIN(BV605:CC605))</f>
        <v>-0</v>
      </c>
      <c r="CE605" s="31" t="str">
        <f aca="false">IF(CI605="","",SUMIFS($CF$7:$CF$696,$A$7:$A$696,CI605,$B$7:$B$696,B605))</f>
        <v/>
      </c>
      <c r="CF605" s="31" t="n">
        <f aca="false">SUM(AU605:BE605)</f>
        <v>419870879</v>
      </c>
      <c r="CG605" s="33" t="str">
        <f aca="false">A605&amp;"|"&amp;B605</f>
        <v>2027-03 賞与|市長部局</v>
      </c>
      <c r="CH605" s="34" t="str">
        <f aca="false">IFERROR(INDEX(設定!$D$61:$D$106,MATCH(B605,設定!$B$61:$B$106,0)),"Y")</f>
        <v>N</v>
      </c>
      <c r="CI605" s="34" t="str">
        <f aca="false">IFERROR(INDEX(設定!$D$20:$D$34,MATCH(A605,設定!$A$20:$A$34,0))&amp;"","")</f>
        <v/>
      </c>
    </row>
    <row r="606" customFormat="false" ht="15" hidden="true" customHeight="false" outlineLevel="0" collapsed="false">
      <c r="A606" s="22" t="s">
        <v>221</v>
      </c>
      <c r="B606" s="23" t="s">
        <v>161</v>
      </c>
      <c r="C606" s="10" t="str">
        <f aca="false">IF(G606="","未受領",IF(G606="なし","報告なし",IF(AH606="○","起票済",IF(OR(AG606="○",F606="一致",F606="入金不要"),"入金確認済","受領済"))))</f>
        <v>未受領</v>
      </c>
      <c r="D606" s="10" t="str">
        <f aca="false">IF(OR(G606="",G606="なし"),"―",IF(CH606="N","対象外",IF(AND(I606="",J606="",K606=""),"標報未入力",IF(CD606&gt;=設定!$B$4,"要確認","問題なし"))))</f>
        <v>―</v>
      </c>
      <c r="E606" s="24" t="str">
        <f aca="false">IF(OR(G606="",G606="なし",CE606="",CF606=0),"―",IF(CF606=CE606,"前月同額",IF(CE606=0,"―",IF(ABS(CF606/CE606-1)&gt;=設定!$B$5,"変動大 "&amp;TEXT(CF606/CE606-1,"+0%;-0%"),"〇"))))</f>
        <v>―</v>
      </c>
      <c r="F606" s="10" t="str">
        <f aca="false">IF(OR(G606="",G606="なし"),"―",IF(CF606=0,"入金不要",IF(COUNT(Z606,AB606,AD606,AF606)=0,IF(AG606="○","手動確認","未入金"),IF(AND(N(Z606)=Y606,IF(AA606="",TRUE(),N(AB606)=AA606),IF(AC606="",TRUE(),N(AD606)=AC606),IF(AE606="",TRUE(),N(AF606)=AE606)),"一致","不一致"))))</f>
        <v>―</v>
      </c>
      <c r="G606" s="25"/>
      <c r="H606" s="26"/>
      <c r="I606" s="27"/>
      <c r="J606" s="27"/>
      <c r="K606" s="27"/>
      <c r="L606" s="27"/>
      <c r="M606" s="27"/>
      <c r="N606" s="27"/>
      <c r="O606" s="27"/>
      <c r="P606" s="27"/>
      <c r="Q606" s="27"/>
      <c r="R606" s="27"/>
      <c r="S606" s="27"/>
      <c r="T606" s="27"/>
      <c r="U606" s="27"/>
      <c r="V606" s="27"/>
      <c r="W606" s="10" t="str">
        <f aca="false">IFERROR(INDEX(設定!$E$61:$E$106,MATCH(B606,設定!$B$61:$B$106,0)),"合算")</f>
        <v>合算</v>
      </c>
      <c r="X606" s="28"/>
      <c r="Y606" s="29" t="str">
        <f aca="false">IF(OR(G606="",G606="なし"),"",IF(W606="合算",CF606,IF(W606="掛金・負担金別",(AU606+AV606+AZ606+BB606+BD606),SUM(AU606:AY606))))</f>
        <v/>
      </c>
      <c r="Z606" s="27"/>
      <c r="AA606" s="29" t="str">
        <f aca="false">IF(OR(G606="",G606="なし"),"",IF(W606="掛金・負担金別",(AW606+AX606+AY606+BA606+BC606+BE606),IF(W606="経理区分別",AZ606+BA606,"")))</f>
        <v/>
      </c>
      <c r="AB606" s="27"/>
      <c r="AC606" s="29" t="str">
        <f aca="false">IF(OR(G606="",G606="なし"),"",IF(W606="経理区分別",BB606+BC606,""))</f>
        <v/>
      </c>
      <c r="AD606" s="27"/>
      <c r="AE606" s="29" t="str">
        <f aca="false">IF(OR(G606="",G606="なし"),"",IF(W606="経理区分別",BD606+BE606,""))</f>
        <v/>
      </c>
      <c r="AF606" s="27"/>
      <c r="AG606" s="26"/>
      <c r="AH606" s="26"/>
      <c r="AI606" s="30"/>
      <c r="AJ606" s="31" t="n">
        <v>6933043</v>
      </c>
      <c r="AK606" s="31" t="n">
        <v>568195</v>
      </c>
      <c r="AL606" s="31" t="n">
        <v>9468725</v>
      </c>
      <c r="AM606" s="31" t="n">
        <v>568286</v>
      </c>
      <c r="AN606" s="31" t="n">
        <v>7229</v>
      </c>
      <c r="AO606" s="31" t="n">
        <v>4320014</v>
      </c>
      <c r="AP606" s="31" t="n">
        <v>4386292</v>
      </c>
      <c r="AQ606" s="31" t="n">
        <v>473681</v>
      </c>
      <c r="AR606" s="31" t="n">
        <v>473771</v>
      </c>
      <c r="AS606" s="31" t="n">
        <v>1</v>
      </c>
      <c r="AT606" s="31" t="n">
        <v>1</v>
      </c>
      <c r="AU606" s="31" t="n">
        <f aca="false">IF($G606="",AJ606,L606)</f>
        <v>6933043</v>
      </c>
      <c r="AV606" s="31" t="n">
        <f aca="false">IF($G606="",AK606,M606)</f>
        <v>568195</v>
      </c>
      <c r="AW606" s="31" t="n">
        <f aca="false">IF($G606="",AL606,N606)</f>
        <v>9468725</v>
      </c>
      <c r="AX606" s="31" t="n">
        <f aca="false">IF($G606="",AM606,O606)</f>
        <v>568286</v>
      </c>
      <c r="AY606" s="31" t="n">
        <f aca="false">IF($G606="",AN606,P606)</f>
        <v>7229</v>
      </c>
      <c r="AZ606" s="31" t="n">
        <f aca="false">IF($G606="",AO606,Q606)</f>
        <v>4320014</v>
      </c>
      <c r="BA606" s="31" t="n">
        <f aca="false">IF($G606="",AP606,R606)</f>
        <v>4386292</v>
      </c>
      <c r="BB606" s="31" t="n">
        <f aca="false">IF($G606="",AQ606,S606)</f>
        <v>473681</v>
      </c>
      <c r="BC606" s="31" t="n">
        <f aca="false">IF($G606="",AR606,T606)</f>
        <v>473771</v>
      </c>
      <c r="BD606" s="31" t="n">
        <f aca="false">IF($G606="",AS606,U606)</f>
        <v>1</v>
      </c>
      <c r="BE606" s="31" t="n">
        <f aca="false">IF($G606="",AT606,V606)</f>
        <v>1</v>
      </c>
      <c r="BF606" s="31" t="n">
        <f aca="false">ROUNDDOWN(I606*設定!$B$10/1000,0)+ROUNDDOWN(I606*設定!$B$11/1000,0)</f>
        <v>0</v>
      </c>
      <c r="BG606" s="31" t="n">
        <f aca="false">ROUNDDOWN(I606*設定!$C$10/1000,0)+ROUNDDOWN(I606*設定!$C$11/1000,0)+ROUNDDOWN(I606*設定!$C$12/1000,0)</f>
        <v>0</v>
      </c>
      <c r="BH606" s="31" t="n">
        <f aca="false">ROUNDDOWN(J606*設定!$B$13/1000,0)</f>
        <v>0</v>
      </c>
      <c r="BI606" s="31" t="n">
        <f aca="false">ROUNDDOWN(J606*設定!$C$13/1000,0)</f>
        <v>0</v>
      </c>
      <c r="BJ606" s="31" t="n">
        <f aca="false">ROUNDDOWN(K606*設定!$B$14/1000,0)</f>
        <v>0</v>
      </c>
      <c r="BK606" s="31" t="n">
        <f aca="false">ROUNDDOWN(K606*設定!$C$14/1000,0)</f>
        <v>0</v>
      </c>
      <c r="BL606" s="31" t="n">
        <f aca="false">ROUNDDOWN(J606*設定!$B$15/1000,0)</f>
        <v>0</v>
      </c>
      <c r="BM606" s="31" t="n">
        <f aca="false">ROUNDDOWN(J606*設定!$C$15/1000,0)</f>
        <v>0</v>
      </c>
      <c r="BN606" s="31" t="n">
        <f aca="false">L606+M606</f>
        <v>0</v>
      </c>
      <c r="BO606" s="31" t="n">
        <f aca="false">N606+O606+P606</f>
        <v>0</v>
      </c>
      <c r="BP606" s="31" t="n">
        <f aca="false">Q606</f>
        <v>0</v>
      </c>
      <c r="BQ606" s="31" t="n">
        <f aca="false">R606</f>
        <v>0</v>
      </c>
      <c r="BR606" s="31" t="n">
        <f aca="false">S606</f>
        <v>0</v>
      </c>
      <c r="BS606" s="31" t="n">
        <f aca="false">T606</f>
        <v>0</v>
      </c>
      <c r="BT606" s="31" t="n">
        <f aca="false">U606</f>
        <v>0</v>
      </c>
      <c r="BU606" s="31" t="n">
        <f aca="false">V606</f>
        <v>0</v>
      </c>
      <c r="BV606" s="32" t="n">
        <f aca="false">IF(BF606=0,IF(BN606=0,0,1),(BN606-BF606)/BF606)</f>
        <v>0</v>
      </c>
      <c r="BW606" s="32" t="n">
        <f aca="false">IF(BG606=0,IF(BO606=0,0,1),(BO606-BG606)/BG606)</f>
        <v>0</v>
      </c>
      <c r="BX606" s="32" t="n">
        <f aca="false">IF(BH606=0,IF(BP606=0,0,1),(BP606-BH606)/BH606)</f>
        <v>0</v>
      </c>
      <c r="BY606" s="32" t="n">
        <f aca="false">IF(BI606=0,IF(BQ606=0,0,1),(BQ606-BI606)/BI606)</f>
        <v>0</v>
      </c>
      <c r="BZ606" s="32" t="n">
        <f aca="false">IF(BJ606=0,IF(BR606=0,0,1),(BR606-BJ606)/BJ606)</f>
        <v>0</v>
      </c>
      <c r="CA606" s="32" t="n">
        <f aca="false">IF(BK606=0,IF(BS606=0,0,1),(BS606-BK606)/BK606)</f>
        <v>0</v>
      </c>
      <c r="CB606" s="32" t="n">
        <f aca="false">IF(BL606=0,IF(BT606=0,0,1),(BT606-BL606)/BL606)</f>
        <v>0</v>
      </c>
      <c r="CC606" s="32" t="n">
        <f aca="false">IF(BM606=0,IF(BU606=0,0,1),(BU606-BM606)/BM606)</f>
        <v>0</v>
      </c>
      <c r="CD606" s="32" t="n">
        <f aca="false">MAX(MAX(BV606:CC606),-MIN(BV606:CC606))</f>
        <v>-0</v>
      </c>
      <c r="CE606" s="31" t="str">
        <f aca="false">IF(CI606="","",SUMIFS($CF$7:$CF$696,$A$7:$A$696,CI606,$B$7:$B$696,B606))</f>
        <v/>
      </c>
      <c r="CF606" s="31" t="n">
        <f aca="false">SUM(AU606:BE606)</f>
        <v>27199238</v>
      </c>
      <c r="CG606" s="33" t="str">
        <f aca="false">A606&amp;"|"&amp;B606</f>
        <v>2027-03 賞与|下水道局</v>
      </c>
      <c r="CH606" s="34" t="str">
        <f aca="false">IFERROR(INDEX(設定!$D$61:$D$106,MATCH(B606,設定!$B$61:$B$106,0)),"Y")</f>
        <v>Y</v>
      </c>
      <c r="CI606" s="34" t="str">
        <f aca="false">IFERROR(INDEX(設定!$D$20:$D$34,MATCH(A606,設定!$A$20:$A$34,0))&amp;"","")</f>
        <v/>
      </c>
    </row>
    <row r="607" customFormat="false" ht="15" hidden="true" customHeight="false" outlineLevel="0" collapsed="false">
      <c r="A607" s="22" t="s">
        <v>221</v>
      </c>
      <c r="B607" s="23" t="s">
        <v>162</v>
      </c>
      <c r="C607" s="10" t="str">
        <f aca="false">IF(G607="","未受領",IF(G607="なし","報告なし",IF(AH607="○","起票済",IF(OR(AG607="○",F607="一致",F607="入金不要"),"入金確認済","受領済"))))</f>
        <v>未受領</v>
      </c>
      <c r="D607" s="10" t="str">
        <f aca="false">IF(OR(G607="",G607="なし"),"―",IF(CH607="N","対象外",IF(AND(I607="",J607="",K607=""),"標報未入力",IF(CD607&gt;=設定!$B$4,"要確認","問題なし"))))</f>
        <v>―</v>
      </c>
      <c r="E607" s="24" t="str">
        <f aca="false">IF(OR(G607="",G607="なし",CE607="",CF607=0),"―",IF(CF607=CE607,"前月同額",IF(CE607=0,"―",IF(ABS(CF607/CE607-1)&gt;=設定!$B$5,"変動大 "&amp;TEXT(CF607/CE607-1,"+0%;-0%"),"〇"))))</f>
        <v>―</v>
      </c>
      <c r="F607" s="10" t="str">
        <f aca="false">IF(OR(G607="",G607="なし"),"―",IF(CF607=0,"入金不要",IF(COUNT(Z607,AB607,AD607,AF607)=0,IF(AG607="○","手動確認","未入金"),IF(AND(N(Z607)=Y607,IF(AA607="",TRUE(),N(AB607)=AA607),IF(AC607="",TRUE(),N(AD607)=AC607),IF(AE607="",TRUE(),N(AF607)=AE607)),"一致","不一致"))))</f>
        <v>―</v>
      </c>
      <c r="G607" s="25"/>
      <c r="H607" s="26"/>
      <c r="I607" s="27"/>
      <c r="J607" s="27"/>
      <c r="K607" s="27"/>
      <c r="L607" s="27"/>
      <c r="M607" s="27"/>
      <c r="N607" s="27"/>
      <c r="O607" s="27"/>
      <c r="P607" s="27"/>
      <c r="Q607" s="27"/>
      <c r="R607" s="27"/>
      <c r="S607" s="27"/>
      <c r="T607" s="27"/>
      <c r="U607" s="27"/>
      <c r="V607" s="27"/>
      <c r="W607" s="10" t="str">
        <f aca="false">IFERROR(INDEX(設定!$E$61:$E$106,MATCH(B607,設定!$B$61:$B$106,0)),"合算")</f>
        <v>合算</v>
      </c>
      <c r="X607" s="28"/>
      <c r="Y607" s="29" t="str">
        <f aca="false">IF(OR(G607="",G607="なし"),"",IF(W607="合算",CF607,IF(W607="掛金・負担金別",(AU607+AV607+AZ607+BB607+BD607),SUM(AU607:AY607))))</f>
        <v/>
      </c>
      <c r="Z607" s="27"/>
      <c r="AA607" s="29" t="str">
        <f aca="false">IF(OR(G607="",G607="なし"),"",IF(W607="掛金・負担金別",(AW607+AX607+AY607+BA607+BC607+BE607),IF(W607="経理区分別",AZ607+BA607,"")))</f>
        <v/>
      </c>
      <c r="AB607" s="27"/>
      <c r="AC607" s="29" t="str">
        <f aca="false">IF(OR(G607="",G607="なし"),"",IF(W607="経理区分別",BB607+BC607,""))</f>
        <v/>
      </c>
      <c r="AD607" s="27"/>
      <c r="AE607" s="29" t="str">
        <f aca="false">IF(OR(G607="",G607="なし"),"",IF(W607="経理区分別",BD607+BE607,""))</f>
        <v/>
      </c>
      <c r="AF607" s="27"/>
      <c r="AG607" s="26"/>
      <c r="AH607" s="26"/>
      <c r="AI607" s="30"/>
      <c r="AJ607" s="31" t="n">
        <v>21949718</v>
      </c>
      <c r="AK607" s="31" t="n">
        <v>1798874</v>
      </c>
      <c r="AL607" s="31" t="n">
        <v>29915317</v>
      </c>
      <c r="AM607" s="31" t="n">
        <v>1794195</v>
      </c>
      <c r="AN607" s="31" t="n">
        <v>22793</v>
      </c>
      <c r="AO607" s="31" t="n">
        <v>13500499</v>
      </c>
      <c r="AP607" s="31" t="n">
        <v>13670336</v>
      </c>
      <c r="AQ607" s="31" t="n">
        <v>942529</v>
      </c>
      <c r="AR607" s="31" t="n">
        <v>938989</v>
      </c>
      <c r="AS607" s="31" t="n">
        <v>1</v>
      </c>
      <c r="AT607" s="31" t="n">
        <v>1</v>
      </c>
      <c r="AU607" s="31" t="n">
        <f aca="false">IF($G607="",AJ607,L607)</f>
        <v>21949718</v>
      </c>
      <c r="AV607" s="31" t="n">
        <f aca="false">IF($G607="",AK607,M607)</f>
        <v>1798874</v>
      </c>
      <c r="AW607" s="31" t="n">
        <f aca="false">IF($G607="",AL607,N607)</f>
        <v>29915317</v>
      </c>
      <c r="AX607" s="31" t="n">
        <f aca="false">IF($G607="",AM607,O607)</f>
        <v>1794195</v>
      </c>
      <c r="AY607" s="31" t="n">
        <f aca="false">IF($G607="",AN607,P607)</f>
        <v>22793</v>
      </c>
      <c r="AZ607" s="31" t="n">
        <f aca="false">IF($G607="",AO607,Q607)</f>
        <v>13500499</v>
      </c>
      <c r="BA607" s="31" t="n">
        <f aca="false">IF($G607="",AP607,R607)</f>
        <v>13670336</v>
      </c>
      <c r="BB607" s="31" t="n">
        <f aca="false">IF($G607="",AQ607,S607)</f>
        <v>942529</v>
      </c>
      <c r="BC607" s="31" t="n">
        <f aca="false">IF($G607="",AR607,T607)</f>
        <v>938989</v>
      </c>
      <c r="BD607" s="31" t="n">
        <f aca="false">IF($G607="",AS607,U607)</f>
        <v>1</v>
      </c>
      <c r="BE607" s="31" t="n">
        <f aca="false">IF($G607="",AT607,V607)</f>
        <v>1</v>
      </c>
      <c r="BF607" s="31" t="n">
        <f aca="false">ROUNDDOWN(I607*設定!$B$10/1000,0)+ROUNDDOWN(I607*設定!$B$11/1000,0)</f>
        <v>0</v>
      </c>
      <c r="BG607" s="31" t="n">
        <f aca="false">ROUNDDOWN(I607*設定!$C$10/1000,0)+ROUNDDOWN(I607*設定!$C$11/1000,0)+ROUNDDOWN(I607*設定!$C$12/1000,0)</f>
        <v>0</v>
      </c>
      <c r="BH607" s="31" t="n">
        <f aca="false">ROUNDDOWN(J607*設定!$B$13/1000,0)</f>
        <v>0</v>
      </c>
      <c r="BI607" s="31" t="n">
        <f aca="false">ROUNDDOWN(J607*設定!$C$13/1000,0)</f>
        <v>0</v>
      </c>
      <c r="BJ607" s="31" t="n">
        <f aca="false">ROUNDDOWN(K607*設定!$B$14/1000,0)</f>
        <v>0</v>
      </c>
      <c r="BK607" s="31" t="n">
        <f aca="false">ROUNDDOWN(K607*設定!$C$14/1000,0)</f>
        <v>0</v>
      </c>
      <c r="BL607" s="31" t="n">
        <f aca="false">ROUNDDOWN(J607*設定!$B$15/1000,0)</f>
        <v>0</v>
      </c>
      <c r="BM607" s="31" t="n">
        <f aca="false">ROUNDDOWN(J607*設定!$C$15/1000,0)</f>
        <v>0</v>
      </c>
      <c r="BN607" s="31" t="n">
        <f aca="false">L607+M607</f>
        <v>0</v>
      </c>
      <c r="BO607" s="31" t="n">
        <f aca="false">N607+O607+P607</f>
        <v>0</v>
      </c>
      <c r="BP607" s="31" t="n">
        <f aca="false">Q607</f>
        <v>0</v>
      </c>
      <c r="BQ607" s="31" t="n">
        <f aca="false">R607</f>
        <v>0</v>
      </c>
      <c r="BR607" s="31" t="n">
        <f aca="false">S607</f>
        <v>0</v>
      </c>
      <c r="BS607" s="31" t="n">
        <f aca="false">T607</f>
        <v>0</v>
      </c>
      <c r="BT607" s="31" t="n">
        <f aca="false">U607</f>
        <v>0</v>
      </c>
      <c r="BU607" s="31" t="n">
        <f aca="false">V607</f>
        <v>0</v>
      </c>
      <c r="BV607" s="32" t="n">
        <f aca="false">IF(BF607=0,IF(BN607=0,0,1),(BN607-BF607)/BF607)</f>
        <v>0</v>
      </c>
      <c r="BW607" s="32" t="n">
        <f aca="false">IF(BG607=0,IF(BO607=0,0,1),(BO607-BG607)/BG607)</f>
        <v>0</v>
      </c>
      <c r="BX607" s="32" t="n">
        <f aca="false">IF(BH607=0,IF(BP607=0,0,1),(BP607-BH607)/BH607)</f>
        <v>0</v>
      </c>
      <c r="BY607" s="32" t="n">
        <f aca="false">IF(BI607=0,IF(BQ607=0,0,1),(BQ607-BI607)/BI607)</f>
        <v>0</v>
      </c>
      <c r="BZ607" s="32" t="n">
        <f aca="false">IF(BJ607=0,IF(BR607=0,0,1),(BR607-BJ607)/BJ607)</f>
        <v>0</v>
      </c>
      <c r="CA607" s="32" t="n">
        <f aca="false">IF(BK607=0,IF(BS607=0,0,1),(BS607-BK607)/BK607)</f>
        <v>0</v>
      </c>
      <c r="CB607" s="32" t="n">
        <f aca="false">IF(BL607=0,IF(BT607=0,0,1),(BT607-BL607)/BL607)</f>
        <v>0</v>
      </c>
      <c r="CC607" s="32" t="n">
        <f aca="false">IF(BM607=0,IF(BU607=0,0,1),(BU607-BM607)/BM607)</f>
        <v>0</v>
      </c>
      <c r="CD607" s="32" t="n">
        <f aca="false">MAX(MAX(BV607:CC607),-MIN(BV607:CC607))</f>
        <v>-0</v>
      </c>
      <c r="CE607" s="31" t="str">
        <f aca="false">IF(CI607="","",SUMIFS($CF$7:$CF$696,$A$7:$A$696,CI607,$B$7:$B$696,B607))</f>
        <v/>
      </c>
      <c r="CF607" s="31" t="n">
        <f aca="false">SUM(AU607:BE607)</f>
        <v>84533252</v>
      </c>
      <c r="CG607" s="33" t="str">
        <f aca="false">A607&amp;"|"&amp;B607</f>
        <v>2027-03 賞与|消防局</v>
      </c>
      <c r="CH607" s="34" t="str">
        <f aca="false">IFERROR(INDEX(設定!$D$61:$D$106,MATCH(B607,設定!$B$61:$B$106,0)),"Y")</f>
        <v>N</v>
      </c>
      <c r="CI607" s="34" t="str">
        <f aca="false">IFERROR(INDEX(設定!$D$20:$D$34,MATCH(A607,設定!$A$20:$A$34,0))&amp;"","")</f>
        <v/>
      </c>
    </row>
    <row r="608" customFormat="false" ht="15" hidden="true" customHeight="false" outlineLevel="0" collapsed="false">
      <c r="A608" s="22" t="s">
        <v>221</v>
      </c>
      <c r="B608" s="23" t="s">
        <v>163</v>
      </c>
      <c r="C608" s="10" t="str">
        <f aca="false">IF(G608="","未受領",IF(G608="なし","報告なし",IF(AH608="○","起票済",IF(OR(AG608="○",F608="一致",F608="入金不要"),"入金確認済","受領済"))))</f>
        <v>未受領</v>
      </c>
      <c r="D608" s="10" t="str">
        <f aca="false">IF(OR(G608="",G608="なし"),"―",IF(CH608="N","対象外",IF(AND(I608="",J608="",K608=""),"標報未入力",IF(CD608&gt;=設定!$B$4,"要確認","問題なし"))))</f>
        <v>―</v>
      </c>
      <c r="E608" s="24" t="str">
        <f aca="false">IF(OR(G608="",G608="なし",CE608="",CF608=0),"―",IF(CF608=CE608,"前月同額",IF(CE608=0,"―",IF(ABS(CF608/CE608-1)&gt;=設定!$B$5,"変動大 "&amp;TEXT(CF608/CE608-1,"+0%;-0%"),"〇"))))</f>
        <v>―</v>
      </c>
      <c r="F608" s="10" t="str">
        <f aca="false">IF(OR(G608="",G608="なし"),"―",IF(CF608=0,"入金不要",IF(COUNT(Z608,AB608,AD608,AF608)=0,IF(AG608="○","手動確認","未入金"),IF(AND(N(Z608)=Y608,IF(AA608="",TRUE(),N(AB608)=AA608),IF(AC608="",TRUE(),N(AD608)=AC608),IF(AE608="",TRUE(),N(AF608)=AE608)),"一致","不一致"))))</f>
        <v>―</v>
      </c>
      <c r="G608" s="25"/>
      <c r="H608" s="26"/>
      <c r="I608" s="27"/>
      <c r="J608" s="27"/>
      <c r="K608" s="27"/>
      <c r="L608" s="27"/>
      <c r="M608" s="27"/>
      <c r="N608" s="27"/>
      <c r="O608" s="27"/>
      <c r="P608" s="27"/>
      <c r="Q608" s="27"/>
      <c r="R608" s="27"/>
      <c r="S608" s="27"/>
      <c r="T608" s="27"/>
      <c r="U608" s="27"/>
      <c r="V608" s="27"/>
      <c r="W608" s="10" t="str">
        <f aca="false">IFERROR(INDEX(設定!$E$61:$E$106,MATCH(B608,設定!$B$61:$B$106,0)),"合算")</f>
        <v>合算</v>
      </c>
      <c r="X608" s="28"/>
      <c r="Y608" s="29" t="str">
        <f aca="false">IF(OR(G608="",G608="なし"),"",IF(W608="合算",CF608,IF(W608="掛金・負担金別",(AU608+AV608+AZ608+BB608+BD608),SUM(AU608:AY608))))</f>
        <v/>
      </c>
      <c r="Z608" s="27"/>
      <c r="AA608" s="29" t="str">
        <f aca="false">IF(OR(G608="",G608="なし"),"",IF(W608="掛金・負担金別",(AW608+AX608+AY608+BA608+BC608+BE608),IF(W608="経理区分別",AZ608+BA608,"")))</f>
        <v/>
      </c>
      <c r="AB608" s="27"/>
      <c r="AC608" s="29" t="str">
        <f aca="false">IF(OR(G608="",G608="なし"),"",IF(W608="経理区分別",BB608+BC608,""))</f>
        <v/>
      </c>
      <c r="AD608" s="27"/>
      <c r="AE608" s="29" t="str">
        <f aca="false">IF(OR(G608="",G608="なし"),"",IF(W608="経理区分別",BD608+BE608,""))</f>
        <v/>
      </c>
      <c r="AF608" s="27"/>
      <c r="AG608" s="26"/>
      <c r="AH608" s="26"/>
      <c r="AI608" s="30"/>
      <c r="AJ608" s="31" t="n">
        <v>762004</v>
      </c>
      <c r="AK608" s="31" t="n">
        <v>62452</v>
      </c>
      <c r="AL608" s="31" t="n">
        <v>1112729</v>
      </c>
      <c r="AM608" s="31" t="n">
        <v>62460</v>
      </c>
      <c r="AN608" s="31" t="n">
        <v>793</v>
      </c>
      <c r="AO608" s="31" t="n">
        <v>458103</v>
      </c>
      <c r="AP608" s="31" t="n">
        <v>466320</v>
      </c>
      <c r="AQ608" s="31" t="n">
        <v>46480</v>
      </c>
      <c r="AR608" s="31" t="n">
        <v>46491</v>
      </c>
      <c r="AS608" s="31" t="n">
        <v>1</v>
      </c>
      <c r="AT608" s="31" t="n">
        <v>1</v>
      </c>
      <c r="AU608" s="31" t="n">
        <f aca="false">IF($G608="",AJ608,L608)</f>
        <v>762004</v>
      </c>
      <c r="AV608" s="31" t="n">
        <f aca="false">IF($G608="",AK608,M608)</f>
        <v>62452</v>
      </c>
      <c r="AW608" s="31" t="n">
        <f aca="false">IF($G608="",AL608,N608)</f>
        <v>1112729</v>
      </c>
      <c r="AX608" s="31" t="n">
        <f aca="false">IF($G608="",AM608,O608)</f>
        <v>62460</v>
      </c>
      <c r="AY608" s="31" t="n">
        <f aca="false">IF($G608="",AN608,P608)</f>
        <v>793</v>
      </c>
      <c r="AZ608" s="31" t="n">
        <f aca="false">IF($G608="",AO608,Q608)</f>
        <v>458103</v>
      </c>
      <c r="BA608" s="31" t="n">
        <f aca="false">IF($G608="",AP608,R608)</f>
        <v>466320</v>
      </c>
      <c r="BB608" s="31" t="n">
        <f aca="false">IF($G608="",AQ608,S608)</f>
        <v>46480</v>
      </c>
      <c r="BC608" s="31" t="n">
        <f aca="false">IF($G608="",AR608,T608)</f>
        <v>46491</v>
      </c>
      <c r="BD608" s="31" t="n">
        <f aca="false">IF($G608="",AS608,U608)</f>
        <v>1</v>
      </c>
      <c r="BE608" s="31" t="n">
        <f aca="false">IF($G608="",AT608,V608)</f>
        <v>1</v>
      </c>
      <c r="BF608" s="31" t="n">
        <f aca="false">ROUNDDOWN(I608*設定!$B$10/1000,0)+ROUNDDOWN(I608*設定!$B$11/1000,0)</f>
        <v>0</v>
      </c>
      <c r="BG608" s="31" t="n">
        <f aca="false">ROUNDDOWN(I608*設定!$C$10/1000,0)+ROUNDDOWN(I608*設定!$C$11/1000,0)+ROUNDDOWN(I608*設定!$C$12/1000,0)</f>
        <v>0</v>
      </c>
      <c r="BH608" s="31" t="n">
        <f aca="false">ROUNDDOWN(J608*設定!$B$13/1000,0)</f>
        <v>0</v>
      </c>
      <c r="BI608" s="31" t="n">
        <f aca="false">ROUNDDOWN(J608*設定!$C$13/1000,0)</f>
        <v>0</v>
      </c>
      <c r="BJ608" s="31" t="n">
        <f aca="false">ROUNDDOWN(K608*設定!$B$14/1000,0)</f>
        <v>0</v>
      </c>
      <c r="BK608" s="31" t="n">
        <f aca="false">ROUNDDOWN(K608*設定!$C$14/1000,0)</f>
        <v>0</v>
      </c>
      <c r="BL608" s="31" t="n">
        <f aca="false">ROUNDDOWN(J608*設定!$B$15/1000,0)</f>
        <v>0</v>
      </c>
      <c r="BM608" s="31" t="n">
        <f aca="false">ROUNDDOWN(J608*設定!$C$15/1000,0)</f>
        <v>0</v>
      </c>
      <c r="BN608" s="31" t="n">
        <f aca="false">L608+M608</f>
        <v>0</v>
      </c>
      <c r="BO608" s="31" t="n">
        <f aca="false">N608+O608+P608</f>
        <v>0</v>
      </c>
      <c r="BP608" s="31" t="n">
        <f aca="false">Q608</f>
        <v>0</v>
      </c>
      <c r="BQ608" s="31" t="n">
        <f aca="false">R608</f>
        <v>0</v>
      </c>
      <c r="BR608" s="31" t="n">
        <f aca="false">S608</f>
        <v>0</v>
      </c>
      <c r="BS608" s="31" t="n">
        <f aca="false">T608</f>
        <v>0</v>
      </c>
      <c r="BT608" s="31" t="n">
        <f aca="false">U608</f>
        <v>0</v>
      </c>
      <c r="BU608" s="31" t="n">
        <f aca="false">V608</f>
        <v>0</v>
      </c>
      <c r="BV608" s="32" t="n">
        <f aca="false">IF(BF608=0,IF(BN608=0,0,1),(BN608-BF608)/BF608)</f>
        <v>0</v>
      </c>
      <c r="BW608" s="32" t="n">
        <f aca="false">IF(BG608=0,IF(BO608=0,0,1),(BO608-BG608)/BG608)</f>
        <v>0</v>
      </c>
      <c r="BX608" s="32" t="n">
        <f aca="false">IF(BH608=0,IF(BP608=0,0,1),(BP608-BH608)/BH608)</f>
        <v>0</v>
      </c>
      <c r="BY608" s="32" t="n">
        <f aca="false">IF(BI608=0,IF(BQ608=0,0,1),(BQ608-BI608)/BI608)</f>
        <v>0</v>
      </c>
      <c r="BZ608" s="32" t="n">
        <f aca="false">IF(BJ608=0,IF(BR608=0,0,1),(BR608-BJ608)/BJ608)</f>
        <v>0</v>
      </c>
      <c r="CA608" s="32" t="n">
        <f aca="false">IF(BK608=0,IF(BS608=0,0,1),(BS608-BK608)/BK608)</f>
        <v>0</v>
      </c>
      <c r="CB608" s="32" t="n">
        <f aca="false">IF(BL608=0,IF(BT608=0,0,1),(BT608-BL608)/BL608)</f>
        <v>0</v>
      </c>
      <c r="CC608" s="32" t="n">
        <f aca="false">IF(BM608=0,IF(BU608=0,0,1),(BU608-BM608)/BM608)</f>
        <v>0</v>
      </c>
      <c r="CD608" s="32" t="n">
        <f aca="false">MAX(MAX(BV608:CC608),-MIN(BV608:CC608))</f>
        <v>-0</v>
      </c>
      <c r="CE608" s="31" t="str">
        <f aca="false">IF(CI608="","",SUMIFS($CF$7:$CF$696,$A$7:$A$696,CI608,$B$7:$B$696,B608))</f>
        <v/>
      </c>
      <c r="CF608" s="31" t="n">
        <f aca="false">SUM(AU608:BE608)</f>
        <v>3017834</v>
      </c>
      <c r="CG608" s="33" t="str">
        <f aca="false">A608&amp;"|"&amp;B608</f>
        <v>2027-03 賞与|議会事務局</v>
      </c>
      <c r="CH608" s="34" t="str">
        <f aca="false">IFERROR(INDEX(設定!$D$61:$D$106,MATCH(B608,設定!$B$61:$B$106,0)),"Y")</f>
        <v>Y</v>
      </c>
      <c r="CI608" s="34" t="str">
        <f aca="false">IFERROR(INDEX(設定!$D$20:$D$34,MATCH(A608,設定!$A$20:$A$34,0))&amp;"","")</f>
        <v/>
      </c>
    </row>
    <row r="609" customFormat="false" ht="15" hidden="true" customHeight="false" outlineLevel="0" collapsed="false">
      <c r="A609" s="22" t="s">
        <v>221</v>
      </c>
      <c r="B609" s="23" t="s">
        <v>164</v>
      </c>
      <c r="C609" s="10" t="str">
        <f aca="false">IF(G609="","未受領",IF(G609="なし","報告なし",IF(AH609="○","起票済",IF(OR(AG609="○",F609="一致",F609="入金不要"),"入金確認済","受領済"))))</f>
        <v>未受領</v>
      </c>
      <c r="D609" s="10" t="str">
        <f aca="false">IF(OR(G609="",G609="なし"),"―",IF(CH609="N","対象外",IF(AND(I609="",J609="",K609=""),"標報未入力",IF(CD609&gt;=設定!$B$4,"要確認","問題なし"))))</f>
        <v>―</v>
      </c>
      <c r="E609" s="24" t="str">
        <f aca="false">IF(OR(G609="",G609="なし",CE609="",CF609=0),"―",IF(CF609=CE609,"前月同額",IF(CE609=0,"―",IF(ABS(CF609/CE609-1)&gt;=設定!$B$5,"変動大 "&amp;TEXT(CF609/CE609-1,"+0%;-0%"),"〇"))))</f>
        <v>―</v>
      </c>
      <c r="F609" s="10" t="str">
        <f aca="false">IF(OR(G609="",G609="なし"),"―",IF(CF609=0,"入金不要",IF(COUNT(Z609,AB609,AD609,AF609)=0,IF(AG609="○","手動確認","未入金"),IF(AND(N(Z609)=Y609,IF(AA609="",TRUE(),N(AB609)=AA609),IF(AC609="",TRUE(),N(AD609)=AC609),IF(AE609="",TRUE(),N(AF609)=AE609)),"一致","不一致"))))</f>
        <v>―</v>
      </c>
      <c r="G609" s="25"/>
      <c r="H609" s="26"/>
      <c r="I609" s="27"/>
      <c r="J609" s="27"/>
      <c r="K609" s="27"/>
      <c r="L609" s="27"/>
      <c r="M609" s="27"/>
      <c r="N609" s="27"/>
      <c r="O609" s="27"/>
      <c r="P609" s="27"/>
      <c r="Q609" s="27"/>
      <c r="R609" s="27"/>
      <c r="S609" s="27"/>
      <c r="T609" s="27"/>
      <c r="U609" s="27"/>
      <c r="V609" s="27"/>
      <c r="W609" s="10" t="str">
        <f aca="false">IFERROR(INDEX(設定!$E$61:$E$106,MATCH(B609,設定!$B$61:$B$106,0)),"合算")</f>
        <v>合算</v>
      </c>
      <c r="X609" s="28"/>
      <c r="Y609" s="29" t="str">
        <f aca="false">IF(OR(G609="",G609="なし"),"",IF(W609="合算",CF609,IF(W609="掛金・負担金別",(AU609+AV609+AZ609+BB609+BD609),SUM(AU609:AY609))))</f>
        <v/>
      </c>
      <c r="Z609" s="27"/>
      <c r="AA609" s="29" t="str">
        <f aca="false">IF(OR(G609="",G609="なし"),"",IF(W609="掛金・負担金別",(AW609+AX609+AY609+BA609+BC609+BE609),IF(W609="経理区分別",AZ609+BA609,"")))</f>
        <v/>
      </c>
      <c r="AB609" s="27"/>
      <c r="AC609" s="29" t="str">
        <f aca="false">IF(OR(G609="",G609="なし"),"",IF(W609="経理区分別",BB609+BC609,""))</f>
        <v/>
      </c>
      <c r="AD609" s="27"/>
      <c r="AE609" s="29" t="str">
        <f aca="false">IF(OR(G609="",G609="なし"),"",IF(W609="経理区分別",BD609+BE609,""))</f>
        <v/>
      </c>
      <c r="AF609" s="27"/>
      <c r="AG609" s="26"/>
      <c r="AH609" s="26"/>
      <c r="AI609" s="30"/>
      <c r="AJ609" s="31" t="n">
        <v>11288669</v>
      </c>
      <c r="AK609" s="31" t="n">
        <v>925169</v>
      </c>
      <c r="AL609" s="31" t="n">
        <v>15428472</v>
      </c>
      <c r="AM609" s="31" t="n">
        <v>925311</v>
      </c>
      <c r="AN609" s="31" t="n">
        <v>11806</v>
      </c>
      <c r="AO609" s="31" t="n">
        <v>10970321</v>
      </c>
      <c r="AP609" s="31" t="n">
        <v>11131787</v>
      </c>
      <c r="AQ609" s="31" t="n">
        <v>1291130</v>
      </c>
      <c r="AR609" s="31" t="n">
        <v>1290783</v>
      </c>
      <c r="AS609" s="31" t="n">
        <v>1</v>
      </c>
      <c r="AT609" s="31" t="n">
        <v>1</v>
      </c>
      <c r="AU609" s="31" t="n">
        <f aca="false">IF($G609="",AJ609,L609)</f>
        <v>11288669</v>
      </c>
      <c r="AV609" s="31" t="n">
        <f aca="false">IF($G609="",AK609,M609)</f>
        <v>925169</v>
      </c>
      <c r="AW609" s="31" t="n">
        <f aca="false">IF($G609="",AL609,N609)</f>
        <v>15428472</v>
      </c>
      <c r="AX609" s="31" t="n">
        <f aca="false">IF($G609="",AM609,O609)</f>
        <v>925311</v>
      </c>
      <c r="AY609" s="31" t="n">
        <f aca="false">IF($G609="",AN609,P609)</f>
        <v>11806</v>
      </c>
      <c r="AZ609" s="31" t="n">
        <f aca="false">IF($G609="",AO609,Q609)</f>
        <v>10970321</v>
      </c>
      <c r="BA609" s="31" t="n">
        <f aca="false">IF($G609="",AP609,R609)</f>
        <v>11131787</v>
      </c>
      <c r="BB609" s="31" t="n">
        <f aca="false">IF($G609="",AQ609,S609)</f>
        <v>1291130</v>
      </c>
      <c r="BC609" s="31" t="n">
        <f aca="false">IF($G609="",AR609,T609)</f>
        <v>1290783</v>
      </c>
      <c r="BD609" s="31" t="n">
        <f aca="false">IF($G609="",AS609,U609)</f>
        <v>1</v>
      </c>
      <c r="BE609" s="31" t="n">
        <f aca="false">IF($G609="",AT609,V609)</f>
        <v>1</v>
      </c>
      <c r="BF609" s="31" t="n">
        <f aca="false">ROUNDDOWN(I609*設定!$B$10/1000,0)+ROUNDDOWN(I609*設定!$B$11/1000,0)</f>
        <v>0</v>
      </c>
      <c r="BG609" s="31" t="n">
        <f aca="false">ROUNDDOWN(I609*設定!$C$10/1000,0)+ROUNDDOWN(I609*設定!$C$11/1000,0)+ROUNDDOWN(I609*設定!$C$12/1000,0)</f>
        <v>0</v>
      </c>
      <c r="BH609" s="31" t="n">
        <f aca="false">ROUNDDOWN(J609*設定!$B$13/1000,0)</f>
        <v>0</v>
      </c>
      <c r="BI609" s="31" t="n">
        <f aca="false">ROUNDDOWN(J609*設定!$C$13/1000,0)</f>
        <v>0</v>
      </c>
      <c r="BJ609" s="31" t="n">
        <f aca="false">ROUNDDOWN(K609*設定!$B$14/1000,0)</f>
        <v>0</v>
      </c>
      <c r="BK609" s="31" t="n">
        <f aca="false">ROUNDDOWN(K609*設定!$C$14/1000,0)</f>
        <v>0</v>
      </c>
      <c r="BL609" s="31" t="n">
        <f aca="false">ROUNDDOWN(J609*設定!$B$15/1000,0)</f>
        <v>0</v>
      </c>
      <c r="BM609" s="31" t="n">
        <f aca="false">ROUNDDOWN(J609*設定!$C$15/1000,0)</f>
        <v>0</v>
      </c>
      <c r="BN609" s="31" t="n">
        <f aca="false">L609+M609</f>
        <v>0</v>
      </c>
      <c r="BO609" s="31" t="n">
        <f aca="false">N609+O609+P609</f>
        <v>0</v>
      </c>
      <c r="BP609" s="31" t="n">
        <f aca="false">Q609</f>
        <v>0</v>
      </c>
      <c r="BQ609" s="31" t="n">
        <f aca="false">R609</f>
        <v>0</v>
      </c>
      <c r="BR609" s="31" t="n">
        <f aca="false">S609</f>
        <v>0</v>
      </c>
      <c r="BS609" s="31" t="n">
        <f aca="false">T609</f>
        <v>0</v>
      </c>
      <c r="BT609" s="31" t="n">
        <f aca="false">U609</f>
        <v>0</v>
      </c>
      <c r="BU609" s="31" t="n">
        <f aca="false">V609</f>
        <v>0</v>
      </c>
      <c r="BV609" s="32" t="n">
        <f aca="false">IF(BF609=0,IF(BN609=0,0,1),(BN609-BF609)/BF609)</f>
        <v>0</v>
      </c>
      <c r="BW609" s="32" t="n">
        <f aca="false">IF(BG609=0,IF(BO609=0,0,1),(BO609-BG609)/BG609)</f>
        <v>0</v>
      </c>
      <c r="BX609" s="32" t="n">
        <f aca="false">IF(BH609=0,IF(BP609=0,0,1),(BP609-BH609)/BH609)</f>
        <v>0</v>
      </c>
      <c r="BY609" s="32" t="n">
        <f aca="false">IF(BI609=0,IF(BQ609=0,0,1),(BQ609-BI609)/BI609)</f>
        <v>0</v>
      </c>
      <c r="BZ609" s="32" t="n">
        <f aca="false">IF(BJ609=0,IF(BR609=0,0,1),(BR609-BJ609)/BJ609)</f>
        <v>0</v>
      </c>
      <c r="CA609" s="32" t="n">
        <f aca="false">IF(BK609=0,IF(BS609=0,0,1),(BS609-BK609)/BK609)</f>
        <v>0</v>
      </c>
      <c r="CB609" s="32" t="n">
        <f aca="false">IF(BL609=0,IF(BT609=0,0,1),(BT609-BL609)/BL609)</f>
        <v>0</v>
      </c>
      <c r="CC609" s="32" t="n">
        <f aca="false">IF(BM609=0,IF(BU609=0,0,1),(BU609-BM609)/BM609)</f>
        <v>0</v>
      </c>
      <c r="CD609" s="32" t="n">
        <f aca="false">MAX(MAX(BV609:CC609),-MIN(BV609:CC609))</f>
        <v>-0</v>
      </c>
      <c r="CE609" s="31" t="str">
        <f aca="false">IF(CI609="","",SUMIFS($CF$7:$CF$696,$A$7:$A$696,CI609,$B$7:$B$696,B609))</f>
        <v/>
      </c>
      <c r="CF609" s="31" t="n">
        <f aca="false">SUM(AU609:BE609)</f>
        <v>53263450</v>
      </c>
      <c r="CG609" s="33" t="str">
        <f aca="false">A609&amp;"|"&amp;B609</f>
        <v>2027-03 賞与|教育委員会（総務課）</v>
      </c>
      <c r="CH609" s="34" t="str">
        <f aca="false">IFERROR(INDEX(設定!$D$61:$D$106,MATCH(B609,設定!$B$61:$B$106,0)),"Y")</f>
        <v>N</v>
      </c>
      <c r="CI609" s="34" t="str">
        <f aca="false">IFERROR(INDEX(設定!$D$20:$D$34,MATCH(A609,設定!$A$20:$A$34,0))&amp;"","")</f>
        <v/>
      </c>
    </row>
    <row r="610" customFormat="false" ht="15" hidden="true" customHeight="false" outlineLevel="0" collapsed="false">
      <c r="A610" s="22" t="s">
        <v>221</v>
      </c>
      <c r="B610" s="23" t="s">
        <v>165</v>
      </c>
      <c r="C610" s="10" t="str">
        <f aca="false">IF(G610="","未受領",IF(G610="なし","報告なし",IF(AH610="○","起票済",IF(OR(AG610="○",F610="一致",F610="入金不要"),"入金確認済","受領済"))))</f>
        <v>未受領</v>
      </c>
      <c r="D610" s="10" t="str">
        <f aca="false">IF(OR(G610="",G610="なし"),"―",IF(CH610="N","対象外",IF(AND(I610="",J610="",K610=""),"標報未入力",IF(CD610&gt;=設定!$B$4,"要確認","問題なし"))))</f>
        <v>―</v>
      </c>
      <c r="E610" s="24" t="str">
        <f aca="false">IF(OR(G610="",G610="なし",CE610="",CF610=0),"―",IF(CF610=CE610,"前月同額",IF(CE610=0,"―",IF(ABS(CF610/CE610-1)&gt;=設定!$B$5,"変動大 "&amp;TEXT(CF610/CE610-1,"+0%;-0%"),"〇"))))</f>
        <v>―</v>
      </c>
      <c r="F610" s="10" t="str">
        <f aca="false">IF(OR(G610="",G610="なし"),"―",IF(CF610=0,"入金不要",IF(COUNT(Z610,AB610,AD610,AF610)=0,IF(AG610="○","手動確認","未入金"),IF(AND(N(Z610)=Y610,IF(AA610="",TRUE(),N(AB610)=AA610),IF(AC610="",TRUE(),N(AD610)=AC610),IF(AE610="",TRUE(),N(AF610)=AE610)),"一致","不一致"))))</f>
        <v>―</v>
      </c>
      <c r="G610" s="25"/>
      <c r="H610" s="26"/>
      <c r="I610" s="27"/>
      <c r="J610" s="27"/>
      <c r="K610" s="27"/>
      <c r="L610" s="27"/>
      <c r="M610" s="27"/>
      <c r="N610" s="27"/>
      <c r="O610" s="27"/>
      <c r="P610" s="27"/>
      <c r="Q610" s="27"/>
      <c r="R610" s="27"/>
      <c r="S610" s="27"/>
      <c r="T610" s="27"/>
      <c r="U610" s="27"/>
      <c r="V610" s="27"/>
      <c r="W610" s="10" t="str">
        <f aca="false">IFERROR(INDEX(設定!$E$61:$E$106,MATCH(B610,設定!$B$61:$B$106,0)),"合算")</f>
        <v>合算</v>
      </c>
      <c r="X610" s="28"/>
      <c r="Y610" s="29" t="str">
        <f aca="false">IF(OR(G610="",G610="なし"),"",IF(W610="合算",CF610,IF(W610="掛金・負担金別",(AU610+AV610+AZ610+BB610+BD610),SUM(AU610:AY610))))</f>
        <v/>
      </c>
      <c r="Z610" s="27"/>
      <c r="AA610" s="29" t="str">
        <f aca="false">IF(OR(G610="",G610="なし"),"",IF(W610="掛金・負担金別",(AW610+AX610+AY610+BA610+BC610+BE610),IF(W610="経理区分別",AZ610+BA610,"")))</f>
        <v/>
      </c>
      <c r="AB610" s="27"/>
      <c r="AC610" s="29" t="str">
        <f aca="false">IF(OR(G610="",G610="なし"),"",IF(W610="経理区分別",BB610+BC610,""))</f>
        <v/>
      </c>
      <c r="AD610" s="27"/>
      <c r="AE610" s="29" t="str">
        <f aca="false">IF(OR(G610="",G610="なし"),"",IF(W610="経理区分別",BD610+BE610,""))</f>
        <v/>
      </c>
      <c r="AF610" s="27"/>
      <c r="AG610" s="26"/>
      <c r="AH610" s="26"/>
      <c r="AI610" s="30"/>
      <c r="AJ610" s="31" t="n">
        <v>107327</v>
      </c>
      <c r="AK610" s="31" t="n">
        <v>8795</v>
      </c>
      <c r="AL610" s="31" t="n">
        <v>156008</v>
      </c>
      <c r="AM610" s="31" t="n">
        <v>8797</v>
      </c>
      <c r="AN610" s="31" t="n">
        <v>110</v>
      </c>
      <c r="AO610" s="31" t="n">
        <v>72939</v>
      </c>
      <c r="AP610" s="31" t="n">
        <v>74228</v>
      </c>
      <c r="AQ610" s="31" t="n">
        <v>7085</v>
      </c>
      <c r="AR610" s="31" t="n">
        <v>7085</v>
      </c>
      <c r="AS610" s="31" t="n">
        <v>1</v>
      </c>
      <c r="AT610" s="31" t="n">
        <v>1</v>
      </c>
      <c r="AU610" s="31" t="n">
        <f aca="false">IF($G610="",AJ610,L610)</f>
        <v>107327</v>
      </c>
      <c r="AV610" s="31" t="n">
        <f aca="false">IF($G610="",AK610,M610)</f>
        <v>8795</v>
      </c>
      <c r="AW610" s="31" t="n">
        <f aca="false">IF($G610="",AL610,N610)</f>
        <v>156008</v>
      </c>
      <c r="AX610" s="31" t="n">
        <f aca="false">IF($G610="",AM610,O610)</f>
        <v>8797</v>
      </c>
      <c r="AY610" s="31" t="n">
        <f aca="false">IF($G610="",AN610,P610)</f>
        <v>110</v>
      </c>
      <c r="AZ610" s="31" t="n">
        <f aca="false">IF($G610="",AO610,Q610)</f>
        <v>72939</v>
      </c>
      <c r="BA610" s="31" t="n">
        <f aca="false">IF($G610="",AP610,R610)</f>
        <v>74228</v>
      </c>
      <c r="BB610" s="31" t="n">
        <f aca="false">IF($G610="",AQ610,S610)</f>
        <v>7085</v>
      </c>
      <c r="BC610" s="31" t="n">
        <f aca="false">IF($G610="",AR610,T610)</f>
        <v>7085</v>
      </c>
      <c r="BD610" s="31" t="n">
        <f aca="false">IF($G610="",AS610,U610)</f>
        <v>1</v>
      </c>
      <c r="BE610" s="31" t="n">
        <f aca="false">IF($G610="",AT610,V610)</f>
        <v>1</v>
      </c>
      <c r="BF610" s="31" t="n">
        <f aca="false">ROUNDDOWN(I610*設定!$B$10/1000,0)+ROUNDDOWN(I610*設定!$B$11/1000,0)</f>
        <v>0</v>
      </c>
      <c r="BG610" s="31" t="n">
        <f aca="false">ROUNDDOWN(I610*設定!$C$10/1000,0)+ROUNDDOWN(I610*設定!$C$11/1000,0)+ROUNDDOWN(I610*設定!$C$12/1000,0)</f>
        <v>0</v>
      </c>
      <c r="BH610" s="31" t="n">
        <f aca="false">ROUNDDOWN(J610*設定!$B$13/1000,0)</f>
        <v>0</v>
      </c>
      <c r="BI610" s="31" t="n">
        <f aca="false">ROUNDDOWN(J610*設定!$C$13/1000,0)</f>
        <v>0</v>
      </c>
      <c r="BJ610" s="31" t="n">
        <f aca="false">ROUNDDOWN(K610*設定!$B$14/1000,0)</f>
        <v>0</v>
      </c>
      <c r="BK610" s="31" t="n">
        <f aca="false">ROUNDDOWN(K610*設定!$C$14/1000,0)</f>
        <v>0</v>
      </c>
      <c r="BL610" s="31" t="n">
        <f aca="false">ROUNDDOWN(J610*設定!$B$15/1000,0)</f>
        <v>0</v>
      </c>
      <c r="BM610" s="31" t="n">
        <f aca="false">ROUNDDOWN(J610*設定!$C$15/1000,0)</f>
        <v>0</v>
      </c>
      <c r="BN610" s="31" t="n">
        <f aca="false">L610+M610</f>
        <v>0</v>
      </c>
      <c r="BO610" s="31" t="n">
        <f aca="false">N610+O610+P610</f>
        <v>0</v>
      </c>
      <c r="BP610" s="31" t="n">
        <f aca="false">Q610</f>
        <v>0</v>
      </c>
      <c r="BQ610" s="31" t="n">
        <f aca="false">R610</f>
        <v>0</v>
      </c>
      <c r="BR610" s="31" t="n">
        <f aca="false">S610</f>
        <v>0</v>
      </c>
      <c r="BS610" s="31" t="n">
        <f aca="false">T610</f>
        <v>0</v>
      </c>
      <c r="BT610" s="31" t="n">
        <f aca="false">U610</f>
        <v>0</v>
      </c>
      <c r="BU610" s="31" t="n">
        <f aca="false">V610</f>
        <v>0</v>
      </c>
      <c r="BV610" s="32" t="n">
        <f aca="false">IF(BF610=0,IF(BN610=0,0,1),(BN610-BF610)/BF610)</f>
        <v>0</v>
      </c>
      <c r="BW610" s="32" t="n">
        <f aca="false">IF(BG610=0,IF(BO610=0,0,1),(BO610-BG610)/BG610)</f>
        <v>0</v>
      </c>
      <c r="BX610" s="32" t="n">
        <f aca="false">IF(BH610=0,IF(BP610=0,0,1),(BP610-BH610)/BH610)</f>
        <v>0</v>
      </c>
      <c r="BY610" s="32" t="n">
        <f aca="false">IF(BI610=0,IF(BQ610=0,0,1),(BQ610-BI610)/BI610)</f>
        <v>0</v>
      </c>
      <c r="BZ610" s="32" t="n">
        <f aca="false">IF(BJ610=0,IF(BR610=0,0,1),(BR610-BJ610)/BJ610)</f>
        <v>0</v>
      </c>
      <c r="CA610" s="32" t="n">
        <f aca="false">IF(BK610=0,IF(BS610=0,0,1),(BS610-BK610)/BK610)</f>
        <v>0</v>
      </c>
      <c r="CB610" s="32" t="n">
        <f aca="false">IF(BL610=0,IF(BT610=0,0,1),(BT610-BL610)/BL610)</f>
        <v>0</v>
      </c>
      <c r="CC610" s="32" t="n">
        <f aca="false">IF(BM610=0,IF(BU610=0,0,1),(BU610-BM610)/BM610)</f>
        <v>0</v>
      </c>
      <c r="CD610" s="32" t="n">
        <f aca="false">MAX(MAX(BV610:CC610),-MIN(BV610:CC610))</f>
        <v>-0</v>
      </c>
      <c r="CE610" s="31" t="str">
        <f aca="false">IF(CI610="","",SUMIFS($CF$7:$CF$696,$A$7:$A$696,CI610,$B$7:$B$696,B610))</f>
        <v/>
      </c>
      <c r="CF610" s="31" t="n">
        <f aca="false">SUM(AU610:BE610)</f>
        <v>442376</v>
      </c>
      <c r="CG610" s="33" t="str">
        <f aca="false">A610&amp;"|"&amp;B610</f>
        <v>2027-03 賞与|選挙管理委員会</v>
      </c>
      <c r="CH610" s="34" t="str">
        <f aca="false">IFERROR(INDEX(設定!$D$61:$D$106,MATCH(B610,設定!$B$61:$B$106,0)),"Y")</f>
        <v>Y</v>
      </c>
      <c r="CI610" s="34" t="str">
        <f aca="false">IFERROR(INDEX(設定!$D$20:$D$34,MATCH(A610,設定!$A$20:$A$34,0))&amp;"","")</f>
        <v/>
      </c>
    </row>
    <row r="611" customFormat="false" ht="15" hidden="true" customHeight="false" outlineLevel="0" collapsed="false">
      <c r="A611" s="22" t="s">
        <v>221</v>
      </c>
      <c r="B611" s="23" t="s">
        <v>166</v>
      </c>
      <c r="C611" s="10" t="str">
        <f aca="false">IF(G611="","未受領",IF(G611="なし","報告なし",IF(AH611="○","起票済",IF(OR(AG611="○",F611="一致",F611="入金不要"),"入金確認済","受領済"))))</f>
        <v>未受領</v>
      </c>
      <c r="D611" s="10" t="str">
        <f aca="false">IF(OR(G611="",G611="なし"),"―",IF(CH611="N","対象外",IF(AND(I611="",J611="",K611=""),"標報未入力",IF(CD611&gt;=設定!$B$4,"要確認","問題なし"))))</f>
        <v>―</v>
      </c>
      <c r="E611" s="24" t="str">
        <f aca="false">IF(OR(G611="",G611="なし",CE611="",CF611=0),"―",IF(CF611=CE611,"前月同額",IF(CE611=0,"―",IF(ABS(CF611/CE611-1)&gt;=設定!$B$5,"変動大 "&amp;TEXT(CF611/CE611-1,"+0%;-0%"),"〇"))))</f>
        <v>―</v>
      </c>
      <c r="F611" s="10" t="str">
        <f aca="false">IF(OR(G611="",G611="なし"),"―",IF(CF611=0,"入金不要",IF(COUNT(Z611,AB611,AD611,AF611)=0,IF(AG611="○","手動確認","未入金"),IF(AND(N(Z611)=Y611,IF(AA611="",TRUE(),N(AB611)=AA611),IF(AC611="",TRUE(),N(AD611)=AC611),IF(AE611="",TRUE(),N(AF611)=AE611)),"一致","不一致"))))</f>
        <v>―</v>
      </c>
      <c r="G611" s="25"/>
      <c r="H611" s="26"/>
      <c r="I611" s="27"/>
      <c r="J611" s="27"/>
      <c r="K611" s="27"/>
      <c r="L611" s="27"/>
      <c r="M611" s="27"/>
      <c r="N611" s="27"/>
      <c r="O611" s="27"/>
      <c r="P611" s="27"/>
      <c r="Q611" s="27"/>
      <c r="R611" s="27"/>
      <c r="S611" s="27"/>
      <c r="T611" s="27"/>
      <c r="U611" s="27"/>
      <c r="V611" s="27"/>
      <c r="W611" s="10" t="str">
        <f aca="false">IFERROR(INDEX(設定!$E$61:$E$106,MATCH(B611,設定!$B$61:$B$106,0)),"合算")</f>
        <v>合算</v>
      </c>
      <c r="X611" s="28"/>
      <c r="Y611" s="29" t="str">
        <f aca="false">IF(OR(G611="",G611="なし"),"",IF(W611="合算",CF611,IF(W611="掛金・負担金別",(AU611+AV611+AZ611+BB611+BD611),SUM(AU611:AY611))))</f>
        <v/>
      </c>
      <c r="Z611" s="27"/>
      <c r="AA611" s="29" t="str">
        <f aca="false">IF(OR(G611="",G611="なし"),"",IF(W611="掛金・負担金別",(AW611+AX611+AY611+BA611+BC611+BE611),IF(W611="経理区分別",AZ611+BA611,"")))</f>
        <v/>
      </c>
      <c r="AB611" s="27"/>
      <c r="AC611" s="29" t="str">
        <f aca="false">IF(OR(G611="",G611="なし"),"",IF(W611="経理区分別",BB611+BC611,""))</f>
        <v/>
      </c>
      <c r="AD611" s="27"/>
      <c r="AE611" s="29" t="str">
        <f aca="false">IF(OR(G611="",G611="なし"),"",IF(W611="経理区分別",BD611+BE611,""))</f>
        <v/>
      </c>
      <c r="AF611" s="27"/>
      <c r="AG611" s="26"/>
      <c r="AH611" s="26"/>
      <c r="AI611" s="30"/>
      <c r="AJ611" s="31" t="n">
        <v>248785</v>
      </c>
      <c r="AK611" s="31" t="n">
        <v>20389</v>
      </c>
      <c r="AL611" s="31" t="n">
        <v>361626</v>
      </c>
      <c r="AM611" s="31" t="n">
        <v>20392</v>
      </c>
      <c r="AN611" s="31" t="n">
        <v>255</v>
      </c>
      <c r="AO611" s="31" t="n">
        <v>149566</v>
      </c>
      <c r="AP611" s="31" t="n">
        <v>152209</v>
      </c>
      <c r="AQ611" s="31" t="n">
        <v>14517</v>
      </c>
      <c r="AR611" s="31" t="n">
        <v>14520</v>
      </c>
      <c r="AS611" s="31" t="n">
        <v>1</v>
      </c>
      <c r="AT611" s="31" t="n">
        <v>1</v>
      </c>
      <c r="AU611" s="31" t="n">
        <f aca="false">IF($G611="",AJ611,L611)</f>
        <v>248785</v>
      </c>
      <c r="AV611" s="31" t="n">
        <f aca="false">IF($G611="",AK611,M611)</f>
        <v>20389</v>
      </c>
      <c r="AW611" s="31" t="n">
        <f aca="false">IF($G611="",AL611,N611)</f>
        <v>361626</v>
      </c>
      <c r="AX611" s="31" t="n">
        <f aca="false">IF($G611="",AM611,O611)</f>
        <v>20392</v>
      </c>
      <c r="AY611" s="31" t="n">
        <f aca="false">IF($G611="",AN611,P611)</f>
        <v>255</v>
      </c>
      <c r="AZ611" s="31" t="n">
        <f aca="false">IF($G611="",AO611,Q611)</f>
        <v>149566</v>
      </c>
      <c r="BA611" s="31" t="n">
        <f aca="false">IF($G611="",AP611,R611)</f>
        <v>152209</v>
      </c>
      <c r="BB611" s="31" t="n">
        <f aca="false">IF($G611="",AQ611,S611)</f>
        <v>14517</v>
      </c>
      <c r="BC611" s="31" t="n">
        <f aca="false">IF($G611="",AR611,T611)</f>
        <v>14520</v>
      </c>
      <c r="BD611" s="31" t="n">
        <f aca="false">IF($G611="",AS611,U611)</f>
        <v>1</v>
      </c>
      <c r="BE611" s="31" t="n">
        <f aca="false">IF($G611="",AT611,V611)</f>
        <v>1</v>
      </c>
      <c r="BF611" s="31" t="n">
        <f aca="false">ROUNDDOWN(I611*設定!$B$10/1000,0)+ROUNDDOWN(I611*設定!$B$11/1000,0)</f>
        <v>0</v>
      </c>
      <c r="BG611" s="31" t="n">
        <f aca="false">ROUNDDOWN(I611*設定!$C$10/1000,0)+ROUNDDOWN(I611*設定!$C$11/1000,0)+ROUNDDOWN(I611*設定!$C$12/1000,0)</f>
        <v>0</v>
      </c>
      <c r="BH611" s="31" t="n">
        <f aca="false">ROUNDDOWN(J611*設定!$B$13/1000,0)</f>
        <v>0</v>
      </c>
      <c r="BI611" s="31" t="n">
        <f aca="false">ROUNDDOWN(J611*設定!$C$13/1000,0)</f>
        <v>0</v>
      </c>
      <c r="BJ611" s="31" t="n">
        <f aca="false">ROUNDDOWN(K611*設定!$B$14/1000,0)</f>
        <v>0</v>
      </c>
      <c r="BK611" s="31" t="n">
        <f aca="false">ROUNDDOWN(K611*設定!$C$14/1000,0)</f>
        <v>0</v>
      </c>
      <c r="BL611" s="31" t="n">
        <f aca="false">ROUNDDOWN(J611*設定!$B$15/1000,0)</f>
        <v>0</v>
      </c>
      <c r="BM611" s="31" t="n">
        <f aca="false">ROUNDDOWN(J611*設定!$C$15/1000,0)</f>
        <v>0</v>
      </c>
      <c r="BN611" s="31" t="n">
        <f aca="false">L611+M611</f>
        <v>0</v>
      </c>
      <c r="BO611" s="31" t="n">
        <f aca="false">N611+O611+P611</f>
        <v>0</v>
      </c>
      <c r="BP611" s="31" t="n">
        <f aca="false">Q611</f>
        <v>0</v>
      </c>
      <c r="BQ611" s="31" t="n">
        <f aca="false">R611</f>
        <v>0</v>
      </c>
      <c r="BR611" s="31" t="n">
        <f aca="false">S611</f>
        <v>0</v>
      </c>
      <c r="BS611" s="31" t="n">
        <f aca="false">T611</f>
        <v>0</v>
      </c>
      <c r="BT611" s="31" t="n">
        <f aca="false">U611</f>
        <v>0</v>
      </c>
      <c r="BU611" s="31" t="n">
        <f aca="false">V611</f>
        <v>0</v>
      </c>
      <c r="BV611" s="32" t="n">
        <f aca="false">IF(BF611=0,IF(BN611=0,0,1),(BN611-BF611)/BF611)</f>
        <v>0</v>
      </c>
      <c r="BW611" s="32" t="n">
        <f aca="false">IF(BG611=0,IF(BO611=0,0,1),(BO611-BG611)/BG611)</f>
        <v>0</v>
      </c>
      <c r="BX611" s="32" t="n">
        <f aca="false">IF(BH611=0,IF(BP611=0,0,1),(BP611-BH611)/BH611)</f>
        <v>0</v>
      </c>
      <c r="BY611" s="32" t="n">
        <f aca="false">IF(BI611=0,IF(BQ611=0,0,1),(BQ611-BI611)/BI611)</f>
        <v>0</v>
      </c>
      <c r="BZ611" s="32" t="n">
        <f aca="false">IF(BJ611=0,IF(BR611=0,0,1),(BR611-BJ611)/BJ611)</f>
        <v>0</v>
      </c>
      <c r="CA611" s="32" t="n">
        <f aca="false">IF(BK611=0,IF(BS611=0,0,1),(BS611-BK611)/BK611)</f>
        <v>0</v>
      </c>
      <c r="CB611" s="32" t="n">
        <f aca="false">IF(BL611=0,IF(BT611=0,0,1),(BT611-BL611)/BL611)</f>
        <v>0</v>
      </c>
      <c r="CC611" s="32" t="n">
        <f aca="false">IF(BM611=0,IF(BU611=0,0,1),(BU611-BM611)/BM611)</f>
        <v>0</v>
      </c>
      <c r="CD611" s="32" t="n">
        <f aca="false">MAX(MAX(BV611:CC611),-MIN(BV611:CC611))</f>
        <v>-0</v>
      </c>
      <c r="CE611" s="31" t="str">
        <f aca="false">IF(CI611="","",SUMIFS($CF$7:$CF$696,$A$7:$A$696,CI611,$B$7:$B$696,B611))</f>
        <v/>
      </c>
      <c r="CF611" s="31" t="n">
        <f aca="false">SUM(AU611:BE611)</f>
        <v>982261</v>
      </c>
      <c r="CG611" s="33" t="str">
        <f aca="false">A611&amp;"|"&amp;B611</f>
        <v>2027-03 賞与|人事委員会</v>
      </c>
      <c r="CH611" s="34" t="str">
        <f aca="false">IFERROR(INDEX(設定!$D$61:$D$106,MATCH(B611,設定!$B$61:$B$106,0)),"Y")</f>
        <v>Y</v>
      </c>
      <c r="CI611" s="34" t="str">
        <f aca="false">IFERROR(INDEX(設定!$D$20:$D$34,MATCH(A611,設定!$A$20:$A$34,0))&amp;"","")</f>
        <v/>
      </c>
    </row>
    <row r="612" customFormat="false" ht="15" hidden="true" customHeight="false" outlineLevel="0" collapsed="false">
      <c r="A612" s="22" t="s">
        <v>221</v>
      </c>
      <c r="B612" s="23" t="s">
        <v>167</v>
      </c>
      <c r="C612" s="10" t="str">
        <f aca="false">IF(G612="","未受領",IF(G612="なし","報告なし",IF(AH612="○","起票済",IF(OR(AG612="○",F612="一致",F612="入金不要"),"入金確認済","受領済"))))</f>
        <v>未受領</v>
      </c>
      <c r="D612" s="10" t="str">
        <f aca="false">IF(OR(G612="",G612="なし"),"―",IF(CH612="N","対象外",IF(AND(I612="",J612="",K612=""),"標報未入力",IF(CD612&gt;=設定!$B$4,"要確認","問題なし"))))</f>
        <v>―</v>
      </c>
      <c r="E612" s="24" t="str">
        <f aca="false">IF(OR(G612="",G612="なし",CE612="",CF612=0),"―",IF(CF612=CE612,"前月同額",IF(CE612=0,"―",IF(ABS(CF612/CE612-1)&gt;=設定!$B$5,"変動大 "&amp;TEXT(CF612/CE612-1,"+0%;-0%"),"〇"))))</f>
        <v>―</v>
      </c>
      <c r="F612" s="10" t="str">
        <f aca="false">IF(OR(G612="",G612="なし"),"―",IF(CF612=0,"入金不要",IF(COUNT(Z612,AB612,AD612,AF612)=0,IF(AG612="○","手動確認","未入金"),IF(AND(N(Z612)=Y612,IF(AA612="",TRUE(),N(AB612)=AA612),IF(AC612="",TRUE(),N(AD612)=AC612),IF(AE612="",TRUE(),N(AF612)=AE612)),"一致","不一致"))))</f>
        <v>―</v>
      </c>
      <c r="G612" s="25"/>
      <c r="H612" s="26"/>
      <c r="I612" s="27"/>
      <c r="J612" s="27"/>
      <c r="K612" s="27"/>
      <c r="L612" s="27"/>
      <c r="M612" s="27"/>
      <c r="N612" s="27"/>
      <c r="O612" s="27"/>
      <c r="P612" s="27"/>
      <c r="Q612" s="27"/>
      <c r="R612" s="27"/>
      <c r="S612" s="27"/>
      <c r="T612" s="27"/>
      <c r="U612" s="27"/>
      <c r="V612" s="27"/>
      <c r="W612" s="10" t="str">
        <f aca="false">IFERROR(INDEX(設定!$E$61:$E$106,MATCH(B612,設定!$B$61:$B$106,0)),"合算")</f>
        <v>合算</v>
      </c>
      <c r="X612" s="28"/>
      <c r="Y612" s="29" t="str">
        <f aca="false">IF(OR(G612="",G612="なし"),"",IF(W612="合算",CF612,IF(W612="掛金・負担金別",(AU612+AV612+AZ612+BB612+BD612),SUM(AU612:AY612))))</f>
        <v/>
      </c>
      <c r="Z612" s="27"/>
      <c r="AA612" s="29" t="str">
        <f aca="false">IF(OR(G612="",G612="なし"),"",IF(W612="掛金・負担金別",(AW612+AX612+AY612+BA612+BC612+BE612),IF(W612="経理区分別",AZ612+BA612,"")))</f>
        <v/>
      </c>
      <c r="AB612" s="27"/>
      <c r="AC612" s="29" t="str">
        <f aca="false">IF(OR(G612="",G612="なし"),"",IF(W612="経理区分別",BB612+BC612,""))</f>
        <v/>
      </c>
      <c r="AD612" s="27"/>
      <c r="AE612" s="29" t="str">
        <f aca="false">IF(OR(G612="",G612="なし"),"",IF(W612="経理区分別",BD612+BE612,""))</f>
        <v/>
      </c>
      <c r="AF612" s="27"/>
      <c r="AG612" s="26"/>
      <c r="AH612" s="26"/>
      <c r="AI612" s="30"/>
      <c r="AJ612" s="31" t="n">
        <v>646257</v>
      </c>
      <c r="AK612" s="31" t="n">
        <v>52965</v>
      </c>
      <c r="AL612" s="31" t="n">
        <v>882168</v>
      </c>
      <c r="AM612" s="31" t="n">
        <v>52972</v>
      </c>
      <c r="AN612" s="31" t="n">
        <v>672</v>
      </c>
      <c r="AO612" s="31" t="n">
        <v>392206</v>
      </c>
      <c r="AP612" s="31" t="n">
        <v>398208</v>
      </c>
      <c r="AQ612" s="31" t="n">
        <v>55774</v>
      </c>
      <c r="AR612" s="31" t="n">
        <v>55783</v>
      </c>
      <c r="AS612" s="31" t="n">
        <v>1</v>
      </c>
      <c r="AT612" s="31" t="n">
        <v>1</v>
      </c>
      <c r="AU612" s="31" t="n">
        <f aca="false">IF($G612="",AJ612,L612)</f>
        <v>646257</v>
      </c>
      <c r="AV612" s="31" t="n">
        <f aca="false">IF($G612="",AK612,M612)</f>
        <v>52965</v>
      </c>
      <c r="AW612" s="31" t="n">
        <f aca="false">IF($G612="",AL612,N612)</f>
        <v>882168</v>
      </c>
      <c r="AX612" s="31" t="n">
        <f aca="false">IF($G612="",AM612,O612)</f>
        <v>52972</v>
      </c>
      <c r="AY612" s="31" t="n">
        <f aca="false">IF($G612="",AN612,P612)</f>
        <v>672</v>
      </c>
      <c r="AZ612" s="31" t="n">
        <f aca="false">IF($G612="",AO612,Q612)</f>
        <v>392206</v>
      </c>
      <c r="BA612" s="31" t="n">
        <f aca="false">IF($G612="",AP612,R612)</f>
        <v>398208</v>
      </c>
      <c r="BB612" s="31" t="n">
        <f aca="false">IF($G612="",AQ612,S612)</f>
        <v>55774</v>
      </c>
      <c r="BC612" s="31" t="n">
        <f aca="false">IF($G612="",AR612,T612)</f>
        <v>55783</v>
      </c>
      <c r="BD612" s="31" t="n">
        <f aca="false">IF($G612="",AS612,U612)</f>
        <v>1</v>
      </c>
      <c r="BE612" s="31" t="n">
        <f aca="false">IF($G612="",AT612,V612)</f>
        <v>1</v>
      </c>
      <c r="BF612" s="31" t="n">
        <f aca="false">ROUNDDOWN(I612*設定!$B$10/1000,0)+ROUNDDOWN(I612*設定!$B$11/1000,0)</f>
        <v>0</v>
      </c>
      <c r="BG612" s="31" t="n">
        <f aca="false">ROUNDDOWN(I612*設定!$C$10/1000,0)+ROUNDDOWN(I612*設定!$C$11/1000,0)+ROUNDDOWN(I612*設定!$C$12/1000,0)</f>
        <v>0</v>
      </c>
      <c r="BH612" s="31" t="n">
        <f aca="false">ROUNDDOWN(J612*設定!$B$13/1000,0)</f>
        <v>0</v>
      </c>
      <c r="BI612" s="31" t="n">
        <f aca="false">ROUNDDOWN(J612*設定!$C$13/1000,0)</f>
        <v>0</v>
      </c>
      <c r="BJ612" s="31" t="n">
        <f aca="false">ROUNDDOWN(K612*設定!$B$14/1000,0)</f>
        <v>0</v>
      </c>
      <c r="BK612" s="31" t="n">
        <f aca="false">ROUNDDOWN(K612*設定!$C$14/1000,0)</f>
        <v>0</v>
      </c>
      <c r="BL612" s="31" t="n">
        <f aca="false">ROUNDDOWN(J612*設定!$B$15/1000,0)</f>
        <v>0</v>
      </c>
      <c r="BM612" s="31" t="n">
        <f aca="false">ROUNDDOWN(J612*設定!$C$15/1000,0)</f>
        <v>0</v>
      </c>
      <c r="BN612" s="31" t="n">
        <f aca="false">L612+M612</f>
        <v>0</v>
      </c>
      <c r="BO612" s="31" t="n">
        <f aca="false">N612+O612+P612</f>
        <v>0</v>
      </c>
      <c r="BP612" s="31" t="n">
        <f aca="false">Q612</f>
        <v>0</v>
      </c>
      <c r="BQ612" s="31" t="n">
        <f aca="false">R612</f>
        <v>0</v>
      </c>
      <c r="BR612" s="31" t="n">
        <f aca="false">S612</f>
        <v>0</v>
      </c>
      <c r="BS612" s="31" t="n">
        <f aca="false">T612</f>
        <v>0</v>
      </c>
      <c r="BT612" s="31" t="n">
        <f aca="false">U612</f>
        <v>0</v>
      </c>
      <c r="BU612" s="31" t="n">
        <f aca="false">V612</f>
        <v>0</v>
      </c>
      <c r="BV612" s="32" t="n">
        <f aca="false">IF(BF612=0,IF(BN612=0,0,1),(BN612-BF612)/BF612)</f>
        <v>0</v>
      </c>
      <c r="BW612" s="32" t="n">
        <f aca="false">IF(BG612=0,IF(BO612=0,0,1),(BO612-BG612)/BG612)</f>
        <v>0</v>
      </c>
      <c r="BX612" s="32" t="n">
        <f aca="false">IF(BH612=0,IF(BP612=0,0,1),(BP612-BH612)/BH612)</f>
        <v>0</v>
      </c>
      <c r="BY612" s="32" t="n">
        <f aca="false">IF(BI612=0,IF(BQ612=0,0,1),(BQ612-BI612)/BI612)</f>
        <v>0</v>
      </c>
      <c r="BZ612" s="32" t="n">
        <f aca="false">IF(BJ612=0,IF(BR612=0,0,1),(BR612-BJ612)/BJ612)</f>
        <v>0</v>
      </c>
      <c r="CA612" s="32" t="n">
        <f aca="false">IF(BK612=0,IF(BS612=0,0,1),(BS612-BK612)/BK612)</f>
        <v>0</v>
      </c>
      <c r="CB612" s="32" t="n">
        <f aca="false">IF(BL612=0,IF(BT612=0,0,1),(BT612-BL612)/BL612)</f>
        <v>0</v>
      </c>
      <c r="CC612" s="32" t="n">
        <f aca="false">IF(BM612=0,IF(BU612=0,0,1),(BU612-BM612)/BM612)</f>
        <v>0</v>
      </c>
      <c r="CD612" s="32" t="n">
        <f aca="false">MAX(MAX(BV612:CC612),-MIN(BV612:CC612))</f>
        <v>-0</v>
      </c>
      <c r="CE612" s="31" t="str">
        <f aca="false">IF(CI612="","",SUMIFS($CF$7:$CF$696,$A$7:$A$696,CI612,$B$7:$B$696,B612))</f>
        <v/>
      </c>
      <c r="CF612" s="31" t="n">
        <f aca="false">SUM(AU612:BE612)</f>
        <v>2537007</v>
      </c>
      <c r="CG612" s="33" t="str">
        <f aca="false">A612&amp;"|"&amp;B612</f>
        <v>2027-03 賞与|監査事務局</v>
      </c>
      <c r="CH612" s="34" t="str">
        <f aca="false">IFERROR(INDEX(設定!$D$61:$D$106,MATCH(B612,設定!$B$61:$B$106,0)),"Y")</f>
        <v>Y</v>
      </c>
      <c r="CI612" s="34" t="str">
        <f aca="false">IFERROR(INDEX(設定!$D$20:$D$34,MATCH(A612,設定!$A$20:$A$34,0))&amp;"","")</f>
        <v/>
      </c>
    </row>
    <row r="613" customFormat="false" ht="15" hidden="true" customHeight="false" outlineLevel="0" collapsed="false">
      <c r="A613" s="22" t="s">
        <v>221</v>
      </c>
      <c r="B613" s="23" t="s">
        <v>168</v>
      </c>
      <c r="C613" s="10" t="str">
        <f aca="false">IF(G613="","未受領",IF(G613="なし","報告なし",IF(AH613="○","起票済",IF(OR(AG613="○",F613="一致",F613="入金不要"),"入金確認済","受領済"))))</f>
        <v>未受領</v>
      </c>
      <c r="D613" s="10" t="str">
        <f aca="false">IF(OR(G613="",G613="なし"),"―",IF(CH613="N","対象外",IF(AND(I613="",J613="",K613=""),"標報未入力",IF(CD613&gt;=設定!$B$4,"要確認","問題なし"))))</f>
        <v>―</v>
      </c>
      <c r="E613" s="24" t="str">
        <f aca="false">IF(OR(G613="",G613="なし",CE613="",CF613=0),"―",IF(CF613=CE613,"前月同額",IF(CE613=0,"―",IF(ABS(CF613/CE613-1)&gt;=設定!$B$5,"変動大 "&amp;TEXT(CF613/CE613-1,"+0%;-0%"),"〇"))))</f>
        <v>―</v>
      </c>
      <c r="F613" s="10" t="str">
        <f aca="false">IF(OR(G613="",G613="なし"),"―",IF(CF613=0,"入金不要",IF(COUNT(Z613,AB613,AD613,AF613)=0,IF(AG613="○","手動確認","未入金"),IF(AND(N(Z613)=Y613,IF(AA613="",TRUE(),N(AB613)=AA613),IF(AC613="",TRUE(),N(AD613)=AC613),IF(AE613="",TRUE(),N(AF613)=AE613)),"一致","不一致"))))</f>
        <v>―</v>
      </c>
      <c r="G613" s="25"/>
      <c r="H613" s="26"/>
      <c r="I613" s="27"/>
      <c r="J613" s="27"/>
      <c r="K613" s="27"/>
      <c r="L613" s="27"/>
      <c r="M613" s="27"/>
      <c r="N613" s="27"/>
      <c r="O613" s="27"/>
      <c r="P613" s="27"/>
      <c r="Q613" s="27"/>
      <c r="R613" s="27"/>
      <c r="S613" s="27"/>
      <c r="T613" s="27"/>
      <c r="U613" s="27"/>
      <c r="V613" s="27"/>
      <c r="W613" s="10" t="str">
        <f aca="false">IFERROR(INDEX(設定!$E$61:$E$106,MATCH(B613,設定!$B$61:$B$106,0)),"合算")</f>
        <v>合算</v>
      </c>
      <c r="X613" s="28"/>
      <c r="Y613" s="29" t="str">
        <f aca="false">IF(OR(G613="",G613="なし"),"",IF(W613="合算",CF613,IF(W613="掛金・負担金別",(AU613+AV613+AZ613+BB613+BD613),SUM(AU613:AY613))))</f>
        <v/>
      </c>
      <c r="Z613" s="27"/>
      <c r="AA613" s="29" t="str">
        <f aca="false">IF(OR(G613="",G613="なし"),"",IF(W613="掛金・負担金別",(AW613+AX613+AY613+BA613+BC613+BE613),IF(W613="経理区分別",AZ613+BA613,"")))</f>
        <v/>
      </c>
      <c r="AB613" s="27"/>
      <c r="AC613" s="29" t="str">
        <f aca="false">IF(OR(G613="",G613="なし"),"",IF(W613="経理区分別",BB613+BC613,""))</f>
        <v/>
      </c>
      <c r="AD613" s="27"/>
      <c r="AE613" s="29" t="str">
        <f aca="false">IF(OR(G613="",G613="なし"),"",IF(W613="経理区分別",BD613+BE613,""))</f>
        <v/>
      </c>
      <c r="AF613" s="27"/>
      <c r="AG613" s="26"/>
      <c r="AH613" s="26"/>
      <c r="AI613" s="30"/>
      <c r="AJ613" s="31" t="n">
        <v>168175</v>
      </c>
      <c r="AK613" s="31" t="n">
        <v>13783</v>
      </c>
      <c r="AL613" s="31" t="n">
        <v>244454</v>
      </c>
      <c r="AM613" s="31" t="n">
        <v>13785</v>
      </c>
      <c r="AN613" s="31" t="n">
        <v>172</v>
      </c>
      <c r="AO613" s="31" t="n">
        <v>135039</v>
      </c>
      <c r="AP613" s="31" t="n">
        <v>137430</v>
      </c>
      <c r="AQ613" s="31" t="n">
        <v>14721</v>
      </c>
      <c r="AR613" s="31" t="n">
        <v>14724</v>
      </c>
      <c r="AS613" s="31" t="n">
        <v>1</v>
      </c>
      <c r="AT613" s="31" t="n">
        <v>1</v>
      </c>
      <c r="AU613" s="31" t="n">
        <f aca="false">IF($G613="",AJ613,L613)</f>
        <v>168175</v>
      </c>
      <c r="AV613" s="31" t="n">
        <f aca="false">IF($G613="",AK613,M613)</f>
        <v>13783</v>
      </c>
      <c r="AW613" s="31" t="n">
        <f aca="false">IF($G613="",AL613,N613)</f>
        <v>244454</v>
      </c>
      <c r="AX613" s="31" t="n">
        <f aca="false">IF($G613="",AM613,O613)</f>
        <v>13785</v>
      </c>
      <c r="AY613" s="31" t="n">
        <f aca="false">IF($G613="",AN613,P613)</f>
        <v>172</v>
      </c>
      <c r="AZ613" s="31" t="n">
        <f aca="false">IF($G613="",AO613,Q613)</f>
        <v>135039</v>
      </c>
      <c r="BA613" s="31" t="n">
        <f aca="false">IF($G613="",AP613,R613)</f>
        <v>137430</v>
      </c>
      <c r="BB613" s="31" t="n">
        <f aca="false">IF($G613="",AQ613,S613)</f>
        <v>14721</v>
      </c>
      <c r="BC613" s="31" t="n">
        <f aca="false">IF($G613="",AR613,T613)</f>
        <v>14724</v>
      </c>
      <c r="BD613" s="31" t="n">
        <f aca="false">IF($G613="",AS613,U613)</f>
        <v>1</v>
      </c>
      <c r="BE613" s="31" t="n">
        <f aca="false">IF($G613="",AT613,V613)</f>
        <v>1</v>
      </c>
      <c r="BF613" s="31" t="n">
        <f aca="false">ROUNDDOWN(I613*設定!$B$10/1000,0)+ROUNDDOWN(I613*設定!$B$11/1000,0)</f>
        <v>0</v>
      </c>
      <c r="BG613" s="31" t="n">
        <f aca="false">ROUNDDOWN(I613*設定!$C$10/1000,0)+ROUNDDOWN(I613*設定!$C$11/1000,0)+ROUNDDOWN(I613*設定!$C$12/1000,0)</f>
        <v>0</v>
      </c>
      <c r="BH613" s="31" t="n">
        <f aca="false">ROUNDDOWN(J613*設定!$B$13/1000,0)</f>
        <v>0</v>
      </c>
      <c r="BI613" s="31" t="n">
        <f aca="false">ROUNDDOWN(J613*設定!$C$13/1000,0)</f>
        <v>0</v>
      </c>
      <c r="BJ613" s="31" t="n">
        <f aca="false">ROUNDDOWN(K613*設定!$B$14/1000,0)</f>
        <v>0</v>
      </c>
      <c r="BK613" s="31" t="n">
        <f aca="false">ROUNDDOWN(K613*設定!$C$14/1000,0)</f>
        <v>0</v>
      </c>
      <c r="BL613" s="31" t="n">
        <f aca="false">ROUNDDOWN(J613*設定!$B$15/1000,0)</f>
        <v>0</v>
      </c>
      <c r="BM613" s="31" t="n">
        <f aca="false">ROUNDDOWN(J613*設定!$C$15/1000,0)</f>
        <v>0</v>
      </c>
      <c r="BN613" s="31" t="n">
        <f aca="false">L613+M613</f>
        <v>0</v>
      </c>
      <c r="BO613" s="31" t="n">
        <f aca="false">N613+O613+P613</f>
        <v>0</v>
      </c>
      <c r="BP613" s="31" t="n">
        <f aca="false">Q613</f>
        <v>0</v>
      </c>
      <c r="BQ613" s="31" t="n">
        <f aca="false">R613</f>
        <v>0</v>
      </c>
      <c r="BR613" s="31" t="n">
        <f aca="false">S613</f>
        <v>0</v>
      </c>
      <c r="BS613" s="31" t="n">
        <f aca="false">T613</f>
        <v>0</v>
      </c>
      <c r="BT613" s="31" t="n">
        <f aca="false">U613</f>
        <v>0</v>
      </c>
      <c r="BU613" s="31" t="n">
        <f aca="false">V613</f>
        <v>0</v>
      </c>
      <c r="BV613" s="32" t="n">
        <f aca="false">IF(BF613=0,IF(BN613=0,0,1),(BN613-BF613)/BF613)</f>
        <v>0</v>
      </c>
      <c r="BW613" s="32" t="n">
        <f aca="false">IF(BG613=0,IF(BO613=0,0,1),(BO613-BG613)/BG613)</f>
        <v>0</v>
      </c>
      <c r="BX613" s="32" t="n">
        <f aca="false">IF(BH613=0,IF(BP613=0,0,1),(BP613-BH613)/BH613)</f>
        <v>0</v>
      </c>
      <c r="BY613" s="32" t="n">
        <f aca="false">IF(BI613=0,IF(BQ613=0,0,1),(BQ613-BI613)/BI613)</f>
        <v>0</v>
      </c>
      <c r="BZ613" s="32" t="n">
        <f aca="false">IF(BJ613=0,IF(BR613=0,0,1),(BR613-BJ613)/BJ613)</f>
        <v>0</v>
      </c>
      <c r="CA613" s="32" t="n">
        <f aca="false">IF(BK613=0,IF(BS613=0,0,1),(BS613-BK613)/BK613)</f>
        <v>0</v>
      </c>
      <c r="CB613" s="32" t="n">
        <f aca="false">IF(BL613=0,IF(BT613=0,0,1),(BT613-BL613)/BL613)</f>
        <v>0</v>
      </c>
      <c r="CC613" s="32" t="n">
        <f aca="false">IF(BM613=0,IF(BU613=0,0,1),(BU613-BM613)/BM613)</f>
        <v>0</v>
      </c>
      <c r="CD613" s="32" t="n">
        <f aca="false">MAX(MAX(BV613:CC613),-MIN(BV613:CC613))</f>
        <v>-0</v>
      </c>
      <c r="CE613" s="31" t="str">
        <f aca="false">IF(CI613="","",SUMIFS($CF$7:$CF$696,$A$7:$A$696,CI613,$B$7:$B$696,B613))</f>
        <v/>
      </c>
      <c r="CF613" s="31" t="n">
        <f aca="false">SUM(AU613:BE613)</f>
        <v>742285</v>
      </c>
      <c r="CG613" s="33" t="str">
        <f aca="false">A613&amp;"|"&amp;B613</f>
        <v>2027-03 賞与|農業委員会</v>
      </c>
      <c r="CH613" s="34" t="str">
        <f aca="false">IFERROR(INDEX(設定!$D$61:$D$106,MATCH(B613,設定!$B$61:$B$106,0)),"Y")</f>
        <v>Y</v>
      </c>
      <c r="CI613" s="34" t="str">
        <f aca="false">IFERROR(INDEX(設定!$D$20:$D$34,MATCH(A613,設定!$A$20:$A$34,0))&amp;"","")</f>
        <v/>
      </c>
    </row>
    <row r="614" customFormat="false" ht="15" hidden="true" customHeight="false" outlineLevel="0" collapsed="false">
      <c r="A614" s="22" t="s">
        <v>221</v>
      </c>
      <c r="B614" s="23" t="s">
        <v>169</v>
      </c>
      <c r="C614" s="10" t="str">
        <f aca="false">IF(G614="","未受領",IF(G614="なし","報告なし",IF(AH614="○","起票済",IF(OR(AG614="○",F614="一致",F614="入金不要"),"入金確認済","受領済"))))</f>
        <v>未受領</v>
      </c>
      <c r="D614" s="10" t="str">
        <f aca="false">IF(OR(G614="",G614="なし"),"―",IF(CH614="N","対象外",IF(AND(I614="",J614="",K614=""),"標報未入力",IF(CD614&gt;=設定!$B$4,"要確認","問題なし"))))</f>
        <v>―</v>
      </c>
      <c r="E614" s="24" t="str">
        <f aca="false">IF(OR(G614="",G614="なし",CE614="",CF614=0),"―",IF(CF614=CE614,"前月同額",IF(CE614=0,"―",IF(ABS(CF614/CE614-1)&gt;=設定!$B$5,"変動大 "&amp;TEXT(CF614/CE614-1,"+0%;-0%"),"〇"))))</f>
        <v>―</v>
      </c>
      <c r="F614" s="10" t="str">
        <f aca="false">IF(OR(G614="",G614="なし"),"―",IF(CF614=0,"入金不要",IF(COUNT(Z614,AB614,AD614,AF614)=0,IF(AG614="○","手動確認","未入金"),IF(AND(N(Z614)=Y614,IF(AA614="",TRUE(),N(AB614)=AA614),IF(AC614="",TRUE(),N(AD614)=AC614),IF(AE614="",TRUE(),N(AF614)=AE614)),"一致","不一致"))))</f>
        <v>―</v>
      </c>
      <c r="G614" s="25"/>
      <c r="H614" s="26"/>
      <c r="I614" s="27"/>
      <c r="J614" s="27"/>
      <c r="K614" s="27"/>
      <c r="L614" s="27"/>
      <c r="M614" s="27"/>
      <c r="N614" s="27"/>
      <c r="O614" s="27"/>
      <c r="P614" s="27"/>
      <c r="Q614" s="27"/>
      <c r="R614" s="27"/>
      <c r="S614" s="27"/>
      <c r="T614" s="27"/>
      <c r="U614" s="27"/>
      <c r="V614" s="27"/>
      <c r="W614" s="10" t="str">
        <f aca="false">IFERROR(INDEX(設定!$E$61:$E$106,MATCH(B614,設定!$B$61:$B$106,0)),"合算")</f>
        <v>合算</v>
      </c>
      <c r="X614" s="28"/>
      <c r="Y614" s="29" t="str">
        <f aca="false">IF(OR(G614="",G614="なし"),"",IF(W614="合算",CF614,IF(W614="掛金・負担金別",(AU614+AV614+AZ614+BB614+BD614),SUM(AU614:AY614))))</f>
        <v/>
      </c>
      <c r="Z614" s="27"/>
      <c r="AA614" s="29" t="str">
        <f aca="false">IF(OR(G614="",G614="なし"),"",IF(W614="掛金・負担金別",(AW614+AX614+AY614+BA614+BC614+BE614),IF(W614="経理区分別",AZ614+BA614,"")))</f>
        <v/>
      </c>
      <c r="AB614" s="27"/>
      <c r="AC614" s="29" t="str">
        <f aca="false">IF(OR(G614="",G614="なし"),"",IF(W614="経理区分別",BB614+BC614,""))</f>
        <v/>
      </c>
      <c r="AD614" s="27"/>
      <c r="AE614" s="29" t="str">
        <f aca="false">IF(OR(G614="",G614="なし"),"",IF(W614="経理区分別",BD614+BE614,""))</f>
        <v/>
      </c>
      <c r="AF614" s="27"/>
      <c r="AG614" s="26"/>
      <c r="AH614" s="26"/>
      <c r="AI614" s="30"/>
      <c r="AJ614" s="31" t="n">
        <v>10777442</v>
      </c>
      <c r="AK614" s="31" t="n">
        <v>883250</v>
      </c>
      <c r="AL614" s="31" t="n">
        <v>14724336</v>
      </c>
      <c r="AM614" s="31" t="n">
        <v>883408</v>
      </c>
      <c r="AN614" s="31" t="n">
        <v>11254</v>
      </c>
      <c r="AO614" s="31" t="n">
        <v>6732257</v>
      </c>
      <c r="AP614" s="31" t="n">
        <v>6835679</v>
      </c>
      <c r="AQ614" s="31" t="n">
        <v>716904</v>
      </c>
      <c r="AR614" s="31" t="n">
        <v>717036</v>
      </c>
      <c r="AS614" s="31" t="n">
        <v>1</v>
      </c>
      <c r="AT614" s="31" t="n">
        <v>1</v>
      </c>
      <c r="AU614" s="31" t="n">
        <f aca="false">IF($G614="",AJ614,L614)</f>
        <v>10777442</v>
      </c>
      <c r="AV614" s="31" t="n">
        <f aca="false">IF($G614="",AK614,M614)</f>
        <v>883250</v>
      </c>
      <c r="AW614" s="31" t="n">
        <f aca="false">IF($G614="",AL614,N614)</f>
        <v>14724336</v>
      </c>
      <c r="AX614" s="31" t="n">
        <f aca="false">IF($G614="",AM614,O614)</f>
        <v>883408</v>
      </c>
      <c r="AY614" s="31" t="n">
        <f aca="false">IF($G614="",AN614,P614)</f>
        <v>11254</v>
      </c>
      <c r="AZ614" s="31" t="n">
        <f aca="false">IF($G614="",AO614,Q614)</f>
        <v>6732257</v>
      </c>
      <c r="BA614" s="31" t="n">
        <f aca="false">IF($G614="",AP614,R614)</f>
        <v>6835679</v>
      </c>
      <c r="BB614" s="31" t="n">
        <f aca="false">IF($G614="",AQ614,S614)</f>
        <v>716904</v>
      </c>
      <c r="BC614" s="31" t="n">
        <f aca="false">IF($G614="",AR614,T614)</f>
        <v>717036</v>
      </c>
      <c r="BD614" s="31" t="n">
        <f aca="false">IF($G614="",AS614,U614)</f>
        <v>1</v>
      </c>
      <c r="BE614" s="31" t="n">
        <f aca="false">IF($G614="",AT614,V614)</f>
        <v>1</v>
      </c>
      <c r="BF614" s="31" t="n">
        <f aca="false">ROUNDDOWN(I614*設定!$B$10/1000,0)+ROUNDDOWN(I614*設定!$B$11/1000,0)</f>
        <v>0</v>
      </c>
      <c r="BG614" s="31" t="n">
        <f aca="false">ROUNDDOWN(I614*設定!$C$10/1000,0)+ROUNDDOWN(I614*設定!$C$11/1000,0)+ROUNDDOWN(I614*設定!$C$12/1000,0)</f>
        <v>0</v>
      </c>
      <c r="BH614" s="31" t="n">
        <f aca="false">ROUNDDOWN(J614*設定!$B$13/1000,0)</f>
        <v>0</v>
      </c>
      <c r="BI614" s="31" t="n">
        <f aca="false">ROUNDDOWN(J614*設定!$C$13/1000,0)</f>
        <v>0</v>
      </c>
      <c r="BJ614" s="31" t="n">
        <f aca="false">ROUNDDOWN(K614*設定!$B$14/1000,0)</f>
        <v>0</v>
      </c>
      <c r="BK614" s="31" t="n">
        <f aca="false">ROUNDDOWN(K614*設定!$C$14/1000,0)</f>
        <v>0</v>
      </c>
      <c r="BL614" s="31" t="n">
        <f aca="false">ROUNDDOWN(J614*設定!$B$15/1000,0)</f>
        <v>0</v>
      </c>
      <c r="BM614" s="31" t="n">
        <f aca="false">ROUNDDOWN(J614*設定!$C$15/1000,0)</f>
        <v>0</v>
      </c>
      <c r="BN614" s="31" t="n">
        <f aca="false">L614+M614</f>
        <v>0</v>
      </c>
      <c r="BO614" s="31" t="n">
        <f aca="false">N614+O614+P614</f>
        <v>0</v>
      </c>
      <c r="BP614" s="31" t="n">
        <f aca="false">Q614</f>
        <v>0</v>
      </c>
      <c r="BQ614" s="31" t="n">
        <f aca="false">R614</f>
        <v>0</v>
      </c>
      <c r="BR614" s="31" t="n">
        <f aca="false">S614</f>
        <v>0</v>
      </c>
      <c r="BS614" s="31" t="n">
        <f aca="false">T614</f>
        <v>0</v>
      </c>
      <c r="BT614" s="31" t="n">
        <f aca="false">U614</f>
        <v>0</v>
      </c>
      <c r="BU614" s="31" t="n">
        <f aca="false">V614</f>
        <v>0</v>
      </c>
      <c r="BV614" s="32" t="n">
        <f aca="false">IF(BF614=0,IF(BN614=0,0,1),(BN614-BF614)/BF614)</f>
        <v>0</v>
      </c>
      <c r="BW614" s="32" t="n">
        <f aca="false">IF(BG614=0,IF(BO614=0,0,1),(BO614-BG614)/BG614)</f>
        <v>0</v>
      </c>
      <c r="BX614" s="32" t="n">
        <f aca="false">IF(BH614=0,IF(BP614=0,0,1),(BP614-BH614)/BH614)</f>
        <v>0</v>
      </c>
      <c r="BY614" s="32" t="n">
        <f aca="false">IF(BI614=0,IF(BQ614=0,0,1),(BQ614-BI614)/BI614)</f>
        <v>0</v>
      </c>
      <c r="BZ614" s="32" t="n">
        <f aca="false">IF(BJ614=0,IF(BR614=0,0,1),(BR614-BJ614)/BJ614)</f>
        <v>0</v>
      </c>
      <c r="CA614" s="32" t="n">
        <f aca="false">IF(BK614=0,IF(BS614=0,0,1),(BS614-BK614)/BK614)</f>
        <v>0</v>
      </c>
      <c r="CB614" s="32" t="n">
        <f aca="false">IF(BL614=0,IF(BT614=0,0,1),(BT614-BL614)/BL614)</f>
        <v>0</v>
      </c>
      <c r="CC614" s="32" t="n">
        <f aca="false">IF(BM614=0,IF(BU614=0,0,1),(BU614-BM614)/BM614)</f>
        <v>0</v>
      </c>
      <c r="CD614" s="32" t="n">
        <f aca="false">MAX(MAX(BV614:CC614),-MIN(BV614:CC614))</f>
        <v>-0</v>
      </c>
      <c r="CE614" s="31" t="str">
        <f aca="false">IF(CI614="","",SUMIFS($CF$7:$CF$696,$A$7:$A$696,CI614,$B$7:$B$696,B614))</f>
        <v/>
      </c>
      <c r="CF614" s="31" t="n">
        <f aca="false">SUM(AU614:BE614)</f>
        <v>42281568</v>
      </c>
      <c r="CG614" s="33" t="str">
        <f aca="false">A614&amp;"|"&amp;B614</f>
        <v>2027-03 賞与|水道局</v>
      </c>
      <c r="CH614" s="34" t="str">
        <f aca="false">IFERROR(INDEX(設定!$D$61:$D$106,MATCH(B614,設定!$B$61:$B$106,0)),"Y")</f>
        <v>N</v>
      </c>
      <c r="CI614" s="34" t="str">
        <f aca="false">IFERROR(INDEX(設定!$D$20:$D$34,MATCH(A614,設定!$A$20:$A$34,0))&amp;"","")</f>
        <v/>
      </c>
    </row>
    <row r="615" customFormat="false" ht="15" hidden="true" customHeight="false" outlineLevel="0" collapsed="false">
      <c r="A615" s="22" t="s">
        <v>221</v>
      </c>
      <c r="B615" s="23" t="s">
        <v>170</v>
      </c>
      <c r="C615" s="10" t="str">
        <f aca="false">IF(G615="","未受領",IF(G615="なし","報告なし",IF(AH615="○","起票済",IF(OR(AG615="○",F615="一致",F615="入金不要"),"入金確認済","受領済"))))</f>
        <v>未受領</v>
      </c>
      <c r="D615" s="10" t="str">
        <f aca="false">IF(OR(G615="",G615="なし"),"―",IF(CH615="N","対象外",IF(AND(I615="",J615="",K615=""),"標報未入力",IF(CD615&gt;=設定!$B$4,"要確認","問題なし"))))</f>
        <v>―</v>
      </c>
      <c r="E615" s="24" t="str">
        <f aca="false">IF(OR(G615="",G615="なし",CE615="",CF615=0),"―",IF(CF615=CE615,"前月同額",IF(CE615=0,"―",IF(ABS(CF615/CE615-1)&gt;=設定!$B$5,"変動大 "&amp;TEXT(CF615/CE615-1,"+0%;-0%"),"〇"))))</f>
        <v>―</v>
      </c>
      <c r="F615" s="10" t="str">
        <f aca="false">IF(OR(G615="",G615="なし"),"―",IF(CF615=0,"入金不要",IF(COUNT(Z615,AB615,AD615,AF615)=0,IF(AG615="○","手動確認","未入金"),IF(AND(N(Z615)=Y615,IF(AA615="",TRUE(),N(AB615)=AA615),IF(AC615="",TRUE(),N(AD615)=AC615),IF(AE615="",TRUE(),N(AF615)=AE615)),"一致","不一致"))))</f>
        <v>―</v>
      </c>
      <c r="G615" s="25"/>
      <c r="H615" s="26"/>
      <c r="I615" s="27"/>
      <c r="J615" s="27"/>
      <c r="K615" s="27"/>
      <c r="L615" s="27"/>
      <c r="M615" s="27"/>
      <c r="N615" s="27"/>
      <c r="O615" s="27"/>
      <c r="P615" s="27"/>
      <c r="Q615" s="27"/>
      <c r="R615" s="27"/>
      <c r="S615" s="27"/>
      <c r="T615" s="27"/>
      <c r="U615" s="27"/>
      <c r="V615" s="27"/>
      <c r="W615" s="10" t="str">
        <f aca="false">IFERROR(INDEX(設定!$E$61:$E$106,MATCH(B615,設定!$B$61:$B$106,0)),"合算")</f>
        <v>合算</v>
      </c>
      <c r="X615" s="28"/>
      <c r="Y615" s="29" t="str">
        <f aca="false">IF(OR(G615="",G615="なし"),"",IF(W615="合算",CF615,IF(W615="掛金・負担金別",(AU615+AV615+AZ615+BB615+BD615),SUM(AU615:AY615))))</f>
        <v/>
      </c>
      <c r="Z615" s="27"/>
      <c r="AA615" s="29" t="str">
        <f aca="false">IF(OR(G615="",G615="なし"),"",IF(W615="掛金・負担金別",(AW615+AX615+AY615+BA615+BC615+BE615),IF(W615="経理区分別",AZ615+BA615,"")))</f>
        <v/>
      </c>
      <c r="AB615" s="27"/>
      <c r="AC615" s="29" t="str">
        <f aca="false">IF(OR(G615="",G615="なし"),"",IF(W615="経理区分別",BB615+BC615,""))</f>
        <v/>
      </c>
      <c r="AD615" s="27"/>
      <c r="AE615" s="29" t="str">
        <f aca="false">IF(OR(G615="",G615="なし"),"",IF(W615="経理区分別",BD615+BE615,""))</f>
        <v/>
      </c>
      <c r="AF615" s="27"/>
      <c r="AG615" s="26"/>
      <c r="AH615" s="26"/>
      <c r="AI615" s="30"/>
      <c r="AJ615" s="31" t="n">
        <v>22783</v>
      </c>
      <c r="AK615" s="31" t="n">
        <v>1867</v>
      </c>
      <c r="AL615" s="31" t="n">
        <v>31101</v>
      </c>
      <c r="AM615" s="31" t="n">
        <v>1867</v>
      </c>
      <c r="AN615" s="31" t="n">
        <v>23</v>
      </c>
      <c r="AO615" s="31" t="n">
        <v>13697</v>
      </c>
      <c r="AP615" s="31" t="n">
        <v>13906</v>
      </c>
      <c r="AQ615" s="31" t="n">
        <v>2091</v>
      </c>
      <c r="AR615" s="31" t="n">
        <v>2091</v>
      </c>
      <c r="AS615" s="31" t="n">
        <v>1</v>
      </c>
      <c r="AT615" s="31" t="n">
        <v>1</v>
      </c>
      <c r="AU615" s="31" t="n">
        <f aca="false">IF($G615="",AJ615,L615)</f>
        <v>22783</v>
      </c>
      <c r="AV615" s="31" t="n">
        <f aca="false">IF($G615="",AK615,M615)</f>
        <v>1867</v>
      </c>
      <c r="AW615" s="31" t="n">
        <f aca="false">IF($G615="",AL615,N615)</f>
        <v>31101</v>
      </c>
      <c r="AX615" s="31" t="n">
        <f aca="false">IF($G615="",AM615,O615)</f>
        <v>1867</v>
      </c>
      <c r="AY615" s="31" t="n">
        <f aca="false">IF($G615="",AN615,P615)</f>
        <v>23</v>
      </c>
      <c r="AZ615" s="31" t="n">
        <f aca="false">IF($G615="",AO615,Q615)</f>
        <v>13697</v>
      </c>
      <c r="BA615" s="31" t="n">
        <f aca="false">IF($G615="",AP615,R615)</f>
        <v>13906</v>
      </c>
      <c r="BB615" s="31" t="n">
        <f aca="false">IF($G615="",AQ615,S615)</f>
        <v>2091</v>
      </c>
      <c r="BC615" s="31" t="n">
        <f aca="false">IF($G615="",AR615,T615)</f>
        <v>2091</v>
      </c>
      <c r="BD615" s="31" t="n">
        <f aca="false">IF($G615="",AS615,U615)</f>
        <v>1</v>
      </c>
      <c r="BE615" s="31" t="n">
        <f aca="false">IF($G615="",AT615,V615)</f>
        <v>1</v>
      </c>
      <c r="BF615" s="31" t="n">
        <f aca="false">ROUNDDOWN(I615*設定!$B$10/1000,0)+ROUNDDOWN(I615*設定!$B$11/1000,0)</f>
        <v>0</v>
      </c>
      <c r="BG615" s="31" t="n">
        <f aca="false">ROUNDDOWN(I615*設定!$C$10/1000,0)+ROUNDDOWN(I615*設定!$C$11/1000,0)+ROUNDDOWN(I615*設定!$C$12/1000,0)</f>
        <v>0</v>
      </c>
      <c r="BH615" s="31" t="n">
        <f aca="false">ROUNDDOWN(J615*設定!$B$13/1000,0)</f>
        <v>0</v>
      </c>
      <c r="BI615" s="31" t="n">
        <f aca="false">ROUNDDOWN(J615*設定!$C$13/1000,0)</f>
        <v>0</v>
      </c>
      <c r="BJ615" s="31" t="n">
        <f aca="false">ROUNDDOWN(K615*設定!$B$14/1000,0)</f>
        <v>0</v>
      </c>
      <c r="BK615" s="31" t="n">
        <f aca="false">ROUNDDOWN(K615*設定!$C$14/1000,0)</f>
        <v>0</v>
      </c>
      <c r="BL615" s="31" t="n">
        <f aca="false">ROUNDDOWN(J615*設定!$B$15/1000,0)</f>
        <v>0</v>
      </c>
      <c r="BM615" s="31" t="n">
        <f aca="false">ROUNDDOWN(J615*設定!$C$15/1000,0)</f>
        <v>0</v>
      </c>
      <c r="BN615" s="31" t="n">
        <f aca="false">L615+M615</f>
        <v>0</v>
      </c>
      <c r="BO615" s="31" t="n">
        <f aca="false">N615+O615+P615</f>
        <v>0</v>
      </c>
      <c r="BP615" s="31" t="n">
        <f aca="false">Q615</f>
        <v>0</v>
      </c>
      <c r="BQ615" s="31" t="n">
        <f aca="false">R615</f>
        <v>0</v>
      </c>
      <c r="BR615" s="31" t="n">
        <f aca="false">S615</f>
        <v>0</v>
      </c>
      <c r="BS615" s="31" t="n">
        <f aca="false">T615</f>
        <v>0</v>
      </c>
      <c r="BT615" s="31" t="n">
        <f aca="false">U615</f>
        <v>0</v>
      </c>
      <c r="BU615" s="31" t="n">
        <f aca="false">V615</f>
        <v>0</v>
      </c>
      <c r="BV615" s="32" t="n">
        <f aca="false">IF(BF615=0,IF(BN615=0,0,1),(BN615-BF615)/BF615)</f>
        <v>0</v>
      </c>
      <c r="BW615" s="32" t="n">
        <f aca="false">IF(BG615=0,IF(BO615=0,0,1),(BO615-BG615)/BG615)</f>
        <v>0</v>
      </c>
      <c r="BX615" s="32" t="n">
        <f aca="false">IF(BH615=0,IF(BP615=0,0,1),(BP615-BH615)/BH615)</f>
        <v>0</v>
      </c>
      <c r="BY615" s="32" t="n">
        <f aca="false">IF(BI615=0,IF(BQ615=0,0,1),(BQ615-BI615)/BI615)</f>
        <v>0</v>
      </c>
      <c r="BZ615" s="32" t="n">
        <f aca="false">IF(BJ615=0,IF(BR615=0,0,1),(BR615-BJ615)/BJ615)</f>
        <v>0</v>
      </c>
      <c r="CA615" s="32" t="n">
        <f aca="false">IF(BK615=0,IF(BS615=0,0,1),(BS615-BK615)/BK615)</f>
        <v>0</v>
      </c>
      <c r="CB615" s="32" t="n">
        <f aca="false">IF(BL615=0,IF(BT615=0,0,1),(BT615-BL615)/BL615)</f>
        <v>0</v>
      </c>
      <c r="CC615" s="32" t="n">
        <f aca="false">IF(BM615=0,IF(BU615=0,0,1),(BU615-BM615)/BM615)</f>
        <v>0</v>
      </c>
      <c r="CD615" s="32" t="n">
        <f aca="false">MAX(MAX(BV615:CC615),-MIN(BV615:CC615))</f>
        <v>-0</v>
      </c>
      <c r="CE615" s="31" t="str">
        <f aca="false">IF(CI615="","",SUMIFS($CF$7:$CF$696,$A$7:$A$696,CI615,$B$7:$B$696,B615))</f>
        <v/>
      </c>
      <c r="CF615" s="31" t="n">
        <f aca="false">SUM(AU615:BE615)</f>
        <v>89428</v>
      </c>
      <c r="CG615" s="33" t="str">
        <f aca="false">A615&amp;"|"&amp;B615</f>
        <v>2027-03 賞与|医療政策課(安芸市民)</v>
      </c>
      <c r="CH615" s="34" t="str">
        <f aca="false">IFERROR(INDEX(設定!$D$61:$D$106,MATCH(B615,設定!$B$61:$B$106,0)),"Y")</f>
        <v>Y</v>
      </c>
      <c r="CI615" s="34" t="str">
        <f aca="false">IFERROR(INDEX(設定!$D$20:$D$34,MATCH(A615,設定!$A$20:$A$34,0))&amp;"","")</f>
        <v/>
      </c>
    </row>
    <row r="616" customFormat="false" ht="15" hidden="true" customHeight="false" outlineLevel="0" collapsed="false">
      <c r="A616" s="22" t="s">
        <v>221</v>
      </c>
      <c r="B616" s="23" t="s">
        <v>171</v>
      </c>
      <c r="C616" s="10" t="str">
        <f aca="false">IF(G616="","未受領",IF(G616="なし","報告なし",IF(AH616="○","起票済",IF(OR(AG616="○",F616="一致",F616="入金不要"),"入金確認済","受領済"))))</f>
        <v>未受領</v>
      </c>
      <c r="D616" s="10" t="str">
        <f aca="false">IF(OR(G616="",G616="なし"),"―",IF(CH616="N","対象外",IF(AND(I616="",J616="",K616=""),"標報未入力",IF(CD616&gt;=設定!$B$4,"要確認","問題なし"))))</f>
        <v>―</v>
      </c>
      <c r="E616" s="24" t="str">
        <f aca="false">IF(OR(G616="",G616="なし",CE616="",CF616=0),"―",IF(CF616=CE616,"前月同額",IF(CE616=0,"―",IF(ABS(CF616/CE616-1)&gt;=設定!$B$5,"変動大 "&amp;TEXT(CF616/CE616-1,"+0%;-0%"),"〇"))))</f>
        <v>―</v>
      </c>
      <c r="F616" s="10" t="str">
        <f aca="false">IF(OR(G616="",G616="なし"),"―",IF(CF616=0,"入金不要",IF(COUNT(Z616,AB616,AD616,AF616)=0,IF(AG616="○","手動確認","未入金"),IF(AND(N(Z616)=Y616,IF(AA616="",TRUE(),N(AB616)=AA616),IF(AC616="",TRUE(),N(AD616)=AC616),IF(AE616="",TRUE(),N(AF616)=AE616)),"一致","不一致"))))</f>
        <v>―</v>
      </c>
      <c r="G616" s="25"/>
      <c r="H616" s="26"/>
      <c r="I616" s="27"/>
      <c r="J616" s="27"/>
      <c r="K616" s="27"/>
      <c r="L616" s="27"/>
      <c r="M616" s="27"/>
      <c r="N616" s="27"/>
      <c r="O616" s="27"/>
      <c r="P616" s="27"/>
      <c r="Q616" s="27"/>
      <c r="R616" s="27"/>
      <c r="S616" s="27"/>
      <c r="T616" s="27"/>
      <c r="U616" s="27"/>
      <c r="V616" s="27"/>
      <c r="W616" s="10" t="str">
        <f aca="false">IFERROR(INDEX(設定!$E$61:$E$106,MATCH(B616,設定!$B$61:$B$106,0)),"合算")</f>
        <v>合算</v>
      </c>
      <c r="X616" s="28"/>
      <c r="Y616" s="29" t="str">
        <f aca="false">IF(OR(G616="",G616="なし"),"",IF(W616="合算",CF616,IF(W616="掛金・負担金別",(AU616+AV616+AZ616+BB616+BD616),SUM(AU616:AY616))))</f>
        <v/>
      </c>
      <c r="Z616" s="27"/>
      <c r="AA616" s="29" t="str">
        <f aca="false">IF(OR(G616="",G616="なし"),"",IF(W616="掛金・負担金別",(AW616+AX616+AY616+BA616+BC616+BE616),IF(W616="経理区分別",AZ616+BA616,"")))</f>
        <v/>
      </c>
      <c r="AB616" s="27"/>
      <c r="AC616" s="29" t="str">
        <f aca="false">IF(OR(G616="",G616="なし"),"",IF(W616="経理区分別",BB616+BC616,""))</f>
        <v/>
      </c>
      <c r="AD616" s="27"/>
      <c r="AE616" s="29" t="str">
        <f aca="false">IF(OR(G616="",G616="なし"),"",IF(W616="経理区分別",BD616+BE616,""))</f>
        <v/>
      </c>
      <c r="AF616" s="27"/>
      <c r="AG616" s="26"/>
      <c r="AH616" s="26"/>
      <c r="AI616" s="30"/>
      <c r="AJ616" s="31" t="n">
        <v>0</v>
      </c>
      <c r="AK616" s="31" t="n">
        <v>0</v>
      </c>
      <c r="AL616" s="31"/>
      <c r="AM616" s="31"/>
      <c r="AN616" s="31" t="n">
        <v>0</v>
      </c>
      <c r="AO616" s="31" t="n">
        <v>40150</v>
      </c>
      <c r="AP616" s="31" t="n">
        <v>40770</v>
      </c>
      <c r="AQ616" s="31" t="n">
        <v>2922</v>
      </c>
      <c r="AR616" s="31" t="n">
        <v>2923</v>
      </c>
      <c r="AS616" s="31" t="n">
        <v>1</v>
      </c>
      <c r="AT616" s="31" t="n">
        <v>1</v>
      </c>
      <c r="AU616" s="31" t="n">
        <f aca="false">IF($G616="",AJ616,L616)</f>
        <v>0</v>
      </c>
      <c r="AV616" s="31" t="n">
        <f aca="false">IF($G616="",AK616,M616)</f>
        <v>0</v>
      </c>
      <c r="AW616" s="31" t="n">
        <f aca="false">IF($G616="",AL616,N616)</f>
        <v>0</v>
      </c>
      <c r="AX616" s="31" t="n">
        <f aca="false">IF($G616="",AM616,O616)</f>
        <v>0</v>
      </c>
      <c r="AY616" s="31" t="n">
        <f aca="false">IF($G616="",AN616,P616)</f>
        <v>0</v>
      </c>
      <c r="AZ616" s="31" t="n">
        <f aca="false">IF($G616="",AO616,Q616)</f>
        <v>40150</v>
      </c>
      <c r="BA616" s="31" t="n">
        <f aca="false">IF($G616="",AP616,R616)</f>
        <v>40770</v>
      </c>
      <c r="BB616" s="31" t="n">
        <f aca="false">IF($G616="",AQ616,S616)</f>
        <v>2922</v>
      </c>
      <c r="BC616" s="31" t="n">
        <f aca="false">IF($G616="",AR616,T616)</f>
        <v>2923</v>
      </c>
      <c r="BD616" s="31" t="n">
        <f aca="false">IF($G616="",AS616,U616)</f>
        <v>1</v>
      </c>
      <c r="BE616" s="31" t="n">
        <f aca="false">IF($G616="",AT616,V616)</f>
        <v>1</v>
      </c>
      <c r="BF616" s="31" t="n">
        <f aca="false">ROUNDDOWN(I616*設定!$B$10/1000,0)+ROUNDDOWN(I616*設定!$B$11/1000,0)</f>
        <v>0</v>
      </c>
      <c r="BG616" s="31" t="n">
        <f aca="false">ROUNDDOWN(I616*設定!$C$10/1000,0)+ROUNDDOWN(I616*設定!$C$11/1000,0)+ROUNDDOWN(I616*設定!$C$12/1000,0)</f>
        <v>0</v>
      </c>
      <c r="BH616" s="31" t="n">
        <f aca="false">ROUNDDOWN(J616*設定!$B$13/1000,0)</f>
        <v>0</v>
      </c>
      <c r="BI616" s="31" t="n">
        <f aca="false">ROUNDDOWN(J616*設定!$C$13/1000,0)</f>
        <v>0</v>
      </c>
      <c r="BJ616" s="31" t="n">
        <f aca="false">ROUNDDOWN(K616*設定!$B$14/1000,0)</f>
        <v>0</v>
      </c>
      <c r="BK616" s="31" t="n">
        <f aca="false">ROUNDDOWN(K616*設定!$C$14/1000,0)</f>
        <v>0</v>
      </c>
      <c r="BL616" s="31" t="n">
        <f aca="false">ROUNDDOWN(J616*設定!$B$15/1000,0)</f>
        <v>0</v>
      </c>
      <c r="BM616" s="31" t="n">
        <f aca="false">ROUNDDOWN(J616*設定!$C$15/1000,0)</f>
        <v>0</v>
      </c>
      <c r="BN616" s="31" t="n">
        <f aca="false">L616+M616</f>
        <v>0</v>
      </c>
      <c r="BO616" s="31" t="n">
        <f aca="false">N616+O616+P616</f>
        <v>0</v>
      </c>
      <c r="BP616" s="31" t="n">
        <f aca="false">Q616</f>
        <v>0</v>
      </c>
      <c r="BQ616" s="31" t="n">
        <f aca="false">R616</f>
        <v>0</v>
      </c>
      <c r="BR616" s="31" t="n">
        <f aca="false">S616</f>
        <v>0</v>
      </c>
      <c r="BS616" s="31" t="n">
        <f aca="false">T616</f>
        <v>0</v>
      </c>
      <c r="BT616" s="31" t="n">
        <f aca="false">U616</f>
        <v>0</v>
      </c>
      <c r="BU616" s="31" t="n">
        <f aca="false">V616</f>
        <v>0</v>
      </c>
      <c r="BV616" s="32" t="n">
        <f aca="false">IF(BF616=0,IF(BN616=0,0,1),(BN616-BF616)/BF616)</f>
        <v>0</v>
      </c>
      <c r="BW616" s="32" t="n">
        <f aca="false">IF(BG616=0,IF(BO616=0,0,1),(BO616-BG616)/BG616)</f>
        <v>0</v>
      </c>
      <c r="BX616" s="32" t="n">
        <f aca="false">IF(BH616=0,IF(BP616=0,0,1),(BP616-BH616)/BH616)</f>
        <v>0</v>
      </c>
      <c r="BY616" s="32" t="n">
        <f aca="false">IF(BI616=0,IF(BQ616=0,0,1),(BQ616-BI616)/BI616)</f>
        <v>0</v>
      </c>
      <c r="BZ616" s="32" t="n">
        <f aca="false">IF(BJ616=0,IF(BR616=0,0,1),(BR616-BJ616)/BJ616)</f>
        <v>0</v>
      </c>
      <c r="CA616" s="32" t="n">
        <f aca="false">IF(BK616=0,IF(BS616=0,0,1),(BS616-BK616)/BK616)</f>
        <v>0</v>
      </c>
      <c r="CB616" s="32" t="n">
        <f aca="false">IF(BL616=0,IF(BT616=0,0,1),(BT616-BL616)/BL616)</f>
        <v>0</v>
      </c>
      <c r="CC616" s="32" t="n">
        <f aca="false">IF(BM616=0,IF(BU616=0,0,1),(BU616-BM616)/BM616)</f>
        <v>0</v>
      </c>
      <c r="CD616" s="32" t="n">
        <f aca="false">MAX(MAX(BV616:CC616),-MIN(BV616:CC616))</f>
        <v>-0</v>
      </c>
      <c r="CE616" s="31" t="str">
        <f aca="false">IF(CI616="","",SUMIFS($CF$7:$CF$696,$A$7:$A$696,CI616,$B$7:$B$696,B616))</f>
        <v/>
      </c>
      <c r="CF616" s="31" t="n">
        <f aca="false">SUM(AU616:BE616)</f>
        <v>86767</v>
      </c>
      <c r="CG616" s="33" t="str">
        <f aca="false">A616&amp;"|"&amp;B616</f>
        <v>2027-03 賞与|教育委員会（教育給与課）</v>
      </c>
      <c r="CH616" s="34" t="str">
        <f aca="false">IFERROR(INDEX(設定!$D$61:$D$106,MATCH(B616,設定!$B$61:$B$106,0)),"Y")</f>
        <v>Y</v>
      </c>
      <c r="CI616" s="34" t="str">
        <f aca="false">IFERROR(INDEX(設定!$D$20:$D$34,MATCH(A616,設定!$A$20:$A$34,0))&amp;"","")</f>
        <v/>
      </c>
    </row>
    <row r="617" customFormat="false" ht="15" hidden="true" customHeight="false" outlineLevel="0" collapsed="false">
      <c r="A617" s="22" t="s">
        <v>221</v>
      </c>
      <c r="B617" s="23" t="s">
        <v>172</v>
      </c>
      <c r="C617" s="10" t="str">
        <f aca="false">IF(G617="","未受領",IF(G617="なし","報告なし",IF(AH617="○","起票済",IF(OR(AG617="○",F617="一致",F617="入金不要"),"入金確認済","受領済"))))</f>
        <v>報告なし</v>
      </c>
      <c r="D617" s="10" t="str">
        <f aca="false">IF(OR(G617="",G617="なし"),"―",IF(CH617="N","対象外",IF(AND(I617="",J617="",K617=""),"標報未入力",IF(CD617&gt;=設定!$B$4,"要確認","問題なし"))))</f>
        <v>―</v>
      </c>
      <c r="E617" s="24" t="str">
        <f aca="false">IF(OR(G617="",G617="なし",CE617="",CF617=0),"―",IF(CF617=CE617,"前月同額",IF(CE617=0,"―",IF(ABS(CF617/CE617-1)&gt;=設定!$B$5,"変動大 "&amp;TEXT(CF617/CE617-1,"+0%;-0%"),"〇"))))</f>
        <v>―</v>
      </c>
      <c r="F617" s="10" t="str">
        <f aca="false">IF(OR(G617="",G617="なし"),"―",IF(CF617=0,"入金不要",IF(COUNT(Z617,AB617,AD617,AF617)=0,IF(AG617="○","手動確認","未入金"),IF(AND(N(Z617)=Y617,IF(AA617="",TRUE(),N(AB617)=AA617),IF(AC617="",TRUE(),N(AD617)=AC617),IF(AE617="",TRUE(),N(AF617)=AE617)),"一致","不一致"))))</f>
        <v>―</v>
      </c>
      <c r="G617" s="25" t="s">
        <v>173</v>
      </c>
      <c r="H617" s="26"/>
      <c r="I617" s="27"/>
      <c r="J617" s="27"/>
      <c r="K617" s="27"/>
      <c r="L617" s="27"/>
      <c r="M617" s="27"/>
      <c r="N617" s="27"/>
      <c r="O617" s="27"/>
      <c r="P617" s="27"/>
      <c r="Q617" s="27"/>
      <c r="R617" s="27"/>
      <c r="S617" s="27"/>
      <c r="T617" s="27"/>
      <c r="U617" s="27"/>
      <c r="V617" s="27"/>
      <c r="W617" s="10" t="str">
        <f aca="false">IFERROR(INDEX(設定!$E$61:$E$106,MATCH(B617,設定!$B$61:$B$106,0)),"合算")</f>
        <v>合算</v>
      </c>
      <c r="X617" s="28"/>
      <c r="Y617" s="29" t="str">
        <f aca="false">IF(OR(G617="",G617="なし"),"",IF(W617="合算",CF617,IF(W617="掛金・負担金別",(AU617+AV617+AZ617+BB617+BD617),SUM(AU617:AY617))))</f>
        <v/>
      </c>
      <c r="Z617" s="27"/>
      <c r="AA617" s="29" t="str">
        <f aca="false">IF(OR(G617="",G617="なし"),"",IF(W617="掛金・負担金別",(AW617+AX617+AY617+BA617+BC617+BE617),IF(W617="経理区分別",AZ617+BA617,"")))</f>
        <v/>
      </c>
      <c r="AB617" s="27"/>
      <c r="AC617" s="29" t="str">
        <f aca="false">IF(OR(G617="",G617="なし"),"",IF(W617="経理区分別",BB617+BC617,""))</f>
        <v/>
      </c>
      <c r="AD617" s="27"/>
      <c r="AE617" s="29" t="str">
        <f aca="false">IF(OR(G617="",G617="なし"),"",IF(W617="経理区分別",BD617+BE617,""))</f>
        <v/>
      </c>
      <c r="AF617" s="27"/>
      <c r="AG617" s="26"/>
      <c r="AH617" s="26"/>
      <c r="AI617" s="30"/>
      <c r="AJ617" s="31"/>
      <c r="AK617" s="31"/>
      <c r="AL617" s="31"/>
      <c r="AM617" s="31"/>
      <c r="AN617" s="31"/>
      <c r="AO617" s="31"/>
      <c r="AP617" s="31"/>
      <c r="AQ617" s="31"/>
      <c r="AR617" s="31"/>
      <c r="AS617" s="31"/>
      <c r="AT617" s="31"/>
      <c r="AU617" s="31" t="n">
        <f aca="false">IF($G617="",AJ617,L617)</f>
        <v>0</v>
      </c>
      <c r="AV617" s="31" t="n">
        <f aca="false">IF($G617="",AK617,M617)</f>
        <v>0</v>
      </c>
      <c r="AW617" s="31" t="n">
        <f aca="false">IF($G617="",AL617,N617)</f>
        <v>0</v>
      </c>
      <c r="AX617" s="31" t="n">
        <f aca="false">IF($G617="",AM617,O617)</f>
        <v>0</v>
      </c>
      <c r="AY617" s="31" t="n">
        <f aca="false">IF($G617="",AN617,P617)</f>
        <v>0</v>
      </c>
      <c r="AZ617" s="31" t="n">
        <f aca="false">IF($G617="",AO617,Q617)</f>
        <v>0</v>
      </c>
      <c r="BA617" s="31" t="n">
        <f aca="false">IF($G617="",AP617,R617)</f>
        <v>0</v>
      </c>
      <c r="BB617" s="31" t="n">
        <f aca="false">IF($G617="",AQ617,S617)</f>
        <v>0</v>
      </c>
      <c r="BC617" s="31" t="n">
        <f aca="false">IF($G617="",AR617,T617)</f>
        <v>0</v>
      </c>
      <c r="BD617" s="31" t="n">
        <f aca="false">IF($G617="",AS617,U617)</f>
        <v>0</v>
      </c>
      <c r="BE617" s="31" t="n">
        <f aca="false">IF($G617="",AT617,V617)</f>
        <v>0</v>
      </c>
      <c r="BF617" s="31" t="n">
        <f aca="false">ROUNDDOWN(I617*設定!$B$10/1000,0)+ROUNDDOWN(I617*設定!$B$11/1000,0)</f>
        <v>0</v>
      </c>
      <c r="BG617" s="31" t="n">
        <f aca="false">ROUNDDOWN(I617*設定!$C$10/1000,0)+ROUNDDOWN(I617*設定!$C$11/1000,0)+ROUNDDOWN(I617*設定!$C$12/1000,0)</f>
        <v>0</v>
      </c>
      <c r="BH617" s="31" t="n">
        <f aca="false">ROUNDDOWN(J617*設定!$B$13/1000,0)</f>
        <v>0</v>
      </c>
      <c r="BI617" s="31" t="n">
        <f aca="false">ROUNDDOWN(J617*設定!$C$13/1000,0)</f>
        <v>0</v>
      </c>
      <c r="BJ617" s="31" t="n">
        <f aca="false">ROUNDDOWN(K617*設定!$B$14/1000,0)</f>
        <v>0</v>
      </c>
      <c r="BK617" s="31" t="n">
        <f aca="false">ROUNDDOWN(K617*設定!$C$14/1000,0)</f>
        <v>0</v>
      </c>
      <c r="BL617" s="31" t="n">
        <f aca="false">ROUNDDOWN(J617*設定!$B$15/1000,0)</f>
        <v>0</v>
      </c>
      <c r="BM617" s="31" t="n">
        <f aca="false">ROUNDDOWN(J617*設定!$C$15/1000,0)</f>
        <v>0</v>
      </c>
      <c r="BN617" s="31" t="n">
        <f aca="false">L617+M617</f>
        <v>0</v>
      </c>
      <c r="BO617" s="31" t="n">
        <f aca="false">N617+O617+P617</f>
        <v>0</v>
      </c>
      <c r="BP617" s="31" t="n">
        <f aca="false">Q617</f>
        <v>0</v>
      </c>
      <c r="BQ617" s="31" t="n">
        <f aca="false">R617</f>
        <v>0</v>
      </c>
      <c r="BR617" s="31" t="n">
        <f aca="false">S617</f>
        <v>0</v>
      </c>
      <c r="BS617" s="31" t="n">
        <f aca="false">T617</f>
        <v>0</v>
      </c>
      <c r="BT617" s="31" t="n">
        <f aca="false">U617</f>
        <v>0</v>
      </c>
      <c r="BU617" s="31" t="n">
        <f aca="false">V617</f>
        <v>0</v>
      </c>
      <c r="BV617" s="32" t="n">
        <f aca="false">IF(BF617=0,IF(BN617=0,0,1),(BN617-BF617)/BF617)</f>
        <v>0</v>
      </c>
      <c r="BW617" s="32" t="n">
        <f aca="false">IF(BG617=0,IF(BO617=0,0,1),(BO617-BG617)/BG617)</f>
        <v>0</v>
      </c>
      <c r="BX617" s="32" t="n">
        <f aca="false">IF(BH617=0,IF(BP617=0,0,1),(BP617-BH617)/BH617)</f>
        <v>0</v>
      </c>
      <c r="BY617" s="32" t="n">
        <f aca="false">IF(BI617=0,IF(BQ617=0,0,1),(BQ617-BI617)/BI617)</f>
        <v>0</v>
      </c>
      <c r="BZ617" s="32" t="n">
        <f aca="false">IF(BJ617=0,IF(BR617=0,0,1),(BR617-BJ617)/BJ617)</f>
        <v>0</v>
      </c>
      <c r="CA617" s="32" t="n">
        <f aca="false">IF(BK617=0,IF(BS617=0,0,1),(BS617-BK617)/BK617)</f>
        <v>0</v>
      </c>
      <c r="CB617" s="32" t="n">
        <f aca="false">IF(BL617=0,IF(BT617=0,0,1),(BT617-BL617)/BL617)</f>
        <v>0</v>
      </c>
      <c r="CC617" s="32" t="n">
        <f aca="false">IF(BM617=0,IF(BU617=0,0,1),(BU617-BM617)/BM617)</f>
        <v>0</v>
      </c>
      <c r="CD617" s="32" t="n">
        <f aca="false">MAX(MAX(BV617:CC617),-MIN(BV617:CC617))</f>
        <v>-0</v>
      </c>
      <c r="CE617" s="31" t="str">
        <f aca="false">IF(CI617="","",SUMIFS($CF$7:$CF$696,$A$7:$A$696,CI617,$B$7:$B$696,B617))</f>
        <v/>
      </c>
      <c r="CF617" s="31" t="n">
        <f aca="false">SUM(AU617:BE617)</f>
        <v>0</v>
      </c>
      <c r="CG617" s="33" t="str">
        <f aca="false">A617&amp;"|"&amp;B617</f>
        <v>2027-03 賞与|地方税共同機構</v>
      </c>
      <c r="CH617" s="34" t="str">
        <f aca="false">IFERROR(INDEX(設定!$D$61:$D$106,MATCH(B617,設定!$B$61:$B$106,0)),"Y")</f>
        <v>Y</v>
      </c>
      <c r="CI617" s="34" t="str">
        <f aca="false">IFERROR(INDEX(設定!$D$20:$D$34,MATCH(A617,設定!$A$20:$A$34,0))&amp;"","")</f>
        <v/>
      </c>
    </row>
    <row r="618" customFormat="false" ht="15" hidden="true" customHeight="false" outlineLevel="0" collapsed="false">
      <c r="A618" s="22" t="s">
        <v>221</v>
      </c>
      <c r="B618" s="23" t="s">
        <v>174</v>
      </c>
      <c r="C618" s="10" t="str">
        <f aca="false">IF(G618="","未受領",IF(G618="なし","報告なし",IF(AH618="○","起票済",IF(OR(AG618="○",F618="一致",F618="入金不要"),"入金確認済","受領済"))))</f>
        <v>未受領</v>
      </c>
      <c r="D618" s="10" t="str">
        <f aca="false">IF(OR(G618="",G618="なし"),"―",IF(CH618="N","対象外",IF(AND(I618="",J618="",K618=""),"標報未入力",IF(CD618&gt;=設定!$B$4,"要確認","問題なし"))))</f>
        <v>―</v>
      </c>
      <c r="E618" s="24" t="str">
        <f aca="false">IF(OR(G618="",G618="なし",CE618="",CF618=0),"―",IF(CF618=CE618,"前月同額",IF(CE618=0,"―",IF(ABS(CF618/CE618-1)&gt;=設定!$B$5,"変動大 "&amp;TEXT(CF618/CE618-1,"+0%;-0%"),"〇"))))</f>
        <v>―</v>
      </c>
      <c r="F618" s="10" t="str">
        <f aca="false">IF(OR(G618="",G618="なし"),"―",IF(CF618=0,"入金不要",IF(COUNT(Z618,AB618,AD618,AF618)=0,IF(AG618="○","手動確認","未入金"),IF(AND(N(Z618)=Y618,IF(AA618="",TRUE(),N(AB618)=AA618),IF(AC618="",TRUE(),N(AD618)=AC618),IF(AE618="",TRUE(),N(AF618)=AE618)),"一致","不一致"))))</f>
        <v>―</v>
      </c>
      <c r="G618" s="25"/>
      <c r="H618" s="26"/>
      <c r="I618" s="27"/>
      <c r="J618" s="27"/>
      <c r="K618" s="27"/>
      <c r="L618" s="27"/>
      <c r="M618" s="27"/>
      <c r="N618" s="27"/>
      <c r="O618" s="27"/>
      <c r="P618" s="27"/>
      <c r="Q618" s="27"/>
      <c r="R618" s="27"/>
      <c r="S618" s="27"/>
      <c r="T618" s="27"/>
      <c r="U618" s="27"/>
      <c r="V618" s="27"/>
      <c r="W618" s="10" t="str">
        <f aca="false">IFERROR(INDEX(設定!$E$61:$E$106,MATCH(B618,設定!$B$61:$B$106,0)),"合算")</f>
        <v>合算</v>
      </c>
      <c r="X618" s="28"/>
      <c r="Y618" s="29" t="str">
        <f aca="false">IF(OR(G618="",G618="なし"),"",IF(W618="合算",CF618,IF(W618="掛金・負担金別",(AU618+AV618+AZ618+BB618+BD618),SUM(AU618:AY618))))</f>
        <v/>
      </c>
      <c r="Z618" s="27"/>
      <c r="AA618" s="29" t="str">
        <f aca="false">IF(OR(G618="",G618="なし"),"",IF(W618="掛金・負担金別",(AW618+AX618+AY618+BA618+BC618+BE618),IF(W618="経理区分別",AZ618+BA618,"")))</f>
        <v/>
      </c>
      <c r="AB618" s="27"/>
      <c r="AC618" s="29" t="str">
        <f aca="false">IF(OR(G618="",G618="なし"),"",IF(W618="経理区分別",BB618+BC618,""))</f>
        <v/>
      </c>
      <c r="AD618" s="27"/>
      <c r="AE618" s="29" t="str">
        <f aca="false">IF(OR(G618="",G618="なし"),"",IF(W618="経理区分別",BD618+BE618,""))</f>
        <v/>
      </c>
      <c r="AF618" s="27"/>
      <c r="AG618" s="26"/>
      <c r="AH618" s="26"/>
      <c r="AI618" s="30"/>
      <c r="AJ618" s="31" t="n">
        <v>0</v>
      </c>
      <c r="AK618" s="31" t="n">
        <v>0</v>
      </c>
      <c r="AL618" s="31" t="n">
        <v>266723</v>
      </c>
      <c r="AM618" s="31" t="n">
        <v>21863</v>
      </c>
      <c r="AN618" s="31" t="n">
        <v>284</v>
      </c>
      <c r="AO618" s="31" t="n">
        <v>0</v>
      </c>
      <c r="AP618" s="31" t="n">
        <v>160646</v>
      </c>
      <c r="AQ618" s="31" t="n">
        <v>0</v>
      </c>
      <c r="AR618" s="31" t="n">
        <v>20879</v>
      </c>
      <c r="AS618" s="31" t="n">
        <v>0</v>
      </c>
      <c r="AT618" s="31" t="n">
        <v>1</v>
      </c>
      <c r="AU618" s="31" t="n">
        <f aca="false">IF($G618="",AJ618,L618)</f>
        <v>0</v>
      </c>
      <c r="AV618" s="31" t="n">
        <f aca="false">IF($G618="",AK618,M618)</f>
        <v>0</v>
      </c>
      <c r="AW618" s="31" t="n">
        <f aca="false">IF($G618="",AL618,N618)</f>
        <v>266723</v>
      </c>
      <c r="AX618" s="31" t="n">
        <f aca="false">IF($G618="",AM618,O618)</f>
        <v>21863</v>
      </c>
      <c r="AY618" s="31" t="n">
        <f aca="false">IF($G618="",AN618,P618)</f>
        <v>284</v>
      </c>
      <c r="AZ618" s="31" t="n">
        <f aca="false">IF($G618="",AO618,Q618)</f>
        <v>0</v>
      </c>
      <c r="BA618" s="31" t="n">
        <f aca="false">IF($G618="",AP618,R618)</f>
        <v>160646</v>
      </c>
      <c r="BB618" s="31" t="n">
        <f aca="false">IF($G618="",AQ618,S618)</f>
        <v>0</v>
      </c>
      <c r="BC618" s="31" t="n">
        <f aca="false">IF($G618="",AR618,T618)</f>
        <v>20879</v>
      </c>
      <c r="BD618" s="31" t="n">
        <f aca="false">IF($G618="",AS618,U618)</f>
        <v>0</v>
      </c>
      <c r="BE618" s="31" t="n">
        <f aca="false">IF($G618="",AT618,V618)</f>
        <v>1</v>
      </c>
      <c r="BF618" s="31" t="n">
        <f aca="false">ROUNDDOWN(I618*設定!$B$10/1000,0)+ROUNDDOWN(I618*設定!$B$11/1000,0)</f>
        <v>0</v>
      </c>
      <c r="BG618" s="31" t="n">
        <f aca="false">ROUNDDOWN(I618*設定!$C$10/1000,0)+ROUNDDOWN(I618*設定!$C$11/1000,0)+ROUNDDOWN(I618*設定!$C$12/1000,0)</f>
        <v>0</v>
      </c>
      <c r="BH618" s="31" t="n">
        <f aca="false">ROUNDDOWN(J618*設定!$B$13/1000,0)</f>
        <v>0</v>
      </c>
      <c r="BI618" s="31" t="n">
        <f aca="false">ROUNDDOWN(J618*設定!$C$13/1000,0)</f>
        <v>0</v>
      </c>
      <c r="BJ618" s="31" t="n">
        <f aca="false">ROUNDDOWN(K618*設定!$B$14/1000,0)</f>
        <v>0</v>
      </c>
      <c r="BK618" s="31" t="n">
        <f aca="false">ROUNDDOWN(K618*設定!$C$14/1000,0)</f>
        <v>0</v>
      </c>
      <c r="BL618" s="31" t="n">
        <f aca="false">ROUNDDOWN(J618*設定!$B$15/1000,0)</f>
        <v>0</v>
      </c>
      <c r="BM618" s="31" t="n">
        <f aca="false">ROUNDDOWN(J618*設定!$C$15/1000,0)</f>
        <v>0</v>
      </c>
      <c r="BN618" s="31" t="n">
        <f aca="false">L618+M618</f>
        <v>0</v>
      </c>
      <c r="BO618" s="31" t="n">
        <f aca="false">N618+O618+P618</f>
        <v>0</v>
      </c>
      <c r="BP618" s="31" t="n">
        <f aca="false">Q618</f>
        <v>0</v>
      </c>
      <c r="BQ618" s="31" t="n">
        <f aca="false">R618</f>
        <v>0</v>
      </c>
      <c r="BR618" s="31" t="n">
        <f aca="false">S618</f>
        <v>0</v>
      </c>
      <c r="BS618" s="31" t="n">
        <f aca="false">T618</f>
        <v>0</v>
      </c>
      <c r="BT618" s="31" t="n">
        <f aca="false">U618</f>
        <v>0</v>
      </c>
      <c r="BU618" s="31" t="n">
        <f aca="false">V618</f>
        <v>0</v>
      </c>
      <c r="BV618" s="32" t="n">
        <f aca="false">IF(BF618=0,IF(BN618=0,0,1),(BN618-BF618)/BF618)</f>
        <v>0</v>
      </c>
      <c r="BW618" s="32" t="n">
        <f aca="false">IF(BG618=0,IF(BO618=0,0,1),(BO618-BG618)/BG618)</f>
        <v>0</v>
      </c>
      <c r="BX618" s="32" t="n">
        <f aca="false">IF(BH618=0,IF(BP618=0,0,1),(BP618-BH618)/BH618)</f>
        <v>0</v>
      </c>
      <c r="BY618" s="32" t="n">
        <f aca="false">IF(BI618=0,IF(BQ618=0,0,1),(BQ618-BI618)/BI618)</f>
        <v>0</v>
      </c>
      <c r="BZ618" s="32" t="n">
        <f aca="false">IF(BJ618=0,IF(BR618=0,0,1),(BR618-BJ618)/BJ618)</f>
        <v>0</v>
      </c>
      <c r="CA618" s="32" t="n">
        <f aca="false">IF(BK618=0,IF(BS618=0,0,1),(BS618-BK618)/BK618)</f>
        <v>0</v>
      </c>
      <c r="CB618" s="32" t="n">
        <f aca="false">IF(BL618=0,IF(BT618=0,0,1),(BT618-BL618)/BL618)</f>
        <v>0</v>
      </c>
      <c r="CC618" s="32" t="n">
        <f aca="false">IF(BM618=0,IF(BU618=0,0,1),(BU618-BM618)/BM618)</f>
        <v>0</v>
      </c>
      <c r="CD618" s="32" t="n">
        <f aca="false">MAX(MAX(BV618:CC618),-MIN(BV618:CC618))</f>
        <v>-0</v>
      </c>
      <c r="CE618" s="31" t="str">
        <f aca="false">IF(CI618="","",SUMIFS($CF$7:$CF$696,$A$7:$A$696,CI618,$B$7:$B$696,B618))</f>
        <v/>
      </c>
      <c r="CF618" s="31" t="n">
        <f aca="false">SUM(AU618:BE618)</f>
        <v>470396</v>
      </c>
      <c r="CG618" s="33" t="str">
        <f aca="false">A618&amp;"|"&amp;B618</f>
        <v>2027-03 賞与|平和文化センター</v>
      </c>
      <c r="CH618" s="34" t="str">
        <f aca="false">IFERROR(INDEX(設定!$D$61:$D$106,MATCH(B618,設定!$B$61:$B$106,0)),"Y")</f>
        <v>Y</v>
      </c>
      <c r="CI618" s="34" t="str">
        <f aca="false">IFERROR(INDEX(設定!$D$20:$D$34,MATCH(A618,設定!$A$20:$A$34,0))&amp;"","")</f>
        <v/>
      </c>
    </row>
    <row r="619" customFormat="false" ht="15" hidden="true" customHeight="false" outlineLevel="0" collapsed="false">
      <c r="A619" s="22" t="s">
        <v>221</v>
      </c>
      <c r="B619" s="23" t="s">
        <v>175</v>
      </c>
      <c r="C619" s="10" t="str">
        <f aca="false">IF(G619="","未受領",IF(G619="なし","報告なし",IF(AH619="○","起票済",IF(OR(AG619="○",F619="一致",F619="入金不要"),"入金確認済","受領済"))))</f>
        <v>未受領</v>
      </c>
      <c r="D619" s="10" t="str">
        <f aca="false">IF(OR(G619="",G619="なし"),"―",IF(CH619="N","対象外",IF(AND(I619="",J619="",K619=""),"標報未入力",IF(CD619&gt;=設定!$B$4,"要確認","問題なし"))))</f>
        <v>―</v>
      </c>
      <c r="E619" s="24" t="str">
        <f aca="false">IF(OR(G619="",G619="なし",CE619="",CF619=0),"―",IF(CF619=CE619,"前月同額",IF(CE619=0,"―",IF(ABS(CF619/CE619-1)&gt;=設定!$B$5,"変動大 "&amp;TEXT(CF619/CE619-1,"+0%;-0%"),"〇"))))</f>
        <v>―</v>
      </c>
      <c r="F619" s="10" t="str">
        <f aca="false">IF(OR(G619="",G619="なし"),"―",IF(CF619=0,"入金不要",IF(COUNT(Z619,AB619,AD619,AF619)=0,IF(AG619="○","手動確認","未入金"),IF(AND(N(Z619)=Y619,IF(AA619="",TRUE(),N(AB619)=AA619),IF(AC619="",TRUE(),N(AD619)=AC619),IF(AE619="",TRUE(),N(AF619)=AE619)),"一致","不一致"))))</f>
        <v>―</v>
      </c>
      <c r="G619" s="25"/>
      <c r="H619" s="26"/>
      <c r="I619" s="27"/>
      <c r="J619" s="27"/>
      <c r="K619" s="27"/>
      <c r="L619" s="27"/>
      <c r="M619" s="27"/>
      <c r="N619" s="27"/>
      <c r="O619" s="27"/>
      <c r="P619" s="27"/>
      <c r="Q619" s="27"/>
      <c r="R619" s="27"/>
      <c r="S619" s="27"/>
      <c r="T619" s="27"/>
      <c r="U619" s="27"/>
      <c r="V619" s="27"/>
      <c r="W619" s="10" t="str">
        <f aca="false">IFERROR(INDEX(設定!$E$61:$E$106,MATCH(B619,設定!$B$61:$B$106,0)),"合算")</f>
        <v>合算</v>
      </c>
      <c r="X619" s="28"/>
      <c r="Y619" s="29" t="str">
        <f aca="false">IF(OR(G619="",G619="なし"),"",IF(W619="合算",CF619,IF(W619="掛金・負担金別",(AU619+AV619+AZ619+BB619+BD619),SUM(AU619:AY619))))</f>
        <v/>
      </c>
      <c r="Z619" s="27"/>
      <c r="AA619" s="29" t="str">
        <f aca="false">IF(OR(G619="",G619="なし"),"",IF(W619="掛金・負担金別",(AW619+AX619+AY619+BA619+BC619+BE619),IF(W619="経理区分別",AZ619+BA619,"")))</f>
        <v/>
      </c>
      <c r="AB619" s="27"/>
      <c r="AC619" s="29" t="str">
        <f aca="false">IF(OR(G619="",G619="なし"),"",IF(W619="経理区分別",BB619+BC619,""))</f>
        <v/>
      </c>
      <c r="AD619" s="27"/>
      <c r="AE619" s="29" t="str">
        <f aca="false">IF(OR(G619="",G619="なし"),"",IF(W619="経理区分別",BD619+BE619,""))</f>
        <v/>
      </c>
      <c r="AF619" s="27"/>
      <c r="AG619" s="26"/>
      <c r="AH619" s="26"/>
      <c r="AI619" s="30"/>
      <c r="AJ619" s="31"/>
      <c r="AK619" s="31"/>
      <c r="AL619" s="31" t="n">
        <v>842818</v>
      </c>
      <c r="AM619" s="31" t="n">
        <v>69079</v>
      </c>
      <c r="AN619" s="31" t="n">
        <v>884</v>
      </c>
      <c r="AO619" s="31"/>
      <c r="AP619" s="31" t="n">
        <v>507639</v>
      </c>
      <c r="AQ619" s="31"/>
      <c r="AR619" s="31" t="n">
        <v>56123</v>
      </c>
      <c r="AS619" s="31"/>
      <c r="AT619" s="31" t="n">
        <v>1</v>
      </c>
      <c r="AU619" s="31" t="n">
        <f aca="false">IF($G619="",AJ619,L619)</f>
        <v>0</v>
      </c>
      <c r="AV619" s="31" t="n">
        <f aca="false">IF($G619="",AK619,M619)</f>
        <v>0</v>
      </c>
      <c r="AW619" s="31" t="n">
        <f aca="false">IF($G619="",AL619,N619)</f>
        <v>842818</v>
      </c>
      <c r="AX619" s="31" t="n">
        <f aca="false">IF($G619="",AM619,O619)</f>
        <v>69079</v>
      </c>
      <c r="AY619" s="31" t="n">
        <f aca="false">IF($G619="",AN619,P619)</f>
        <v>884</v>
      </c>
      <c r="AZ619" s="31" t="n">
        <f aca="false">IF($G619="",AO619,Q619)</f>
        <v>0</v>
      </c>
      <c r="BA619" s="31" t="n">
        <f aca="false">IF($G619="",AP619,R619)</f>
        <v>507639</v>
      </c>
      <c r="BB619" s="31" t="n">
        <f aca="false">IF($G619="",AQ619,S619)</f>
        <v>0</v>
      </c>
      <c r="BC619" s="31" t="n">
        <f aca="false">IF($G619="",AR619,T619)</f>
        <v>56123</v>
      </c>
      <c r="BD619" s="31" t="n">
        <f aca="false">IF($G619="",AS619,U619)</f>
        <v>0</v>
      </c>
      <c r="BE619" s="31" t="n">
        <f aca="false">IF($G619="",AT619,V619)</f>
        <v>1</v>
      </c>
      <c r="BF619" s="31" t="n">
        <f aca="false">ROUNDDOWN(I619*設定!$B$10/1000,0)+ROUNDDOWN(I619*設定!$B$11/1000,0)</f>
        <v>0</v>
      </c>
      <c r="BG619" s="31" t="n">
        <f aca="false">ROUNDDOWN(I619*設定!$C$10/1000,0)+ROUNDDOWN(I619*設定!$C$11/1000,0)+ROUNDDOWN(I619*設定!$C$12/1000,0)</f>
        <v>0</v>
      </c>
      <c r="BH619" s="31" t="n">
        <f aca="false">ROUNDDOWN(J619*設定!$B$13/1000,0)</f>
        <v>0</v>
      </c>
      <c r="BI619" s="31" t="n">
        <f aca="false">ROUNDDOWN(J619*設定!$C$13/1000,0)</f>
        <v>0</v>
      </c>
      <c r="BJ619" s="31" t="n">
        <f aca="false">ROUNDDOWN(K619*設定!$B$14/1000,0)</f>
        <v>0</v>
      </c>
      <c r="BK619" s="31" t="n">
        <f aca="false">ROUNDDOWN(K619*設定!$C$14/1000,0)</f>
        <v>0</v>
      </c>
      <c r="BL619" s="31" t="n">
        <f aca="false">ROUNDDOWN(J619*設定!$B$15/1000,0)</f>
        <v>0</v>
      </c>
      <c r="BM619" s="31" t="n">
        <f aca="false">ROUNDDOWN(J619*設定!$C$15/1000,0)</f>
        <v>0</v>
      </c>
      <c r="BN619" s="31" t="n">
        <f aca="false">L619+M619</f>
        <v>0</v>
      </c>
      <c r="BO619" s="31" t="n">
        <f aca="false">N619+O619+P619</f>
        <v>0</v>
      </c>
      <c r="BP619" s="31" t="n">
        <f aca="false">Q619</f>
        <v>0</v>
      </c>
      <c r="BQ619" s="31" t="n">
        <f aca="false">R619</f>
        <v>0</v>
      </c>
      <c r="BR619" s="31" t="n">
        <f aca="false">S619</f>
        <v>0</v>
      </c>
      <c r="BS619" s="31" t="n">
        <f aca="false">T619</f>
        <v>0</v>
      </c>
      <c r="BT619" s="31" t="n">
        <f aca="false">U619</f>
        <v>0</v>
      </c>
      <c r="BU619" s="31" t="n">
        <f aca="false">V619</f>
        <v>0</v>
      </c>
      <c r="BV619" s="32" t="n">
        <f aca="false">IF(BF619=0,IF(BN619=0,0,1),(BN619-BF619)/BF619)</f>
        <v>0</v>
      </c>
      <c r="BW619" s="32" t="n">
        <f aca="false">IF(BG619=0,IF(BO619=0,0,1),(BO619-BG619)/BG619)</f>
        <v>0</v>
      </c>
      <c r="BX619" s="32" t="n">
        <f aca="false">IF(BH619=0,IF(BP619=0,0,1),(BP619-BH619)/BH619)</f>
        <v>0</v>
      </c>
      <c r="BY619" s="32" t="n">
        <f aca="false">IF(BI619=0,IF(BQ619=0,0,1),(BQ619-BI619)/BI619)</f>
        <v>0</v>
      </c>
      <c r="BZ619" s="32" t="n">
        <f aca="false">IF(BJ619=0,IF(BR619=0,0,1),(BR619-BJ619)/BJ619)</f>
        <v>0</v>
      </c>
      <c r="CA619" s="32" t="n">
        <f aca="false">IF(BK619=0,IF(BS619=0,0,1),(BS619-BK619)/BK619)</f>
        <v>0</v>
      </c>
      <c r="CB619" s="32" t="n">
        <f aca="false">IF(BL619=0,IF(BT619=0,0,1),(BT619-BL619)/BL619)</f>
        <v>0</v>
      </c>
      <c r="CC619" s="32" t="n">
        <f aca="false">IF(BM619=0,IF(BU619=0,0,1),(BU619-BM619)/BM619)</f>
        <v>0</v>
      </c>
      <c r="CD619" s="32" t="n">
        <f aca="false">MAX(MAX(BV619:CC619),-MIN(BV619:CC619))</f>
        <v>-0</v>
      </c>
      <c r="CE619" s="31" t="str">
        <f aca="false">IF(CI619="","",SUMIFS($CF$7:$CF$696,$A$7:$A$696,CI619,$B$7:$B$696,B619))</f>
        <v/>
      </c>
      <c r="CF619" s="31" t="n">
        <f aca="false">SUM(AU619:BE619)</f>
        <v>1476544</v>
      </c>
      <c r="CG619" s="33" t="str">
        <f aca="false">A619&amp;"|"&amp;B619</f>
        <v>2027-03 賞与|社会福祉事業団</v>
      </c>
      <c r="CH619" s="34" t="str">
        <f aca="false">IFERROR(INDEX(設定!$D$61:$D$106,MATCH(B619,設定!$B$61:$B$106,0)),"Y")</f>
        <v>Y</v>
      </c>
      <c r="CI619" s="34" t="str">
        <f aca="false">IFERROR(INDEX(設定!$D$20:$D$34,MATCH(A619,設定!$A$20:$A$34,0))&amp;"","")</f>
        <v/>
      </c>
    </row>
    <row r="620" customFormat="false" ht="15" hidden="true" customHeight="false" outlineLevel="0" collapsed="false">
      <c r="A620" s="22" t="s">
        <v>221</v>
      </c>
      <c r="B620" s="23" t="s">
        <v>176</v>
      </c>
      <c r="C620" s="10" t="str">
        <f aca="false">IF(G620="","未受領",IF(G620="なし","報告なし",IF(AH620="○","起票済",IF(OR(AG620="○",F620="一致",F620="入金不要"),"入金確認済","受領済"))))</f>
        <v>未受領</v>
      </c>
      <c r="D620" s="10" t="str">
        <f aca="false">IF(OR(G620="",G620="なし"),"―",IF(CH620="N","対象外",IF(AND(I620="",J620="",K620=""),"標報未入力",IF(CD620&gt;=設定!$B$4,"要確認","問題なし"))))</f>
        <v>―</v>
      </c>
      <c r="E620" s="24" t="str">
        <f aca="false">IF(OR(G620="",G620="なし",CE620="",CF620=0),"―",IF(CF620=CE620,"前月同額",IF(CE620=0,"―",IF(ABS(CF620/CE620-1)&gt;=設定!$B$5,"変動大 "&amp;TEXT(CF620/CE620-1,"+0%;-0%"),"〇"))))</f>
        <v>―</v>
      </c>
      <c r="F620" s="10" t="str">
        <f aca="false">IF(OR(G620="",G620="なし"),"―",IF(CF620=0,"入金不要",IF(COUNT(Z620,AB620,AD620,AF620)=0,IF(AG620="○","手動確認","未入金"),IF(AND(N(Z620)=Y620,IF(AA620="",TRUE(),N(AB620)=AA620),IF(AC620="",TRUE(),N(AD620)=AC620),IF(AE620="",TRUE(),N(AF620)=AE620)),"一致","不一致"))))</f>
        <v>―</v>
      </c>
      <c r="G620" s="25"/>
      <c r="H620" s="26"/>
      <c r="I620" s="27"/>
      <c r="J620" s="27"/>
      <c r="K620" s="27"/>
      <c r="L620" s="27"/>
      <c r="M620" s="27"/>
      <c r="N620" s="27"/>
      <c r="O620" s="27"/>
      <c r="P620" s="27"/>
      <c r="Q620" s="27"/>
      <c r="R620" s="27"/>
      <c r="S620" s="27"/>
      <c r="T620" s="27"/>
      <c r="U620" s="27"/>
      <c r="V620" s="27"/>
      <c r="W620" s="10" t="str">
        <f aca="false">IFERROR(INDEX(設定!$E$61:$E$106,MATCH(B620,設定!$B$61:$B$106,0)),"合算")</f>
        <v>合算</v>
      </c>
      <c r="X620" s="28"/>
      <c r="Y620" s="29" t="str">
        <f aca="false">IF(OR(G620="",G620="なし"),"",IF(W620="合算",CF620,IF(W620="掛金・負担金別",(AU620+AV620+AZ620+BB620+BD620),SUM(AU620:AY620))))</f>
        <v/>
      </c>
      <c r="Z620" s="27"/>
      <c r="AA620" s="29" t="str">
        <f aca="false">IF(OR(G620="",G620="なし"),"",IF(W620="掛金・負担金別",(AW620+AX620+AY620+BA620+BC620+BE620),IF(W620="経理区分別",AZ620+BA620,"")))</f>
        <v/>
      </c>
      <c r="AB620" s="27"/>
      <c r="AC620" s="29" t="str">
        <f aca="false">IF(OR(G620="",G620="なし"),"",IF(W620="経理区分別",BB620+BC620,""))</f>
        <v/>
      </c>
      <c r="AD620" s="27"/>
      <c r="AE620" s="29" t="str">
        <f aca="false">IF(OR(G620="",G620="なし"),"",IF(W620="経理区分別",BD620+BE620,""))</f>
        <v/>
      </c>
      <c r="AF620" s="27"/>
      <c r="AG620" s="26"/>
      <c r="AH620" s="26"/>
      <c r="AI620" s="30"/>
      <c r="AJ620" s="31"/>
      <c r="AK620" s="31"/>
      <c r="AL620" s="31" t="n">
        <v>22509</v>
      </c>
      <c r="AM620" s="31" t="n">
        <v>1845</v>
      </c>
      <c r="AN620" s="31" t="n">
        <v>23</v>
      </c>
      <c r="AO620" s="31"/>
      <c r="AP620" s="31" t="n">
        <v>13557</v>
      </c>
      <c r="AQ620" s="31"/>
      <c r="AR620" s="31" t="n">
        <v>1943</v>
      </c>
      <c r="AS620" s="31"/>
      <c r="AT620" s="31" t="n">
        <v>1</v>
      </c>
      <c r="AU620" s="31" t="n">
        <f aca="false">IF($G620="",AJ620,L620)</f>
        <v>0</v>
      </c>
      <c r="AV620" s="31" t="n">
        <f aca="false">IF($G620="",AK620,M620)</f>
        <v>0</v>
      </c>
      <c r="AW620" s="31" t="n">
        <f aca="false">IF($G620="",AL620,N620)</f>
        <v>22509</v>
      </c>
      <c r="AX620" s="31" t="n">
        <f aca="false">IF($G620="",AM620,O620)</f>
        <v>1845</v>
      </c>
      <c r="AY620" s="31" t="n">
        <f aca="false">IF($G620="",AN620,P620)</f>
        <v>23</v>
      </c>
      <c r="AZ620" s="31" t="n">
        <f aca="false">IF($G620="",AO620,Q620)</f>
        <v>0</v>
      </c>
      <c r="BA620" s="31" t="n">
        <f aca="false">IF($G620="",AP620,R620)</f>
        <v>13557</v>
      </c>
      <c r="BB620" s="31" t="n">
        <f aca="false">IF($G620="",AQ620,S620)</f>
        <v>0</v>
      </c>
      <c r="BC620" s="31" t="n">
        <f aca="false">IF($G620="",AR620,T620)</f>
        <v>1943</v>
      </c>
      <c r="BD620" s="31" t="n">
        <f aca="false">IF($G620="",AS620,U620)</f>
        <v>0</v>
      </c>
      <c r="BE620" s="31" t="n">
        <f aca="false">IF($G620="",AT620,V620)</f>
        <v>1</v>
      </c>
      <c r="BF620" s="31" t="n">
        <f aca="false">ROUNDDOWN(I620*設定!$B$10/1000,0)+ROUNDDOWN(I620*設定!$B$11/1000,0)</f>
        <v>0</v>
      </c>
      <c r="BG620" s="31" t="n">
        <f aca="false">ROUNDDOWN(I620*設定!$C$10/1000,0)+ROUNDDOWN(I620*設定!$C$11/1000,0)+ROUNDDOWN(I620*設定!$C$12/1000,0)</f>
        <v>0</v>
      </c>
      <c r="BH620" s="31" t="n">
        <f aca="false">ROUNDDOWN(J620*設定!$B$13/1000,0)</f>
        <v>0</v>
      </c>
      <c r="BI620" s="31" t="n">
        <f aca="false">ROUNDDOWN(J620*設定!$C$13/1000,0)</f>
        <v>0</v>
      </c>
      <c r="BJ620" s="31" t="n">
        <f aca="false">ROUNDDOWN(K620*設定!$B$14/1000,0)</f>
        <v>0</v>
      </c>
      <c r="BK620" s="31" t="n">
        <f aca="false">ROUNDDOWN(K620*設定!$C$14/1000,0)</f>
        <v>0</v>
      </c>
      <c r="BL620" s="31" t="n">
        <f aca="false">ROUNDDOWN(J620*設定!$B$15/1000,0)</f>
        <v>0</v>
      </c>
      <c r="BM620" s="31" t="n">
        <f aca="false">ROUNDDOWN(J620*設定!$C$15/1000,0)</f>
        <v>0</v>
      </c>
      <c r="BN620" s="31" t="n">
        <f aca="false">L620+M620</f>
        <v>0</v>
      </c>
      <c r="BO620" s="31" t="n">
        <f aca="false">N620+O620+P620</f>
        <v>0</v>
      </c>
      <c r="BP620" s="31" t="n">
        <f aca="false">Q620</f>
        <v>0</v>
      </c>
      <c r="BQ620" s="31" t="n">
        <f aca="false">R620</f>
        <v>0</v>
      </c>
      <c r="BR620" s="31" t="n">
        <f aca="false">S620</f>
        <v>0</v>
      </c>
      <c r="BS620" s="31" t="n">
        <f aca="false">T620</f>
        <v>0</v>
      </c>
      <c r="BT620" s="31" t="n">
        <f aca="false">U620</f>
        <v>0</v>
      </c>
      <c r="BU620" s="31" t="n">
        <f aca="false">V620</f>
        <v>0</v>
      </c>
      <c r="BV620" s="32" t="n">
        <f aca="false">IF(BF620=0,IF(BN620=0,0,1),(BN620-BF620)/BF620)</f>
        <v>0</v>
      </c>
      <c r="BW620" s="32" t="n">
        <f aca="false">IF(BG620=0,IF(BO620=0,0,1),(BO620-BG620)/BG620)</f>
        <v>0</v>
      </c>
      <c r="BX620" s="32" t="n">
        <f aca="false">IF(BH620=0,IF(BP620=0,0,1),(BP620-BH620)/BH620)</f>
        <v>0</v>
      </c>
      <c r="BY620" s="32" t="n">
        <f aca="false">IF(BI620=0,IF(BQ620=0,0,1),(BQ620-BI620)/BI620)</f>
        <v>0</v>
      </c>
      <c r="BZ620" s="32" t="n">
        <f aca="false">IF(BJ620=0,IF(BR620=0,0,1),(BR620-BJ620)/BJ620)</f>
        <v>0</v>
      </c>
      <c r="CA620" s="32" t="n">
        <f aca="false">IF(BK620=0,IF(BS620=0,0,1),(BS620-BK620)/BK620)</f>
        <v>0</v>
      </c>
      <c r="CB620" s="32" t="n">
        <f aca="false">IF(BL620=0,IF(BT620=0,0,1),(BT620-BL620)/BL620)</f>
        <v>0</v>
      </c>
      <c r="CC620" s="32" t="n">
        <f aca="false">IF(BM620=0,IF(BU620=0,0,1),(BU620-BM620)/BM620)</f>
        <v>0</v>
      </c>
      <c r="CD620" s="32" t="n">
        <f aca="false">MAX(MAX(BV620:CC620),-MIN(BV620:CC620))</f>
        <v>-0</v>
      </c>
      <c r="CE620" s="31" t="str">
        <f aca="false">IF(CI620="","",SUMIFS($CF$7:$CF$696,$A$7:$A$696,CI620,$B$7:$B$696,B620))</f>
        <v/>
      </c>
      <c r="CF620" s="31" t="n">
        <f aca="false">SUM(AU620:BE620)</f>
        <v>39878</v>
      </c>
      <c r="CG620" s="33" t="str">
        <f aca="false">A620&amp;"|"&amp;B620</f>
        <v>2027-03 賞与|原爆障害対策協議会</v>
      </c>
      <c r="CH620" s="34" t="str">
        <f aca="false">IFERROR(INDEX(設定!$D$61:$D$106,MATCH(B620,設定!$B$61:$B$106,0)),"Y")</f>
        <v>Y</v>
      </c>
      <c r="CI620" s="34" t="str">
        <f aca="false">IFERROR(INDEX(設定!$D$20:$D$34,MATCH(A620,設定!$A$20:$A$34,0))&amp;"","")</f>
        <v/>
      </c>
    </row>
    <row r="621" customFormat="false" ht="15" hidden="true" customHeight="false" outlineLevel="0" collapsed="false">
      <c r="A621" s="22" t="s">
        <v>221</v>
      </c>
      <c r="B621" s="23" t="s">
        <v>177</v>
      </c>
      <c r="C621" s="10" t="str">
        <f aca="false">IF(G621="","未受領",IF(G621="なし","報告なし",IF(AH621="○","起票済",IF(OR(AG621="○",F621="一致",F621="入金不要"),"入金確認済","受領済"))))</f>
        <v>未受領</v>
      </c>
      <c r="D621" s="10" t="str">
        <f aca="false">IF(OR(G621="",G621="なし"),"―",IF(CH621="N","対象外",IF(AND(I621="",J621="",K621=""),"標報未入力",IF(CD621&gt;=設定!$B$4,"要確認","問題なし"))))</f>
        <v>―</v>
      </c>
      <c r="E621" s="24" t="str">
        <f aca="false">IF(OR(G621="",G621="なし",CE621="",CF621=0),"―",IF(CF621=CE621,"前月同額",IF(CE621=0,"―",IF(ABS(CF621/CE621-1)&gt;=設定!$B$5,"変動大 "&amp;TEXT(CF621/CE621-1,"+0%;-0%"),"〇"))))</f>
        <v>―</v>
      </c>
      <c r="F621" s="10" t="str">
        <f aca="false">IF(OR(G621="",G621="なし"),"―",IF(CF621=0,"入金不要",IF(COUNT(Z621,AB621,AD621,AF621)=0,IF(AG621="○","手動確認","未入金"),IF(AND(N(Z621)=Y621,IF(AA621="",TRUE(),N(AB621)=AA621),IF(AC621="",TRUE(),N(AD621)=AC621),IF(AE621="",TRUE(),N(AF621)=AE621)),"一致","不一致"))))</f>
        <v>―</v>
      </c>
      <c r="G621" s="25"/>
      <c r="H621" s="26"/>
      <c r="I621" s="27"/>
      <c r="J621" s="27"/>
      <c r="K621" s="27"/>
      <c r="L621" s="27"/>
      <c r="M621" s="27"/>
      <c r="N621" s="27"/>
      <c r="O621" s="27"/>
      <c r="P621" s="27"/>
      <c r="Q621" s="27"/>
      <c r="R621" s="27"/>
      <c r="S621" s="27"/>
      <c r="T621" s="27"/>
      <c r="U621" s="27"/>
      <c r="V621" s="27"/>
      <c r="W621" s="10" t="str">
        <f aca="false">IFERROR(INDEX(設定!$E$61:$E$106,MATCH(B621,設定!$B$61:$B$106,0)),"合算")</f>
        <v>合算</v>
      </c>
      <c r="X621" s="28"/>
      <c r="Y621" s="29" t="str">
        <f aca="false">IF(OR(G621="",G621="なし"),"",IF(W621="合算",CF621,IF(W621="掛金・負担金別",(AU621+AV621+AZ621+BB621+BD621),SUM(AU621:AY621))))</f>
        <v/>
      </c>
      <c r="Z621" s="27"/>
      <c r="AA621" s="29" t="str">
        <f aca="false">IF(OR(G621="",G621="なし"),"",IF(W621="掛金・負担金別",(AW621+AX621+AY621+BA621+BC621+BE621),IF(W621="経理区分別",AZ621+BA621,"")))</f>
        <v/>
      </c>
      <c r="AB621" s="27"/>
      <c r="AC621" s="29" t="str">
        <f aca="false">IF(OR(G621="",G621="なし"),"",IF(W621="経理区分別",BB621+BC621,""))</f>
        <v/>
      </c>
      <c r="AD621" s="27"/>
      <c r="AE621" s="29" t="str">
        <f aca="false">IF(OR(G621="",G621="なし"),"",IF(W621="経理区分別",BD621+BE621,""))</f>
        <v/>
      </c>
      <c r="AF621" s="27"/>
      <c r="AG621" s="26"/>
      <c r="AH621" s="26"/>
      <c r="AI621" s="30"/>
      <c r="AJ621" s="31"/>
      <c r="AK621" s="31"/>
      <c r="AL621" s="31" t="n">
        <v>185656</v>
      </c>
      <c r="AM621" s="31" t="n">
        <v>15217</v>
      </c>
      <c r="AN621" s="31" t="n">
        <v>190</v>
      </c>
      <c r="AO621" s="31"/>
      <c r="AP621" s="31" t="n">
        <v>111817</v>
      </c>
      <c r="AQ621" s="31"/>
      <c r="AR621" s="31" t="n">
        <v>15064</v>
      </c>
      <c r="AS621" s="31"/>
      <c r="AT621" s="31" t="n">
        <v>1</v>
      </c>
      <c r="AU621" s="31" t="n">
        <f aca="false">IF($G621="",AJ621,L621)</f>
        <v>0</v>
      </c>
      <c r="AV621" s="31" t="n">
        <f aca="false">IF($G621="",AK621,M621)</f>
        <v>0</v>
      </c>
      <c r="AW621" s="31" t="n">
        <f aca="false">IF($G621="",AL621,N621)</f>
        <v>185656</v>
      </c>
      <c r="AX621" s="31" t="n">
        <f aca="false">IF($G621="",AM621,O621)</f>
        <v>15217</v>
      </c>
      <c r="AY621" s="31" t="n">
        <f aca="false">IF($G621="",AN621,P621)</f>
        <v>190</v>
      </c>
      <c r="AZ621" s="31" t="n">
        <f aca="false">IF($G621="",AO621,Q621)</f>
        <v>0</v>
      </c>
      <c r="BA621" s="31" t="n">
        <f aca="false">IF($G621="",AP621,R621)</f>
        <v>111817</v>
      </c>
      <c r="BB621" s="31" t="n">
        <f aca="false">IF($G621="",AQ621,S621)</f>
        <v>0</v>
      </c>
      <c r="BC621" s="31" t="n">
        <f aca="false">IF($G621="",AR621,T621)</f>
        <v>15064</v>
      </c>
      <c r="BD621" s="31" t="n">
        <f aca="false">IF($G621="",AS621,U621)</f>
        <v>0</v>
      </c>
      <c r="BE621" s="31" t="n">
        <f aca="false">IF($G621="",AT621,V621)</f>
        <v>1</v>
      </c>
      <c r="BF621" s="31" t="n">
        <f aca="false">ROUNDDOWN(I621*設定!$B$10/1000,0)+ROUNDDOWN(I621*設定!$B$11/1000,0)</f>
        <v>0</v>
      </c>
      <c r="BG621" s="31" t="n">
        <f aca="false">ROUNDDOWN(I621*設定!$C$10/1000,0)+ROUNDDOWN(I621*設定!$C$11/1000,0)+ROUNDDOWN(I621*設定!$C$12/1000,0)</f>
        <v>0</v>
      </c>
      <c r="BH621" s="31" t="n">
        <f aca="false">ROUNDDOWN(J621*設定!$B$13/1000,0)</f>
        <v>0</v>
      </c>
      <c r="BI621" s="31" t="n">
        <f aca="false">ROUNDDOWN(J621*設定!$C$13/1000,0)</f>
        <v>0</v>
      </c>
      <c r="BJ621" s="31" t="n">
        <f aca="false">ROUNDDOWN(K621*設定!$B$14/1000,0)</f>
        <v>0</v>
      </c>
      <c r="BK621" s="31" t="n">
        <f aca="false">ROUNDDOWN(K621*設定!$C$14/1000,0)</f>
        <v>0</v>
      </c>
      <c r="BL621" s="31" t="n">
        <f aca="false">ROUNDDOWN(J621*設定!$B$15/1000,0)</f>
        <v>0</v>
      </c>
      <c r="BM621" s="31" t="n">
        <f aca="false">ROUNDDOWN(J621*設定!$C$15/1000,0)</f>
        <v>0</v>
      </c>
      <c r="BN621" s="31" t="n">
        <f aca="false">L621+M621</f>
        <v>0</v>
      </c>
      <c r="BO621" s="31" t="n">
        <f aca="false">N621+O621+P621</f>
        <v>0</v>
      </c>
      <c r="BP621" s="31" t="n">
        <f aca="false">Q621</f>
        <v>0</v>
      </c>
      <c r="BQ621" s="31" t="n">
        <f aca="false">R621</f>
        <v>0</v>
      </c>
      <c r="BR621" s="31" t="n">
        <f aca="false">S621</f>
        <v>0</v>
      </c>
      <c r="BS621" s="31" t="n">
        <f aca="false">T621</f>
        <v>0</v>
      </c>
      <c r="BT621" s="31" t="n">
        <f aca="false">U621</f>
        <v>0</v>
      </c>
      <c r="BU621" s="31" t="n">
        <f aca="false">V621</f>
        <v>0</v>
      </c>
      <c r="BV621" s="32" t="n">
        <f aca="false">IF(BF621=0,IF(BN621=0,0,1),(BN621-BF621)/BF621)</f>
        <v>0</v>
      </c>
      <c r="BW621" s="32" t="n">
        <f aca="false">IF(BG621=0,IF(BO621=0,0,1),(BO621-BG621)/BG621)</f>
        <v>0</v>
      </c>
      <c r="BX621" s="32" t="n">
        <f aca="false">IF(BH621=0,IF(BP621=0,0,1),(BP621-BH621)/BH621)</f>
        <v>0</v>
      </c>
      <c r="BY621" s="32" t="n">
        <f aca="false">IF(BI621=0,IF(BQ621=0,0,1),(BQ621-BI621)/BI621)</f>
        <v>0</v>
      </c>
      <c r="BZ621" s="32" t="n">
        <f aca="false">IF(BJ621=0,IF(BR621=0,0,1),(BR621-BJ621)/BJ621)</f>
        <v>0</v>
      </c>
      <c r="CA621" s="32" t="n">
        <f aca="false">IF(BK621=0,IF(BS621=0,0,1),(BS621-BK621)/BK621)</f>
        <v>0</v>
      </c>
      <c r="CB621" s="32" t="n">
        <f aca="false">IF(BL621=0,IF(BT621=0,0,1),(BT621-BL621)/BL621)</f>
        <v>0</v>
      </c>
      <c r="CC621" s="32" t="n">
        <f aca="false">IF(BM621=0,IF(BU621=0,0,1),(BU621-BM621)/BM621)</f>
        <v>0</v>
      </c>
      <c r="CD621" s="32" t="n">
        <f aca="false">MAX(MAX(BV621:CC621),-MIN(BV621:CC621))</f>
        <v>-0</v>
      </c>
      <c r="CE621" s="31" t="str">
        <f aca="false">IF(CI621="","",SUMIFS($CF$7:$CF$696,$A$7:$A$696,CI621,$B$7:$B$696,B621))</f>
        <v/>
      </c>
      <c r="CF621" s="31" t="n">
        <f aca="false">SUM(AU621:BE621)</f>
        <v>327945</v>
      </c>
      <c r="CG621" s="33" t="str">
        <f aca="false">A621&amp;"|"&amp;B621</f>
        <v>2027-03 賞与|産業振興センター</v>
      </c>
      <c r="CH621" s="34" t="str">
        <f aca="false">IFERROR(INDEX(設定!$D$61:$D$106,MATCH(B621,設定!$B$61:$B$106,0)),"Y")</f>
        <v>Y</v>
      </c>
      <c r="CI621" s="34" t="str">
        <f aca="false">IFERROR(INDEX(設定!$D$20:$D$34,MATCH(A621,設定!$A$20:$A$34,0))&amp;"","")</f>
        <v/>
      </c>
    </row>
    <row r="622" customFormat="false" ht="15" hidden="true" customHeight="false" outlineLevel="0" collapsed="false">
      <c r="A622" s="22" t="s">
        <v>221</v>
      </c>
      <c r="B622" s="23" t="s">
        <v>178</v>
      </c>
      <c r="C622" s="10" t="str">
        <f aca="false">IF(G622="","未受領",IF(G622="なし","報告なし",IF(AH622="○","起票済",IF(OR(AG622="○",F622="一致",F622="入金不要"),"入金確認済","受領済"))))</f>
        <v>未受領</v>
      </c>
      <c r="D622" s="10" t="str">
        <f aca="false">IF(OR(G622="",G622="なし"),"―",IF(CH622="N","対象外",IF(AND(I622="",J622="",K622=""),"標報未入力",IF(CD622&gt;=設定!$B$4,"要確認","問題なし"))))</f>
        <v>―</v>
      </c>
      <c r="E622" s="24" t="str">
        <f aca="false">IF(OR(G622="",G622="なし",CE622="",CF622=0),"―",IF(CF622=CE622,"前月同額",IF(CE622=0,"―",IF(ABS(CF622/CE622-1)&gt;=設定!$B$5,"変動大 "&amp;TEXT(CF622/CE622-1,"+0%;-0%"),"〇"))))</f>
        <v>―</v>
      </c>
      <c r="F622" s="10" t="str">
        <f aca="false">IF(OR(G622="",G622="なし"),"―",IF(CF622=0,"入金不要",IF(COUNT(Z622,AB622,AD622,AF622)=0,IF(AG622="○","手動確認","未入金"),IF(AND(N(Z622)=Y622,IF(AA622="",TRUE(),N(AB622)=AA622),IF(AC622="",TRUE(),N(AD622)=AC622),IF(AE622="",TRUE(),N(AF622)=AE622)),"一致","不一致"))))</f>
        <v>―</v>
      </c>
      <c r="G622" s="25"/>
      <c r="H622" s="26"/>
      <c r="I622" s="27"/>
      <c r="J622" s="27"/>
      <c r="K622" s="27"/>
      <c r="L622" s="27"/>
      <c r="M622" s="27"/>
      <c r="N622" s="27"/>
      <c r="O622" s="27"/>
      <c r="P622" s="27"/>
      <c r="Q622" s="27"/>
      <c r="R622" s="27"/>
      <c r="S622" s="27"/>
      <c r="T622" s="27"/>
      <c r="U622" s="27"/>
      <c r="V622" s="27"/>
      <c r="W622" s="10" t="str">
        <f aca="false">IFERROR(INDEX(設定!$E$61:$E$106,MATCH(B622,設定!$B$61:$B$106,0)),"合算")</f>
        <v>合算</v>
      </c>
      <c r="X622" s="28"/>
      <c r="Y622" s="29" t="str">
        <f aca="false">IF(OR(G622="",G622="なし"),"",IF(W622="合算",CF622,IF(W622="掛金・負担金別",(AU622+AV622+AZ622+BB622+BD622),SUM(AU622:AY622))))</f>
        <v/>
      </c>
      <c r="Z622" s="27"/>
      <c r="AA622" s="29" t="str">
        <f aca="false">IF(OR(G622="",G622="なし"),"",IF(W622="掛金・負担金別",(AW622+AX622+AY622+BA622+BC622+BE622),IF(W622="経理区分別",AZ622+BA622,"")))</f>
        <v/>
      </c>
      <c r="AB622" s="27"/>
      <c r="AC622" s="29" t="str">
        <f aca="false">IF(OR(G622="",G622="なし"),"",IF(W622="経理区分別",BB622+BC622,""))</f>
        <v/>
      </c>
      <c r="AD622" s="27"/>
      <c r="AE622" s="29" t="str">
        <f aca="false">IF(OR(G622="",G622="なし"),"",IF(W622="経理区分別",BD622+BE622,""))</f>
        <v/>
      </c>
      <c r="AF622" s="27"/>
      <c r="AG622" s="26"/>
      <c r="AH622" s="26"/>
      <c r="AI622" s="30"/>
      <c r="AJ622" s="31"/>
      <c r="AK622" s="31"/>
      <c r="AL622" s="31" t="n">
        <v>40352</v>
      </c>
      <c r="AM622" s="31" t="n">
        <v>3307</v>
      </c>
      <c r="AN622" s="31" t="n">
        <v>41</v>
      </c>
      <c r="AO622" s="31"/>
      <c r="AP622" s="31" t="n">
        <v>24303</v>
      </c>
      <c r="AQ622" s="31"/>
      <c r="AR622" s="31" t="n">
        <v>3483</v>
      </c>
      <c r="AS622" s="31"/>
      <c r="AT622" s="31" t="n">
        <v>1</v>
      </c>
      <c r="AU622" s="31" t="n">
        <f aca="false">IF($G622="",AJ622,L622)</f>
        <v>0</v>
      </c>
      <c r="AV622" s="31" t="n">
        <f aca="false">IF($G622="",AK622,M622)</f>
        <v>0</v>
      </c>
      <c r="AW622" s="31" t="n">
        <f aca="false">IF($G622="",AL622,N622)</f>
        <v>40352</v>
      </c>
      <c r="AX622" s="31" t="n">
        <f aca="false">IF($G622="",AM622,O622)</f>
        <v>3307</v>
      </c>
      <c r="AY622" s="31" t="n">
        <f aca="false">IF($G622="",AN622,P622)</f>
        <v>41</v>
      </c>
      <c r="AZ622" s="31" t="n">
        <f aca="false">IF($G622="",AO622,Q622)</f>
        <v>0</v>
      </c>
      <c r="BA622" s="31" t="n">
        <f aca="false">IF($G622="",AP622,R622)</f>
        <v>24303</v>
      </c>
      <c r="BB622" s="31" t="n">
        <f aca="false">IF($G622="",AQ622,S622)</f>
        <v>0</v>
      </c>
      <c r="BC622" s="31" t="n">
        <f aca="false">IF($G622="",AR622,T622)</f>
        <v>3483</v>
      </c>
      <c r="BD622" s="31" t="n">
        <f aca="false">IF($G622="",AS622,U622)</f>
        <v>0</v>
      </c>
      <c r="BE622" s="31" t="n">
        <f aca="false">IF($G622="",AT622,V622)</f>
        <v>1</v>
      </c>
      <c r="BF622" s="31" t="n">
        <f aca="false">ROUNDDOWN(I622*設定!$B$10/1000,0)+ROUNDDOWN(I622*設定!$B$11/1000,0)</f>
        <v>0</v>
      </c>
      <c r="BG622" s="31" t="n">
        <f aca="false">ROUNDDOWN(I622*設定!$C$10/1000,0)+ROUNDDOWN(I622*設定!$C$11/1000,0)+ROUNDDOWN(I622*設定!$C$12/1000,0)</f>
        <v>0</v>
      </c>
      <c r="BH622" s="31" t="n">
        <f aca="false">ROUNDDOWN(J622*設定!$B$13/1000,0)</f>
        <v>0</v>
      </c>
      <c r="BI622" s="31" t="n">
        <f aca="false">ROUNDDOWN(J622*設定!$C$13/1000,0)</f>
        <v>0</v>
      </c>
      <c r="BJ622" s="31" t="n">
        <f aca="false">ROUNDDOWN(K622*設定!$B$14/1000,0)</f>
        <v>0</v>
      </c>
      <c r="BK622" s="31" t="n">
        <f aca="false">ROUNDDOWN(K622*設定!$C$14/1000,0)</f>
        <v>0</v>
      </c>
      <c r="BL622" s="31" t="n">
        <f aca="false">ROUNDDOWN(J622*設定!$B$15/1000,0)</f>
        <v>0</v>
      </c>
      <c r="BM622" s="31" t="n">
        <f aca="false">ROUNDDOWN(J622*設定!$C$15/1000,0)</f>
        <v>0</v>
      </c>
      <c r="BN622" s="31" t="n">
        <f aca="false">L622+M622</f>
        <v>0</v>
      </c>
      <c r="BO622" s="31" t="n">
        <f aca="false">N622+O622+P622</f>
        <v>0</v>
      </c>
      <c r="BP622" s="31" t="n">
        <f aca="false">Q622</f>
        <v>0</v>
      </c>
      <c r="BQ622" s="31" t="n">
        <f aca="false">R622</f>
        <v>0</v>
      </c>
      <c r="BR622" s="31" t="n">
        <f aca="false">S622</f>
        <v>0</v>
      </c>
      <c r="BS622" s="31" t="n">
        <f aca="false">T622</f>
        <v>0</v>
      </c>
      <c r="BT622" s="31" t="n">
        <f aca="false">U622</f>
        <v>0</v>
      </c>
      <c r="BU622" s="31" t="n">
        <f aca="false">V622</f>
        <v>0</v>
      </c>
      <c r="BV622" s="32" t="n">
        <f aca="false">IF(BF622=0,IF(BN622=0,0,1),(BN622-BF622)/BF622)</f>
        <v>0</v>
      </c>
      <c r="BW622" s="32" t="n">
        <f aca="false">IF(BG622=0,IF(BO622=0,0,1),(BO622-BG622)/BG622)</f>
        <v>0</v>
      </c>
      <c r="BX622" s="32" t="n">
        <f aca="false">IF(BH622=0,IF(BP622=0,0,1),(BP622-BH622)/BH622)</f>
        <v>0</v>
      </c>
      <c r="BY622" s="32" t="n">
        <f aca="false">IF(BI622=0,IF(BQ622=0,0,1),(BQ622-BI622)/BI622)</f>
        <v>0</v>
      </c>
      <c r="BZ622" s="32" t="n">
        <f aca="false">IF(BJ622=0,IF(BR622=0,0,1),(BR622-BJ622)/BJ622)</f>
        <v>0</v>
      </c>
      <c r="CA622" s="32" t="n">
        <f aca="false">IF(BK622=0,IF(BS622=0,0,1),(BS622-BK622)/BK622)</f>
        <v>0</v>
      </c>
      <c r="CB622" s="32" t="n">
        <f aca="false">IF(BL622=0,IF(BT622=0,0,1),(BT622-BL622)/BL622)</f>
        <v>0</v>
      </c>
      <c r="CC622" s="32" t="n">
        <f aca="false">IF(BM622=0,IF(BU622=0,0,1),(BU622-BM622)/BM622)</f>
        <v>0</v>
      </c>
      <c r="CD622" s="32" t="n">
        <f aca="false">MAX(MAX(BV622:CC622),-MIN(BV622:CC622))</f>
        <v>-0</v>
      </c>
      <c r="CE622" s="31" t="str">
        <f aca="false">IF(CI622="","",SUMIFS($CF$7:$CF$696,$A$7:$A$696,CI622,$B$7:$B$696,B622))</f>
        <v/>
      </c>
      <c r="CF622" s="31" t="n">
        <f aca="false">SUM(AU622:BE622)</f>
        <v>71487</v>
      </c>
      <c r="CG622" s="33" t="str">
        <f aca="false">A622&amp;"|"&amp;B622</f>
        <v>2027-03 賞与|ひろしま産業振興</v>
      </c>
      <c r="CH622" s="34" t="str">
        <f aca="false">IFERROR(INDEX(設定!$D$61:$D$106,MATCH(B622,設定!$B$61:$B$106,0)),"Y")</f>
        <v>Y</v>
      </c>
      <c r="CI622" s="34" t="str">
        <f aca="false">IFERROR(INDEX(設定!$D$20:$D$34,MATCH(A622,設定!$A$20:$A$34,0))&amp;"","")</f>
        <v/>
      </c>
    </row>
    <row r="623" customFormat="false" ht="15" hidden="true" customHeight="false" outlineLevel="0" collapsed="false">
      <c r="A623" s="22" t="s">
        <v>221</v>
      </c>
      <c r="B623" s="23" t="s">
        <v>179</v>
      </c>
      <c r="C623" s="10" t="str">
        <f aca="false">IF(G623="","未受領",IF(G623="なし","報告なし",IF(AH623="○","起票済",IF(OR(AG623="○",F623="一致",F623="入金不要"),"入金確認済","受領済"))))</f>
        <v>未受領</v>
      </c>
      <c r="D623" s="10" t="str">
        <f aca="false">IF(OR(G623="",G623="なし"),"―",IF(CH623="N","対象外",IF(AND(I623="",J623="",K623=""),"標報未入力",IF(CD623&gt;=設定!$B$4,"要確認","問題なし"))))</f>
        <v>―</v>
      </c>
      <c r="E623" s="24" t="str">
        <f aca="false">IF(OR(G623="",G623="なし",CE623="",CF623=0),"―",IF(CF623=CE623,"前月同額",IF(CE623=0,"―",IF(ABS(CF623/CE623-1)&gt;=設定!$B$5,"変動大 "&amp;TEXT(CF623/CE623-1,"+0%;-0%"),"〇"))))</f>
        <v>―</v>
      </c>
      <c r="F623" s="10" t="str">
        <f aca="false">IF(OR(G623="",G623="なし"),"―",IF(CF623=0,"入金不要",IF(COUNT(Z623,AB623,AD623,AF623)=0,IF(AG623="○","手動確認","未入金"),IF(AND(N(Z623)=Y623,IF(AA623="",TRUE(),N(AB623)=AA623),IF(AC623="",TRUE(),N(AD623)=AC623),IF(AE623="",TRUE(),N(AF623)=AE623)),"一致","不一致"))))</f>
        <v>―</v>
      </c>
      <c r="G623" s="25"/>
      <c r="H623" s="26"/>
      <c r="I623" s="27"/>
      <c r="J623" s="27"/>
      <c r="K623" s="27"/>
      <c r="L623" s="27"/>
      <c r="M623" s="27"/>
      <c r="N623" s="27"/>
      <c r="O623" s="27"/>
      <c r="P623" s="27"/>
      <c r="Q623" s="27"/>
      <c r="R623" s="27"/>
      <c r="S623" s="27"/>
      <c r="T623" s="27"/>
      <c r="U623" s="27"/>
      <c r="V623" s="27"/>
      <c r="W623" s="10" t="str">
        <f aca="false">IFERROR(INDEX(設定!$E$61:$E$106,MATCH(B623,設定!$B$61:$B$106,0)),"合算")</f>
        <v>合算</v>
      </c>
      <c r="X623" s="28"/>
      <c r="Y623" s="29" t="str">
        <f aca="false">IF(OR(G623="",G623="なし"),"",IF(W623="合算",CF623,IF(W623="掛金・負担金別",(AU623+AV623+AZ623+BB623+BD623),SUM(AU623:AY623))))</f>
        <v/>
      </c>
      <c r="Z623" s="27"/>
      <c r="AA623" s="29" t="str">
        <f aca="false">IF(OR(G623="",G623="なし"),"",IF(W623="掛金・負担金別",(AW623+AX623+AY623+BA623+BC623+BE623),IF(W623="経理区分別",AZ623+BA623,"")))</f>
        <v/>
      </c>
      <c r="AB623" s="27"/>
      <c r="AC623" s="29" t="str">
        <f aca="false">IF(OR(G623="",G623="なし"),"",IF(W623="経理区分別",BB623+BC623,""))</f>
        <v/>
      </c>
      <c r="AD623" s="27"/>
      <c r="AE623" s="29" t="str">
        <f aca="false">IF(OR(G623="",G623="なし"),"",IF(W623="経理区分別",BD623+BE623,""))</f>
        <v/>
      </c>
      <c r="AF623" s="27"/>
      <c r="AG623" s="26"/>
      <c r="AH623" s="26"/>
      <c r="AI623" s="30"/>
      <c r="AJ623" s="31"/>
      <c r="AK623" s="31"/>
      <c r="AL623" s="31" t="n">
        <v>22143</v>
      </c>
      <c r="AM623" s="31" t="n">
        <v>1815</v>
      </c>
      <c r="AN623" s="31" t="n">
        <v>22</v>
      </c>
      <c r="AO623" s="31"/>
      <c r="AP623" s="31" t="n">
        <v>13336</v>
      </c>
      <c r="AQ623" s="31"/>
      <c r="AR623" s="31" t="n">
        <v>1911</v>
      </c>
      <c r="AS623" s="31"/>
      <c r="AT623" s="31" t="n">
        <v>1</v>
      </c>
      <c r="AU623" s="31" t="n">
        <f aca="false">IF($G623="",AJ623,L623)</f>
        <v>0</v>
      </c>
      <c r="AV623" s="31" t="n">
        <f aca="false">IF($G623="",AK623,M623)</f>
        <v>0</v>
      </c>
      <c r="AW623" s="31" t="n">
        <f aca="false">IF($G623="",AL623,N623)</f>
        <v>22143</v>
      </c>
      <c r="AX623" s="31" t="n">
        <f aca="false">IF($G623="",AM623,O623)</f>
        <v>1815</v>
      </c>
      <c r="AY623" s="31" t="n">
        <f aca="false">IF($G623="",AN623,P623)</f>
        <v>22</v>
      </c>
      <c r="AZ623" s="31" t="n">
        <f aca="false">IF($G623="",AO623,Q623)</f>
        <v>0</v>
      </c>
      <c r="BA623" s="31" t="n">
        <f aca="false">IF($G623="",AP623,R623)</f>
        <v>13336</v>
      </c>
      <c r="BB623" s="31" t="n">
        <f aca="false">IF($G623="",AQ623,S623)</f>
        <v>0</v>
      </c>
      <c r="BC623" s="31" t="n">
        <f aca="false">IF($G623="",AR623,T623)</f>
        <v>1911</v>
      </c>
      <c r="BD623" s="31" t="n">
        <f aca="false">IF($G623="",AS623,U623)</f>
        <v>0</v>
      </c>
      <c r="BE623" s="31" t="n">
        <f aca="false">IF($G623="",AT623,V623)</f>
        <v>1</v>
      </c>
      <c r="BF623" s="31" t="n">
        <f aca="false">ROUNDDOWN(I623*設定!$B$10/1000,0)+ROUNDDOWN(I623*設定!$B$11/1000,0)</f>
        <v>0</v>
      </c>
      <c r="BG623" s="31" t="n">
        <f aca="false">ROUNDDOWN(I623*設定!$C$10/1000,0)+ROUNDDOWN(I623*設定!$C$11/1000,0)+ROUNDDOWN(I623*設定!$C$12/1000,0)</f>
        <v>0</v>
      </c>
      <c r="BH623" s="31" t="n">
        <f aca="false">ROUNDDOWN(J623*設定!$B$13/1000,0)</f>
        <v>0</v>
      </c>
      <c r="BI623" s="31" t="n">
        <f aca="false">ROUNDDOWN(J623*設定!$C$13/1000,0)</f>
        <v>0</v>
      </c>
      <c r="BJ623" s="31" t="n">
        <f aca="false">ROUNDDOWN(K623*設定!$B$14/1000,0)</f>
        <v>0</v>
      </c>
      <c r="BK623" s="31" t="n">
        <f aca="false">ROUNDDOWN(K623*設定!$C$14/1000,0)</f>
        <v>0</v>
      </c>
      <c r="BL623" s="31" t="n">
        <f aca="false">ROUNDDOWN(J623*設定!$B$15/1000,0)</f>
        <v>0</v>
      </c>
      <c r="BM623" s="31" t="n">
        <f aca="false">ROUNDDOWN(J623*設定!$C$15/1000,0)</f>
        <v>0</v>
      </c>
      <c r="BN623" s="31" t="n">
        <f aca="false">L623+M623</f>
        <v>0</v>
      </c>
      <c r="BO623" s="31" t="n">
        <f aca="false">N623+O623+P623</f>
        <v>0</v>
      </c>
      <c r="BP623" s="31" t="n">
        <f aca="false">Q623</f>
        <v>0</v>
      </c>
      <c r="BQ623" s="31" t="n">
        <f aca="false">R623</f>
        <v>0</v>
      </c>
      <c r="BR623" s="31" t="n">
        <f aca="false">S623</f>
        <v>0</v>
      </c>
      <c r="BS623" s="31" t="n">
        <f aca="false">T623</f>
        <v>0</v>
      </c>
      <c r="BT623" s="31" t="n">
        <f aca="false">U623</f>
        <v>0</v>
      </c>
      <c r="BU623" s="31" t="n">
        <f aca="false">V623</f>
        <v>0</v>
      </c>
      <c r="BV623" s="32" t="n">
        <f aca="false">IF(BF623=0,IF(BN623=0,0,1),(BN623-BF623)/BF623)</f>
        <v>0</v>
      </c>
      <c r="BW623" s="32" t="n">
        <f aca="false">IF(BG623=0,IF(BO623=0,0,1),(BO623-BG623)/BG623)</f>
        <v>0</v>
      </c>
      <c r="BX623" s="32" t="n">
        <f aca="false">IF(BH623=0,IF(BP623=0,0,1),(BP623-BH623)/BH623)</f>
        <v>0</v>
      </c>
      <c r="BY623" s="32" t="n">
        <f aca="false">IF(BI623=0,IF(BQ623=0,0,1),(BQ623-BI623)/BI623)</f>
        <v>0</v>
      </c>
      <c r="BZ623" s="32" t="n">
        <f aca="false">IF(BJ623=0,IF(BR623=0,0,1),(BR623-BJ623)/BJ623)</f>
        <v>0</v>
      </c>
      <c r="CA623" s="32" t="n">
        <f aca="false">IF(BK623=0,IF(BS623=0,0,1),(BS623-BK623)/BK623)</f>
        <v>0</v>
      </c>
      <c r="CB623" s="32" t="n">
        <f aca="false">IF(BL623=0,IF(BT623=0,0,1),(BT623-BL623)/BL623)</f>
        <v>0</v>
      </c>
      <c r="CC623" s="32" t="n">
        <f aca="false">IF(BM623=0,IF(BU623=0,0,1),(BU623-BM623)/BM623)</f>
        <v>0</v>
      </c>
      <c r="CD623" s="32" t="n">
        <f aca="false">MAX(MAX(BV623:CC623),-MIN(BV623:CC623))</f>
        <v>-0</v>
      </c>
      <c r="CE623" s="31" t="str">
        <f aca="false">IF(CI623="","",SUMIFS($CF$7:$CF$696,$A$7:$A$696,CI623,$B$7:$B$696,B623))</f>
        <v/>
      </c>
      <c r="CF623" s="31" t="n">
        <f aca="false">SUM(AU623:BE623)</f>
        <v>39228</v>
      </c>
      <c r="CG623" s="33" t="str">
        <f aca="false">A623&amp;"|"&amp;B623</f>
        <v>2027-03 賞与|都市整備公社　市</v>
      </c>
      <c r="CH623" s="34" t="str">
        <f aca="false">IFERROR(INDEX(設定!$D$61:$D$106,MATCH(B623,設定!$B$61:$B$106,0)),"Y")</f>
        <v>Y</v>
      </c>
      <c r="CI623" s="34" t="str">
        <f aca="false">IFERROR(INDEX(設定!$D$20:$D$34,MATCH(A623,設定!$A$20:$A$34,0))&amp;"","")</f>
        <v/>
      </c>
    </row>
    <row r="624" customFormat="false" ht="15" hidden="true" customHeight="false" outlineLevel="0" collapsed="false">
      <c r="A624" s="22" t="s">
        <v>221</v>
      </c>
      <c r="B624" s="23" t="s">
        <v>180</v>
      </c>
      <c r="C624" s="10" t="str">
        <f aca="false">IF(G624="","未受領",IF(G624="なし","報告なし",IF(AH624="○","起票済",IF(OR(AG624="○",F624="一致",F624="入金不要"),"入金確認済","受領済"))))</f>
        <v>未受領</v>
      </c>
      <c r="D624" s="10" t="str">
        <f aca="false">IF(OR(G624="",G624="なし"),"―",IF(CH624="N","対象外",IF(AND(I624="",J624="",K624=""),"標報未入力",IF(CD624&gt;=設定!$B$4,"要確認","問題なし"))))</f>
        <v>―</v>
      </c>
      <c r="E624" s="24" t="str">
        <f aca="false">IF(OR(G624="",G624="なし",CE624="",CF624=0),"―",IF(CF624=CE624,"前月同額",IF(CE624=0,"―",IF(ABS(CF624/CE624-1)&gt;=設定!$B$5,"変動大 "&amp;TEXT(CF624/CE624-1,"+0%;-0%"),"〇"))))</f>
        <v>―</v>
      </c>
      <c r="F624" s="10" t="str">
        <f aca="false">IF(OR(G624="",G624="なし"),"―",IF(CF624=0,"入金不要",IF(COUNT(Z624,AB624,AD624,AF624)=0,IF(AG624="○","手動確認","未入金"),IF(AND(N(Z624)=Y624,IF(AA624="",TRUE(),N(AB624)=AA624),IF(AC624="",TRUE(),N(AD624)=AC624),IF(AE624="",TRUE(),N(AF624)=AE624)),"一致","不一致"))))</f>
        <v>―</v>
      </c>
      <c r="G624" s="25"/>
      <c r="H624" s="26"/>
      <c r="I624" s="27"/>
      <c r="J624" s="27"/>
      <c r="K624" s="27"/>
      <c r="L624" s="27"/>
      <c r="M624" s="27"/>
      <c r="N624" s="27"/>
      <c r="O624" s="27"/>
      <c r="P624" s="27"/>
      <c r="Q624" s="27"/>
      <c r="R624" s="27"/>
      <c r="S624" s="27"/>
      <c r="T624" s="27"/>
      <c r="U624" s="27"/>
      <c r="V624" s="27"/>
      <c r="W624" s="10" t="str">
        <f aca="false">IFERROR(INDEX(設定!$E$61:$E$106,MATCH(B624,設定!$B$61:$B$106,0)),"合算")</f>
        <v>合算</v>
      </c>
      <c r="X624" s="28"/>
      <c r="Y624" s="29" t="str">
        <f aca="false">IF(OR(G624="",G624="なし"),"",IF(W624="合算",CF624,IF(W624="掛金・負担金別",(AU624+AV624+AZ624+BB624+BD624),SUM(AU624:AY624))))</f>
        <v/>
      </c>
      <c r="Z624" s="27"/>
      <c r="AA624" s="29" t="str">
        <f aca="false">IF(OR(G624="",G624="なし"),"",IF(W624="掛金・負担金別",(AW624+AX624+AY624+BA624+BC624+BE624),IF(W624="経理区分別",AZ624+BA624,"")))</f>
        <v/>
      </c>
      <c r="AB624" s="27"/>
      <c r="AC624" s="29" t="str">
        <f aca="false">IF(OR(G624="",G624="なし"),"",IF(W624="経理区分別",BB624+BC624,""))</f>
        <v/>
      </c>
      <c r="AD624" s="27"/>
      <c r="AE624" s="29" t="str">
        <f aca="false">IF(OR(G624="",G624="なし"),"",IF(W624="経理区分別",BD624+BE624,""))</f>
        <v/>
      </c>
      <c r="AF624" s="27"/>
      <c r="AG624" s="26"/>
      <c r="AH624" s="26"/>
      <c r="AI624" s="30"/>
      <c r="AJ624" s="31"/>
      <c r="AK624" s="31"/>
      <c r="AL624" s="31" t="n">
        <v>55175</v>
      </c>
      <c r="AM624" s="31" t="n">
        <v>4522</v>
      </c>
      <c r="AN624" s="31" t="n">
        <v>56</v>
      </c>
      <c r="AO624" s="31"/>
      <c r="AP624" s="31" t="n">
        <v>33231</v>
      </c>
      <c r="AQ624" s="31"/>
      <c r="AR624" s="31" t="n">
        <v>3246</v>
      </c>
      <c r="AS624" s="31"/>
      <c r="AT624" s="31" t="n">
        <v>1</v>
      </c>
      <c r="AU624" s="31" t="n">
        <f aca="false">IF($G624="",AJ624,L624)</f>
        <v>0</v>
      </c>
      <c r="AV624" s="31" t="n">
        <f aca="false">IF($G624="",AK624,M624)</f>
        <v>0</v>
      </c>
      <c r="AW624" s="31" t="n">
        <f aca="false">IF($G624="",AL624,N624)</f>
        <v>55175</v>
      </c>
      <c r="AX624" s="31" t="n">
        <f aca="false">IF($G624="",AM624,O624)</f>
        <v>4522</v>
      </c>
      <c r="AY624" s="31" t="n">
        <f aca="false">IF($G624="",AN624,P624)</f>
        <v>56</v>
      </c>
      <c r="AZ624" s="31" t="n">
        <f aca="false">IF($G624="",AO624,Q624)</f>
        <v>0</v>
      </c>
      <c r="BA624" s="31" t="n">
        <f aca="false">IF($G624="",AP624,R624)</f>
        <v>33231</v>
      </c>
      <c r="BB624" s="31" t="n">
        <f aca="false">IF($G624="",AQ624,S624)</f>
        <v>0</v>
      </c>
      <c r="BC624" s="31" t="n">
        <f aca="false">IF($G624="",AR624,T624)</f>
        <v>3246</v>
      </c>
      <c r="BD624" s="31" t="n">
        <f aca="false">IF($G624="",AS624,U624)</f>
        <v>0</v>
      </c>
      <c r="BE624" s="31" t="n">
        <f aca="false">IF($G624="",AT624,V624)</f>
        <v>1</v>
      </c>
      <c r="BF624" s="31" t="n">
        <f aca="false">ROUNDDOWN(I624*設定!$B$10/1000,0)+ROUNDDOWN(I624*設定!$B$11/1000,0)</f>
        <v>0</v>
      </c>
      <c r="BG624" s="31" t="n">
        <f aca="false">ROUNDDOWN(I624*設定!$C$10/1000,0)+ROUNDDOWN(I624*設定!$C$11/1000,0)+ROUNDDOWN(I624*設定!$C$12/1000,0)</f>
        <v>0</v>
      </c>
      <c r="BH624" s="31" t="n">
        <f aca="false">ROUNDDOWN(J624*設定!$B$13/1000,0)</f>
        <v>0</v>
      </c>
      <c r="BI624" s="31" t="n">
        <f aca="false">ROUNDDOWN(J624*設定!$C$13/1000,0)</f>
        <v>0</v>
      </c>
      <c r="BJ624" s="31" t="n">
        <f aca="false">ROUNDDOWN(K624*設定!$B$14/1000,0)</f>
        <v>0</v>
      </c>
      <c r="BK624" s="31" t="n">
        <f aca="false">ROUNDDOWN(K624*設定!$C$14/1000,0)</f>
        <v>0</v>
      </c>
      <c r="BL624" s="31" t="n">
        <f aca="false">ROUNDDOWN(J624*設定!$B$15/1000,0)</f>
        <v>0</v>
      </c>
      <c r="BM624" s="31" t="n">
        <f aca="false">ROUNDDOWN(J624*設定!$C$15/1000,0)</f>
        <v>0</v>
      </c>
      <c r="BN624" s="31" t="n">
        <f aca="false">L624+M624</f>
        <v>0</v>
      </c>
      <c r="BO624" s="31" t="n">
        <f aca="false">N624+O624+P624</f>
        <v>0</v>
      </c>
      <c r="BP624" s="31" t="n">
        <f aca="false">Q624</f>
        <v>0</v>
      </c>
      <c r="BQ624" s="31" t="n">
        <f aca="false">R624</f>
        <v>0</v>
      </c>
      <c r="BR624" s="31" t="n">
        <f aca="false">S624</f>
        <v>0</v>
      </c>
      <c r="BS624" s="31" t="n">
        <f aca="false">T624</f>
        <v>0</v>
      </c>
      <c r="BT624" s="31" t="n">
        <f aca="false">U624</f>
        <v>0</v>
      </c>
      <c r="BU624" s="31" t="n">
        <f aca="false">V624</f>
        <v>0</v>
      </c>
      <c r="BV624" s="32" t="n">
        <f aca="false">IF(BF624=0,IF(BN624=0,0,1),(BN624-BF624)/BF624)</f>
        <v>0</v>
      </c>
      <c r="BW624" s="32" t="n">
        <f aca="false">IF(BG624=0,IF(BO624=0,0,1),(BO624-BG624)/BG624)</f>
        <v>0</v>
      </c>
      <c r="BX624" s="32" t="n">
        <f aca="false">IF(BH624=0,IF(BP624=0,0,1),(BP624-BH624)/BH624)</f>
        <v>0</v>
      </c>
      <c r="BY624" s="32" t="n">
        <f aca="false">IF(BI624=0,IF(BQ624=0,0,1),(BQ624-BI624)/BI624)</f>
        <v>0</v>
      </c>
      <c r="BZ624" s="32" t="n">
        <f aca="false">IF(BJ624=0,IF(BR624=0,0,1),(BR624-BJ624)/BJ624)</f>
        <v>0</v>
      </c>
      <c r="CA624" s="32" t="n">
        <f aca="false">IF(BK624=0,IF(BS624=0,0,1),(BS624-BK624)/BK624)</f>
        <v>0</v>
      </c>
      <c r="CB624" s="32" t="n">
        <f aca="false">IF(BL624=0,IF(BT624=0,0,1),(BT624-BL624)/BL624)</f>
        <v>0</v>
      </c>
      <c r="CC624" s="32" t="n">
        <f aca="false">IF(BM624=0,IF(BU624=0,0,1),(BU624-BM624)/BM624)</f>
        <v>0</v>
      </c>
      <c r="CD624" s="32" t="n">
        <f aca="false">MAX(MAX(BV624:CC624),-MIN(BV624:CC624))</f>
        <v>-0</v>
      </c>
      <c r="CE624" s="31" t="str">
        <f aca="false">IF(CI624="","",SUMIFS($CF$7:$CF$696,$A$7:$A$696,CI624,$B$7:$B$696,B624))</f>
        <v/>
      </c>
      <c r="CF624" s="31" t="n">
        <f aca="false">SUM(AU624:BE624)</f>
        <v>96231</v>
      </c>
      <c r="CG624" s="33" t="str">
        <f aca="false">A624&amp;"|"&amp;B624</f>
        <v>2027-03 賞与|都市整備公社　消防</v>
      </c>
      <c r="CH624" s="34" t="str">
        <f aca="false">IFERROR(INDEX(設定!$D$61:$D$106,MATCH(B624,設定!$B$61:$B$106,0)),"Y")</f>
        <v>Y</v>
      </c>
      <c r="CI624" s="34" t="str">
        <f aca="false">IFERROR(INDEX(設定!$D$20:$D$34,MATCH(A624,設定!$A$20:$A$34,0))&amp;"","")</f>
        <v/>
      </c>
    </row>
    <row r="625" customFormat="false" ht="15" hidden="true" customHeight="false" outlineLevel="0" collapsed="false">
      <c r="A625" s="22" t="s">
        <v>221</v>
      </c>
      <c r="B625" s="23" t="s">
        <v>181</v>
      </c>
      <c r="C625" s="10" t="str">
        <f aca="false">IF(G625="","未受領",IF(G625="なし","報告なし",IF(AH625="○","起票済",IF(OR(AG625="○",F625="一致",F625="入金不要"),"入金確認済","受領済"))))</f>
        <v>未受領</v>
      </c>
      <c r="D625" s="10" t="str">
        <f aca="false">IF(OR(G625="",G625="なし"),"―",IF(CH625="N","対象外",IF(AND(I625="",J625="",K625=""),"標報未入力",IF(CD625&gt;=設定!$B$4,"要確認","問題なし"))))</f>
        <v>―</v>
      </c>
      <c r="E625" s="24" t="str">
        <f aca="false">IF(OR(G625="",G625="なし",CE625="",CF625=0),"―",IF(CF625=CE625,"前月同額",IF(CE625=0,"―",IF(ABS(CF625/CE625-1)&gt;=設定!$B$5,"変動大 "&amp;TEXT(CF625/CE625-1,"+0%;-0%"),"〇"))))</f>
        <v>―</v>
      </c>
      <c r="F625" s="10" t="str">
        <f aca="false">IF(OR(G625="",G625="なし"),"―",IF(CF625=0,"入金不要",IF(COUNT(Z625,AB625,AD625,AF625)=0,IF(AG625="○","手動確認","未入金"),IF(AND(N(Z625)=Y625,IF(AA625="",TRUE(),N(AB625)=AA625),IF(AC625="",TRUE(),N(AD625)=AC625),IF(AE625="",TRUE(),N(AF625)=AE625)),"一致","不一致"))))</f>
        <v>―</v>
      </c>
      <c r="G625" s="25"/>
      <c r="H625" s="26"/>
      <c r="I625" s="27"/>
      <c r="J625" s="27"/>
      <c r="K625" s="27"/>
      <c r="L625" s="27"/>
      <c r="M625" s="27"/>
      <c r="N625" s="27"/>
      <c r="O625" s="27"/>
      <c r="P625" s="27"/>
      <c r="Q625" s="27"/>
      <c r="R625" s="27"/>
      <c r="S625" s="27"/>
      <c r="T625" s="27"/>
      <c r="U625" s="27"/>
      <c r="V625" s="27"/>
      <c r="W625" s="10" t="str">
        <f aca="false">IFERROR(INDEX(設定!$E$61:$E$106,MATCH(B625,設定!$B$61:$B$106,0)),"合算")</f>
        <v>合算</v>
      </c>
      <c r="X625" s="28"/>
      <c r="Y625" s="29" t="str">
        <f aca="false">IF(OR(G625="",G625="なし"),"",IF(W625="合算",CF625,IF(W625="掛金・負担金別",(AU625+AV625+AZ625+BB625+BD625),SUM(AU625:AY625))))</f>
        <v/>
      </c>
      <c r="Z625" s="27"/>
      <c r="AA625" s="29" t="str">
        <f aca="false">IF(OR(G625="",G625="なし"),"",IF(W625="掛金・負担金別",(AW625+AX625+AY625+BA625+BC625+BE625),IF(W625="経理区分別",AZ625+BA625,"")))</f>
        <v/>
      </c>
      <c r="AB625" s="27"/>
      <c r="AC625" s="29" t="str">
        <f aca="false">IF(OR(G625="",G625="なし"),"",IF(W625="経理区分別",BB625+BC625,""))</f>
        <v/>
      </c>
      <c r="AD625" s="27"/>
      <c r="AE625" s="29" t="str">
        <f aca="false">IF(OR(G625="",G625="なし"),"",IF(W625="経理区分別",BD625+BE625,""))</f>
        <v/>
      </c>
      <c r="AF625" s="27"/>
      <c r="AG625" s="26"/>
      <c r="AH625" s="26"/>
      <c r="AI625" s="30"/>
      <c r="AJ625" s="31" t="n">
        <v>3204</v>
      </c>
      <c r="AK625" s="31" t="n">
        <v>264</v>
      </c>
      <c r="AL625" s="31" t="n">
        <v>3201</v>
      </c>
      <c r="AM625" s="31" t="n">
        <v>262</v>
      </c>
      <c r="AN625" s="31" t="n">
        <v>4</v>
      </c>
      <c r="AO625" s="31" t="n">
        <v>1926</v>
      </c>
      <c r="AP625" s="31" t="n">
        <v>1929</v>
      </c>
      <c r="AQ625" s="31" t="n">
        <v>47</v>
      </c>
      <c r="AR625" s="31" t="n">
        <v>47</v>
      </c>
      <c r="AS625" s="31" t="n">
        <v>1</v>
      </c>
      <c r="AT625" s="31" t="n">
        <v>1</v>
      </c>
      <c r="AU625" s="31" t="n">
        <f aca="false">IF($G625="",AJ625,L625)</f>
        <v>3204</v>
      </c>
      <c r="AV625" s="31" t="n">
        <f aca="false">IF($G625="",AK625,M625)</f>
        <v>264</v>
      </c>
      <c r="AW625" s="31" t="n">
        <f aca="false">IF($G625="",AL625,N625)</f>
        <v>3201</v>
      </c>
      <c r="AX625" s="31" t="n">
        <f aca="false">IF($G625="",AM625,O625)</f>
        <v>262</v>
      </c>
      <c r="AY625" s="31" t="n">
        <f aca="false">IF($G625="",AN625,P625)</f>
        <v>4</v>
      </c>
      <c r="AZ625" s="31" t="n">
        <f aca="false">IF($G625="",AO625,Q625)</f>
        <v>1926</v>
      </c>
      <c r="BA625" s="31" t="n">
        <f aca="false">IF($G625="",AP625,R625)</f>
        <v>1929</v>
      </c>
      <c r="BB625" s="31" t="n">
        <f aca="false">IF($G625="",AQ625,S625)</f>
        <v>47</v>
      </c>
      <c r="BC625" s="31" t="n">
        <f aca="false">IF($G625="",AR625,T625)</f>
        <v>47</v>
      </c>
      <c r="BD625" s="31" t="n">
        <f aca="false">IF($G625="",AS625,U625)</f>
        <v>1</v>
      </c>
      <c r="BE625" s="31" t="n">
        <f aca="false">IF($G625="",AT625,V625)</f>
        <v>1</v>
      </c>
      <c r="BF625" s="31" t="n">
        <f aca="false">ROUNDDOWN(I625*設定!$B$10/1000,0)+ROUNDDOWN(I625*設定!$B$11/1000,0)</f>
        <v>0</v>
      </c>
      <c r="BG625" s="31" t="n">
        <f aca="false">ROUNDDOWN(I625*設定!$C$10/1000,0)+ROUNDDOWN(I625*設定!$C$11/1000,0)+ROUNDDOWN(I625*設定!$C$12/1000,0)</f>
        <v>0</v>
      </c>
      <c r="BH625" s="31" t="n">
        <f aca="false">ROUNDDOWN(J625*設定!$B$13/1000,0)</f>
        <v>0</v>
      </c>
      <c r="BI625" s="31" t="n">
        <f aca="false">ROUNDDOWN(J625*設定!$C$13/1000,0)</f>
        <v>0</v>
      </c>
      <c r="BJ625" s="31" t="n">
        <f aca="false">ROUNDDOWN(K625*設定!$B$14/1000,0)</f>
        <v>0</v>
      </c>
      <c r="BK625" s="31" t="n">
        <f aca="false">ROUNDDOWN(K625*設定!$C$14/1000,0)</f>
        <v>0</v>
      </c>
      <c r="BL625" s="31" t="n">
        <f aca="false">ROUNDDOWN(J625*設定!$B$15/1000,0)</f>
        <v>0</v>
      </c>
      <c r="BM625" s="31" t="n">
        <f aca="false">ROUNDDOWN(J625*設定!$C$15/1000,0)</f>
        <v>0</v>
      </c>
      <c r="BN625" s="31" t="n">
        <f aca="false">L625+M625</f>
        <v>0</v>
      </c>
      <c r="BO625" s="31" t="n">
        <f aca="false">N625+O625+P625</f>
        <v>0</v>
      </c>
      <c r="BP625" s="31" t="n">
        <f aca="false">Q625</f>
        <v>0</v>
      </c>
      <c r="BQ625" s="31" t="n">
        <f aca="false">R625</f>
        <v>0</v>
      </c>
      <c r="BR625" s="31" t="n">
        <f aca="false">S625</f>
        <v>0</v>
      </c>
      <c r="BS625" s="31" t="n">
        <f aca="false">T625</f>
        <v>0</v>
      </c>
      <c r="BT625" s="31" t="n">
        <f aca="false">U625</f>
        <v>0</v>
      </c>
      <c r="BU625" s="31" t="n">
        <f aca="false">V625</f>
        <v>0</v>
      </c>
      <c r="BV625" s="32" t="n">
        <f aca="false">IF(BF625=0,IF(BN625=0,0,1),(BN625-BF625)/BF625)</f>
        <v>0</v>
      </c>
      <c r="BW625" s="32" t="n">
        <f aca="false">IF(BG625=0,IF(BO625=0,0,1),(BO625-BG625)/BG625)</f>
        <v>0</v>
      </c>
      <c r="BX625" s="32" t="n">
        <f aca="false">IF(BH625=0,IF(BP625=0,0,1),(BP625-BH625)/BH625)</f>
        <v>0</v>
      </c>
      <c r="BY625" s="32" t="n">
        <f aca="false">IF(BI625=0,IF(BQ625=0,0,1),(BQ625-BI625)/BI625)</f>
        <v>0</v>
      </c>
      <c r="BZ625" s="32" t="n">
        <f aca="false">IF(BJ625=0,IF(BR625=0,0,1),(BR625-BJ625)/BJ625)</f>
        <v>0</v>
      </c>
      <c r="CA625" s="32" t="n">
        <f aca="false">IF(BK625=0,IF(BS625=0,0,1),(BS625-BK625)/BK625)</f>
        <v>0</v>
      </c>
      <c r="CB625" s="32" t="n">
        <f aca="false">IF(BL625=0,IF(BT625=0,0,1),(BT625-BL625)/BL625)</f>
        <v>0</v>
      </c>
      <c r="CC625" s="32" t="n">
        <f aca="false">IF(BM625=0,IF(BU625=0,0,1),(BU625-BM625)/BM625)</f>
        <v>0</v>
      </c>
      <c r="CD625" s="32" t="n">
        <f aca="false">MAX(MAX(BV625:CC625),-MIN(BV625:CC625))</f>
        <v>-0</v>
      </c>
      <c r="CE625" s="31" t="str">
        <f aca="false">IF(CI625="","",SUMIFS($CF$7:$CF$696,$A$7:$A$696,CI625,$B$7:$B$696,B625))</f>
        <v/>
      </c>
      <c r="CF625" s="31" t="n">
        <f aca="false">SUM(AU625:BE625)</f>
        <v>10886</v>
      </c>
      <c r="CG625" s="33" t="str">
        <f aca="false">A625&amp;"|"&amp;B625</f>
        <v>2027-03 賞与|日本下水道事業団</v>
      </c>
      <c r="CH625" s="34" t="str">
        <f aca="false">IFERROR(INDEX(設定!$D$61:$D$106,MATCH(B625,設定!$B$61:$B$106,0)),"Y")</f>
        <v>Y</v>
      </c>
      <c r="CI625" s="34" t="str">
        <f aca="false">IFERROR(INDEX(設定!$D$20:$D$34,MATCH(A625,設定!$A$20:$A$34,0))&amp;"","")</f>
        <v/>
      </c>
    </row>
    <row r="626" customFormat="false" ht="15" hidden="true" customHeight="false" outlineLevel="0" collapsed="false">
      <c r="A626" s="22" t="s">
        <v>221</v>
      </c>
      <c r="B626" s="23" t="s">
        <v>182</v>
      </c>
      <c r="C626" s="10" t="str">
        <f aca="false">IF(G626="","未受領",IF(G626="なし","報告なし",IF(AH626="○","起票済",IF(OR(AG626="○",F626="一致",F626="入金不要"),"入金確認済","受領済"))))</f>
        <v>未受領</v>
      </c>
      <c r="D626" s="10" t="str">
        <f aca="false">IF(OR(G626="",G626="なし"),"―",IF(CH626="N","対象外",IF(AND(I626="",J626="",K626=""),"標報未入力",IF(CD626&gt;=設定!$B$4,"要確認","問題なし"))))</f>
        <v>―</v>
      </c>
      <c r="E626" s="24" t="str">
        <f aca="false">IF(OR(G626="",G626="なし",CE626="",CF626=0),"―",IF(CF626=CE626,"前月同額",IF(CE626=0,"―",IF(ABS(CF626/CE626-1)&gt;=設定!$B$5,"変動大 "&amp;TEXT(CF626/CE626-1,"+0%;-0%"),"〇"))))</f>
        <v>―</v>
      </c>
      <c r="F626" s="10" t="str">
        <f aca="false">IF(OR(G626="",G626="なし"),"―",IF(CF626=0,"入金不要",IF(COUNT(Z626,AB626,AD626,AF626)=0,IF(AG626="○","手動確認","未入金"),IF(AND(N(Z626)=Y626,IF(AA626="",TRUE(),N(AB626)=AA626),IF(AC626="",TRUE(),N(AD626)=AC626),IF(AE626="",TRUE(),N(AF626)=AE626)),"一致","不一致"))))</f>
        <v>―</v>
      </c>
      <c r="G626" s="25"/>
      <c r="H626" s="26"/>
      <c r="I626" s="27"/>
      <c r="J626" s="27"/>
      <c r="K626" s="27"/>
      <c r="L626" s="27"/>
      <c r="M626" s="27"/>
      <c r="N626" s="27"/>
      <c r="O626" s="27"/>
      <c r="P626" s="27"/>
      <c r="Q626" s="27"/>
      <c r="R626" s="27"/>
      <c r="S626" s="27"/>
      <c r="T626" s="27"/>
      <c r="U626" s="27"/>
      <c r="V626" s="27"/>
      <c r="W626" s="10" t="str">
        <f aca="false">IFERROR(INDEX(設定!$E$61:$E$106,MATCH(B626,設定!$B$61:$B$106,0)),"合算")</f>
        <v>合算</v>
      </c>
      <c r="X626" s="28"/>
      <c r="Y626" s="29" t="str">
        <f aca="false">IF(OR(G626="",G626="なし"),"",IF(W626="合算",CF626,IF(W626="掛金・負担金別",(AU626+AV626+AZ626+BB626+BD626),SUM(AU626:AY626))))</f>
        <v/>
      </c>
      <c r="Z626" s="27"/>
      <c r="AA626" s="29" t="str">
        <f aca="false">IF(OR(G626="",G626="なし"),"",IF(W626="掛金・負担金別",(AW626+AX626+AY626+BA626+BC626+BE626),IF(W626="経理区分別",AZ626+BA626,"")))</f>
        <v/>
      </c>
      <c r="AB626" s="27"/>
      <c r="AC626" s="29" t="str">
        <f aca="false">IF(OR(G626="",G626="なし"),"",IF(W626="経理区分別",BB626+BC626,""))</f>
        <v/>
      </c>
      <c r="AD626" s="27"/>
      <c r="AE626" s="29" t="str">
        <f aca="false">IF(OR(G626="",G626="なし"),"",IF(W626="経理区分別",BD626+BE626,""))</f>
        <v/>
      </c>
      <c r="AF626" s="27"/>
      <c r="AG626" s="26"/>
      <c r="AH626" s="26"/>
      <c r="AI626" s="30"/>
      <c r="AJ626" s="31"/>
      <c r="AK626" s="31"/>
      <c r="AL626" s="31" t="n">
        <v>0</v>
      </c>
      <c r="AM626" s="31" t="n">
        <v>0</v>
      </c>
      <c r="AN626" s="31" t="n">
        <v>0</v>
      </c>
      <c r="AO626" s="31"/>
      <c r="AP626" s="31" t="n">
        <v>0</v>
      </c>
      <c r="AQ626" s="31"/>
      <c r="AR626" s="31" t="n">
        <v>0</v>
      </c>
      <c r="AS626" s="31"/>
      <c r="AT626" s="31" t="n">
        <v>0</v>
      </c>
      <c r="AU626" s="31" t="n">
        <f aca="false">IF($G626="",AJ626,L626)</f>
        <v>0</v>
      </c>
      <c r="AV626" s="31" t="n">
        <f aca="false">IF($G626="",AK626,M626)</f>
        <v>0</v>
      </c>
      <c r="AW626" s="31" t="n">
        <f aca="false">IF($G626="",AL626,N626)</f>
        <v>0</v>
      </c>
      <c r="AX626" s="31" t="n">
        <f aca="false">IF($G626="",AM626,O626)</f>
        <v>0</v>
      </c>
      <c r="AY626" s="31" t="n">
        <f aca="false">IF($G626="",AN626,P626)</f>
        <v>0</v>
      </c>
      <c r="AZ626" s="31" t="n">
        <f aca="false">IF($G626="",AO626,Q626)</f>
        <v>0</v>
      </c>
      <c r="BA626" s="31" t="n">
        <f aca="false">IF($G626="",AP626,R626)</f>
        <v>0</v>
      </c>
      <c r="BB626" s="31" t="n">
        <f aca="false">IF($G626="",AQ626,S626)</f>
        <v>0</v>
      </c>
      <c r="BC626" s="31" t="n">
        <f aca="false">IF($G626="",AR626,T626)</f>
        <v>0</v>
      </c>
      <c r="BD626" s="31" t="n">
        <f aca="false">IF($G626="",AS626,U626)</f>
        <v>0</v>
      </c>
      <c r="BE626" s="31" t="n">
        <f aca="false">IF($G626="",AT626,V626)</f>
        <v>0</v>
      </c>
      <c r="BF626" s="31" t="n">
        <f aca="false">ROUNDDOWN(I626*設定!$B$10/1000,0)+ROUNDDOWN(I626*設定!$B$11/1000,0)</f>
        <v>0</v>
      </c>
      <c r="BG626" s="31" t="n">
        <f aca="false">ROUNDDOWN(I626*設定!$C$10/1000,0)+ROUNDDOWN(I626*設定!$C$11/1000,0)+ROUNDDOWN(I626*設定!$C$12/1000,0)</f>
        <v>0</v>
      </c>
      <c r="BH626" s="31" t="n">
        <f aca="false">ROUNDDOWN(J626*設定!$B$13/1000,0)</f>
        <v>0</v>
      </c>
      <c r="BI626" s="31" t="n">
        <f aca="false">ROUNDDOWN(J626*設定!$C$13/1000,0)</f>
        <v>0</v>
      </c>
      <c r="BJ626" s="31" t="n">
        <f aca="false">ROUNDDOWN(K626*設定!$B$14/1000,0)</f>
        <v>0</v>
      </c>
      <c r="BK626" s="31" t="n">
        <f aca="false">ROUNDDOWN(K626*設定!$C$14/1000,0)</f>
        <v>0</v>
      </c>
      <c r="BL626" s="31" t="n">
        <f aca="false">ROUNDDOWN(J626*設定!$B$15/1000,0)</f>
        <v>0</v>
      </c>
      <c r="BM626" s="31" t="n">
        <f aca="false">ROUNDDOWN(J626*設定!$C$15/1000,0)</f>
        <v>0</v>
      </c>
      <c r="BN626" s="31" t="n">
        <f aca="false">L626+M626</f>
        <v>0</v>
      </c>
      <c r="BO626" s="31" t="n">
        <f aca="false">N626+O626+P626</f>
        <v>0</v>
      </c>
      <c r="BP626" s="31" t="n">
        <f aca="false">Q626</f>
        <v>0</v>
      </c>
      <c r="BQ626" s="31" t="n">
        <f aca="false">R626</f>
        <v>0</v>
      </c>
      <c r="BR626" s="31" t="n">
        <f aca="false">S626</f>
        <v>0</v>
      </c>
      <c r="BS626" s="31" t="n">
        <f aca="false">T626</f>
        <v>0</v>
      </c>
      <c r="BT626" s="31" t="n">
        <f aca="false">U626</f>
        <v>0</v>
      </c>
      <c r="BU626" s="31" t="n">
        <f aca="false">V626</f>
        <v>0</v>
      </c>
      <c r="BV626" s="32" t="n">
        <f aca="false">IF(BF626=0,IF(BN626=0,0,1),(BN626-BF626)/BF626)</f>
        <v>0</v>
      </c>
      <c r="BW626" s="32" t="n">
        <f aca="false">IF(BG626=0,IF(BO626=0,0,1),(BO626-BG626)/BG626)</f>
        <v>0</v>
      </c>
      <c r="BX626" s="32" t="n">
        <f aca="false">IF(BH626=0,IF(BP626=0,0,1),(BP626-BH626)/BH626)</f>
        <v>0</v>
      </c>
      <c r="BY626" s="32" t="n">
        <f aca="false">IF(BI626=0,IF(BQ626=0,0,1),(BQ626-BI626)/BI626)</f>
        <v>0</v>
      </c>
      <c r="BZ626" s="32" t="n">
        <f aca="false">IF(BJ626=0,IF(BR626=0,0,1),(BR626-BJ626)/BJ626)</f>
        <v>0</v>
      </c>
      <c r="CA626" s="32" t="n">
        <f aca="false">IF(BK626=0,IF(BS626=0,0,1),(BS626-BK626)/BK626)</f>
        <v>0</v>
      </c>
      <c r="CB626" s="32" t="n">
        <f aca="false">IF(BL626=0,IF(BT626=0,0,1),(BT626-BL626)/BL626)</f>
        <v>0</v>
      </c>
      <c r="CC626" s="32" t="n">
        <f aca="false">IF(BM626=0,IF(BU626=0,0,1),(BU626-BM626)/BM626)</f>
        <v>0</v>
      </c>
      <c r="CD626" s="32" t="n">
        <f aca="false">MAX(MAX(BV626:CC626),-MIN(BV626:CC626))</f>
        <v>-0</v>
      </c>
      <c r="CE626" s="31" t="str">
        <f aca="false">IF(CI626="","",SUMIFS($CF$7:$CF$696,$A$7:$A$696,CI626,$B$7:$B$696,B626))</f>
        <v/>
      </c>
      <c r="CF626" s="31" t="n">
        <f aca="false">SUM(AU626:BE626)</f>
        <v>0</v>
      </c>
      <c r="CG626" s="33" t="str">
        <f aca="false">A626&amp;"|"&amp;B626</f>
        <v>2027-03 賞与|地方公務員災害補償基金本部</v>
      </c>
      <c r="CH626" s="34" t="str">
        <f aca="false">IFERROR(INDEX(設定!$D$61:$D$106,MATCH(B626,設定!$B$61:$B$106,0)),"Y")</f>
        <v>Y</v>
      </c>
      <c r="CI626" s="34" t="str">
        <f aca="false">IFERROR(INDEX(設定!$D$20:$D$34,MATCH(A626,設定!$A$20:$A$34,0))&amp;"","")</f>
        <v/>
      </c>
    </row>
    <row r="627" customFormat="false" ht="15" hidden="true" customHeight="false" outlineLevel="0" collapsed="false">
      <c r="A627" s="22" t="s">
        <v>221</v>
      </c>
      <c r="B627" s="23" t="s">
        <v>183</v>
      </c>
      <c r="C627" s="10" t="str">
        <f aca="false">IF(G627="","未受領",IF(G627="なし","報告なし",IF(AH627="○","起票済",IF(OR(AG627="○",F627="一致",F627="入金不要"),"入金確認済","受領済"))))</f>
        <v>報告なし</v>
      </c>
      <c r="D627" s="10" t="str">
        <f aca="false">IF(OR(G627="",G627="なし"),"―",IF(CH627="N","対象外",IF(AND(I627="",J627="",K627=""),"標報未入力",IF(CD627&gt;=設定!$B$4,"要確認","問題なし"))))</f>
        <v>―</v>
      </c>
      <c r="E627" s="24" t="str">
        <f aca="false">IF(OR(G627="",G627="なし",CE627="",CF627=0),"―",IF(CF627=CE627,"前月同額",IF(CE627=0,"―",IF(ABS(CF627/CE627-1)&gt;=設定!$B$5,"変動大 "&amp;TEXT(CF627/CE627-1,"+0%;-0%"),"〇"))))</f>
        <v>―</v>
      </c>
      <c r="F627" s="10" t="str">
        <f aca="false">IF(OR(G627="",G627="なし"),"―",IF(CF627=0,"入金不要",IF(COUNT(Z627,AB627,AD627,AF627)=0,IF(AG627="○","手動確認","未入金"),IF(AND(N(Z627)=Y627,IF(AA627="",TRUE(),N(AB627)=AA627),IF(AC627="",TRUE(),N(AD627)=AC627),IF(AE627="",TRUE(),N(AF627)=AE627)),"一致","不一致"))))</f>
        <v>―</v>
      </c>
      <c r="G627" s="25" t="s">
        <v>173</v>
      </c>
      <c r="H627" s="26"/>
      <c r="I627" s="27"/>
      <c r="J627" s="27"/>
      <c r="K627" s="27"/>
      <c r="L627" s="27"/>
      <c r="M627" s="27"/>
      <c r="N627" s="27"/>
      <c r="O627" s="27"/>
      <c r="P627" s="27"/>
      <c r="Q627" s="27"/>
      <c r="R627" s="27"/>
      <c r="S627" s="27"/>
      <c r="T627" s="27"/>
      <c r="U627" s="27"/>
      <c r="V627" s="27"/>
      <c r="W627" s="10" t="str">
        <f aca="false">IFERROR(INDEX(設定!$E$61:$E$106,MATCH(B627,設定!$B$61:$B$106,0)),"合算")</f>
        <v>合算</v>
      </c>
      <c r="X627" s="28"/>
      <c r="Y627" s="29" t="str">
        <f aca="false">IF(OR(G627="",G627="なし"),"",IF(W627="合算",CF627,IF(W627="掛金・負担金別",(AU627+AV627+AZ627+BB627+BD627),SUM(AU627:AY627))))</f>
        <v/>
      </c>
      <c r="Z627" s="27"/>
      <c r="AA627" s="29" t="str">
        <f aca="false">IF(OR(G627="",G627="なし"),"",IF(W627="掛金・負担金別",(AW627+AX627+AY627+BA627+BC627+BE627),IF(W627="経理区分別",AZ627+BA627,"")))</f>
        <v/>
      </c>
      <c r="AB627" s="27"/>
      <c r="AC627" s="29" t="str">
        <f aca="false">IF(OR(G627="",G627="なし"),"",IF(W627="経理区分別",BB627+BC627,""))</f>
        <v/>
      </c>
      <c r="AD627" s="27"/>
      <c r="AE627" s="29" t="str">
        <f aca="false">IF(OR(G627="",G627="なし"),"",IF(W627="経理区分別",BD627+BE627,""))</f>
        <v/>
      </c>
      <c r="AF627" s="27"/>
      <c r="AG627" s="26"/>
      <c r="AH627" s="26"/>
      <c r="AI627" s="30"/>
      <c r="AJ627" s="31"/>
      <c r="AK627" s="31"/>
      <c r="AL627" s="31"/>
      <c r="AM627" s="31"/>
      <c r="AN627" s="31"/>
      <c r="AO627" s="31"/>
      <c r="AP627" s="31"/>
      <c r="AQ627" s="31"/>
      <c r="AR627" s="31"/>
      <c r="AS627" s="31"/>
      <c r="AT627" s="31"/>
      <c r="AU627" s="31" t="n">
        <f aca="false">IF($G627="",AJ627,L627)</f>
        <v>0</v>
      </c>
      <c r="AV627" s="31" t="n">
        <f aca="false">IF($G627="",AK627,M627)</f>
        <v>0</v>
      </c>
      <c r="AW627" s="31" t="n">
        <f aca="false">IF($G627="",AL627,N627)</f>
        <v>0</v>
      </c>
      <c r="AX627" s="31" t="n">
        <f aca="false">IF($G627="",AM627,O627)</f>
        <v>0</v>
      </c>
      <c r="AY627" s="31" t="n">
        <f aca="false">IF($G627="",AN627,P627)</f>
        <v>0</v>
      </c>
      <c r="AZ627" s="31" t="n">
        <f aca="false">IF($G627="",AO627,Q627)</f>
        <v>0</v>
      </c>
      <c r="BA627" s="31" t="n">
        <f aca="false">IF($G627="",AP627,R627)</f>
        <v>0</v>
      </c>
      <c r="BB627" s="31" t="n">
        <f aca="false">IF($G627="",AQ627,S627)</f>
        <v>0</v>
      </c>
      <c r="BC627" s="31" t="n">
        <f aca="false">IF($G627="",AR627,T627)</f>
        <v>0</v>
      </c>
      <c r="BD627" s="31" t="n">
        <f aca="false">IF($G627="",AS627,U627)</f>
        <v>0</v>
      </c>
      <c r="BE627" s="31" t="n">
        <f aca="false">IF($G627="",AT627,V627)</f>
        <v>0</v>
      </c>
      <c r="BF627" s="31" t="n">
        <f aca="false">ROUNDDOWN(I627*設定!$B$10/1000,0)+ROUNDDOWN(I627*設定!$B$11/1000,0)</f>
        <v>0</v>
      </c>
      <c r="BG627" s="31" t="n">
        <f aca="false">ROUNDDOWN(I627*設定!$C$10/1000,0)+ROUNDDOWN(I627*設定!$C$11/1000,0)+ROUNDDOWN(I627*設定!$C$12/1000,0)</f>
        <v>0</v>
      </c>
      <c r="BH627" s="31" t="n">
        <f aca="false">ROUNDDOWN(J627*設定!$B$13/1000,0)</f>
        <v>0</v>
      </c>
      <c r="BI627" s="31" t="n">
        <f aca="false">ROUNDDOWN(J627*設定!$C$13/1000,0)</f>
        <v>0</v>
      </c>
      <c r="BJ627" s="31" t="n">
        <f aca="false">ROUNDDOWN(K627*設定!$B$14/1000,0)</f>
        <v>0</v>
      </c>
      <c r="BK627" s="31" t="n">
        <f aca="false">ROUNDDOWN(K627*設定!$C$14/1000,0)</f>
        <v>0</v>
      </c>
      <c r="BL627" s="31" t="n">
        <f aca="false">ROUNDDOWN(J627*設定!$B$15/1000,0)</f>
        <v>0</v>
      </c>
      <c r="BM627" s="31" t="n">
        <f aca="false">ROUNDDOWN(J627*設定!$C$15/1000,0)</f>
        <v>0</v>
      </c>
      <c r="BN627" s="31" t="n">
        <f aca="false">L627+M627</f>
        <v>0</v>
      </c>
      <c r="BO627" s="31" t="n">
        <f aca="false">N627+O627+P627</f>
        <v>0</v>
      </c>
      <c r="BP627" s="31" t="n">
        <f aca="false">Q627</f>
        <v>0</v>
      </c>
      <c r="BQ627" s="31" t="n">
        <f aca="false">R627</f>
        <v>0</v>
      </c>
      <c r="BR627" s="31" t="n">
        <f aca="false">S627</f>
        <v>0</v>
      </c>
      <c r="BS627" s="31" t="n">
        <f aca="false">T627</f>
        <v>0</v>
      </c>
      <c r="BT627" s="31" t="n">
        <f aca="false">U627</f>
        <v>0</v>
      </c>
      <c r="BU627" s="31" t="n">
        <f aca="false">V627</f>
        <v>0</v>
      </c>
      <c r="BV627" s="32" t="n">
        <f aca="false">IF(BF627=0,IF(BN627=0,0,1),(BN627-BF627)/BF627)</f>
        <v>0</v>
      </c>
      <c r="BW627" s="32" t="n">
        <f aca="false">IF(BG627=0,IF(BO627=0,0,1),(BO627-BG627)/BG627)</f>
        <v>0</v>
      </c>
      <c r="BX627" s="32" t="n">
        <f aca="false">IF(BH627=0,IF(BP627=0,0,1),(BP627-BH627)/BH627)</f>
        <v>0</v>
      </c>
      <c r="BY627" s="32" t="n">
        <f aca="false">IF(BI627=0,IF(BQ627=0,0,1),(BQ627-BI627)/BI627)</f>
        <v>0</v>
      </c>
      <c r="BZ627" s="32" t="n">
        <f aca="false">IF(BJ627=0,IF(BR627=0,0,1),(BR627-BJ627)/BJ627)</f>
        <v>0</v>
      </c>
      <c r="CA627" s="32" t="n">
        <f aca="false">IF(BK627=0,IF(BS627=0,0,1),(BS627-BK627)/BK627)</f>
        <v>0</v>
      </c>
      <c r="CB627" s="32" t="n">
        <f aca="false">IF(BL627=0,IF(BT627=0,0,1),(BT627-BL627)/BL627)</f>
        <v>0</v>
      </c>
      <c r="CC627" s="32" t="n">
        <f aca="false">IF(BM627=0,IF(BU627=0,0,1),(BU627-BM627)/BM627)</f>
        <v>0</v>
      </c>
      <c r="CD627" s="32" t="n">
        <f aca="false">MAX(MAX(BV627:CC627),-MIN(BV627:CC627))</f>
        <v>-0</v>
      </c>
      <c r="CE627" s="31" t="str">
        <f aca="false">IF(CI627="","",SUMIFS($CF$7:$CF$696,$A$7:$A$696,CI627,$B$7:$B$696,B627))</f>
        <v/>
      </c>
      <c r="CF627" s="31" t="n">
        <f aca="false">SUM(AU627:BE627)</f>
        <v>0</v>
      </c>
      <c r="CG627" s="33" t="str">
        <f aca="false">A627&amp;"|"&amp;B627</f>
        <v>2027-03 賞与|救急振興財団</v>
      </c>
      <c r="CH627" s="34" t="str">
        <f aca="false">IFERROR(INDEX(設定!$D$61:$D$106,MATCH(B627,設定!$B$61:$B$106,0)),"Y")</f>
        <v>Y</v>
      </c>
      <c r="CI627" s="34" t="str">
        <f aca="false">IFERROR(INDEX(設定!$D$20:$D$34,MATCH(A627,設定!$A$20:$A$34,0))&amp;"","")</f>
        <v/>
      </c>
    </row>
    <row r="628" customFormat="false" ht="15" hidden="true" customHeight="false" outlineLevel="0" collapsed="false">
      <c r="A628" s="22" t="s">
        <v>221</v>
      </c>
      <c r="B628" s="23" t="s">
        <v>184</v>
      </c>
      <c r="C628" s="10" t="str">
        <f aca="false">IF(G628="","未受領",IF(G628="なし","報告なし",IF(AH628="○","起票済",IF(OR(AG628="○",F628="一致",F628="入金不要"),"入金確認済","受領済"))))</f>
        <v>未受領</v>
      </c>
      <c r="D628" s="10" t="str">
        <f aca="false">IF(OR(G628="",G628="なし"),"―",IF(CH628="N","対象外",IF(AND(I628="",J628="",K628=""),"標報未入力",IF(CD628&gt;=設定!$B$4,"要確認","問題なし"))))</f>
        <v>―</v>
      </c>
      <c r="E628" s="24" t="str">
        <f aca="false">IF(OR(G628="",G628="なし",CE628="",CF628=0),"―",IF(CF628=CE628,"前月同額",IF(CE628=0,"―",IF(ABS(CF628/CE628-1)&gt;=設定!$B$5,"変動大 "&amp;TEXT(CF628/CE628-1,"+0%;-0%"),"〇"))))</f>
        <v>―</v>
      </c>
      <c r="F628" s="10" t="str">
        <f aca="false">IF(OR(G628="",G628="なし"),"―",IF(CF628=0,"入金不要",IF(COUNT(Z628,AB628,AD628,AF628)=0,IF(AG628="○","手動確認","未入金"),IF(AND(N(Z628)=Y628,IF(AA628="",TRUE(),N(AB628)=AA628),IF(AC628="",TRUE(),N(AD628)=AC628),IF(AE628="",TRUE(),N(AF628)=AE628)),"一致","不一致"))))</f>
        <v>―</v>
      </c>
      <c r="G628" s="25"/>
      <c r="H628" s="26"/>
      <c r="I628" s="27"/>
      <c r="J628" s="27"/>
      <c r="K628" s="27"/>
      <c r="L628" s="27"/>
      <c r="M628" s="27"/>
      <c r="N628" s="27"/>
      <c r="O628" s="27"/>
      <c r="P628" s="27"/>
      <c r="Q628" s="27"/>
      <c r="R628" s="27"/>
      <c r="S628" s="27"/>
      <c r="T628" s="27"/>
      <c r="U628" s="27"/>
      <c r="V628" s="27"/>
      <c r="W628" s="10" t="str">
        <f aca="false">IFERROR(INDEX(設定!$E$61:$E$106,MATCH(B628,設定!$B$61:$B$106,0)),"合算")</f>
        <v>合算</v>
      </c>
      <c r="X628" s="28"/>
      <c r="Y628" s="29" t="str">
        <f aca="false">IF(OR(G628="",G628="なし"),"",IF(W628="合算",CF628,IF(W628="掛金・負担金別",(AU628+AV628+AZ628+BB628+BD628),SUM(AU628:AY628))))</f>
        <v/>
      </c>
      <c r="Z628" s="27"/>
      <c r="AA628" s="29" t="str">
        <f aca="false">IF(OR(G628="",G628="なし"),"",IF(W628="掛金・負担金別",(AW628+AX628+AY628+BA628+BC628+BE628),IF(W628="経理区分別",AZ628+BA628,"")))</f>
        <v/>
      </c>
      <c r="AB628" s="27"/>
      <c r="AC628" s="29" t="str">
        <f aca="false">IF(OR(G628="",G628="なし"),"",IF(W628="経理区分別",BB628+BC628,""))</f>
        <v/>
      </c>
      <c r="AD628" s="27"/>
      <c r="AE628" s="29" t="str">
        <f aca="false">IF(OR(G628="",G628="なし"),"",IF(W628="経理区分別",BD628+BE628,""))</f>
        <v/>
      </c>
      <c r="AF628" s="27"/>
      <c r="AG628" s="26"/>
      <c r="AH628" s="26"/>
      <c r="AI628" s="30"/>
      <c r="AJ628" s="31" t="n">
        <v>394542</v>
      </c>
      <c r="AK628" s="31" t="n">
        <v>32334</v>
      </c>
      <c r="AL628" s="31" t="n">
        <v>394548</v>
      </c>
      <c r="AM628" s="31" t="n">
        <v>32340</v>
      </c>
      <c r="AN628" s="31" t="n">
        <v>404</v>
      </c>
      <c r="AO628" s="31" t="n">
        <v>237194</v>
      </c>
      <c r="AP628" s="31" t="n">
        <v>237634</v>
      </c>
      <c r="AQ628" s="31" t="n">
        <v>24334</v>
      </c>
      <c r="AR628" s="31" t="n">
        <v>24339</v>
      </c>
      <c r="AS628" s="31" t="n">
        <v>1</v>
      </c>
      <c r="AT628" s="31" t="n">
        <v>1</v>
      </c>
      <c r="AU628" s="31" t="n">
        <f aca="false">IF($G628="",AJ628,L628)</f>
        <v>394542</v>
      </c>
      <c r="AV628" s="31" t="n">
        <f aca="false">IF($G628="",AK628,M628)</f>
        <v>32334</v>
      </c>
      <c r="AW628" s="31" t="n">
        <f aca="false">IF($G628="",AL628,N628)</f>
        <v>394548</v>
      </c>
      <c r="AX628" s="31" t="n">
        <f aca="false">IF($G628="",AM628,O628)</f>
        <v>32340</v>
      </c>
      <c r="AY628" s="31" t="n">
        <f aca="false">IF($G628="",AN628,P628)</f>
        <v>404</v>
      </c>
      <c r="AZ628" s="31" t="n">
        <f aca="false">IF($G628="",AO628,Q628)</f>
        <v>237194</v>
      </c>
      <c r="BA628" s="31" t="n">
        <f aca="false">IF($G628="",AP628,R628)</f>
        <v>237634</v>
      </c>
      <c r="BB628" s="31" t="n">
        <f aca="false">IF($G628="",AQ628,S628)</f>
        <v>24334</v>
      </c>
      <c r="BC628" s="31" t="n">
        <f aca="false">IF($G628="",AR628,T628)</f>
        <v>24339</v>
      </c>
      <c r="BD628" s="31" t="n">
        <f aca="false">IF($G628="",AS628,U628)</f>
        <v>1</v>
      </c>
      <c r="BE628" s="31" t="n">
        <f aca="false">IF($G628="",AT628,V628)</f>
        <v>1</v>
      </c>
      <c r="BF628" s="31" t="n">
        <f aca="false">ROUNDDOWN(I628*設定!$B$10/1000,0)+ROUNDDOWN(I628*設定!$B$11/1000,0)</f>
        <v>0</v>
      </c>
      <c r="BG628" s="31" t="n">
        <f aca="false">ROUNDDOWN(I628*設定!$C$10/1000,0)+ROUNDDOWN(I628*設定!$C$11/1000,0)+ROUNDDOWN(I628*設定!$C$12/1000,0)</f>
        <v>0</v>
      </c>
      <c r="BH628" s="31" t="n">
        <f aca="false">ROUNDDOWN(J628*設定!$B$13/1000,0)</f>
        <v>0</v>
      </c>
      <c r="BI628" s="31" t="n">
        <f aca="false">ROUNDDOWN(J628*設定!$C$13/1000,0)</f>
        <v>0</v>
      </c>
      <c r="BJ628" s="31" t="n">
        <f aca="false">ROUNDDOWN(K628*設定!$B$14/1000,0)</f>
        <v>0</v>
      </c>
      <c r="BK628" s="31" t="n">
        <f aca="false">ROUNDDOWN(K628*設定!$C$14/1000,0)</f>
        <v>0</v>
      </c>
      <c r="BL628" s="31" t="n">
        <f aca="false">ROUNDDOWN(J628*設定!$B$15/1000,0)</f>
        <v>0</v>
      </c>
      <c r="BM628" s="31" t="n">
        <f aca="false">ROUNDDOWN(J628*設定!$C$15/1000,0)</f>
        <v>0</v>
      </c>
      <c r="BN628" s="31" t="n">
        <f aca="false">L628+M628</f>
        <v>0</v>
      </c>
      <c r="BO628" s="31" t="n">
        <f aca="false">N628+O628+P628</f>
        <v>0</v>
      </c>
      <c r="BP628" s="31" t="n">
        <f aca="false">Q628</f>
        <v>0</v>
      </c>
      <c r="BQ628" s="31" t="n">
        <f aca="false">R628</f>
        <v>0</v>
      </c>
      <c r="BR628" s="31" t="n">
        <f aca="false">S628</f>
        <v>0</v>
      </c>
      <c r="BS628" s="31" t="n">
        <f aca="false">T628</f>
        <v>0</v>
      </c>
      <c r="BT628" s="31" t="n">
        <f aca="false">U628</f>
        <v>0</v>
      </c>
      <c r="BU628" s="31" t="n">
        <f aca="false">V628</f>
        <v>0</v>
      </c>
      <c r="BV628" s="32" t="n">
        <f aca="false">IF(BF628=0,IF(BN628=0,0,1),(BN628-BF628)/BF628)</f>
        <v>0</v>
      </c>
      <c r="BW628" s="32" t="n">
        <f aca="false">IF(BG628=0,IF(BO628=0,0,1),(BO628-BG628)/BG628)</f>
        <v>0</v>
      </c>
      <c r="BX628" s="32" t="n">
        <f aca="false">IF(BH628=0,IF(BP628=0,0,1),(BP628-BH628)/BH628)</f>
        <v>0</v>
      </c>
      <c r="BY628" s="32" t="n">
        <f aca="false">IF(BI628=0,IF(BQ628=0,0,1),(BQ628-BI628)/BI628)</f>
        <v>0</v>
      </c>
      <c r="BZ628" s="32" t="n">
        <f aca="false">IF(BJ628=0,IF(BR628=0,0,1),(BR628-BJ628)/BJ628)</f>
        <v>0</v>
      </c>
      <c r="CA628" s="32" t="n">
        <f aca="false">IF(BK628=0,IF(BS628=0,0,1),(BS628-BK628)/BK628)</f>
        <v>0</v>
      </c>
      <c r="CB628" s="32" t="n">
        <f aca="false">IF(BL628=0,IF(BT628=0,0,1),(BT628-BL628)/BL628)</f>
        <v>0</v>
      </c>
      <c r="CC628" s="32" t="n">
        <f aca="false">IF(BM628=0,IF(BU628=0,0,1),(BU628-BM628)/BM628)</f>
        <v>0</v>
      </c>
      <c r="CD628" s="32" t="n">
        <f aca="false">MAX(MAX(BV628:CC628),-MIN(BV628:CC628))</f>
        <v>-0</v>
      </c>
      <c r="CE628" s="31" t="str">
        <f aca="false">IF(CI628="","",SUMIFS($CF$7:$CF$696,$A$7:$A$696,CI628,$B$7:$B$696,B628))</f>
        <v/>
      </c>
      <c r="CF628" s="31" t="n">
        <f aca="false">SUM(AU628:BE628)</f>
        <v>1377671</v>
      </c>
      <c r="CG628" s="33" t="str">
        <f aca="false">A628&amp;"|"&amp;B628</f>
        <v>2027-03 賞与|高速道路公社</v>
      </c>
      <c r="CH628" s="34" t="str">
        <f aca="false">IFERROR(INDEX(設定!$D$61:$D$106,MATCH(B628,設定!$B$61:$B$106,0)),"Y")</f>
        <v>Y</v>
      </c>
      <c r="CI628" s="34" t="str">
        <f aca="false">IFERROR(INDEX(設定!$D$20:$D$34,MATCH(A628,設定!$A$20:$A$34,0))&amp;"","")</f>
        <v/>
      </c>
    </row>
    <row r="629" customFormat="false" ht="15" hidden="true" customHeight="false" outlineLevel="0" collapsed="false">
      <c r="A629" s="22" t="s">
        <v>221</v>
      </c>
      <c r="B629" s="23" t="s">
        <v>185</v>
      </c>
      <c r="C629" s="10" t="str">
        <f aca="false">IF(G629="","未受領",IF(G629="なし","報告なし",IF(AH629="○","起票済",IF(OR(AG629="○",F629="一致",F629="入金不要"),"入金確認済","受領済"))))</f>
        <v>未受領</v>
      </c>
      <c r="D629" s="10" t="str">
        <f aca="false">IF(OR(G629="",G629="なし"),"―",IF(CH629="N","対象外",IF(AND(I629="",J629="",K629=""),"標報未入力",IF(CD629&gt;=設定!$B$4,"要確認","問題なし"))))</f>
        <v>―</v>
      </c>
      <c r="E629" s="24" t="str">
        <f aca="false">IF(OR(G629="",G629="なし",CE629="",CF629=0),"―",IF(CF629=CE629,"前月同額",IF(CE629=0,"―",IF(ABS(CF629/CE629-1)&gt;=設定!$B$5,"変動大 "&amp;TEXT(CF629/CE629-1,"+0%;-0%"),"〇"))))</f>
        <v>―</v>
      </c>
      <c r="F629" s="10" t="str">
        <f aca="false">IF(OR(G629="",G629="なし"),"―",IF(CF629=0,"入金不要",IF(COUNT(Z629,AB629,AD629,AF629)=0,IF(AG629="○","手動確認","未入金"),IF(AND(N(Z629)=Y629,IF(AA629="",TRUE(),N(AB629)=AA629),IF(AC629="",TRUE(),N(AD629)=AC629),IF(AE629="",TRUE(),N(AF629)=AE629)),"一致","不一致"))))</f>
        <v>―</v>
      </c>
      <c r="G629" s="25"/>
      <c r="H629" s="26"/>
      <c r="I629" s="27"/>
      <c r="J629" s="27"/>
      <c r="K629" s="27"/>
      <c r="L629" s="27"/>
      <c r="M629" s="27"/>
      <c r="N629" s="27"/>
      <c r="O629" s="27"/>
      <c r="P629" s="27"/>
      <c r="Q629" s="27"/>
      <c r="R629" s="27"/>
      <c r="S629" s="27"/>
      <c r="T629" s="27"/>
      <c r="U629" s="27"/>
      <c r="V629" s="27"/>
      <c r="W629" s="10" t="str">
        <f aca="false">IFERROR(INDEX(設定!$E$61:$E$106,MATCH(B629,設定!$B$61:$B$106,0)),"合算")</f>
        <v>合算</v>
      </c>
      <c r="X629" s="28"/>
      <c r="Y629" s="29" t="str">
        <f aca="false">IF(OR(G629="",G629="なし"),"",IF(W629="合算",CF629,IF(W629="掛金・負担金別",(AU629+AV629+AZ629+BB629+BD629),SUM(AU629:AY629))))</f>
        <v/>
      </c>
      <c r="Z629" s="27"/>
      <c r="AA629" s="29" t="str">
        <f aca="false">IF(OR(G629="",G629="なし"),"",IF(W629="掛金・負担金別",(AW629+AX629+AY629+BA629+BC629+BE629),IF(W629="経理区分別",AZ629+BA629,"")))</f>
        <v/>
      </c>
      <c r="AB629" s="27"/>
      <c r="AC629" s="29" t="str">
        <f aca="false">IF(OR(G629="",G629="なし"),"",IF(W629="経理区分別",BB629+BC629,""))</f>
        <v/>
      </c>
      <c r="AD629" s="27"/>
      <c r="AE629" s="29" t="str">
        <f aca="false">IF(OR(G629="",G629="なし"),"",IF(W629="経理区分別",BD629+BE629,""))</f>
        <v/>
      </c>
      <c r="AF629" s="27"/>
      <c r="AG629" s="26"/>
      <c r="AH629" s="26"/>
      <c r="AI629" s="30"/>
      <c r="AJ629" s="31"/>
      <c r="AK629" s="31"/>
      <c r="AL629" s="31" t="n">
        <v>293989</v>
      </c>
      <c r="AM629" s="31" t="n">
        <v>24097</v>
      </c>
      <c r="AN629" s="31" t="n">
        <v>303</v>
      </c>
      <c r="AO629" s="31"/>
      <c r="AP629" s="31" t="n">
        <v>177065</v>
      </c>
      <c r="AQ629" s="31"/>
      <c r="AR629" s="31" t="n">
        <v>17681</v>
      </c>
      <c r="AS629" s="31"/>
      <c r="AT629" s="31" t="n">
        <v>1</v>
      </c>
      <c r="AU629" s="31" t="n">
        <f aca="false">IF($G629="",AJ629,L629)</f>
        <v>0</v>
      </c>
      <c r="AV629" s="31" t="n">
        <f aca="false">IF($G629="",AK629,M629)</f>
        <v>0</v>
      </c>
      <c r="AW629" s="31" t="n">
        <f aca="false">IF($G629="",AL629,N629)</f>
        <v>293989</v>
      </c>
      <c r="AX629" s="31" t="n">
        <f aca="false">IF($G629="",AM629,O629)</f>
        <v>24097</v>
      </c>
      <c r="AY629" s="31" t="n">
        <f aca="false">IF($G629="",AN629,P629)</f>
        <v>303</v>
      </c>
      <c r="AZ629" s="31" t="n">
        <f aca="false">IF($G629="",AO629,Q629)</f>
        <v>0</v>
      </c>
      <c r="BA629" s="31" t="n">
        <f aca="false">IF($G629="",AP629,R629)</f>
        <v>177065</v>
      </c>
      <c r="BB629" s="31" t="n">
        <f aca="false">IF($G629="",AQ629,S629)</f>
        <v>0</v>
      </c>
      <c r="BC629" s="31" t="n">
        <f aca="false">IF($G629="",AR629,T629)</f>
        <v>17681</v>
      </c>
      <c r="BD629" s="31" t="n">
        <f aca="false">IF($G629="",AS629,U629)</f>
        <v>0</v>
      </c>
      <c r="BE629" s="31" t="n">
        <f aca="false">IF($G629="",AT629,V629)</f>
        <v>1</v>
      </c>
      <c r="BF629" s="31" t="n">
        <f aca="false">ROUNDDOWN(I629*設定!$B$10/1000,0)+ROUNDDOWN(I629*設定!$B$11/1000,0)</f>
        <v>0</v>
      </c>
      <c r="BG629" s="31" t="n">
        <f aca="false">ROUNDDOWN(I629*設定!$C$10/1000,0)+ROUNDDOWN(I629*設定!$C$11/1000,0)+ROUNDDOWN(I629*設定!$C$12/1000,0)</f>
        <v>0</v>
      </c>
      <c r="BH629" s="31" t="n">
        <f aca="false">ROUNDDOWN(J629*設定!$B$13/1000,0)</f>
        <v>0</v>
      </c>
      <c r="BI629" s="31" t="n">
        <f aca="false">ROUNDDOWN(J629*設定!$C$13/1000,0)</f>
        <v>0</v>
      </c>
      <c r="BJ629" s="31" t="n">
        <f aca="false">ROUNDDOWN(K629*設定!$B$14/1000,0)</f>
        <v>0</v>
      </c>
      <c r="BK629" s="31" t="n">
        <f aca="false">ROUNDDOWN(K629*設定!$C$14/1000,0)</f>
        <v>0</v>
      </c>
      <c r="BL629" s="31" t="n">
        <f aca="false">ROUNDDOWN(J629*設定!$B$15/1000,0)</f>
        <v>0</v>
      </c>
      <c r="BM629" s="31" t="n">
        <f aca="false">ROUNDDOWN(J629*設定!$C$15/1000,0)</f>
        <v>0</v>
      </c>
      <c r="BN629" s="31" t="n">
        <f aca="false">L629+M629</f>
        <v>0</v>
      </c>
      <c r="BO629" s="31" t="n">
        <f aca="false">N629+O629+P629</f>
        <v>0</v>
      </c>
      <c r="BP629" s="31" t="n">
        <f aca="false">Q629</f>
        <v>0</v>
      </c>
      <c r="BQ629" s="31" t="n">
        <f aca="false">R629</f>
        <v>0</v>
      </c>
      <c r="BR629" s="31" t="n">
        <f aca="false">S629</f>
        <v>0</v>
      </c>
      <c r="BS629" s="31" t="n">
        <f aca="false">T629</f>
        <v>0</v>
      </c>
      <c r="BT629" s="31" t="n">
        <f aca="false">U629</f>
        <v>0</v>
      </c>
      <c r="BU629" s="31" t="n">
        <f aca="false">V629</f>
        <v>0</v>
      </c>
      <c r="BV629" s="32" t="n">
        <f aca="false">IF(BF629=0,IF(BN629=0,0,1),(BN629-BF629)/BF629)</f>
        <v>0</v>
      </c>
      <c r="BW629" s="32" t="n">
        <f aca="false">IF(BG629=0,IF(BO629=0,0,1),(BO629-BG629)/BG629)</f>
        <v>0</v>
      </c>
      <c r="BX629" s="32" t="n">
        <f aca="false">IF(BH629=0,IF(BP629=0,0,1),(BP629-BH629)/BH629)</f>
        <v>0</v>
      </c>
      <c r="BY629" s="32" t="n">
        <f aca="false">IF(BI629=0,IF(BQ629=0,0,1),(BQ629-BI629)/BI629)</f>
        <v>0</v>
      </c>
      <c r="BZ629" s="32" t="n">
        <f aca="false">IF(BJ629=0,IF(BR629=0,0,1),(BR629-BJ629)/BJ629)</f>
        <v>0</v>
      </c>
      <c r="CA629" s="32" t="n">
        <f aca="false">IF(BK629=0,IF(BS629=0,0,1),(BS629-BK629)/BK629)</f>
        <v>0</v>
      </c>
      <c r="CB629" s="32" t="n">
        <f aca="false">IF(BL629=0,IF(BT629=0,0,1),(BT629-BL629)/BL629)</f>
        <v>0</v>
      </c>
      <c r="CC629" s="32" t="n">
        <f aca="false">IF(BM629=0,IF(BU629=0,0,1),(BU629-BM629)/BM629)</f>
        <v>0</v>
      </c>
      <c r="CD629" s="32" t="n">
        <f aca="false">MAX(MAX(BV629:CC629),-MIN(BV629:CC629))</f>
        <v>-0</v>
      </c>
      <c r="CE629" s="31" t="str">
        <f aca="false">IF(CI629="","",SUMIFS($CF$7:$CF$696,$A$7:$A$696,CI629,$B$7:$B$696,B629))</f>
        <v/>
      </c>
      <c r="CF629" s="31" t="n">
        <f aca="false">SUM(AU629:BE629)</f>
        <v>513136</v>
      </c>
      <c r="CG629" s="33" t="str">
        <f aca="false">A629&amp;"|"&amp;B629</f>
        <v>2027-03 賞与|農林水産振興センタ</v>
      </c>
      <c r="CH629" s="34" t="str">
        <f aca="false">IFERROR(INDEX(設定!$D$61:$D$106,MATCH(B629,設定!$B$61:$B$106,0)),"Y")</f>
        <v>Y</v>
      </c>
      <c r="CI629" s="34" t="str">
        <f aca="false">IFERROR(INDEX(設定!$D$20:$D$34,MATCH(A629,設定!$A$20:$A$34,0))&amp;"","")</f>
        <v/>
      </c>
    </row>
    <row r="630" customFormat="false" ht="15" hidden="true" customHeight="false" outlineLevel="0" collapsed="false">
      <c r="A630" s="22" t="s">
        <v>221</v>
      </c>
      <c r="B630" s="23" t="s">
        <v>186</v>
      </c>
      <c r="C630" s="10" t="str">
        <f aca="false">IF(G630="","未受領",IF(G630="なし","報告なし",IF(AH630="○","起票済",IF(OR(AG630="○",F630="一致",F630="入金不要"),"入金確認済","受領済"))))</f>
        <v>未受領</v>
      </c>
      <c r="D630" s="10" t="str">
        <f aca="false">IF(OR(G630="",G630="なし"),"―",IF(CH630="N","対象外",IF(AND(I630="",J630="",K630=""),"標報未入力",IF(CD630&gt;=設定!$B$4,"要確認","問題なし"))))</f>
        <v>―</v>
      </c>
      <c r="E630" s="24" t="str">
        <f aca="false">IF(OR(G630="",G630="なし",CE630="",CF630=0),"―",IF(CF630=CE630,"前月同額",IF(CE630=0,"―",IF(ABS(CF630/CE630-1)&gt;=設定!$B$5,"変動大 "&amp;TEXT(CF630/CE630-1,"+0%;-0%"),"〇"))))</f>
        <v>―</v>
      </c>
      <c r="F630" s="10" t="str">
        <f aca="false">IF(OR(G630="",G630="なし"),"―",IF(CF630=0,"入金不要",IF(COUNT(Z630,AB630,AD630,AF630)=0,IF(AG630="○","手動確認","未入金"),IF(AND(N(Z630)=Y630,IF(AA630="",TRUE(),N(AB630)=AA630),IF(AC630="",TRUE(),N(AD630)=AC630),IF(AE630="",TRUE(),N(AF630)=AE630)),"一致","不一致"))))</f>
        <v>―</v>
      </c>
      <c r="G630" s="25"/>
      <c r="H630" s="26"/>
      <c r="I630" s="27"/>
      <c r="J630" s="27"/>
      <c r="K630" s="27"/>
      <c r="L630" s="27"/>
      <c r="M630" s="27"/>
      <c r="N630" s="27"/>
      <c r="O630" s="27"/>
      <c r="P630" s="27"/>
      <c r="Q630" s="27"/>
      <c r="R630" s="27"/>
      <c r="S630" s="27"/>
      <c r="T630" s="27"/>
      <c r="U630" s="27"/>
      <c r="V630" s="27"/>
      <c r="W630" s="10" t="str">
        <f aca="false">IFERROR(INDEX(設定!$E$61:$E$106,MATCH(B630,設定!$B$61:$B$106,0)),"合算")</f>
        <v>合算</v>
      </c>
      <c r="X630" s="28"/>
      <c r="Y630" s="29" t="str">
        <f aca="false">IF(OR(G630="",G630="なし"),"",IF(W630="合算",CF630,IF(W630="掛金・負担金別",(AU630+AV630+AZ630+BB630+BD630),SUM(AU630:AY630))))</f>
        <v/>
      </c>
      <c r="Z630" s="27"/>
      <c r="AA630" s="29" t="str">
        <f aca="false">IF(OR(G630="",G630="なし"),"",IF(W630="掛金・負担金別",(AW630+AX630+AY630+BA630+BC630+BE630),IF(W630="経理区分別",AZ630+BA630,"")))</f>
        <v/>
      </c>
      <c r="AB630" s="27"/>
      <c r="AC630" s="29" t="str">
        <f aca="false">IF(OR(G630="",G630="なし"),"",IF(W630="経理区分別",BB630+BC630,""))</f>
        <v/>
      </c>
      <c r="AD630" s="27"/>
      <c r="AE630" s="29" t="str">
        <f aca="false">IF(OR(G630="",G630="なし"),"",IF(W630="経理区分別",BD630+BE630,""))</f>
        <v/>
      </c>
      <c r="AF630" s="27"/>
      <c r="AG630" s="26"/>
      <c r="AH630" s="26"/>
      <c r="AI630" s="30"/>
      <c r="AJ630" s="31"/>
      <c r="AK630" s="31"/>
      <c r="AL630" s="31" t="n">
        <v>535372</v>
      </c>
      <c r="AM630" s="31" t="n">
        <v>43880</v>
      </c>
      <c r="AN630" s="31" t="n">
        <v>546</v>
      </c>
      <c r="AO630" s="31"/>
      <c r="AP630" s="31" t="n">
        <v>322445</v>
      </c>
      <c r="AQ630" s="31"/>
      <c r="AR630" s="31" t="n">
        <v>43832</v>
      </c>
      <c r="AS630" s="31"/>
      <c r="AT630" s="31" t="n">
        <v>1</v>
      </c>
      <c r="AU630" s="31" t="n">
        <f aca="false">IF($G630="",AJ630,L630)</f>
        <v>0</v>
      </c>
      <c r="AV630" s="31" t="n">
        <f aca="false">IF($G630="",AK630,M630)</f>
        <v>0</v>
      </c>
      <c r="AW630" s="31" t="n">
        <f aca="false">IF($G630="",AL630,N630)</f>
        <v>535372</v>
      </c>
      <c r="AX630" s="31" t="n">
        <f aca="false">IF($G630="",AM630,O630)</f>
        <v>43880</v>
      </c>
      <c r="AY630" s="31" t="n">
        <f aca="false">IF($G630="",AN630,P630)</f>
        <v>546</v>
      </c>
      <c r="AZ630" s="31" t="n">
        <f aca="false">IF($G630="",AO630,Q630)</f>
        <v>0</v>
      </c>
      <c r="BA630" s="31" t="n">
        <f aca="false">IF($G630="",AP630,R630)</f>
        <v>322445</v>
      </c>
      <c r="BB630" s="31" t="n">
        <f aca="false">IF($G630="",AQ630,S630)</f>
        <v>0</v>
      </c>
      <c r="BC630" s="31" t="n">
        <f aca="false">IF($G630="",AR630,T630)</f>
        <v>43832</v>
      </c>
      <c r="BD630" s="31" t="n">
        <f aca="false">IF($G630="",AS630,U630)</f>
        <v>0</v>
      </c>
      <c r="BE630" s="31" t="n">
        <f aca="false">IF($G630="",AT630,V630)</f>
        <v>1</v>
      </c>
      <c r="BF630" s="31" t="n">
        <f aca="false">ROUNDDOWN(I630*設定!$B$10/1000,0)+ROUNDDOWN(I630*設定!$B$11/1000,0)</f>
        <v>0</v>
      </c>
      <c r="BG630" s="31" t="n">
        <f aca="false">ROUNDDOWN(I630*設定!$C$10/1000,0)+ROUNDDOWN(I630*設定!$C$11/1000,0)+ROUNDDOWN(I630*設定!$C$12/1000,0)</f>
        <v>0</v>
      </c>
      <c r="BH630" s="31" t="n">
        <f aca="false">ROUNDDOWN(J630*設定!$B$13/1000,0)</f>
        <v>0</v>
      </c>
      <c r="BI630" s="31" t="n">
        <f aca="false">ROUNDDOWN(J630*設定!$C$13/1000,0)</f>
        <v>0</v>
      </c>
      <c r="BJ630" s="31" t="n">
        <f aca="false">ROUNDDOWN(K630*設定!$B$14/1000,0)</f>
        <v>0</v>
      </c>
      <c r="BK630" s="31" t="n">
        <f aca="false">ROUNDDOWN(K630*設定!$C$14/1000,0)</f>
        <v>0</v>
      </c>
      <c r="BL630" s="31" t="n">
        <f aca="false">ROUNDDOWN(J630*設定!$B$15/1000,0)</f>
        <v>0</v>
      </c>
      <c r="BM630" s="31" t="n">
        <f aca="false">ROUNDDOWN(J630*設定!$C$15/1000,0)</f>
        <v>0</v>
      </c>
      <c r="BN630" s="31" t="n">
        <f aca="false">L630+M630</f>
        <v>0</v>
      </c>
      <c r="BO630" s="31" t="n">
        <f aca="false">N630+O630+P630</f>
        <v>0</v>
      </c>
      <c r="BP630" s="31" t="n">
        <f aca="false">Q630</f>
        <v>0</v>
      </c>
      <c r="BQ630" s="31" t="n">
        <f aca="false">R630</f>
        <v>0</v>
      </c>
      <c r="BR630" s="31" t="n">
        <f aca="false">S630</f>
        <v>0</v>
      </c>
      <c r="BS630" s="31" t="n">
        <f aca="false">T630</f>
        <v>0</v>
      </c>
      <c r="BT630" s="31" t="n">
        <f aca="false">U630</f>
        <v>0</v>
      </c>
      <c r="BU630" s="31" t="n">
        <f aca="false">V630</f>
        <v>0</v>
      </c>
      <c r="BV630" s="32" t="n">
        <f aca="false">IF(BF630=0,IF(BN630=0,0,1),(BN630-BF630)/BF630)</f>
        <v>0</v>
      </c>
      <c r="BW630" s="32" t="n">
        <f aca="false">IF(BG630=0,IF(BO630=0,0,1),(BO630-BG630)/BG630)</f>
        <v>0</v>
      </c>
      <c r="BX630" s="32" t="n">
        <f aca="false">IF(BH630=0,IF(BP630=0,0,1),(BP630-BH630)/BH630)</f>
        <v>0</v>
      </c>
      <c r="BY630" s="32" t="n">
        <f aca="false">IF(BI630=0,IF(BQ630=0,0,1),(BQ630-BI630)/BI630)</f>
        <v>0</v>
      </c>
      <c r="BZ630" s="32" t="n">
        <f aca="false">IF(BJ630=0,IF(BR630=0,0,1),(BR630-BJ630)/BJ630)</f>
        <v>0</v>
      </c>
      <c r="CA630" s="32" t="n">
        <f aca="false">IF(BK630=0,IF(BS630=0,0,1),(BS630-BK630)/BK630)</f>
        <v>0</v>
      </c>
      <c r="CB630" s="32" t="n">
        <f aca="false">IF(BL630=0,IF(BT630=0,0,1),(BT630-BL630)/BL630)</f>
        <v>0</v>
      </c>
      <c r="CC630" s="32" t="n">
        <f aca="false">IF(BM630=0,IF(BU630=0,0,1),(BU630-BM630)/BM630)</f>
        <v>0</v>
      </c>
      <c r="CD630" s="32" t="n">
        <f aca="false">MAX(MAX(BV630:CC630),-MIN(BV630:CC630))</f>
        <v>-0</v>
      </c>
      <c r="CE630" s="31" t="str">
        <f aca="false">IF(CI630="","",SUMIFS($CF$7:$CF$696,$A$7:$A$696,CI630,$B$7:$B$696,B630))</f>
        <v/>
      </c>
      <c r="CF630" s="31" t="n">
        <f aca="false">SUM(AU630:BE630)</f>
        <v>946076</v>
      </c>
      <c r="CG630" s="33" t="str">
        <f aca="false">A630&amp;"|"&amp;B630</f>
        <v>2027-03 賞与|文化財団　市長部局</v>
      </c>
      <c r="CH630" s="34" t="str">
        <f aca="false">IFERROR(INDEX(設定!$D$61:$D$106,MATCH(B630,設定!$B$61:$B$106,0)),"Y")</f>
        <v>Y</v>
      </c>
      <c r="CI630" s="34" t="str">
        <f aca="false">IFERROR(INDEX(設定!$D$20:$D$34,MATCH(A630,設定!$A$20:$A$34,0))&amp;"","")</f>
        <v/>
      </c>
    </row>
    <row r="631" customFormat="false" ht="15" hidden="true" customHeight="false" outlineLevel="0" collapsed="false">
      <c r="A631" s="22" t="s">
        <v>221</v>
      </c>
      <c r="B631" s="23" t="s">
        <v>187</v>
      </c>
      <c r="C631" s="10" t="str">
        <f aca="false">IF(G631="","未受領",IF(G631="なし","報告なし",IF(AH631="○","起票済",IF(OR(AG631="○",F631="一致",F631="入金不要"),"入金確認済","受領済"))))</f>
        <v>未受領</v>
      </c>
      <c r="D631" s="10" t="str">
        <f aca="false">IF(OR(G631="",G631="なし"),"―",IF(CH631="N","対象外",IF(AND(I631="",J631="",K631=""),"標報未入力",IF(CD631&gt;=設定!$B$4,"要確認","問題なし"))))</f>
        <v>―</v>
      </c>
      <c r="E631" s="24" t="str">
        <f aca="false">IF(OR(G631="",G631="なし",CE631="",CF631=0),"―",IF(CF631=CE631,"前月同額",IF(CE631=0,"―",IF(ABS(CF631/CE631-1)&gt;=設定!$B$5,"変動大 "&amp;TEXT(CF631/CE631-1,"+0%;-0%"),"〇"))))</f>
        <v>―</v>
      </c>
      <c r="F631" s="10" t="str">
        <f aca="false">IF(OR(G631="",G631="なし"),"―",IF(CF631=0,"入金不要",IF(COUNT(Z631,AB631,AD631,AF631)=0,IF(AG631="○","手動確認","未入金"),IF(AND(N(Z631)=Y631,IF(AA631="",TRUE(),N(AB631)=AA631),IF(AC631="",TRUE(),N(AD631)=AC631),IF(AE631="",TRUE(),N(AF631)=AE631)),"一致","不一致"))))</f>
        <v>―</v>
      </c>
      <c r="G631" s="25"/>
      <c r="H631" s="26"/>
      <c r="I631" s="27"/>
      <c r="J631" s="27"/>
      <c r="K631" s="27"/>
      <c r="L631" s="27"/>
      <c r="M631" s="27"/>
      <c r="N631" s="27"/>
      <c r="O631" s="27"/>
      <c r="P631" s="27"/>
      <c r="Q631" s="27"/>
      <c r="R631" s="27"/>
      <c r="S631" s="27"/>
      <c r="T631" s="27"/>
      <c r="U631" s="27"/>
      <c r="V631" s="27"/>
      <c r="W631" s="10" t="str">
        <f aca="false">IFERROR(INDEX(設定!$E$61:$E$106,MATCH(B631,設定!$B$61:$B$106,0)),"合算")</f>
        <v>合算</v>
      </c>
      <c r="X631" s="28"/>
      <c r="Y631" s="29" t="str">
        <f aca="false">IF(OR(G631="",G631="なし"),"",IF(W631="合算",CF631,IF(W631="掛金・負担金別",(AU631+AV631+AZ631+BB631+BD631),SUM(AU631:AY631))))</f>
        <v/>
      </c>
      <c r="Z631" s="27"/>
      <c r="AA631" s="29" t="str">
        <f aca="false">IF(OR(G631="",G631="なし"),"",IF(W631="掛金・負担金別",(AW631+AX631+AY631+BA631+BC631+BE631),IF(W631="経理区分別",AZ631+BA631,"")))</f>
        <v/>
      </c>
      <c r="AB631" s="27"/>
      <c r="AC631" s="29" t="str">
        <f aca="false">IF(OR(G631="",G631="なし"),"",IF(W631="経理区分別",BB631+BC631,""))</f>
        <v/>
      </c>
      <c r="AD631" s="27"/>
      <c r="AE631" s="29" t="str">
        <f aca="false">IF(OR(G631="",G631="なし"),"",IF(W631="経理区分別",BD631+BE631,""))</f>
        <v/>
      </c>
      <c r="AF631" s="27"/>
      <c r="AG631" s="26"/>
      <c r="AH631" s="26"/>
      <c r="AI631" s="30"/>
      <c r="AJ631" s="31"/>
      <c r="AK631" s="31"/>
      <c r="AL631" s="31" t="n">
        <v>0</v>
      </c>
      <c r="AM631" s="31" t="n">
        <v>0</v>
      </c>
      <c r="AN631" s="31" t="n">
        <v>0</v>
      </c>
      <c r="AO631" s="31"/>
      <c r="AP631" s="31" t="n">
        <v>0</v>
      </c>
      <c r="AQ631" s="31"/>
      <c r="AR631" s="31" t="n">
        <v>0</v>
      </c>
      <c r="AS631" s="31"/>
      <c r="AT631" s="31" t="n">
        <v>0</v>
      </c>
      <c r="AU631" s="31" t="n">
        <f aca="false">IF($G631="",AJ631,L631)</f>
        <v>0</v>
      </c>
      <c r="AV631" s="31" t="n">
        <f aca="false">IF($G631="",AK631,M631)</f>
        <v>0</v>
      </c>
      <c r="AW631" s="31" t="n">
        <f aca="false">IF($G631="",AL631,N631)</f>
        <v>0</v>
      </c>
      <c r="AX631" s="31" t="n">
        <f aca="false">IF($G631="",AM631,O631)</f>
        <v>0</v>
      </c>
      <c r="AY631" s="31" t="n">
        <f aca="false">IF($G631="",AN631,P631)</f>
        <v>0</v>
      </c>
      <c r="AZ631" s="31" t="n">
        <f aca="false">IF($G631="",AO631,Q631)</f>
        <v>0</v>
      </c>
      <c r="BA631" s="31" t="n">
        <f aca="false">IF($G631="",AP631,R631)</f>
        <v>0</v>
      </c>
      <c r="BB631" s="31" t="n">
        <f aca="false">IF($G631="",AQ631,S631)</f>
        <v>0</v>
      </c>
      <c r="BC631" s="31" t="n">
        <f aca="false">IF($G631="",AR631,T631)</f>
        <v>0</v>
      </c>
      <c r="BD631" s="31" t="n">
        <f aca="false">IF($G631="",AS631,U631)</f>
        <v>0</v>
      </c>
      <c r="BE631" s="31" t="n">
        <f aca="false">IF($G631="",AT631,V631)</f>
        <v>0</v>
      </c>
      <c r="BF631" s="31" t="n">
        <f aca="false">ROUNDDOWN(I631*設定!$B$10/1000,0)+ROUNDDOWN(I631*設定!$B$11/1000,0)</f>
        <v>0</v>
      </c>
      <c r="BG631" s="31" t="n">
        <f aca="false">ROUNDDOWN(I631*設定!$C$10/1000,0)+ROUNDDOWN(I631*設定!$C$11/1000,0)+ROUNDDOWN(I631*設定!$C$12/1000,0)</f>
        <v>0</v>
      </c>
      <c r="BH631" s="31" t="n">
        <f aca="false">ROUNDDOWN(J631*設定!$B$13/1000,0)</f>
        <v>0</v>
      </c>
      <c r="BI631" s="31" t="n">
        <f aca="false">ROUNDDOWN(J631*設定!$C$13/1000,0)</f>
        <v>0</v>
      </c>
      <c r="BJ631" s="31" t="n">
        <f aca="false">ROUNDDOWN(K631*設定!$B$14/1000,0)</f>
        <v>0</v>
      </c>
      <c r="BK631" s="31" t="n">
        <f aca="false">ROUNDDOWN(K631*設定!$C$14/1000,0)</f>
        <v>0</v>
      </c>
      <c r="BL631" s="31" t="n">
        <f aca="false">ROUNDDOWN(J631*設定!$B$15/1000,0)</f>
        <v>0</v>
      </c>
      <c r="BM631" s="31" t="n">
        <f aca="false">ROUNDDOWN(J631*設定!$C$15/1000,0)</f>
        <v>0</v>
      </c>
      <c r="BN631" s="31" t="n">
        <f aca="false">L631+M631</f>
        <v>0</v>
      </c>
      <c r="BO631" s="31" t="n">
        <f aca="false">N631+O631+P631</f>
        <v>0</v>
      </c>
      <c r="BP631" s="31" t="n">
        <f aca="false">Q631</f>
        <v>0</v>
      </c>
      <c r="BQ631" s="31" t="n">
        <f aca="false">R631</f>
        <v>0</v>
      </c>
      <c r="BR631" s="31" t="n">
        <f aca="false">S631</f>
        <v>0</v>
      </c>
      <c r="BS631" s="31" t="n">
        <f aca="false">T631</f>
        <v>0</v>
      </c>
      <c r="BT631" s="31" t="n">
        <f aca="false">U631</f>
        <v>0</v>
      </c>
      <c r="BU631" s="31" t="n">
        <f aca="false">V631</f>
        <v>0</v>
      </c>
      <c r="BV631" s="32" t="n">
        <f aca="false">IF(BF631=0,IF(BN631=0,0,1),(BN631-BF631)/BF631)</f>
        <v>0</v>
      </c>
      <c r="BW631" s="32" t="n">
        <f aca="false">IF(BG631=0,IF(BO631=0,0,1),(BO631-BG631)/BG631)</f>
        <v>0</v>
      </c>
      <c r="BX631" s="32" t="n">
        <f aca="false">IF(BH631=0,IF(BP631=0,0,1),(BP631-BH631)/BH631)</f>
        <v>0</v>
      </c>
      <c r="BY631" s="32" t="n">
        <f aca="false">IF(BI631=0,IF(BQ631=0,0,1),(BQ631-BI631)/BI631)</f>
        <v>0</v>
      </c>
      <c r="BZ631" s="32" t="n">
        <f aca="false">IF(BJ631=0,IF(BR631=0,0,1),(BR631-BJ631)/BJ631)</f>
        <v>0</v>
      </c>
      <c r="CA631" s="32" t="n">
        <f aca="false">IF(BK631=0,IF(BS631=0,0,1),(BS631-BK631)/BK631)</f>
        <v>0</v>
      </c>
      <c r="CB631" s="32" t="n">
        <f aca="false">IF(BL631=0,IF(BT631=0,0,1),(BT631-BL631)/BL631)</f>
        <v>0</v>
      </c>
      <c r="CC631" s="32" t="n">
        <f aca="false">IF(BM631=0,IF(BU631=0,0,1),(BU631-BM631)/BM631)</f>
        <v>0</v>
      </c>
      <c r="CD631" s="32" t="n">
        <f aca="false">MAX(MAX(BV631:CC631),-MIN(BV631:CC631))</f>
        <v>-0</v>
      </c>
      <c r="CE631" s="31" t="str">
        <f aca="false">IF(CI631="","",SUMIFS($CF$7:$CF$696,$A$7:$A$696,CI631,$B$7:$B$696,B631))</f>
        <v/>
      </c>
      <c r="CF631" s="31" t="n">
        <f aca="false">SUM(AU631:BE631)</f>
        <v>0</v>
      </c>
      <c r="CG631" s="33" t="str">
        <f aca="false">A631&amp;"|"&amp;B631</f>
        <v>2027-03 賞与|文化財団　教育委員会</v>
      </c>
      <c r="CH631" s="34" t="str">
        <f aca="false">IFERROR(INDEX(設定!$D$61:$D$106,MATCH(B631,設定!$B$61:$B$106,0)),"Y")</f>
        <v>Y</v>
      </c>
      <c r="CI631" s="34" t="str">
        <f aca="false">IFERROR(INDEX(設定!$D$20:$D$34,MATCH(A631,設定!$A$20:$A$34,0))&amp;"","")</f>
        <v/>
      </c>
    </row>
    <row r="632" customFormat="false" ht="15" hidden="true" customHeight="false" outlineLevel="0" collapsed="false">
      <c r="A632" s="22" t="s">
        <v>221</v>
      </c>
      <c r="B632" s="23" t="s">
        <v>188</v>
      </c>
      <c r="C632" s="10" t="str">
        <f aca="false">IF(G632="","未受領",IF(G632="なし","報告なし",IF(AH632="○","起票済",IF(OR(AG632="○",F632="一致",F632="入金不要"),"入金確認済","受領済"))))</f>
        <v>未受領</v>
      </c>
      <c r="D632" s="10" t="str">
        <f aca="false">IF(OR(G632="",G632="なし"),"―",IF(CH632="N","対象外",IF(AND(I632="",J632="",K632=""),"標報未入力",IF(CD632&gt;=設定!$B$4,"要確認","問題なし"))))</f>
        <v>―</v>
      </c>
      <c r="E632" s="24" t="str">
        <f aca="false">IF(OR(G632="",G632="なし",CE632="",CF632=0),"―",IF(CF632=CE632,"前月同額",IF(CE632=0,"―",IF(ABS(CF632/CE632-1)&gt;=設定!$B$5,"変動大 "&amp;TEXT(CF632/CE632-1,"+0%;-0%"),"〇"))))</f>
        <v>―</v>
      </c>
      <c r="F632" s="10" t="str">
        <f aca="false">IF(OR(G632="",G632="なし"),"―",IF(CF632=0,"入金不要",IF(COUNT(Z632,AB632,AD632,AF632)=0,IF(AG632="○","手動確認","未入金"),IF(AND(N(Z632)=Y632,IF(AA632="",TRUE(),N(AB632)=AA632),IF(AC632="",TRUE(),N(AD632)=AC632),IF(AE632="",TRUE(),N(AF632)=AE632)),"一致","不一致"))))</f>
        <v>―</v>
      </c>
      <c r="G632" s="25"/>
      <c r="H632" s="26"/>
      <c r="I632" s="27"/>
      <c r="J632" s="27"/>
      <c r="K632" s="27"/>
      <c r="L632" s="27"/>
      <c r="M632" s="27"/>
      <c r="N632" s="27"/>
      <c r="O632" s="27"/>
      <c r="P632" s="27"/>
      <c r="Q632" s="27"/>
      <c r="R632" s="27"/>
      <c r="S632" s="27"/>
      <c r="T632" s="27"/>
      <c r="U632" s="27"/>
      <c r="V632" s="27"/>
      <c r="W632" s="10" t="str">
        <f aca="false">IFERROR(INDEX(設定!$E$61:$E$106,MATCH(B632,設定!$B$61:$B$106,0)),"合算")</f>
        <v>合算</v>
      </c>
      <c r="X632" s="28"/>
      <c r="Y632" s="29" t="str">
        <f aca="false">IF(OR(G632="",G632="なし"),"",IF(W632="合算",CF632,IF(W632="掛金・負担金別",(AU632+AV632+AZ632+BB632+BD632),SUM(AU632:AY632))))</f>
        <v/>
      </c>
      <c r="Z632" s="27"/>
      <c r="AA632" s="29" t="str">
        <f aca="false">IF(OR(G632="",G632="なし"),"",IF(W632="掛金・負担金別",(AW632+AX632+AY632+BA632+BC632+BE632),IF(W632="経理区分別",AZ632+BA632,"")))</f>
        <v/>
      </c>
      <c r="AB632" s="27"/>
      <c r="AC632" s="29" t="str">
        <f aca="false">IF(OR(G632="",G632="なし"),"",IF(W632="経理区分別",BB632+BC632,""))</f>
        <v/>
      </c>
      <c r="AD632" s="27"/>
      <c r="AE632" s="29" t="str">
        <f aca="false">IF(OR(G632="",G632="なし"),"",IF(W632="経理区分別",BD632+BE632,""))</f>
        <v/>
      </c>
      <c r="AF632" s="27"/>
      <c r="AG632" s="26"/>
      <c r="AH632" s="26"/>
      <c r="AI632" s="30"/>
      <c r="AJ632" s="31"/>
      <c r="AK632" s="31"/>
      <c r="AL632" s="31" t="n">
        <v>185565</v>
      </c>
      <c r="AM632" s="31" t="n">
        <v>15210</v>
      </c>
      <c r="AN632" s="31" t="n">
        <v>188</v>
      </c>
      <c r="AO632" s="31"/>
      <c r="AP632" s="31" t="n">
        <v>111760</v>
      </c>
      <c r="AQ632" s="31"/>
      <c r="AR632" s="31" t="n">
        <v>16020</v>
      </c>
      <c r="AS632" s="31"/>
      <c r="AT632" s="31" t="n">
        <v>1</v>
      </c>
      <c r="AU632" s="31" t="n">
        <f aca="false">IF($G632="",AJ632,L632)</f>
        <v>0</v>
      </c>
      <c r="AV632" s="31" t="n">
        <f aca="false">IF($G632="",AK632,M632)</f>
        <v>0</v>
      </c>
      <c r="AW632" s="31" t="n">
        <f aca="false">IF($G632="",AL632,N632)</f>
        <v>185565</v>
      </c>
      <c r="AX632" s="31" t="n">
        <f aca="false">IF($G632="",AM632,O632)</f>
        <v>15210</v>
      </c>
      <c r="AY632" s="31" t="n">
        <f aca="false">IF($G632="",AN632,P632)</f>
        <v>188</v>
      </c>
      <c r="AZ632" s="31" t="n">
        <f aca="false">IF($G632="",AO632,Q632)</f>
        <v>0</v>
      </c>
      <c r="BA632" s="31" t="n">
        <f aca="false">IF($G632="",AP632,R632)</f>
        <v>111760</v>
      </c>
      <c r="BB632" s="31" t="n">
        <f aca="false">IF($G632="",AQ632,S632)</f>
        <v>0</v>
      </c>
      <c r="BC632" s="31" t="n">
        <f aca="false">IF($G632="",AR632,T632)</f>
        <v>16020</v>
      </c>
      <c r="BD632" s="31" t="n">
        <f aca="false">IF($G632="",AS632,U632)</f>
        <v>0</v>
      </c>
      <c r="BE632" s="31" t="n">
        <f aca="false">IF($G632="",AT632,V632)</f>
        <v>1</v>
      </c>
      <c r="BF632" s="31" t="n">
        <f aca="false">ROUNDDOWN(I632*設定!$B$10/1000,0)+ROUNDDOWN(I632*設定!$B$11/1000,0)</f>
        <v>0</v>
      </c>
      <c r="BG632" s="31" t="n">
        <f aca="false">ROUNDDOWN(I632*設定!$C$10/1000,0)+ROUNDDOWN(I632*設定!$C$11/1000,0)+ROUNDDOWN(I632*設定!$C$12/1000,0)</f>
        <v>0</v>
      </c>
      <c r="BH632" s="31" t="n">
        <f aca="false">ROUNDDOWN(J632*設定!$B$13/1000,0)</f>
        <v>0</v>
      </c>
      <c r="BI632" s="31" t="n">
        <f aca="false">ROUNDDOWN(J632*設定!$C$13/1000,0)</f>
        <v>0</v>
      </c>
      <c r="BJ632" s="31" t="n">
        <f aca="false">ROUNDDOWN(K632*設定!$B$14/1000,0)</f>
        <v>0</v>
      </c>
      <c r="BK632" s="31" t="n">
        <f aca="false">ROUNDDOWN(K632*設定!$C$14/1000,0)</f>
        <v>0</v>
      </c>
      <c r="BL632" s="31" t="n">
        <f aca="false">ROUNDDOWN(J632*設定!$B$15/1000,0)</f>
        <v>0</v>
      </c>
      <c r="BM632" s="31" t="n">
        <f aca="false">ROUNDDOWN(J632*設定!$C$15/1000,0)</f>
        <v>0</v>
      </c>
      <c r="BN632" s="31" t="n">
        <f aca="false">L632+M632</f>
        <v>0</v>
      </c>
      <c r="BO632" s="31" t="n">
        <f aca="false">N632+O632+P632</f>
        <v>0</v>
      </c>
      <c r="BP632" s="31" t="n">
        <f aca="false">Q632</f>
        <v>0</v>
      </c>
      <c r="BQ632" s="31" t="n">
        <f aca="false">R632</f>
        <v>0</v>
      </c>
      <c r="BR632" s="31" t="n">
        <f aca="false">S632</f>
        <v>0</v>
      </c>
      <c r="BS632" s="31" t="n">
        <f aca="false">T632</f>
        <v>0</v>
      </c>
      <c r="BT632" s="31" t="n">
        <f aca="false">U632</f>
        <v>0</v>
      </c>
      <c r="BU632" s="31" t="n">
        <f aca="false">V632</f>
        <v>0</v>
      </c>
      <c r="BV632" s="32" t="n">
        <f aca="false">IF(BF632=0,IF(BN632=0,0,1),(BN632-BF632)/BF632)</f>
        <v>0</v>
      </c>
      <c r="BW632" s="32" t="n">
        <f aca="false">IF(BG632=0,IF(BO632=0,0,1),(BO632-BG632)/BG632)</f>
        <v>0</v>
      </c>
      <c r="BX632" s="32" t="n">
        <f aca="false">IF(BH632=0,IF(BP632=0,0,1),(BP632-BH632)/BH632)</f>
        <v>0</v>
      </c>
      <c r="BY632" s="32" t="n">
        <f aca="false">IF(BI632=0,IF(BQ632=0,0,1),(BQ632-BI632)/BI632)</f>
        <v>0</v>
      </c>
      <c r="BZ632" s="32" t="n">
        <f aca="false">IF(BJ632=0,IF(BR632=0,0,1),(BR632-BJ632)/BJ632)</f>
        <v>0</v>
      </c>
      <c r="CA632" s="32" t="n">
        <f aca="false">IF(BK632=0,IF(BS632=0,0,1),(BS632-BK632)/BK632)</f>
        <v>0</v>
      </c>
      <c r="CB632" s="32" t="n">
        <f aca="false">IF(BL632=0,IF(BT632=0,0,1),(BT632-BL632)/BL632)</f>
        <v>0</v>
      </c>
      <c r="CC632" s="32" t="n">
        <f aca="false">IF(BM632=0,IF(BU632=0,0,1),(BU632-BM632)/BM632)</f>
        <v>0</v>
      </c>
      <c r="CD632" s="32" t="n">
        <f aca="false">MAX(MAX(BV632:CC632),-MIN(BV632:CC632))</f>
        <v>-0</v>
      </c>
      <c r="CE632" s="31" t="str">
        <f aca="false">IF(CI632="","",SUMIFS($CF$7:$CF$696,$A$7:$A$696,CI632,$B$7:$B$696,B632))</f>
        <v/>
      </c>
      <c r="CF632" s="31" t="n">
        <f aca="false">SUM(AU632:BE632)</f>
        <v>328744</v>
      </c>
      <c r="CG632" s="33" t="str">
        <f aca="false">A632&amp;"|"&amp;B632</f>
        <v>2027-03 賞与|みどり生きもの協会</v>
      </c>
      <c r="CH632" s="34" t="str">
        <f aca="false">IFERROR(INDEX(設定!$D$61:$D$106,MATCH(B632,設定!$B$61:$B$106,0)),"Y")</f>
        <v>Y</v>
      </c>
      <c r="CI632" s="34" t="str">
        <f aca="false">IFERROR(INDEX(設定!$D$20:$D$34,MATCH(A632,設定!$A$20:$A$34,0))&amp;"","")</f>
        <v/>
      </c>
    </row>
    <row r="633" customFormat="false" ht="15" hidden="true" customHeight="false" outlineLevel="0" collapsed="false">
      <c r="A633" s="22" t="s">
        <v>221</v>
      </c>
      <c r="B633" s="23" t="s">
        <v>189</v>
      </c>
      <c r="C633" s="10" t="str">
        <f aca="false">IF(G633="","未受領",IF(G633="なし","報告なし",IF(AH633="○","起票済",IF(OR(AG633="○",F633="一致",F633="入金不要"),"入金確認済","受領済"))))</f>
        <v>未受領</v>
      </c>
      <c r="D633" s="10" t="str">
        <f aca="false">IF(OR(G633="",G633="なし"),"―",IF(CH633="N","対象外",IF(AND(I633="",J633="",K633=""),"標報未入力",IF(CD633&gt;=設定!$B$4,"要確認","問題なし"))))</f>
        <v>―</v>
      </c>
      <c r="E633" s="24" t="str">
        <f aca="false">IF(OR(G633="",G633="なし",CE633="",CF633=0),"―",IF(CF633=CE633,"前月同額",IF(CE633=0,"―",IF(ABS(CF633/CE633-1)&gt;=設定!$B$5,"変動大 "&amp;TEXT(CF633/CE633-1,"+0%;-0%"),"〇"))))</f>
        <v>―</v>
      </c>
      <c r="F633" s="10" t="str">
        <f aca="false">IF(OR(G633="",G633="なし"),"―",IF(CF633=0,"入金不要",IF(COUNT(Z633,AB633,AD633,AF633)=0,IF(AG633="○","手動確認","未入金"),IF(AND(N(Z633)=Y633,IF(AA633="",TRUE(),N(AB633)=AA633),IF(AC633="",TRUE(),N(AD633)=AC633),IF(AE633="",TRUE(),N(AF633)=AE633)),"一致","不一致"))))</f>
        <v>―</v>
      </c>
      <c r="G633" s="25"/>
      <c r="H633" s="26"/>
      <c r="I633" s="27"/>
      <c r="J633" s="27"/>
      <c r="K633" s="27"/>
      <c r="L633" s="27"/>
      <c r="M633" s="27"/>
      <c r="N633" s="27"/>
      <c r="O633" s="27"/>
      <c r="P633" s="27"/>
      <c r="Q633" s="27"/>
      <c r="R633" s="27"/>
      <c r="S633" s="27"/>
      <c r="T633" s="27"/>
      <c r="U633" s="27"/>
      <c r="V633" s="27"/>
      <c r="W633" s="10" t="str">
        <f aca="false">IFERROR(INDEX(設定!$E$61:$E$106,MATCH(B633,設定!$B$61:$B$106,0)),"合算")</f>
        <v>合算</v>
      </c>
      <c r="X633" s="28"/>
      <c r="Y633" s="29" t="str">
        <f aca="false">IF(OR(G633="",G633="なし"),"",IF(W633="合算",CF633,IF(W633="掛金・負担金別",(AU633+AV633+AZ633+BB633+BD633),SUM(AU633:AY633))))</f>
        <v/>
      </c>
      <c r="Z633" s="27"/>
      <c r="AA633" s="29" t="str">
        <f aca="false">IF(OR(G633="",G633="なし"),"",IF(W633="掛金・負担金別",(AW633+AX633+AY633+BA633+BC633+BE633),IF(W633="経理区分別",AZ633+BA633,"")))</f>
        <v/>
      </c>
      <c r="AB633" s="27"/>
      <c r="AC633" s="29" t="str">
        <f aca="false">IF(OR(G633="",G633="なし"),"",IF(W633="経理区分別",BB633+BC633,""))</f>
        <v/>
      </c>
      <c r="AD633" s="27"/>
      <c r="AE633" s="29" t="str">
        <f aca="false">IF(OR(G633="",G633="なし"),"",IF(W633="経理区分別",BD633+BE633,""))</f>
        <v/>
      </c>
      <c r="AF633" s="27"/>
      <c r="AG633" s="26"/>
      <c r="AH633" s="26"/>
      <c r="AI633" s="30"/>
      <c r="AJ633" s="31" t="n">
        <v>62127</v>
      </c>
      <c r="AK633" s="31" t="n">
        <v>5091</v>
      </c>
      <c r="AL633" s="31" t="n">
        <v>62130</v>
      </c>
      <c r="AM633" s="31" t="n">
        <v>5092</v>
      </c>
      <c r="AN633" s="31" t="n">
        <v>63</v>
      </c>
      <c r="AO633" s="31" t="n">
        <v>37350</v>
      </c>
      <c r="AP633" s="31" t="n">
        <v>37419</v>
      </c>
      <c r="AQ633" s="31" t="n">
        <v>4012</v>
      </c>
      <c r="AR633" s="31" t="n">
        <v>4013</v>
      </c>
      <c r="AS633" s="31" t="n">
        <v>1</v>
      </c>
      <c r="AT633" s="31" t="n">
        <v>1</v>
      </c>
      <c r="AU633" s="31" t="n">
        <f aca="false">IF($G633="",AJ633,L633)</f>
        <v>62127</v>
      </c>
      <c r="AV633" s="31" t="n">
        <f aca="false">IF($G633="",AK633,M633)</f>
        <v>5091</v>
      </c>
      <c r="AW633" s="31" t="n">
        <f aca="false">IF($G633="",AL633,N633)</f>
        <v>62130</v>
      </c>
      <c r="AX633" s="31" t="n">
        <f aca="false">IF($G633="",AM633,O633)</f>
        <v>5092</v>
      </c>
      <c r="AY633" s="31" t="n">
        <f aca="false">IF($G633="",AN633,P633)</f>
        <v>63</v>
      </c>
      <c r="AZ633" s="31" t="n">
        <f aca="false">IF($G633="",AO633,Q633)</f>
        <v>37350</v>
      </c>
      <c r="BA633" s="31" t="n">
        <f aca="false">IF($G633="",AP633,R633)</f>
        <v>37419</v>
      </c>
      <c r="BB633" s="31" t="n">
        <f aca="false">IF($G633="",AQ633,S633)</f>
        <v>4012</v>
      </c>
      <c r="BC633" s="31" t="n">
        <f aca="false">IF($G633="",AR633,T633)</f>
        <v>4013</v>
      </c>
      <c r="BD633" s="31" t="n">
        <f aca="false">IF($G633="",AS633,U633)</f>
        <v>1</v>
      </c>
      <c r="BE633" s="31" t="n">
        <f aca="false">IF($G633="",AT633,V633)</f>
        <v>1</v>
      </c>
      <c r="BF633" s="31" t="n">
        <f aca="false">ROUNDDOWN(I633*設定!$B$10/1000,0)+ROUNDDOWN(I633*設定!$B$11/1000,0)</f>
        <v>0</v>
      </c>
      <c r="BG633" s="31" t="n">
        <f aca="false">ROUNDDOWN(I633*設定!$C$10/1000,0)+ROUNDDOWN(I633*設定!$C$11/1000,0)+ROUNDDOWN(I633*設定!$C$12/1000,0)</f>
        <v>0</v>
      </c>
      <c r="BH633" s="31" t="n">
        <f aca="false">ROUNDDOWN(J633*設定!$B$13/1000,0)</f>
        <v>0</v>
      </c>
      <c r="BI633" s="31" t="n">
        <f aca="false">ROUNDDOWN(J633*設定!$C$13/1000,0)</f>
        <v>0</v>
      </c>
      <c r="BJ633" s="31" t="n">
        <f aca="false">ROUNDDOWN(K633*設定!$B$14/1000,0)</f>
        <v>0</v>
      </c>
      <c r="BK633" s="31" t="n">
        <f aca="false">ROUNDDOWN(K633*設定!$C$14/1000,0)</f>
        <v>0</v>
      </c>
      <c r="BL633" s="31" t="n">
        <f aca="false">ROUNDDOWN(J633*設定!$B$15/1000,0)</f>
        <v>0</v>
      </c>
      <c r="BM633" s="31" t="n">
        <f aca="false">ROUNDDOWN(J633*設定!$C$15/1000,0)</f>
        <v>0</v>
      </c>
      <c r="BN633" s="31" t="n">
        <f aca="false">L633+M633</f>
        <v>0</v>
      </c>
      <c r="BO633" s="31" t="n">
        <f aca="false">N633+O633+P633</f>
        <v>0</v>
      </c>
      <c r="BP633" s="31" t="n">
        <f aca="false">Q633</f>
        <v>0</v>
      </c>
      <c r="BQ633" s="31" t="n">
        <f aca="false">R633</f>
        <v>0</v>
      </c>
      <c r="BR633" s="31" t="n">
        <f aca="false">S633</f>
        <v>0</v>
      </c>
      <c r="BS633" s="31" t="n">
        <f aca="false">T633</f>
        <v>0</v>
      </c>
      <c r="BT633" s="31" t="n">
        <f aca="false">U633</f>
        <v>0</v>
      </c>
      <c r="BU633" s="31" t="n">
        <f aca="false">V633</f>
        <v>0</v>
      </c>
      <c r="BV633" s="32" t="n">
        <f aca="false">IF(BF633=0,IF(BN633=0,0,1),(BN633-BF633)/BF633)</f>
        <v>0</v>
      </c>
      <c r="BW633" s="32" t="n">
        <f aca="false">IF(BG633=0,IF(BO633=0,0,1),(BO633-BG633)/BG633)</f>
        <v>0</v>
      </c>
      <c r="BX633" s="32" t="n">
        <f aca="false">IF(BH633=0,IF(BP633=0,0,1),(BP633-BH633)/BH633)</f>
        <v>0</v>
      </c>
      <c r="BY633" s="32" t="n">
        <f aca="false">IF(BI633=0,IF(BQ633=0,0,1),(BQ633-BI633)/BI633)</f>
        <v>0</v>
      </c>
      <c r="BZ633" s="32" t="n">
        <f aca="false">IF(BJ633=0,IF(BR633=0,0,1),(BR633-BJ633)/BJ633)</f>
        <v>0</v>
      </c>
      <c r="CA633" s="32" t="n">
        <f aca="false">IF(BK633=0,IF(BS633=0,0,1),(BS633-BK633)/BK633)</f>
        <v>0</v>
      </c>
      <c r="CB633" s="32" t="n">
        <f aca="false">IF(BL633=0,IF(BT633=0,0,1),(BT633-BL633)/BL633)</f>
        <v>0</v>
      </c>
      <c r="CC633" s="32" t="n">
        <f aca="false">IF(BM633=0,IF(BU633=0,0,1),(BU633-BM633)/BM633)</f>
        <v>0</v>
      </c>
      <c r="CD633" s="32" t="n">
        <f aca="false">MAX(MAX(BV633:CC633),-MIN(BV633:CC633))</f>
        <v>-0</v>
      </c>
      <c r="CE633" s="31" t="str">
        <f aca="false">IF(CI633="","",SUMIFS($CF$7:$CF$696,$A$7:$A$696,CI633,$B$7:$B$696,B633))</f>
        <v/>
      </c>
      <c r="CF633" s="31" t="n">
        <f aca="false">SUM(AU633:BE633)</f>
        <v>217299</v>
      </c>
      <c r="CG633" s="33" t="str">
        <f aca="false">A633&amp;"|"&amp;B633</f>
        <v>2027-03 賞与|県下水道公社</v>
      </c>
      <c r="CH633" s="34" t="str">
        <f aca="false">IFERROR(INDEX(設定!$D$61:$D$106,MATCH(B633,設定!$B$61:$B$106,0)),"Y")</f>
        <v>Y</v>
      </c>
      <c r="CI633" s="34" t="str">
        <f aca="false">IFERROR(INDEX(設定!$D$20:$D$34,MATCH(A633,設定!$A$20:$A$34,0))&amp;"","")</f>
        <v/>
      </c>
    </row>
    <row r="634" customFormat="false" ht="26.85" hidden="true" customHeight="false" outlineLevel="0" collapsed="false">
      <c r="A634" s="22" t="s">
        <v>221</v>
      </c>
      <c r="B634" s="35" t="s">
        <v>208</v>
      </c>
      <c r="C634" s="10" t="str">
        <f aca="false">IF(G634="","未受領",IF(G634="なし","報告なし",IF(AH634="○","起票済",IF(OR(AG634="○",F634="一致",F634="入金不要"),"入金確認済","受領済"))))</f>
        <v>未受領</v>
      </c>
      <c r="D634" s="10" t="str">
        <f aca="false">IF(OR(G634="",G634="なし"),"―",IF(CH634="N","対象外",IF(AND(I634="",J634="",K634=""),"標報未入力",IF(CD634&gt;=設定!$B$4,"要確認","問題なし"))))</f>
        <v>―</v>
      </c>
      <c r="E634" s="24" t="str">
        <f aca="false">IF(OR(G634="",G634="なし",CE634="",CF634=0),"―",IF(CF634=CE634,"前月同額",IF(CE634=0,"―",IF(ABS(CF634/CE634-1)&gt;=設定!$B$5,"変動大 "&amp;TEXT(CF634/CE634-1,"+0%;-0%"),"〇"))))</f>
        <v>―</v>
      </c>
      <c r="F634" s="10" t="str">
        <f aca="false">IF(OR(G634="",G634="なし"),"―",IF(CF634=0,"入金不要",IF(COUNT(Z634,AB634,AD634,AF634)=0,IF(AG634="○","手動確認","未入金"),IF(AND(N(Z634)=Y634,IF(AA634="",TRUE(),N(AB634)=AA634),IF(AC634="",TRUE(),N(AD634)=AC634),IF(AE634="",TRUE(),N(AF634)=AE634)),"一致","不一致"))))</f>
        <v>―</v>
      </c>
      <c r="G634" s="25"/>
      <c r="H634" s="26"/>
      <c r="I634" s="27"/>
      <c r="J634" s="27"/>
      <c r="K634" s="27"/>
      <c r="L634" s="27"/>
      <c r="M634" s="27"/>
      <c r="N634" s="27"/>
      <c r="O634" s="27"/>
      <c r="P634" s="27"/>
      <c r="Q634" s="27"/>
      <c r="R634" s="27"/>
      <c r="S634" s="27"/>
      <c r="T634" s="27"/>
      <c r="U634" s="27"/>
      <c r="V634" s="27"/>
      <c r="W634" s="10" t="str">
        <f aca="false">IFERROR(INDEX(設定!$E$61:$E$106,MATCH(B634,設定!$B$61:$B$106,0)),"合算")</f>
        <v>合算</v>
      </c>
      <c r="X634" s="28"/>
      <c r="Y634" s="29" t="str">
        <f aca="false">IF(OR(G634="",G634="なし"),"",IF(W634="合算",CF634,IF(W634="掛金・負担金別",(AU634+AV634+AZ634+BB634+BD634),SUM(AU634:AY634))))</f>
        <v/>
      </c>
      <c r="Z634" s="27"/>
      <c r="AA634" s="29" t="str">
        <f aca="false">IF(OR(G634="",G634="なし"),"",IF(W634="掛金・負担金別",(AW634+AX634+AY634+BA634+BC634+BE634),IF(W634="経理区分別",AZ634+BA634,"")))</f>
        <v/>
      </c>
      <c r="AB634" s="27"/>
      <c r="AC634" s="29" t="str">
        <f aca="false">IF(OR(G634="",G634="なし"),"",IF(W634="経理区分別",BB634+BC634,""))</f>
        <v/>
      </c>
      <c r="AD634" s="27"/>
      <c r="AE634" s="29" t="str">
        <f aca="false">IF(OR(G634="",G634="なし"),"",IF(W634="経理区分別",BD634+BE634,""))</f>
        <v/>
      </c>
      <c r="AF634" s="27"/>
      <c r="AG634" s="26"/>
      <c r="AH634" s="26"/>
      <c r="AI634" s="30"/>
      <c r="AJ634" s="31"/>
      <c r="AK634" s="31"/>
      <c r="AL634" s="31" t="n">
        <v>0</v>
      </c>
      <c r="AM634" s="31" t="n">
        <v>0</v>
      </c>
      <c r="AN634" s="31" t="n">
        <v>0</v>
      </c>
      <c r="AO634" s="31"/>
      <c r="AP634" s="31" t="n">
        <v>0</v>
      </c>
      <c r="AQ634" s="31"/>
      <c r="AR634" s="31" t="n">
        <v>0</v>
      </c>
      <c r="AS634" s="31"/>
      <c r="AT634" s="31" t="n">
        <v>0</v>
      </c>
      <c r="AU634" s="31" t="n">
        <f aca="false">IF($G634="",AJ634,L634)</f>
        <v>0</v>
      </c>
      <c r="AV634" s="31" t="n">
        <f aca="false">IF($G634="",AK634,M634)</f>
        <v>0</v>
      </c>
      <c r="AW634" s="31" t="n">
        <f aca="false">IF($G634="",AL634,N634)</f>
        <v>0</v>
      </c>
      <c r="AX634" s="31" t="n">
        <f aca="false">IF($G634="",AM634,O634)</f>
        <v>0</v>
      </c>
      <c r="AY634" s="31" t="n">
        <f aca="false">IF($G634="",AN634,P634)</f>
        <v>0</v>
      </c>
      <c r="AZ634" s="31" t="n">
        <f aca="false">IF($G634="",AO634,Q634)</f>
        <v>0</v>
      </c>
      <c r="BA634" s="31" t="n">
        <f aca="false">IF($G634="",AP634,R634)</f>
        <v>0</v>
      </c>
      <c r="BB634" s="31" t="n">
        <f aca="false">IF($G634="",AQ634,S634)</f>
        <v>0</v>
      </c>
      <c r="BC634" s="31" t="n">
        <f aca="false">IF($G634="",AR634,T634)</f>
        <v>0</v>
      </c>
      <c r="BD634" s="31" t="n">
        <f aca="false">IF($G634="",AS634,U634)</f>
        <v>0</v>
      </c>
      <c r="BE634" s="31" t="n">
        <f aca="false">IF($G634="",AT634,V634)</f>
        <v>0</v>
      </c>
      <c r="BF634" s="31" t="n">
        <f aca="false">ROUNDDOWN(I634*設定!$B$10/1000,0)+ROUNDDOWN(I634*設定!$B$11/1000,0)</f>
        <v>0</v>
      </c>
      <c r="BG634" s="31" t="n">
        <f aca="false">ROUNDDOWN(I634*設定!$C$10/1000,0)+ROUNDDOWN(I634*設定!$C$11/1000,0)+ROUNDDOWN(I634*設定!$C$12/1000,0)</f>
        <v>0</v>
      </c>
      <c r="BH634" s="31" t="n">
        <f aca="false">ROUNDDOWN(J634*設定!$B$13/1000,0)</f>
        <v>0</v>
      </c>
      <c r="BI634" s="31" t="n">
        <f aca="false">ROUNDDOWN(J634*設定!$C$13/1000,0)</f>
        <v>0</v>
      </c>
      <c r="BJ634" s="31" t="n">
        <f aca="false">ROUNDDOWN(K634*設定!$B$14/1000,0)</f>
        <v>0</v>
      </c>
      <c r="BK634" s="31" t="n">
        <f aca="false">ROUNDDOWN(K634*設定!$C$14/1000,0)</f>
        <v>0</v>
      </c>
      <c r="BL634" s="31" t="n">
        <f aca="false">ROUNDDOWN(J634*設定!$B$15/1000,0)</f>
        <v>0</v>
      </c>
      <c r="BM634" s="31" t="n">
        <f aca="false">ROUNDDOWN(J634*設定!$C$15/1000,0)</f>
        <v>0</v>
      </c>
      <c r="BN634" s="31" t="n">
        <f aca="false">L634+M634</f>
        <v>0</v>
      </c>
      <c r="BO634" s="31" t="n">
        <f aca="false">N634+O634+P634</f>
        <v>0</v>
      </c>
      <c r="BP634" s="31" t="n">
        <f aca="false">Q634</f>
        <v>0</v>
      </c>
      <c r="BQ634" s="31" t="n">
        <f aca="false">R634</f>
        <v>0</v>
      </c>
      <c r="BR634" s="31" t="n">
        <f aca="false">S634</f>
        <v>0</v>
      </c>
      <c r="BS634" s="31" t="n">
        <f aca="false">T634</f>
        <v>0</v>
      </c>
      <c r="BT634" s="31" t="n">
        <f aca="false">U634</f>
        <v>0</v>
      </c>
      <c r="BU634" s="31" t="n">
        <f aca="false">V634</f>
        <v>0</v>
      </c>
      <c r="BV634" s="32" t="n">
        <f aca="false">IF(BF634=0,IF(BN634=0,0,1),(BN634-BF634)/BF634)</f>
        <v>0</v>
      </c>
      <c r="BW634" s="32" t="n">
        <f aca="false">IF(BG634=0,IF(BO634=0,0,1),(BO634-BG634)/BG634)</f>
        <v>0</v>
      </c>
      <c r="BX634" s="32" t="n">
        <f aca="false">IF(BH634=0,IF(BP634=0,0,1),(BP634-BH634)/BH634)</f>
        <v>0</v>
      </c>
      <c r="BY634" s="32" t="n">
        <f aca="false">IF(BI634=0,IF(BQ634=0,0,1),(BQ634-BI634)/BI634)</f>
        <v>0</v>
      </c>
      <c r="BZ634" s="32" t="n">
        <f aca="false">IF(BJ634=0,IF(BR634=0,0,1),(BR634-BJ634)/BJ634)</f>
        <v>0</v>
      </c>
      <c r="CA634" s="32" t="n">
        <f aca="false">IF(BK634=0,IF(BS634=0,0,1),(BS634-BK634)/BK634)</f>
        <v>0</v>
      </c>
      <c r="CB634" s="32" t="n">
        <f aca="false">IF(BL634=0,IF(BT634=0,0,1),(BT634-BL634)/BL634)</f>
        <v>0</v>
      </c>
      <c r="CC634" s="32" t="n">
        <f aca="false">IF(BM634=0,IF(BU634=0,0,1),(BU634-BM634)/BM634)</f>
        <v>0</v>
      </c>
      <c r="CD634" s="32" t="n">
        <f aca="false">MAX(MAX(BV634:CC634),-MIN(BV634:CC634))</f>
        <v>-0</v>
      </c>
      <c r="CE634" s="31" t="str">
        <f aca="false">IF(CI634="","",SUMIFS($CF$7:$CF$696,$A$7:$A$696,CI634,$B$7:$B$696,B634))</f>
        <v/>
      </c>
      <c r="CF634" s="31" t="n">
        <f aca="false">SUM(AU634:BE634)</f>
        <v>0</v>
      </c>
      <c r="CG634" s="36" t="str">
        <f aca="false">A634&amp;"|"&amp;B634</f>
        <v>2027-03 賞与|バス協調・共創
プラットフォーム</v>
      </c>
      <c r="CH634" s="34" t="str">
        <f aca="false">IFERROR(INDEX(設定!$D$61:$D$106,MATCH(B634,設定!$B$61:$B$106,0)),"Y")</f>
        <v>Y</v>
      </c>
      <c r="CI634" s="34" t="str">
        <f aca="false">IFERROR(INDEX(設定!$D$20:$D$34,MATCH(A634,設定!$A$20:$A$34,0))&amp;"","")</f>
        <v/>
      </c>
    </row>
    <row r="635" customFormat="false" ht="15" hidden="true" customHeight="false" outlineLevel="0" collapsed="false">
      <c r="A635" s="22" t="s">
        <v>221</v>
      </c>
      <c r="B635" s="23" t="s">
        <v>191</v>
      </c>
      <c r="C635" s="10" t="str">
        <f aca="false">IF(G635="","未受領",IF(G635="なし","報告なし",IF(AH635="○","起票済",IF(OR(AG635="○",F635="一致",F635="入金不要"),"入金確認済","受領済"))))</f>
        <v>未受領</v>
      </c>
      <c r="D635" s="10" t="str">
        <f aca="false">IF(OR(G635="",G635="なし"),"―",IF(CH635="N","対象外",IF(AND(I635="",J635="",K635=""),"標報未入力",IF(CD635&gt;=設定!$B$4,"要確認","問題なし"))))</f>
        <v>―</v>
      </c>
      <c r="E635" s="24" t="str">
        <f aca="false">IF(OR(G635="",G635="なし",CE635="",CF635=0),"―",IF(CF635=CE635,"前月同額",IF(CE635=0,"―",IF(ABS(CF635/CE635-1)&gt;=設定!$B$5,"変動大 "&amp;TEXT(CF635/CE635-1,"+0%;-0%"),"〇"))))</f>
        <v>―</v>
      </c>
      <c r="F635" s="10" t="str">
        <f aca="false">IF(OR(G635="",G635="なし"),"―",IF(CF635=0,"入金不要",IF(COUNT(Z635,AB635,AD635,AF635)=0,IF(AG635="○","手動確認","未入金"),IF(AND(N(Z635)=Y635,IF(AA635="",TRUE(),N(AB635)=AA635),IF(AC635="",TRUE(),N(AD635)=AC635),IF(AE635="",TRUE(),N(AF635)=AE635)),"一致","不一致"))))</f>
        <v>―</v>
      </c>
      <c r="G635" s="25"/>
      <c r="H635" s="26"/>
      <c r="I635" s="27"/>
      <c r="J635" s="27"/>
      <c r="K635" s="27"/>
      <c r="L635" s="27"/>
      <c r="M635" s="27"/>
      <c r="N635" s="27"/>
      <c r="O635" s="27"/>
      <c r="P635" s="27"/>
      <c r="Q635" s="27"/>
      <c r="R635" s="27"/>
      <c r="S635" s="27"/>
      <c r="T635" s="27"/>
      <c r="U635" s="27"/>
      <c r="V635" s="27"/>
      <c r="W635" s="10" t="str">
        <f aca="false">IFERROR(INDEX(設定!$E$61:$E$106,MATCH(B635,設定!$B$61:$B$106,0)),"合算")</f>
        <v>合算</v>
      </c>
      <c r="X635" s="28"/>
      <c r="Y635" s="29" t="str">
        <f aca="false">IF(OR(G635="",G635="なし"),"",IF(W635="合算",CF635,IF(W635="掛金・負担金別",(AU635+AV635+AZ635+BB635+BD635),SUM(AU635:AY635))))</f>
        <v/>
      </c>
      <c r="Z635" s="27"/>
      <c r="AA635" s="29" t="str">
        <f aca="false">IF(OR(G635="",G635="なし"),"",IF(W635="掛金・負担金別",(AW635+AX635+AY635+BA635+BC635+BE635),IF(W635="経理区分別",AZ635+BA635,"")))</f>
        <v/>
      </c>
      <c r="AB635" s="27"/>
      <c r="AC635" s="29" t="str">
        <f aca="false">IF(OR(G635="",G635="なし"),"",IF(W635="経理区分別",BB635+BC635,""))</f>
        <v/>
      </c>
      <c r="AD635" s="27"/>
      <c r="AE635" s="29" t="str">
        <f aca="false">IF(OR(G635="",G635="なし"),"",IF(W635="経理区分別",BD635+BE635,""))</f>
        <v/>
      </c>
      <c r="AF635" s="27"/>
      <c r="AG635" s="26"/>
      <c r="AH635" s="26"/>
      <c r="AI635" s="30"/>
      <c r="AJ635" s="31" t="n">
        <v>25803</v>
      </c>
      <c r="AK635" s="31" t="n">
        <v>2115</v>
      </c>
      <c r="AL635" s="31" t="n">
        <v>25803</v>
      </c>
      <c r="AM635" s="31" t="n">
        <v>2115</v>
      </c>
      <c r="AN635" s="31" t="n">
        <v>26</v>
      </c>
      <c r="AO635" s="31" t="n">
        <v>15512</v>
      </c>
      <c r="AP635" s="31" t="n">
        <v>15541</v>
      </c>
      <c r="AQ635" s="31" t="n">
        <v>2227</v>
      </c>
      <c r="AR635" s="31" t="n">
        <v>2227</v>
      </c>
      <c r="AS635" s="31" t="n">
        <v>1</v>
      </c>
      <c r="AT635" s="31" t="n">
        <v>1</v>
      </c>
      <c r="AU635" s="31" t="n">
        <f aca="false">IF($G635="",AJ635,L635)</f>
        <v>25803</v>
      </c>
      <c r="AV635" s="31" t="n">
        <f aca="false">IF($G635="",AK635,M635)</f>
        <v>2115</v>
      </c>
      <c r="AW635" s="31" t="n">
        <f aca="false">IF($G635="",AL635,N635)</f>
        <v>25803</v>
      </c>
      <c r="AX635" s="31" t="n">
        <f aca="false">IF($G635="",AM635,O635)</f>
        <v>2115</v>
      </c>
      <c r="AY635" s="31" t="n">
        <f aca="false">IF($G635="",AN635,P635)</f>
        <v>26</v>
      </c>
      <c r="AZ635" s="31" t="n">
        <f aca="false">IF($G635="",AO635,Q635)</f>
        <v>15512</v>
      </c>
      <c r="BA635" s="31" t="n">
        <f aca="false">IF($G635="",AP635,R635)</f>
        <v>15541</v>
      </c>
      <c r="BB635" s="31" t="n">
        <f aca="false">IF($G635="",AQ635,S635)</f>
        <v>2227</v>
      </c>
      <c r="BC635" s="31" t="n">
        <f aca="false">IF($G635="",AR635,T635)</f>
        <v>2227</v>
      </c>
      <c r="BD635" s="31" t="n">
        <f aca="false">IF($G635="",AS635,U635)</f>
        <v>1</v>
      </c>
      <c r="BE635" s="31" t="n">
        <f aca="false">IF($G635="",AT635,V635)</f>
        <v>1</v>
      </c>
      <c r="BF635" s="31" t="n">
        <f aca="false">ROUNDDOWN(I635*設定!$B$10/1000,0)+ROUNDDOWN(I635*設定!$B$11/1000,0)</f>
        <v>0</v>
      </c>
      <c r="BG635" s="31" t="n">
        <f aca="false">ROUNDDOWN(I635*設定!$C$10/1000,0)+ROUNDDOWN(I635*設定!$C$11/1000,0)+ROUNDDOWN(I635*設定!$C$12/1000,0)</f>
        <v>0</v>
      </c>
      <c r="BH635" s="31" t="n">
        <f aca="false">ROUNDDOWN(J635*設定!$B$13/1000,0)</f>
        <v>0</v>
      </c>
      <c r="BI635" s="31" t="n">
        <f aca="false">ROUNDDOWN(J635*設定!$C$13/1000,0)</f>
        <v>0</v>
      </c>
      <c r="BJ635" s="31" t="n">
        <f aca="false">ROUNDDOWN(K635*設定!$B$14/1000,0)</f>
        <v>0</v>
      </c>
      <c r="BK635" s="31" t="n">
        <f aca="false">ROUNDDOWN(K635*設定!$C$14/1000,0)</f>
        <v>0</v>
      </c>
      <c r="BL635" s="31" t="n">
        <f aca="false">ROUNDDOWN(J635*設定!$B$15/1000,0)</f>
        <v>0</v>
      </c>
      <c r="BM635" s="31" t="n">
        <f aca="false">ROUNDDOWN(J635*設定!$C$15/1000,0)</f>
        <v>0</v>
      </c>
      <c r="BN635" s="31" t="n">
        <f aca="false">L635+M635</f>
        <v>0</v>
      </c>
      <c r="BO635" s="31" t="n">
        <f aca="false">N635+O635+P635</f>
        <v>0</v>
      </c>
      <c r="BP635" s="31" t="n">
        <f aca="false">Q635</f>
        <v>0</v>
      </c>
      <c r="BQ635" s="31" t="n">
        <f aca="false">R635</f>
        <v>0</v>
      </c>
      <c r="BR635" s="31" t="n">
        <f aca="false">S635</f>
        <v>0</v>
      </c>
      <c r="BS635" s="31" t="n">
        <f aca="false">T635</f>
        <v>0</v>
      </c>
      <c r="BT635" s="31" t="n">
        <f aca="false">U635</f>
        <v>0</v>
      </c>
      <c r="BU635" s="31" t="n">
        <f aca="false">V635</f>
        <v>0</v>
      </c>
      <c r="BV635" s="32" t="n">
        <f aca="false">IF(BF635=0,IF(BN635=0,0,1),(BN635-BF635)/BF635)</f>
        <v>0</v>
      </c>
      <c r="BW635" s="32" t="n">
        <f aca="false">IF(BG635=0,IF(BO635=0,0,1),(BO635-BG635)/BG635)</f>
        <v>0</v>
      </c>
      <c r="BX635" s="32" t="n">
        <f aca="false">IF(BH635=0,IF(BP635=0,0,1),(BP635-BH635)/BH635)</f>
        <v>0</v>
      </c>
      <c r="BY635" s="32" t="n">
        <f aca="false">IF(BI635=0,IF(BQ635=0,0,1),(BQ635-BI635)/BI635)</f>
        <v>0</v>
      </c>
      <c r="BZ635" s="32" t="n">
        <f aca="false">IF(BJ635=0,IF(BR635=0,0,1),(BR635-BJ635)/BJ635)</f>
        <v>0</v>
      </c>
      <c r="CA635" s="32" t="n">
        <f aca="false">IF(BK635=0,IF(BS635=0,0,1),(BS635-BK635)/BK635)</f>
        <v>0</v>
      </c>
      <c r="CB635" s="32" t="n">
        <f aca="false">IF(BL635=0,IF(BT635=0,0,1),(BT635-BL635)/BL635)</f>
        <v>0</v>
      </c>
      <c r="CC635" s="32" t="n">
        <f aca="false">IF(BM635=0,IF(BU635=0,0,1),(BU635-BM635)/BM635)</f>
        <v>0</v>
      </c>
      <c r="CD635" s="32" t="n">
        <f aca="false">MAX(MAX(BV635:CC635),-MIN(BV635:CC635))</f>
        <v>-0</v>
      </c>
      <c r="CE635" s="31" t="str">
        <f aca="false">IF(CI635="","",SUMIFS($CF$7:$CF$696,$A$7:$A$696,CI635,$B$7:$B$696,B635))</f>
        <v/>
      </c>
      <c r="CF635" s="31" t="n">
        <f aca="false">SUM(AU635:BE635)</f>
        <v>91371</v>
      </c>
      <c r="CG635" s="33" t="str">
        <f aca="false">A635&amp;"|"&amp;B635</f>
        <v>2027-03 賞与|広島県市長会</v>
      </c>
      <c r="CH635" s="34" t="str">
        <f aca="false">IFERROR(INDEX(設定!$D$61:$D$106,MATCH(B635,設定!$B$61:$B$106,0)),"Y")</f>
        <v>Y</v>
      </c>
      <c r="CI635" s="34" t="str">
        <f aca="false">IFERROR(INDEX(設定!$D$20:$D$34,MATCH(A635,設定!$A$20:$A$34,0))&amp;"","")</f>
        <v/>
      </c>
    </row>
    <row r="636" customFormat="false" ht="15" hidden="true" customHeight="false" outlineLevel="0" collapsed="false">
      <c r="A636" s="22" t="s">
        <v>221</v>
      </c>
      <c r="B636" s="23" t="s">
        <v>192</v>
      </c>
      <c r="C636" s="10" t="str">
        <f aca="false">IF(G636="","未受領",IF(G636="なし","報告なし",IF(AH636="○","起票済",IF(OR(AG636="○",F636="一致",F636="入金不要"),"入金確認済","受領済"))))</f>
        <v>報告なし</v>
      </c>
      <c r="D636" s="10" t="str">
        <f aca="false">IF(OR(G636="",G636="なし"),"―",IF(CH636="N","対象外",IF(AND(I636="",J636="",K636=""),"標報未入力",IF(CD636&gt;=設定!$B$4,"要確認","問題なし"))))</f>
        <v>―</v>
      </c>
      <c r="E636" s="24" t="str">
        <f aca="false">IF(OR(G636="",G636="なし",CE636="",CF636=0),"―",IF(CF636=CE636,"前月同額",IF(CE636=0,"―",IF(ABS(CF636/CE636-1)&gt;=設定!$B$5,"変動大 "&amp;TEXT(CF636/CE636-1,"+0%;-0%"),"〇"))))</f>
        <v>―</v>
      </c>
      <c r="F636" s="10" t="str">
        <f aca="false">IF(OR(G636="",G636="なし"),"―",IF(CF636=0,"入金不要",IF(COUNT(Z636,AB636,AD636,AF636)=0,IF(AG636="○","手動確認","未入金"),IF(AND(N(Z636)=Y636,IF(AA636="",TRUE(),N(AB636)=AA636),IF(AC636="",TRUE(),N(AD636)=AC636),IF(AE636="",TRUE(),N(AF636)=AE636)),"一致","不一致"))))</f>
        <v>―</v>
      </c>
      <c r="G636" s="25" t="s">
        <v>173</v>
      </c>
      <c r="H636" s="26"/>
      <c r="I636" s="27"/>
      <c r="J636" s="27"/>
      <c r="K636" s="27"/>
      <c r="L636" s="27"/>
      <c r="M636" s="27"/>
      <c r="N636" s="27"/>
      <c r="O636" s="27"/>
      <c r="P636" s="27"/>
      <c r="Q636" s="27"/>
      <c r="R636" s="27"/>
      <c r="S636" s="27"/>
      <c r="T636" s="27"/>
      <c r="U636" s="27"/>
      <c r="V636" s="27"/>
      <c r="W636" s="10" t="str">
        <f aca="false">IFERROR(INDEX(設定!$E$61:$E$106,MATCH(B636,設定!$B$61:$B$106,0)),"合算")</f>
        <v>合算</v>
      </c>
      <c r="X636" s="28"/>
      <c r="Y636" s="29" t="str">
        <f aca="false">IF(OR(G636="",G636="なし"),"",IF(W636="合算",CF636,IF(W636="掛金・負担金別",(AU636+AV636+AZ636+BB636+BD636),SUM(AU636:AY636))))</f>
        <v/>
      </c>
      <c r="Z636" s="27"/>
      <c r="AA636" s="29" t="str">
        <f aca="false">IF(OR(G636="",G636="なし"),"",IF(W636="掛金・負担金別",(AW636+AX636+AY636+BA636+BC636+BE636),IF(W636="経理区分別",AZ636+BA636,"")))</f>
        <v/>
      </c>
      <c r="AB636" s="27"/>
      <c r="AC636" s="29" t="str">
        <f aca="false">IF(OR(G636="",G636="なし"),"",IF(W636="経理区分別",BB636+BC636,""))</f>
        <v/>
      </c>
      <c r="AD636" s="27"/>
      <c r="AE636" s="29" t="str">
        <f aca="false">IF(OR(G636="",G636="なし"),"",IF(W636="経理区分別",BD636+BE636,""))</f>
        <v/>
      </c>
      <c r="AF636" s="27"/>
      <c r="AG636" s="26"/>
      <c r="AH636" s="26"/>
      <c r="AI636" s="30"/>
      <c r="AJ636" s="31"/>
      <c r="AK636" s="31"/>
      <c r="AL636" s="31"/>
      <c r="AM636" s="31"/>
      <c r="AN636" s="31"/>
      <c r="AO636" s="31"/>
      <c r="AP636" s="31"/>
      <c r="AQ636" s="31"/>
      <c r="AR636" s="31"/>
      <c r="AS636" s="31"/>
      <c r="AT636" s="31"/>
      <c r="AU636" s="31" t="n">
        <f aca="false">IF($G636="",AJ636,L636)</f>
        <v>0</v>
      </c>
      <c r="AV636" s="31" t="n">
        <f aca="false">IF($G636="",AK636,M636)</f>
        <v>0</v>
      </c>
      <c r="AW636" s="31" t="n">
        <f aca="false">IF($G636="",AL636,N636)</f>
        <v>0</v>
      </c>
      <c r="AX636" s="31" t="n">
        <f aca="false">IF($G636="",AM636,O636)</f>
        <v>0</v>
      </c>
      <c r="AY636" s="31" t="n">
        <f aca="false">IF($G636="",AN636,P636)</f>
        <v>0</v>
      </c>
      <c r="AZ636" s="31" t="n">
        <f aca="false">IF($G636="",AO636,Q636)</f>
        <v>0</v>
      </c>
      <c r="BA636" s="31" t="n">
        <f aca="false">IF($G636="",AP636,R636)</f>
        <v>0</v>
      </c>
      <c r="BB636" s="31" t="n">
        <f aca="false">IF($G636="",AQ636,S636)</f>
        <v>0</v>
      </c>
      <c r="BC636" s="31" t="n">
        <f aca="false">IF($G636="",AR636,T636)</f>
        <v>0</v>
      </c>
      <c r="BD636" s="31" t="n">
        <f aca="false">IF($G636="",AS636,U636)</f>
        <v>0</v>
      </c>
      <c r="BE636" s="31" t="n">
        <f aca="false">IF($G636="",AT636,V636)</f>
        <v>0</v>
      </c>
      <c r="BF636" s="31" t="n">
        <f aca="false">ROUNDDOWN(I636*設定!$B$10/1000,0)+ROUNDDOWN(I636*設定!$B$11/1000,0)</f>
        <v>0</v>
      </c>
      <c r="BG636" s="31" t="n">
        <f aca="false">ROUNDDOWN(I636*設定!$C$10/1000,0)+ROUNDDOWN(I636*設定!$C$11/1000,0)+ROUNDDOWN(I636*設定!$C$12/1000,0)</f>
        <v>0</v>
      </c>
      <c r="BH636" s="31" t="n">
        <f aca="false">ROUNDDOWN(J636*設定!$B$13/1000,0)</f>
        <v>0</v>
      </c>
      <c r="BI636" s="31" t="n">
        <f aca="false">ROUNDDOWN(J636*設定!$C$13/1000,0)</f>
        <v>0</v>
      </c>
      <c r="BJ636" s="31" t="n">
        <f aca="false">ROUNDDOWN(K636*設定!$B$14/1000,0)</f>
        <v>0</v>
      </c>
      <c r="BK636" s="31" t="n">
        <f aca="false">ROUNDDOWN(K636*設定!$C$14/1000,0)</f>
        <v>0</v>
      </c>
      <c r="BL636" s="31" t="n">
        <f aca="false">ROUNDDOWN(J636*設定!$B$15/1000,0)</f>
        <v>0</v>
      </c>
      <c r="BM636" s="31" t="n">
        <f aca="false">ROUNDDOWN(J636*設定!$C$15/1000,0)</f>
        <v>0</v>
      </c>
      <c r="BN636" s="31" t="n">
        <f aca="false">L636+M636</f>
        <v>0</v>
      </c>
      <c r="BO636" s="31" t="n">
        <f aca="false">N636+O636+P636</f>
        <v>0</v>
      </c>
      <c r="BP636" s="31" t="n">
        <f aca="false">Q636</f>
        <v>0</v>
      </c>
      <c r="BQ636" s="31" t="n">
        <f aca="false">R636</f>
        <v>0</v>
      </c>
      <c r="BR636" s="31" t="n">
        <f aca="false">S636</f>
        <v>0</v>
      </c>
      <c r="BS636" s="31" t="n">
        <f aca="false">T636</f>
        <v>0</v>
      </c>
      <c r="BT636" s="31" t="n">
        <f aca="false">U636</f>
        <v>0</v>
      </c>
      <c r="BU636" s="31" t="n">
        <f aca="false">V636</f>
        <v>0</v>
      </c>
      <c r="BV636" s="32" t="n">
        <f aca="false">IF(BF636=0,IF(BN636=0,0,1),(BN636-BF636)/BF636)</f>
        <v>0</v>
      </c>
      <c r="BW636" s="32" t="n">
        <f aca="false">IF(BG636=0,IF(BO636=0,0,1),(BO636-BG636)/BG636)</f>
        <v>0</v>
      </c>
      <c r="BX636" s="32" t="n">
        <f aca="false">IF(BH636=0,IF(BP636=0,0,1),(BP636-BH636)/BH636)</f>
        <v>0</v>
      </c>
      <c r="BY636" s="32" t="n">
        <f aca="false">IF(BI636=0,IF(BQ636=0,0,1),(BQ636-BI636)/BI636)</f>
        <v>0</v>
      </c>
      <c r="BZ636" s="32" t="n">
        <f aca="false">IF(BJ636=0,IF(BR636=0,0,1),(BR636-BJ636)/BJ636)</f>
        <v>0</v>
      </c>
      <c r="CA636" s="32" t="n">
        <f aca="false">IF(BK636=0,IF(BS636=0,0,1),(BS636-BK636)/BK636)</f>
        <v>0</v>
      </c>
      <c r="CB636" s="32" t="n">
        <f aca="false">IF(BL636=0,IF(BT636=0,0,1),(BT636-BL636)/BL636)</f>
        <v>0</v>
      </c>
      <c r="CC636" s="32" t="n">
        <f aca="false">IF(BM636=0,IF(BU636=0,0,1),(BU636-BM636)/BM636)</f>
        <v>0</v>
      </c>
      <c r="CD636" s="32" t="n">
        <f aca="false">MAX(MAX(BV636:CC636),-MIN(BV636:CC636))</f>
        <v>-0</v>
      </c>
      <c r="CE636" s="31" t="str">
        <f aca="false">IF(CI636="","",SUMIFS($CF$7:$CF$696,$A$7:$A$696,CI636,$B$7:$B$696,B636))</f>
        <v/>
      </c>
      <c r="CF636" s="31" t="n">
        <f aca="false">SUM(AU636:BE636)</f>
        <v>0</v>
      </c>
      <c r="CG636" s="33" t="str">
        <f aca="false">A636&amp;"|"&amp;B636</f>
        <v>2027-03 賞与|全国市町村研修財団</v>
      </c>
      <c r="CH636" s="34" t="str">
        <f aca="false">IFERROR(INDEX(設定!$D$61:$D$106,MATCH(B636,設定!$B$61:$B$106,0)),"Y")</f>
        <v>Y</v>
      </c>
      <c r="CI636" s="34" t="str">
        <f aca="false">IFERROR(INDEX(設定!$D$20:$D$34,MATCH(A636,設定!$A$20:$A$34,0))&amp;"","")</f>
        <v/>
      </c>
    </row>
    <row r="637" customFormat="false" ht="15" hidden="true" customHeight="false" outlineLevel="0" collapsed="false">
      <c r="A637" s="22" t="s">
        <v>221</v>
      </c>
      <c r="B637" s="23" t="s">
        <v>193</v>
      </c>
      <c r="C637" s="10" t="str">
        <f aca="false">IF(G637="","未受領",IF(G637="なし","報告なし",IF(AH637="○","起票済",IF(OR(AG637="○",F637="一致",F637="入金不要"),"入金確認済","受領済"))))</f>
        <v>報告なし</v>
      </c>
      <c r="D637" s="10" t="str">
        <f aca="false">IF(OR(G637="",G637="なし"),"―",IF(CH637="N","対象外",IF(AND(I637="",J637="",K637=""),"標報未入力",IF(CD637&gt;=設定!$B$4,"要確認","問題なし"))))</f>
        <v>―</v>
      </c>
      <c r="E637" s="24" t="str">
        <f aca="false">IF(OR(G637="",G637="なし",CE637="",CF637=0),"―",IF(CF637=CE637,"前月同額",IF(CE637=0,"―",IF(ABS(CF637/CE637-1)&gt;=設定!$B$5,"変動大 "&amp;TEXT(CF637/CE637-1,"+0%;-0%"),"〇"))))</f>
        <v>―</v>
      </c>
      <c r="F637" s="10" t="str">
        <f aca="false">IF(OR(G637="",G637="なし"),"―",IF(CF637=0,"入金不要",IF(COUNT(Z637,AB637,AD637,AF637)=0,IF(AG637="○","手動確認","未入金"),IF(AND(N(Z637)=Y637,IF(AA637="",TRUE(),N(AB637)=AA637),IF(AC637="",TRUE(),N(AD637)=AC637),IF(AE637="",TRUE(),N(AF637)=AE637)),"一致","不一致"))))</f>
        <v>―</v>
      </c>
      <c r="G637" s="25" t="s">
        <v>173</v>
      </c>
      <c r="H637" s="26"/>
      <c r="I637" s="27"/>
      <c r="J637" s="27"/>
      <c r="K637" s="27"/>
      <c r="L637" s="27"/>
      <c r="M637" s="27"/>
      <c r="N637" s="27"/>
      <c r="O637" s="27"/>
      <c r="P637" s="27"/>
      <c r="Q637" s="27"/>
      <c r="R637" s="27"/>
      <c r="S637" s="27"/>
      <c r="T637" s="27"/>
      <c r="U637" s="27"/>
      <c r="V637" s="27"/>
      <c r="W637" s="10" t="str">
        <f aca="false">IFERROR(INDEX(設定!$E$61:$E$106,MATCH(B637,設定!$B$61:$B$106,0)),"合算")</f>
        <v>合算</v>
      </c>
      <c r="X637" s="28"/>
      <c r="Y637" s="29" t="str">
        <f aca="false">IF(OR(G637="",G637="なし"),"",IF(W637="合算",CF637,IF(W637="掛金・負担金別",(AU637+AV637+AZ637+BB637+BD637),SUM(AU637:AY637))))</f>
        <v/>
      </c>
      <c r="Z637" s="27"/>
      <c r="AA637" s="29" t="str">
        <f aca="false">IF(OR(G637="",G637="なし"),"",IF(W637="掛金・負担金別",(AW637+AX637+AY637+BA637+BC637+BE637),IF(W637="経理区分別",AZ637+BA637,"")))</f>
        <v/>
      </c>
      <c r="AB637" s="27"/>
      <c r="AC637" s="29" t="str">
        <f aca="false">IF(OR(G637="",G637="なし"),"",IF(W637="経理区分別",BB637+BC637,""))</f>
        <v/>
      </c>
      <c r="AD637" s="27"/>
      <c r="AE637" s="29" t="str">
        <f aca="false">IF(OR(G637="",G637="なし"),"",IF(W637="経理区分別",BD637+BE637,""))</f>
        <v/>
      </c>
      <c r="AF637" s="27"/>
      <c r="AG637" s="26"/>
      <c r="AH637" s="26"/>
      <c r="AI637" s="30"/>
      <c r="AJ637" s="31"/>
      <c r="AK637" s="31"/>
      <c r="AL637" s="31"/>
      <c r="AM637" s="31"/>
      <c r="AN637" s="31"/>
      <c r="AO637" s="31"/>
      <c r="AP637" s="31"/>
      <c r="AQ637" s="31"/>
      <c r="AR637" s="31"/>
      <c r="AS637" s="31"/>
      <c r="AT637" s="31"/>
      <c r="AU637" s="31" t="n">
        <f aca="false">IF($G637="",AJ637,L637)</f>
        <v>0</v>
      </c>
      <c r="AV637" s="31" t="n">
        <f aca="false">IF($G637="",AK637,M637)</f>
        <v>0</v>
      </c>
      <c r="AW637" s="31" t="n">
        <f aca="false">IF($G637="",AL637,N637)</f>
        <v>0</v>
      </c>
      <c r="AX637" s="31" t="n">
        <f aca="false">IF($G637="",AM637,O637)</f>
        <v>0</v>
      </c>
      <c r="AY637" s="31" t="n">
        <f aca="false">IF($G637="",AN637,P637)</f>
        <v>0</v>
      </c>
      <c r="AZ637" s="31" t="n">
        <f aca="false">IF($G637="",AO637,Q637)</f>
        <v>0</v>
      </c>
      <c r="BA637" s="31" t="n">
        <f aca="false">IF($G637="",AP637,R637)</f>
        <v>0</v>
      </c>
      <c r="BB637" s="31" t="n">
        <f aca="false">IF($G637="",AQ637,S637)</f>
        <v>0</v>
      </c>
      <c r="BC637" s="31" t="n">
        <f aca="false">IF($G637="",AR637,T637)</f>
        <v>0</v>
      </c>
      <c r="BD637" s="31" t="n">
        <f aca="false">IF($G637="",AS637,U637)</f>
        <v>0</v>
      </c>
      <c r="BE637" s="31" t="n">
        <f aca="false">IF($G637="",AT637,V637)</f>
        <v>0</v>
      </c>
      <c r="BF637" s="31" t="n">
        <f aca="false">ROUNDDOWN(I637*設定!$B$10/1000,0)+ROUNDDOWN(I637*設定!$B$11/1000,0)</f>
        <v>0</v>
      </c>
      <c r="BG637" s="31" t="n">
        <f aca="false">ROUNDDOWN(I637*設定!$C$10/1000,0)+ROUNDDOWN(I637*設定!$C$11/1000,0)+ROUNDDOWN(I637*設定!$C$12/1000,0)</f>
        <v>0</v>
      </c>
      <c r="BH637" s="31" t="n">
        <f aca="false">ROUNDDOWN(J637*設定!$B$13/1000,0)</f>
        <v>0</v>
      </c>
      <c r="BI637" s="31" t="n">
        <f aca="false">ROUNDDOWN(J637*設定!$C$13/1000,0)</f>
        <v>0</v>
      </c>
      <c r="BJ637" s="31" t="n">
        <f aca="false">ROUNDDOWN(K637*設定!$B$14/1000,0)</f>
        <v>0</v>
      </c>
      <c r="BK637" s="31" t="n">
        <f aca="false">ROUNDDOWN(K637*設定!$C$14/1000,0)</f>
        <v>0</v>
      </c>
      <c r="BL637" s="31" t="n">
        <f aca="false">ROUNDDOWN(J637*設定!$B$15/1000,0)</f>
        <v>0</v>
      </c>
      <c r="BM637" s="31" t="n">
        <f aca="false">ROUNDDOWN(J637*設定!$C$15/1000,0)</f>
        <v>0</v>
      </c>
      <c r="BN637" s="31" t="n">
        <f aca="false">L637+M637</f>
        <v>0</v>
      </c>
      <c r="BO637" s="31" t="n">
        <f aca="false">N637+O637+P637</f>
        <v>0</v>
      </c>
      <c r="BP637" s="31" t="n">
        <f aca="false">Q637</f>
        <v>0</v>
      </c>
      <c r="BQ637" s="31" t="n">
        <f aca="false">R637</f>
        <v>0</v>
      </c>
      <c r="BR637" s="31" t="n">
        <f aca="false">S637</f>
        <v>0</v>
      </c>
      <c r="BS637" s="31" t="n">
        <f aca="false">T637</f>
        <v>0</v>
      </c>
      <c r="BT637" s="31" t="n">
        <f aca="false">U637</f>
        <v>0</v>
      </c>
      <c r="BU637" s="31" t="n">
        <f aca="false">V637</f>
        <v>0</v>
      </c>
      <c r="BV637" s="32" t="n">
        <f aca="false">IF(BF637=0,IF(BN637=0,0,1),(BN637-BF637)/BF637)</f>
        <v>0</v>
      </c>
      <c r="BW637" s="32" t="n">
        <f aca="false">IF(BG637=0,IF(BO637=0,0,1),(BO637-BG637)/BG637)</f>
        <v>0</v>
      </c>
      <c r="BX637" s="32" t="n">
        <f aca="false">IF(BH637=0,IF(BP637=0,0,1),(BP637-BH637)/BH637)</f>
        <v>0</v>
      </c>
      <c r="BY637" s="32" t="n">
        <f aca="false">IF(BI637=0,IF(BQ637=0,0,1),(BQ637-BI637)/BI637)</f>
        <v>0</v>
      </c>
      <c r="BZ637" s="32" t="n">
        <f aca="false">IF(BJ637=0,IF(BR637=0,0,1),(BR637-BJ637)/BJ637)</f>
        <v>0</v>
      </c>
      <c r="CA637" s="32" t="n">
        <f aca="false">IF(BK637=0,IF(BS637=0,0,1),(BS637-BK637)/BK637)</f>
        <v>0</v>
      </c>
      <c r="CB637" s="32" t="n">
        <f aca="false">IF(BL637=0,IF(BT637=0,0,1),(BT637-BL637)/BL637)</f>
        <v>0</v>
      </c>
      <c r="CC637" s="32" t="n">
        <f aca="false">IF(BM637=0,IF(BU637=0,0,1),(BU637-BM637)/BM637)</f>
        <v>0</v>
      </c>
      <c r="CD637" s="32" t="n">
        <f aca="false">MAX(MAX(BV637:CC637),-MIN(BV637:CC637))</f>
        <v>-0</v>
      </c>
      <c r="CE637" s="31" t="str">
        <f aca="false">IF(CI637="","",SUMIFS($CF$7:$CF$696,$A$7:$A$696,CI637,$B$7:$B$696,B637))</f>
        <v/>
      </c>
      <c r="CF637" s="31" t="n">
        <f aca="false">SUM(AU637:BE637)</f>
        <v>0</v>
      </c>
      <c r="CG637" s="33" t="str">
        <f aca="false">A637&amp;"|"&amp;B637</f>
        <v>2027-03 賞与|都市再生機構</v>
      </c>
      <c r="CH637" s="34" t="str">
        <f aca="false">IFERROR(INDEX(設定!$D$61:$D$106,MATCH(B637,設定!$B$61:$B$106,0)),"Y")</f>
        <v>Y</v>
      </c>
      <c r="CI637" s="34" t="str">
        <f aca="false">IFERROR(INDEX(設定!$D$20:$D$34,MATCH(A637,設定!$A$20:$A$34,0))&amp;"","")</f>
        <v/>
      </c>
    </row>
    <row r="638" customFormat="false" ht="15" hidden="true" customHeight="false" outlineLevel="0" collapsed="false">
      <c r="A638" s="22" t="s">
        <v>221</v>
      </c>
      <c r="B638" s="23" t="s">
        <v>194</v>
      </c>
      <c r="C638" s="10" t="str">
        <f aca="false">IF(G638="","未受領",IF(G638="なし","報告なし",IF(AH638="○","起票済",IF(OR(AG638="○",F638="一致",F638="入金不要"),"入金確認済","受領済"))))</f>
        <v>未受領</v>
      </c>
      <c r="D638" s="10" t="str">
        <f aca="false">IF(OR(G638="",G638="なし"),"―",IF(CH638="N","対象外",IF(AND(I638="",J638="",K638=""),"標報未入力",IF(CD638&gt;=設定!$B$4,"要確認","問題なし"))))</f>
        <v>―</v>
      </c>
      <c r="E638" s="24" t="str">
        <f aca="false">IF(OR(G638="",G638="なし",CE638="",CF638=0),"―",IF(CF638=CE638,"前月同額",IF(CE638=0,"―",IF(ABS(CF638/CE638-1)&gt;=設定!$B$5,"変動大 "&amp;TEXT(CF638/CE638-1,"+0%;-0%"),"〇"))))</f>
        <v>―</v>
      </c>
      <c r="F638" s="10" t="str">
        <f aca="false">IF(OR(G638="",G638="なし"),"―",IF(CF638=0,"入金不要",IF(COUNT(Z638,AB638,AD638,AF638)=0,IF(AG638="○","手動確認","未入金"),IF(AND(N(Z638)=Y638,IF(AA638="",TRUE(),N(AB638)=AA638),IF(AC638="",TRUE(),N(AD638)=AC638),IF(AE638="",TRUE(),N(AF638)=AE638)),"一致","不一致"))))</f>
        <v>―</v>
      </c>
      <c r="G638" s="25"/>
      <c r="H638" s="26"/>
      <c r="I638" s="27"/>
      <c r="J638" s="27"/>
      <c r="K638" s="27"/>
      <c r="L638" s="27"/>
      <c r="M638" s="27"/>
      <c r="N638" s="27"/>
      <c r="O638" s="27"/>
      <c r="P638" s="27"/>
      <c r="Q638" s="27"/>
      <c r="R638" s="27"/>
      <c r="S638" s="27"/>
      <c r="T638" s="27"/>
      <c r="U638" s="27"/>
      <c r="V638" s="27"/>
      <c r="W638" s="10" t="str">
        <f aca="false">IFERROR(INDEX(設定!$E$61:$E$106,MATCH(B638,設定!$B$61:$B$106,0)),"合算")</f>
        <v>合算</v>
      </c>
      <c r="X638" s="28"/>
      <c r="Y638" s="29" t="str">
        <f aca="false">IF(OR(G638="",G638="なし"),"",IF(W638="合算",CF638,IF(W638="掛金・負担金別",(AU638+AV638+AZ638+BB638+BD638),SUM(AU638:AY638))))</f>
        <v/>
      </c>
      <c r="Z638" s="27"/>
      <c r="AA638" s="29" t="str">
        <f aca="false">IF(OR(G638="",G638="なし"),"",IF(W638="掛金・負担金別",(AW638+AX638+AY638+BA638+BC638+BE638),IF(W638="経理区分別",AZ638+BA638,"")))</f>
        <v/>
      </c>
      <c r="AB638" s="27"/>
      <c r="AC638" s="29" t="str">
        <f aca="false">IF(OR(G638="",G638="なし"),"",IF(W638="経理区分別",BB638+BC638,""))</f>
        <v/>
      </c>
      <c r="AD638" s="27"/>
      <c r="AE638" s="29" t="str">
        <f aca="false">IF(OR(G638="",G638="なし"),"",IF(W638="経理区分別",BD638+BE638,""))</f>
        <v/>
      </c>
      <c r="AF638" s="27"/>
      <c r="AG638" s="26"/>
      <c r="AH638" s="26"/>
      <c r="AI638" s="30"/>
      <c r="AJ638" s="31" t="n">
        <v>489886</v>
      </c>
      <c r="AK638" s="31" t="n">
        <v>40150</v>
      </c>
      <c r="AL638" s="31" t="n">
        <v>489896</v>
      </c>
      <c r="AM638" s="31" t="n">
        <v>40155</v>
      </c>
      <c r="AN638" s="31" t="n">
        <v>502</v>
      </c>
      <c r="AO638" s="31" t="n">
        <v>294509</v>
      </c>
      <c r="AP638" s="31" t="n">
        <v>295058</v>
      </c>
      <c r="AQ638" s="31" t="n">
        <v>29009</v>
      </c>
      <c r="AR638" s="31" t="n">
        <v>29016</v>
      </c>
      <c r="AS638" s="31" t="n">
        <v>1</v>
      </c>
      <c r="AT638" s="31" t="n">
        <v>1</v>
      </c>
      <c r="AU638" s="31" t="n">
        <f aca="false">IF($G638="",AJ638,L638)</f>
        <v>489886</v>
      </c>
      <c r="AV638" s="31" t="n">
        <f aca="false">IF($G638="",AK638,M638)</f>
        <v>40150</v>
      </c>
      <c r="AW638" s="31" t="n">
        <f aca="false">IF($G638="",AL638,N638)</f>
        <v>489896</v>
      </c>
      <c r="AX638" s="31" t="n">
        <f aca="false">IF($G638="",AM638,O638)</f>
        <v>40155</v>
      </c>
      <c r="AY638" s="31" t="n">
        <f aca="false">IF($G638="",AN638,P638)</f>
        <v>502</v>
      </c>
      <c r="AZ638" s="31" t="n">
        <f aca="false">IF($G638="",AO638,Q638)</f>
        <v>294509</v>
      </c>
      <c r="BA638" s="31" t="n">
        <f aca="false">IF($G638="",AP638,R638)</f>
        <v>295058</v>
      </c>
      <c r="BB638" s="31" t="n">
        <f aca="false">IF($G638="",AQ638,S638)</f>
        <v>29009</v>
      </c>
      <c r="BC638" s="31" t="n">
        <f aca="false">IF($G638="",AR638,T638)</f>
        <v>29016</v>
      </c>
      <c r="BD638" s="31" t="n">
        <f aca="false">IF($G638="",AS638,U638)</f>
        <v>1</v>
      </c>
      <c r="BE638" s="31" t="n">
        <f aca="false">IF($G638="",AT638,V638)</f>
        <v>1</v>
      </c>
      <c r="BF638" s="31" t="n">
        <f aca="false">ROUNDDOWN(I638*設定!$B$10/1000,0)+ROUNDDOWN(I638*設定!$B$11/1000,0)</f>
        <v>0</v>
      </c>
      <c r="BG638" s="31" t="n">
        <f aca="false">ROUNDDOWN(I638*設定!$C$10/1000,0)+ROUNDDOWN(I638*設定!$C$11/1000,0)+ROUNDDOWN(I638*設定!$C$12/1000,0)</f>
        <v>0</v>
      </c>
      <c r="BH638" s="31" t="n">
        <f aca="false">ROUNDDOWN(J638*設定!$B$13/1000,0)</f>
        <v>0</v>
      </c>
      <c r="BI638" s="31" t="n">
        <f aca="false">ROUNDDOWN(J638*設定!$C$13/1000,0)</f>
        <v>0</v>
      </c>
      <c r="BJ638" s="31" t="n">
        <f aca="false">ROUNDDOWN(K638*設定!$B$14/1000,0)</f>
        <v>0</v>
      </c>
      <c r="BK638" s="31" t="n">
        <f aca="false">ROUNDDOWN(K638*設定!$C$14/1000,0)</f>
        <v>0</v>
      </c>
      <c r="BL638" s="31" t="n">
        <f aca="false">ROUNDDOWN(J638*設定!$B$15/1000,0)</f>
        <v>0</v>
      </c>
      <c r="BM638" s="31" t="n">
        <f aca="false">ROUNDDOWN(J638*設定!$C$15/1000,0)</f>
        <v>0</v>
      </c>
      <c r="BN638" s="31" t="n">
        <f aca="false">L638+M638</f>
        <v>0</v>
      </c>
      <c r="BO638" s="31" t="n">
        <f aca="false">N638+O638+P638</f>
        <v>0</v>
      </c>
      <c r="BP638" s="31" t="n">
        <f aca="false">Q638</f>
        <v>0</v>
      </c>
      <c r="BQ638" s="31" t="n">
        <f aca="false">R638</f>
        <v>0</v>
      </c>
      <c r="BR638" s="31" t="n">
        <f aca="false">S638</f>
        <v>0</v>
      </c>
      <c r="BS638" s="31" t="n">
        <f aca="false">T638</f>
        <v>0</v>
      </c>
      <c r="BT638" s="31" t="n">
        <f aca="false">U638</f>
        <v>0</v>
      </c>
      <c r="BU638" s="31" t="n">
        <f aca="false">V638</f>
        <v>0</v>
      </c>
      <c r="BV638" s="32" t="n">
        <f aca="false">IF(BF638=0,IF(BN638=0,0,1),(BN638-BF638)/BF638)</f>
        <v>0</v>
      </c>
      <c r="BW638" s="32" t="n">
        <f aca="false">IF(BG638=0,IF(BO638=0,0,1),(BO638-BG638)/BG638)</f>
        <v>0</v>
      </c>
      <c r="BX638" s="32" t="n">
        <f aca="false">IF(BH638=0,IF(BP638=0,0,1),(BP638-BH638)/BH638)</f>
        <v>0</v>
      </c>
      <c r="BY638" s="32" t="n">
        <f aca="false">IF(BI638=0,IF(BQ638=0,0,1),(BQ638-BI638)/BI638)</f>
        <v>0</v>
      </c>
      <c r="BZ638" s="32" t="n">
        <f aca="false">IF(BJ638=0,IF(BR638=0,0,1),(BR638-BJ638)/BJ638)</f>
        <v>0</v>
      </c>
      <c r="CA638" s="32" t="n">
        <f aca="false">IF(BK638=0,IF(BS638=0,0,1),(BS638-BK638)/BK638)</f>
        <v>0</v>
      </c>
      <c r="CB638" s="32" t="n">
        <f aca="false">IF(BL638=0,IF(BT638=0,0,1),(BT638-BL638)/BL638)</f>
        <v>0</v>
      </c>
      <c r="CC638" s="32" t="n">
        <f aca="false">IF(BM638=0,IF(BU638=0,0,1),(BU638-BM638)/BM638)</f>
        <v>0</v>
      </c>
      <c r="CD638" s="32" t="n">
        <f aca="false">MAX(MAX(BV638:CC638),-MIN(BV638:CC638))</f>
        <v>-0</v>
      </c>
      <c r="CE638" s="31" t="str">
        <f aca="false">IF(CI638="","",SUMIFS($CF$7:$CF$696,$A$7:$A$696,CI638,$B$7:$B$696,B638))</f>
        <v/>
      </c>
      <c r="CF638" s="31" t="n">
        <f aca="false">SUM(AU638:BE638)</f>
        <v>1708183</v>
      </c>
      <c r="CG638" s="33" t="str">
        <f aca="false">A638&amp;"|"&amp;B638</f>
        <v>2027-03 賞与|広島市立大学</v>
      </c>
      <c r="CH638" s="34" t="str">
        <f aca="false">IFERROR(INDEX(設定!$D$61:$D$106,MATCH(B638,設定!$B$61:$B$106,0)),"Y")</f>
        <v>Y</v>
      </c>
      <c r="CI638" s="34" t="str">
        <f aca="false">IFERROR(INDEX(設定!$D$20:$D$34,MATCH(A638,設定!$A$20:$A$34,0))&amp;"","")</f>
        <v/>
      </c>
    </row>
    <row r="639" customFormat="false" ht="15" hidden="true" customHeight="false" outlineLevel="0" collapsed="false">
      <c r="A639" s="22" t="s">
        <v>221</v>
      </c>
      <c r="B639" s="23" t="s">
        <v>195</v>
      </c>
      <c r="C639" s="10" t="str">
        <f aca="false">IF(G639="","未受領",IF(G639="なし","報告なし",IF(AH639="○","起票済",IF(OR(AG639="○",F639="一致",F639="入金不要"),"入金確認済","受領済"))))</f>
        <v>未受領</v>
      </c>
      <c r="D639" s="10" t="str">
        <f aca="false">IF(OR(G639="",G639="なし"),"―",IF(CH639="N","対象外",IF(AND(I639="",J639="",K639=""),"標報未入力",IF(CD639&gt;=設定!$B$4,"要確認","問題なし"))))</f>
        <v>―</v>
      </c>
      <c r="E639" s="24" t="str">
        <f aca="false">IF(OR(G639="",G639="なし",CE639="",CF639=0),"―",IF(CF639=CE639,"前月同額",IF(CE639=0,"―",IF(ABS(CF639/CE639-1)&gt;=設定!$B$5,"変動大 "&amp;TEXT(CF639/CE639-1,"+0%;-0%"),"〇"))))</f>
        <v>―</v>
      </c>
      <c r="F639" s="10" t="str">
        <f aca="false">IF(OR(G639="",G639="なし"),"―",IF(CF639=0,"入金不要",IF(COUNT(Z639,AB639,AD639,AF639)=0,IF(AG639="○","手動確認","未入金"),IF(AND(N(Z639)=Y639,IF(AA639="",TRUE(),N(AB639)=AA639),IF(AC639="",TRUE(),N(AD639)=AC639),IF(AE639="",TRUE(),N(AF639)=AE639)),"一致","不一致"))))</f>
        <v>―</v>
      </c>
      <c r="G639" s="25"/>
      <c r="H639" s="26"/>
      <c r="I639" s="27"/>
      <c r="J639" s="27"/>
      <c r="K639" s="27"/>
      <c r="L639" s="27"/>
      <c r="M639" s="27"/>
      <c r="N639" s="27"/>
      <c r="O639" s="27"/>
      <c r="P639" s="27"/>
      <c r="Q639" s="27"/>
      <c r="R639" s="27"/>
      <c r="S639" s="27"/>
      <c r="T639" s="27"/>
      <c r="U639" s="27"/>
      <c r="V639" s="27"/>
      <c r="W639" s="10" t="str">
        <f aca="false">IFERROR(INDEX(設定!$E$61:$E$106,MATCH(B639,設定!$B$61:$B$106,0)),"合算")</f>
        <v>合算</v>
      </c>
      <c r="X639" s="28"/>
      <c r="Y639" s="29" t="str">
        <f aca="false">IF(OR(G639="",G639="なし"),"",IF(W639="合算",CF639,IF(W639="掛金・負担金別",(AU639+AV639+AZ639+BB639+BD639),SUM(AU639:AY639))))</f>
        <v/>
      </c>
      <c r="Z639" s="27"/>
      <c r="AA639" s="29" t="str">
        <f aca="false">IF(OR(G639="",G639="なし"),"",IF(W639="掛金・負担金別",(AW639+AX639+AY639+BA639+BC639+BE639),IF(W639="経理区分別",AZ639+BA639,"")))</f>
        <v/>
      </c>
      <c r="AB639" s="27"/>
      <c r="AC639" s="29" t="str">
        <f aca="false">IF(OR(G639="",G639="なし"),"",IF(W639="経理区分別",BB639+BC639,""))</f>
        <v/>
      </c>
      <c r="AD639" s="27"/>
      <c r="AE639" s="29" t="str">
        <f aca="false">IF(OR(G639="",G639="なし"),"",IF(W639="経理区分別",BD639+BE639,""))</f>
        <v/>
      </c>
      <c r="AF639" s="27"/>
      <c r="AG639" s="26"/>
      <c r="AH639" s="26"/>
      <c r="AI639" s="30"/>
      <c r="AJ639" s="31"/>
      <c r="AK639" s="31"/>
      <c r="AL639" s="31" t="n">
        <v>100743</v>
      </c>
      <c r="AM639" s="31" t="n">
        <v>8257</v>
      </c>
      <c r="AN639" s="31" t="n">
        <v>103</v>
      </c>
      <c r="AO639" s="31"/>
      <c r="AP639" s="31" t="n">
        <v>60676</v>
      </c>
      <c r="AQ639" s="31"/>
      <c r="AR639" s="31" t="n">
        <v>4732</v>
      </c>
      <c r="AS639" s="31"/>
      <c r="AT639" s="31" t="n">
        <v>1</v>
      </c>
      <c r="AU639" s="31" t="n">
        <f aca="false">IF($G639="",AJ639,L639)</f>
        <v>0</v>
      </c>
      <c r="AV639" s="31" t="n">
        <f aca="false">IF($G639="",AK639,M639)</f>
        <v>0</v>
      </c>
      <c r="AW639" s="31" t="n">
        <f aca="false">IF($G639="",AL639,N639)</f>
        <v>100743</v>
      </c>
      <c r="AX639" s="31" t="n">
        <f aca="false">IF($G639="",AM639,O639)</f>
        <v>8257</v>
      </c>
      <c r="AY639" s="31" t="n">
        <f aca="false">IF($G639="",AN639,P639)</f>
        <v>103</v>
      </c>
      <c r="AZ639" s="31" t="n">
        <f aca="false">IF($G639="",AO639,Q639)</f>
        <v>0</v>
      </c>
      <c r="BA639" s="31" t="n">
        <f aca="false">IF($G639="",AP639,R639)</f>
        <v>60676</v>
      </c>
      <c r="BB639" s="31" t="n">
        <f aca="false">IF($G639="",AQ639,S639)</f>
        <v>0</v>
      </c>
      <c r="BC639" s="31" t="n">
        <f aca="false">IF($G639="",AR639,T639)</f>
        <v>4732</v>
      </c>
      <c r="BD639" s="31" t="n">
        <f aca="false">IF($G639="",AS639,U639)</f>
        <v>0</v>
      </c>
      <c r="BE639" s="31" t="n">
        <f aca="false">IF($G639="",AT639,V639)</f>
        <v>1</v>
      </c>
      <c r="BF639" s="31" t="n">
        <f aca="false">ROUNDDOWN(I639*設定!$B$10/1000,0)+ROUNDDOWN(I639*設定!$B$11/1000,0)</f>
        <v>0</v>
      </c>
      <c r="BG639" s="31" t="n">
        <f aca="false">ROUNDDOWN(I639*設定!$C$10/1000,0)+ROUNDDOWN(I639*設定!$C$11/1000,0)+ROUNDDOWN(I639*設定!$C$12/1000,0)</f>
        <v>0</v>
      </c>
      <c r="BH639" s="31" t="n">
        <f aca="false">ROUNDDOWN(J639*設定!$B$13/1000,0)</f>
        <v>0</v>
      </c>
      <c r="BI639" s="31" t="n">
        <f aca="false">ROUNDDOWN(J639*設定!$C$13/1000,0)</f>
        <v>0</v>
      </c>
      <c r="BJ639" s="31" t="n">
        <f aca="false">ROUNDDOWN(K639*設定!$B$14/1000,0)</f>
        <v>0</v>
      </c>
      <c r="BK639" s="31" t="n">
        <f aca="false">ROUNDDOWN(K639*設定!$C$14/1000,0)</f>
        <v>0</v>
      </c>
      <c r="BL639" s="31" t="n">
        <f aca="false">ROUNDDOWN(J639*設定!$B$15/1000,0)</f>
        <v>0</v>
      </c>
      <c r="BM639" s="31" t="n">
        <f aca="false">ROUNDDOWN(J639*設定!$C$15/1000,0)</f>
        <v>0</v>
      </c>
      <c r="BN639" s="31" t="n">
        <f aca="false">L639+M639</f>
        <v>0</v>
      </c>
      <c r="BO639" s="31" t="n">
        <f aca="false">N639+O639+P639</f>
        <v>0</v>
      </c>
      <c r="BP639" s="31" t="n">
        <f aca="false">Q639</f>
        <v>0</v>
      </c>
      <c r="BQ639" s="31" t="n">
        <f aca="false">R639</f>
        <v>0</v>
      </c>
      <c r="BR639" s="31" t="n">
        <f aca="false">S639</f>
        <v>0</v>
      </c>
      <c r="BS639" s="31" t="n">
        <f aca="false">T639</f>
        <v>0</v>
      </c>
      <c r="BT639" s="31" t="n">
        <f aca="false">U639</f>
        <v>0</v>
      </c>
      <c r="BU639" s="31" t="n">
        <f aca="false">V639</f>
        <v>0</v>
      </c>
      <c r="BV639" s="32" t="n">
        <f aca="false">IF(BF639=0,IF(BN639=0,0,1),(BN639-BF639)/BF639)</f>
        <v>0</v>
      </c>
      <c r="BW639" s="32" t="n">
        <f aca="false">IF(BG639=0,IF(BO639=0,0,1),(BO639-BG639)/BG639)</f>
        <v>0</v>
      </c>
      <c r="BX639" s="32" t="n">
        <f aca="false">IF(BH639=0,IF(BP639=0,0,1),(BP639-BH639)/BH639)</f>
        <v>0</v>
      </c>
      <c r="BY639" s="32" t="n">
        <f aca="false">IF(BI639=0,IF(BQ639=0,0,1),(BQ639-BI639)/BI639)</f>
        <v>0</v>
      </c>
      <c r="BZ639" s="32" t="n">
        <f aca="false">IF(BJ639=0,IF(BR639=0,0,1),(BR639-BJ639)/BJ639)</f>
        <v>0</v>
      </c>
      <c r="CA639" s="32" t="n">
        <f aca="false">IF(BK639=0,IF(BS639=0,0,1),(BS639-BK639)/BK639)</f>
        <v>0</v>
      </c>
      <c r="CB639" s="32" t="n">
        <f aca="false">IF(BL639=0,IF(BT639=0,0,1),(BT639-BL639)/BL639)</f>
        <v>0</v>
      </c>
      <c r="CC639" s="32" t="n">
        <f aca="false">IF(BM639=0,IF(BU639=0,0,1),(BU639-BM639)/BM639)</f>
        <v>0</v>
      </c>
      <c r="CD639" s="32" t="n">
        <f aca="false">MAX(MAX(BV639:CC639),-MIN(BV639:CC639))</f>
        <v>-0</v>
      </c>
      <c r="CE639" s="31" t="str">
        <f aca="false">IF(CI639="","",SUMIFS($CF$7:$CF$696,$A$7:$A$696,CI639,$B$7:$B$696,B639))</f>
        <v/>
      </c>
      <c r="CF639" s="31" t="n">
        <f aca="false">SUM(AU639:BE639)</f>
        <v>174512</v>
      </c>
      <c r="CG639" s="33" t="str">
        <f aca="false">A639&amp;"|"&amp;B639</f>
        <v>2027-03 賞与|社会福祉協議会</v>
      </c>
      <c r="CH639" s="34" t="str">
        <f aca="false">IFERROR(INDEX(設定!$D$61:$D$106,MATCH(B639,設定!$B$61:$B$106,0)),"Y")</f>
        <v>Y</v>
      </c>
      <c r="CI639" s="34" t="str">
        <f aca="false">IFERROR(INDEX(設定!$D$20:$D$34,MATCH(A639,設定!$A$20:$A$34,0))&amp;"","")</f>
        <v/>
      </c>
    </row>
    <row r="640" customFormat="false" ht="15" hidden="true" customHeight="false" outlineLevel="0" collapsed="false">
      <c r="A640" s="22" t="s">
        <v>221</v>
      </c>
      <c r="B640" s="23" t="s">
        <v>196</v>
      </c>
      <c r="C640" s="10" t="str">
        <f aca="false">IF(G640="","未受領",IF(G640="なし","報告なし",IF(AH640="○","起票済",IF(OR(AG640="○",F640="一致",F640="入金不要"),"入金確認済","受領済"))))</f>
        <v>未受領</v>
      </c>
      <c r="D640" s="10" t="str">
        <f aca="false">IF(OR(G640="",G640="なし"),"―",IF(CH640="N","対象外",IF(AND(I640="",J640="",K640=""),"標報未入力",IF(CD640&gt;=設定!$B$4,"要確認","問題なし"))))</f>
        <v>―</v>
      </c>
      <c r="E640" s="24" t="str">
        <f aca="false">IF(OR(G640="",G640="なし",CE640="",CF640=0),"―",IF(CF640=CE640,"前月同額",IF(CE640=0,"―",IF(ABS(CF640/CE640-1)&gt;=設定!$B$5,"変動大 "&amp;TEXT(CF640/CE640-1,"+0%;-0%"),"〇"))))</f>
        <v>―</v>
      </c>
      <c r="F640" s="10" t="str">
        <f aca="false">IF(OR(G640="",G640="なし"),"―",IF(CF640=0,"入金不要",IF(COUNT(Z640,AB640,AD640,AF640)=0,IF(AG640="○","手動確認","未入金"),IF(AND(N(Z640)=Y640,IF(AA640="",TRUE(),N(AB640)=AA640),IF(AC640="",TRUE(),N(AD640)=AC640),IF(AE640="",TRUE(),N(AF640)=AE640)),"一致","不一致"))))</f>
        <v>―</v>
      </c>
      <c r="G640" s="25"/>
      <c r="H640" s="26"/>
      <c r="I640" s="27"/>
      <c r="J640" s="27"/>
      <c r="K640" s="27"/>
      <c r="L640" s="27"/>
      <c r="M640" s="27"/>
      <c r="N640" s="27"/>
      <c r="O640" s="27"/>
      <c r="P640" s="27"/>
      <c r="Q640" s="27"/>
      <c r="R640" s="27"/>
      <c r="S640" s="27"/>
      <c r="T640" s="27"/>
      <c r="U640" s="27"/>
      <c r="V640" s="27"/>
      <c r="W640" s="10" t="str">
        <f aca="false">IFERROR(INDEX(設定!$E$61:$E$106,MATCH(B640,設定!$B$61:$B$106,0)),"合算")</f>
        <v>合算</v>
      </c>
      <c r="X640" s="28"/>
      <c r="Y640" s="29" t="str">
        <f aca="false">IF(OR(G640="",G640="なし"),"",IF(W640="合算",CF640,IF(W640="掛金・負担金別",(AU640+AV640+AZ640+BB640+BD640),SUM(AU640:AY640))))</f>
        <v/>
      </c>
      <c r="Z640" s="27"/>
      <c r="AA640" s="29" t="str">
        <f aca="false">IF(OR(G640="",G640="なし"),"",IF(W640="掛金・負担金別",(AW640+AX640+AY640+BA640+BC640+BE640),IF(W640="経理区分別",AZ640+BA640,"")))</f>
        <v/>
      </c>
      <c r="AB640" s="27"/>
      <c r="AC640" s="29" t="str">
        <f aca="false">IF(OR(G640="",G640="なし"),"",IF(W640="経理区分別",BB640+BC640,""))</f>
        <v/>
      </c>
      <c r="AD640" s="27"/>
      <c r="AE640" s="29" t="str">
        <f aca="false">IF(OR(G640="",G640="なし"),"",IF(W640="経理区分別",BD640+BE640,""))</f>
        <v/>
      </c>
      <c r="AF640" s="27"/>
      <c r="AG640" s="26"/>
      <c r="AH640" s="26"/>
      <c r="AI640" s="30"/>
      <c r="AJ640" s="31" t="n">
        <v>46167702</v>
      </c>
      <c r="AK640" s="31" t="n">
        <v>3788385</v>
      </c>
      <c r="AL640" s="31" t="n">
        <v>63388806</v>
      </c>
      <c r="AM640" s="31" t="n">
        <v>3788385</v>
      </c>
      <c r="AN640" s="31" t="n">
        <v>49128</v>
      </c>
      <c r="AO640" s="31" t="n">
        <v>27900090</v>
      </c>
      <c r="AP640" s="31" t="n">
        <v>27950807</v>
      </c>
      <c r="AQ640" s="31" t="n">
        <v>2515257</v>
      </c>
      <c r="AR640" s="31" t="n">
        <v>2515257</v>
      </c>
      <c r="AS640" s="31" t="n">
        <v>1</v>
      </c>
      <c r="AT640" s="31" t="n">
        <v>1</v>
      </c>
      <c r="AU640" s="31" t="n">
        <f aca="false">IF($G640="",AJ640,L640)</f>
        <v>46167702</v>
      </c>
      <c r="AV640" s="31" t="n">
        <f aca="false">IF($G640="",AK640,M640)</f>
        <v>3788385</v>
      </c>
      <c r="AW640" s="31" t="n">
        <f aca="false">IF($G640="",AL640,N640)</f>
        <v>63388806</v>
      </c>
      <c r="AX640" s="31" t="n">
        <f aca="false">IF($G640="",AM640,O640)</f>
        <v>3788385</v>
      </c>
      <c r="AY640" s="31" t="n">
        <f aca="false">IF($G640="",AN640,P640)</f>
        <v>49128</v>
      </c>
      <c r="AZ640" s="31" t="n">
        <f aca="false">IF($G640="",AO640,Q640)</f>
        <v>27900090</v>
      </c>
      <c r="BA640" s="31" t="n">
        <f aca="false">IF($G640="",AP640,R640)</f>
        <v>27950807</v>
      </c>
      <c r="BB640" s="31" t="n">
        <f aca="false">IF($G640="",AQ640,S640)</f>
        <v>2515257</v>
      </c>
      <c r="BC640" s="31" t="n">
        <f aca="false">IF($G640="",AR640,T640)</f>
        <v>2515257</v>
      </c>
      <c r="BD640" s="31" t="n">
        <f aca="false">IF($G640="",AS640,U640)</f>
        <v>1</v>
      </c>
      <c r="BE640" s="31" t="n">
        <f aca="false">IF($G640="",AT640,V640)</f>
        <v>1</v>
      </c>
      <c r="BF640" s="31" t="n">
        <f aca="false">ROUNDDOWN(I640*設定!$B$10/1000,0)+ROUNDDOWN(I640*設定!$B$11/1000,0)</f>
        <v>0</v>
      </c>
      <c r="BG640" s="31" t="n">
        <f aca="false">ROUNDDOWN(I640*設定!$C$10/1000,0)+ROUNDDOWN(I640*設定!$C$11/1000,0)+ROUNDDOWN(I640*設定!$C$12/1000,0)</f>
        <v>0</v>
      </c>
      <c r="BH640" s="31" t="n">
        <f aca="false">ROUNDDOWN(J640*設定!$B$13/1000,0)</f>
        <v>0</v>
      </c>
      <c r="BI640" s="31" t="n">
        <f aca="false">ROUNDDOWN(J640*設定!$C$13/1000,0)</f>
        <v>0</v>
      </c>
      <c r="BJ640" s="31" t="n">
        <f aca="false">ROUNDDOWN(K640*設定!$B$14/1000,0)</f>
        <v>0</v>
      </c>
      <c r="BK640" s="31" t="n">
        <f aca="false">ROUNDDOWN(K640*設定!$C$14/1000,0)</f>
        <v>0</v>
      </c>
      <c r="BL640" s="31" t="n">
        <f aca="false">ROUNDDOWN(J640*設定!$B$15/1000,0)</f>
        <v>0</v>
      </c>
      <c r="BM640" s="31" t="n">
        <f aca="false">ROUNDDOWN(J640*設定!$C$15/1000,0)</f>
        <v>0</v>
      </c>
      <c r="BN640" s="31" t="n">
        <f aca="false">L640+M640</f>
        <v>0</v>
      </c>
      <c r="BO640" s="31" t="n">
        <f aca="false">N640+O640+P640</f>
        <v>0</v>
      </c>
      <c r="BP640" s="31" t="n">
        <f aca="false">Q640</f>
        <v>0</v>
      </c>
      <c r="BQ640" s="31" t="n">
        <f aca="false">R640</f>
        <v>0</v>
      </c>
      <c r="BR640" s="31" t="n">
        <f aca="false">S640</f>
        <v>0</v>
      </c>
      <c r="BS640" s="31" t="n">
        <f aca="false">T640</f>
        <v>0</v>
      </c>
      <c r="BT640" s="31" t="n">
        <f aca="false">U640</f>
        <v>0</v>
      </c>
      <c r="BU640" s="31" t="n">
        <f aca="false">V640</f>
        <v>0</v>
      </c>
      <c r="BV640" s="32" t="n">
        <f aca="false">IF(BF640=0,IF(BN640=0,0,1),(BN640-BF640)/BF640)</f>
        <v>0</v>
      </c>
      <c r="BW640" s="32" t="n">
        <f aca="false">IF(BG640=0,IF(BO640=0,0,1),(BO640-BG640)/BG640)</f>
        <v>0</v>
      </c>
      <c r="BX640" s="32" t="n">
        <f aca="false">IF(BH640=0,IF(BP640=0,0,1),(BP640-BH640)/BH640)</f>
        <v>0</v>
      </c>
      <c r="BY640" s="32" t="n">
        <f aca="false">IF(BI640=0,IF(BQ640=0,0,1),(BQ640-BI640)/BI640)</f>
        <v>0</v>
      </c>
      <c r="BZ640" s="32" t="n">
        <f aca="false">IF(BJ640=0,IF(BR640=0,0,1),(BR640-BJ640)/BJ640)</f>
        <v>0</v>
      </c>
      <c r="CA640" s="32" t="n">
        <f aca="false">IF(BK640=0,IF(BS640=0,0,1),(BS640-BK640)/BK640)</f>
        <v>0</v>
      </c>
      <c r="CB640" s="32" t="n">
        <f aca="false">IF(BL640=0,IF(BT640=0,0,1),(BT640-BL640)/BL640)</f>
        <v>0</v>
      </c>
      <c r="CC640" s="32" t="n">
        <f aca="false">IF(BM640=0,IF(BU640=0,0,1),(BU640-BM640)/BM640)</f>
        <v>0</v>
      </c>
      <c r="CD640" s="32" t="n">
        <f aca="false">MAX(MAX(BV640:CC640),-MIN(BV640:CC640))</f>
        <v>-0</v>
      </c>
      <c r="CE640" s="31" t="str">
        <f aca="false">IF(CI640="","",SUMIFS($CF$7:$CF$696,$A$7:$A$696,CI640,$B$7:$B$696,B640))</f>
        <v/>
      </c>
      <c r="CF640" s="31" t="n">
        <f aca="false">SUM(AU640:BE640)</f>
        <v>178063819</v>
      </c>
      <c r="CG640" s="33" t="str">
        <f aca="false">A640&amp;"|"&amp;B640</f>
        <v>2027-03 賞与|市立病院機構</v>
      </c>
      <c r="CH640" s="34" t="str">
        <f aca="false">IFERROR(INDEX(設定!$D$61:$D$106,MATCH(B640,設定!$B$61:$B$106,0)),"Y")</f>
        <v>N</v>
      </c>
      <c r="CI640" s="34" t="str">
        <f aca="false">IFERROR(INDEX(設定!$D$20:$D$34,MATCH(A640,設定!$A$20:$A$34,0))&amp;"","")</f>
        <v/>
      </c>
    </row>
    <row r="641" customFormat="false" ht="15" hidden="true" customHeight="false" outlineLevel="0" collapsed="false">
      <c r="A641" s="22" t="s">
        <v>221</v>
      </c>
      <c r="B641" s="23" t="s">
        <v>197</v>
      </c>
      <c r="C641" s="10" t="str">
        <f aca="false">IF(G641="","未受領",IF(G641="なし","報告なし",IF(AH641="○","起票済",IF(OR(AG641="○",F641="一致",F641="入金不要"),"入金確認済","受領済"))))</f>
        <v>未受領</v>
      </c>
      <c r="D641" s="10" t="str">
        <f aca="false">IF(OR(G641="",G641="なし"),"―",IF(CH641="N","対象外",IF(AND(I641="",J641="",K641=""),"標報未入力",IF(CD641&gt;=設定!$B$4,"要確認","問題なし"))))</f>
        <v>―</v>
      </c>
      <c r="E641" s="24" t="str">
        <f aca="false">IF(OR(G641="",G641="なし",CE641="",CF641=0),"―",IF(CF641=CE641,"前月同額",IF(CE641=0,"―",IF(ABS(CF641/CE641-1)&gt;=設定!$B$5,"変動大 "&amp;TEXT(CF641/CE641-1,"+0%;-0%"),"〇"))))</f>
        <v>―</v>
      </c>
      <c r="F641" s="10" t="str">
        <f aca="false">IF(OR(G641="",G641="なし"),"―",IF(CF641=0,"入金不要",IF(COUNT(Z641,AB641,AD641,AF641)=0,IF(AG641="○","手動確認","未入金"),IF(AND(N(Z641)=Y641,IF(AA641="",TRUE(),N(AB641)=AA641),IF(AC641="",TRUE(),N(AD641)=AC641),IF(AE641="",TRUE(),N(AF641)=AE641)),"一致","不一致"))))</f>
        <v>―</v>
      </c>
      <c r="G641" s="25"/>
      <c r="H641" s="26"/>
      <c r="I641" s="27"/>
      <c r="J641" s="27"/>
      <c r="K641" s="27"/>
      <c r="L641" s="27"/>
      <c r="M641" s="27"/>
      <c r="N641" s="27"/>
      <c r="O641" s="27"/>
      <c r="P641" s="27"/>
      <c r="Q641" s="27"/>
      <c r="R641" s="27"/>
      <c r="S641" s="27"/>
      <c r="T641" s="27"/>
      <c r="U641" s="27"/>
      <c r="V641" s="27"/>
      <c r="W641" s="10" t="str">
        <f aca="false">IFERROR(INDEX(設定!$E$61:$E$106,MATCH(B641,設定!$B$61:$B$106,0)),"合算")</f>
        <v>合算</v>
      </c>
      <c r="X641" s="28"/>
      <c r="Y641" s="29" t="str">
        <f aca="false">IF(OR(G641="",G641="なし"),"",IF(W641="合算",CF641,IF(W641="掛金・負担金別",(AU641+AV641+AZ641+BB641+BD641),SUM(AU641:AY641))))</f>
        <v/>
      </c>
      <c r="Z641" s="27"/>
      <c r="AA641" s="29" t="str">
        <f aca="false">IF(OR(G641="",G641="なし"),"",IF(W641="掛金・負担金別",(AW641+AX641+AY641+BA641+BC641+BE641),IF(W641="経理区分別",AZ641+BA641,"")))</f>
        <v/>
      </c>
      <c r="AB641" s="27"/>
      <c r="AC641" s="29" t="str">
        <f aca="false">IF(OR(G641="",G641="なし"),"",IF(W641="経理区分別",BB641+BC641,""))</f>
        <v/>
      </c>
      <c r="AD641" s="27"/>
      <c r="AE641" s="29" t="str">
        <f aca="false">IF(OR(G641="",G641="なし"),"",IF(W641="経理区分別",BD641+BE641,""))</f>
        <v/>
      </c>
      <c r="AF641" s="27"/>
      <c r="AG641" s="26"/>
      <c r="AH641" s="26"/>
      <c r="AI641" s="30"/>
      <c r="AJ641" s="31"/>
      <c r="AK641" s="31"/>
      <c r="AL641" s="31"/>
      <c r="AM641" s="31"/>
      <c r="AN641" s="31"/>
      <c r="AO641" s="31" t="n">
        <v>3465</v>
      </c>
      <c r="AP641" s="31" t="n">
        <v>3471</v>
      </c>
      <c r="AQ641" s="31" t="n">
        <v>529</v>
      </c>
      <c r="AR641" s="31" t="n">
        <v>529</v>
      </c>
      <c r="AS641" s="31" t="n">
        <v>1</v>
      </c>
      <c r="AT641" s="31" t="n">
        <v>1</v>
      </c>
      <c r="AU641" s="31" t="n">
        <f aca="false">IF($G641="",AJ641,L641)</f>
        <v>0</v>
      </c>
      <c r="AV641" s="31" t="n">
        <f aca="false">IF($G641="",AK641,M641)</f>
        <v>0</v>
      </c>
      <c r="AW641" s="31" t="n">
        <f aca="false">IF($G641="",AL641,N641)</f>
        <v>0</v>
      </c>
      <c r="AX641" s="31" t="n">
        <f aca="false">IF($G641="",AM641,O641)</f>
        <v>0</v>
      </c>
      <c r="AY641" s="31" t="n">
        <f aca="false">IF($G641="",AN641,P641)</f>
        <v>0</v>
      </c>
      <c r="AZ641" s="31" t="n">
        <f aca="false">IF($G641="",AO641,Q641)</f>
        <v>3465</v>
      </c>
      <c r="BA641" s="31" t="n">
        <f aca="false">IF($G641="",AP641,R641)</f>
        <v>3471</v>
      </c>
      <c r="BB641" s="31" t="n">
        <f aca="false">IF($G641="",AQ641,S641)</f>
        <v>529</v>
      </c>
      <c r="BC641" s="31" t="n">
        <f aca="false">IF($G641="",AR641,T641)</f>
        <v>529</v>
      </c>
      <c r="BD641" s="31" t="n">
        <f aca="false">IF($G641="",AS641,U641)</f>
        <v>1</v>
      </c>
      <c r="BE641" s="31" t="n">
        <f aca="false">IF($G641="",AT641,V641)</f>
        <v>1</v>
      </c>
      <c r="BF641" s="31" t="n">
        <f aca="false">ROUNDDOWN(I641*設定!$B$10/1000,0)+ROUNDDOWN(I641*設定!$B$11/1000,0)</f>
        <v>0</v>
      </c>
      <c r="BG641" s="31" t="n">
        <f aca="false">ROUNDDOWN(I641*設定!$C$10/1000,0)+ROUNDDOWN(I641*設定!$C$11/1000,0)+ROUNDDOWN(I641*設定!$C$12/1000,0)</f>
        <v>0</v>
      </c>
      <c r="BH641" s="31" t="n">
        <f aca="false">ROUNDDOWN(J641*設定!$B$13/1000,0)</f>
        <v>0</v>
      </c>
      <c r="BI641" s="31" t="n">
        <f aca="false">ROUNDDOWN(J641*設定!$C$13/1000,0)</f>
        <v>0</v>
      </c>
      <c r="BJ641" s="31" t="n">
        <f aca="false">ROUNDDOWN(K641*設定!$B$14/1000,0)</f>
        <v>0</v>
      </c>
      <c r="BK641" s="31" t="n">
        <f aca="false">ROUNDDOWN(K641*設定!$C$14/1000,0)</f>
        <v>0</v>
      </c>
      <c r="BL641" s="31" t="n">
        <f aca="false">ROUNDDOWN(J641*設定!$B$15/1000,0)</f>
        <v>0</v>
      </c>
      <c r="BM641" s="31" t="n">
        <f aca="false">ROUNDDOWN(J641*設定!$C$15/1000,0)</f>
        <v>0</v>
      </c>
      <c r="BN641" s="31" t="n">
        <f aca="false">L641+M641</f>
        <v>0</v>
      </c>
      <c r="BO641" s="31" t="n">
        <f aca="false">N641+O641+P641</f>
        <v>0</v>
      </c>
      <c r="BP641" s="31" t="n">
        <f aca="false">Q641</f>
        <v>0</v>
      </c>
      <c r="BQ641" s="31" t="n">
        <f aca="false">R641</f>
        <v>0</v>
      </c>
      <c r="BR641" s="31" t="n">
        <f aca="false">S641</f>
        <v>0</v>
      </c>
      <c r="BS641" s="31" t="n">
        <f aca="false">T641</f>
        <v>0</v>
      </c>
      <c r="BT641" s="31" t="n">
        <f aca="false">U641</f>
        <v>0</v>
      </c>
      <c r="BU641" s="31" t="n">
        <f aca="false">V641</f>
        <v>0</v>
      </c>
      <c r="BV641" s="32" t="n">
        <f aca="false">IF(BF641=0,IF(BN641=0,0,1),(BN641-BF641)/BF641)</f>
        <v>0</v>
      </c>
      <c r="BW641" s="32" t="n">
        <f aca="false">IF(BG641=0,IF(BO641=0,0,1),(BO641-BG641)/BG641)</f>
        <v>0</v>
      </c>
      <c r="BX641" s="32" t="n">
        <f aca="false">IF(BH641=0,IF(BP641=0,0,1),(BP641-BH641)/BH641)</f>
        <v>0</v>
      </c>
      <c r="BY641" s="32" t="n">
        <f aca="false">IF(BI641=0,IF(BQ641=0,0,1),(BQ641-BI641)/BI641)</f>
        <v>0</v>
      </c>
      <c r="BZ641" s="32" t="n">
        <f aca="false">IF(BJ641=0,IF(BR641=0,0,1),(BR641-BJ641)/BJ641)</f>
        <v>0</v>
      </c>
      <c r="CA641" s="32" t="n">
        <f aca="false">IF(BK641=0,IF(BS641=0,0,1),(BS641-BK641)/BK641)</f>
        <v>0</v>
      </c>
      <c r="CB641" s="32" t="n">
        <f aca="false">IF(BL641=0,IF(BT641=0,0,1),(BT641-BL641)/BL641)</f>
        <v>0</v>
      </c>
      <c r="CC641" s="32" t="n">
        <f aca="false">IF(BM641=0,IF(BU641=0,0,1),(BU641-BM641)/BM641)</f>
        <v>0</v>
      </c>
      <c r="CD641" s="32" t="n">
        <f aca="false">MAX(MAX(BV641:CC641),-MIN(BV641:CC641))</f>
        <v>-0</v>
      </c>
      <c r="CE641" s="31" t="str">
        <f aca="false">IF(CI641="","",SUMIFS($CF$7:$CF$696,$A$7:$A$696,CI641,$B$7:$B$696,B641))</f>
        <v/>
      </c>
      <c r="CF641" s="31" t="n">
        <f aca="false">SUM(AU641:BE641)</f>
        <v>7996</v>
      </c>
      <c r="CG641" s="33" t="str">
        <f aca="false">A641&amp;"|"&amp;B641</f>
        <v>2027-03 賞与|職員共済組合</v>
      </c>
      <c r="CH641" s="34" t="str">
        <f aca="false">IFERROR(INDEX(設定!$D$61:$D$106,MATCH(B641,設定!$B$61:$B$106,0)),"Y")</f>
        <v>Y</v>
      </c>
      <c r="CI641" s="34" t="str">
        <f aca="false">IFERROR(INDEX(設定!$D$20:$D$34,MATCH(A641,設定!$A$20:$A$34,0))&amp;"","")</f>
        <v/>
      </c>
    </row>
    <row r="642" customFormat="false" ht="26.85" hidden="true" customHeight="false" outlineLevel="0" collapsed="false">
      <c r="A642" s="22" t="s">
        <v>221</v>
      </c>
      <c r="B642" s="35" t="s">
        <v>216</v>
      </c>
      <c r="C642" s="10" t="str">
        <f aca="false">IF(G642="","未受領",IF(G642="なし","報告なし",IF(AH642="○","起票済",IF(OR(AG642="○",F642="一致",F642="入金不要"),"入金確認済","受領済"))))</f>
        <v>未受領</v>
      </c>
      <c r="D642" s="10" t="str">
        <f aca="false">IF(OR(G642="",G642="なし"),"―",IF(CH642="N","対象外",IF(AND(I642="",J642="",K642=""),"標報未入力",IF(CD642&gt;=設定!$B$4,"要確認","問題なし"))))</f>
        <v>―</v>
      </c>
      <c r="E642" s="24" t="str">
        <f aca="false">IF(OR(G642="",G642="なし",CE642="",CF642=0),"―",IF(CF642=CE642,"前月同額",IF(CE642=0,"―",IF(ABS(CF642/CE642-1)&gt;=設定!$B$5,"変動大 "&amp;TEXT(CF642/CE642-1,"+0%;-0%"),"〇"))))</f>
        <v>―</v>
      </c>
      <c r="F642" s="10" t="str">
        <f aca="false">IF(OR(G642="",G642="なし"),"―",IF(CF642=0,"入金不要",IF(COUNT(Z642,AB642,AD642,AF642)=0,IF(AG642="○","手動確認","未入金"),IF(AND(N(Z642)=Y642,IF(AA642="",TRUE(),N(AB642)=AA642),IF(AC642="",TRUE(),N(AD642)=AC642),IF(AE642="",TRUE(),N(AF642)=AE642)),"一致","不一致"))))</f>
        <v>―</v>
      </c>
      <c r="G642" s="25"/>
      <c r="H642" s="26"/>
      <c r="I642" s="27"/>
      <c r="J642" s="27"/>
      <c r="K642" s="27"/>
      <c r="L642" s="27"/>
      <c r="M642" s="27"/>
      <c r="N642" s="27"/>
      <c r="O642" s="27"/>
      <c r="P642" s="27"/>
      <c r="Q642" s="27"/>
      <c r="R642" s="27"/>
      <c r="S642" s="27"/>
      <c r="T642" s="27"/>
      <c r="U642" s="27"/>
      <c r="V642" s="27"/>
      <c r="W642" s="10" t="str">
        <f aca="false">IFERROR(INDEX(設定!$E$61:$E$106,MATCH(B642,設定!$B$61:$B$106,0)),"合算")</f>
        <v>合算</v>
      </c>
      <c r="X642" s="28"/>
      <c r="Y642" s="29" t="str">
        <f aca="false">IF(OR(G642="",G642="なし"),"",IF(W642="合算",CF642,IF(W642="掛金・負担金別",(AU642+AV642+AZ642+BB642+BD642),SUM(AU642:AY642))))</f>
        <v/>
      </c>
      <c r="Z642" s="27"/>
      <c r="AA642" s="29" t="str">
        <f aca="false">IF(OR(G642="",G642="なし"),"",IF(W642="掛金・負担金別",(AW642+AX642+AY642+BA642+BC642+BE642),IF(W642="経理区分別",AZ642+BA642,"")))</f>
        <v/>
      </c>
      <c r="AB642" s="27"/>
      <c r="AC642" s="29" t="str">
        <f aca="false">IF(OR(G642="",G642="なし"),"",IF(W642="経理区分別",BB642+BC642,""))</f>
        <v/>
      </c>
      <c r="AD642" s="27"/>
      <c r="AE642" s="29" t="str">
        <f aca="false">IF(OR(G642="",G642="なし"),"",IF(W642="経理区分別",BD642+BE642,""))</f>
        <v/>
      </c>
      <c r="AF642" s="27"/>
      <c r="AG642" s="26"/>
      <c r="AH642" s="26"/>
      <c r="AI642" s="30"/>
      <c r="AJ642" s="31" t="n">
        <v>0</v>
      </c>
      <c r="AK642" s="31" t="n">
        <v>0</v>
      </c>
      <c r="AL642" s="31" t="n">
        <v>0</v>
      </c>
      <c r="AM642" s="31" t="n">
        <v>0</v>
      </c>
      <c r="AN642" s="31" t="n">
        <v>0</v>
      </c>
      <c r="AO642" s="31"/>
      <c r="AP642" s="31"/>
      <c r="AQ642" s="31"/>
      <c r="AR642" s="31"/>
      <c r="AS642" s="31"/>
      <c r="AT642" s="31"/>
      <c r="AU642" s="31" t="n">
        <f aca="false">IF($G642="",AJ642,L642)</f>
        <v>0</v>
      </c>
      <c r="AV642" s="31" t="n">
        <f aca="false">IF($G642="",AK642,M642)</f>
        <v>0</v>
      </c>
      <c r="AW642" s="31" t="n">
        <f aca="false">IF($G642="",AL642,N642)</f>
        <v>0</v>
      </c>
      <c r="AX642" s="31" t="n">
        <f aca="false">IF($G642="",AM642,O642)</f>
        <v>0</v>
      </c>
      <c r="AY642" s="31" t="n">
        <f aca="false">IF($G642="",AN642,P642)</f>
        <v>0</v>
      </c>
      <c r="AZ642" s="31" t="n">
        <f aca="false">IF($G642="",AO642,Q642)</f>
        <v>0</v>
      </c>
      <c r="BA642" s="31" t="n">
        <f aca="false">IF($G642="",AP642,R642)</f>
        <v>0</v>
      </c>
      <c r="BB642" s="31" t="n">
        <f aca="false">IF($G642="",AQ642,S642)</f>
        <v>0</v>
      </c>
      <c r="BC642" s="31" t="n">
        <f aca="false">IF($G642="",AR642,T642)</f>
        <v>0</v>
      </c>
      <c r="BD642" s="31" t="n">
        <f aca="false">IF($G642="",AS642,U642)</f>
        <v>0</v>
      </c>
      <c r="BE642" s="31" t="n">
        <f aca="false">IF($G642="",AT642,V642)</f>
        <v>0</v>
      </c>
      <c r="BF642" s="31" t="n">
        <f aca="false">ROUNDDOWN(I642*設定!$B$10/1000,0)+ROUNDDOWN(I642*設定!$B$11/1000,0)</f>
        <v>0</v>
      </c>
      <c r="BG642" s="31" t="n">
        <f aca="false">ROUNDDOWN(I642*設定!$C$10/1000,0)+ROUNDDOWN(I642*設定!$C$11/1000,0)+ROUNDDOWN(I642*設定!$C$12/1000,0)</f>
        <v>0</v>
      </c>
      <c r="BH642" s="31" t="n">
        <f aca="false">ROUNDDOWN(J642*設定!$B$13/1000,0)</f>
        <v>0</v>
      </c>
      <c r="BI642" s="31" t="n">
        <f aca="false">ROUNDDOWN(J642*設定!$C$13/1000,0)</f>
        <v>0</v>
      </c>
      <c r="BJ642" s="31" t="n">
        <f aca="false">ROUNDDOWN(K642*設定!$B$14/1000,0)</f>
        <v>0</v>
      </c>
      <c r="BK642" s="31" t="n">
        <f aca="false">ROUNDDOWN(K642*設定!$C$14/1000,0)</f>
        <v>0</v>
      </c>
      <c r="BL642" s="31" t="n">
        <f aca="false">ROUNDDOWN(J642*設定!$B$15/1000,0)</f>
        <v>0</v>
      </c>
      <c r="BM642" s="31" t="n">
        <f aca="false">ROUNDDOWN(J642*設定!$C$15/1000,0)</f>
        <v>0</v>
      </c>
      <c r="BN642" s="31" t="n">
        <f aca="false">L642+M642</f>
        <v>0</v>
      </c>
      <c r="BO642" s="31" t="n">
        <f aca="false">N642+O642+P642</f>
        <v>0</v>
      </c>
      <c r="BP642" s="31" t="n">
        <f aca="false">Q642</f>
        <v>0</v>
      </c>
      <c r="BQ642" s="31" t="n">
        <f aca="false">R642</f>
        <v>0</v>
      </c>
      <c r="BR642" s="31" t="n">
        <f aca="false">S642</f>
        <v>0</v>
      </c>
      <c r="BS642" s="31" t="n">
        <f aca="false">T642</f>
        <v>0</v>
      </c>
      <c r="BT642" s="31" t="n">
        <f aca="false">U642</f>
        <v>0</v>
      </c>
      <c r="BU642" s="31" t="n">
        <f aca="false">V642</f>
        <v>0</v>
      </c>
      <c r="BV642" s="32" t="n">
        <f aca="false">IF(BF642=0,IF(BN642=0,0,1),(BN642-BF642)/BF642)</f>
        <v>0</v>
      </c>
      <c r="BW642" s="32" t="n">
        <f aca="false">IF(BG642=0,IF(BO642=0,0,1),(BO642-BG642)/BG642)</f>
        <v>0</v>
      </c>
      <c r="BX642" s="32" t="n">
        <f aca="false">IF(BH642=0,IF(BP642=0,0,1),(BP642-BH642)/BH642)</f>
        <v>0</v>
      </c>
      <c r="BY642" s="32" t="n">
        <f aca="false">IF(BI642=0,IF(BQ642=0,0,1),(BQ642-BI642)/BI642)</f>
        <v>0</v>
      </c>
      <c r="BZ642" s="32" t="n">
        <f aca="false">IF(BJ642=0,IF(BR642=0,0,1),(BR642-BJ642)/BJ642)</f>
        <v>0</v>
      </c>
      <c r="CA642" s="32" t="n">
        <f aca="false">IF(BK642=0,IF(BS642=0,0,1),(BS642-BK642)/BK642)</f>
        <v>0</v>
      </c>
      <c r="CB642" s="32" t="n">
        <f aca="false">IF(BL642=0,IF(BT642=0,0,1),(BT642-BL642)/BL642)</f>
        <v>0</v>
      </c>
      <c r="CC642" s="32" t="n">
        <f aca="false">IF(BM642=0,IF(BU642=0,0,1),(BU642-BM642)/BM642)</f>
        <v>0</v>
      </c>
      <c r="CD642" s="32" t="n">
        <f aca="false">MAX(MAX(BV642:CC642),-MIN(BV642:CC642))</f>
        <v>-0</v>
      </c>
      <c r="CE642" s="31" t="str">
        <f aca="false">IF(CI642="","",SUMIFS($CF$7:$CF$696,$A$7:$A$696,CI642,$B$7:$B$696,B642))</f>
        <v/>
      </c>
      <c r="CF642" s="31" t="n">
        <f aca="false">SUM(AU642:BE642)</f>
        <v>0</v>
      </c>
      <c r="CG642" s="36" t="str">
        <f aca="false">A642&amp;"|"&amp;B642</f>
        <v>2027-03 賞与|地方公共団体
情報システム機構</v>
      </c>
      <c r="CH642" s="34" t="str">
        <f aca="false">IFERROR(INDEX(設定!$D$61:$D$106,MATCH(B642,設定!$B$61:$B$106,0)),"Y")</f>
        <v>Y</v>
      </c>
      <c r="CI642" s="34" t="str">
        <f aca="false">IFERROR(INDEX(設定!$D$20:$D$34,MATCH(A642,設定!$A$20:$A$34,0))&amp;"","")</f>
        <v/>
      </c>
    </row>
    <row r="643" customFormat="false" ht="15" hidden="true" customHeight="false" outlineLevel="0" collapsed="false">
      <c r="A643" s="22" t="s">
        <v>221</v>
      </c>
      <c r="B643" s="23" t="s">
        <v>199</v>
      </c>
      <c r="C643" s="10" t="str">
        <f aca="false">IF(G643="","未受領",IF(G643="なし","報告なし",IF(AH643="○","起票済",IF(OR(AG643="○",F643="一致",F643="入金不要"),"入金確認済","受領済"))))</f>
        <v>未受領</v>
      </c>
      <c r="D643" s="10" t="str">
        <f aca="false">IF(OR(G643="",G643="なし"),"―",IF(CH643="N","対象外",IF(AND(I643="",J643="",K643=""),"標報未入力",IF(CD643&gt;=設定!$B$4,"要確認","問題なし"))))</f>
        <v>―</v>
      </c>
      <c r="E643" s="24" t="str">
        <f aca="false">IF(OR(G643="",G643="なし",CE643="",CF643=0),"―",IF(CF643=CE643,"前月同額",IF(CE643=0,"―",IF(ABS(CF643/CE643-1)&gt;=設定!$B$5,"変動大 "&amp;TEXT(CF643/CE643-1,"+0%;-0%"),"〇"))))</f>
        <v>―</v>
      </c>
      <c r="F643" s="10" t="str">
        <f aca="false">IF(OR(G643="",G643="なし"),"―",IF(CF643=0,"入金不要",IF(COUNT(Z643,AB643,AD643,AF643)=0,IF(AG643="○","手動確認","未入金"),IF(AND(N(Z643)=Y643,IF(AA643="",TRUE(),N(AB643)=AA643),IF(AC643="",TRUE(),N(AD643)=AC643),IF(AE643="",TRUE(),N(AF643)=AE643)),"一致","不一致"))))</f>
        <v>―</v>
      </c>
      <c r="G643" s="25"/>
      <c r="H643" s="26"/>
      <c r="I643" s="27"/>
      <c r="J643" s="27"/>
      <c r="K643" s="27"/>
      <c r="L643" s="27"/>
      <c r="M643" s="27"/>
      <c r="N643" s="27"/>
      <c r="O643" s="27"/>
      <c r="P643" s="27"/>
      <c r="Q643" s="27"/>
      <c r="R643" s="27"/>
      <c r="S643" s="27"/>
      <c r="T643" s="27"/>
      <c r="U643" s="27"/>
      <c r="V643" s="27"/>
      <c r="W643" s="10" t="str">
        <f aca="false">IFERROR(INDEX(設定!$E$61:$E$106,MATCH(B643,設定!$B$61:$B$106,0)),"合算")</f>
        <v>合算</v>
      </c>
      <c r="X643" s="28"/>
      <c r="Y643" s="29" t="str">
        <f aca="false">IF(OR(G643="",G643="なし"),"",IF(W643="合算",CF643,IF(W643="掛金・負担金別",(AU643+AV643+AZ643+BB643+BD643),SUM(AU643:AY643))))</f>
        <v/>
      </c>
      <c r="Z643" s="27"/>
      <c r="AA643" s="29" t="str">
        <f aca="false">IF(OR(G643="",G643="なし"),"",IF(W643="掛金・負担金別",(AW643+AX643+AY643+BA643+BC643+BE643),IF(W643="経理区分別",AZ643+BA643,"")))</f>
        <v/>
      </c>
      <c r="AB643" s="27"/>
      <c r="AC643" s="29" t="str">
        <f aca="false">IF(OR(G643="",G643="なし"),"",IF(W643="経理区分別",BB643+BC643,""))</f>
        <v/>
      </c>
      <c r="AD643" s="27"/>
      <c r="AE643" s="29" t="str">
        <f aca="false">IF(OR(G643="",G643="なし"),"",IF(W643="経理区分別",BD643+BE643,""))</f>
        <v/>
      </c>
      <c r="AF643" s="27"/>
      <c r="AG643" s="26"/>
      <c r="AH643" s="26"/>
      <c r="AI643" s="30"/>
      <c r="AJ643" s="31" t="n">
        <v>0</v>
      </c>
      <c r="AK643" s="31" t="n">
        <v>0</v>
      </c>
      <c r="AL643" s="31" t="n">
        <v>0</v>
      </c>
      <c r="AM643" s="31" t="n">
        <v>0</v>
      </c>
      <c r="AN643" s="31" t="n">
        <v>0</v>
      </c>
      <c r="AO643" s="31"/>
      <c r="AP643" s="31"/>
      <c r="AQ643" s="31"/>
      <c r="AR643" s="31"/>
      <c r="AS643" s="31"/>
      <c r="AT643" s="31"/>
      <c r="AU643" s="31" t="n">
        <f aca="false">IF($G643="",AJ643,L643)</f>
        <v>0</v>
      </c>
      <c r="AV643" s="31" t="n">
        <f aca="false">IF($G643="",AK643,M643)</f>
        <v>0</v>
      </c>
      <c r="AW643" s="31" t="n">
        <f aca="false">IF($G643="",AL643,N643)</f>
        <v>0</v>
      </c>
      <c r="AX643" s="31" t="n">
        <f aca="false">IF($G643="",AM643,O643)</f>
        <v>0</v>
      </c>
      <c r="AY643" s="31" t="n">
        <f aca="false">IF($G643="",AN643,P643)</f>
        <v>0</v>
      </c>
      <c r="AZ643" s="31" t="n">
        <f aca="false">IF($G643="",AO643,Q643)</f>
        <v>0</v>
      </c>
      <c r="BA643" s="31" t="n">
        <f aca="false">IF($G643="",AP643,R643)</f>
        <v>0</v>
      </c>
      <c r="BB643" s="31" t="n">
        <f aca="false">IF($G643="",AQ643,S643)</f>
        <v>0</v>
      </c>
      <c r="BC643" s="31" t="n">
        <f aca="false">IF($G643="",AR643,T643)</f>
        <v>0</v>
      </c>
      <c r="BD643" s="31" t="n">
        <f aca="false">IF($G643="",AS643,U643)</f>
        <v>0</v>
      </c>
      <c r="BE643" s="31" t="n">
        <f aca="false">IF($G643="",AT643,V643)</f>
        <v>0</v>
      </c>
      <c r="BF643" s="31" t="n">
        <f aca="false">ROUNDDOWN(I643*設定!$B$10/1000,0)+ROUNDDOWN(I643*設定!$B$11/1000,0)</f>
        <v>0</v>
      </c>
      <c r="BG643" s="31" t="n">
        <f aca="false">ROUNDDOWN(I643*設定!$C$10/1000,0)+ROUNDDOWN(I643*設定!$C$11/1000,0)+ROUNDDOWN(I643*設定!$C$12/1000,0)</f>
        <v>0</v>
      </c>
      <c r="BH643" s="31" t="n">
        <f aca="false">ROUNDDOWN(J643*設定!$B$13/1000,0)</f>
        <v>0</v>
      </c>
      <c r="BI643" s="31" t="n">
        <f aca="false">ROUNDDOWN(J643*設定!$C$13/1000,0)</f>
        <v>0</v>
      </c>
      <c r="BJ643" s="31" t="n">
        <f aca="false">ROUNDDOWN(K643*設定!$B$14/1000,0)</f>
        <v>0</v>
      </c>
      <c r="BK643" s="31" t="n">
        <f aca="false">ROUNDDOWN(K643*設定!$C$14/1000,0)</f>
        <v>0</v>
      </c>
      <c r="BL643" s="31" t="n">
        <f aca="false">ROUNDDOWN(J643*設定!$B$15/1000,0)</f>
        <v>0</v>
      </c>
      <c r="BM643" s="31" t="n">
        <f aca="false">ROUNDDOWN(J643*設定!$C$15/1000,0)</f>
        <v>0</v>
      </c>
      <c r="BN643" s="31" t="n">
        <f aca="false">L643+M643</f>
        <v>0</v>
      </c>
      <c r="BO643" s="31" t="n">
        <f aca="false">N643+O643+P643</f>
        <v>0</v>
      </c>
      <c r="BP643" s="31" t="n">
        <f aca="false">Q643</f>
        <v>0</v>
      </c>
      <c r="BQ643" s="31" t="n">
        <f aca="false">R643</f>
        <v>0</v>
      </c>
      <c r="BR643" s="31" t="n">
        <f aca="false">S643</f>
        <v>0</v>
      </c>
      <c r="BS643" s="31" t="n">
        <f aca="false">T643</f>
        <v>0</v>
      </c>
      <c r="BT643" s="31" t="n">
        <f aca="false">U643</f>
        <v>0</v>
      </c>
      <c r="BU643" s="31" t="n">
        <f aca="false">V643</f>
        <v>0</v>
      </c>
      <c r="BV643" s="32" t="n">
        <f aca="false">IF(BF643=0,IF(BN643=0,0,1),(BN643-BF643)/BF643)</f>
        <v>0</v>
      </c>
      <c r="BW643" s="32" t="n">
        <f aca="false">IF(BG643=0,IF(BO643=0,0,1),(BO643-BG643)/BG643)</f>
        <v>0</v>
      </c>
      <c r="BX643" s="32" t="n">
        <f aca="false">IF(BH643=0,IF(BP643=0,0,1),(BP643-BH643)/BH643)</f>
        <v>0</v>
      </c>
      <c r="BY643" s="32" t="n">
        <f aca="false">IF(BI643=0,IF(BQ643=0,0,1),(BQ643-BI643)/BI643)</f>
        <v>0</v>
      </c>
      <c r="BZ643" s="32" t="n">
        <f aca="false">IF(BJ643=0,IF(BR643=0,0,1),(BR643-BJ643)/BJ643)</f>
        <v>0</v>
      </c>
      <c r="CA643" s="32" t="n">
        <f aca="false">IF(BK643=0,IF(BS643=0,0,1),(BS643-BK643)/BK643)</f>
        <v>0</v>
      </c>
      <c r="CB643" s="32" t="n">
        <f aca="false">IF(BL643=0,IF(BT643=0,0,1),(BT643-BL643)/BL643)</f>
        <v>0</v>
      </c>
      <c r="CC643" s="32" t="n">
        <f aca="false">IF(BM643=0,IF(BU643=0,0,1),(BU643-BM643)/BM643)</f>
        <v>0</v>
      </c>
      <c r="CD643" s="32" t="n">
        <f aca="false">MAX(MAX(BV643:CC643),-MIN(BV643:CC643))</f>
        <v>-0</v>
      </c>
      <c r="CE643" s="31" t="str">
        <f aca="false">IF(CI643="","",SUMIFS($CF$7:$CF$696,$A$7:$A$696,CI643,$B$7:$B$696,B643))</f>
        <v/>
      </c>
      <c r="CF643" s="31" t="n">
        <f aca="false">SUM(AU643:BE643)</f>
        <v>0</v>
      </c>
      <c r="CG643" s="33" t="str">
        <f aca="false">A643&amp;"|"&amp;B643</f>
        <v>2027-03 賞与|全国市長会</v>
      </c>
      <c r="CH643" s="34" t="str">
        <f aca="false">IFERROR(INDEX(設定!$D$61:$D$106,MATCH(B643,設定!$B$61:$B$106,0)),"Y")</f>
        <v>Y</v>
      </c>
      <c r="CI643" s="34" t="str">
        <f aca="false">IFERROR(INDEX(設定!$D$20:$D$34,MATCH(A643,設定!$A$20:$A$34,0))&amp;"","")</f>
        <v/>
      </c>
    </row>
    <row r="644" customFormat="false" ht="15" hidden="true" customHeight="false" outlineLevel="0" collapsed="false">
      <c r="A644" s="22" t="s">
        <v>221</v>
      </c>
      <c r="B644" s="23" t="s">
        <v>200</v>
      </c>
      <c r="C644" s="10" t="str">
        <f aca="false">IF(G644="","未受領",IF(G644="なし","報告なし",IF(AH644="○","起票済",IF(OR(AG644="○",F644="一致",F644="入金不要"),"入金確認済","受領済"))))</f>
        <v>未受領</v>
      </c>
      <c r="D644" s="10" t="str">
        <f aca="false">IF(OR(G644="",G644="なし"),"―",IF(CH644="N","対象外",IF(AND(I644="",J644="",K644=""),"標報未入力",IF(CD644&gt;=設定!$B$4,"要確認","問題なし"))))</f>
        <v>―</v>
      </c>
      <c r="E644" s="24" t="str">
        <f aca="false">IF(OR(G644="",G644="なし",CE644="",CF644=0),"―",IF(CF644=CE644,"前月同額",IF(CE644=0,"―",IF(ABS(CF644/CE644-1)&gt;=設定!$B$5,"変動大 "&amp;TEXT(CF644/CE644-1,"+0%;-0%"),"〇"))))</f>
        <v>―</v>
      </c>
      <c r="F644" s="10" t="str">
        <f aca="false">IF(OR(G644="",G644="なし"),"―",IF(CF644=0,"入金不要",IF(COUNT(Z644,AB644,AD644,AF644)=0,IF(AG644="○","手動確認","未入金"),IF(AND(N(Z644)=Y644,IF(AA644="",TRUE(),N(AB644)=AA644),IF(AC644="",TRUE(),N(AD644)=AC644),IF(AE644="",TRUE(),N(AF644)=AE644)),"一致","不一致"))))</f>
        <v>―</v>
      </c>
      <c r="G644" s="25"/>
      <c r="H644" s="26"/>
      <c r="I644" s="27"/>
      <c r="J644" s="27"/>
      <c r="K644" s="27"/>
      <c r="L644" s="27"/>
      <c r="M644" s="27"/>
      <c r="N644" s="27"/>
      <c r="O644" s="27"/>
      <c r="P644" s="27"/>
      <c r="Q644" s="27"/>
      <c r="R644" s="27"/>
      <c r="S644" s="27"/>
      <c r="T644" s="27"/>
      <c r="U644" s="27"/>
      <c r="V644" s="27"/>
      <c r="W644" s="10" t="str">
        <f aca="false">IFERROR(INDEX(設定!$E$61:$E$106,MATCH(B644,設定!$B$61:$B$106,0)),"合算")</f>
        <v>合算</v>
      </c>
      <c r="X644" s="28"/>
      <c r="Y644" s="29" t="str">
        <f aca="false">IF(OR(G644="",G644="なし"),"",IF(W644="合算",CF644,IF(W644="掛金・負担金別",(AU644+AV644+AZ644+BB644+BD644),SUM(AU644:AY644))))</f>
        <v/>
      </c>
      <c r="Z644" s="27"/>
      <c r="AA644" s="29" t="str">
        <f aca="false">IF(OR(G644="",G644="なし"),"",IF(W644="掛金・負担金別",(AW644+AX644+AY644+BA644+BC644+BE644),IF(W644="経理区分別",AZ644+BA644,"")))</f>
        <v/>
      </c>
      <c r="AB644" s="27"/>
      <c r="AC644" s="29" t="str">
        <f aca="false">IF(OR(G644="",G644="なし"),"",IF(W644="経理区分別",BB644+BC644,""))</f>
        <v/>
      </c>
      <c r="AD644" s="27"/>
      <c r="AE644" s="29" t="str">
        <f aca="false">IF(OR(G644="",G644="なし"),"",IF(W644="経理区分別",BD644+BE644,""))</f>
        <v/>
      </c>
      <c r="AF644" s="27"/>
      <c r="AG644" s="26"/>
      <c r="AH644" s="26"/>
      <c r="AI644" s="30"/>
      <c r="AJ644" s="31" t="n">
        <v>63867</v>
      </c>
      <c r="AK644" s="31" t="n">
        <v>5235</v>
      </c>
      <c r="AL644" s="31" t="n">
        <v>63867</v>
      </c>
      <c r="AM644" s="31" t="n">
        <v>5235</v>
      </c>
      <c r="AN644" s="31" t="n">
        <v>65</v>
      </c>
      <c r="AO644" s="31" t="n">
        <v>0</v>
      </c>
      <c r="AP644" s="31"/>
      <c r="AQ644" s="31" t="n">
        <v>0</v>
      </c>
      <c r="AR644" s="31"/>
      <c r="AS644" s="31" t="n">
        <v>0</v>
      </c>
      <c r="AT644" s="31"/>
      <c r="AU644" s="31" t="n">
        <f aca="false">IF($G644="",AJ644,L644)</f>
        <v>63867</v>
      </c>
      <c r="AV644" s="31" t="n">
        <f aca="false">IF($G644="",AK644,M644)</f>
        <v>5235</v>
      </c>
      <c r="AW644" s="31" t="n">
        <f aca="false">IF($G644="",AL644,N644)</f>
        <v>63867</v>
      </c>
      <c r="AX644" s="31" t="n">
        <f aca="false">IF($G644="",AM644,O644)</f>
        <v>5235</v>
      </c>
      <c r="AY644" s="31" t="n">
        <f aca="false">IF($G644="",AN644,P644)</f>
        <v>65</v>
      </c>
      <c r="AZ644" s="31" t="n">
        <f aca="false">IF($G644="",AO644,Q644)</f>
        <v>0</v>
      </c>
      <c r="BA644" s="31" t="n">
        <f aca="false">IF($G644="",AP644,R644)</f>
        <v>0</v>
      </c>
      <c r="BB644" s="31" t="n">
        <f aca="false">IF($G644="",AQ644,S644)</f>
        <v>0</v>
      </c>
      <c r="BC644" s="31" t="n">
        <f aca="false">IF($G644="",AR644,T644)</f>
        <v>0</v>
      </c>
      <c r="BD644" s="31" t="n">
        <f aca="false">IF($G644="",AS644,U644)</f>
        <v>0</v>
      </c>
      <c r="BE644" s="31" t="n">
        <f aca="false">IF($G644="",AT644,V644)</f>
        <v>0</v>
      </c>
      <c r="BF644" s="31" t="n">
        <f aca="false">ROUNDDOWN(I644*設定!$B$10/1000,0)+ROUNDDOWN(I644*設定!$B$11/1000,0)</f>
        <v>0</v>
      </c>
      <c r="BG644" s="31" t="n">
        <f aca="false">ROUNDDOWN(I644*設定!$C$10/1000,0)+ROUNDDOWN(I644*設定!$C$11/1000,0)+ROUNDDOWN(I644*設定!$C$12/1000,0)</f>
        <v>0</v>
      </c>
      <c r="BH644" s="31" t="n">
        <f aca="false">ROUNDDOWN(J644*設定!$B$13/1000,0)</f>
        <v>0</v>
      </c>
      <c r="BI644" s="31" t="n">
        <f aca="false">ROUNDDOWN(J644*設定!$C$13/1000,0)</f>
        <v>0</v>
      </c>
      <c r="BJ644" s="31" t="n">
        <f aca="false">ROUNDDOWN(K644*設定!$B$14/1000,0)</f>
        <v>0</v>
      </c>
      <c r="BK644" s="31" t="n">
        <f aca="false">ROUNDDOWN(K644*設定!$C$14/1000,0)</f>
        <v>0</v>
      </c>
      <c r="BL644" s="31" t="n">
        <f aca="false">ROUNDDOWN(J644*設定!$B$15/1000,0)</f>
        <v>0</v>
      </c>
      <c r="BM644" s="31" t="n">
        <f aca="false">ROUNDDOWN(J644*設定!$C$15/1000,0)</f>
        <v>0</v>
      </c>
      <c r="BN644" s="31" t="n">
        <f aca="false">L644+M644</f>
        <v>0</v>
      </c>
      <c r="BO644" s="31" t="n">
        <f aca="false">N644+O644+P644</f>
        <v>0</v>
      </c>
      <c r="BP644" s="31" t="n">
        <f aca="false">Q644</f>
        <v>0</v>
      </c>
      <c r="BQ644" s="31" t="n">
        <f aca="false">R644</f>
        <v>0</v>
      </c>
      <c r="BR644" s="31" t="n">
        <f aca="false">S644</f>
        <v>0</v>
      </c>
      <c r="BS644" s="31" t="n">
        <f aca="false">T644</f>
        <v>0</v>
      </c>
      <c r="BT644" s="31" t="n">
        <f aca="false">U644</f>
        <v>0</v>
      </c>
      <c r="BU644" s="31" t="n">
        <f aca="false">V644</f>
        <v>0</v>
      </c>
      <c r="BV644" s="32" t="n">
        <f aca="false">IF(BF644=0,IF(BN644=0,0,1),(BN644-BF644)/BF644)</f>
        <v>0</v>
      </c>
      <c r="BW644" s="32" t="n">
        <f aca="false">IF(BG644=0,IF(BO644=0,0,1),(BO644-BG644)/BG644)</f>
        <v>0</v>
      </c>
      <c r="BX644" s="32" t="n">
        <f aca="false">IF(BH644=0,IF(BP644=0,0,1),(BP644-BH644)/BH644)</f>
        <v>0</v>
      </c>
      <c r="BY644" s="32" t="n">
        <f aca="false">IF(BI644=0,IF(BQ644=0,0,1),(BQ644-BI644)/BI644)</f>
        <v>0</v>
      </c>
      <c r="BZ644" s="32" t="n">
        <f aca="false">IF(BJ644=0,IF(BR644=0,0,1),(BR644-BJ644)/BJ644)</f>
        <v>0</v>
      </c>
      <c r="CA644" s="32" t="n">
        <f aca="false">IF(BK644=0,IF(BS644=0,0,1),(BS644-BK644)/BK644)</f>
        <v>0</v>
      </c>
      <c r="CB644" s="32" t="n">
        <f aca="false">IF(BL644=0,IF(BT644=0,0,1),(BT644-BL644)/BL644)</f>
        <v>0</v>
      </c>
      <c r="CC644" s="32" t="n">
        <f aca="false">IF(BM644=0,IF(BU644=0,0,1),(BU644-BM644)/BM644)</f>
        <v>0</v>
      </c>
      <c r="CD644" s="32" t="n">
        <f aca="false">MAX(MAX(BV644:CC644),-MIN(BV644:CC644))</f>
        <v>-0</v>
      </c>
      <c r="CE644" s="31" t="str">
        <f aca="false">IF(CI644="","",SUMIFS($CF$7:$CF$696,$A$7:$A$696,CI644,$B$7:$B$696,B644))</f>
        <v/>
      </c>
      <c r="CF644" s="31" t="n">
        <f aca="false">SUM(AU644:BE644)</f>
        <v>138269</v>
      </c>
      <c r="CG644" s="33" t="str">
        <f aca="false">A644&amp;"|"&amp;B644</f>
        <v>2027-03 賞与|高速交通（株）</v>
      </c>
      <c r="CH644" s="34" t="str">
        <f aca="false">IFERROR(INDEX(設定!$D$61:$D$106,MATCH(B644,設定!$B$61:$B$106,0)),"Y")</f>
        <v>Y</v>
      </c>
      <c r="CI644" s="34" t="str">
        <f aca="false">IFERROR(INDEX(設定!$D$20:$D$34,MATCH(A644,設定!$A$20:$A$34,0))&amp;"","")</f>
        <v/>
      </c>
    </row>
    <row r="645" customFormat="false" ht="15" hidden="true" customHeight="false" outlineLevel="0" collapsed="false">
      <c r="A645" s="22" t="s">
        <v>221</v>
      </c>
      <c r="B645" s="23" t="s">
        <v>201</v>
      </c>
      <c r="C645" s="10" t="str">
        <f aca="false">IF(G645="","未受領",IF(G645="なし","報告なし",IF(AH645="○","起票済",IF(OR(AG645="○",F645="一致",F645="入金不要"),"入金確認済","受領済"))))</f>
        <v>未受領</v>
      </c>
      <c r="D645" s="10" t="str">
        <f aca="false">IF(OR(G645="",G645="なし"),"―",IF(CH645="N","対象外",IF(AND(I645="",J645="",K645=""),"標報未入力",IF(CD645&gt;=設定!$B$4,"要確認","問題なし"))))</f>
        <v>―</v>
      </c>
      <c r="E645" s="24" t="str">
        <f aca="false">IF(OR(G645="",G645="なし",CE645="",CF645=0),"―",IF(CF645=CE645,"前月同額",IF(CE645=0,"―",IF(ABS(CF645/CE645-1)&gt;=設定!$B$5,"変動大 "&amp;TEXT(CF645/CE645-1,"+0%;-0%"),"〇"))))</f>
        <v>―</v>
      </c>
      <c r="F645" s="10" t="str">
        <f aca="false">IF(OR(G645="",G645="なし"),"―",IF(CF645=0,"入金不要",IF(COUNT(Z645,AB645,AD645,AF645)=0,IF(AG645="○","手動確認","未入金"),IF(AND(N(Z645)=Y645,IF(AA645="",TRUE(),N(AB645)=AA645),IF(AC645="",TRUE(),N(AD645)=AC645),IF(AE645="",TRUE(),N(AF645)=AE645)),"一致","不一致"))))</f>
        <v>―</v>
      </c>
      <c r="G645" s="25"/>
      <c r="H645" s="26"/>
      <c r="I645" s="27"/>
      <c r="J645" s="27"/>
      <c r="K645" s="27"/>
      <c r="L645" s="27"/>
      <c r="M645" s="27"/>
      <c r="N645" s="27"/>
      <c r="O645" s="27"/>
      <c r="P645" s="27"/>
      <c r="Q645" s="27"/>
      <c r="R645" s="27"/>
      <c r="S645" s="27"/>
      <c r="T645" s="27"/>
      <c r="U645" s="27"/>
      <c r="V645" s="27"/>
      <c r="W645" s="10" t="str">
        <f aca="false">IFERROR(INDEX(設定!$E$61:$E$106,MATCH(B645,設定!$B$61:$B$106,0)),"合算")</f>
        <v>合算</v>
      </c>
      <c r="X645" s="28"/>
      <c r="Y645" s="29" t="str">
        <f aca="false">IF(OR(G645="",G645="なし"),"",IF(W645="合算",CF645,IF(W645="掛金・負担金別",(AU645+AV645+AZ645+BB645+BD645),SUM(AU645:AY645))))</f>
        <v/>
      </c>
      <c r="Z645" s="27"/>
      <c r="AA645" s="29" t="str">
        <f aca="false">IF(OR(G645="",G645="なし"),"",IF(W645="掛金・負担金別",(AW645+AX645+AY645+BA645+BC645+BE645),IF(W645="経理区分別",AZ645+BA645,"")))</f>
        <v/>
      </c>
      <c r="AB645" s="27"/>
      <c r="AC645" s="29" t="str">
        <f aca="false">IF(OR(G645="",G645="なし"),"",IF(W645="経理区分別",BB645+BC645,""))</f>
        <v/>
      </c>
      <c r="AD645" s="27"/>
      <c r="AE645" s="29" t="str">
        <f aca="false">IF(OR(G645="",G645="なし"),"",IF(W645="経理区分別",BD645+BE645,""))</f>
        <v/>
      </c>
      <c r="AF645" s="27"/>
      <c r="AG645" s="26"/>
      <c r="AH645" s="26"/>
      <c r="AI645" s="30"/>
      <c r="AJ645" s="31" t="n">
        <v>26352</v>
      </c>
      <c r="AK645" s="31" t="n">
        <v>2160</v>
      </c>
      <c r="AL645" s="31" t="n">
        <v>26352</v>
      </c>
      <c r="AM645" s="31" t="n">
        <v>2160</v>
      </c>
      <c r="AN645" s="31" t="n">
        <v>27</v>
      </c>
      <c r="AO645" s="31"/>
      <c r="AP645" s="31"/>
      <c r="AQ645" s="31"/>
      <c r="AR645" s="31"/>
      <c r="AS645" s="31"/>
      <c r="AT645" s="31"/>
      <c r="AU645" s="31" t="n">
        <f aca="false">IF($G645="",AJ645,L645)</f>
        <v>26352</v>
      </c>
      <c r="AV645" s="31" t="n">
        <f aca="false">IF($G645="",AK645,M645)</f>
        <v>2160</v>
      </c>
      <c r="AW645" s="31" t="n">
        <f aca="false">IF($G645="",AL645,N645)</f>
        <v>26352</v>
      </c>
      <c r="AX645" s="31" t="n">
        <f aca="false">IF($G645="",AM645,O645)</f>
        <v>2160</v>
      </c>
      <c r="AY645" s="31" t="n">
        <f aca="false">IF($G645="",AN645,P645)</f>
        <v>27</v>
      </c>
      <c r="AZ645" s="31" t="n">
        <f aca="false">IF($G645="",AO645,Q645)</f>
        <v>0</v>
      </c>
      <c r="BA645" s="31" t="n">
        <f aca="false">IF($G645="",AP645,R645)</f>
        <v>0</v>
      </c>
      <c r="BB645" s="31" t="n">
        <f aca="false">IF($G645="",AQ645,S645)</f>
        <v>0</v>
      </c>
      <c r="BC645" s="31" t="n">
        <f aca="false">IF($G645="",AR645,T645)</f>
        <v>0</v>
      </c>
      <c r="BD645" s="31" t="n">
        <f aca="false">IF($G645="",AS645,U645)</f>
        <v>0</v>
      </c>
      <c r="BE645" s="31" t="n">
        <f aca="false">IF($G645="",AT645,V645)</f>
        <v>0</v>
      </c>
      <c r="BF645" s="31" t="n">
        <f aca="false">ROUNDDOWN(I645*設定!$B$10/1000,0)+ROUNDDOWN(I645*設定!$B$11/1000,0)</f>
        <v>0</v>
      </c>
      <c r="BG645" s="31" t="n">
        <f aca="false">ROUNDDOWN(I645*設定!$C$10/1000,0)+ROUNDDOWN(I645*設定!$C$11/1000,0)+ROUNDDOWN(I645*設定!$C$12/1000,0)</f>
        <v>0</v>
      </c>
      <c r="BH645" s="31" t="n">
        <f aca="false">ROUNDDOWN(J645*設定!$B$13/1000,0)</f>
        <v>0</v>
      </c>
      <c r="BI645" s="31" t="n">
        <f aca="false">ROUNDDOWN(J645*設定!$C$13/1000,0)</f>
        <v>0</v>
      </c>
      <c r="BJ645" s="31" t="n">
        <f aca="false">ROUNDDOWN(K645*設定!$B$14/1000,0)</f>
        <v>0</v>
      </c>
      <c r="BK645" s="31" t="n">
        <f aca="false">ROUNDDOWN(K645*設定!$C$14/1000,0)</f>
        <v>0</v>
      </c>
      <c r="BL645" s="31" t="n">
        <f aca="false">ROUNDDOWN(J645*設定!$B$15/1000,0)</f>
        <v>0</v>
      </c>
      <c r="BM645" s="31" t="n">
        <f aca="false">ROUNDDOWN(J645*設定!$C$15/1000,0)</f>
        <v>0</v>
      </c>
      <c r="BN645" s="31" t="n">
        <f aca="false">L645+M645</f>
        <v>0</v>
      </c>
      <c r="BO645" s="31" t="n">
        <f aca="false">N645+O645+P645</f>
        <v>0</v>
      </c>
      <c r="BP645" s="31" t="n">
        <f aca="false">Q645</f>
        <v>0</v>
      </c>
      <c r="BQ645" s="31" t="n">
        <f aca="false">R645</f>
        <v>0</v>
      </c>
      <c r="BR645" s="31" t="n">
        <f aca="false">S645</f>
        <v>0</v>
      </c>
      <c r="BS645" s="31" t="n">
        <f aca="false">T645</f>
        <v>0</v>
      </c>
      <c r="BT645" s="31" t="n">
        <f aca="false">U645</f>
        <v>0</v>
      </c>
      <c r="BU645" s="31" t="n">
        <f aca="false">V645</f>
        <v>0</v>
      </c>
      <c r="BV645" s="32" t="n">
        <f aca="false">IF(BF645=0,IF(BN645=0,0,1),(BN645-BF645)/BF645)</f>
        <v>0</v>
      </c>
      <c r="BW645" s="32" t="n">
        <f aca="false">IF(BG645=0,IF(BO645=0,0,1),(BO645-BG645)/BG645)</f>
        <v>0</v>
      </c>
      <c r="BX645" s="32" t="n">
        <f aca="false">IF(BH645=0,IF(BP645=0,0,1),(BP645-BH645)/BH645)</f>
        <v>0</v>
      </c>
      <c r="BY645" s="32" t="n">
        <f aca="false">IF(BI645=0,IF(BQ645=0,0,1),(BQ645-BI645)/BI645)</f>
        <v>0</v>
      </c>
      <c r="BZ645" s="32" t="n">
        <f aca="false">IF(BJ645=0,IF(BR645=0,0,1),(BR645-BJ645)/BJ645)</f>
        <v>0</v>
      </c>
      <c r="CA645" s="32" t="n">
        <f aca="false">IF(BK645=0,IF(BS645=0,0,1),(BS645-BK645)/BK645)</f>
        <v>0</v>
      </c>
      <c r="CB645" s="32" t="n">
        <f aca="false">IF(BL645=0,IF(BT645=0,0,1),(BT645-BL645)/BL645)</f>
        <v>0</v>
      </c>
      <c r="CC645" s="32" t="n">
        <f aca="false">IF(BM645=0,IF(BU645=0,0,1),(BU645-BM645)/BM645)</f>
        <v>0</v>
      </c>
      <c r="CD645" s="32" t="n">
        <f aca="false">MAX(MAX(BV645:CC645),-MIN(BV645:CC645))</f>
        <v>-0</v>
      </c>
      <c r="CE645" s="31" t="str">
        <f aca="false">IF(CI645="","",SUMIFS($CF$7:$CF$696,$A$7:$A$696,CI645,$B$7:$B$696,B645))</f>
        <v/>
      </c>
      <c r="CF645" s="31" t="n">
        <f aca="false">SUM(AU645:BE645)</f>
        <v>57051</v>
      </c>
      <c r="CG645" s="33" t="str">
        <f aca="false">A645&amp;"|"&amp;B645</f>
        <v>2027-03 賞与|広島駅南口開発（株）</v>
      </c>
      <c r="CH645" s="34" t="str">
        <f aca="false">IFERROR(INDEX(設定!$D$61:$D$106,MATCH(B645,設定!$B$61:$B$106,0)),"Y")</f>
        <v>Y</v>
      </c>
      <c r="CI645" s="34" t="str">
        <f aca="false">IFERROR(INDEX(設定!$D$20:$D$34,MATCH(A645,設定!$A$20:$A$34,0))&amp;"","")</f>
        <v/>
      </c>
    </row>
    <row r="646" customFormat="false" ht="15" hidden="true" customHeight="false" outlineLevel="0" collapsed="false">
      <c r="A646" s="22" t="s">
        <v>221</v>
      </c>
      <c r="B646" s="23" t="s">
        <v>202</v>
      </c>
      <c r="C646" s="10" t="str">
        <f aca="false">IF(G646="","未受領",IF(G646="なし","報告なし",IF(AH646="○","起票済",IF(OR(AG646="○",F646="一致",F646="入金不要"),"入金確認済","受領済"))))</f>
        <v>未受領</v>
      </c>
      <c r="D646" s="10" t="str">
        <f aca="false">IF(OR(G646="",G646="なし"),"―",IF(CH646="N","対象外",IF(AND(I646="",J646="",K646=""),"標報未入力",IF(CD646&gt;=設定!$B$4,"要確認","問題なし"))))</f>
        <v>―</v>
      </c>
      <c r="E646" s="24" t="str">
        <f aca="false">IF(OR(G646="",G646="なし",CE646="",CF646=0),"―",IF(CF646=CE646,"前月同額",IF(CE646=0,"―",IF(ABS(CF646/CE646-1)&gt;=設定!$B$5,"変動大 "&amp;TEXT(CF646/CE646-1,"+0%;-0%"),"〇"))))</f>
        <v>―</v>
      </c>
      <c r="F646" s="10" t="str">
        <f aca="false">IF(OR(G646="",G646="なし"),"―",IF(CF646=0,"入金不要",IF(COUNT(Z646,AB646,AD646,AF646)=0,IF(AG646="○","手動確認","未入金"),IF(AND(N(Z646)=Y646,IF(AA646="",TRUE(),N(AB646)=AA646),IF(AC646="",TRUE(),N(AD646)=AC646),IF(AE646="",TRUE(),N(AF646)=AE646)),"一致","不一致"))))</f>
        <v>―</v>
      </c>
      <c r="G646" s="25"/>
      <c r="H646" s="26"/>
      <c r="I646" s="27"/>
      <c r="J646" s="27"/>
      <c r="K646" s="27"/>
      <c r="L646" s="27"/>
      <c r="M646" s="27"/>
      <c r="N646" s="27"/>
      <c r="O646" s="27"/>
      <c r="P646" s="27"/>
      <c r="Q646" s="27"/>
      <c r="R646" s="27"/>
      <c r="S646" s="27"/>
      <c r="T646" s="27"/>
      <c r="U646" s="27"/>
      <c r="V646" s="27"/>
      <c r="W646" s="10" t="str">
        <f aca="false">IFERROR(INDEX(設定!$E$61:$E$106,MATCH(B646,設定!$B$61:$B$106,0)),"合算")</f>
        <v>合算</v>
      </c>
      <c r="X646" s="28"/>
      <c r="Y646" s="29" t="str">
        <f aca="false">IF(OR(G646="",G646="なし"),"",IF(W646="合算",CF646,IF(W646="掛金・負担金別",(AU646+AV646+AZ646+BB646+BD646),SUM(AU646:AY646))))</f>
        <v/>
      </c>
      <c r="Z646" s="27"/>
      <c r="AA646" s="29" t="str">
        <f aca="false">IF(OR(G646="",G646="なし"),"",IF(W646="掛金・負担金別",(AW646+AX646+AY646+BA646+BC646+BE646),IF(W646="経理区分別",AZ646+BA646,"")))</f>
        <v/>
      </c>
      <c r="AB646" s="27"/>
      <c r="AC646" s="29" t="str">
        <f aca="false">IF(OR(G646="",G646="なし"),"",IF(W646="経理区分別",BB646+BC646,""))</f>
        <v/>
      </c>
      <c r="AD646" s="27"/>
      <c r="AE646" s="29" t="str">
        <f aca="false">IF(OR(G646="",G646="なし"),"",IF(W646="経理区分別",BD646+BE646,""))</f>
        <v/>
      </c>
      <c r="AF646" s="27"/>
      <c r="AG646" s="26"/>
      <c r="AH646" s="26"/>
      <c r="AI646" s="30"/>
      <c r="AJ646" s="31" t="n">
        <v>8509</v>
      </c>
      <c r="AK646" s="31" t="n">
        <v>697</v>
      </c>
      <c r="AL646" s="31" t="n">
        <v>8510</v>
      </c>
      <c r="AM646" s="31" t="n">
        <v>697</v>
      </c>
      <c r="AN646" s="31"/>
      <c r="AO646" s="31" t="n">
        <v>5115</v>
      </c>
      <c r="AP646" s="31" t="n">
        <v>5125</v>
      </c>
      <c r="AQ646" s="31" t="n">
        <v>734</v>
      </c>
      <c r="AR646" s="31" t="n">
        <v>734</v>
      </c>
      <c r="AS646" s="31" t="n">
        <v>1</v>
      </c>
      <c r="AT646" s="31" t="n">
        <v>1</v>
      </c>
      <c r="AU646" s="31" t="n">
        <f aca="false">IF($G646="",AJ646,L646)</f>
        <v>8509</v>
      </c>
      <c r="AV646" s="31" t="n">
        <f aca="false">IF($G646="",AK646,M646)</f>
        <v>697</v>
      </c>
      <c r="AW646" s="31" t="n">
        <f aca="false">IF($G646="",AL646,N646)</f>
        <v>8510</v>
      </c>
      <c r="AX646" s="31" t="n">
        <f aca="false">IF($G646="",AM646,O646)</f>
        <v>697</v>
      </c>
      <c r="AY646" s="31" t="n">
        <f aca="false">IF($G646="",AN646,P646)</f>
        <v>0</v>
      </c>
      <c r="AZ646" s="31" t="n">
        <f aca="false">IF($G646="",AO646,Q646)</f>
        <v>5115</v>
      </c>
      <c r="BA646" s="31" t="n">
        <f aca="false">IF($G646="",AP646,R646)</f>
        <v>5125</v>
      </c>
      <c r="BB646" s="31" t="n">
        <f aca="false">IF($G646="",AQ646,S646)</f>
        <v>734</v>
      </c>
      <c r="BC646" s="31" t="n">
        <f aca="false">IF($G646="",AR646,T646)</f>
        <v>734</v>
      </c>
      <c r="BD646" s="31" t="n">
        <f aca="false">IF($G646="",AS646,U646)</f>
        <v>1</v>
      </c>
      <c r="BE646" s="31" t="n">
        <f aca="false">IF($G646="",AT646,V646)</f>
        <v>1</v>
      </c>
      <c r="BF646" s="31" t="n">
        <f aca="false">ROUNDDOWN(I646*設定!$B$10/1000,0)+ROUNDDOWN(I646*設定!$B$11/1000,0)</f>
        <v>0</v>
      </c>
      <c r="BG646" s="31" t="n">
        <f aca="false">ROUNDDOWN(I646*設定!$C$10/1000,0)+ROUNDDOWN(I646*設定!$C$11/1000,0)+ROUNDDOWN(I646*設定!$C$12/1000,0)</f>
        <v>0</v>
      </c>
      <c r="BH646" s="31" t="n">
        <f aca="false">ROUNDDOWN(J646*設定!$B$13/1000,0)</f>
        <v>0</v>
      </c>
      <c r="BI646" s="31" t="n">
        <f aca="false">ROUNDDOWN(J646*設定!$C$13/1000,0)</f>
        <v>0</v>
      </c>
      <c r="BJ646" s="31" t="n">
        <f aca="false">ROUNDDOWN(K646*設定!$B$14/1000,0)</f>
        <v>0</v>
      </c>
      <c r="BK646" s="31" t="n">
        <f aca="false">ROUNDDOWN(K646*設定!$C$14/1000,0)</f>
        <v>0</v>
      </c>
      <c r="BL646" s="31" t="n">
        <f aca="false">ROUNDDOWN(J646*設定!$B$15/1000,0)</f>
        <v>0</v>
      </c>
      <c r="BM646" s="31" t="n">
        <f aca="false">ROUNDDOWN(J646*設定!$C$15/1000,0)</f>
        <v>0</v>
      </c>
      <c r="BN646" s="31" t="n">
        <f aca="false">L646+M646</f>
        <v>0</v>
      </c>
      <c r="BO646" s="31" t="n">
        <f aca="false">N646+O646+P646</f>
        <v>0</v>
      </c>
      <c r="BP646" s="31" t="n">
        <f aca="false">Q646</f>
        <v>0</v>
      </c>
      <c r="BQ646" s="31" t="n">
        <f aca="false">R646</f>
        <v>0</v>
      </c>
      <c r="BR646" s="31" t="n">
        <f aca="false">S646</f>
        <v>0</v>
      </c>
      <c r="BS646" s="31" t="n">
        <f aca="false">T646</f>
        <v>0</v>
      </c>
      <c r="BT646" s="31" t="n">
        <f aca="false">U646</f>
        <v>0</v>
      </c>
      <c r="BU646" s="31" t="n">
        <f aca="false">V646</f>
        <v>0</v>
      </c>
      <c r="BV646" s="32" t="n">
        <f aca="false">IF(BF646=0,IF(BN646=0,0,1),(BN646-BF646)/BF646)</f>
        <v>0</v>
      </c>
      <c r="BW646" s="32" t="n">
        <f aca="false">IF(BG646=0,IF(BO646=0,0,1),(BO646-BG646)/BG646)</f>
        <v>0</v>
      </c>
      <c r="BX646" s="32" t="n">
        <f aca="false">IF(BH646=0,IF(BP646=0,0,1),(BP646-BH646)/BH646)</f>
        <v>0</v>
      </c>
      <c r="BY646" s="32" t="n">
        <f aca="false">IF(BI646=0,IF(BQ646=0,0,1),(BQ646-BI646)/BI646)</f>
        <v>0</v>
      </c>
      <c r="BZ646" s="32" t="n">
        <f aca="false">IF(BJ646=0,IF(BR646=0,0,1),(BR646-BJ646)/BJ646)</f>
        <v>0</v>
      </c>
      <c r="CA646" s="32" t="n">
        <f aca="false">IF(BK646=0,IF(BS646=0,0,1),(BS646-BK646)/BK646)</f>
        <v>0</v>
      </c>
      <c r="CB646" s="32" t="n">
        <f aca="false">IF(BL646=0,IF(BT646=0,0,1),(BT646-BL646)/BL646)</f>
        <v>0</v>
      </c>
      <c r="CC646" s="32" t="n">
        <f aca="false">IF(BM646=0,IF(BU646=0,0,1),(BU646-BM646)/BM646)</f>
        <v>0</v>
      </c>
      <c r="CD646" s="32" t="n">
        <f aca="false">MAX(MAX(BV646:CC646),-MIN(BV646:CC646))</f>
        <v>-0</v>
      </c>
      <c r="CE646" s="31" t="str">
        <f aca="false">IF(CI646="","",SUMIFS($CF$7:$CF$696,$A$7:$A$696,CI646,$B$7:$B$696,B646))</f>
        <v/>
      </c>
      <c r="CF646" s="31" t="n">
        <f aca="false">SUM(AU646:BE646)</f>
        <v>30123</v>
      </c>
      <c r="CG646" s="33" t="str">
        <f aca="false">A646&amp;"|"&amp;B646</f>
        <v>2027-03 賞与|市職員労働組合</v>
      </c>
      <c r="CH646" s="34" t="str">
        <f aca="false">IFERROR(INDEX(設定!$D$61:$D$106,MATCH(B646,設定!$B$61:$B$106,0)),"Y")</f>
        <v>Y</v>
      </c>
      <c r="CI646" s="34" t="str">
        <f aca="false">IFERROR(INDEX(設定!$D$20:$D$34,MATCH(A646,設定!$A$20:$A$34,0))&amp;"","")</f>
        <v/>
      </c>
    </row>
    <row r="647" customFormat="false" ht="15" hidden="true" customHeight="false" outlineLevel="0" collapsed="false">
      <c r="A647" s="22" t="s">
        <v>221</v>
      </c>
      <c r="B647" s="23" t="s">
        <v>203</v>
      </c>
      <c r="C647" s="10" t="str">
        <f aca="false">IF(G647="","未受領",IF(G647="なし","報告なし",IF(AH647="○","起票済",IF(OR(AG647="○",F647="一致",F647="入金不要"),"入金確認済","受領済"))))</f>
        <v>報告なし</v>
      </c>
      <c r="D647" s="10" t="str">
        <f aca="false">IF(OR(G647="",G647="なし"),"―",IF(CH647="N","対象外",IF(AND(I647="",J647="",K647=""),"標報未入力",IF(CD647&gt;=設定!$B$4,"要確認","問題なし"))))</f>
        <v>―</v>
      </c>
      <c r="E647" s="24" t="str">
        <f aca="false">IF(OR(G647="",G647="なし",CE647="",CF647=0),"―",IF(CF647=CE647,"前月同額",IF(CE647=0,"―",IF(ABS(CF647/CE647-1)&gt;=設定!$B$5,"変動大 "&amp;TEXT(CF647/CE647-1,"+0%;-0%"),"〇"))))</f>
        <v>―</v>
      </c>
      <c r="F647" s="10" t="str">
        <f aca="false">IF(OR(G647="",G647="なし"),"―",IF(CF647=0,"入金不要",IF(COUNT(Z647,AB647,AD647,AF647)=0,IF(AG647="○","手動確認","未入金"),IF(AND(N(Z647)=Y647,IF(AA647="",TRUE(),N(AB647)=AA647),IF(AC647="",TRUE(),N(AD647)=AC647),IF(AE647="",TRUE(),N(AF647)=AE647)),"一致","不一致"))))</f>
        <v>―</v>
      </c>
      <c r="G647" s="25" t="s">
        <v>173</v>
      </c>
      <c r="H647" s="26"/>
      <c r="I647" s="27"/>
      <c r="J647" s="27"/>
      <c r="K647" s="27"/>
      <c r="L647" s="27"/>
      <c r="M647" s="27"/>
      <c r="N647" s="27"/>
      <c r="O647" s="27"/>
      <c r="P647" s="27"/>
      <c r="Q647" s="27"/>
      <c r="R647" s="27"/>
      <c r="S647" s="27"/>
      <c r="T647" s="27"/>
      <c r="U647" s="27"/>
      <c r="V647" s="27"/>
      <c r="W647" s="10" t="str">
        <f aca="false">IFERROR(INDEX(設定!$E$61:$E$106,MATCH(B647,設定!$B$61:$B$106,0)),"合算")</f>
        <v>合算</v>
      </c>
      <c r="X647" s="28"/>
      <c r="Y647" s="29" t="str">
        <f aca="false">IF(OR(G647="",G647="なし"),"",IF(W647="合算",CF647,IF(W647="掛金・負担金別",(AU647+AV647+AZ647+BB647+BD647),SUM(AU647:AY647))))</f>
        <v/>
      </c>
      <c r="Z647" s="27"/>
      <c r="AA647" s="29" t="str">
        <f aca="false">IF(OR(G647="",G647="なし"),"",IF(W647="掛金・負担金別",(AW647+AX647+AY647+BA647+BC647+BE647),IF(W647="経理区分別",AZ647+BA647,"")))</f>
        <v/>
      </c>
      <c r="AB647" s="27"/>
      <c r="AC647" s="29" t="str">
        <f aca="false">IF(OR(G647="",G647="なし"),"",IF(W647="経理区分別",BB647+BC647,""))</f>
        <v/>
      </c>
      <c r="AD647" s="27"/>
      <c r="AE647" s="29" t="str">
        <f aca="false">IF(OR(G647="",G647="なし"),"",IF(W647="経理区分別",BD647+BE647,""))</f>
        <v/>
      </c>
      <c r="AF647" s="27"/>
      <c r="AG647" s="26"/>
      <c r="AH647" s="26"/>
      <c r="AI647" s="30"/>
      <c r="AJ647" s="31"/>
      <c r="AK647" s="31"/>
      <c r="AL647" s="31"/>
      <c r="AM647" s="31"/>
      <c r="AN647" s="31"/>
      <c r="AO647" s="31"/>
      <c r="AP647" s="31"/>
      <c r="AQ647" s="31"/>
      <c r="AR647" s="31"/>
      <c r="AS647" s="31"/>
      <c r="AT647" s="31"/>
      <c r="AU647" s="31" t="n">
        <f aca="false">IF($G647="",AJ647,L647)</f>
        <v>0</v>
      </c>
      <c r="AV647" s="31" t="n">
        <f aca="false">IF($G647="",AK647,M647)</f>
        <v>0</v>
      </c>
      <c r="AW647" s="31" t="n">
        <f aca="false">IF($G647="",AL647,N647)</f>
        <v>0</v>
      </c>
      <c r="AX647" s="31" t="n">
        <f aca="false">IF($G647="",AM647,O647)</f>
        <v>0</v>
      </c>
      <c r="AY647" s="31" t="n">
        <f aca="false">IF($G647="",AN647,P647)</f>
        <v>0</v>
      </c>
      <c r="AZ647" s="31" t="n">
        <f aca="false">IF($G647="",AO647,Q647)</f>
        <v>0</v>
      </c>
      <c r="BA647" s="31" t="n">
        <f aca="false">IF($G647="",AP647,R647)</f>
        <v>0</v>
      </c>
      <c r="BB647" s="31" t="n">
        <f aca="false">IF($G647="",AQ647,S647)</f>
        <v>0</v>
      </c>
      <c r="BC647" s="31" t="n">
        <f aca="false">IF($G647="",AR647,T647)</f>
        <v>0</v>
      </c>
      <c r="BD647" s="31" t="n">
        <f aca="false">IF($G647="",AS647,U647)</f>
        <v>0</v>
      </c>
      <c r="BE647" s="31" t="n">
        <f aca="false">IF($G647="",AT647,V647)</f>
        <v>0</v>
      </c>
      <c r="BF647" s="31" t="n">
        <f aca="false">ROUNDDOWN(I647*設定!$B$10/1000,0)+ROUNDDOWN(I647*設定!$B$11/1000,0)</f>
        <v>0</v>
      </c>
      <c r="BG647" s="31" t="n">
        <f aca="false">ROUNDDOWN(I647*設定!$C$10/1000,0)+ROUNDDOWN(I647*設定!$C$11/1000,0)+ROUNDDOWN(I647*設定!$C$12/1000,0)</f>
        <v>0</v>
      </c>
      <c r="BH647" s="31" t="n">
        <f aca="false">ROUNDDOWN(J647*設定!$B$13/1000,0)</f>
        <v>0</v>
      </c>
      <c r="BI647" s="31" t="n">
        <f aca="false">ROUNDDOWN(J647*設定!$C$13/1000,0)</f>
        <v>0</v>
      </c>
      <c r="BJ647" s="31" t="n">
        <f aca="false">ROUNDDOWN(K647*設定!$B$14/1000,0)</f>
        <v>0</v>
      </c>
      <c r="BK647" s="31" t="n">
        <f aca="false">ROUNDDOWN(K647*設定!$C$14/1000,0)</f>
        <v>0</v>
      </c>
      <c r="BL647" s="31" t="n">
        <f aca="false">ROUNDDOWN(J647*設定!$B$15/1000,0)</f>
        <v>0</v>
      </c>
      <c r="BM647" s="31" t="n">
        <f aca="false">ROUNDDOWN(J647*設定!$C$15/1000,0)</f>
        <v>0</v>
      </c>
      <c r="BN647" s="31" t="n">
        <f aca="false">L647+M647</f>
        <v>0</v>
      </c>
      <c r="BO647" s="31" t="n">
        <f aca="false">N647+O647+P647</f>
        <v>0</v>
      </c>
      <c r="BP647" s="31" t="n">
        <f aca="false">Q647</f>
        <v>0</v>
      </c>
      <c r="BQ647" s="31" t="n">
        <f aca="false">R647</f>
        <v>0</v>
      </c>
      <c r="BR647" s="31" t="n">
        <f aca="false">S647</f>
        <v>0</v>
      </c>
      <c r="BS647" s="31" t="n">
        <f aca="false">T647</f>
        <v>0</v>
      </c>
      <c r="BT647" s="31" t="n">
        <f aca="false">U647</f>
        <v>0</v>
      </c>
      <c r="BU647" s="31" t="n">
        <f aca="false">V647</f>
        <v>0</v>
      </c>
      <c r="BV647" s="32" t="n">
        <f aca="false">IF(BF647=0,IF(BN647=0,0,1),(BN647-BF647)/BF647)</f>
        <v>0</v>
      </c>
      <c r="BW647" s="32" t="n">
        <f aca="false">IF(BG647=0,IF(BO647=0,0,1),(BO647-BG647)/BG647)</f>
        <v>0</v>
      </c>
      <c r="BX647" s="32" t="n">
        <f aca="false">IF(BH647=0,IF(BP647=0,0,1),(BP647-BH647)/BH647)</f>
        <v>0</v>
      </c>
      <c r="BY647" s="32" t="n">
        <f aca="false">IF(BI647=0,IF(BQ647=0,0,1),(BQ647-BI647)/BI647)</f>
        <v>0</v>
      </c>
      <c r="BZ647" s="32" t="n">
        <f aca="false">IF(BJ647=0,IF(BR647=0,0,1),(BR647-BJ647)/BJ647)</f>
        <v>0</v>
      </c>
      <c r="CA647" s="32" t="n">
        <f aca="false">IF(BK647=0,IF(BS647=0,0,1),(BS647-BK647)/BK647)</f>
        <v>0</v>
      </c>
      <c r="CB647" s="32" t="n">
        <f aca="false">IF(BL647=0,IF(BT647=0,0,1),(BT647-BL647)/BL647)</f>
        <v>0</v>
      </c>
      <c r="CC647" s="32" t="n">
        <f aca="false">IF(BM647=0,IF(BU647=0,0,1),(BU647-BM647)/BM647)</f>
        <v>0</v>
      </c>
      <c r="CD647" s="32" t="n">
        <f aca="false">MAX(MAX(BV647:CC647),-MIN(BV647:CC647))</f>
        <v>-0</v>
      </c>
      <c r="CE647" s="31" t="str">
        <f aca="false">IF(CI647="","",SUMIFS($CF$7:$CF$696,$A$7:$A$696,CI647,$B$7:$B$696,B647))</f>
        <v/>
      </c>
      <c r="CF647" s="31" t="n">
        <f aca="false">SUM(AU647:BE647)</f>
        <v>0</v>
      </c>
      <c r="CG647" s="33" t="str">
        <f aca="false">A647&amp;"|"&amp;B647</f>
        <v>2027-03 賞与|自治労労働組合</v>
      </c>
      <c r="CH647" s="34" t="str">
        <f aca="false">IFERROR(INDEX(設定!$D$61:$D$106,MATCH(B647,設定!$B$61:$B$106,0)),"Y")</f>
        <v>Y</v>
      </c>
      <c r="CI647" s="34" t="str">
        <f aca="false">IFERROR(INDEX(設定!$D$20:$D$34,MATCH(A647,設定!$A$20:$A$34,0))&amp;"","")</f>
        <v/>
      </c>
    </row>
    <row r="648" customFormat="false" ht="15" hidden="true" customHeight="false" outlineLevel="0" collapsed="false">
      <c r="A648" s="22" t="s">
        <v>221</v>
      </c>
      <c r="B648" s="23" t="s">
        <v>204</v>
      </c>
      <c r="C648" s="10" t="str">
        <f aca="false">IF(G648="","未受領",IF(G648="なし","報告なし",IF(AH648="○","起票済",IF(OR(AG648="○",F648="一致",F648="入金不要"),"入金確認済","受領済"))))</f>
        <v>未受領</v>
      </c>
      <c r="D648" s="10" t="str">
        <f aca="false">IF(OR(G648="",G648="なし"),"―",IF(CH648="N","対象外",IF(AND(I648="",J648="",K648=""),"標報未入力",IF(CD648&gt;=設定!$B$4,"要確認","問題なし"))))</f>
        <v>―</v>
      </c>
      <c r="E648" s="24" t="str">
        <f aca="false">IF(OR(G648="",G648="なし",CE648="",CF648=0),"―",IF(CF648=CE648,"前月同額",IF(CE648=0,"―",IF(ABS(CF648/CE648-1)&gt;=設定!$B$5,"変動大 "&amp;TEXT(CF648/CE648-1,"+0%;-0%"),"〇"))))</f>
        <v>―</v>
      </c>
      <c r="F648" s="10" t="str">
        <f aca="false">IF(OR(G648="",G648="なし"),"―",IF(CF648=0,"入金不要",IF(COUNT(Z648,AB648,AD648,AF648)=0,IF(AG648="○","手動確認","未入金"),IF(AND(N(Z648)=Y648,IF(AA648="",TRUE(),N(AB648)=AA648),IF(AC648="",TRUE(),N(AD648)=AC648),IF(AE648="",TRUE(),N(AF648)=AE648)),"一致","不一致"))))</f>
        <v>―</v>
      </c>
      <c r="G648" s="25"/>
      <c r="H648" s="26"/>
      <c r="I648" s="27"/>
      <c r="J648" s="27"/>
      <c r="K648" s="27"/>
      <c r="L648" s="27"/>
      <c r="M648" s="27"/>
      <c r="N648" s="27"/>
      <c r="O648" s="27"/>
      <c r="P648" s="27"/>
      <c r="Q648" s="27"/>
      <c r="R648" s="27"/>
      <c r="S648" s="27"/>
      <c r="T648" s="27"/>
      <c r="U648" s="27"/>
      <c r="V648" s="27"/>
      <c r="W648" s="10" t="str">
        <f aca="false">IFERROR(INDEX(設定!$E$61:$E$106,MATCH(B648,設定!$B$61:$B$106,0)),"合算")</f>
        <v>合算</v>
      </c>
      <c r="X648" s="28"/>
      <c r="Y648" s="29" t="str">
        <f aca="false">IF(OR(G648="",G648="なし"),"",IF(W648="合算",CF648,IF(W648="掛金・負担金別",(AU648+AV648+AZ648+BB648+BD648),SUM(AU648:AY648))))</f>
        <v/>
      </c>
      <c r="Z648" s="27"/>
      <c r="AA648" s="29" t="str">
        <f aca="false">IF(OR(G648="",G648="なし"),"",IF(W648="掛金・負担金別",(AW648+AX648+AY648+BA648+BC648+BE648),IF(W648="経理区分別",AZ648+BA648,"")))</f>
        <v/>
      </c>
      <c r="AB648" s="27"/>
      <c r="AC648" s="29" t="str">
        <f aca="false">IF(OR(G648="",G648="なし"),"",IF(W648="経理区分別",BB648+BC648,""))</f>
        <v/>
      </c>
      <c r="AD648" s="27"/>
      <c r="AE648" s="29" t="str">
        <f aca="false">IF(OR(G648="",G648="なし"),"",IF(W648="経理区分別",BD648+BE648,""))</f>
        <v/>
      </c>
      <c r="AF648" s="27"/>
      <c r="AG648" s="26"/>
      <c r="AH648" s="26"/>
      <c r="AI648" s="30"/>
      <c r="AJ648" s="31" t="n">
        <v>9516</v>
      </c>
      <c r="AK648" s="31" t="n">
        <v>780</v>
      </c>
      <c r="AL648" s="31" t="n">
        <v>9516</v>
      </c>
      <c r="AM648" s="31" t="n">
        <v>780</v>
      </c>
      <c r="AN648" s="31"/>
      <c r="AO648" s="31" t="n">
        <v>9791</v>
      </c>
      <c r="AP648" s="31" t="n">
        <v>9809</v>
      </c>
      <c r="AQ648" s="31" t="n">
        <v>584</v>
      </c>
      <c r="AR648" s="31" t="n">
        <v>584</v>
      </c>
      <c r="AS648" s="31" t="n">
        <v>1</v>
      </c>
      <c r="AT648" s="31" t="n">
        <v>1</v>
      </c>
      <c r="AU648" s="31" t="n">
        <f aca="false">IF($G648="",AJ648,L648)</f>
        <v>9516</v>
      </c>
      <c r="AV648" s="31" t="n">
        <f aca="false">IF($G648="",AK648,M648)</f>
        <v>780</v>
      </c>
      <c r="AW648" s="31" t="n">
        <f aca="false">IF($G648="",AL648,N648)</f>
        <v>9516</v>
      </c>
      <c r="AX648" s="31" t="n">
        <f aca="false">IF($G648="",AM648,O648)</f>
        <v>780</v>
      </c>
      <c r="AY648" s="31" t="n">
        <f aca="false">IF($G648="",AN648,P648)</f>
        <v>0</v>
      </c>
      <c r="AZ648" s="31" t="n">
        <f aca="false">IF($G648="",AO648,Q648)</f>
        <v>9791</v>
      </c>
      <c r="BA648" s="31" t="n">
        <f aca="false">IF($G648="",AP648,R648)</f>
        <v>9809</v>
      </c>
      <c r="BB648" s="31" t="n">
        <f aca="false">IF($G648="",AQ648,S648)</f>
        <v>584</v>
      </c>
      <c r="BC648" s="31" t="n">
        <f aca="false">IF($G648="",AR648,T648)</f>
        <v>584</v>
      </c>
      <c r="BD648" s="31" t="n">
        <f aca="false">IF($G648="",AS648,U648)</f>
        <v>1</v>
      </c>
      <c r="BE648" s="31" t="n">
        <f aca="false">IF($G648="",AT648,V648)</f>
        <v>1</v>
      </c>
      <c r="BF648" s="31" t="n">
        <f aca="false">ROUNDDOWN(I648*設定!$B$10/1000,0)+ROUNDDOWN(I648*設定!$B$11/1000,0)</f>
        <v>0</v>
      </c>
      <c r="BG648" s="31" t="n">
        <f aca="false">ROUNDDOWN(I648*設定!$C$10/1000,0)+ROUNDDOWN(I648*設定!$C$11/1000,0)+ROUNDDOWN(I648*設定!$C$12/1000,0)</f>
        <v>0</v>
      </c>
      <c r="BH648" s="31" t="n">
        <f aca="false">ROUNDDOWN(J648*設定!$B$13/1000,0)</f>
        <v>0</v>
      </c>
      <c r="BI648" s="31" t="n">
        <f aca="false">ROUNDDOWN(J648*設定!$C$13/1000,0)</f>
        <v>0</v>
      </c>
      <c r="BJ648" s="31" t="n">
        <f aca="false">ROUNDDOWN(K648*設定!$B$14/1000,0)</f>
        <v>0</v>
      </c>
      <c r="BK648" s="31" t="n">
        <f aca="false">ROUNDDOWN(K648*設定!$C$14/1000,0)</f>
        <v>0</v>
      </c>
      <c r="BL648" s="31" t="n">
        <f aca="false">ROUNDDOWN(J648*設定!$B$15/1000,0)</f>
        <v>0</v>
      </c>
      <c r="BM648" s="31" t="n">
        <f aca="false">ROUNDDOWN(J648*設定!$C$15/1000,0)</f>
        <v>0</v>
      </c>
      <c r="BN648" s="31" t="n">
        <f aca="false">L648+M648</f>
        <v>0</v>
      </c>
      <c r="BO648" s="31" t="n">
        <f aca="false">N648+O648+P648</f>
        <v>0</v>
      </c>
      <c r="BP648" s="31" t="n">
        <f aca="false">Q648</f>
        <v>0</v>
      </c>
      <c r="BQ648" s="31" t="n">
        <f aca="false">R648</f>
        <v>0</v>
      </c>
      <c r="BR648" s="31" t="n">
        <f aca="false">S648</f>
        <v>0</v>
      </c>
      <c r="BS648" s="31" t="n">
        <f aca="false">T648</f>
        <v>0</v>
      </c>
      <c r="BT648" s="31" t="n">
        <f aca="false">U648</f>
        <v>0</v>
      </c>
      <c r="BU648" s="31" t="n">
        <f aca="false">V648</f>
        <v>0</v>
      </c>
      <c r="BV648" s="32" t="n">
        <f aca="false">IF(BF648=0,IF(BN648=0,0,1),(BN648-BF648)/BF648)</f>
        <v>0</v>
      </c>
      <c r="BW648" s="32" t="n">
        <f aca="false">IF(BG648=0,IF(BO648=0,0,1),(BO648-BG648)/BG648)</f>
        <v>0</v>
      </c>
      <c r="BX648" s="32" t="n">
        <f aca="false">IF(BH648=0,IF(BP648=0,0,1),(BP648-BH648)/BH648)</f>
        <v>0</v>
      </c>
      <c r="BY648" s="32" t="n">
        <f aca="false">IF(BI648=0,IF(BQ648=0,0,1),(BQ648-BI648)/BI648)</f>
        <v>0</v>
      </c>
      <c r="BZ648" s="32" t="n">
        <f aca="false">IF(BJ648=0,IF(BR648=0,0,1),(BR648-BJ648)/BJ648)</f>
        <v>0</v>
      </c>
      <c r="CA648" s="32" t="n">
        <f aca="false">IF(BK648=0,IF(BS648=0,0,1),(BS648-BK648)/BK648)</f>
        <v>0</v>
      </c>
      <c r="CB648" s="32" t="n">
        <f aca="false">IF(BL648=0,IF(BT648=0,0,1),(BT648-BL648)/BL648)</f>
        <v>0</v>
      </c>
      <c r="CC648" s="32" t="n">
        <f aca="false">IF(BM648=0,IF(BU648=0,0,1),(BU648-BM648)/BM648)</f>
        <v>0</v>
      </c>
      <c r="CD648" s="32" t="n">
        <f aca="false">MAX(MAX(BV648:CC648),-MIN(BV648:CC648))</f>
        <v>-0</v>
      </c>
      <c r="CE648" s="31" t="str">
        <f aca="false">IF(CI648="","",SUMIFS($CF$7:$CF$696,$A$7:$A$696,CI648,$B$7:$B$696,B648))</f>
        <v/>
      </c>
      <c r="CF648" s="31" t="n">
        <f aca="false">SUM(AU648:BE648)</f>
        <v>41362</v>
      </c>
      <c r="CG648" s="33" t="str">
        <f aca="false">A648&amp;"|"&amp;B648</f>
        <v>2027-03 賞与|病院労働組合</v>
      </c>
      <c r="CH648" s="34" t="str">
        <f aca="false">IFERROR(INDEX(設定!$D$61:$D$106,MATCH(B648,設定!$B$61:$B$106,0)),"Y")</f>
        <v>Y</v>
      </c>
      <c r="CI648" s="34" t="str">
        <f aca="false">IFERROR(INDEX(設定!$D$20:$D$34,MATCH(A648,設定!$A$20:$A$34,0))&amp;"","")</f>
        <v/>
      </c>
    </row>
    <row r="649" customFormat="false" ht="15" hidden="true" customHeight="false" outlineLevel="0" collapsed="false">
      <c r="A649" s="22" t="s">
        <v>221</v>
      </c>
      <c r="B649" s="23" t="s">
        <v>205</v>
      </c>
      <c r="C649" s="10" t="str">
        <f aca="false">IF(G649="","未受領",IF(G649="なし","報告なし",IF(AH649="○","起票済",IF(OR(AG649="○",F649="一致",F649="入金不要"),"入金確認済","受領済"))))</f>
        <v>報告なし</v>
      </c>
      <c r="D649" s="10" t="str">
        <f aca="false">IF(OR(G649="",G649="なし"),"―",IF(CH649="N","対象外",IF(AND(I649="",J649="",K649=""),"標報未入力",IF(CD649&gt;=設定!$B$4,"要確認","問題なし"))))</f>
        <v>―</v>
      </c>
      <c r="E649" s="24" t="str">
        <f aca="false">IF(OR(G649="",G649="なし",CE649="",CF649=0),"―",IF(CF649=CE649,"前月同額",IF(CE649=0,"―",IF(ABS(CF649/CE649-1)&gt;=設定!$B$5,"変動大 "&amp;TEXT(CF649/CE649-1,"+0%;-0%"),"〇"))))</f>
        <v>―</v>
      </c>
      <c r="F649" s="10" t="str">
        <f aca="false">IF(OR(G649="",G649="なし"),"―",IF(CF649=0,"入金不要",IF(COUNT(Z649,AB649,AD649,AF649)=0,IF(AG649="○","手動確認","未入金"),IF(AND(N(Z649)=Y649,IF(AA649="",TRUE(),N(AB649)=AA649),IF(AC649="",TRUE(),N(AD649)=AC649),IF(AE649="",TRUE(),N(AF649)=AE649)),"一致","不一致"))))</f>
        <v>―</v>
      </c>
      <c r="G649" s="25" t="s">
        <v>173</v>
      </c>
      <c r="H649" s="26"/>
      <c r="I649" s="27"/>
      <c r="J649" s="27"/>
      <c r="K649" s="27"/>
      <c r="L649" s="27"/>
      <c r="M649" s="27"/>
      <c r="N649" s="27"/>
      <c r="O649" s="27"/>
      <c r="P649" s="27"/>
      <c r="Q649" s="27"/>
      <c r="R649" s="27"/>
      <c r="S649" s="27"/>
      <c r="T649" s="27"/>
      <c r="U649" s="27"/>
      <c r="V649" s="27"/>
      <c r="W649" s="10" t="str">
        <f aca="false">IFERROR(INDEX(設定!$E$61:$E$106,MATCH(B649,設定!$B$61:$B$106,0)),"合算")</f>
        <v>合算</v>
      </c>
      <c r="X649" s="28"/>
      <c r="Y649" s="29" t="str">
        <f aca="false">IF(OR(G649="",G649="なし"),"",IF(W649="合算",CF649,IF(W649="掛金・負担金別",(AU649+AV649+AZ649+BB649+BD649),SUM(AU649:AY649))))</f>
        <v/>
      </c>
      <c r="Z649" s="27"/>
      <c r="AA649" s="29" t="str">
        <f aca="false">IF(OR(G649="",G649="なし"),"",IF(W649="掛金・負担金別",(AW649+AX649+AY649+BA649+BC649+BE649),IF(W649="経理区分別",AZ649+BA649,"")))</f>
        <v/>
      </c>
      <c r="AB649" s="27"/>
      <c r="AC649" s="29" t="str">
        <f aca="false">IF(OR(G649="",G649="なし"),"",IF(W649="経理区分別",BB649+BC649,""))</f>
        <v/>
      </c>
      <c r="AD649" s="27"/>
      <c r="AE649" s="29" t="str">
        <f aca="false">IF(OR(G649="",G649="なし"),"",IF(W649="経理区分別",BD649+BE649,""))</f>
        <v/>
      </c>
      <c r="AF649" s="27"/>
      <c r="AG649" s="26"/>
      <c r="AH649" s="26"/>
      <c r="AI649" s="30"/>
      <c r="AJ649" s="31"/>
      <c r="AK649" s="31"/>
      <c r="AL649" s="31"/>
      <c r="AM649" s="31"/>
      <c r="AN649" s="31"/>
      <c r="AO649" s="31"/>
      <c r="AP649" s="31"/>
      <c r="AQ649" s="31"/>
      <c r="AR649" s="31"/>
      <c r="AS649" s="31"/>
      <c r="AT649" s="31"/>
      <c r="AU649" s="31" t="n">
        <f aca="false">IF($G649="",AJ649,L649)</f>
        <v>0</v>
      </c>
      <c r="AV649" s="31" t="n">
        <f aca="false">IF($G649="",AK649,M649)</f>
        <v>0</v>
      </c>
      <c r="AW649" s="31" t="n">
        <f aca="false">IF($G649="",AL649,N649)</f>
        <v>0</v>
      </c>
      <c r="AX649" s="31" t="n">
        <f aca="false">IF($G649="",AM649,O649)</f>
        <v>0</v>
      </c>
      <c r="AY649" s="31" t="n">
        <f aca="false">IF($G649="",AN649,P649)</f>
        <v>0</v>
      </c>
      <c r="AZ649" s="31" t="n">
        <f aca="false">IF($G649="",AO649,Q649)</f>
        <v>0</v>
      </c>
      <c r="BA649" s="31" t="n">
        <f aca="false">IF($G649="",AP649,R649)</f>
        <v>0</v>
      </c>
      <c r="BB649" s="31" t="n">
        <f aca="false">IF($G649="",AQ649,S649)</f>
        <v>0</v>
      </c>
      <c r="BC649" s="31" t="n">
        <f aca="false">IF($G649="",AR649,T649)</f>
        <v>0</v>
      </c>
      <c r="BD649" s="31" t="n">
        <f aca="false">IF($G649="",AS649,U649)</f>
        <v>0</v>
      </c>
      <c r="BE649" s="31" t="n">
        <f aca="false">IF($G649="",AT649,V649)</f>
        <v>0</v>
      </c>
      <c r="BF649" s="31" t="n">
        <f aca="false">ROUNDDOWN(I649*設定!$B$10/1000,0)+ROUNDDOWN(I649*設定!$B$11/1000,0)</f>
        <v>0</v>
      </c>
      <c r="BG649" s="31" t="n">
        <f aca="false">ROUNDDOWN(I649*設定!$C$10/1000,0)+ROUNDDOWN(I649*設定!$C$11/1000,0)+ROUNDDOWN(I649*設定!$C$12/1000,0)</f>
        <v>0</v>
      </c>
      <c r="BH649" s="31" t="n">
        <f aca="false">ROUNDDOWN(J649*設定!$B$13/1000,0)</f>
        <v>0</v>
      </c>
      <c r="BI649" s="31" t="n">
        <f aca="false">ROUNDDOWN(J649*設定!$C$13/1000,0)</f>
        <v>0</v>
      </c>
      <c r="BJ649" s="31" t="n">
        <f aca="false">ROUNDDOWN(K649*設定!$B$14/1000,0)</f>
        <v>0</v>
      </c>
      <c r="BK649" s="31" t="n">
        <f aca="false">ROUNDDOWN(K649*設定!$C$14/1000,0)</f>
        <v>0</v>
      </c>
      <c r="BL649" s="31" t="n">
        <f aca="false">ROUNDDOWN(J649*設定!$B$15/1000,0)</f>
        <v>0</v>
      </c>
      <c r="BM649" s="31" t="n">
        <f aca="false">ROUNDDOWN(J649*設定!$C$15/1000,0)</f>
        <v>0</v>
      </c>
      <c r="BN649" s="31" t="n">
        <f aca="false">L649+M649</f>
        <v>0</v>
      </c>
      <c r="BO649" s="31" t="n">
        <f aca="false">N649+O649+P649</f>
        <v>0</v>
      </c>
      <c r="BP649" s="31" t="n">
        <f aca="false">Q649</f>
        <v>0</v>
      </c>
      <c r="BQ649" s="31" t="n">
        <f aca="false">R649</f>
        <v>0</v>
      </c>
      <c r="BR649" s="31" t="n">
        <f aca="false">S649</f>
        <v>0</v>
      </c>
      <c r="BS649" s="31" t="n">
        <f aca="false">T649</f>
        <v>0</v>
      </c>
      <c r="BT649" s="31" t="n">
        <f aca="false">U649</f>
        <v>0</v>
      </c>
      <c r="BU649" s="31" t="n">
        <f aca="false">V649</f>
        <v>0</v>
      </c>
      <c r="BV649" s="32" t="n">
        <f aca="false">IF(BF649=0,IF(BN649=0,0,1),(BN649-BF649)/BF649)</f>
        <v>0</v>
      </c>
      <c r="BW649" s="32" t="n">
        <f aca="false">IF(BG649=0,IF(BO649=0,0,1),(BO649-BG649)/BG649)</f>
        <v>0</v>
      </c>
      <c r="BX649" s="32" t="n">
        <f aca="false">IF(BH649=0,IF(BP649=0,0,1),(BP649-BH649)/BH649)</f>
        <v>0</v>
      </c>
      <c r="BY649" s="32" t="n">
        <f aca="false">IF(BI649=0,IF(BQ649=0,0,1),(BQ649-BI649)/BI649)</f>
        <v>0</v>
      </c>
      <c r="BZ649" s="32" t="n">
        <f aca="false">IF(BJ649=0,IF(BR649=0,0,1),(BR649-BJ649)/BJ649)</f>
        <v>0</v>
      </c>
      <c r="CA649" s="32" t="n">
        <f aca="false">IF(BK649=0,IF(BS649=0,0,1),(BS649-BK649)/BK649)</f>
        <v>0</v>
      </c>
      <c r="CB649" s="32" t="n">
        <f aca="false">IF(BL649=0,IF(BT649=0,0,1),(BT649-BL649)/BL649)</f>
        <v>0</v>
      </c>
      <c r="CC649" s="32" t="n">
        <f aca="false">IF(BM649=0,IF(BU649=0,0,1),(BU649-BM649)/BM649)</f>
        <v>0</v>
      </c>
      <c r="CD649" s="32" t="n">
        <f aca="false">MAX(MAX(BV649:CC649),-MIN(BV649:CC649))</f>
        <v>-0</v>
      </c>
      <c r="CE649" s="31" t="str">
        <f aca="false">IF(CI649="","",SUMIFS($CF$7:$CF$696,$A$7:$A$696,CI649,$B$7:$B$696,B649))</f>
        <v/>
      </c>
      <c r="CF649" s="31" t="n">
        <f aca="false">SUM(AU649:BE649)</f>
        <v>0</v>
      </c>
      <c r="CG649" s="33" t="str">
        <f aca="false">A649&amp;"|"&amp;B649</f>
        <v>2027-03 賞与|水道労働組合</v>
      </c>
      <c r="CH649" s="34" t="str">
        <f aca="false">IFERROR(INDEX(設定!$D$61:$D$106,MATCH(B649,設定!$B$61:$B$106,0)),"Y")</f>
        <v>Y</v>
      </c>
      <c r="CI649" s="34" t="str">
        <f aca="false">IFERROR(INDEX(設定!$D$20:$D$34,MATCH(A649,設定!$A$20:$A$34,0))&amp;"","")</f>
        <v/>
      </c>
    </row>
    <row r="650" customFormat="false" ht="15" hidden="true" customHeight="false" outlineLevel="0" collapsed="false">
      <c r="A650" s="22" t="s">
        <v>221</v>
      </c>
      <c r="B650" s="23" t="s">
        <v>206</v>
      </c>
      <c r="C650" s="10" t="str">
        <f aca="false">IF(G650="","未受領",IF(G650="なし","報告なし",IF(AH650="○","起票済",IF(OR(AG650="○",F650="一致",F650="入金不要"),"入金確認済","受領済"))))</f>
        <v>報告なし</v>
      </c>
      <c r="D650" s="10" t="str">
        <f aca="false">IF(OR(G650="",G650="なし"),"―",IF(CH650="N","対象外",IF(AND(I650="",J650="",K650=""),"標報未入力",IF(CD650&gt;=設定!$B$4,"要確認","問題なし"))))</f>
        <v>―</v>
      </c>
      <c r="E650" s="24" t="str">
        <f aca="false">IF(OR(G650="",G650="なし",CE650="",CF650=0),"―",IF(CF650=CE650,"前月同額",IF(CE650=0,"―",IF(ABS(CF650/CE650-1)&gt;=設定!$B$5,"変動大 "&amp;TEXT(CF650/CE650-1,"+0%;-0%"),"〇"))))</f>
        <v>―</v>
      </c>
      <c r="F650" s="10" t="str">
        <f aca="false">IF(OR(G650="",G650="なし"),"―",IF(CF650=0,"入金不要",IF(COUNT(Z650,AB650,AD650,AF650)=0,IF(AG650="○","手動確認","未入金"),IF(AND(N(Z650)=Y650,IF(AA650="",TRUE(),N(AB650)=AA650),IF(AC650="",TRUE(),N(AD650)=AC650),IF(AE650="",TRUE(),N(AF650)=AE650)),"一致","不一致"))))</f>
        <v>―</v>
      </c>
      <c r="G650" s="25" t="s">
        <v>173</v>
      </c>
      <c r="H650" s="26"/>
      <c r="I650" s="27"/>
      <c r="J650" s="27"/>
      <c r="K650" s="27"/>
      <c r="L650" s="27"/>
      <c r="M650" s="27"/>
      <c r="N650" s="27"/>
      <c r="O650" s="27"/>
      <c r="P650" s="27"/>
      <c r="Q650" s="27"/>
      <c r="R650" s="27"/>
      <c r="S650" s="27"/>
      <c r="T650" s="27"/>
      <c r="U650" s="27"/>
      <c r="V650" s="27"/>
      <c r="W650" s="10" t="str">
        <f aca="false">IFERROR(INDEX(設定!$E$61:$E$106,MATCH(B650,設定!$B$61:$B$106,0)),"合算")</f>
        <v>合算</v>
      </c>
      <c r="X650" s="28"/>
      <c r="Y650" s="29" t="str">
        <f aca="false">IF(OR(G650="",G650="なし"),"",IF(W650="合算",CF650,IF(W650="掛金・負担金別",(AU650+AV650+AZ650+BB650+BD650),SUM(AU650:AY650))))</f>
        <v/>
      </c>
      <c r="Z650" s="27"/>
      <c r="AA650" s="29" t="str">
        <f aca="false">IF(OR(G650="",G650="なし"),"",IF(W650="掛金・負担金別",(AW650+AX650+AY650+BA650+BC650+BE650),IF(W650="経理区分別",AZ650+BA650,"")))</f>
        <v/>
      </c>
      <c r="AB650" s="27"/>
      <c r="AC650" s="29" t="str">
        <f aca="false">IF(OR(G650="",G650="なし"),"",IF(W650="経理区分別",BB650+BC650,""))</f>
        <v/>
      </c>
      <c r="AD650" s="27"/>
      <c r="AE650" s="29" t="str">
        <f aca="false">IF(OR(G650="",G650="なし"),"",IF(W650="経理区分別",BD650+BE650,""))</f>
        <v/>
      </c>
      <c r="AF650" s="27"/>
      <c r="AG650" s="26"/>
      <c r="AH650" s="26"/>
      <c r="AI650" s="30"/>
      <c r="AJ650" s="31"/>
      <c r="AK650" s="31"/>
      <c r="AL650" s="31"/>
      <c r="AM650" s="31"/>
      <c r="AN650" s="31"/>
      <c r="AO650" s="31"/>
      <c r="AP650" s="31"/>
      <c r="AQ650" s="31"/>
      <c r="AR650" s="31"/>
      <c r="AS650" s="31"/>
      <c r="AT650" s="31"/>
      <c r="AU650" s="31" t="n">
        <f aca="false">IF($G650="",AJ650,L650)</f>
        <v>0</v>
      </c>
      <c r="AV650" s="31" t="n">
        <f aca="false">IF($G650="",AK650,M650)</f>
        <v>0</v>
      </c>
      <c r="AW650" s="31" t="n">
        <f aca="false">IF($G650="",AL650,N650)</f>
        <v>0</v>
      </c>
      <c r="AX650" s="31" t="n">
        <f aca="false">IF($G650="",AM650,O650)</f>
        <v>0</v>
      </c>
      <c r="AY650" s="31" t="n">
        <f aca="false">IF($G650="",AN650,P650)</f>
        <v>0</v>
      </c>
      <c r="AZ650" s="31" t="n">
        <f aca="false">IF($G650="",AO650,Q650)</f>
        <v>0</v>
      </c>
      <c r="BA650" s="31" t="n">
        <f aca="false">IF($G650="",AP650,R650)</f>
        <v>0</v>
      </c>
      <c r="BB650" s="31" t="n">
        <f aca="false">IF($G650="",AQ650,S650)</f>
        <v>0</v>
      </c>
      <c r="BC650" s="31" t="n">
        <f aca="false">IF($G650="",AR650,T650)</f>
        <v>0</v>
      </c>
      <c r="BD650" s="31" t="n">
        <f aca="false">IF($G650="",AS650,U650)</f>
        <v>0</v>
      </c>
      <c r="BE650" s="31" t="n">
        <f aca="false">IF($G650="",AT650,V650)</f>
        <v>0</v>
      </c>
      <c r="BF650" s="31" t="n">
        <f aca="false">ROUNDDOWN(I650*設定!$B$10/1000,0)+ROUNDDOWN(I650*設定!$B$11/1000,0)</f>
        <v>0</v>
      </c>
      <c r="BG650" s="31" t="n">
        <f aca="false">ROUNDDOWN(I650*設定!$C$10/1000,0)+ROUNDDOWN(I650*設定!$C$11/1000,0)+ROUNDDOWN(I650*設定!$C$12/1000,0)</f>
        <v>0</v>
      </c>
      <c r="BH650" s="31" t="n">
        <f aca="false">ROUNDDOWN(J650*設定!$B$13/1000,0)</f>
        <v>0</v>
      </c>
      <c r="BI650" s="31" t="n">
        <f aca="false">ROUNDDOWN(J650*設定!$C$13/1000,0)</f>
        <v>0</v>
      </c>
      <c r="BJ650" s="31" t="n">
        <f aca="false">ROUNDDOWN(K650*設定!$B$14/1000,0)</f>
        <v>0</v>
      </c>
      <c r="BK650" s="31" t="n">
        <f aca="false">ROUNDDOWN(K650*設定!$C$14/1000,0)</f>
        <v>0</v>
      </c>
      <c r="BL650" s="31" t="n">
        <f aca="false">ROUNDDOWN(J650*設定!$B$15/1000,0)</f>
        <v>0</v>
      </c>
      <c r="BM650" s="31" t="n">
        <f aca="false">ROUNDDOWN(J650*設定!$C$15/1000,0)</f>
        <v>0</v>
      </c>
      <c r="BN650" s="31" t="n">
        <f aca="false">L650+M650</f>
        <v>0</v>
      </c>
      <c r="BO650" s="31" t="n">
        <f aca="false">N650+O650+P650</f>
        <v>0</v>
      </c>
      <c r="BP650" s="31" t="n">
        <f aca="false">Q650</f>
        <v>0</v>
      </c>
      <c r="BQ650" s="31" t="n">
        <f aca="false">R650</f>
        <v>0</v>
      </c>
      <c r="BR650" s="31" t="n">
        <f aca="false">S650</f>
        <v>0</v>
      </c>
      <c r="BS650" s="31" t="n">
        <f aca="false">T650</f>
        <v>0</v>
      </c>
      <c r="BT650" s="31" t="n">
        <f aca="false">U650</f>
        <v>0</v>
      </c>
      <c r="BU650" s="31" t="n">
        <f aca="false">V650</f>
        <v>0</v>
      </c>
      <c r="BV650" s="32" t="n">
        <f aca="false">IF(BF650=0,IF(BN650=0,0,1),(BN650-BF650)/BF650)</f>
        <v>0</v>
      </c>
      <c r="BW650" s="32" t="n">
        <f aca="false">IF(BG650=0,IF(BO650=0,0,1),(BO650-BG650)/BG650)</f>
        <v>0</v>
      </c>
      <c r="BX650" s="32" t="n">
        <f aca="false">IF(BH650=0,IF(BP650=0,0,1),(BP650-BH650)/BH650)</f>
        <v>0</v>
      </c>
      <c r="BY650" s="32" t="n">
        <f aca="false">IF(BI650=0,IF(BQ650=0,0,1),(BQ650-BI650)/BI650)</f>
        <v>0</v>
      </c>
      <c r="BZ650" s="32" t="n">
        <f aca="false">IF(BJ650=0,IF(BR650=0,0,1),(BR650-BJ650)/BJ650)</f>
        <v>0</v>
      </c>
      <c r="CA650" s="32" t="n">
        <f aca="false">IF(BK650=0,IF(BS650=0,0,1),(BS650-BK650)/BK650)</f>
        <v>0</v>
      </c>
      <c r="CB650" s="32" t="n">
        <f aca="false">IF(BL650=0,IF(BT650=0,0,1),(BT650-BL650)/BL650)</f>
        <v>0</v>
      </c>
      <c r="CC650" s="32" t="n">
        <f aca="false">IF(BM650=0,IF(BU650=0,0,1),(BU650-BM650)/BM650)</f>
        <v>0</v>
      </c>
      <c r="CD650" s="32" t="n">
        <f aca="false">MAX(MAX(BV650:CC650),-MIN(BV650:CC650))</f>
        <v>-0</v>
      </c>
      <c r="CE650" s="31" t="str">
        <f aca="false">IF(CI650="","",SUMIFS($CF$7:$CF$696,$A$7:$A$696,CI650,$B$7:$B$696,B650))</f>
        <v/>
      </c>
      <c r="CF650" s="31" t="n">
        <f aca="false">SUM(AU650:BE650)</f>
        <v>0</v>
      </c>
      <c r="CG650" s="33" t="str">
        <f aca="false">A650&amp;"|"&amp;B650</f>
        <v>2027-03 賞与|任意継続組合員</v>
      </c>
      <c r="CH650" s="34" t="str">
        <f aca="false">IFERROR(INDEX(設定!$D$61:$D$106,MATCH(B650,設定!$B$61:$B$106,0)),"Y")</f>
        <v>N</v>
      </c>
      <c r="CI650" s="34" t="str">
        <f aca="false">IFERROR(INDEX(設定!$D$20:$D$34,MATCH(A650,設定!$A$20:$A$34,0))&amp;"","")</f>
        <v/>
      </c>
    </row>
    <row r="651" customFormat="false" ht="15" hidden="true" customHeight="false" outlineLevel="0" collapsed="false">
      <c r="A651" s="22" t="s">
        <v>222</v>
      </c>
      <c r="B651" s="23" t="s">
        <v>158</v>
      </c>
      <c r="C651" s="10" t="str">
        <f aca="false">IF(G651="","未受領",IF(G651="なし","報告なし",IF(AH651="○","起票済",IF(OR(AG651="○",F651="一致",F651="入金不要"),"入金確認済","受領済"))))</f>
        <v>未受領</v>
      </c>
      <c r="D651" s="10" t="str">
        <f aca="false">IF(OR(G651="",G651="なし"),"―",IF(CH651="N","対象外",IF(AND(I651="",J651="",K651=""),"標報未入力",IF(CD651&gt;=設定!$B$4,"要確認","問題なし"))))</f>
        <v>―</v>
      </c>
      <c r="E651" s="24" t="str">
        <f aca="false">IF(OR(G651="",G651="なし",CE651="",CF651=0),"―",IF(CF651=CE651,"前月同額",IF(CE651=0,"―",IF(ABS(CF651/CE651-1)&gt;=設定!$B$5,"変動大 "&amp;TEXT(CF651/CE651-1,"+0%;-0%"),"〇"))))</f>
        <v>―</v>
      </c>
      <c r="F651" s="10" t="str">
        <f aca="false">IF(OR(G651="",G651="なし"),"―",IF(CF651=0,"入金不要",IF(COUNT(Z651,AB651,AD651,AF651)=0,IF(AG651="○","手動確認","未入金"),IF(AND(N(Z651)=Y651,IF(AA651="",TRUE(),N(AB651)=AA651),IF(AC651="",TRUE(),N(AD651)=AC651),IF(AE651="",TRUE(),N(AF651)=AE651)),"一致","不一致"))))</f>
        <v>―</v>
      </c>
      <c r="G651" s="25"/>
      <c r="H651" s="26"/>
      <c r="I651" s="27"/>
      <c r="J651" s="27"/>
      <c r="K651" s="27"/>
      <c r="L651" s="27"/>
      <c r="M651" s="27"/>
      <c r="N651" s="27"/>
      <c r="O651" s="27"/>
      <c r="P651" s="27"/>
      <c r="Q651" s="27"/>
      <c r="R651" s="27"/>
      <c r="S651" s="27"/>
      <c r="T651" s="27"/>
      <c r="U651" s="27"/>
      <c r="V651" s="27"/>
      <c r="W651" s="10" t="str">
        <f aca="false">IFERROR(INDEX(設定!$E$61:$E$106,MATCH(B651,設定!$B$61:$B$106,0)),"合算")</f>
        <v>合算</v>
      </c>
      <c r="X651" s="28"/>
      <c r="Y651" s="29" t="str">
        <f aca="false">IF(OR(G651="",G651="なし"),"",IF(W651="合算",CF651,IF(W651="掛金・負担金別",(AU651+AV651+AZ651+BB651+BD651),SUM(AU651:AY651))))</f>
        <v/>
      </c>
      <c r="Z651" s="27"/>
      <c r="AA651" s="29" t="str">
        <f aca="false">IF(OR(G651="",G651="なし"),"",IF(W651="掛金・負担金別",(AW651+AX651+AY651+BA651+BC651+BE651),IF(W651="経理区分別",AZ651+BA651,"")))</f>
        <v/>
      </c>
      <c r="AB651" s="27"/>
      <c r="AC651" s="29" t="str">
        <f aca="false">IF(OR(G651="",G651="なし"),"",IF(W651="経理区分別",BB651+BC651,""))</f>
        <v/>
      </c>
      <c r="AD651" s="27"/>
      <c r="AE651" s="29" t="str">
        <f aca="false">IF(OR(G651="",G651="なし"),"",IF(W651="経理区分別",BD651+BE651,""))</f>
        <v/>
      </c>
      <c r="AF651" s="27"/>
      <c r="AG651" s="26"/>
      <c r="AH651" s="26"/>
      <c r="AI651" s="30"/>
      <c r="AJ651" s="31" t="n">
        <v>229019009</v>
      </c>
      <c r="AK651" s="31" t="n">
        <v>18776924</v>
      </c>
      <c r="AL651" s="31" t="n">
        <v>312323915</v>
      </c>
      <c r="AM651" s="31" t="n">
        <v>18303600</v>
      </c>
      <c r="AN651" s="31" t="n">
        <v>244502</v>
      </c>
      <c r="AO651" s="31" t="n">
        <v>174436457</v>
      </c>
      <c r="AP651" s="31" t="n">
        <v>173567692</v>
      </c>
      <c r="AQ651" s="31" t="n">
        <v>16256938</v>
      </c>
      <c r="AR651" s="31" t="n">
        <v>15821519</v>
      </c>
      <c r="AS651" s="31" t="n">
        <v>1</v>
      </c>
      <c r="AT651" s="31" t="n">
        <v>1</v>
      </c>
      <c r="AU651" s="31" t="n">
        <f aca="false">IF($G651="",AJ651,L651)</f>
        <v>229019009</v>
      </c>
      <c r="AV651" s="31" t="n">
        <f aca="false">IF($G651="",AK651,M651)</f>
        <v>18776924</v>
      </c>
      <c r="AW651" s="31" t="n">
        <f aca="false">IF($G651="",AL651,N651)</f>
        <v>312323915</v>
      </c>
      <c r="AX651" s="31" t="n">
        <f aca="false">IF($G651="",AM651,O651)</f>
        <v>18303600</v>
      </c>
      <c r="AY651" s="31" t="n">
        <f aca="false">IF($G651="",AN651,P651)</f>
        <v>244502</v>
      </c>
      <c r="AZ651" s="31" t="n">
        <f aca="false">IF($G651="",AO651,Q651)</f>
        <v>174436457</v>
      </c>
      <c r="BA651" s="31" t="n">
        <f aca="false">IF($G651="",AP651,R651)</f>
        <v>173567692</v>
      </c>
      <c r="BB651" s="31" t="n">
        <f aca="false">IF($G651="",AQ651,S651)</f>
        <v>16256938</v>
      </c>
      <c r="BC651" s="31" t="n">
        <f aca="false">IF($G651="",AR651,T651)</f>
        <v>15821519</v>
      </c>
      <c r="BD651" s="31" t="n">
        <f aca="false">IF($G651="",AS651,U651)</f>
        <v>1</v>
      </c>
      <c r="BE651" s="31" t="n">
        <f aca="false">IF($G651="",AT651,V651)</f>
        <v>1</v>
      </c>
      <c r="BF651" s="31" t="n">
        <f aca="false">ROUNDDOWN(I651*設定!$B$10/1000,0)+ROUNDDOWN(I651*設定!$B$11/1000,0)</f>
        <v>0</v>
      </c>
      <c r="BG651" s="31" t="n">
        <f aca="false">ROUNDDOWN(I651*設定!$C$10/1000,0)+ROUNDDOWN(I651*設定!$C$11/1000,0)+ROUNDDOWN(I651*設定!$C$12/1000,0)</f>
        <v>0</v>
      </c>
      <c r="BH651" s="31" t="n">
        <f aca="false">ROUNDDOWN(J651*設定!$B$13/1000,0)</f>
        <v>0</v>
      </c>
      <c r="BI651" s="31" t="n">
        <f aca="false">ROUNDDOWN(J651*設定!$C$13/1000,0)</f>
        <v>0</v>
      </c>
      <c r="BJ651" s="31" t="n">
        <f aca="false">ROUNDDOWN(K651*設定!$B$14/1000,0)</f>
        <v>0</v>
      </c>
      <c r="BK651" s="31" t="n">
        <f aca="false">ROUNDDOWN(K651*設定!$C$14/1000,0)</f>
        <v>0</v>
      </c>
      <c r="BL651" s="31" t="n">
        <f aca="false">ROUNDDOWN(J651*設定!$B$15/1000,0)</f>
        <v>0</v>
      </c>
      <c r="BM651" s="31" t="n">
        <f aca="false">ROUNDDOWN(J651*設定!$C$15/1000,0)</f>
        <v>0</v>
      </c>
      <c r="BN651" s="31" t="n">
        <f aca="false">L651+M651</f>
        <v>0</v>
      </c>
      <c r="BO651" s="31" t="n">
        <f aca="false">N651+O651+P651</f>
        <v>0</v>
      </c>
      <c r="BP651" s="31" t="n">
        <f aca="false">Q651</f>
        <v>0</v>
      </c>
      <c r="BQ651" s="31" t="n">
        <f aca="false">R651</f>
        <v>0</v>
      </c>
      <c r="BR651" s="31" t="n">
        <f aca="false">S651</f>
        <v>0</v>
      </c>
      <c r="BS651" s="31" t="n">
        <f aca="false">T651</f>
        <v>0</v>
      </c>
      <c r="BT651" s="31" t="n">
        <f aca="false">U651</f>
        <v>0</v>
      </c>
      <c r="BU651" s="31" t="n">
        <f aca="false">V651</f>
        <v>0</v>
      </c>
      <c r="BV651" s="32" t="n">
        <f aca="false">IF(BF651=0,IF(BN651=0,0,1),(BN651-BF651)/BF651)</f>
        <v>0</v>
      </c>
      <c r="BW651" s="32" t="n">
        <f aca="false">IF(BG651=0,IF(BO651=0,0,1),(BO651-BG651)/BG651)</f>
        <v>0</v>
      </c>
      <c r="BX651" s="32" t="n">
        <f aca="false">IF(BH651=0,IF(BP651=0,0,1),(BP651-BH651)/BH651)</f>
        <v>0</v>
      </c>
      <c r="BY651" s="32" t="n">
        <f aca="false">IF(BI651=0,IF(BQ651=0,0,1),(BQ651-BI651)/BI651)</f>
        <v>0</v>
      </c>
      <c r="BZ651" s="32" t="n">
        <f aca="false">IF(BJ651=0,IF(BR651=0,0,1),(BR651-BJ651)/BJ651)</f>
        <v>0</v>
      </c>
      <c r="CA651" s="32" t="n">
        <f aca="false">IF(BK651=0,IF(BS651=0,0,1),(BS651-BK651)/BK651)</f>
        <v>0</v>
      </c>
      <c r="CB651" s="32" t="n">
        <f aca="false">IF(BL651=0,IF(BT651=0,0,1),(BT651-BL651)/BL651)</f>
        <v>0</v>
      </c>
      <c r="CC651" s="32" t="n">
        <f aca="false">IF(BM651=0,IF(BU651=0,0,1),(BU651-BM651)/BM651)</f>
        <v>0</v>
      </c>
      <c r="CD651" s="32" t="n">
        <f aca="false">MAX(MAX(BV651:CC651),-MIN(BV651:CC651))</f>
        <v>-0</v>
      </c>
      <c r="CE651" s="31" t="n">
        <f aca="false">IF(CI651="","",SUMIFS($CF$7:$CF$696,$A$7:$A$696,CI651,$B$7:$B$696,B651))</f>
        <v>1001987180</v>
      </c>
      <c r="CF651" s="31" t="n">
        <f aca="false">SUM(AU651:BE651)</f>
        <v>958750558</v>
      </c>
      <c r="CG651" s="33" t="str">
        <f aca="false">A651&amp;"|"&amp;B651</f>
        <v>2027-03 月例|市長部局</v>
      </c>
      <c r="CH651" s="34" t="str">
        <f aca="false">IFERROR(INDEX(設定!$D$61:$D$106,MATCH(B651,設定!$B$61:$B$106,0)),"Y")</f>
        <v>N</v>
      </c>
      <c r="CI651" s="34" t="str">
        <f aca="false">IFERROR(INDEX(設定!$D$20:$D$34,MATCH(A651,設定!$A$20:$A$34,0))&amp;"","")</f>
        <v>2027-02 月例</v>
      </c>
    </row>
    <row r="652" customFormat="false" ht="15" hidden="true" customHeight="false" outlineLevel="0" collapsed="false">
      <c r="A652" s="22" t="s">
        <v>222</v>
      </c>
      <c r="B652" s="23" t="s">
        <v>161</v>
      </c>
      <c r="C652" s="10" t="str">
        <f aca="false">IF(G652="","未受領",IF(G652="なし","報告なし",IF(AH652="○","起票済",IF(OR(AG652="○",F652="一致",F652="入金不要"),"入金確認済","受領済"))))</f>
        <v>未受領</v>
      </c>
      <c r="D652" s="10" t="str">
        <f aca="false">IF(OR(G652="",G652="なし"),"―",IF(CH652="N","対象外",IF(AND(I652="",J652="",K652=""),"標報未入力",IF(CD652&gt;=設定!$B$4,"要確認","問題なし"))))</f>
        <v>―</v>
      </c>
      <c r="E652" s="24" t="str">
        <f aca="false">IF(OR(G652="",G652="なし",CE652="",CF652=0),"―",IF(CF652=CE652,"前月同額",IF(CE652=0,"―",IF(ABS(CF652/CE652-1)&gt;=設定!$B$5,"変動大 "&amp;TEXT(CF652/CE652-1,"+0%;-0%"),"〇"))))</f>
        <v>―</v>
      </c>
      <c r="F652" s="10" t="str">
        <f aca="false">IF(OR(G652="",G652="なし"),"―",IF(CF652=0,"入金不要",IF(COUNT(Z652,AB652,AD652,AF652)=0,IF(AG652="○","手動確認","未入金"),IF(AND(N(Z652)=Y652,IF(AA652="",TRUE(),N(AB652)=AA652),IF(AC652="",TRUE(),N(AD652)=AC652),IF(AE652="",TRUE(),N(AF652)=AE652)),"一致","不一致"))))</f>
        <v>―</v>
      </c>
      <c r="G652" s="25"/>
      <c r="H652" s="26"/>
      <c r="I652" s="27"/>
      <c r="J652" s="27"/>
      <c r="K652" s="27"/>
      <c r="L652" s="27"/>
      <c r="M652" s="27"/>
      <c r="N652" s="27"/>
      <c r="O652" s="27"/>
      <c r="P652" s="27"/>
      <c r="Q652" s="27"/>
      <c r="R652" s="27"/>
      <c r="S652" s="27"/>
      <c r="T652" s="27"/>
      <c r="U652" s="27"/>
      <c r="V652" s="27"/>
      <c r="W652" s="10" t="str">
        <f aca="false">IFERROR(INDEX(設定!$E$61:$E$106,MATCH(B652,設定!$B$61:$B$106,0)),"合算")</f>
        <v>合算</v>
      </c>
      <c r="X652" s="28"/>
      <c r="Y652" s="29" t="str">
        <f aca="false">IF(OR(G652="",G652="なし"),"",IF(W652="合算",CF652,IF(W652="掛金・負担金別",(AU652+AV652+AZ652+BB652+BD652),SUM(AU652:AY652))))</f>
        <v/>
      </c>
      <c r="Z652" s="27"/>
      <c r="AA652" s="29" t="str">
        <f aca="false">IF(OR(G652="",G652="なし"),"",IF(W652="掛金・負担金別",(AW652+AX652+AY652+BA652+BC652+BE652),IF(W652="経理区分別",AZ652+BA652,"")))</f>
        <v/>
      </c>
      <c r="AB652" s="27"/>
      <c r="AC652" s="29" t="str">
        <f aca="false">IF(OR(G652="",G652="なし"),"",IF(W652="経理区分別",BB652+BC652,""))</f>
        <v/>
      </c>
      <c r="AD652" s="27"/>
      <c r="AE652" s="29" t="str">
        <f aca="false">IF(OR(G652="",G652="なし"),"",IF(W652="経理区分別",BD652+BE652,""))</f>
        <v/>
      </c>
      <c r="AF652" s="27"/>
      <c r="AG652" s="26"/>
      <c r="AH652" s="26"/>
      <c r="AI652" s="30"/>
      <c r="AJ652" s="31" t="n">
        <v>16431570</v>
      </c>
      <c r="AK652" s="31" t="n">
        <v>1346850</v>
      </c>
      <c r="AL652" s="31" t="n">
        <v>22525841</v>
      </c>
      <c r="AM652" s="31" t="n">
        <v>1349925</v>
      </c>
      <c r="AN652" s="31" t="n">
        <v>17275</v>
      </c>
      <c r="AO652" s="31" t="n">
        <v>10306925</v>
      </c>
      <c r="AP652" s="31" t="n">
        <v>10465632</v>
      </c>
      <c r="AQ652" s="31" t="n">
        <v>1094702</v>
      </c>
      <c r="AR652" s="31" t="n">
        <v>1094703</v>
      </c>
      <c r="AS652" s="31" t="n">
        <v>1</v>
      </c>
      <c r="AT652" s="31" t="n">
        <v>1</v>
      </c>
      <c r="AU652" s="31" t="n">
        <f aca="false">IF($G652="",AJ652,L652)</f>
        <v>16431570</v>
      </c>
      <c r="AV652" s="31" t="n">
        <f aca="false">IF($G652="",AK652,M652)</f>
        <v>1346850</v>
      </c>
      <c r="AW652" s="31" t="n">
        <f aca="false">IF($G652="",AL652,N652)</f>
        <v>22525841</v>
      </c>
      <c r="AX652" s="31" t="n">
        <f aca="false">IF($G652="",AM652,O652)</f>
        <v>1349925</v>
      </c>
      <c r="AY652" s="31" t="n">
        <f aca="false">IF($G652="",AN652,P652)</f>
        <v>17275</v>
      </c>
      <c r="AZ652" s="31" t="n">
        <f aca="false">IF($G652="",AO652,Q652)</f>
        <v>10306925</v>
      </c>
      <c r="BA652" s="31" t="n">
        <f aca="false">IF($G652="",AP652,R652)</f>
        <v>10465632</v>
      </c>
      <c r="BB652" s="31" t="n">
        <f aca="false">IF($G652="",AQ652,S652)</f>
        <v>1094702</v>
      </c>
      <c r="BC652" s="31" t="n">
        <f aca="false">IF($G652="",AR652,T652)</f>
        <v>1094703</v>
      </c>
      <c r="BD652" s="31" t="n">
        <f aca="false">IF($G652="",AS652,U652)</f>
        <v>1</v>
      </c>
      <c r="BE652" s="31" t="n">
        <f aca="false">IF($G652="",AT652,V652)</f>
        <v>1</v>
      </c>
      <c r="BF652" s="31" t="n">
        <f aca="false">ROUNDDOWN(I652*設定!$B$10/1000,0)+ROUNDDOWN(I652*設定!$B$11/1000,0)</f>
        <v>0</v>
      </c>
      <c r="BG652" s="31" t="n">
        <f aca="false">ROUNDDOWN(I652*設定!$C$10/1000,0)+ROUNDDOWN(I652*設定!$C$11/1000,0)+ROUNDDOWN(I652*設定!$C$12/1000,0)</f>
        <v>0</v>
      </c>
      <c r="BH652" s="31" t="n">
        <f aca="false">ROUNDDOWN(J652*設定!$B$13/1000,0)</f>
        <v>0</v>
      </c>
      <c r="BI652" s="31" t="n">
        <f aca="false">ROUNDDOWN(J652*設定!$C$13/1000,0)</f>
        <v>0</v>
      </c>
      <c r="BJ652" s="31" t="n">
        <f aca="false">ROUNDDOWN(K652*設定!$B$14/1000,0)</f>
        <v>0</v>
      </c>
      <c r="BK652" s="31" t="n">
        <f aca="false">ROUNDDOWN(K652*設定!$C$14/1000,0)</f>
        <v>0</v>
      </c>
      <c r="BL652" s="31" t="n">
        <f aca="false">ROUNDDOWN(J652*設定!$B$15/1000,0)</f>
        <v>0</v>
      </c>
      <c r="BM652" s="31" t="n">
        <f aca="false">ROUNDDOWN(J652*設定!$C$15/1000,0)</f>
        <v>0</v>
      </c>
      <c r="BN652" s="31" t="n">
        <f aca="false">L652+M652</f>
        <v>0</v>
      </c>
      <c r="BO652" s="31" t="n">
        <f aca="false">N652+O652+P652</f>
        <v>0</v>
      </c>
      <c r="BP652" s="31" t="n">
        <f aca="false">Q652</f>
        <v>0</v>
      </c>
      <c r="BQ652" s="31" t="n">
        <f aca="false">R652</f>
        <v>0</v>
      </c>
      <c r="BR652" s="31" t="n">
        <f aca="false">S652</f>
        <v>0</v>
      </c>
      <c r="BS652" s="31" t="n">
        <f aca="false">T652</f>
        <v>0</v>
      </c>
      <c r="BT652" s="31" t="n">
        <f aca="false">U652</f>
        <v>0</v>
      </c>
      <c r="BU652" s="31" t="n">
        <f aca="false">V652</f>
        <v>0</v>
      </c>
      <c r="BV652" s="32" t="n">
        <f aca="false">IF(BF652=0,IF(BN652=0,0,1),(BN652-BF652)/BF652)</f>
        <v>0</v>
      </c>
      <c r="BW652" s="32" t="n">
        <f aca="false">IF(BG652=0,IF(BO652=0,0,1),(BO652-BG652)/BG652)</f>
        <v>0</v>
      </c>
      <c r="BX652" s="32" t="n">
        <f aca="false">IF(BH652=0,IF(BP652=0,0,1),(BP652-BH652)/BH652)</f>
        <v>0</v>
      </c>
      <c r="BY652" s="32" t="n">
        <f aca="false">IF(BI652=0,IF(BQ652=0,0,1),(BQ652-BI652)/BI652)</f>
        <v>0</v>
      </c>
      <c r="BZ652" s="32" t="n">
        <f aca="false">IF(BJ652=0,IF(BR652=0,0,1),(BR652-BJ652)/BJ652)</f>
        <v>0</v>
      </c>
      <c r="CA652" s="32" t="n">
        <f aca="false">IF(BK652=0,IF(BS652=0,0,1),(BS652-BK652)/BK652)</f>
        <v>0</v>
      </c>
      <c r="CB652" s="32" t="n">
        <f aca="false">IF(BL652=0,IF(BT652=0,0,1),(BT652-BL652)/BL652)</f>
        <v>0</v>
      </c>
      <c r="CC652" s="32" t="n">
        <f aca="false">IF(BM652=0,IF(BU652=0,0,1),(BU652-BM652)/BM652)</f>
        <v>0</v>
      </c>
      <c r="CD652" s="32" t="n">
        <f aca="false">MAX(MAX(BV652:CC652),-MIN(BV652:CC652))</f>
        <v>-0</v>
      </c>
      <c r="CE652" s="31" t="n">
        <f aca="false">IF(CI652="","",SUMIFS($CF$7:$CF$696,$A$7:$A$696,CI652,$B$7:$B$696,B652))</f>
        <v>66376724</v>
      </c>
      <c r="CF652" s="31" t="n">
        <f aca="false">SUM(AU652:BE652)</f>
        <v>64633425</v>
      </c>
      <c r="CG652" s="33" t="str">
        <f aca="false">A652&amp;"|"&amp;B652</f>
        <v>2027-03 月例|下水道局</v>
      </c>
      <c r="CH652" s="34" t="str">
        <f aca="false">IFERROR(INDEX(設定!$D$61:$D$106,MATCH(B652,設定!$B$61:$B$106,0)),"Y")</f>
        <v>Y</v>
      </c>
      <c r="CI652" s="34" t="str">
        <f aca="false">IFERROR(INDEX(設定!$D$20:$D$34,MATCH(A652,設定!$A$20:$A$34,0))&amp;"","")</f>
        <v>2027-02 月例</v>
      </c>
    </row>
    <row r="653" customFormat="false" ht="15" hidden="true" customHeight="false" outlineLevel="0" collapsed="false">
      <c r="A653" s="22" t="s">
        <v>222</v>
      </c>
      <c r="B653" s="23" t="s">
        <v>162</v>
      </c>
      <c r="C653" s="10" t="str">
        <f aca="false">IF(G653="","未受領",IF(G653="なし","報告なし",IF(AH653="○","起票済",IF(OR(AG653="○",F653="一致",F653="入金不要"),"入金確認済","受領済"))))</f>
        <v>未受領</v>
      </c>
      <c r="D653" s="10" t="str">
        <f aca="false">IF(OR(G653="",G653="なし"),"―",IF(CH653="N","対象外",IF(AND(I653="",J653="",K653=""),"標報未入力",IF(CD653&gt;=設定!$B$4,"要確認","問題なし"))))</f>
        <v>―</v>
      </c>
      <c r="E653" s="24" t="str">
        <f aca="false">IF(OR(G653="",G653="なし",CE653="",CF653=0),"―",IF(CF653=CE653,"前月同額",IF(CE653=0,"―",IF(ABS(CF653/CE653-1)&gt;=設定!$B$5,"変動大 "&amp;TEXT(CF653/CE653-1,"+0%;-0%"),"〇"))))</f>
        <v>―</v>
      </c>
      <c r="F653" s="10" t="str">
        <f aca="false">IF(OR(G653="",G653="なし"),"―",IF(CF653=0,"入金不要",IF(COUNT(Z653,AB653,AD653,AF653)=0,IF(AG653="○","手動確認","未入金"),IF(AND(N(Z653)=Y653,IF(AA653="",TRUE(),N(AB653)=AA653),IF(AC653="",TRUE(),N(AD653)=AC653),IF(AE653="",TRUE(),N(AF653)=AE653)),"一致","不一致"))))</f>
        <v>―</v>
      </c>
      <c r="G653" s="25"/>
      <c r="H653" s="26"/>
      <c r="I653" s="27"/>
      <c r="J653" s="27"/>
      <c r="K653" s="27"/>
      <c r="L653" s="27"/>
      <c r="M653" s="27"/>
      <c r="N653" s="27"/>
      <c r="O653" s="27"/>
      <c r="P653" s="27"/>
      <c r="Q653" s="27"/>
      <c r="R653" s="27"/>
      <c r="S653" s="27"/>
      <c r="T653" s="27"/>
      <c r="U653" s="27"/>
      <c r="V653" s="27"/>
      <c r="W653" s="10" t="str">
        <f aca="false">IFERROR(INDEX(設定!$E$61:$E$106,MATCH(B653,設定!$B$61:$B$106,0)),"合算")</f>
        <v>合算</v>
      </c>
      <c r="X653" s="28"/>
      <c r="Y653" s="29" t="str">
        <f aca="false">IF(OR(G653="",G653="なし"),"",IF(W653="合算",CF653,IF(W653="掛金・負担金別",(AU653+AV653+AZ653+BB653+BD653),SUM(AU653:AY653))))</f>
        <v/>
      </c>
      <c r="Z653" s="27"/>
      <c r="AA653" s="29" t="str">
        <f aca="false">IF(OR(G653="",G653="なし"),"",IF(W653="掛金・負担金別",(AW653+AX653+AY653+BA653+BC653+BE653),IF(W653="経理区分別",AZ653+BA653,"")))</f>
        <v/>
      </c>
      <c r="AB653" s="27"/>
      <c r="AC653" s="29" t="str">
        <f aca="false">IF(OR(G653="",G653="なし"),"",IF(W653="経理区分別",BB653+BC653,""))</f>
        <v/>
      </c>
      <c r="AD653" s="27"/>
      <c r="AE653" s="29" t="str">
        <f aca="false">IF(OR(G653="",G653="なし"),"",IF(W653="経理区分別",BD653+BE653,""))</f>
        <v/>
      </c>
      <c r="AF653" s="27"/>
      <c r="AG653" s="26"/>
      <c r="AH653" s="26"/>
      <c r="AI653" s="30"/>
      <c r="AJ653" s="31" t="n">
        <v>53656515</v>
      </c>
      <c r="AK653" s="31" t="n">
        <v>4398075</v>
      </c>
      <c r="AL653" s="31" t="n">
        <v>73333111</v>
      </c>
      <c r="AM653" s="31" t="n">
        <v>4391175</v>
      </c>
      <c r="AN653" s="31" t="n">
        <v>56160</v>
      </c>
      <c r="AO653" s="31" t="n">
        <v>32948502</v>
      </c>
      <c r="AP653" s="31" t="n">
        <v>33405805</v>
      </c>
      <c r="AQ653" s="31" t="n">
        <v>2138433</v>
      </c>
      <c r="AR653" s="31" t="n">
        <v>2131382</v>
      </c>
      <c r="AS653" s="31" t="n">
        <v>1</v>
      </c>
      <c r="AT653" s="31" t="n">
        <v>1</v>
      </c>
      <c r="AU653" s="31" t="n">
        <f aca="false">IF($G653="",AJ653,L653)</f>
        <v>53656515</v>
      </c>
      <c r="AV653" s="31" t="n">
        <f aca="false">IF($G653="",AK653,M653)</f>
        <v>4398075</v>
      </c>
      <c r="AW653" s="31" t="n">
        <f aca="false">IF($G653="",AL653,N653)</f>
        <v>73333111</v>
      </c>
      <c r="AX653" s="31" t="n">
        <f aca="false">IF($G653="",AM653,O653)</f>
        <v>4391175</v>
      </c>
      <c r="AY653" s="31" t="n">
        <f aca="false">IF($G653="",AN653,P653)</f>
        <v>56160</v>
      </c>
      <c r="AZ653" s="31" t="n">
        <f aca="false">IF($G653="",AO653,Q653)</f>
        <v>32948502</v>
      </c>
      <c r="BA653" s="31" t="n">
        <f aca="false">IF($G653="",AP653,R653)</f>
        <v>33405805</v>
      </c>
      <c r="BB653" s="31" t="n">
        <f aca="false">IF($G653="",AQ653,S653)</f>
        <v>2138433</v>
      </c>
      <c r="BC653" s="31" t="n">
        <f aca="false">IF($G653="",AR653,T653)</f>
        <v>2131382</v>
      </c>
      <c r="BD653" s="31" t="n">
        <f aca="false">IF($G653="",AS653,U653)</f>
        <v>1</v>
      </c>
      <c r="BE653" s="31" t="n">
        <f aca="false">IF($G653="",AT653,V653)</f>
        <v>1</v>
      </c>
      <c r="BF653" s="31" t="n">
        <f aca="false">ROUNDDOWN(I653*設定!$B$10/1000,0)+ROUNDDOWN(I653*設定!$B$11/1000,0)</f>
        <v>0</v>
      </c>
      <c r="BG653" s="31" t="n">
        <f aca="false">ROUNDDOWN(I653*設定!$C$10/1000,0)+ROUNDDOWN(I653*設定!$C$11/1000,0)+ROUNDDOWN(I653*設定!$C$12/1000,0)</f>
        <v>0</v>
      </c>
      <c r="BH653" s="31" t="n">
        <f aca="false">ROUNDDOWN(J653*設定!$B$13/1000,0)</f>
        <v>0</v>
      </c>
      <c r="BI653" s="31" t="n">
        <f aca="false">ROUNDDOWN(J653*設定!$C$13/1000,0)</f>
        <v>0</v>
      </c>
      <c r="BJ653" s="31" t="n">
        <f aca="false">ROUNDDOWN(K653*設定!$B$14/1000,0)</f>
        <v>0</v>
      </c>
      <c r="BK653" s="31" t="n">
        <f aca="false">ROUNDDOWN(K653*設定!$C$14/1000,0)</f>
        <v>0</v>
      </c>
      <c r="BL653" s="31" t="n">
        <f aca="false">ROUNDDOWN(J653*設定!$B$15/1000,0)</f>
        <v>0</v>
      </c>
      <c r="BM653" s="31" t="n">
        <f aca="false">ROUNDDOWN(J653*設定!$C$15/1000,0)</f>
        <v>0</v>
      </c>
      <c r="BN653" s="31" t="n">
        <f aca="false">L653+M653</f>
        <v>0</v>
      </c>
      <c r="BO653" s="31" t="n">
        <f aca="false">N653+O653+P653</f>
        <v>0</v>
      </c>
      <c r="BP653" s="31" t="n">
        <f aca="false">Q653</f>
        <v>0</v>
      </c>
      <c r="BQ653" s="31" t="n">
        <f aca="false">R653</f>
        <v>0</v>
      </c>
      <c r="BR653" s="31" t="n">
        <f aca="false">S653</f>
        <v>0</v>
      </c>
      <c r="BS653" s="31" t="n">
        <f aca="false">T653</f>
        <v>0</v>
      </c>
      <c r="BT653" s="31" t="n">
        <f aca="false">U653</f>
        <v>0</v>
      </c>
      <c r="BU653" s="31" t="n">
        <f aca="false">V653</f>
        <v>0</v>
      </c>
      <c r="BV653" s="32" t="n">
        <f aca="false">IF(BF653=0,IF(BN653=0,0,1),(BN653-BF653)/BF653)</f>
        <v>0</v>
      </c>
      <c r="BW653" s="32" t="n">
        <f aca="false">IF(BG653=0,IF(BO653=0,0,1),(BO653-BG653)/BG653)</f>
        <v>0</v>
      </c>
      <c r="BX653" s="32" t="n">
        <f aca="false">IF(BH653=0,IF(BP653=0,0,1),(BP653-BH653)/BH653)</f>
        <v>0</v>
      </c>
      <c r="BY653" s="32" t="n">
        <f aca="false">IF(BI653=0,IF(BQ653=0,0,1),(BQ653-BI653)/BI653)</f>
        <v>0</v>
      </c>
      <c r="BZ653" s="32" t="n">
        <f aca="false">IF(BJ653=0,IF(BR653=0,0,1),(BR653-BJ653)/BJ653)</f>
        <v>0</v>
      </c>
      <c r="CA653" s="32" t="n">
        <f aca="false">IF(BK653=0,IF(BS653=0,0,1),(BS653-BK653)/BK653)</f>
        <v>0</v>
      </c>
      <c r="CB653" s="32" t="n">
        <f aca="false">IF(BL653=0,IF(BT653=0,0,1),(BT653-BL653)/BL653)</f>
        <v>0</v>
      </c>
      <c r="CC653" s="32" t="n">
        <f aca="false">IF(BM653=0,IF(BU653=0,0,1),(BU653-BM653)/BM653)</f>
        <v>0</v>
      </c>
      <c r="CD653" s="32" t="n">
        <f aca="false">MAX(MAX(BV653:CC653),-MIN(BV653:CC653))</f>
        <v>-0</v>
      </c>
      <c r="CE653" s="31" t="n">
        <f aca="false">IF(CI653="","",SUMIFS($CF$7:$CF$696,$A$7:$A$696,CI653,$B$7:$B$696,B653))</f>
        <v>211320165</v>
      </c>
      <c r="CF653" s="31" t="n">
        <f aca="false">SUM(AU653:BE653)</f>
        <v>206459160</v>
      </c>
      <c r="CG653" s="33" t="str">
        <f aca="false">A653&amp;"|"&amp;B653</f>
        <v>2027-03 月例|消防局</v>
      </c>
      <c r="CH653" s="34" t="str">
        <f aca="false">IFERROR(INDEX(設定!$D$61:$D$106,MATCH(B653,設定!$B$61:$B$106,0)),"Y")</f>
        <v>N</v>
      </c>
      <c r="CI653" s="34" t="str">
        <f aca="false">IFERROR(INDEX(設定!$D$20:$D$34,MATCH(A653,設定!$A$20:$A$34,0))&amp;"","")</f>
        <v>2027-02 月例</v>
      </c>
    </row>
    <row r="654" customFormat="false" ht="15" hidden="true" customHeight="false" outlineLevel="0" collapsed="false">
      <c r="A654" s="22" t="s">
        <v>222</v>
      </c>
      <c r="B654" s="23" t="s">
        <v>163</v>
      </c>
      <c r="C654" s="10" t="str">
        <f aca="false">IF(G654="","未受領",IF(G654="なし","報告なし",IF(AH654="○","起票済",IF(OR(AG654="○",F654="一致",F654="入金不要"),"入金確認済","受領済"))))</f>
        <v>未受領</v>
      </c>
      <c r="D654" s="10" t="str">
        <f aca="false">IF(OR(G654="",G654="なし"),"―",IF(CH654="N","対象外",IF(AND(I654="",J654="",K654=""),"標報未入力",IF(CD654&gt;=設定!$B$4,"要確認","問題なし"))))</f>
        <v>―</v>
      </c>
      <c r="E654" s="24" t="str">
        <f aca="false">IF(OR(G654="",G654="なし",CE654="",CF654=0),"―",IF(CF654=CE654,"前月同額",IF(CE654=0,"―",IF(ABS(CF654/CE654-1)&gt;=設定!$B$5,"変動大 "&amp;TEXT(CF654/CE654-1,"+0%;-0%"),"〇"))))</f>
        <v>―</v>
      </c>
      <c r="F654" s="10" t="str">
        <f aca="false">IF(OR(G654="",G654="なし"),"―",IF(CF654=0,"入金不要",IF(COUNT(Z654,AB654,AD654,AF654)=0,IF(AG654="○","手動確認","未入金"),IF(AND(N(Z654)=Y654,IF(AA654="",TRUE(),N(AB654)=AA654),IF(AC654="",TRUE(),N(AD654)=AC654),IF(AE654="",TRUE(),N(AF654)=AE654)),"一致","不一致"))))</f>
        <v>―</v>
      </c>
      <c r="G654" s="25"/>
      <c r="H654" s="26"/>
      <c r="I654" s="27"/>
      <c r="J654" s="27"/>
      <c r="K654" s="27"/>
      <c r="L654" s="27"/>
      <c r="M654" s="27"/>
      <c r="N654" s="27"/>
      <c r="O654" s="27"/>
      <c r="P654" s="27"/>
      <c r="Q654" s="27"/>
      <c r="R654" s="27"/>
      <c r="S654" s="27"/>
      <c r="T654" s="27"/>
      <c r="U654" s="27"/>
      <c r="V654" s="27"/>
      <c r="W654" s="10" t="str">
        <f aca="false">IFERROR(INDEX(設定!$E$61:$E$106,MATCH(B654,設定!$B$61:$B$106,0)),"合算")</f>
        <v>合算</v>
      </c>
      <c r="X654" s="28"/>
      <c r="Y654" s="29" t="str">
        <f aca="false">IF(OR(G654="",G654="なし"),"",IF(W654="合算",CF654,IF(W654="掛金・負担金別",(AU654+AV654+AZ654+BB654+BD654),SUM(AU654:AY654))))</f>
        <v/>
      </c>
      <c r="Z654" s="27"/>
      <c r="AA654" s="29" t="str">
        <f aca="false">IF(OR(G654="",G654="なし"),"",IF(W654="掛金・負担金別",(AW654+AX654+AY654+BA654+BC654+BE654),IF(W654="経理区分別",AZ654+BA654,"")))</f>
        <v/>
      </c>
      <c r="AB654" s="27"/>
      <c r="AC654" s="29" t="str">
        <f aca="false">IF(OR(G654="",G654="なし"),"",IF(W654="経理区分別",BB654+BC654,""))</f>
        <v/>
      </c>
      <c r="AD654" s="27"/>
      <c r="AE654" s="29" t="str">
        <f aca="false">IF(OR(G654="",G654="なし"),"",IF(W654="経理区分別",BD654+BE654,""))</f>
        <v/>
      </c>
      <c r="AF654" s="27"/>
      <c r="AG654" s="26"/>
      <c r="AH654" s="26"/>
      <c r="AI654" s="30"/>
      <c r="AJ654" s="31" t="n">
        <v>1737585</v>
      </c>
      <c r="AK654" s="31" t="n">
        <v>142425</v>
      </c>
      <c r="AL654" s="31" t="n">
        <v>2379867</v>
      </c>
      <c r="AM654" s="31" t="n">
        <v>142425</v>
      </c>
      <c r="AN654" s="31" t="n">
        <v>1832</v>
      </c>
      <c r="AO654" s="31" t="n">
        <v>1054526</v>
      </c>
      <c r="AP654" s="31" t="n">
        <v>1078329</v>
      </c>
      <c r="AQ654" s="31" t="n">
        <v>107940</v>
      </c>
      <c r="AR654" s="31" t="n">
        <v>109065</v>
      </c>
      <c r="AS654" s="31" t="n">
        <v>1</v>
      </c>
      <c r="AT654" s="31" t="n">
        <v>1</v>
      </c>
      <c r="AU654" s="31" t="n">
        <f aca="false">IF($G654="",AJ654,L654)</f>
        <v>1737585</v>
      </c>
      <c r="AV654" s="31" t="n">
        <f aca="false">IF($G654="",AK654,M654)</f>
        <v>142425</v>
      </c>
      <c r="AW654" s="31" t="n">
        <f aca="false">IF($G654="",AL654,N654)</f>
        <v>2379867</v>
      </c>
      <c r="AX654" s="31" t="n">
        <f aca="false">IF($G654="",AM654,O654)</f>
        <v>142425</v>
      </c>
      <c r="AY654" s="31" t="n">
        <f aca="false">IF($G654="",AN654,P654)</f>
        <v>1832</v>
      </c>
      <c r="AZ654" s="31" t="n">
        <f aca="false">IF($G654="",AO654,Q654)</f>
        <v>1054526</v>
      </c>
      <c r="BA654" s="31" t="n">
        <f aca="false">IF($G654="",AP654,R654)</f>
        <v>1078329</v>
      </c>
      <c r="BB654" s="31" t="n">
        <f aca="false">IF($G654="",AQ654,S654)</f>
        <v>107940</v>
      </c>
      <c r="BC654" s="31" t="n">
        <f aca="false">IF($G654="",AR654,T654)</f>
        <v>109065</v>
      </c>
      <c r="BD654" s="31" t="n">
        <f aca="false">IF($G654="",AS654,U654)</f>
        <v>1</v>
      </c>
      <c r="BE654" s="31" t="n">
        <f aca="false">IF($G654="",AT654,V654)</f>
        <v>1</v>
      </c>
      <c r="BF654" s="31" t="n">
        <f aca="false">ROUNDDOWN(I654*設定!$B$10/1000,0)+ROUNDDOWN(I654*設定!$B$11/1000,0)</f>
        <v>0</v>
      </c>
      <c r="BG654" s="31" t="n">
        <f aca="false">ROUNDDOWN(I654*設定!$C$10/1000,0)+ROUNDDOWN(I654*設定!$C$11/1000,0)+ROUNDDOWN(I654*設定!$C$12/1000,0)</f>
        <v>0</v>
      </c>
      <c r="BH654" s="31" t="n">
        <f aca="false">ROUNDDOWN(J654*設定!$B$13/1000,0)</f>
        <v>0</v>
      </c>
      <c r="BI654" s="31" t="n">
        <f aca="false">ROUNDDOWN(J654*設定!$C$13/1000,0)</f>
        <v>0</v>
      </c>
      <c r="BJ654" s="31" t="n">
        <f aca="false">ROUNDDOWN(K654*設定!$B$14/1000,0)</f>
        <v>0</v>
      </c>
      <c r="BK654" s="31" t="n">
        <f aca="false">ROUNDDOWN(K654*設定!$C$14/1000,0)</f>
        <v>0</v>
      </c>
      <c r="BL654" s="31" t="n">
        <f aca="false">ROUNDDOWN(J654*設定!$B$15/1000,0)</f>
        <v>0</v>
      </c>
      <c r="BM654" s="31" t="n">
        <f aca="false">ROUNDDOWN(J654*設定!$C$15/1000,0)</f>
        <v>0</v>
      </c>
      <c r="BN654" s="31" t="n">
        <f aca="false">L654+M654</f>
        <v>0</v>
      </c>
      <c r="BO654" s="31" t="n">
        <f aca="false">N654+O654+P654</f>
        <v>0</v>
      </c>
      <c r="BP654" s="31" t="n">
        <f aca="false">Q654</f>
        <v>0</v>
      </c>
      <c r="BQ654" s="31" t="n">
        <f aca="false">R654</f>
        <v>0</v>
      </c>
      <c r="BR654" s="31" t="n">
        <f aca="false">S654</f>
        <v>0</v>
      </c>
      <c r="BS654" s="31" t="n">
        <f aca="false">T654</f>
        <v>0</v>
      </c>
      <c r="BT654" s="31" t="n">
        <f aca="false">U654</f>
        <v>0</v>
      </c>
      <c r="BU654" s="31" t="n">
        <f aca="false">V654</f>
        <v>0</v>
      </c>
      <c r="BV654" s="32" t="n">
        <f aca="false">IF(BF654=0,IF(BN654=0,0,1),(BN654-BF654)/BF654)</f>
        <v>0</v>
      </c>
      <c r="BW654" s="32" t="n">
        <f aca="false">IF(BG654=0,IF(BO654=0,0,1),(BO654-BG654)/BG654)</f>
        <v>0</v>
      </c>
      <c r="BX654" s="32" t="n">
        <f aca="false">IF(BH654=0,IF(BP654=0,0,1),(BP654-BH654)/BH654)</f>
        <v>0</v>
      </c>
      <c r="BY654" s="32" t="n">
        <f aca="false">IF(BI654=0,IF(BQ654=0,0,1),(BQ654-BI654)/BI654)</f>
        <v>0</v>
      </c>
      <c r="BZ654" s="32" t="n">
        <f aca="false">IF(BJ654=0,IF(BR654=0,0,1),(BR654-BJ654)/BJ654)</f>
        <v>0</v>
      </c>
      <c r="CA654" s="32" t="n">
        <f aca="false">IF(BK654=0,IF(BS654=0,0,1),(BS654-BK654)/BK654)</f>
        <v>0</v>
      </c>
      <c r="CB654" s="32" t="n">
        <f aca="false">IF(BL654=0,IF(BT654=0,0,1),(BT654-BL654)/BL654)</f>
        <v>0</v>
      </c>
      <c r="CC654" s="32" t="n">
        <f aca="false">IF(BM654=0,IF(BU654=0,0,1),(BU654-BM654)/BM654)</f>
        <v>0</v>
      </c>
      <c r="CD654" s="32" t="n">
        <f aca="false">MAX(MAX(BV654:CC654),-MIN(BV654:CC654))</f>
        <v>-0</v>
      </c>
      <c r="CE654" s="31" t="n">
        <f aca="false">IF(CI654="","",SUMIFS($CF$7:$CF$696,$A$7:$A$696,CI654,$B$7:$B$696,B654))</f>
        <v>6895933</v>
      </c>
      <c r="CF654" s="31" t="n">
        <f aca="false">SUM(AU654:BE654)</f>
        <v>6753996</v>
      </c>
      <c r="CG654" s="33" t="str">
        <f aca="false">A654&amp;"|"&amp;B654</f>
        <v>2027-03 月例|議会事務局</v>
      </c>
      <c r="CH654" s="34" t="str">
        <f aca="false">IFERROR(INDEX(設定!$D$61:$D$106,MATCH(B654,設定!$B$61:$B$106,0)),"Y")</f>
        <v>Y</v>
      </c>
      <c r="CI654" s="34" t="str">
        <f aca="false">IFERROR(INDEX(設定!$D$20:$D$34,MATCH(A654,設定!$A$20:$A$34,0))&amp;"","")</f>
        <v>2027-02 月例</v>
      </c>
    </row>
    <row r="655" customFormat="false" ht="15" hidden="true" customHeight="false" outlineLevel="0" collapsed="false">
      <c r="A655" s="22" t="s">
        <v>222</v>
      </c>
      <c r="B655" s="23" t="s">
        <v>164</v>
      </c>
      <c r="C655" s="10" t="str">
        <f aca="false">IF(G655="","未受領",IF(G655="なし","報告なし",IF(AH655="○","起票済",IF(OR(AG655="○",F655="一致",F655="入金不要"),"入金確認済","受領済"))))</f>
        <v>未受領</v>
      </c>
      <c r="D655" s="10" t="str">
        <f aca="false">IF(OR(G655="",G655="なし"),"―",IF(CH655="N","対象外",IF(AND(I655="",J655="",K655=""),"標報未入力",IF(CD655&gt;=設定!$B$4,"要確認","問題なし"))))</f>
        <v>―</v>
      </c>
      <c r="E655" s="24" t="str">
        <f aca="false">IF(OR(G655="",G655="なし",CE655="",CF655=0),"―",IF(CF655=CE655,"前月同額",IF(CE655=0,"―",IF(ABS(CF655/CE655-1)&gt;=設定!$B$5,"変動大 "&amp;TEXT(CF655/CE655-1,"+0%;-0%"),"〇"))))</f>
        <v>―</v>
      </c>
      <c r="F655" s="10" t="str">
        <f aca="false">IF(OR(G655="",G655="なし"),"―",IF(CF655=0,"入金不要",IF(COUNT(Z655,AB655,AD655,AF655)=0,IF(AG655="○","手動確認","未入金"),IF(AND(N(Z655)=Y655,IF(AA655="",TRUE(),N(AB655)=AA655),IF(AC655="",TRUE(),N(AD655)=AC655),IF(AE655="",TRUE(),N(AF655)=AE655)),"一致","不一致"))))</f>
        <v>―</v>
      </c>
      <c r="G655" s="25"/>
      <c r="H655" s="26"/>
      <c r="I655" s="27"/>
      <c r="J655" s="27"/>
      <c r="K655" s="27"/>
      <c r="L655" s="27"/>
      <c r="M655" s="27"/>
      <c r="N655" s="27"/>
      <c r="O655" s="27"/>
      <c r="P655" s="27"/>
      <c r="Q655" s="27"/>
      <c r="R655" s="27"/>
      <c r="S655" s="27"/>
      <c r="T655" s="27"/>
      <c r="U655" s="27"/>
      <c r="V655" s="27"/>
      <c r="W655" s="10" t="str">
        <f aca="false">IFERROR(INDEX(設定!$E$61:$E$106,MATCH(B655,設定!$B$61:$B$106,0)),"合算")</f>
        <v>合算</v>
      </c>
      <c r="X655" s="28"/>
      <c r="Y655" s="29" t="str">
        <f aca="false">IF(OR(G655="",G655="なし"),"",IF(W655="合算",CF655,IF(W655="掛金・負担金別",(AU655+AV655+AZ655+BB655+BD655),SUM(AU655:AY655))))</f>
        <v/>
      </c>
      <c r="Z655" s="27"/>
      <c r="AA655" s="29" t="str">
        <f aca="false">IF(OR(G655="",G655="なし"),"",IF(W655="掛金・負担金別",(AW655+AX655+AY655+BA655+BC655+BE655),IF(W655="経理区分別",AZ655+BA655,"")))</f>
        <v/>
      </c>
      <c r="AB655" s="27"/>
      <c r="AC655" s="29" t="str">
        <f aca="false">IF(OR(G655="",G655="なし"),"",IF(W655="経理区分別",BB655+BC655,""))</f>
        <v/>
      </c>
      <c r="AD655" s="27"/>
      <c r="AE655" s="29" t="str">
        <f aca="false">IF(OR(G655="",G655="なし"),"",IF(W655="経理区分別",BD655+BE655,""))</f>
        <v/>
      </c>
      <c r="AF655" s="27"/>
      <c r="AG655" s="26"/>
      <c r="AH655" s="26"/>
      <c r="AI655" s="30"/>
      <c r="AJ655" s="31" t="n">
        <v>24148223</v>
      </c>
      <c r="AK655" s="31" t="n">
        <v>1979363</v>
      </c>
      <c r="AL655" s="31" t="n">
        <v>33143343</v>
      </c>
      <c r="AM655" s="31" t="n">
        <v>1979362</v>
      </c>
      <c r="AN655" s="31" t="n">
        <v>25661</v>
      </c>
      <c r="AO655" s="31" t="n">
        <v>23803207</v>
      </c>
      <c r="AP655" s="31" t="n">
        <v>24156609</v>
      </c>
      <c r="AQ655" s="31" t="n">
        <v>2770706</v>
      </c>
      <c r="AR655" s="31" t="n">
        <v>2768555</v>
      </c>
      <c r="AS655" s="31" t="n">
        <v>1</v>
      </c>
      <c r="AT655" s="31" t="n">
        <v>1</v>
      </c>
      <c r="AU655" s="31" t="n">
        <f aca="false">IF($G655="",AJ655,L655)</f>
        <v>24148223</v>
      </c>
      <c r="AV655" s="31" t="n">
        <f aca="false">IF($G655="",AK655,M655)</f>
        <v>1979363</v>
      </c>
      <c r="AW655" s="31" t="n">
        <f aca="false">IF($G655="",AL655,N655)</f>
        <v>33143343</v>
      </c>
      <c r="AX655" s="31" t="n">
        <f aca="false">IF($G655="",AM655,O655)</f>
        <v>1979362</v>
      </c>
      <c r="AY655" s="31" t="n">
        <f aca="false">IF($G655="",AN655,P655)</f>
        <v>25661</v>
      </c>
      <c r="AZ655" s="31" t="n">
        <f aca="false">IF($G655="",AO655,Q655)</f>
        <v>23803207</v>
      </c>
      <c r="BA655" s="31" t="n">
        <f aca="false">IF($G655="",AP655,R655)</f>
        <v>24156609</v>
      </c>
      <c r="BB655" s="31" t="n">
        <f aca="false">IF($G655="",AQ655,S655)</f>
        <v>2770706</v>
      </c>
      <c r="BC655" s="31" t="n">
        <f aca="false">IF($G655="",AR655,T655)</f>
        <v>2768555</v>
      </c>
      <c r="BD655" s="31" t="n">
        <f aca="false">IF($G655="",AS655,U655)</f>
        <v>1</v>
      </c>
      <c r="BE655" s="31" t="n">
        <f aca="false">IF($G655="",AT655,V655)</f>
        <v>1</v>
      </c>
      <c r="BF655" s="31" t="n">
        <f aca="false">ROUNDDOWN(I655*設定!$B$10/1000,0)+ROUNDDOWN(I655*設定!$B$11/1000,0)</f>
        <v>0</v>
      </c>
      <c r="BG655" s="31" t="n">
        <f aca="false">ROUNDDOWN(I655*設定!$C$10/1000,0)+ROUNDDOWN(I655*設定!$C$11/1000,0)+ROUNDDOWN(I655*設定!$C$12/1000,0)</f>
        <v>0</v>
      </c>
      <c r="BH655" s="31" t="n">
        <f aca="false">ROUNDDOWN(J655*設定!$B$13/1000,0)</f>
        <v>0</v>
      </c>
      <c r="BI655" s="31" t="n">
        <f aca="false">ROUNDDOWN(J655*設定!$C$13/1000,0)</f>
        <v>0</v>
      </c>
      <c r="BJ655" s="31" t="n">
        <f aca="false">ROUNDDOWN(K655*設定!$B$14/1000,0)</f>
        <v>0</v>
      </c>
      <c r="BK655" s="31" t="n">
        <f aca="false">ROUNDDOWN(K655*設定!$C$14/1000,0)</f>
        <v>0</v>
      </c>
      <c r="BL655" s="31" t="n">
        <f aca="false">ROUNDDOWN(J655*設定!$B$15/1000,0)</f>
        <v>0</v>
      </c>
      <c r="BM655" s="31" t="n">
        <f aca="false">ROUNDDOWN(J655*設定!$C$15/1000,0)</f>
        <v>0</v>
      </c>
      <c r="BN655" s="31" t="n">
        <f aca="false">L655+M655</f>
        <v>0</v>
      </c>
      <c r="BO655" s="31" t="n">
        <f aca="false">N655+O655+P655</f>
        <v>0</v>
      </c>
      <c r="BP655" s="31" t="n">
        <f aca="false">Q655</f>
        <v>0</v>
      </c>
      <c r="BQ655" s="31" t="n">
        <f aca="false">R655</f>
        <v>0</v>
      </c>
      <c r="BR655" s="31" t="n">
        <f aca="false">S655</f>
        <v>0</v>
      </c>
      <c r="BS655" s="31" t="n">
        <f aca="false">T655</f>
        <v>0</v>
      </c>
      <c r="BT655" s="31" t="n">
        <f aca="false">U655</f>
        <v>0</v>
      </c>
      <c r="BU655" s="31" t="n">
        <f aca="false">V655</f>
        <v>0</v>
      </c>
      <c r="BV655" s="32" t="n">
        <f aca="false">IF(BF655=0,IF(BN655=0,0,1),(BN655-BF655)/BF655)</f>
        <v>0</v>
      </c>
      <c r="BW655" s="32" t="n">
        <f aca="false">IF(BG655=0,IF(BO655=0,0,1),(BO655-BG655)/BG655)</f>
        <v>0</v>
      </c>
      <c r="BX655" s="32" t="n">
        <f aca="false">IF(BH655=0,IF(BP655=0,0,1),(BP655-BH655)/BH655)</f>
        <v>0</v>
      </c>
      <c r="BY655" s="32" t="n">
        <f aca="false">IF(BI655=0,IF(BQ655=0,0,1),(BQ655-BI655)/BI655)</f>
        <v>0</v>
      </c>
      <c r="BZ655" s="32" t="n">
        <f aca="false">IF(BJ655=0,IF(BR655=0,0,1),(BR655-BJ655)/BJ655)</f>
        <v>0</v>
      </c>
      <c r="CA655" s="32" t="n">
        <f aca="false">IF(BK655=0,IF(BS655=0,0,1),(BS655-BK655)/BK655)</f>
        <v>0</v>
      </c>
      <c r="CB655" s="32" t="n">
        <f aca="false">IF(BL655=0,IF(BT655=0,0,1),(BT655-BL655)/BL655)</f>
        <v>0</v>
      </c>
      <c r="CC655" s="32" t="n">
        <f aca="false">IF(BM655=0,IF(BU655=0,0,1),(BU655-BM655)/BM655)</f>
        <v>0</v>
      </c>
      <c r="CD655" s="32" t="n">
        <f aca="false">MAX(MAX(BV655:CC655),-MIN(BV655:CC655))</f>
        <v>-0</v>
      </c>
      <c r="CE655" s="31" t="n">
        <f aca="false">IF(CI655="","",SUMIFS($CF$7:$CF$696,$A$7:$A$696,CI655,$B$7:$B$696,B655))</f>
        <v>120474410</v>
      </c>
      <c r="CF655" s="31" t="n">
        <f aca="false">SUM(AU655:BE655)</f>
        <v>114775031</v>
      </c>
      <c r="CG655" s="33" t="str">
        <f aca="false">A655&amp;"|"&amp;B655</f>
        <v>2027-03 月例|教育委員会（総務課）</v>
      </c>
      <c r="CH655" s="34" t="str">
        <f aca="false">IFERROR(INDEX(設定!$D$61:$D$106,MATCH(B655,設定!$B$61:$B$106,0)),"Y")</f>
        <v>N</v>
      </c>
      <c r="CI655" s="34" t="str">
        <f aca="false">IFERROR(INDEX(設定!$D$20:$D$34,MATCH(A655,設定!$A$20:$A$34,0))&amp;"","")</f>
        <v>2027-02 月例</v>
      </c>
    </row>
    <row r="656" customFormat="false" ht="15" hidden="true" customHeight="false" outlineLevel="0" collapsed="false">
      <c r="A656" s="22" t="s">
        <v>222</v>
      </c>
      <c r="B656" s="23" t="s">
        <v>165</v>
      </c>
      <c r="C656" s="10" t="str">
        <f aca="false">IF(G656="","未受領",IF(G656="なし","報告なし",IF(AH656="○","起票済",IF(OR(AG656="○",F656="一致",F656="入金不要"),"入金確認済","受領済"))))</f>
        <v>未受領</v>
      </c>
      <c r="D656" s="10" t="str">
        <f aca="false">IF(OR(G656="",G656="なし"),"―",IF(CH656="N","対象外",IF(AND(I656="",J656="",K656=""),"標報未入力",IF(CD656&gt;=設定!$B$4,"要確認","問題なし"))))</f>
        <v>―</v>
      </c>
      <c r="E656" s="24" t="str">
        <f aca="false">IF(OR(G656="",G656="なし",CE656="",CF656=0),"―",IF(CF656=CE656,"前月同額",IF(CE656=0,"―",IF(ABS(CF656/CE656-1)&gt;=設定!$B$5,"変動大 "&amp;TEXT(CF656/CE656-1,"+0%;-0%"),"〇"))))</f>
        <v>―</v>
      </c>
      <c r="F656" s="10" t="str">
        <f aca="false">IF(OR(G656="",G656="なし"),"―",IF(CF656=0,"入金不要",IF(COUNT(Z656,AB656,AD656,AF656)=0,IF(AG656="○","手動確認","未入金"),IF(AND(N(Z656)=Y656,IF(AA656="",TRUE(),N(AB656)=AA656),IF(AC656="",TRUE(),N(AD656)=AC656),IF(AE656="",TRUE(),N(AF656)=AE656)),"一致","不一致"))))</f>
        <v>―</v>
      </c>
      <c r="G656" s="25"/>
      <c r="H656" s="26"/>
      <c r="I656" s="27"/>
      <c r="J656" s="27"/>
      <c r="K656" s="27"/>
      <c r="L656" s="27"/>
      <c r="M656" s="27"/>
      <c r="N656" s="27"/>
      <c r="O656" s="27"/>
      <c r="P656" s="27"/>
      <c r="Q656" s="27"/>
      <c r="R656" s="27"/>
      <c r="S656" s="27"/>
      <c r="T656" s="27"/>
      <c r="U656" s="27"/>
      <c r="V656" s="27"/>
      <c r="W656" s="10" t="str">
        <f aca="false">IFERROR(INDEX(設定!$E$61:$E$106,MATCH(B656,設定!$B$61:$B$106,0)),"合算")</f>
        <v>合算</v>
      </c>
      <c r="X656" s="28"/>
      <c r="Y656" s="29" t="str">
        <f aca="false">IF(OR(G656="",G656="なし"),"",IF(W656="合算",CF656,IF(W656="掛金・負担金別",(AU656+AV656+AZ656+BB656+BD656),SUM(AU656:AY656))))</f>
        <v/>
      </c>
      <c r="Z656" s="27"/>
      <c r="AA656" s="29" t="str">
        <f aca="false">IF(OR(G656="",G656="なし"),"",IF(W656="掛金・負担金別",(AW656+AX656+AY656+BA656+BC656+BE656),IF(W656="経理区分別",AZ656+BA656,"")))</f>
        <v/>
      </c>
      <c r="AB656" s="27"/>
      <c r="AC656" s="29" t="str">
        <f aca="false">IF(OR(G656="",G656="なし"),"",IF(W656="経理区分別",BB656+BC656,""))</f>
        <v/>
      </c>
      <c r="AD656" s="27"/>
      <c r="AE656" s="29" t="str">
        <f aca="false">IF(OR(G656="",G656="なし"),"",IF(W656="経理区分別",BD656+BE656,""))</f>
        <v/>
      </c>
      <c r="AF656" s="27"/>
      <c r="AG656" s="26"/>
      <c r="AH656" s="26"/>
      <c r="AI656" s="30"/>
      <c r="AJ656" s="31" t="n">
        <v>285480</v>
      </c>
      <c r="AK656" s="31" t="n">
        <v>23400</v>
      </c>
      <c r="AL656" s="31" t="n">
        <v>389688</v>
      </c>
      <c r="AM656" s="31" t="n">
        <v>23400</v>
      </c>
      <c r="AN656" s="31" t="n">
        <v>297</v>
      </c>
      <c r="AO656" s="31" t="n">
        <v>179879</v>
      </c>
      <c r="AP656" s="31" t="n">
        <v>182629</v>
      </c>
      <c r="AQ656" s="31" t="n">
        <v>20580</v>
      </c>
      <c r="AR656" s="31" t="n">
        <v>20580</v>
      </c>
      <c r="AS656" s="31" t="n">
        <v>1</v>
      </c>
      <c r="AT656" s="31" t="n">
        <v>1</v>
      </c>
      <c r="AU656" s="31" t="n">
        <f aca="false">IF($G656="",AJ656,L656)</f>
        <v>285480</v>
      </c>
      <c r="AV656" s="31" t="n">
        <f aca="false">IF($G656="",AK656,M656)</f>
        <v>23400</v>
      </c>
      <c r="AW656" s="31" t="n">
        <f aca="false">IF($G656="",AL656,N656)</f>
        <v>389688</v>
      </c>
      <c r="AX656" s="31" t="n">
        <f aca="false">IF($G656="",AM656,O656)</f>
        <v>23400</v>
      </c>
      <c r="AY656" s="31" t="n">
        <f aca="false">IF($G656="",AN656,P656)</f>
        <v>297</v>
      </c>
      <c r="AZ656" s="31" t="n">
        <f aca="false">IF($G656="",AO656,Q656)</f>
        <v>179879</v>
      </c>
      <c r="BA656" s="31" t="n">
        <f aca="false">IF($G656="",AP656,R656)</f>
        <v>182629</v>
      </c>
      <c r="BB656" s="31" t="n">
        <f aca="false">IF($G656="",AQ656,S656)</f>
        <v>20580</v>
      </c>
      <c r="BC656" s="31" t="n">
        <f aca="false">IF($G656="",AR656,T656)</f>
        <v>20580</v>
      </c>
      <c r="BD656" s="31" t="n">
        <f aca="false">IF($G656="",AS656,U656)</f>
        <v>1</v>
      </c>
      <c r="BE656" s="31" t="n">
        <f aca="false">IF($G656="",AT656,V656)</f>
        <v>1</v>
      </c>
      <c r="BF656" s="31" t="n">
        <f aca="false">ROUNDDOWN(I656*設定!$B$10/1000,0)+ROUNDDOWN(I656*設定!$B$11/1000,0)</f>
        <v>0</v>
      </c>
      <c r="BG656" s="31" t="n">
        <f aca="false">ROUNDDOWN(I656*設定!$C$10/1000,0)+ROUNDDOWN(I656*設定!$C$11/1000,0)+ROUNDDOWN(I656*設定!$C$12/1000,0)</f>
        <v>0</v>
      </c>
      <c r="BH656" s="31" t="n">
        <f aca="false">ROUNDDOWN(J656*設定!$B$13/1000,0)</f>
        <v>0</v>
      </c>
      <c r="BI656" s="31" t="n">
        <f aca="false">ROUNDDOWN(J656*設定!$C$13/1000,0)</f>
        <v>0</v>
      </c>
      <c r="BJ656" s="31" t="n">
        <f aca="false">ROUNDDOWN(K656*設定!$B$14/1000,0)</f>
        <v>0</v>
      </c>
      <c r="BK656" s="31" t="n">
        <f aca="false">ROUNDDOWN(K656*設定!$C$14/1000,0)</f>
        <v>0</v>
      </c>
      <c r="BL656" s="31" t="n">
        <f aca="false">ROUNDDOWN(J656*設定!$B$15/1000,0)</f>
        <v>0</v>
      </c>
      <c r="BM656" s="31" t="n">
        <f aca="false">ROUNDDOWN(J656*設定!$C$15/1000,0)</f>
        <v>0</v>
      </c>
      <c r="BN656" s="31" t="n">
        <f aca="false">L656+M656</f>
        <v>0</v>
      </c>
      <c r="BO656" s="31" t="n">
        <f aca="false">N656+O656+P656</f>
        <v>0</v>
      </c>
      <c r="BP656" s="31" t="n">
        <f aca="false">Q656</f>
        <v>0</v>
      </c>
      <c r="BQ656" s="31" t="n">
        <f aca="false">R656</f>
        <v>0</v>
      </c>
      <c r="BR656" s="31" t="n">
        <f aca="false">S656</f>
        <v>0</v>
      </c>
      <c r="BS656" s="31" t="n">
        <f aca="false">T656</f>
        <v>0</v>
      </c>
      <c r="BT656" s="31" t="n">
        <f aca="false">U656</f>
        <v>0</v>
      </c>
      <c r="BU656" s="31" t="n">
        <f aca="false">V656</f>
        <v>0</v>
      </c>
      <c r="BV656" s="32" t="n">
        <f aca="false">IF(BF656=0,IF(BN656=0,0,1),(BN656-BF656)/BF656)</f>
        <v>0</v>
      </c>
      <c r="BW656" s="32" t="n">
        <f aca="false">IF(BG656=0,IF(BO656=0,0,1),(BO656-BG656)/BG656)</f>
        <v>0</v>
      </c>
      <c r="BX656" s="32" t="n">
        <f aca="false">IF(BH656=0,IF(BP656=0,0,1),(BP656-BH656)/BH656)</f>
        <v>0</v>
      </c>
      <c r="BY656" s="32" t="n">
        <f aca="false">IF(BI656=0,IF(BQ656=0,0,1),(BQ656-BI656)/BI656)</f>
        <v>0</v>
      </c>
      <c r="BZ656" s="32" t="n">
        <f aca="false">IF(BJ656=0,IF(BR656=0,0,1),(BR656-BJ656)/BJ656)</f>
        <v>0</v>
      </c>
      <c r="CA656" s="32" t="n">
        <f aca="false">IF(BK656=0,IF(BS656=0,0,1),(BS656-BK656)/BK656)</f>
        <v>0</v>
      </c>
      <c r="CB656" s="32" t="n">
        <f aca="false">IF(BL656=0,IF(BT656=0,0,1),(BT656-BL656)/BL656)</f>
        <v>0</v>
      </c>
      <c r="CC656" s="32" t="n">
        <f aca="false">IF(BM656=0,IF(BU656=0,0,1),(BU656-BM656)/BM656)</f>
        <v>0</v>
      </c>
      <c r="CD656" s="32" t="n">
        <f aca="false">MAX(MAX(BV656:CC656),-MIN(BV656:CC656))</f>
        <v>-0</v>
      </c>
      <c r="CE656" s="31" t="n">
        <f aca="false">IF(CI656="","",SUMIFS($CF$7:$CF$696,$A$7:$A$696,CI656,$B$7:$B$696,B656))</f>
        <v>1045053</v>
      </c>
      <c r="CF656" s="31" t="n">
        <f aca="false">SUM(AU656:BE656)</f>
        <v>1125935</v>
      </c>
      <c r="CG656" s="33" t="str">
        <f aca="false">A656&amp;"|"&amp;B656</f>
        <v>2027-03 月例|選挙管理委員会</v>
      </c>
      <c r="CH656" s="34" t="str">
        <f aca="false">IFERROR(INDEX(設定!$D$61:$D$106,MATCH(B656,設定!$B$61:$B$106,0)),"Y")</f>
        <v>Y</v>
      </c>
      <c r="CI656" s="34" t="str">
        <f aca="false">IFERROR(INDEX(設定!$D$20:$D$34,MATCH(A656,設定!$A$20:$A$34,0))&amp;"","")</f>
        <v>2027-02 月例</v>
      </c>
    </row>
    <row r="657" customFormat="false" ht="15" hidden="true" customHeight="false" outlineLevel="0" collapsed="false">
      <c r="A657" s="22" t="s">
        <v>222</v>
      </c>
      <c r="B657" s="23" t="s">
        <v>166</v>
      </c>
      <c r="C657" s="10" t="str">
        <f aca="false">IF(G657="","未受領",IF(G657="なし","報告なし",IF(AH657="○","起票済",IF(OR(AG657="○",F657="一致",F657="入金不要"),"入金確認済","受領済"))))</f>
        <v>未受領</v>
      </c>
      <c r="D657" s="10" t="str">
        <f aca="false">IF(OR(G657="",G657="なし"),"―",IF(CH657="N","対象外",IF(AND(I657="",J657="",K657=""),"標報未入力",IF(CD657&gt;=設定!$B$4,"要確認","問題なし"))))</f>
        <v>―</v>
      </c>
      <c r="E657" s="24" t="str">
        <f aca="false">IF(OR(G657="",G657="なし",CE657="",CF657=0),"―",IF(CF657=CE657,"前月同額",IF(CE657=0,"―",IF(ABS(CF657/CE657-1)&gt;=設定!$B$5,"変動大 "&amp;TEXT(CF657/CE657-1,"+0%;-0%"),"〇"))))</f>
        <v>―</v>
      </c>
      <c r="F657" s="10" t="str">
        <f aca="false">IF(OR(G657="",G657="なし"),"―",IF(CF657=0,"入金不要",IF(COUNT(Z657,AB657,AD657,AF657)=0,IF(AG657="○","手動確認","未入金"),IF(AND(N(Z657)=Y657,IF(AA657="",TRUE(),N(AB657)=AA657),IF(AC657="",TRUE(),N(AD657)=AC657),IF(AE657="",TRUE(),N(AF657)=AE657)),"一致","不一致"))))</f>
        <v>―</v>
      </c>
      <c r="G657" s="25"/>
      <c r="H657" s="26"/>
      <c r="I657" s="27"/>
      <c r="J657" s="27"/>
      <c r="K657" s="27"/>
      <c r="L657" s="27"/>
      <c r="M657" s="27"/>
      <c r="N657" s="27"/>
      <c r="O657" s="27"/>
      <c r="P657" s="27"/>
      <c r="Q657" s="27"/>
      <c r="R657" s="27"/>
      <c r="S657" s="27"/>
      <c r="T657" s="27"/>
      <c r="U657" s="27"/>
      <c r="V657" s="27"/>
      <c r="W657" s="10" t="str">
        <f aca="false">IFERROR(INDEX(設定!$E$61:$E$106,MATCH(B657,設定!$B$61:$B$106,0)),"合算")</f>
        <v>合算</v>
      </c>
      <c r="X657" s="28"/>
      <c r="Y657" s="29" t="str">
        <f aca="false">IF(OR(G657="",G657="なし"),"",IF(W657="合算",CF657,IF(W657="掛金・負担金別",(AU657+AV657+AZ657+BB657+BD657),SUM(AU657:AY657))))</f>
        <v/>
      </c>
      <c r="Z657" s="27"/>
      <c r="AA657" s="29" t="str">
        <f aca="false">IF(OR(G657="",G657="なし"),"",IF(W657="掛金・負担金別",(AW657+AX657+AY657+BA657+BC657+BE657),IF(W657="経理区分別",AZ657+BA657,"")))</f>
        <v/>
      </c>
      <c r="AB657" s="27"/>
      <c r="AC657" s="29" t="str">
        <f aca="false">IF(OR(G657="",G657="なし"),"",IF(W657="経理区分別",BB657+BC657,""))</f>
        <v/>
      </c>
      <c r="AD657" s="27"/>
      <c r="AE657" s="29" t="str">
        <f aca="false">IF(OR(G657="",G657="なし"),"",IF(W657="経理区分別",BD657+BE657,""))</f>
        <v/>
      </c>
      <c r="AF657" s="27"/>
      <c r="AG657" s="26"/>
      <c r="AH657" s="26"/>
      <c r="AI657" s="30"/>
      <c r="AJ657" s="31" t="n">
        <v>581025</v>
      </c>
      <c r="AK657" s="31" t="n">
        <v>47625</v>
      </c>
      <c r="AL657" s="31" t="n">
        <v>844550</v>
      </c>
      <c r="AM657" s="31" t="n">
        <v>47625</v>
      </c>
      <c r="AN657" s="31" t="n">
        <v>596</v>
      </c>
      <c r="AO657" s="31" t="n">
        <v>354809</v>
      </c>
      <c r="AP657" s="31" t="n">
        <v>361071</v>
      </c>
      <c r="AQ657" s="31" t="n">
        <v>32943</v>
      </c>
      <c r="AR657" s="31" t="n">
        <v>32943</v>
      </c>
      <c r="AS657" s="31" t="n">
        <v>1</v>
      </c>
      <c r="AT657" s="31" t="n">
        <v>1</v>
      </c>
      <c r="AU657" s="31" t="n">
        <f aca="false">IF($G657="",AJ657,L657)</f>
        <v>581025</v>
      </c>
      <c r="AV657" s="31" t="n">
        <f aca="false">IF($G657="",AK657,M657)</f>
        <v>47625</v>
      </c>
      <c r="AW657" s="31" t="n">
        <f aca="false">IF($G657="",AL657,N657)</f>
        <v>844550</v>
      </c>
      <c r="AX657" s="31" t="n">
        <f aca="false">IF($G657="",AM657,O657)</f>
        <v>47625</v>
      </c>
      <c r="AY657" s="31" t="n">
        <f aca="false">IF($G657="",AN657,P657)</f>
        <v>596</v>
      </c>
      <c r="AZ657" s="31" t="n">
        <f aca="false">IF($G657="",AO657,Q657)</f>
        <v>354809</v>
      </c>
      <c r="BA657" s="31" t="n">
        <f aca="false">IF($G657="",AP657,R657)</f>
        <v>361071</v>
      </c>
      <c r="BB657" s="31" t="n">
        <f aca="false">IF($G657="",AQ657,S657)</f>
        <v>32943</v>
      </c>
      <c r="BC657" s="31" t="n">
        <f aca="false">IF($G657="",AR657,T657)</f>
        <v>32943</v>
      </c>
      <c r="BD657" s="31" t="n">
        <f aca="false">IF($G657="",AS657,U657)</f>
        <v>1</v>
      </c>
      <c r="BE657" s="31" t="n">
        <f aca="false">IF($G657="",AT657,V657)</f>
        <v>1</v>
      </c>
      <c r="BF657" s="31" t="n">
        <f aca="false">ROUNDDOWN(I657*設定!$B$10/1000,0)+ROUNDDOWN(I657*設定!$B$11/1000,0)</f>
        <v>0</v>
      </c>
      <c r="BG657" s="31" t="n">
        <f aca="false">ROUNDDOWN(I657*設定!$C$10/1000,0)+ROUNDDOWN(I657*設定!$C$11/1000,0)+ROUNDDOWN(I657*設定!$C$12/1000,0)</f>
        <v>0</v>
      </c>
      <c r="BH657" s="31" t="n">
        <f aca="false">ROUNDDOWN(J657*設定!$B$13/1000,0)</f>
        <v>0</v>
      </c>
      <c r="BI657" s="31" t="n">
        <f aca="false">ROUNDDOWN(J657*設定!$C$13/1000,0)</f>
        <v>0</v>
      </c>
      <c r="BJ657" s="31" t="n">
        <f aca="false">ROUNDDOWN(K657*設定!$B$14/1000,0)</f>
        <v>0</v>
      </c>
      <c r="BK657" s="31" t="n">
        <f aca="false">ROUNDDOWN(K657*設定!$C$14/1000,0)</f>
        <v>0</v>
      </c>
      <c r="BL657" s="31" t="n">
        <f aca="false">ROUNDDOWN(J657*設定!$B$15/1000,0)</f>
        <v>0</v>
      </c>
      <c r="BM657" s="31" t="n">
        <f aca="false">ROUNDDOWN(J657*設定!$C$15/1000,0)</f>
        <v>0</v>
      </c>
      <c r="BN657" s="31" t="n">
        <f aca="false">L657+M657</f>
        <v>0</v>
      </c>
      <c r="BO657" s="31" t="n">
        <f aca="false">N657+O657+P657</f>
        <v>0</v>
      </c>
      <c r="BP657" s="31" t="n">
        <f aca="false">Q657</f>
        <v>0</v>
      </c>
      <c r="BQ657" s="31" t="n">
        <f aca="false">R657</f>
        <v>0</v>
      </c>
      <c r="BR657" s="31" t="n">
        <f aca="false">S657</f>
        <v>0</v>
      </c>
      <c r="BS657" s="31" t="n">
        <f aca="false">T657</f>
        <v>0</v>
      </c>
      <c r="BT657" s="31" t="n">
        <f aca="false">U657</f>
        <v>0</v>
      </c>
      <c r="BU657" s="31" t="n">
        <f aca="false">V657</f>
        <v>0</v>
      </c>
      <c r="BV657" s="32" t="n">
        <f aca="false">IF(BF657=0,IF(BN657=0,0,1),(BN657-BF657)/BF657)</f>
        <v>0</v>
      </c>
      <c r="BW657" s="32" t="n">
        <f aca="false">IF(BG657=0,IF(BO657=0,0,1),(BO657-BG657)/BG657)</f>
        <v>0</v>
      </c>
      <c r="BX657" s="32" t="n">
        <f aca="false">IF(BH657=0,IF(BP657=0,0,1),(BP657-BH657)/BH657)</f>
        <v>0</v>
      </c>
      <c r="BY657" s="32" t="n">
        <f aca="false">IF(BI657=0,IF(BQ657=0,0,1),(BQ657-BI657)/BI657)</f>
        <v>0</v>
      </c>
      <c r="BZ657" s="32" t="n">
        <f aca="false">IF(BJ657=0,IF(BR657=0,0,1),(BR657-BJ657)/BJ657)</f>
        <v>0</v>
      </c>
      <c r="CA657" s="32" t="n">
        <f aca="false">IF(BK657=0,IF(BS657=0,0,1),(BS657-BK657)/BK657)</f>
        <v>0</v>
      </c>
      <c r="CB657" s="32" t="n">
        <f aca="false">IF(BL657=0,IF(BT657=0,0,1),(BT657-BL657)/BL657)</f>
        <v>0</v>
      </c>
      <c r="CC657" s="32" t="n">
        <f aca="false">IF(BM657=0,IF(BU657=0,0,1),(BU657-BM657)/BM657)</f>
        <v>0</v>
      </c>
      <c r="CD657" s="32" t="n">
        <f aca="false">MAX(MAX(BV657:CC657),-MIN(BV657:CC657))</f>
        <v>-0</v>
      </c>
      <c r="CE657" s="31" t="n">
        <f aca="false">IF(CI657="","",SUMIFS($CF$7:$CF$696,$A$7:$A$696,CI657,$B$7:$B$696,B657))</f>
        <v>2228146</v>
      </c>
      <c r="CF657" s="31" t="n">
        <f aca="false">SUM(AU657:BE657)</f>
        <v>2303189</v>
      </c>
      <c r="CG657" s="33" t="str">
        <f aca="false">A657&amp;"|"&amp;B657</f>
        <v>2027-03 月例|人事委員会</v>
      </c>
      <c r="CH657" s="34" t="str">
        <f aca="false">IFERROR(INDEX(設定!$D$61:$D$106,MATCH(B657,設定!$B$61:$B$106,0)),"Y")</f>
        <v>Y</v>
      </c>
      <c r="CI657" s="34" t="str">
        <f aca="false">IFERROR(INDEX(設定!$D$20:$D$34,MATCH(A657,設定!$A$20:$A$34,0))&amp;"","")</f>
        <v>2027-02 月例</v>
      </c>
    </row>
    <row r="658" customFormat="false" ht="15" hidden="true" customHeight="false" outlineLevel="0" collapsed="false">
      <c r="A658" s="22" t="s">
        <v>222</v>
      </c>
      <c r="B658" s="23" t="s">
        <v>167</v>
      </c>
      <c r="C658" s="10" t="str">
        <f aca="false">IF(G658="","未受領",IF(G658="なし","報告なし",IF(AH658="○","起票済",IF(OR(AG658="○",F658="一致",F658="入金不要"),"入金確認済","受領済"))))</f>
        <v>未受領</v>
      </c>
      <c r="D658" s="10" t="str">
        <f aca="false">IF(OR(G658="",G658="なし"),"―",IF(CH658="N","対象外",IF(AND(I658="",J658="",K658=""),"標報未入力",IF(CD658&gt;=設定!$B$4,"要確認","問題なし"))))</f>
        <v>―</v>
      </c>
      <c r="E658" s="24" t="str">
        <f aca="false">IF(OR(G658="",G658="なし",CE658="",CF658=0),"―",IF(CF658=CE658,"前月同額",IF(CE658=0,"―",IF(ABS(CF658/CE658-1)&gt;=設定!$B$5,"変動大 "&amp;TEXT(CF658/CE658-1,"+0%;-0%"),"〇"))))</f>
        <v>―</v>
      </c>
      <c r="F658" s="10" t="str">
        <f aca="false">IF(OR(G658="",G658="なし"),"―",IF(CF658=0,"入金不要",IF(COUNT(Z658,AB658,AD658,AF658)=0,IF(AG658="○","手動確認","未入金"),IF(AND(N(Z658)=Y658,IF(AA658="",TRUE(),N(AB658)=AA658),IF(AC658="",TRUE(),N(AD658)=AC658),IF(AE658="",TRUE(),N(AF658)=AE658)),"一致","不一致"))))</f>
        <v>―</v>
      </c>
      <c r="G658" s="25"/>
      <c r="H658" s="26"/>
      <c r="I658" s="27"/>
      <c r="J658" s="27"/>
      <c r="K658" s="27"/>
      <c r="L658" s="27"/>
      <c r="M658" s="27"/>
      <c r="N658" s="27"/>
      <c r="O658" s="27"/>
      <c r="P658" s="27"/>
      <c r="Q658" s="27"/>
      <c r="R658" s="27"/>
      <c r="S658" s="27"/>
      <c r="T658" s="27"/>
      <c r="U658" s="27"/>
      <c r="V658" s="27"/>
      <c r="W658" s="10" t="str">
        <f aca="false">IFERROR(INDEX(設定!$E$61:$E$106,MATCH(B658,設定!$B$61:$B$106,0)),"合算")</f>
        <v>合算</v>
      </c>
      <c r="X658" s="28"/>
      <c r="Y658" s="29" t="str">
        <f aca="false">IF(OR(G658="",G658="なし"),"",IF(W658="合算",CF658,IF(W658="掛金・負担金別",(AU658+AV658+AZ658+BB658+BD658),SUM(AU658:AY658))))</f>
        <v/>
      </c>
      <c r="Z658" s="27"/>
      <c r="AA658" s="29" t="str">
        <f aca="false">IF(OR(G658="",G658="なし"),"",IF(W658="掛金・負担金別",(AW658+AX658+AY658+BA658+BC658+BE658),IF(W658="経理区分別",AZ658+BA658,"")))</f>
        <v/>
      </c>
      <c r="AB658" s="27"/>
      <c r="AC658" s="29" t="str">
        <f aca="false">IF(OR(G658="",G658="なし"),"",IF(W658="経理区分別",BB658+BC658,""))</f>
        <v/>
      </c>
      <c r="AD658" s="27"/>
      <c r="AE658" s="29" t="str">
        <f aca="false">IF(OR(G658="",G658="なし"),"",IF(W658="経理区分別",BD658+BE658,""))</f>
        <v/>
      </c>
      <c r="AF658" s="27"/>
      <c r="AG658" s="26"/>
      <c r="AH658" s="26"/>
      <c r="AI658" s="30"/>
      <c r="AJ658" s="31" t="n">
        <v>1271850</v>
      </c>
      <c r="AK658" s="31" t="n">
        <v>104250</v>
      </c>
      <c r="AL658" s="31" t="n">
        <v>1745462</v>
      </c>
      <c r="AM658" s="31" t="n">
        <v>104250</v>
      </c>
      <c r="AN658" s="31" t="n">
        <v>1350</v>
      </c>
      <c r="AO658" s="31" t="n">
        <v>785639</v>
      </c>
      <c r="AP658" s="31" t="n">
        <v>797884</v>
      </c>
      <c r="AQ658" s="31" t="n">
        <v>110812</v>
      </c>
      <c r="AR658" s="31" t="n">
        <v>110812</v>
      </c>
      <c r="AS658" s="31" t="n">
        <v>1</v>
      </c>
      <c r="AT658" s="31" t="n">
        <v>1</v>
      </c>
      <c r="AU658" s="31" t="n">
        <f aca="false">IF($G658="",AJ658,L658)</f>
        <v>1271850</v>
      </c>
      <c r="AV658" s="31" t="n">
        <f aca="false">IF($G658="",AK658,M658)</f>
        <v>104250</v>
      </c>
      <c r="AW658" s="31" t="n">
        <f aca="false">IF($G658="",AL658,N658)</f>
        <v>1745462</v>
      </c>
      <c r="AX658" s="31" t="n">
        <f aca="false">IF($G658="",AM658,O658)</f>
        <v>104250</v>
      </c>
      <c r="AY658" s="31" t="n">
        <f aca="false">IF($G658="",AN658,P658)</f>
        <v>1350</v>
      </c>
      <c r="AZ658" s="31" t="n">
        <f aca="false">IF($G658="",AO658,Q658)</f>
        <v>785639</v>
      </c>
      <c r="BA658" s="31" t="n">
        <f aca="false">IF($G658="",AP658,R658)</f>
        <v>797884</v>
      </c>
      <c r="BB658" s="31" t="n">
        <f aca="false">IF($G658="",AQ658,S658)</f>
        <v>110812</v>
      </c>
      <c r="BC658" s="31" t="n">
        <f aca="false">IF($G658="",AR658,T658)</f>
        <v>110812</v>
      </c>
      <c r="BD658" s="31" t="n">
        <f aca="false">IF($G658="",AS658,U658)</f>
        <v>1</v>
      </c>
      <c r="BE658" s="31" t="n">
        <f aca="false">IF($G658="",AT658,V658)</f>
        <v>1</v>
      </c>
      <c r="BF658" s="31" t="n">
        <f aca="false">ROUNDDOWN(I658*設定!$B$10/1000,0)+ROUNDDOWN(I658*設定!$B$11/1000,0)</f>
        <v>0</v>
      </c>
      <c r="BG658" s="31" t="n">
        <f aca="false">ROUNDDOWN(I658*設定!$C$10/1000,0)+ROUNDDOWN(I658*設定!$C$11/1000,0)+ROUNDDOWN(I658*設定!$C$12/1000,0)</f>
        <v>0</v>
      </c>
      <c r="BH658" s="31" t="n">
        <f aca="false">ROUNDDOWN(J658*設定!$B$13/1000,0)</f>
        <v>0</v>
      </c>
      <c r="BI658" s="31" t="n">
        <f aca="false">ROUNDDOWN(J658*設定!$C$13/1000,0)</f>
        <v>0</v>
      </c>
      <c r="BJ658" s="31" t="n">
        <f aca="false">ROUNDDOWN(K658*設定!$B$14/1000,0)</f>
        <v>0</v>
      </c>
      <c r="BK658" s="31" t="n">
        <f aca="false">ROUNDDOWN(K658*設定!$C$14/1000,0)</f>
        <v>0</v>
      </c>
      <c r="BL658" s="31" t="n">
        <f aca="false">ROUNDDOWN(J658*設定!$B$15/1000,0)</f>
        <v>0</v>
      </c>
      <c r="BM658" s="31" t="n">
        <f aca="false">ROUNDDOWN(J658*設定!$C$15/1000,0)</f>
        <v>0</v>
      </c>
      <c r="BN658" s="31" t="n">
        <f aca="false">L658+M658</f>
        <v>0</v>
      </c>
      <c r="BO658" s="31" t="n">
        <f aca="false">N658+O658+P658</f>
        <v>0</v>
      </c>
      <c r="BP658" s="31" t="n">
        <f aca="false">Q658</f>
        <v>0</v>
      </c>
      <c r="BQ658" s="31" t="n">
        <f aca="false">R658</f>
        <v>0</v>
      </c>
      <c r="BR658" s="31" t="n">
        <f aca="false">S658</f>
        <v>0</v>
      </c>
      <c r="BS658" s="31" t="n">
        <f aca="false">T658</f>
        <v>0</v>
      </c>
      <c r="BT658" s="31" t="n">
        <f aca="false">U658</f>
        <v>0</v>
      </c>
      <c r="BU658" s="31" t="n">
        <f aca="false">V658</f>
        <v>0</v>
      </c>
      <c r="BV658" s="32" t="n">
        <f aca="false">IF(BF658=0,IF(BN658=0,0,1),(BN658-BF658)/BF658)</f>
        <v>0</v>
      </c>
      <c r="BW658" s="32" t="n">
        <f aca="false">IF(BG658=0,IF(BO658=0,0,1),(BO658-BG658)/BG658)</f>
        <v>0</v>
      </c>
      <c r="BX658" s="32" t="n">
        <f aca="false">IF(BH658=0,IF(BP658=0,0,1),(BP658-BH658)/BH658)</f>
        <v>0</v>
      </c>
      <c r="BY658" s="32" t="n">
        <f aca="false">IF(BI658=0,IF(BQ658=0,0,1),(BQ658-BI658)/BI658)</f>
        <v>0</v>
      </c>
      <c r="BZ658" s="32" t="n">
        <f aca="false">IF(BJ658=0,IF(BR658=0,0,1),(BR658-BJ658)/BJ658)</f>
        <v>0</v>
      </c>
      <c r="CA658" s="32" t="n">
        <f aca="false">IF(BK658=0,IF(BS658=0,0,1),(BS658-BK658)/BK658)</f>
        <v>0</v>
      </c>
      <c r="CB658" s="32" t="n">
        <f aca="false">IF(BL658=0,IF(BT658=0,0,1),(BT658-BL658)/BL658)</f>
        <v>0</v>
      </c>
      <c r="CC658" s="32" t="n">
        <f aca="false">IF(BM658=0,IF(BU658=0,0,1),(BU658-BM658)/BM658)</f>
        <v>0</v>
      </c>
      <c r="CD658" s="32" t="n">
        <f aca="false">MAX(MAX(BV658:CC658),-MIN(BV658:CC658))</f>
        <v>-0</v>
      </c>
      <c r="CE658" s="31" t="n">
        <f aca="false">IF(CI658="","",SUMIFS($CF$7:$CF$696,$A$7:$A$696,CI658,$B$7:$B$696,B658))</f>
        <v>5436317</v>
      </c>
      <c r="CF658" s="31" t="n">
        <f aca="false">SUM(AU658:BE658)</f>
        <v>5032311</v>
      </c>
      <c r="CG658" s="33" t="str">
        <f aca="false">A658&amp;"|"&amp;B658</f>
        <v>2027-03 月例|監査事務局</v>
      </c>
      <c r="CH658" s="34" t="str">
        <f aca="false">IFERROR(INDEX(設定!$D$61:$D$106,MATCH(B658,設定!$B$61:$B$106,0)),"Y")</f>
        <v>Y</v>
      </c>
      <c r="CI658" s="34" t="str">
        <f aca="false">IFERROR(INDEX(設定!$D$20:$D$34,MATCH(A658,設定!$A$20:$A$34,0))&amp;"","")</f>
        <v>2027-02 月例</v>
      </c>
    </row>
    <row r="659" customFormat="false" ht="15" hidden="true" customHeight="false" outlineLevel="0" collapsed="false">
      <c r="A659" s="22" t="s">
        <v>222</v>
      </c>
      <c r="B659" s="23" t="s">
        <v>168</v>
      </c>
      <c r="C659" s="10" t="str">
        <f aca="false">IF(G659="","未受領",IF(G659="なし","報告なし",IF(AH659="○","起票済",IF(OR(AG659="○",F659="一致",F659="入金不要"),"入金確認済","受領済"))))</f>
        <v>未受領</v>
      </c>
      <c r="D659" s="10" t="str">
        <f aca="false">IF(OR(G659="",G659="なし"),"―",IF(CH659="N","対象外",IF(AND(I659="",J659="",K659=""),"標報未入力",IF(CD659&gt;=設定!$B$4,"要確認","問題なし"))))</f>
        <v>―</v>
      </c>
      <c r="E659" s="24" t="str">
        <f aca="false">IF(OR(G659="",G659="なし",CE659="",CF659=0),"―",IF(CF659=CE659,"前月同額",IF(CE659=0,"―",IF(ABS(CF659/CE659-1)&gt;=設定!$B$5,"変動大 "&amp;TEXT(CF659/CE659-1,"+0%;-0%"),"〇"))))</f>
        <v>―</v>
      </c>
      <c r="F659" s="10" t="str">
        <f aca="false">IF(OR(G659="",G659="なし"),"―",IF(CF659=0,"入金不要",IF(COUNT(Z659,AB659,AD659,AF659)=0,IF(AG659="○","手動確認","未入金"),IF(AND(N(Z659)=Y659,IF(AA659="",TRUE(),N(AB659)=AA659),IF(AC659="",TRUE(),N(AD659)=AC659),IF(AE659="",TRUE(),N(AF659)=AE659)),"一致","不一致"))))</f>
        <v>―</v>
      </c>
      <c r="G659" s="25"/>
      <c r="H659" s="26"/>
      <c r="I659" s="27"/>
      <c r="J659" s="27"/>
      <c r="K659" s="27"/>
      <c r="L659" s="27"/>
      <c r="M659" s="27"/>
      <c r="N659" s="27"/>
      <c r="O659" s="27"/>
      <c r="P659" s="27"/>
      <c r="Q659" s="27"/>
      <c r="R659" s="27"/>
      <c r="S659" s="27"/>
      <c r="T659" s="27"/>
      <c r="U659" s="27"/>
      <c r="V659" s="27"/>
      <c r="W659" s="10" t="str">
        <f aca="false">IFERROR(INDEX(設定!$E$61:$E$106,MATCH(B659,設定!$B$61:$B$106,0)),"合算")</f>
        <v>合算</v>
      </c>
      <c r="X659" s="28"/>
      <c r="Y659" s="29" t="str">
        <f aca="false">IF(OR(G659="",G659="なし"),"",IF(W659="合算",CF659,IF(W659="掛金・負担金別",(AU659+AV659+AZ659+BB659+BD659),SUM(AU659:AY659))))</f>
        <v/>
      </c>
      <c r="Z659" s="27"/>
      <c r="AA659" s="29" t="str">
        <f aca="false">IF(OR(G659="",G659="なし"),"",IF(W659="掛金・負担金別",(AW659+AX659+AY659+BA659+BC659+BE659),IF(W659="経理区分別",AZ659+BA659,"")))</f>
        <v/>
      </c>
      <c r="AB659" s="27"/>
      <c r="AC659" s="29" t="str">
        <f aca="false">IF(OR(G659="",G659="なし"),"",IF(W659="経理区分別",BB659+BC659,""))</f>
        <v/>
      </c>
      <c r="AD659" s="27"/>
      <c r="AE659" s="29" t="str">
        <f aca="false">IF(OR(G659="",G659="なし"),"",IF(W659="経理区分別",BD659+BE659,""))</f>
        <v/>
      </c>
      <c r="AF659" s="27"/>
      <c r="AG659" s="26"/>
      <c r="AH659" s="26"/>
      <c r="AI659" s="30"/>
      <c r="AJ659" s="31" t="n">
        <v>409920</v>
      </c>
      <c r="AK659" s="31" t="n">
        <v>33600</v>
      </c>
      <c r="AL659" s="31" t="n">
        <v>595840</v>
      </c>
      <c r="AM659" s="31" t="n">
        <v>33600</v>
      </c>
      <c r="AN659" s="31" t="n">
        <v>420</v>
      </c>
      <c r="AO659" s="31" t="n">
        <v>325433</v>
      </c>
      <c r="AP659" s="31" t="n">
        <v>331176</v>
      </c>
      <c r="AQ659" s="31" t="n">
        <v>35042</v>
      </c>
      <c r="AR659" s="31" t="n">
        <v>35044</v>
      </c>
      <c r="AS659" s="31" t="n">
        <v>1</v>
      </c>
      <c r="AT659" s="31" t="n">
        <v>1</v>
      </c>
      <c r="AU659" s="31" t="n">
        <f aca="false">IF($G659="",AJ659,L659)</f>
        <v>409920</v>
      </c>
      <c r="AV659" s="31" t="n">
        <f aca="false">IF($G659="",AK659,M659)</f>
        <v>33600</v>
      </c>
      <c r="AW659" s="31" t="n">
        <f aca="false">IF($G659="",AL659,N659)</f>
        <v>595840</v>
      </c>
      <c r="AX659" s="31" t="n">
        <f aca="false">IF($G659="",AM659,O659)</f>
        <v>33600</v>
      </c>
      <c r="AY659" s="31" t="n">
        <f aca="false">IF($G659="",AN659,P659)</f>
        <v>420</v>
      </c>
      <c r="AZ659" s="31" t="n">
        <f aca="false">IF($G659="",AO659,Q659)</f>
        <v>325433</v>
      </c>
      <c r="BA659" s="31" t="n">
        <f aca="false">IF($G659="",AP659,R659)</f>
        <v>331176</v>
      </c>
      <c r="BB659" s="31" t="n">
        <f aca="false">IF($G659="",AQ659,S659)</f>
        <v>35042</v>
      </c>
      <c r="BC659" s="31" t="n">
        <f aca="false">IF($G659="",AR659,T659)</f>
        <v>35044</v>
      </c>
      <c r="BD659" s="31" t="n">
        <f aca="false">IF($G659="",AS659,U659)</f>
        <v>1</v>
      </c>
      <c r="BE659" s="31" t="n">
        <f aca="false">IF($G659="",AT659,V659)</f>
        <v>1</v>
      </c>
      <c r="BF659" s="31" t="n">
        <f aca="false">ROUNDDOWN(I659*設定!$B$10/1000,0)+ROUNDDOWN(I659*設定!$B$11/1000,0)</f>
        <v>0</v>
      </c>
      <c r="BG659" s="31" t="n">
        <f aca="false">ROUNDDOWN(I659*設定!$C$10/1000,0)+ROUNDDOWN(I659*設定!$C$11/1000,0)+ROUNDDOWN(I659*設定!$C$12/1000,0)</f>
        <v>0</v>
      </c>
      <c r="BH659" s="31" t="n">
        <f aca="false">ROUNDDOWN(J659*設定!$B$13/1000,0)</f>
        <v>0</v>
      </c>
      <c r="BI659" s="31" t="n">
        <f aca="false">ROUNDDOWN(J659*設定!$C$13/1000,0)</f>
        <v>0</v>
      </c>
      <c r="BJ659" s="31" t="n">
        <f aca="false">ROUNDDOWN(K659*設定!$B$14/1000,0)</f>
        <v>0</v>
      </c>
      <c r="BK659" s="31" t="n">
        <f aca="false">ROUNDDOWN(K659*設定!$C$14/1000,0)</f>
        <v>0</v>
      </c>
      <c r="BL659" s="31" t="n">
        <f aca="false">ROUNDDOWN(J659*設定!$B$15/1000,0)</f>
        <v>0</v>
      </c>
      <c r="BM659" s="31" t="n">
        <f aca="false">ROUNDDOWN(J659*設定!$C$15/1000,0)</f>
        <v>0</v>
      </c>
      <c r="BN659" s="31" t="n">
        <f aca="false">L659+M659</f>
        <v>0</v>
      </c>
      <c r="BO659" s="31" t="n">
        <f aca="false">N659+O659+P659</f>
        <v>0</v>
      </c>
      <c r="BP659" s="31" t="n">
        <f aca="false">Q659</f>
        <v>0</v>
      </c>
      <c r="BQ659" s="31" t="n">
        <f aca="false">R659</f>
        <v>0</v>
      </c>
      <c r="BR659" s="31" t="n">
        <f aca="false">S659</f>
        <v>0</v>
      </c>
      <c r="BS659" s="31" t="n">
        <f aca="false">T659</f>
        <v>0</v>
      </c>
      <c r="BT659" s="31" t="n">
        <f aca="false">U659</f>
        <v>0</v>
      </c>
      <c r="BU659" s="31" t="n">
        <f aca="false">V659</f>
        <v>0</v>
      </c>
      <c r="BV659" s="32" t="n">
        <f aca="false">IF(BF659=0,IF(BN659=0,0,1),(BN659-BF659)/BF659)</f>
        <v>0</v>
      </c>
      <c r="BW659" s="32" t="n">
        <f aca="false">IF(BG659=0,IF(BO659=0,0,1),(BO659-BG659)/BG659)</f>
        <v>0</v>
      </c>
      <c r="BX659" s="32" t="n">
        <f aca="false">IF(BH659=0,IF(BP659=0,0,1),(BP659-BH659)/BH659)</f>
        <v>0</v>
      </c>
      <c r="BY659" s="32" t="n">
        <f aca="false">IF(BI659=0,IF(BQ659=0,0,1),(BQ659-BI659)/BI659)</f>
        <v>0</v>
      </c>
      <c r="BZ659" s="32" t="n">
        <f aca="false">IF(BJ659=0,IF(BR659=0,0,1),(BR659-BJ659)/BJ659)</f>
        <v>0</v>
      </c>
      <c r="CA659" s="32" t="n">
        <f aca="false">IF(BK659=0,IF(BS659=0,0,1),(BS659-BK659)/BK659)</f>
        <v>0</v>
      </c>
      <c r="CB659" s="32" t="n">
        <f aca="false">IF(BL659=0,IF(BT659=0,0,1),(BT659-BL659)/BL659)</f>
        <v>0</v>
      </c>
      <c r="CC659" s="32" t="n">
        <f aca="false">IF(BM659=0,IF(BU659=0,0,1),(BU659-BM659)/BM659)</f>
        <v>0</v>
      </c>
      <c r="CD659" s="32" t="n">
        <f aca="false">MAX(MAX(BV659:CC659),-MIN(BV659:CC659))</f>
        <v>-0</v>
      </c>
      <c r="CE659" s="31" t="n">
        <f aca="false">IF(CI659="","",SUMIFS($CF$7:$CF$696,$A$7:$A$696,CI659,$B$7:$B$696,B659))</f>
        <v>1690162</v>
      </c>
      <c r="CF659" s="31" t="n">
        <f aca="false">SUM(AU659:BE659)</f>
        <v>1800077</v>
      </c>
      <c r="CG659" s="33" t="str">
        <f aca="false">A659&amp;"|"&amp;B659</f>
        <v>2027-03 月例|農業委員会</v>
      </c>
      <c r="CH659" s="34" t="str">
        <f aca="false">IFERROR(INDEX(設定!$D$61:$D$106,MATCH(B659,設定!$B$61:$B$106,0)),"Y")</f>
        <v>Y</v>
      </c>
      <c r="CI659" s="34" t="str">
        <f aca="false">IFERROR(INDEX(設定!$D$20:$D$34,MATCH(A659,設定!$A$20:$A$34,0))&amp;"","")</f>
        <v>2027-02 月例</v>
      </c>
    </row>
    <row r="660" customFormat="false" ht="15" hidden="true" customHeight="false" outlineLevel="0" collapsed="false">
      <c r="A660" s="22" t="s">
        <v>222</v>
      </c>
      <c r="B660" s="23" t="s">
        <v>169</v>
      </c>
      <c r="C660" s="10" t="str">
        <f aca="false">IF(G660="","未受領",IF(G660="なし","報告なし",IF(AH660="○","起票済",IF(OR(AG660="○",F660="一致",F660="入金不要"),"入金確認済","受領済"))))</f>
        <v>未受領</v>
      </c>
      <c r="D660" s="10" t="str">
        <f aca="false">IF(OR(G660="",G660="なし"),"―",IF(CH660="N","対象外",IF(AND(I660="",J660="",K660=""),"標報未入力",IF(CD660&gt;=設定!$B$4,"要確認","問題なし"))))</f>
        <v>―</v>
      </c>
      <c r="E660" s="24" t="str">
        <f aca="false">IF(OR(G660="",G660="なし",CE660="",CF660=0),"―",IF(CF660=CE660,"前月同額",IF(CE660=0,"―",IF(ABS(CF660/CE660-1)&gt;=設定!$B$5,"変動大 "&amp;TEXT(CF660/CE660-1,"+0%;-0%"),"〇"))))</f>
        <v>―</v>
      </c>
      <c r="F660" s="10" t="str">
        <f aca="false">IF(OR(G660="",G660="なし"),"―",IF(CF660=0,"入金不要",IF(COUNT(Z660,AB660,AD660,AF660)=0,IF(AG660="○","手動確認","未入金"),IF(AND(N(Z660)=Y660,IF(AA660="",TRUE(),N(AB660)=AA660),IF(AC660="",TRUE(),N(AD660)=AC660),IF(AE660="",TRUE(),N(AF660)=AE660)),"一致","不一致"))))</f>
        <v>―</v>
      </c>
      <c r="G660" s="25"/>
      <c r="H660" s="26"/>
      <c r="I660" s="27"/>
      <c r="J660" s="27"/>
      <c r="K660" s="27"/>
      <c r="L660" s="27"/>
      <c r="M660" s="27"/>
      <c r="N660" s="27"/>
      <c r="O660" s="27"/>
      <c r="P660" s="27"/>
      <c r="Q660" s="27"/>
      <c r="R660" s="27"/>
      <c r="S660" s="27"/>
      <c r="T660" s="27"/>
      <c r="U660" s="27"/>
      <c r="V660" s="27"/>
      <c r="W660" s="10" t="str">
        <f aca="false">IFERROR(INDEX(設定!$E$61:$E$106,MATCH(B660,設定!$B$61:$B$106,0)),"合算")</f>
        <v>合算</v>
      </c>
      <c r="X660" s="28"/>
      <c r="Y660" s="29" t="str">
        <f aca="false">IF(OR(G660="",G660="なし"),"",IF(W660="合算",CF660,IF(W660="掛金・負担金別",(AU660+AV660+AZ660+BB660+BD660),SUM(AU660:AY660))))</f>
        <v/>
      </c>
      <c r="Z660" s="27"/>
      <c r="AA660" s="29" t="str">
        <f aca="false">IF(OR(G660="",G660="なし"),"",IF(W660="掛金・負担金別",(AW660+AX660+AY660+BA660+BC660+BE660),IF(W660="経理区分別",AZ660+BA660,"")))</f>
        <v/>
      </c>
      <c r="AB660" s="27"/>
      <c r="AC660" s="29" t="str">
        <f aca="false">IF(OR(G660="",G660="なし"),"",IF(W660="経理区分別",BB660+BC660,""))</f>
        <v/>
      </c>
      <c r="AD660" s="27"/>
      <c r="AE660" s="29" t="str">
        <f aca="false">IF(OR(G660="",G660="なし"),"",IF(W660="経理区分別",BD660+BE660,""))</f>
        <v/>
      </c>
      <c r="AF660" s="27"/>
      <c r="AG660" s="26"/>
      <c r="AH660" s="26"/>
      <c r="AI660" s="30"/>
      <c r="AJ660" s="31" t="n">
        <v>22444035</v>
      </c>
      <c r="AK660" s="31" t="n">
        <v>1839675</v>
      </c>
      <c r="AL660" s="31" t="n">
        <v>30701851</v>
      </c>
      <c r="AM660" s="31" t="n">
        <v>1839675</v>
      </c>
      <c r="AN660" s="31" t="n">
        <v>23557</v>
      </c>
      <c r="AO660" s="31" t="n">
        <v>14184190</v>
      </c>
      <c r="AP660" s="31" t="n">
        <v>14402671</v>
      </c>
      <c r="AQ660" s="31" t="n">
        <v>1454376</v>
      </c>
      <c r="AR660" s="31" t="n">
        <v>1454376</v>
      </c>
      <c r="AS660" s="31" t="n">
        <v>1</v>
      </c>
      <c r="AT660" s="31" t="n">
        <v>1</v>
      </c>
      <c r="AU660" s="31" t="n">
        <f aca="false">IF($G660="",AJ660,L660)</f>
        <v>22444035</v>
      </c>
      <c r="AV660" s="31" t="n">
        <f aca="false">IF($G660="",AK660,M660)</f>
        <v>1839675</v>
      </c>
      <c r="AW660" s="31" t="n">
        <f aca="false">IF($G660="",AL660,N660)</f>
        <v>30701851</v>
      </c>
      <c r="AX660" s="31" t="n">
        <f aca="false">IF($G660="",AM660,O660)</f>
        <v>1839675</v>
      </c>
      <c r="AY660" s="31" t="n">
        <f aca="false">IF($G660="",AN660,P660)</f>
        <v>23557</v>
      </c>
      <c r="AZ660" s="31" t="n">
        <f aca="false">IF($G660="",AO660,Q660)</f>
        <v>14184190</v>
      </c>
      <c r="BA660" s="31" t="n">
        <f aca="false">IF($G660="",AP660,R660)</f>
        <v>14402671</v>
      </c>
      <c r="BB660" s="31" t="n">
        <f aca="false">IF($G660="",AQ660,S660)</f>
        <v>1454376</v>
      </c>
      <c r="BC660" s="31" t="n">
        <f aca="false">IF($G660="",AR660,T660)</f>
        <v>1454376</v>
      </c>
      <c r="BD660" s="31" t="n">
        <f aca="false">IF($G660="",AS660,U660)</f>
        <v>1</v>
      </c>
      <c r="BE660" s="31" t="n">
        <f aca="false">IF($G660="",AT660,V660)</f>
        <v>1</v>
      </c>
      <c r="BF660" s="31" t="n">
        <f aca="false">ROUNDDOWN(I660*設定!$B$10/1000,0)+ROUNDDOWN(I660*設定!$B$11/1000,0)</f>
        <v>0</v>
      </c>
      <c r="BG660" s="31" t="n">
        <f aca="false">ROUNDDOWN(I660*設定!$C$10/1000,0)+ROUNDDOWN(I660*設定!$C$11/1000,0)+ROUNDDOWN(I660*設定!$C$12/1000,0)</f>
        <v>0</v>
      </c>
      <c r="BH660" s="31" t="n">
        <f aca="false">ROUNDDOWN(J660*設定!$B$13/1000,0)</f>
        <v>0</v>
      </c>
      <c r="BI660" s="31" t="n">
        <f aca="false">ROUNDDOWN(J660*設定!$C$13/1000,0)</f>
        <v>0</v>
      </c>
      <c r="BJ660" s="31" t="n">
        <f aca="false">ROUNDDOWN(K660*設定!$B$14/1000,0)</f>
        <v>0</v>
      </c>
      <c r="BK660" s="31" t="n">
        <f aca="false">ROUNDDOWN(K660*設定!$C$14/1000,0)</f>
        <v>0</v>
      </c>
      <c r="BL660" s="31" t="n">
        <f aca="false">ROUNDDOWN(J660*設定!$B$15/1000,0)</f>
        <v>0</v>
      </c>
      <c r="BM660" s="31" t="n">
        <f aca="false">ROUNDDOWN(J660*設定!$C$15/1000,0)</f>
        <v>0</v>
      </c>
      <c r="BN660" s="31" t="n">
        <f aca="false">L660+M660</f>
        <v>0</v>
      </c>
      <c r="BO660" s="31" t="n">
        <f aca="false">N660+O660+P660</f>
        <v>0</v>
      </c>
      <c r="BP660" s="31" t="n">
        <f aca="false">Q660</f>
        <v>0</v>
      </c>
      <c r="BQ660" s="31" t="n">
        <f aca="false">R660</f>
        <v>0</v>
      </c>
      <c r="BR660" s="31" t="n">
        <f aca="false">S660</f>
        <v>0</v>
      </c>
      <c r="BS660" s="31" t="n">
        <f aca="false">T660</f>
        <v>0</v>
      </c>
      <c r="BT660" s="31" t="n">
        <f aca="false">U660</f>
        <v>0</v>
      </c>
      <c r="BU660" s="31" t="n">
        <f aca="false">V660</f>
        <v>0</v>
      </c>
      <c r="BV660" s="32" t="n">
        <f aca="false">IF(BF660=0,IF(BN660=0,0,1),(BN660-BF660)/BF660)</f>
        <v>0</v>
      </c>
      <c r="BW660" s="32" t="n">
        <f aca="false">IF(BG660=0,IF(BO660=0,0,1),(BO660-BG660)/BG660)</f>
        <v>0</v>
      </c>
      <c r="BX660" s="32" t="n">
        <f aca="false">IF(BH660=0,IF(BP660=0,0,1),(BP660-BH660)/BH660)</f>
        <v>0</v>
      </c>
      <c r="BY660" s="32" t="n">
        <f aca="false">IF(BI660=0,IF(BQ660=0,0,1),(BQ660-BI660)/BI660)</f>
        <v>0</v>
      </c>
      <c r="BZ660" s="32" t="n">
        <f aca="false">IF(BJ660=0,IF(BR660=0,0,1),(BR660-BJ660)/BJ660)</f>
        <v>0</v>
      </c>
      <c r="CA660" s="32" t="n">
        <f aca="false">IF(BK660=0,IF(BS660=0,0,1),(BS660-BK660)/BK660)</f>
        <v>0</v>
      </c>
      <c r="CB660" s="32" t="n">
        <f aca="false">IF(BL660=0,IF(BT660=0,0,1),(BT660-BL660)/BL660)</f>
        <v>0</v>
      </c>
      <c r="CC660" s="32" t="n">
        <f aca="false">IF(BM660=0,IF(BU660=0,0,1),(BU660-BM660)/BM660)</f>
        <v>0</v>
      </c>
      <c r="CD660" s="32" t="n">
        <f aca="false">MAX(MAX(BV660:CC660),-MIN(BV660:CC660))</f>
        <v>-0</v>
      </c>
      <c r="CE660" s="31" t="n">
        <f aca="false">IF(CI660="","",SUMIFS($CF$7:$CF$696,$A$7:$A$696,CI660,$B$7:$B$696,B660))</f>
        <v>90459332</v>
      </c>
      <c r="CF660" s="31" t="n">
        <f aca="false">SUM(AU660:BE660)</f>
        <v>88344408</v>
      </c>
      <c r="CG660" s="33" t="str">
        <f aca="false">A660&amp;"|"&amp;B660</f>
        <v>2027-03 月例|水道局</v>
      </c>
      <c r="CH660" s="34" t="str">
        <f aca="false">IFERROR(INDEX(設定!$D$61:$D$106,MATCH(B660,設定!$B$61:$B$106,0)),"Y")</f>
        <v>N</v>
      </c>
      <c r="CI660" s="34" t="str">
        <f aca="false">IFERROR(INDEX(設定!$D$20:$D$34,MATCH(A660,設定!$A$20:$A$34,0))&amp;"","")</f>
        <v>2027-02 月例</v>
      </c>
    </row>
    <row r="661" customFormat="false" ht="15" hidden="true" customHeight="false" outlineLevel="0" collapsed="false">
      <c r="A661" s="22" t="s">
        <v>222</v>
      </c>
      <c r="B661" s="23" t="s">
        <v>170</v>
      </c>
      <c r="C661" s="10" t="str">
        <f aca="false">IF(G661="","未受領",IF(G661="なし","報告なし",IF(AH661="○","起票済",IF(OR(AG661="○",F661="一致",F661="入金不要"),"入金確認済","受領済"))))</f>
        <v>未受領</v>
      </c>
      <c r="D661" s="10" t="str">
        <f aca="false">IF(OR(G661="",G661="なし"),"―",IF(CH661="N","対象外",IF(AND(I661="",J661="",K661=""),"標報未入力",IF(CD661&gt;=設定!$B$4,"要確認","問題なし"))))</f>
        <v>―</v>
      </c>
      <c r="E661" s="24" t="str">
        <f aca="false">IF(OR(G661="",G661="なし",CE661="",CF661=0),"―",IF(CF661=CE661,"前月同額",IF(CE661=0,"―",IF(ABS(CF661/CE661-1)&gt;=設定!$B$5,"変動大 "&amp;TEXT(CF661/CE661-1,"+0%;-0%"),"〇"))))</f>
        <v>―</v>
      </c>
      <c r="F661" s="10" t="str">
        <f aca="false">IF(OR(G661="",G661="なし"),"―",IF(CF661=0,"入金不要",IF(COUNT(Z661,AB661,AD661,AF661)=0,IF(AG661="○","手動確認","未入金"),IF(AND(N(Z661)=Y661,IF(AA661="",TRUE(),N(AB661)=AA661),IF(AC661="",TRUE(),N(AD661)=AC661),IF(AE661="",TRUE(),N(AF661)=AE661)),"一致","不一致"))))</f>
        <v>―</v>
      </c>
      <c r="G661" s="25"/>
      <c r="H661" s="26"/>
      <c r="I661" s="27"/>
      <c r="J661" s="27"/>
      <c r="K661" s="27"/>
      <c r="L661" s="27"/>
      <c r="M661" s="27"/>
      <c r="N661" s="27"/>
      <c r="O661" s="27"/>
      <c r="P661" s="27"/>
      <c r="Q661" s="27"/>
      <c r="R661" s="27"/>
      <c r="S661" s="27"/>
      <c r="T661" s="27"/>
      <c r="U661" s="27"/>
      <c r="V661" s="27"/>
      <c r="W661" s="10" t="str">
        <f aca="false">IFERROR(INDEX(設定!$E$61:$E$106,MATCH(B661,設定!$B$61:$B$106,0)),"合算")</f>
        <v>合算</v>
      </c>
      <c r="X661" s="28"/>
      <c r="Y661" s="29" t="str">
        <f aca="false">IF(OR(G661="",G661="なし"),"",IF(W661="合算",CF661,IF(W661="掛金・負担金別",(AU661+AV661+AZ661+BB661+BD661),SUM(AU661:AY661))))</f>
        <v/>
      </c>
      <c r="Z661" s="27"/>
      <c r="AA661" s="29" t="str">
        <f aca="false">IF(OR(G661="",G661="なし"),"",IF(W661="掛金・負担金別",(AW661+AX661+AY661+BA661+BC661+BE661),IF(W661="経理区分別",AZ661+BA661,"")))</f>
        <v/>
      </c>
      <c r="AB661" s="27"/>
      <c r="AC661" s="29" t="str">
        <f aca="false">IF(OR(G661="",G661="なし"),"",IF(W661="経理区分別",BB661+BC661,""))</f>
        <v/>
      </c>
      <c r="AD661" s="27"/>
      <c r="AE661" s="29" t="str">
        <f aca="false">IF(OR(G661="",G661="なし"),"",IF(W661="経理区分別",BD661+BE661,""))</f>
        <v/>
      </c>
      <c r="AF661" s="27"/>
      <c r="AG661" s="26"/>
      <c r="AH661" s="26"/>
      <c r="AI661" s="30"/>
      <c r="AJ661" s="31" t="n">
        <v>48495</v>
      </c>
      <c r="AK661" s="31" t="n">
        <v>3975</v>
      </c>
      <c r="AL661" s="31" t="n">
        <v>70490</v>
      </c>
      <c r="AM661" s="31" t="n">
        <v>3975</v>
      </c>
      <c r="AN661" s="31" t="n">
        <v>49</v>
      </c>
      <c r="AO661" s="31" t="n">
        <v>29155</v>
      </c>
      <c r="AP661" s="31" t="n">
        <v>29669</v>
      </c>
      <c r="AQ661" s="31" t="n">
        <v>4187</v>
      </c>
      <c r="AR661" s="31" t="n">
        <v>4187</v>
      </c>
      <c r="AS661" s="31" t="n">
        <v>1</v>
      </c>
      <c r="AT661" s="31" t="n">
        <v>1</v>
      </c>
      <c r="AU661" s="31" t="n">
        <f aca="false">IF($G661="",AJ661,L661)</f>
        <v>48495</v>
      </c>
      <c r="AV661" s="31" t="n">
        <f aca="false">IF($G661="",AK661,M661)</f>
        <v>3975</v>
      </c>
      <c r="AW661" s="31" t="n">
        <f aca="false">IF($G661="",AL661,N661)</f>
        <v>70490</v>
      </c>
      <c r="AX661" s="31" t="n">
        <f aca="false">IF($G661="",AM661,O661)</f>
        <v>3975</v>
      </c>
      <c r="AY661" s="31" t="n">
        <f aca="false">IF($G661="",AN661,P661)</f>
        <v>49</v>
      </c>
      <c r="AZ661" s="31" t="n">
        <f aca="false">IF($G661="",AO661,Q661)</f>
        <v>29155</v>
      </c>
      <c r="BA661" s="31" t="n">
        <f aca="false">IF($G661="",AP661,R661)</f>
        <v>29669</v>
      </c>
      <c r="BB661" s="31" t="n">
        <f aca="false">IF($G661="",AQ661,S661)</f>
        <v>4187</v>
      </c>
      <c r="BC661" s="31" t="n">
        <f aca="false">IF($G661="",AR661,T661)</f>
        <v>4187</v>
      </c>
      <c r="BD661" s="31" t="n">
        <f aca="false">IF($G661="",AS661,U661)</f>
        <v>1</v>
      </c>
      <c r="BE661" s="31" t="n">
        <f aca="false">IF($G661="",AT661,V661)</f>
        <v>1</v>
      </c>
      <c r="BF661" s="31" t="n">
        <f aca="false">ROUNDDOWN(I661*設定!$B$10/1000,0)+ROUNDDOWN(I661*設定!$B$11/1000,0)</f>
        <v>0</v>
      </c>
      <c r="BG661" s="31" t="n">
        <f aca="false">ROUNDDOWN(I661*設定!$C$10/1000,0)+ROUNDDOWN(I661*設定!$C$11/1000,0)+ROUNDDOWN(I661*設定!$C$12/1000,0)</f>
        <v>0</v>
      </c>
      <c r="BH661" s="31" t="n">
        <f aca="false">ROUNDDOWN(J661*設定!$B$13/1000,0)</f>
        <v>0</v>
      </c>
      <c r="BI661" s="31" t="n">
        <f aca="false">ROUNDDOWN(J661*設定!$C$13/1000,0)</f>
        <v>0</v>
      </c>
      <c r="BJ661" s="31" t="n">
        <f aca="false">ROUNDDOWN(K661*設定!$B$14/1000,0)</f>
        <v>0</v>
      </c>
      <c r="BK661" s="31" t="n">
        <f aca="false">ROUNDDOWN(K661*設定!$C$14/1000,0)</f>
        <v>0</v>
      </c>
      <c r="BL661" s="31" t="n">
        <f aca="false">ROUNDDOWN(J661*設定!$B$15/1000,0)</f>
        <v>0</v>
      </c>
      <c r="BM661" s="31" t="n">
        <f aca="false">ROUNDDOWN(J661*設定!$C$15/1000,0)</f>
        <v>0</v>
      </c>
      <c r="BN661" s="31" t="n">
        <f aca="false">L661+M661</f>
        <v>0</v>
      </c>
      <c r="BO661" s="31" t="n">
        <f aca="false">N661+O661+P661</f>
        <v>0</v>
      </c>
      <c r="BP661" s="31" t="n">
        <f aca="false">Q661</f>
        <v>0</v>
      </c>
      <c r="BQ661" s="31" t="n">
        <f aca="false">R661</f>
        <v>0</v>
      </c>
      <c r="BR661" s="31" t="n">
        <f aca="false">S661</f>
        <v>0</v>
      </c>
      <c r="BS661" s="31" t="n">
        <f aca="false">T661</f>
        <v>0</v>
      </c>
      <c r="BT661" s="31" t="n">
        <f aca="false">U661</f>
        <v>0</v>
      </c>
      <c r="BU661" s="31" t="n">
        <f aca="false">V661</f>
        <v>0</v>
      </c>
      <c r="BV661" s="32" t="n">
        <f aca="false">IF(BF661=0,IF(BN661=0,0,1),(BN661-BF661)/BF661)</f>
        <v>0</v>
      </c>
      <c r="BW661" s="32" t="n">
        <f aca="false">IF(BG661=0,IF(BO661=0,0,1),(BO661-BG661)/BG661)</f>
        <v>0</v>
      </c>
      <c r="BX661" s="32" t="n">
        <f aca="false">IF(BH661=0,IF(BP661=0,0,1),(BP661-BH661)/BH661)</f>
        <v>0</v>
      </c>
      <c r="BY661" s="32" t="n">
        <f aca="false">IF(BI661=0,IF(BQ661=0,0,1),(BQ661-BI661)/BI661)</f>
        <v>0</v>
      </c>
      <c r="BZ661" s="32" t="n">
        <f aca="false">IF(BJ661=0,IF(BR661=0,0,1),(BR661-BJ661)/BJ661)</f>
        <v>0</v>
      </c>
      <c r="CA661" s="32" t="n">
        <f aca="false">IF(BK661=0,IF(BS661=0,0,1),(BS661-BK661)/BK661)</f>
        <v>0</v>
      </c>
      <c r="CB661" s="32" t="n">
        <f aca="false">IF(BL661=0,IF(BT661=0,0,1),(BT661-BL661)/BL661)</f>
        <v>0</v>
      </c>
      <c r="CC661" s="32" t="n">
        <f aca="false">IF(BM661=0,IF(BU661=0,0,1),(BU661-BM661)/BM661)</f>
        <v>0</v>
      </c>
      <c r="CD661" s="32" t="n">
        <f aca="false">MAX(MAX(BV661:CC661),-MIN(BV661:CC661))</f>
        <v>-0</v>
      </c>
      <c r="CE661" s="31" t="n">
        <f aca="false">IF(CI661="","",SUMIFS($CF$7:$CF$696,$A$7:$A$696,CI661,$B$7:$B$696,B661))</f>
        <v>194184</v>
      </c>
      <c r="CF661" s="31" t="n">
        <f aca="false">SUM(AU661:BE661)</f>
        <v>194184</v>
      </c>
      <c r="CG661" s="33" t="str">
        <f aca="false">A661&amp;"|"&amp;B661</f>
        <v>2027-03 月例|医療政策課(安芸市民)</v>
      </c>
      <c r="CH661" s="34" t="str">
        <f aca="false">IFERROR(INDEX(設定!$D$61:$D$106,MATCH(B661,設定!$B$61:$B$106,0)),"Y")</f>
        <v>Y</v>
      </c>
      <c r="CI661" s="34" t="str">
        <f aca="false">IFERROR(INDEX(設定!$D$20:$D$34,MATCH(A661,設定!$A$20:$A$34,0))&amp;"","")</f>
        <v>2027-02 月例</v>
      </c>
    </row>
    <row r="662" customFormat="false" ht="15" hidden="true" customHeight="false" outlineLevel="0" collapsed="false">
      <c r="A662" s="22" t="s">
        <v>222</v>
      </c>
      <c r="B662" s="23" t="s">
        <v>171</v>
      </c>
      <c r="C662" s="10" t="str">
        <f aca="false">IF(G662="","未受領",IF(G662="なし","報告なし",IF(AH662="○","起票済",IF(OR(AG662="○",F662="一致",F662="入金不要"),"入金確認済","受領済"))))</f>
        <v>未受領</v>
      </c>
      <c r="D662" s="10" t="str">
        <f aca="false">IF(OR(G662="",G662="なし"),"―",IF(CH662="N","対象外",IF(AND(I662="",J662="",K662=""),"標報未入力",IF(CD662&gt;=設定!$B$4,"要確認","問題なし"))))</f>
        <v>―</v>
      </c>
      <c r="E662" s="24" t="str">
        <f aca="false">IF(OR(G662="",G662="なし",CE662="",CF662=0),"―",IF(CF662=CE662,"前月同額",IF(CE662=0,"―",IF(ABS(CF662/CE662-1)&gt;=設定!$B$5,"変動大 "&amp;TEXT(CF662/CE662-1,"+0%;-0%"),"〇"))))</f>
        <v>―</v>
      </c>
      <c r="F662" s="10" t="str">
        <f aca="false">IF(OR(G662="",G662="なし"),"―",IF(CF662=0,"入金不要",IF(COUNT(Z662,AB662,AD662,AF662)=0,IF(AG662="○","手動確認","未入金"),IF(AND(N(Z662)=Y662,IF(AA662="",TRUE(),N(AB662)=AA662),IF(AC662="",TRUE(),N(AD662)=AC662),IF(AE662="",TRUE(),N(AF662)=AE662)),"一致","不一致"))))</f>
        <v>―</v>
      </c>
      <c r="G662" s="25"/>
      <c r="H662" s="26"/>
      <c r="I662" s="27"/>
      <c r="J662" s="27"/>
      <c r="K662" s="27"/>
      <c r="L662" s="27"/>
      <c r="M662" s="27"/>
      <c r="N662" s="27"/>
      <c r="O662" s="27"/>
      <c r="P662" s="27"/>
      <c r="Q662" s="27"/>
      <c r="R662" s="27"/>
      <c r="S662" s="27"/>
      <c r="T662" s="27"/>
      <c r="U662" s="27"/>
      <c r="V662" s="27"/>
      <c r="W662" s="10" t="str">
        <f aca="false">IFERROR(INDEX(設定!$E$61:$E$106,MATCH(B662,設定!$B$61:$B$106,0)),"合算")</f>
        <v>合算</v>
      </c>
      <c r="X662" s="28"/>
      <c r="Y662" s="29" t="str">
        <f aca="false">IF(OR(G662="",G662="なし"),"",IF(W662="合算",CF662,IF(W662="掛金・負担金別",(AU662+AV662+AZ662+BB662+BD662),SUM(AU662:AY662))))</f>
        <v/>
      </c>
      <c r="Z662" s="27"/>
      <c r="AA662" s="29" t="str">
        <f aca="false">IF(OR(G662="",G662="なし"),"",IF(W662="掛金・負担金別",(AW662+AX662+AY662+BA662+BC662+BE662),IF(W662="経理区分別",AZ662+BA662,"")))</f>
        <v/>
      </c>
      <c r="AB662" s="27"/>
      <c r="AC662" s="29" t="str">
        <f aca="false">IF(OR(G662="",G662="なし"),"",IF(W662="経理区分別",BB662+BC662,""))</f>
        <v/>
      </c>
      <c r="AD662" s="27"/>
      <c r="AE662" s="29" t="str">
        <f aca="false">IF(OR(G662="",G662="なし"),"",IF(W662="経理区分別",BD662+BE662,""))</f>
        <v/>
      </c>
      <c r="AF662" s="27"/>
      <c r="AG662" s="26"/>
      <c r="AH662" s="26"/>
      <c r="AI662" s="30"/>
      <c r="AJ662" s="31" t="n">
        <v>0</v>
      </c>
      <c r="AK662" s="31" t="n">
        <v>0</v>
      </c>
      <c r="AL662" s="31"/>
      <c r="AM662" s="31"/>
      <c r="AN662" s="31" t="n">
        <v>0</v>
      </c>
      <c r="AO662" s="31" t="n">
        <v>132568</v>
      </c>
      <c r="AP662" s="31" t="n">
        <v>134598</v>
      </c>
      <c r="AQ662" s="31" t="n">
        <v>9156</v>
      </c>
      <c r="AR662" s="31" t="n">
        <v>9156</v>
      </c>
      <c r="AS662" s="31" t="n">
        <v>1</v>
      </c>
      <c r="AT662" s="31" t="n">
        <v>1</v>
      </c>
      <c r="AU662" s="31" t="n">
        <f aca="false">IF($G662="",AJ662,L662)</f>
        <v>0</v>
      </c>
      <c r="AV662" s="31" t="n">
        <f aca="false">IF($G662="",AK662,M662)</f>
        <v>0</v>
      </c>
      <c r="AW662" s="31" t="n">
        <f aca="false">IF($G662="",AL662,N662)</f>
        <v>0</v>
      </c>
      <c r="AX662" s="31" t="n">
        <f aca="false">IF($G662="",AM662,O662)</f>
        <v>0</v>
      </c>
      <c r="AY662" s="31" t="n">
        <f aca="false">IF($G662="",AN662,P662)</f>
        <v>0</v>
      </c>
      <c r="AZ662" s="31" t="n">
        <f aca="false">IF($G662="",AO662,Q662)</f>
        <v>132568</v>
      </c>
      <c r="BA662" s="31" t="n">
        <f aca="false">IF($G662="",AP662,R662)</f>
        <v>134598</v>
      </c>
      <c r="BB662" s="31" t="n">
        <f aca="false">IF($G662="",AQ662,S662)</f>
        <v>9156</v>
      </c>
      <c r="BC662" s="31" t="n">
        <f aca="false">IF($G662="",AR662,T662)</f>
        <v>9156</v>
      </c>
      <c r="BD662" s="31" t="n">
        <f aca="false">IF($G662="",AS662,U662)</f>
        <v>1</v>
      </c>
      <c r="BE662" s="31" t="n">
        <f aca="false">IF($G662="",AT662,V662)</f>
        <v>1</v>
      </c>
      <c r="BF662" s="31" t="n">
        <f aca="false">ROUNDDOWN(I662*設定!$B$10/1000,0)+ROUNDDOWN(I662*設定!$B$11/1000,0)</f>
        <v>0</v>
      </c>
      <c r="BG662" s="31" t="n">
        <f aca="false">ROUNDDOWN(I662*設定!$C$10/1000,0)+ROUNDDOWN(I662*設定!$C$11/1000,0)+ROUNDDOWN(I662*設定!$C$12/1000,0)</f>
        <v>0</v>
      </c>
      <c r="BH662" s="31" t="n">
        <f aca="false">ROUNDDOWN(J662*設定!$B$13/1000,0)</f>
        <v>0</v>
      </c>
      <c r="BI662" s="31" t="n">
        <f aca="false">ROUNDDOWN(J662*設定!$C$13/1000,0)</f>
        <v>0</v>
      </c>
      <c r="BJ662" s="31" t="n">
        <f aca="false">ROUNDDOWN(K662*設定!$B$14/1000,0)</f>
        <v>0</v>
      </c>
      <c r="BK662" s="31" t="n">
        <f aca="false">ROUNDDOWN(K662*設定!$C$14/1000,0)</f>
        <v>0</v>
      </c>
      <c r="BL662" s="31" t="n">
        <f aca="false">ROUNDDOWN(J662*設定!$B$15/1000,0)</f>
        <v>0</v>
      </c>
      <c r="BM662" s="31" t="n">
        <f aca="false">ROUNDDOWN(J662*設定!$C$15/1000,0)</f>
        <v>0</v>
      </c>
      <c r="BN662" s="31" t="n">
        <f aca="false">L662+M662</f>
        <v>0</v>
      </c>
      <c r="BO662" s="31" t="n">
        <f aca="false">N662+O662+P662</f>
        <v>0</v>
      </c>
      <c r="BP662" s="31" t="n">
        <f aca="false">Q662</f>
        <v>0</v>
      </c>
      <c r="BQ662" s="31" t="n">
        <f aca="false">R662</f>
        <v>0</v>
      </c>
      <c r="BR662" s="31" t="n">
        <f aca="false">S662</f>
        <v>0</v>
      </c>
      <c r="BS662" s="31" t="n">
        <f aca="false">T662</f>
        <v>0</v>
      </c>
      <c r="BT662" s="31" t="n">
        <f aca="false">U662</f>
        <v>0</v>
      </c>
      <c r="BU662" s="31" t="n">
        <f aca="false">V662</f>
        <v>0</v>
      </c>
      <c r="BV662" s="32" t="n">
        <f aca="false">IF(BF662=0,IF(BN662=0,0,1),(BN662-BF662)/BF662)</f>
        <v>0</v>
      </c>
      <c r="BW662" s="32" t="n">
        <f aca="false">IF(BG662=0,IF(BO662=0,0,1),(BO662-BG662)/BG662)</f>
        <v>0</v>
      </c>
      <c r="BX662" s="32" t="n">
        <f aca="false">IF(BH662=0,IF(BP662=0,0,1),(BP662-BH662)/BH662)</f>
        <v>0</v>
      </c>
      <c r="BY662" s="32" t="n">
        <f aca="false">IF(BI662=0,IF(BQ662=0,0,1),(BQ662-BI662)/BI662)</f>
        <v>0</v>
      </c>
      <c r="BZ662" s="32" t="n">
        <f aca="false">IF(BJ662=0,IF(BR662=0,0,1),(BR662-BJ662)/BJ662)</f>
        <v>0</v>
      </c>
      <c r="CA662" s="32" t="n">
        <f aca="false">IF(BK662=0,IF(BS662=0,0,1),(BS662-BK662)/BK662)</f>
        <v>0</v>
      </c>
      <c r="CB662" s="32" t="n">
        <f aca="false">IF(BL662=0,IF(BT662=0,0,1),(BT662-BL662)/BL662)</f>
        <v>0</v>
      </c>
      <c r="CC662" s="32" t="n">
        <f aca="false">IF(BM662=0,IF(BU662=0,0,1),(BU662-BM662)/BM662)</f>
        <v>0</v>
      </c>
      <c r="CD662" s="32" t="n">
        <f aca="false">MAX(MAX(BV662:CC662),-MIN(BV662:CC662))</f>
        <v>-0</v>
      </c>
      <c r="CE662" s="31" t="n">
        <f aca="false">IF(CI662="","",SUMIFS($CF$7:$CF$696,$A$7:$A$696,CI662,$B$7:$B$696,B662))</f>
        <v>517418</v>
      </c>
      <c r="CF662" s="31" t="n">
        <f aca="false">SUM(AU662:BE662)</f>
        <v>285480</v>
      </c>
      <c r="CG662" s="33" t="str">
        <f aca="false">A662&amp;"|"&amp;B662</f>
        <v>2027-03 月例|教育委員会（教育給与課）</v>
      </c>
      <c r="CH662" s="34" t="str">
        <f aca="false">IFERROR(INDEX(設定!$D$61:$D$106,MATCH(B662,設定!$B$61:$B$106,0)),"Y")</f>
        <v>Y</v>
      </c>
      <c r="CI662" s="34" t="str">
        <f aca="false">IFERROR(INDEX(設定!$D$20:$D$34,MATCH(A662,設定!$A$20:$A$34,0))&amp;"","")</f>
        <v>2027-02 月例</v>
      </c>
    </row>
    <row r="663" customFormat="false" ht="15" hidden="true" customHeight="false" outlineLevel="0" collapsed="false">
      <c r="A663" s="22" t="s">
        <v>222</v>
      </c>
      <c r="B663" s="23" t="s">
        <v>172</v>
      </c>
      <c r="C663" s="10" t="str">
        <f aca="false">IF(G663="","未受領",IF(G663="なし","報告なし",IF(AH663="○","起票済",IF(OR(AG663="○",F663="一致",F663="入金不要"),"入金確認済","受領済"))))</f>
        <v>報告なし</v>
      </c>
      <c r="D663" s="10" t="str">
        <f aca="false">IF(OR(G663="",G663="なし"),"―",IF(CH663="N","対象外",IF(AND(I663="",J663="",K663=""),"標報未入力",IF(CD663&gt;=設定!$B$4,"要確認","問題なし"))))</f>
        <v>―</v>
      </c>
      <c r="E663" s="24" t="str">
        <f aca="false">IF(OR(G663="",G663="なし",CE663="",CF663=0),"―",IF(CF663=CE663,"前月同額",IF(CE663=0,"―",IF(ABS(CF663/CE663-1)&gt;=設定!$B$5,"変動大 "&amp;TEXT(CF663/CE663-1,"+0%;-0%"),"〇"))))</f>
        <v>―</v>
      </c>
      <c r="F663" s="10" t="str">
        <f aca="false">IF(OR(G663="",G663="なし"),"―",IF(CF663=0,"入金不要",IF(COUNT(Z663,AB663,AD663,AF663)=0,IF(AG663="○","手動確認","未入金"),IF(AND(N(Z663)=Y663,IF(AA663="",TRUE(),N(AB663)=AA663),IF(AC663="",TRUE(),N(AD663)=AC663),IF(AE663="",TRUE(),N(AF663)=AE663)),"一致","不一致"))))</f>
        <v>―</v>
      </c>
      <c r="G663" s="25" t="s">
        <v>173</v>
      </c>
      <c r="H663" s="26"/>
      <c r="I663" s="27"/>
      <c r="J663" s="27"/>
      <c r="K663" s="27"/>
      <c r="L663" s="27"/>
      <c r="M663" s="27"/>
      <c r="N663" s="27"/>
      <c r="O663" s="27"/>
      <c r="P663" s="27"/>
      <c r="Q663" s="27"/>
      <c r="R663" s="27"/>
      <c r="S663" s="27"/>
      <c r="T663" s="27"/>
      <c r="U663" s="27"/>
      <c r="V663" s="27"/>
      <c r="W663" s="10" t="str">
        <f aca="false">IFERROR(INDEX(設定!$E$61:$E$106,MATCH(B663,設定!$B$61:$B$106,0)),"合算")</f>
        <v>合算</v>
      </c>
      <c r="X663" s="28"/>
      <c r="Y663" s="29" t="str">
        <f aca="false">IF(OR(G663="",G663="なし"),"",IF(W663="合算",CF663,IF(W663="掛金・負担金別",(AU663+AV663+AZ663+BB663+BD663),SUM(AU663:AY663))))</f>
        <v/>
      </c>
      <c r="Z663" s="27"/>
      <c r="AA663" s="29" t="str">
        <f aca="false">IF(OR(G663="",G663="なし"),"",IF(W663="掛金・負担金別",(AW663+AX663+AY663+BA663+BC663+BE663),IF(W663="経理区分別",AZ663+BA663,"")))</f>
        <v/>
      </c>
      <c r="AB663" s="27"/>
      <c r="AC663" s="29" t="str">
        <f aca="false">IF(OR(G663="",G663="なし"),"",IF(W663="経理区分別",BB663+BC663,""))</f>
        <v/>
      </c>
      <c r="AD663" s="27"/>
      <c r="AE663" s="29" t="str">
        <f aca="false">IF(OR(G663="",G663="なし"),"",IF(W663="経理区分別",BD663+BE663,""))</f>
        <v/>
      </c>
      <c r="AF663" s="27"/>
      <c r="AG663" s="26"/>
      <c r="AH663" s="26"/>
      <c r="AI663" s="30"/>
      <c r="AJ663" s="31"/>
      <c r="AK663" s="31"/>
      <c r="AL663" s="31"/>
      <c r="AM663" s="31"/>
      <c r="AN663" s="31"/>
      <c r="AO663" s="31"/>
      <c r="AP663" s="31"/>
      <c r="AQ663" s="31"/>
      <c r="AR663" s="31"/>
      <c r="AS663" s="31"/>
      <c r="AT663" s="31"/>
      <c r="AU663" s="31" t="n">
        <f aca="false">IF($G663="",AJ663,L663)</f>
        <v>0</v>
      </c>
      <c r="AV663" s="31" t="n">
        <f aca="false">IF($G663="",AK663,M663)</f>
        <v>0</v>
      </c>
      <c r="AW663" s="31" t="n">
        <f aca="false">IF($G663="",AL663,N663)</f>
        <v>0</v>
      </c>
      <c r="AX663" s="31" t="n">
        <f aca="false">IF($G663="",AM663,O663)</f>
        <v>0</v>
      </c>
      <c r="AY663" s="31" t="n">
        <f aca="false">IF($G663="",AN663,P663)</f>
        <v>0</v>
      </c>
      <c r="AZ663" s="31" t="n">
        <f aca="false">IF($G663="",AO663,Q663)</f>
        <v>0</v>
      </c>
      <c r="BA663" s="31" t="n">
        <f aca="false">IF($G663="",AP663,R663)</f>
        <v>0</v>
      </c>
      <c r="BB663" s="31" t="n">
        <f aca="false">IF($G663="",AQ663,S663)</f>
        <v>0</v>
      </c>
      <c r="BC663" s="31" t="n">
        <f aca="false">IF($G663="",AR663,T663)</f>
        <v>0</v>
      </c>
      <c r="BD663" s="31" t="n">
        <f aca="false">IF($G663="",AS663,U663)</f>
        <v>0</v>
      </c>
      <c r="BE663" s="31" t="n">
        <f aca="false">IF($G663="",AT663,V663)</f>
        <v>0</v>
      </c>
      <c r="BF663" s="31" t="n">
        <f aca="false">ROUNDDOWN(I663*設定!$B$10/1000,0)+ROUNDDOWN(I663*設定!$B$11/1000,0)</f>
        <v>0</v>
      </c>
      <c r="BG663" s="31" t="n">
        <f aca="false">ROUNDDOWN(I663*設定!$C$10/1000,0)+ROUNDDOWN(I663*設定!$C$11/1000,0)+ROUNDDOWN(I663*設定!$C$12/1000,0)</f>
        <v>0</v>
      </c>
      <c r="BH663" s="31" t="n">
        <f aca="false">ROUNDDOWN(J663*設定!$B$13/1000,0)</f>
        <v>0</v>
      </c>
      <c r="BI663" s="31" t="n">
        <f aca="false">ROUNDDOWN(J663*設定!$C$13/1000,0)</f>
        <v>0</v>
      </c>
      <c r="BJ663" s="31" t="n">
        <f aca="false">ROUNDDOWN(K663*設定!$B$14/1000,0)</f>
        <v>0</v>
      </c>
      <c r="BK663" s="31" t="n">
        <f aca="false">ROUNDDOWN(K663*設定!$C$14/1000,0)</f>
        <v>0</v>
      </c>
      <c r="BL663" s="31" t="n">
        <f aca="false">ROUNDDOWN(J663*設定!$B$15/1000,0)</f>
        <v>0</v>
      </c>
      <c r="BM663" s="31" t="n">
        <f aca="false">ROUNDDOWN(J663*設定!$C$15/1000,0)</f>
        <v>0</v>
      </c>
      <c r="BN663" s="31" t="n">
        <f aca="false">L663+M663</f>
        <v>0</v>
      </c>
      <c r="BO663" s="31" t="n">
        <f aca="false">N663+O663+P663</f>
        <v>0</v>
      </c>
      <c r="BP663" s="31" t="n">
        <f aca="false">Q663</f>
        <v>0</v>
      </c>
      <c r="BQ663" s="31" t="n">
        <f aca="false">R663</f>
        <v>0</v>
      </c>
      <c r="BR663" s="31" t="n">
        <f aca="false">S663</f>
        <v>0</v>
      </c>
      <c r="BS663" s="31" t="n">
        <f aca="false">T663</f>
        <v>0</v>
      </c>
      <c r="BT663" s="31" t="n">
        <f aca="false">U663</f>
        <v>0</v>
      </c>
      <c r="BU663" s="31" t="n">
        <f aca="false">V663</f>
        <v>0</v>
      </c>
      <c r="BV663" s="32" t="n">
        <f aca="false">IF(BF663=0,IF(BN663=0,0,1),(BN663-BF663)/BF663)</f>
        <v>0</v>
      </c>
      <c r="BW663" s="32" t="n">
        <f aca="false">IF(BG663=0,IF(BO663=0,0,1),(BO663-BG663)/BG663)</f>
        <v>0</v>
      </c>
      <c r="BX663" s="32" t="n">
        <f aca="false">IF(BH663=0,IF(BP663=0,0,1),(BP663-BH663)/BH663)</f>
        <v>0</v>
      </c>
      <c r="BY663" s="32" t="n">
        <f aca="false">IF(BI663=0,IF(BQ663=0,0,1),(BQ663-BI663)/BI663)</f>
        <v>0</v>
      </c>
      <c r="BZ663" s="32" t="n">
        <f aca="false">IF(BJ663=0,IF(BR663=0,0,1),(BR663-BJ663)/BJ663)</f>
        <v>0</v>
      </c>
      <c r="CA663" s="32" t="n">
        <f aca="false">IF(BK663=0,IF(BS663=0,0,1),(BS663-BK663)/BK663)</f>
        <v>0</v>
      </c>
      <c r="CB663" s="32" t="n">
        <f aca="false">IF(BL663=0,IF(BT663=0,0,1),(BT663-BL663)/BL663)</f>
        <v>0</v>
      </c>
      <c r="CC663" s="32" t="n">
        <f aca="false">IF(BM663=0,IF(BU663=0,0,1),(BU663-BM663)/BM663)</f>
        <v>0</v>
      </c>
      <c r="CD663" s="32" t="n">
        <f aca="false">MAX(MAX(BV663:CC663),-MIN(BV663:CC663))</f>
        <v>-0</v>
      </c>
      <c r="CE663" s="31" t="n">
        <f aca="false">IF(CI663="","",SUMIFS($CF$7:$CF$696,$A$7:$A$696,CI663,$B$7:$B$696,B663))</f>
        <v>0</v>
      </c>
      <c r="CF663" s="31" t="n">
        <f aca="false">SUM(AU663:BE663)</f>
        <v>0</v>
      </c>
      <c r="CG663" s="33" t="str">
        <f aca="false">A663&amp;"|"&amp;B663</f>
        <v>2027-03 月例|地方税共同機構</v>
      </c>
      <c r="CH663" s="34" t="str">
        <f aca="false">IFERROR(INDEX(設定!$D$61:$D$106,MATCH(B663,設定!$B$61:$B$106,0)),"Y")</f>
        <v>Y</v>
      </c>
      <c r="CI663" s="34" t="str">
        <f aca="false">IFERROR(INDEX(設定!$D$20:$D$34,MATCH(A663,設定!$A$20:$A$34,0))&amp;"","")</f>
        <v>2027-02 月例</v>
      </c>
    </row>
    <row r="664" customFormat="false" ht="15" hidden="true" customHeight="false" outlineLevel="0" collapsed="false">
      <c r="A664" s="22" t="s">
        <v>222</v>
      </c>
      <c r="B664" s="23" t="s">
        <v>174</v>
      </c>
      <c r="C664" s="10" t="str">
        <f aca="false">IF(G664="","未受領",IF(G664="なし","報告なし",IF(AH664="○","起票済",IF(OR(AG664="○",F664="一致",F664="入金不要"),"入金確認済","受領済"))))</f>
        <v>未受領</v>
      </c>
      <c r="D664" s="10" t="str">
        <f aca="false">IF(OR(G664="",G664="なし"),"―",IF(CH664="N","対象外",IF(AND(I664="",J664="",K664=""),"標報未入力",IF(CD664&gt;=設定!$B$4,"要確認","問題なし"))))</f>
        <v>―</v>
      </c>
      <c r="E664" s="24" t="str">
        <f aca="false">IF(OR(G664="",G664="なし",CE664="",CF664=0),"―",IF(CF664=CE664,"前月同額",IF(CE664=0,"―",IF(ABS(CF664/CE664-1)&gt;=設定!$B$5,"変動大 "&amp;TEXT(CF664/CE664-1,"+0%;-0%"),"〇"))))</f>
        <v>―</v>
      </c>
      <c r="F664" s="10" t="str">
        <f aca="false">IF(OR(G664="",G664="なし"),"―",IF(CF664=0,"入金不要",IF(COUNT(Z664,AB664,AD664,AF664)=0,IF(AG664="○","手動確認","未入金"),IF(AND(N(Z664)=Y664,IF(AA664="",TRUE(),N(AB664)=AA664),IF(AC664="",TRUE(),N(AD664)=AC664),IF(AE664="",TRUE(),N(AF664)=AE664)),"一致","不一致"))))</f>
        <v>―</v>
      </c>
      <c r="G664" s="25"/>
      <c r="H664" s="26"/>
      <c r="I664" s="27"/>
      <c r="J664" s="27"/>
      <c r="K664" s="27"/>
      <c r="L664" s="27"/>
      <c r="M664" s="27"/>
      <c r="N664" s="27"/>
      <c r="O664" s="27"/>
      <c r="P664" s="27"/>
      <c r="Q664" s="27"/>
      <c r="R664" s="27"/>
      <c r="S664" s="27"/>
      <c r="T664" s="27"/>
      <c r="U664" s="27"/>
      <c r="V664" s="27"/>
      <c r="W664" s="10" t="str">
        <f aca="false">IFERROR(INDEX(設定!$E$61:$E$106,MATCH(B664,設定!$B$61:$B$106,0)),"合算")</f>
        <v>合算</v>
      </c>
      <c r="X664" s="28"/>
      <c r="Y664" s="29" t="str">
        <f aca="false">IF(OR(G664="",G664="なし"),"",IF(W664="合算",CF664,IF(W664="掛金・負担金別",(AU664+AV664+AZ664+BB664+BD664),SUM(AU664:AY664))))</f>
        <v/>
      </c>
      <c r="Z664" s="27"/>
      <c r="AA664" s="29" t="str">
        <f aca="false">IF(OR(G664="",G664="なし"),"",IF(W664="掛金・負担金別",(AW664+AX664+AY664+BA664+BC664+BE664),IF(W664="経理区分別",AZ664+BA664,"")))</f>
        <v/>
      </c>
      <c r="AB664" s="27"/>
      <c r="AC664" s="29" t="str">
        <f aca="false">IF(OR(G664="",G664="なし"),"",IF(W664="経理区分別",BB664+BC664,""))</f>
        <v/>
      </c>
      <c r="AD664" s="27"/>
      <c r="AE664" s="29" t="str">
        <f aca="false">IF(OR(G664="",G664="なし"),"",IF(W664="経理区分別",BD664+BE664,""))</f>
        <v/>
      </c>
      <c r="AF664" s="27"/>
      <c r="AG664" s="26"/>
      <c r="AH664" s="26"/>
      <c r="AI664" s="30"/>
      <c r="AJ664" s="31" t="n">
        <v>45750</v>
      </c>
      <c r="AK664" s="31" t="n">
        <v>3750</v>
      </c>
      <c r="AL664" s="31" t="n">
        <v>494100</v>
      </c>
      <c r="AM664" s="31" t="n">
        <v>40500</v>
      </c>
      <c r="AN664" s="31" t="n">
        <v>545</v>
      </c>
      <c r="AO664" s="31" t="n">
        <v>27505</v>
      </c>
      <c r="AP664" s="31" t="n">
        <v>297625</v>
      </c>
      <c r="AQ664" s="31" t="n">
        <v>4200</v>
      </c>
      <c r="AR664" s="31" t="n">
        <v>35112</v>
      </c>
      <c r="AS664" s="31" t="n">
        <v>0</v>
      </c>
      <c r="AT664" s="31" t="n">
        <v>1</v>
      </c>
      <c r="AU664" s="31" t="n">
        <f aca="false">IF($G664="",AJ664,L664)</f>
        <v>45750</v>
      </c>
      <c r="AV664" s="31" t="n">
        <f aca="false">IF($G664="",AK664,M664)</f>
        <v>3750</v>
      </c>
      <c r="AW664" s="31" t="n">
        <f aca="false">IF($G664="",AL664,N664)</f>
        <v>494100</v>
      </c>
      <c r="AX664" s="31" t="n">
        <f aca="false">IF($G664="",AM664,O664)</f>
        <v>40500</v>
      </c>
      <c r="AY664" s="31" t="n">
        <f aca="false">IF($G664="",AN664,P664)</f>
        <v>545</v>
      </c>
      <c r="AZ664" s="31" t="n">
        <f aca="false">IF($G664="",AO664,Q664)</f>
        <v>27505</v>
      </c>
      <c r="BA664" s="31" t="n">
        <f aca="false">IF($G664="",AP664,R664)</f>
        <v>297625</v>
      </c>
      <c r="BB664" s="31" t="n">
        <f aca="false">IF($G664="",AQ664,S664)</f>
        <v>4200</v>
      </c>
      <c r="BC664" s="31" t="n">
        <f aca="false">IF($G664="",AR664,T664)</f>
        <v>35112</v>
      </c>
      <c r="BD664" s="31" t="n">
        <f aca="false">IF($G664="",AS664,U664)</f>
        <v>0</v>
      </c>
      <c r="BE664" s="31" t="n">
        <f aca="false">IF($G664="",AT664,V664)</f>
        <v>1</v>
      </c>
      <c r="BF664" s="31" t="n">
        <f aca="false">ROUNDDOWN(I664*設定!$B$10/1000,0)+ROUNDDOWN(I664*設定!$B$11/1000,0)</f>
        <v>0</v>
      </c>
      <c r="BG664" s="31" t="n">
        <f aca="false">ROUNDDOWN(I664*設定!$C$10/1000,0)+ROUNDDOWN(I664*設定!$C$11/1000,0)+ROUNDDOWN(I664*設定!$C$12/1000,0)</f>
        <v>0</v>
      </c>
      <c r="BH664" s="31" t="n">
        <f aca="false">ROUNDDOWN(J664*設定!$B$13/1000,0)</f>
        <v>0</v>
      </c>
      <c r="BI664" s="31" t="n">
        <f aca="false">ROUNDDOWN(J664*設定!$C$13/1000,0)</f>
        <v>0</v>
      </c>
      <c r="BJ664" s="31" t="n">
        <f aca="false">ROUNDDOWN(K664*設定!$B$14/1000,0)</f>
        <v>0</v>
      </c>
      <c r="BK664" s="31" t="n">
        <f aca="false">ROUNDDOWN(K664*設定!$C$14/1000,0)</f>
        <v>0</v>
      </c>
      <c r="BL664" s="31" t="n">
        <f aca="false">ROUNDDOWN(J664*設定!$B$15/1000,0)</f>
        <v>0</v>
      </c>
      <c r="BM664" s="31" t="n">
        <f aca="false">ROUNDDOWN(J664*設定!$C$15/1000,0)</f>
        <v>0</v>
      </c>
      <c r="BN664" s="31" t="n">
        <f aca="false">L664+M664</f>
        <v>0</v>
      </c>
      <c r="BO664" s="31" t="n">
        <f aca="false">N664+O664+P664</f>
        <v>0</v>
      </c>
      <c r="BP664" s="31" t="n">
        <f aca="false">Q664</f>
        <v>0</v>
      </c>
      <c r="BQ664" s="31" t="n">
        <f aca="false">R664</f>
        <v>0</v>
      </c>
      <c r="BR664" s="31" t="n">
        <f aca="false">S664</f>
        <v>0</v>
      </c>
      <c r="BS664" s="31" t="n">
        <f aca="false">T664</f>
        <v>0</v>
      </c>
      <c r="BT664" s="31" t="n">
        <f aca="false">U664</f>
        <v>0</v>
      </c>
      <c r="BU664" s="31" t="n">
        <f aca="false">V664</f>
        <v>0</v>
      </c>
      <c r="BV664" s="32" t="n">
        <f aca="false">IF(BF664=0,IF(BN664=0,0,1),(BN664-BF664)/BF664)</f>
        <v>0</v>
      </c>
      <c r="BW664" s="32" t="n">
        <f aca="false">IF(BG664=0,IF(BO664=0,0,1),(BO664-BG664)/BG664)</f>
        <v>0</v>
      </c>
      <c r="BX664" s="32" t="n">
        <f aca="false">IF(BH664=0,IF(BP664=0,0,1),(BP664-BH664)/BH664)</f>
        <v>0</v>
      </c>
      <c r="BY664" s="32" t="n">
        <f aca="false">IF(BI664=0,IF(BQ664=0,0,1),(BQ664-BI664)/BI664)</f>
        <v>0</v>
      </c>
      <c r="BZ664" s="32" t="n">
        <f aca="false">IF(BJ664=0,IF(BR664=0,0,1),(BR664-BJ664)/BJ664)</f>
        <v>0</v>
      </c>
      <c r="CA664" s="32" t="n">
        <f aca="false">IF(BK664=0,IF(BS664=0,0,1),(BS664-BK664)/BK664)</f>
        <v>0</v>
      </c>
      <c r="CB664" s="32" t="n">
        <f aca="false">IF(BL664=0,IF(BT664=0,0,1),(BT664-BL664)/BL664)</f>
        <v>0</v>
      </c>
      <c r="CC664" s="32" t="n">
        <f aca="false">IF(BM664=0,IF(BU664=0,0,1),(BU664-BM664)/BM664)</f>
        <v>0</v>
      </c>
      <c r="CD664" s="32" t="n">
        <f aca="false">MAX(MAX(BV664:CC664),-MIN(BV664:CC664))</f>
        <v>-0</v>
      </c>
      <c r="CE664" s="31" t="n">
        <f aca="false">IF(CI664="","",SUMIFS($CF$7:$CF$696,$A$7:$A$696,CI664,$B$7:$B$696,B664))</f>
        <v>1189038</v>
      </c>
      <c r="CF664" s="31" t="n">
        <f aca="false">SUM(AU664:BE664)</f>
        <v>949088</v>
      </c>
      <c r="CG664" s="33" t="str">
        <f aca="false">A664&amp;"|"&amp;B664</f>
        <v>2027-03 月例|平和文化センター</v>
      </c>
      <c r="CH664" s="34" t="str">
        <f aca="false">IFERROR(INDEX(設定!$D$61:$D$106,MATCH(B664,設定!$B$61:$B$106,0)),"Y")</f>
        <v>Y</v>
      </c>
      <c r="CI664" s="34" t="str">
        <f aca="false">IFERROR(INDEX(設定!$D$20:$D$34,MATCH(A664,設定!$A$20:$A$34,0))&amp;"","")</f>
        <v>2027-02 月例</v>
      </c>
    </row>
    <row r="665" customFormat="false" ht="15" hidden="true" customHeight="false" outlineLevel="0" collapsed="false">
      <c r="A665" s="22" t="s">
        <v>222</v>
      </c>
      <c r="B665" s="23" t="s">
        <v>175</v>
      </c>
      <c r="C665" s="10" t="str">
        <f aca="false">IF(G665="","未受領",IF(G665="なし","報告なし",IF(AH665="○","起票済",IF(OR(AG665="○",F665="一致",F665="入金不要"),"入金確認済","受領済"))))</f>
        <v>未受領</v>
      </c>
      <c r="D665" s="10" t="str">
        <f aca="false">IF(OR(G665="",G665="なし"),"―",IF(CH665="N","対象外",IF(AND(I665="",J665="",K665=""),"標報未入力",IF(CD665&gt;=設定!$B$4,"要確認","問題なし"))))</f>
        <v>―</v>
      </c>
      <c r="E665" s="24" t="str">
        <f aca="false">IF(OR(G665="",G665="なし",CE665="",CF665=0),"―",IF(CF665=CE665,"前月同額",IF(CE665=0,"―",IF(ABS(CF665/CE665-1)&gt;=設定!$B$5,"変動大 "&amp;TEXT(CF665/CE665-1,"+0%;-0%"),"〇"))))</f>
        <v>―</v>
      </c>
      <c r="F665" s="10" t="str">
        <f aca="false">IF(OR(G665="",G665="なし"),"―",IF(CF665=0,"入金不要",IF(COUNT(Z665,AB665,AD665,AF665)=0,IF(AG665="○","手動確認","未入金"),IF(AND(N(Z665)=Y665,IF(AA665="",TRUE(),N(AB665)=AA665),IF(AC665="",TRUE(),N(AD665)=AC665),IF(AE665="",TRUE(),N(AF665)=AE665)),"一致","不一致"))))</f>
        <v>―</v>
      </c>
      <c r="G665" s="25"/>
      <c r="H665" s="26"/>
      <c r="I665" s="27"/>
      <c r="J665" s="27"/>
      <c r="K665" s="27"/>
      <c r="L665" s="27"/>
      <c r="M665" s="27"/>
      <c r="N665" s="27"/>
      <c r="O665" s="27"/>
      <c r="P665" s="27"/>
      <c r="Q665" s="27"/>
      <c r="R665" s="27"/>
      <c r="S665" s="27"/>
      <c r="T665" s="27"/>
      <c r="U665" s="27"/>
      <c r="V665" s="27"/>
      <c r="W665" s="10" t="str">
        <f aca="false">IFERROR(INDEX(設定!$E$61:$E$106,MATCH(B665,設定!$B$61:$B$106,0)),"合算")</f>
        <v>合算</v>
      </c>
      <c r="X665" s="28"/>
      <c r="Y665" s="29" t="str">
        <f aca="false">IF(OR(G665="",G665="なし"),"",IF(W665="合算",CF665,IF(W665="掛金・負担金別",(AU665+AV665+AZ665+BB665+BD665),SUM(AU665:AY665))))</f>
        <v/>
      </c>
      <c r="Z665" s="27"/>
      <c r="AA665" s="29" t="str">
        <f aca="false">IF(OR(G665="",G665="なし"),"",IF(W665="掛金・負担金別",(AW665+AX665+AY665+BA665+BC665+BE665),IF(W665="経理区分別",AZ665+BA665,"")))</f>
        <v/>
      </c>
      <c r="AB665" s="27"/>
      <c r="AC665" s="29" t="str">
        <f aca="false">IF(OR(G665="",G665="なし"),"",IF(W665="経理区分別",BB665+BC665,""))</f>
        <v/>
      </c>
      <c r="AD665" s="27"/>
      <c r="AE665" s="29" t="str">
        <f aca="false">IF(OR(G665="",G665="なし"),"",IF(W665="経理区分別",BD665+BE665,""))</f>
        <v/>
      </c>
      <c r="AF665" s="27"/>
      <c r="AG665" s="26"/>
      <c r="AH665" s="26"/>
      <c r="AI665" s="30"/>
      <c r="AJ665" s="31"/>
      <c r="AK665" s="31"/>
      <c r="AL665" s="31" t="n">
        <v>1895880</v>
      </c>
      <c r="AM665" s="31" t="n">
        <v>155400</v>
      </c>
      <c r="AN665" s="31" t="n">
        <v>1997</v>
      </c>
      <c r="AO665" s="31"/>
      <c r="AP665" s="31" t="n">
        <v>1280817</v>
      </c>
      <c r="AQ665" s="31"/>
      <c r="AR665" s="31" t="n">
        <v>141726</v>
      </c>
      <c r="AS665" s="31"/>
      <c r="AT665" s="31" t="n">
        <v>1</v>
      </c>
      <c r="AU665" s="31" t="n">
        <f aca="false">IF($G665="",AJ665,L665)</f>
        <v>0</v>
      </c>
      <c r="AV665" s="31" t="n">
        <f aca="false">IF($G665="",AK665,M665)</f>
        <v>0</v>
      </c>
      <c r="AW665" s="31" t="n">
        <f aca="false">IF($G665="",AL665,N665)</f>
        <v>1895880</v>
      </c>
      <c r="AX665" s="31" t="n">
        <f aca="false">IF($G665="",AM665,O665)</f>
        <v>155400</v>
      </c>
      <c r="AY665" s="31" t="n">
        <f aca="false">IF($G665="",AN665,P665)</f>
        <v>1997</v>
      </c>
      <c r="AZ665" s="31" t="n">
        <f aca="false">IF($G665="",AO665,Q665)</f>
        <v>0</v>
      </c>
      <c r="BA665" s="31" t="n">
        <f aca="false">IF($G665="",AP665,R665)</f>
        <v>1280817</v>
      </c>
      <c r="BB665" s="31" t="n">
        <f aca="false">IF($G665="",AQ665,S665)</f>
        <v>0</v>
      </c>
      <c r="BC665" s="31" t="n">
        <f aca="false">IF($G665="",AR665,T665)</f>
        <v>141726</v>
      </c>
      <c r="BD665" s="31" t="n">
        <f aca="false">IF($G665="",AS665,U665)</f>
        <v>0</v>
      </c>
      <c r="BE665" s="31" t="n">
        <f aca="false">IF($G665="",AT665,V665)</f>
        <v>1</v>
      </c>
      <c r="BF665" s="31" t="n">
        <f aca="false">ROUNDDOWN(I665*設定!$B$10/1000,0)+ROUNDDOWN(I665*設定!$B$11/1000,0)</f>
        <v>0</v>
      </c>
      <c r="BG665" s="31" t="n">
        <f aca="false">ROUNDDOWN(I665*設定!$C$10/1000,0)+ROUNDDOWN(I665*設定!$C$11/1000,0)+ROUNDDOWN(I665*設定!$C$12/1000,0)</f>
        <v>0</v>
      </c>
      <c r="BH665" s="31" t="n">
        <f aca="false">ROUNDDOWN(J665*設定!$B$13/1000,0)</f>
        <v>0</v>
      </c>
      <c r="BI665" s="31" t="n">
        <f aca="false">ROUNDDOWN(J665*設定!$C$13/1000,0)</f>
        <v>0</v>
      </c>
      <c r="BJ665" s="31" t="n">
        <f aca="false">ROUNDDOWN(K665*設定!$B$14/1000,0)</f>
        <v>0</v>
      </c>
      <c r="BK665" s="31" t="n">
        <f aca="false">ROUNDDOWN(K665*設定!$C$14/1000,0)</f>
        <v>0</v>
      </c>
      <c r="BL665" s="31" t="n">
        <f aca="false">ROUNDDOWN(J665*設定!$B$15/1000,0)</f>
        <v>0</v>
      </c>
      <c r="BM665" s="31" t="n">
        <f aca="false">ROUNDDOWN(J665*設定!$C$15/1000,0)</f>
        <v>0</v>
      </c>
      <c r="BN665" s="31" t="n">
        <f aca="false">L665+M665</f>
        <v>0</v>
      </c>
      <c r="BO665" s="31" t="n">
        <f aca="false">N665+O665+P665</f>
        <v>0</v>
      </c>
      <c r="BP665" s="31" t="n">
        <f aca="false">Q665</f>
        <v>0</v>
      </c>
      <c r="BQ665" s="31" t="n">
        <f aca="false">R665</f>
        <v>0</v>
      </c>
      <c r="BR665" s="31" t="n">
        <f aca="false">S665</f>
        <v>0</v>
      </c>
      <c r="BS665" s="31" t="n">
        <f aca="false">T665</f>
        <v>0</v>
      </c>
      <c r="BT665" s="31" t="n">
        <f aca="false">U665</f>
        <v>0</v>
      </c>
      <c r="BU665" s="31" t="n">
        <f aca="false">V665</f>
        <v>0</v>
      </c>
      <c r="BV665" s="32" t="n">
        <f aca="false">IF(BF665=0,IF(BN665=0,0,1),(BN665-BF665)/BF665)</f>
        <v>0</v>
      </c>
      <c r="BW665" s="32" t="n">
        <f aca="false">IF(BG665=0,IF(BO665=0,0,1),(BO665-BG665)/BG665)</f>
        <v>0</v>
      </c>
      <c r="BX665" s="32" t="n">
        <f aca="false">IF(BH665=0,IF(BP665=0,0,1),(BP665-BH665)/BH665)</f>
        <v>0</v>
      </c>
      <c r="BY665" s="32" t="n">
        <f aca="false">IF(BI665=0,IF(BQ665=0,0,1),(BQ665-BI665)/BI665)</f>
        <v>0</v>
      </c>
      <c r="BZ665" s="32" t="n">
        <f aca="false">IF(BJ665=0,IF(BR665=0,0,1),(BR665-BJ665)/BJ665)</f>
        <v>0</v>
      </c>
      <c r="CA665" s="32" t="n">
        <f aca="false">IF(BK665=0,IF(BS665=0,0,1),(BS665-BK665)/BK665)</f>
        <v>0</v>
      </c>
      <c r="CB665" s="32" t="n">
        <f aca="false">IF(BL665=0,IF(BT665=0,0,1),(BT665-BL665)/BL665)</f>
        <v>0</v>
      </c>
      <c r="CC665" s="32" t="n">
        <f aca="false">IF(BM665=0,IF(BU665=0,0,1),(BU665-BM665)/BM665)</f>
        <v>0</v>
      </c>
      <c r="CD665" s="32" t="n">
        <f aca="false">MAX(MAX(BV665:CC665),-MIN(BV665:CC665))</f>
        <v>-0</v>
      </c>
      <c r="CE665" s="31" t="n">
        <f aca="false">IF(CI665="","",SUMIFS($CF$7:$CF$696,$A$7:$A$696,CI665,$B$7:$B$696,B665))</f>
        <v>3459927</v>
      </c>
      <c r="CF665" s="31" t="n">
        <f aca="false">SUM(AU665:BE665)</f>
        <v>3475821</v>
      </c>
      <c r="CG665" s="33" t="str">
        <f aca="false">A665&amp;"|"&amp;B665</f>
        <v>2027-03 月例|社会福祉事業団</v>
      </c>
      <c r="CH665" s="34" t="str">
        <f aca="false">IFERROR(INDEX(設定!$D$61:$D$106,MATCH(B665,設定!$B$61:$B$106,0)),"Y")</f>
        <v>Y</v>
      </c>
      <c r="CI665" s="34" t="str">
        <f aca="false">IFERROR(INDEX(設定!$D$20:$D$34,MATCH(A665,設定!$A$20:$A$34,0))&amp;"","")</f>
        <v>2027-02 月例</v>
      </c>
    </row>
    <row r="666" customFormat="false" ht="15" hidden="true" customHeight="false" outlineLevel="0" collapsed="false">
      <c r="A666" s="22" t="s">
        <v>222</v>
      </c>
      <c r="B666" s="23" t="s">
        <v>176</v>
      </c>
      <c r="C666" s="10" t="str">
        <f aca="false">IF(G666="","未受領",IF(G666="なし","報告なし",IF(AH666="○","起票済",IF(OR(AG666="○",F666="一致",F666="入金不要"),"入金確認済","受領済"))))</f>
        <v>未受領</v>
      </c>
      <c r="D666" s="10" t="str">
        <f aca="false">IF(OR(G666="",G666="なし"),"―",IF(CH666="N","対象外",IF(AND(I666="",J666="",K666=""),"標報未入力",IF(CD666&gt;=設定!$B$4,"要確認","問題なし"))))</f>
        <v>―</v>
      </c>
      <c r="E666" s="24" t="str">
        <f aca="false">IF(OR(G666="",G666="なし",CE666="",CF666=0),"―",IF(CF666=CE666,"前月同額",IF(CE666=0,"―",IF(ABS(CF666/CE666-1)&gt;=設定!$B$5,"変動大 "&amp;TEXT(CF666/CE666-1,"+0%;-0%"),"〇"))))</f>
        <v>―</v>
      </c>
      <c r="F666" s="10" t="str">
        <f aca="false">IF(OR(G666="",G666="なし"),"―",IF(CF666=0,"入金不要",IF(COUNT(Z666,AB666,AD666,AF666)=0,IF(AG666="○","手動確認","未入金"),IF(AND(N(Z666)=Y666,IF(AA666="",TRUE(),N(AB666)=AA666),IF(AC666="",TRUE(),N(AD666)=AC666),IF(AE666="",TRUE(),N(AF666)=AE666)),"一致","不一致"))))</f>
        <v>―</v>
      </c>
      <c r="G666" s="25"/>
      <c r="H666" s="26"/>
      <c r="I666" s="27"/>
      <c r="J666" s="27"/>
      <c r="K666" s="27"/>
      <c r="L666" s="27"/>
      <c r="M666" s="27"/>
      <c r="N666" s="27"/>
      <c r="O666" s="27"/>
      <c r="P666" s="27"/>
      <c r="Q666" s="27"/>
      <c r="R666" s="27"/>
      <c r="S666" s="27"/>
      <c r="T666" s="27"/>
      <c r="U666" s="27"/>
      <c r="V666" s="27"/>
      <c r="W666" s="10" t="str">
        <f aca="false">IFERROR(INDEX(設定!$E$61:$E$106,MATCH(B666,設定!$B$61:$B$106,0)),"合算")</f>
        <v>合算</v>
      </c>
      <c r="X666" s="28"/>
      <c r="Y666" s="29" t="str">
        <f aca="false">IF(OR(G666="",G666="なし"),"",IF(W666="合算",CF666,IF(W666="掛金・負担金別",(AU666+AV666+AZ666+BB666+BD666),SUM(AU666:AY666))))</f>
        <v/>
      </c>
      <c r="Z666" s="27"/>
      <c r="AA666" s="29" t="str">
        <f aca="false">IF(OR(G666="",G666="なし"),"",IF(W666="掛金・負担金別",(AW666+AX666+AY666+BA666+BC666+BE666),IF(W666="経理区分別",AZ666+BA666,"")))</f>
        <v/>
      </c>
      <c r="AB666" s="27"/>
      <c r="AC666" s="29" t="str">
        <f aca="false">IF(OR(G666="",G666="なし"),"",IF(W666="経理区分別",BB666+BC666,""))</f>
        <v/>
      </c>
      <c r="AD666" s="27"/>
      <c r="AE666" s="29" t="str">
        <f aca="false">IF(OR(G666="",G666="なし"),"",IF(W666="経理区分別",BD666+BE666,""))</f>
        <v/>
      </c>
      <c r="AF666" s="27"/>
      <c r="AG666" s="26"/>
      <c r="AH666" s="26"/>
      <c r="AI666" s="30"/>
      <c r="AJ666" s="31"/>
      <c r="AK666" s="31"/>
      <c r="AL666" s="31" t="n">
        <v>48495</v>
      </c>
      <c r="AM666" s="31" t="n">
        <v>3975</v>
      </c>
      <c r="AN666" s="31" t="n">
        <v>50</v>
      </c>
      <c r="AO666" s="31"/>
      <c r="AP666" s="31" t="n">
        <v>29208</v>
      </c>
      <c r="AQ666" s="31"/>
      <c r="AR666" s="31" t="n">
        <v>4452</v>
      </c>
      <c r="AS666" s="31"/>
      <c r="AT666" s="31" t="n">
        <v>1</v>
      </c>
      <c r="AU666" s="31" t="n">
        <f aca="false">IF($G666="",AJ666,L666)</f>
        <v>0</v>
      </c>
      <c r="AV666" s="31" t="n">
        <f aca="false">IF($G666="",AK666,M666)</f>
        <v>0</v>
      </c>
      <c r="AW666" s="31" t="n">
        <f aca="false">IF($G666="",AL666,N666)</f>
        <v>48495</v>
      </c>
      <c r="AX666" s="31" t="n">
        <f aca="false">IF($G666="",AM666,O666)</f>
        <v>3975</v>
      </c>
      <c r="AY666" s="31" t="n">
        <f aca="false">IF($G666="",AN666,P666)</f>
        <v>50</v>
      </c>
      <c r="AZ666" s="31" t="n">
        <f aca="false">IF($G666="",AO666,Q666)</f>
        <v>0</v>
      </c>
      <c r="BA666" s="31" t="n">
        <f aca="false">IF($G666="",AP666,R666)</f>
        <v>29208</v>
      </c>
      <c r="BB666" s="31" t="n">
        <f aca="false">IF($G666="",AQ666,S666)</f>
        <v>0</v>
      </c>
      <c r="BC666" s="31" t="n">
        <f aca="false">IF($G666="",AR666,T666)</f>
        <v>4452</v>
      </c>
      <c r="BD666" s="31" t="n">
        <f aca="false">IF($G666="",AS666,U666)</f>
        <v>0</v>
      </c>
      <c r="BE666" s="31" t="n">
        <f aca="false">IF($G666="",AT666,V666)</f>
        <v>1</v>
      </c>
      <c r="BF666" s="31" t="n">
        <f aca="false">ROUNDDOWN(I666*設定!$B$10/1000,0)+ROUNDDOWN(I666*設定!$B$11/1000,0)</f>
        <v>0</v>
      </c>
      <c r="BG666" s="31" t="n">
        <f aca="false">ROUNDDOWN(I666*設定!$C$10/1000,0)+ROUNDDOWN(I666*設定!$C$11/1000,0)+ROUNDDOWN(I666*設定!$C$12/1000,0)</f>
        <v>0</v>
      </c>
      <c r="BH666" s="31" t="n">
        <f aca="false">ROUNDDOWN(J666*設定!$B$13/1000,0)</f>
        <v>0</v>
      </c>
      <c r="BI666" s="31" t="n">
        <f aca="false">ROUNDDOWN(J666*設定!$C$13/1000,0)</f>
        <v>0</v>
      </c>
      <c r="BJ666" s="31" t="n">
        <f aca="false">ROUNDDOWN(K666*設定!$B$14/1000,0)</f>
        <v>0</v>
      </c>
      <c r="BK666" s="31" t="n">
        <f aca="false">ROUNDDOWN(K666*設定!$C$14/1000,0)</f>
        <v>0</v>
      </c>
      <c r="BL666" s="31" t="n">
        <f aca="false">ROUNDDOWN(J666*設定!$B$15/1000,0)</f>
        <v>0</v>
      </c>
      <c r="BM666" s="31" t="n">
        <f aca="false">ROUNDDOWN(J666*設定!$C$15/1000,0)</f>
        <v>0</v>
      </c>
      <c r="BN666" s="31" t="n">
        <f aca="false">L666+M666</f>
        <v>0</v>
      </c>
      <c r="BO666" s="31" t="n">
        <f aca="false">N666+O666+P666</f>
        <v>0</v>
      </c>
      <c r="BP666" s="31" t="n">
        <f aca="false">Q666</f>
        <v>0</v>
      </c>
      <c r="BQ666" s="31" t="n">
        <f aca="false">R666</f>
        <v>0</v>
      </c>
      <c r="BR666" s="31" t="n">
        <f aca="false">S666</f>
        <v>0</v>
      </c>
      <c r="BS666" s="31" t="n">
        <f aca="false">T666</f>
        <v>0</v>
      </c>
      <c r="BT666" s="31" t="n">
        <f aca="false">U666</f>
        <v>0</v>
      </c>
      <c r="BU666" s="31" t="n">
        <f aca="false">V666</f>
        <v>0</v>
      </c>
      <c r="BV666" s="32" t="n">
        <f aca="false">IF(BF666=0,IF(BN666=0,0,1),(BN666-BF666)/BF666)</f>
        <v>0</v>
      </c>
      <c r="BW666" s="32" t="n">
        <f aca="false">IF(BG666=0,IF(BO666=0,0,1),(BO666-BG666)/BG666)</f>
        <v>0</v>
      </c>
      <c r="BX666" s="32" t="n">
        <f aca="false">IF(BH666=0,IF(BP666=0,0,1),(BP666-BH666)/BH666)</f>
        <v>0</v>
      </c>
      <c r="BY666" s="32" t="n">
        <f aca="false">IF(BI666=0,IF(BQ666=0,0,1),(BQ666-BI666)/BI666)</f>
        <v>0</v>
      </c>
      <c r="BZ666" s="32" t="n">
        <f aca="false">IF(BJ666=0,IF(BR666=0,0,1),(BR666-BJ666)/BJ666)</f>
        <v>0</v>
      </c>
      <c r="CA666" s="32" t="n">
        <f aca="false">IF(BK666=0,IF(BS666=0,0,1),(BS666-BK666)/BK666)</f>
        <v>0</v>
      </c>
      <c r="CB666" s="32" t="n">
        <f aca="false">IF(BL666=0,IF(BT666=0,0,1),(BT666-BL666)/BL666)</f>
        <v>0</v>
      </c>
      <c r="CC666" s="32" t="n">
        <f aca="false">IF(BM666=0,IF(BU666=0,0,1),(BU666-BM666)/BM666)</f>
        <v>0</v>
      </c>
      <c r="CD666" s="32" t="n">
        <f aca="false">MAX(MAX(BV666:CC666),-MIN(BV666:CC666))</f>
        <v>-0</v>
      </c>
      <c r="CE666" s="31" t="n">
        <f aca="false">IF(CI666="","",SUMIFS($CF$7:$CF$696,$A$7:$A$696,CI666,$B$7:$B$696,B666))</f>
        <v>85915</v>
      </c>
      <c r="CF666" s="31" t="n">
        <f aca="false">SUM(AU666:BE666)</f>
        <v>86181</v>
      </c>
      <c r="CG666" s="33" t="str">
        <f aca="false">A666&amp;"|"&amp;B666</f>
        <v>2027-03 月例|原爆障害対策協議会</v>
      </c>
      <c r="CH666" s="34" t="str">
        <f aca="false">IFERROR(INDEX(設定!$D$61:$D$106,MATCH(B666,設定!$B$61:$B$106,0)),"Y")</f>
        <v>Y</v>
      </c>
      <c r="CI666" s="34" t="str">
        <f aca="false">IFERROR(INDEX(設定!$D$20:$D$34,MATCH(A666,設定!$A$20:$A$34,0))&amp;"","")</f>
        <v>2027-02 月例</v>
      </c>
    </row>
    <row r="667" customFormat="false" ht="15" hidden="true" customHeight="false" outlineLevel="0" collapsed="false">
      <c r="A667" s="22" t="s">
        <v>222</v>
      </c>
      <c r="B667" s="23" t="s">
        <v>177</v>
      </c>
      <c r="C667" s="10" t="str">
        <f aca="false">IF(G667="","未受領",IF(G667="なし","報告なし",IF(AH667="○","起票済",IF(OR(AG667="○",F667="一致",F667="入金不要"),"入金確認済","受領済"))))</f>
        <v>未受領</v>
      </c>
      <c r="D667" s="10" t="str">
        <f aca="false">IF(OR(G667="",G667="なし"),"―",IF(CH667="N","対象外",IF(AND(I667="",J667="",K667=""),"標報未入力",IF(CD667&gt;=設定!$B$4,"要確認","問題なし"))))</f>
        <v>―</v>
      </c>
      <c r="E667" s="24" t="str">
        <f aca="false">IF(OR(G667="",G667="なし",CE667="",CF667=0),"―",IF(CF667=CE667,"前月同額",IF(CE667=0,"―",IF(ABS(CF667/CE667-1)&gt;=設定!$B$5,"変動大 "&amp;TEXT(CF667/CE667-1,"+0%;-0%"),"〇"))))</f>
        <v>―</v>
      </c>
      <c r="F667" s="10" t="str">
        <f aca="false">IF(OR(G667="",G667="なし"),"―",IF(CF667=0,"入金不要",IF(COUNT(Z667,AB667,AD667,AF667)=0,IF(AG667="○","手動確認","未入金"),IF(AND(N(Z667)=Y667,IF(AA667="",TRUE(),N(AB667)=AA667),IF(AC667="",TRUE(),N(AD667)=AC667),IF(AE667="",TRUE(),N(AF667)=AE667)),"一致","不一致"))))</f>
        <v>―</v>
      </c>
      <c r="G667" s="25"/>
      <c r="H667" s="26"/>
      <c r="I667" s="27"/>
      <c r="J667" s="27"/>
      <c r="K667" s="27"/>
      <c r="L667" s="27"/>
      <c r="M667" s="27"/>
      <c r="N667" s="27"/>
      <c r="O667" s="27"/>
      <c r="P667" s="27"/>
      <c r="Q667" s="27"/>
      <c r="R667" s="27"/>
      <c r="S667" s="27"/>
      <c r="T667" s="27"/>
      <c r="U667" s="27"/>
      <c r="V667" s="27"/>
      <c r="W667" s="10" t="str">
        <f aca="false">IFERROR(INDEX(設定!$E$61:$E$106,MATCH(B667,設定!$B$61:$B$106,0)),"合算")</f>
        <v>合算</v>
      </c>
      <c r="X667" s="28"/>
      <c r="Y667" s="29" t="str">
        <f aca="false">IF(OR(G667="",G667="なし"),"",IF(W667="合算",CF667,IF(W667="掛金・負担金別",(AU667+AV667+AZ667+BB667+BD667),SUM(AU667:AY667))))</f>
        <v/>
      </c>
      <c r="Z667" s="27"/>
      <c r="AA667" s="29" t="str">
        <f aca="false">IF(OR(G667="",G667="なし"),"",IF(W667="掛金・負担金別",(AW667+AX667+AY667+BA667+BC667+BE667),IF(W667="経理区分別",AZ667+BA667,"")))</f>
        <v/>
      </c>
      <c r="AB667" s="27"/>
      <c r="AC667" s="29" t="str">
        <f aca="false">IF(OR(G667="",G667="なし"),"",IF(W667="経理区分別",BB667+BC667,""))</f>
        <v/>
      </c>
      <c r="AD667" s="27"/>
      <c r="AE667" s="29" t="str">
        <f aca="false">IF(OR(G667="",G667="なし"),"",IF(W667="経理区分別",BD667+BE667,""))</f>
        <v/>
      </c>
      <c r="AF667" s="27"/>
      <c r="AG667" s="26"/>
      <c r="AH667" s="26"/>
      <c r="AI667" s="30"/>
      <c r="AJ667" s="31"/>
      <c r="AK667" s="31"/>
      <c r="AL667" s="31" t="n">
        <v>425475</v>
      </c>
      <c r="AM667" s="31" t="n">
        <v>34875</v>
      </c>
      <c r="AN667" s="31" t="n">
        <v>435</v>
      </c>
      <c r="AO667" s="31"/>
      <c r="AP667" s="31" t="n">
        <v>256260</v>
      </c>
      <c r="AQ667" s="31"/>
      <c r="AR667" s="31" t="n">
        <v>34207</v>
      </c>
      <c r="AS667" s="31"/>
      <c r="AT667" s="31" t="n">
        <v>1</v>
      </c>
      <c r="AU667" s="31" t="n">
        <f aca="false">IF($G667="",AJ667,L667)</f>
        <v>0</v>
      </c>
      <c r="AV667" s="31" t="n">
        <f aca="false">IF($G667="",AK667,M667)</f>
        <v>0</v>
      </c>
      <c r="AW667" s="31" t="n">
        <f aca="false">IF($G667="",AL667,N667)</f>
        <v>425475</v>
      </c>
      <c r="AX667" s="31" t="n">
        <f aca="false">IF($G667="",AM667,O667)</f>
        <v>34875</v>
      </c>
      <c r="AY667" s="31" t="n">
        <f aca="false">IF($G667="",AN667,P667)</f>
        <v>435</v>
      </c>
      <c r="AZ667" s="31" t="n">
        <f aca="false">IF($G667="",AO667,Q667)</f>
        <v>0</v>
      </c>
      <c r="BA667" s="31" t="n">
        <f aca="false">IF($G667="",AP667,R667)</f>
        <v>256260</v>
      </c>
      <c r="BB667" s="31" t="n">
        <f aca="false">IF($G667="",AQ667,S667)</f>
        <v>0</v>
      </c>
      <c r="BC667" s="31" t="n">
        <f aca="false">IF($G667="",AR667,T667)</f>
        <v>34207</v>
      </c>
      <c r="BD667" s="31" t="n">
        <f aca="false">IF($G667="",AS667,U667)</f>
        <v>0</v>
      </c>
      <c r="BE667" s="31" t="n">
        <f aca="false">IF($G667="",AT667,V667)</f>
        <v>1</v>
      </c>
      <c r="BF667" s="31" t="n">
        <f aca="false">ROUNDDOWN(I667*設定!$B$10/1000,0)+ROUNDDOWN(I667*設定!$B$11/1000,0)</f>
        <v>0</v>
      </c>
      <c r="BG667" s="31" t="n">
        <f aca="false">ROUNDDOWN(I667*設定!$C$10/1000,0)+ROUNDDOWN(I667*設定!$C$11/1000,0)+ROUNDDOWN(I667*設定!$C$12/1000,0)</f>
        <v>0</v>
      </c>
      <c r="BH667" s="31" t="n">
        <f aca="false">ROUNDDOWN(J667*設定!$B$13/1000,0)</f>
        <v>0</v>
      </c>
      <c r="BI667" s="31" t="n">
        <f aca="false">ROUNDDOWN(J667*設定!$C$13/1000,0)</f>
        <v>0</v>
      </c>
      <c r="BJ667" s="31" t="n">
        <f aca="false">ROUNDDOWN(K667*設定!$B$14/1000,0)</f>
        <v>0</v>
      </c>
      <c r="BK667" s="31" t="n">
        <f aca="false">ROUNDDOWN(K667*設定!$C$14/1000,0)</f>
        <v>0</v>
      </c>
      <c r="BL667" s="31" t="n">
        <f aca="false">ROUNDDOWN(J667*設定!$B$15/1000,0)</f>
        <v>0</v>
      </c>
      <c r="BM667" s="31" t="n">
        <f aca="false">ROUNDDOWN(J667*設定!$C$15/1000,0)</f>
        <v>0</v>
      </c>
      <c r="BN667" s="31" t="n">
        <f aca="false">L667+M667</f>
        <v>0</v>
      </c>
      <c r="BO667" s="31" t="n">
        <f aca="false">N667+O667+P667</f>
        <v>0</v>
      </c>
      <c r="BP667" s="31" t="n">
        <f aca="false">Q667</f>
        <v>0</v>
      </c>
      <c r="BQ667" s="31" t="n">
        <f aca="false">R667</f>
        <v>0</v>
      </c>
      <c r="BR667" s="31" t="n">
        <f aca="false">S667</f>
        <v>0</v>
      </c>
      <c r="BS667" s="31" t="n">
        <f aca="false">T667</f>
        <v>0</v>
      </c>
      <c r="BT667" s="31" t="n">
        <f aca="false">U667</f>
        <v>0</v>
      </c>
      <c r="BU667" s="31" t="n">
        <f aca="false">V667</f>
        <v>0</v>
      </c>
      <c r="BV667" s="32" t="n">
        <f aca="false">IF(BF667=0,IF(BN667=0,0,1),(BN667-BF667)/BF667)</f>
        <v>0</v>
      </c>
      <c r="BW667" s="32" t="n">
        <f aca="false">IF(BG667=0,IF(BO667=0,0,1),(BO667-BG667)/BG667)</f>
        <v>0</v>
      </c>
      <c r="BX667" s="32" t="n">
        <f aca="false">IF(BH667=0,IF(BP667=0,0,1),(BP667-BH667)/BH667)</f>
        <v>0</v>
      </c>
      <c r="BY667" s="32" t="n">
        <f aca="false">IF(BI667=0,IF(BQ667=0,0,1),(BQ667-BI667)/BI667)</f>
        <v>0</v>
      </c>
      <c r="BZ667" s="32" t="n">
        <f aca="false">IF(BJ667=0,IF(BR667=0,0,1),(BR667-BJ667)/BJ667)</f>
        <v>0</v>
      </c>
      <c r="CA667" s="32" t="n">
        <f aca="false">IF(BK667=0,IF(BS667=0,0,1),(BS667-BK667)/BK667)</f>
        <v>0</v>
      </c>
      <c r="CB667" s="32" t="n">
        <f aca="false">IF(BL667=0,IF(BT667=0,0,1),(BT667-BL667)/BL667)</f>
        <v>0</v>
      </c>
      <c r="CC667" s="32" t="n">
        <f aca="false">IF(BM667=0,IF(BU667=0,0,1),(BU667-BM667)/BM667)</f>
        <v>0</v>
      </c>
      <c r="CD667" s="32" t="n">
        <f aca="false">MAX(MAX(BV667:CC667),-MIN(BV667:CC667))</f>
        <v>-0</v>
      </c>
      <c r="CE667" s="31" t="n">
        <f aca="false">IF(CI667="","",SUMIFS($CF$7:$CF$696,$A$7:$A$696,CI667,$B$7:$B$696,B667))</f>
        <v>751253</v>
      </c>
      <c r="CF667" s="31" t="n">
        <f aca="false">SUM(AU667:BE667)</f>
        <v>751253</v>
      </c>
      <c r="CG667" s="33" t="str">
        <f aca="false">A667&amp;"|"&amp;B667</f>
        <v>2027-03 月例|産業振興センター</v>
      </c>
      <c r="CH667" s="34" t="str">
        <f aca="false">IFERROR(INDEX(設定!$D$61:$D$106,MATCH(B667,設定!$B$61:$B$106,0)),"Y")</f>
        <v>Y</v>
      </c>
      <c r="CI667" s="34" t="str">
        <f aca="false">IFERROR(INDEX(設定!$D$20:$D$34,MATCH(A667,設定!$A$20:$A$34,0))&amp;"","")</f>
        <v>2027-02 月例</v>
      </c>
    </row>
    <row r="668" customFormat="false" ht="15" hidden="true" customHeight="false" outlineLevel="0" collapsed="false">
      <c r="A668" s="22" t="s">
        <v>222</v>
      </c>
      <c r="B668" s="23" t="s">
        <v>178</v>
      </c>
      <c r="C668" s="10" t="str">
        <f aca="false">IF(G668="","未受領",IF(G668="なし","報告なし",IF(AH668="○","起票済",IF(OR(AG668="○",F668="一致",F668="入金不要"),"入金確認済","受領済"))))</f>
        <v>未受領</v>
      </c>
      <c r="D668" s="10" t="str">
        <f aca="false">IF(OR(G668="",G668="なし"),"―",IF(CH668="N","対象外",IF(AND(I668="",J668="",K668=""),"標報未入力",IF(CD668&gt;=設定!$B$4,"要確認","問題なし"))))</f>
        <v>―</v>
      </c>
      <c r="E668" s="24" t="str">
        <f aca="false">IF(OR(G668="",G668="なし",CE668="",CF668=0),"―",IF(CF668=CE668,"前月同額",IF(CE668=0,"―",IF(ABS(CF668/CE668-1)&gt;=設定!$B$5,"変動大 "&amp;TEXT(CF668/CE668-1,"+0%;-0%"),"〇"))))</f>
        <v>―</v>
      </c>
      <c r="F668" s="10" t="str">
        <f aca="false">IF(OR(G668="",G668="なし"),"―",IF(CF668=0,"入金不要",IF(COUNT(Z668,AB668,AD668,AF668)=0,IF(AG668="○","手動確認","未入金"),IF(AND(N(Z668)=Y668,IF(AA668="",TRUE(),N(AB668)=AA668),IF(AC668="",TRUE(),N(AD668)=AC668),IF(AE668="",TRUE(),N(AF668)=AE668)),"一致","不一致"))))</f>
        <v>―</v>
      </c>
      <c r="G668" s="25"/>
      <c r="H668" s="26"/>
      <c r="I668" s="27"/>
      <c r="J668" s="27"/>
      <c r="K668" s="27"/>
      <c r="L668" s="27"/>
      <c r="M668" s="27"/>
      <c r="N668" s="27"/>
      <c r="O668" s="27"/>
      <c r="P668" s="27"/>
      <c r="Q668" s="27"/>
      <c r="R668" s="27"/>
      <c r="S668" s="27"/>
      <c r="T668" s="27"/>
      <c r="U668" s="27"/>
      <c r="V668" s="27"/>
      <c r="W668" s="10" t="str">
        <f aca="false">IFERROR(INDEX(設定!$E$61:$E$106,MATCH(B668,設定!$B$61:$B$106,0)),"合算")</f>
        <v>合算</v>
      </c>
      <c r="X668" s="28"/>
      <c r="Y668" s="29" t="str">
        <f aca="false">IF(OR(G668="",G668="なし"),"",IF(W668="合算",CF668,IF(W668="掛金・負担金別",(AU668+AV668+AZ668+BB668+BD668),SUM(AU668:AY668))))</f>
        <v/>
      </c>
      <c r="Z668" s="27"/>
      <c r="AA668" s="29" t="str">
        <f aca="false">IF(OR(G668="",G668="なし"),"",IF(W668="掛金・負担金別",(AW668+AX668+AY668+BA668+BC668+BE668),IF(W668="経理区分別",AZ668+BA668,"")))</f>
        <v/>
      </c>
      <c r="AB668" s="27"/>
      <c r="AC668" s="29" t="str">
        <f aca="false">IF(OR(G668="",G668="なし"),"",IF(W668="経理区分別",BB668+BC668,""))</f>
        <v/>
      </c>
      <c r="AD668" s="27"/>
      <c r="AE668" s="29" t="str">
        <f aca="false">IF(OR(G668="",G668="なし"),"",IF(W668="経理区分別",BD668+BE668,""))</f>
        <v/>
      </c>
      <c r="AF668" s="27"/>
      <c r="AG668" s="26"/>
      <c r="AH668" s="26"/>
      <c r="AI668" s="30"/>
      <c r="AJ668" s="31"/>
      <c r="AK668" s="31"/>
      <c r="AL668" s="31" t="n">
        <v>86010</v>
      </c>
      <c r="AM668" s="31" t="n">
        <v>7050</v>
      </c>
      <c r="AN668" s="31" t="n">
        <v>88</v>
      </c>
      <c r="AO668" s="31"/>
      <c r="AP668" s="31" t="n">
        <v>51803</v>
      </c>
      <c r="AQ668" s="31"/>
      <c r="AR668" s="31" t="n">
        <v>7426</v>
      </c>
      <c r="AS668" s="31"/>
      <c r="AT668" s="31" t="n">
        <v>1</v>
      </c>
      <c r="AU668" s="31" t="n">
        <f aca="false">IF($G668="",AJ668,L668)</f>
        <v>0</v>
      </c>
      <c r="AV668" s="31" t="n">
        <f aca="false">IF($G668="",AK668,M668)</f>
        <v>0</v>
      </c>
      <c r="AW668" s="31" t="n">
        <f aca="false">IF($G668="",AL668,N668)</f>
        <v>86010</v>
      </c>
      <c r="AX668" s="31" t="n">
        <f aca="false">IF($G668="",AM668,O668)</f>
        <v>7050</v>
      </c>
      <c r="AY668" s="31" t="n">
        <f aca="false">IF($G668="",AN668,P668)</f>
        <v>88</v>
      </c>
      <c r="AZ668" s="31" t="n">
        <f aca="false">IF($G668="",AO668,Q668)</f>
        <v>0</v>
      </c>
      <c r="BA668" s="31" t="n">
        <f aca="false">IF($G668="",AP668,R668)</f>
        <v>51803</v>
      </c>
      <c r="BB668" s="31" t="n">
        <f aca="false">IF($G668="",AQ668,S668)</f>
        <v>0</v>
      </c>
      <c r="BC668" s="31" t="n">
        <f aca="false">IF($G668="",AR668,T668)</f>
        <v>7426</v>
      </c>
      <c r="BD668" s="31" t="n">
        <f aca="false">IF($G668="",AS668,U668)</f>
        <v>0</v>
      </c>
      <c r="BE668" s="31" t="n">
        <f aca="false">IF($G668="",AT668,V668)</f>
        <v>1</v>
      </c>
      <c r="BF668" s="31" t="n">
        <f aca="false">ROUNDDOWN(I668*設定!$B$10/1000,0)+ROUNDDOWN(I668*設定!$B$11/1000,0)</f>
        <v>0</v>
      </c>
      <c r="BG668" s="31" t="n">
        <f aca="false">ROUNDDOWN(I668*設定!$C$10/1000,0)+ROUNDDOWN(I668*設定!$C$11/1000,0)+ROUNDDOWN(I668*設定!$C$12/1000,0)</f>
        <v>0</v>
      </c>
      <c r="BH668" s="31" t="n">
        <f aca="false">ROUNDDOWN(J668*設定!$B$13/1000,0)</f>
        <v>0</v>
      </c>
      <c r="BI668" s="31" t="n">
        <f aca="false">ROUNDDOWN(J668*設定!$C$13/1000,0)</f>
        <v>0</v>
      </c>
      <c r="BJ668" s="31" t="n">
        <f aca="false">ROUNDDOWN(K668*設定!$B$14/1000,0)</f>
        <v>0</v>
      </c>
      <c r="BK668" s="31" t="n">
        <f aca="false">ROUNDDOWN(K668*設定!$C$14/1000,0)</f>
        <v>0</v>
      </c>
      <c r="BL668" s="31" t="n">
        <f aca="false">ROUNDDOWN(J668*設定!$B$15/1000,0)</f>
        <v>0</v>
      </c>
      <c r="BM668" s="31" t="n">
        <f aca="false">ROUNDDOWN(J668*設定!$C$15/1000,0)</f>
        <v>0</v>
      </c>
      <c r="BN668" s="31" t="n">
        <f aca="false">L668+M668</f>
        <v>0</v>
      </c>
      <c r="BO668" s="31" t="n">
        <f aca="false">N668+O668+P668</f>
        <v>0</v>
      </c>
      <c r="BP668" s="31" t="n">
        <f aca="false">Q668</f>
        <v>0</v>
      </c>
      <c r="BQ668" s="31" t="n">
        <f aca="false">R668</f>
        <v>0</v>
      </c>
      <c r="BR668" s="31" t="n">
        <f aca="false">S668</f>
        <v>0</v>
      </c>
      <c r="BS668" s="31" t="n">
        <f aca="false">T668</f>
        <v>0</v>
      </c>
      <c r="BT668" s="31" t="n">
        <f aca="false">U668</f>
        <v>0</v>
      </c>
      <c r="BU668" s="31" t="n">
        <f aca="false">V668</f>
        <v>0</v>
      </c>
      <c r="BV668" s="32" t="n">
        <f aca="false">IF(BF668=0,IF(BN668=0,0,1),(BN668-BF668)/BF668)</f>
        <v>0</v>
      </c>
      <c r="BW668" s="32" t="n">
        <f aca="false">IF(BG668=0,IF(BO668=0,0,1),(BO668-BG668)/BG668)</f>
        <v>0</v>
      </c>
      <c r="BX668" s="32" t="n">
        <f aca="false">IF(BH668=0,IF(BP668=0,0,1),(BP668-BH668)/BH668)</f>
        <v>0</v>
      </c>
      <c r="BY668" s="32" t="n">
        <f aca="false">IF(BI668=0,IF(BQ668=0,0,1),(BQ668-BI668)/BI668)</f>
        <v>0</v>
      </c>
      <c r="BZ668" s="32" t="n">
        <f aca="false">IF(BJ668=0,IF(BR668=0,0,1),(BR668-BJ668)/BJ668)</f>
        <v>0</v>
      </c>
      <c r="CA668" s="32" t="n">
        <f aca="false">IF(BK668=0,IF(BS668=0,0,1),(BS668-BK668)/BK668)</f>
        <v>0</v>
      </c>
      <c r="CB668" s="32" t="n">
        <f aca="false">IF(BL668=0,IF(BT668=0,0,1),(BT668-BL668)/BL668)</f>
        <v>0</v>
      </c>
      <c r="CC668" s="32" t="n">
        <f aca="false">IF(BM668=0,IF(BU668=0,0,1),(BU668-BM668)/BM668)</f>
        <v>0</v>
      </c>
      <c r="CD668" s="32" t="n">
        <f aca="false">MAX(MAX(BV668:CC668),-MIN(BV668:CC668))</f>
        <v>-0</v>
      </c>
      <c r="CE668" s="31" t="n">
        <f aca="false">IF(CI668="","",SUMIFS($CF$7:$CF$696,$A$7:$A$696,CI668,$B$7:$B$696,B668))</f>
        <v>152378</v>
      </c>
      <c r="CF668" s="31" t="n">
        <f aca="false">SUM(AU668:BE668)</f>
        <v>152378</v>
      </c>
      <c r="CG668" s="33" t="str">
        <f aca="false">A668&amp;"|"&amp;B668</f>
        <v>2027-03 月例|ひろしま産業振興</v>
      </c>
      <c r="CH668" s="34" t="str">
        <f aca="false">IFERROR(INDEX(設定!$D$61:$D$106,MATCH(B668,設定!$B$61:$B$106,0)),"Y")</f>
        <v>Y</v>
      </c>
      <c r="CI668" s="34" t="str">
        <f aca="false">IFERROR(INDEX(設定!$D$20:$D$34,MATCH(A668,設定!$A$20:$A$34,0))&amp;"","")</f>
        <v>2027-02 月例</v>
      </c>
    </row>
    <row r="669" customFormat="false" ht="15" hidden="true" customHeight="false" outlineLevel="0" collapsed="false">
      <c r="A669" s="22" t="s">
        <v>222</v>
      </c>
      <c r="B669" s="23" t="s">
        <v>179</v>
      </c>
      <c r="C669" s="10" t="str">
        <f aca="false">IF(G669="","未受領",IF(G669="なし","報告なし",IF(AH669="○","起票済",IF(OR(AG669="○",F669="一致",F669="入金不要"),"入金確認済","受領済"))))</f>
        <v>未受領</v>
      </c>
      <c r="D669" s="10" t="str">
        <f aca="false">IF(OR(G669="",G669="なし"),"―",IF(CH669="N","対象外",IF(AND(I669="",J669="",K669=""),"標報未入力",IF(CD669&gt;=設定!$B$4,"要確認","問題なし"))))</f>
        <v>―</v>
      </c>
      <c r="E669" s="24" t="str">
        <f aca="false">IF(OR(G669="",G669="なし",CE669="",CF669=0),"―",IF(CF669=CE669,"前月同額",IF(CE669=0,"―",IF(ABS(CF669/CE669-1)&gt;=設定!$B$5,"変動大 "&amp;TEXT(CF669/CE669-1,"+0%;-0%"),"〇"))))</f>
        <v>―</v>
      </c>
      <c r="F669" s="10" t="str">
        <f aca="false">IF(OR(G669="",G669="なし"),"―",IF(CF669=0,"入金不要",IF(COUNT(Z669,AB669,AD669,AF669)=0,IF(AG669="○","手動確認","未入金"),IF(AND(N(Z669)=Y669,IF(AA669="",TRUE(),N(AB669)=AA669),IF(AC669="",TRUE(),N(AD669)=AC669),IF(AE669="",TRUE(),N(AF669)=AE669)),"一致","不一致"))))</f>
        <v>―</v>
      </c>
      <c r="G669" s="25"/>
      <c r="H669" s="26"/>
      <c r="I669" s="27"/>
      <c r="J669" s="27"/>
      <c r="K669" s="27"/>
      <c r="L669" s="27"/>
      <c r="M669" s="27"/>
      <c r="N669" s="27"/>
      <c r="O669" s="27"/>
      <c r="P669" s="27"/>
      <c r="Q669" s="27"/>
      <c r="R669" s="27"/>
      <c r="S669" s="27"/>
      <c r="T669" s="27"/>
      <c r="U669" s="27"/>
      <c r="V669" s="27"/>
      <c r="W669" s="10" t="str">
        <f aca="false">IFERROR(INDEX(設定!$E$61:$E$106,MATCH(B669,設定!$B$61:$B$106,0)),"合算")</f>
        <v>合算</v>
      </c>
      <c r="X669" s="28"/>
      <c r="Y669" s="29" t="str">
        <f aca="false">IF(OR(G669="",G669="なし"),"",IF(W669="合算",CF669,IF(W669="掛金・負担金別",(AU669+AV669+AZ669+BB669+BD669),SUM(AU669:AY669))))</f>
        <v/>
      </c>
      <c r="Z669" s="27"/>
      <c r="AA669" s="29" t="str">
        <f aca="false">IF(OR(G669="",G669="なし"),"",IF(W669="掛金・負担金別",(AW669+AX669+AY669+BA669+BC669+BE669),IF(W669="経理区分別",AZ669+BA669,"")))</f>
        <v/>
      </c>
      <c r="AB669" s="27"/>
      <c r="AC669" s="29" t="str">
        <f aca="false">IF(OR(G669="",G669="なし"),"",IF(W669="経理区分別",BB669+BC669,""))</f>
        <v/>
      </c>
      <c r="AD669" s="27"/>
      <c r="AE669" s="29" t="str">
        <f aca="false">IF(OR(G669="",G669="なし"),"",IF(W669="経理区分別",BD669+BE669,""))</f>
        <v/>
      </c>
      <c r="AF669" s="27"/>
      <c r="AG669" s="26"/>
      <c r="AH669" s="26"/>
      <c r="AI669" s="30"/>
      <c r="AJ669" s="31"/>
      <c r="AK669" s="31"/>
      <c r="AL669" s="31" t="n">
        <v>48495</v>
      </c>
      <c r="AM669" s="31" t="n">
        <v>3975</v>
      </c>
      <c r="AN669" s="31" t="n">
        <v>49</v>
      </c>
      <c r="AO669" s="31"/>
      <c r="AP669" s="31" t="n">
        <v>29208</v>
      </c>
      <c r="AQ669" s="31"/>
      <c r="AR669" s="31" t="n">
        <v>4187</v>
      </c>
      <c r="AS669" s="31"/>
      <c r="AT669" s="31" t="n">
        <v>1</v>
      </c>
      <c r="AU669" s="31" t="n">
        <f aca="false">IF($G669="",AJ669,L669)</f>
        <v>0</v>
      </c>
      <c r="AV669" s="31" t="n">
        <f aca="false">IF($G669="",AK669,M669)</f>
        <v>0</v>
      </c>
      <c r="AW669" s="31" t="n">
        <f aca="false">IF($G669="",AL669,N669)</f>
        <v>48495</v>
      </c>
      <c r="AX669" s="31" t="n">
        <f aca="false">IF($G669="",AM669,O669)</f>
        <v>3975</v>
      </c>
      <c r="AY669" s="31" t="n">
        <f aca="false">IF($G669="",AN669,P669)</f>
        <v>49</v>
      </c>
      <c r="AZ669" s="31" t="n">
        <f aca="false">IF($G669="",AO669,Q669)</f>
        <v>0</v>
      </c>
      <c r="BA669" s="31" t="n">
        <f aca="false">IF($G669="",AP669,R669)</f>
        <v>29208</v>
      </c>
      <c r="BB669" s="31" t="n">
        <f aca="false">IF($G669="",AQ669,S669)</f>
        <v>0</v>
      </c>
      <c r="BC669" s="31" t="n">
        <f aca="false">IF($G669="",AR669,T669)</f>
        <v>4187</v>
      </c>
      <c r="BD669" s="31" t="n">
        <f aca="false">IF($G669="",AS669,U669)</f>
        <v>0</v>
      </c>
      <c r="BE669" s="31" t="n">
        <f aca="false">IF($G669="",AT669,V669)</f>
        <v>1</v>
      </c>
      <c r="BF669" s="31" t="n">
        <f aca="false">ROUNDDOWN(I669*設定!$B$10/1000,0)+ROUNDDOWN(I669*設定!$B$11/1000,0)</f>
        <v>0</v>
      </c>
      <c r="BG669" s="31" t="n">
        <f aca="false">ROUNDDOWN(I669*設定!$C$10/1000,0)+ROUNDDOWN(I669*設定!$C$11/1000,0)+ROUNDDOWN(I669*設定!$C$12/1000,0)</f>
        <v>0</v>
      </c>
      <c r="BH669" s="31" t="n">
        <f aca="false">ROUNDDOWN(J669*設定!$B$13/1000,0)</f>
        <v>0</v>
      </c>
      <c r="BI669" s="31" t="n">
        <f aca="false">ROUNDDOWN(J669*設定!$C$13/1000,0)</f>
        <v>0</v>
      </c>
      <c r="BJ669" s="31" t="n">
        <f aca="false">ROUNDDOWN(K669*設定!$B$14/1000,0)</f>
        <v>0</v>
      </c>
      <c r="BK669" s="31" t="n">
        <f aca="false">ROUNDDOWN(K669*設定!$C$14/1000,0)</f>
        <v>0</v>
      </c>
      <c r="BL669" s="31" t="n">
        <f aca="false">ROUNDDOWN(J669*設定!$B$15/1000,0)</f>
        <v>0</v>
      </c>
      <c r="BM669" s="31" t="n">
        <f aca="false">ROUNDDOWN(J669*設定!$C$15/1000,0)</f>
        <v>0</v>
      </c>
      <c r="BN669" s="31" t="n">
        <f aca="false">L669+M669</f>
        <v>0</v>
      </c>
      <c r="BO669" s="31" t="n">
        <f aca="false">N669+O669+P669</f>
        <v>0</v>
      </c>
      <c r="BP669" s="31" t="n">
        <f aca="false">Q669</f>
        <v>0</v>
      </c>
      <c r="BQ669" s="31" t="n">
        <f aca="false">R669</f>
        <v>0</v>
      </c>
      <c r="BR669" s="31" t="n">
        <f aca="false">S669</f>
        <v>0</v>
      </c>
      <c r="BS669" s="31" t="n">
        <f aca="false">T669</f>
        <v>0</v>
      </c>
      <c r="BT669" s="31" t="n">
        <f aca="false">U669</f>
        <v>0</v>
      </c>
      <c r="BU669" s="31" t="n">
        <f aca="false">V669</f>
        <v>0</v>
      </c>
      <c r="BV669" s="32" t="n">
        <f aca="false">IF(BF669=0,IF(BN669=0,0,1),(BN669-BF669)/BF669)</f>
        <v>0</v>
      </c>
      <c r="BW669" s="32" t="n">
        <f aca="false">IF(BG669=0,IF(BO669=0,0,1),(BO669-BG669)/BG669)</f>
        <v>0</v>
      </c>
      <c r="BX669" s="32" t="n">
        <f aca="false">IF(BH669=0,IF(BP669=0,0,1),(BP669-BH669)/BH669)</f>
        <v>0</v>
      </c>
      <c r="BY669" s="32" t="n">
        <f aca="false">IF(BI669=0,IF(BQ669=0,0,1),(BQ669-BI669)/BI669)</f>
        <v>0</v>
      </c>
      <c r="BZ669" s="32" t="n">
        <f aca="false">IF(BJ669=0,IF(BR669=0,0,1),(BR669-BJ669)/BJ669)</f>
        <v>0</v>
      </c>
      <c r="CA669" s="32" t="n">
        <f aca="false">IF(BK669=0,IF(BS669=0,0,1),(BS669-BK669)/BK669)</f>
        <v>0</v>
      </c>
      <c r="CB669" s="32" t="n">
        <f aca="false">IF(BL669=0,IF(BT669=0,0,1),(BT669-BL669)/BL669)</f>
        <v>0</v>
      </c>
      <c r="CC669" s="32" t="n">
        <f aca="false">IF(BM669=0,IF(BU669=0,0,1),(BU669-BM669)/BM669)</f>
        <v>0</v>
      </c>
      <c r="CD669" s="32" t="n">
        <f aca="false">MAX(MAX(BV669:CC669),-MIN(BV669:CC669))</f>
        <v>-0</v>
      </c>
      <c r="CE669" s="31" t="n">
        <f aca="false">IF(CI669="","",SUMIFS($CF$7:$CF$696,$A$7:$A$696,CI669,$B$7:$B$696,B669))</f>
        <v>85915</v>
      </c>
      <c r="CF669" s="31" t="n">
        <f aca="false">SUM(AU669:BE669)</f>
        <v>85915</v>
      </c>
      <c r="CG669" s="33" t="str">
        <f aca="false">A669&amp;"|"&amp;B669</f>
        <v>2027-03 月例|都市整備公社　市</v>
      </c>
      <c r="CH669" s="34" t="str">
        <f aca="false">IFERROR(INDEX(設定!$D$61:$D$106,MATCH(B669,設定!$B$61:$B$106,0)),"Y")</f>
        <v>Y</v>
      </c>
      <c r="CI669" s="34" t="str">
        <f aca="false">IFERROR(INDEX(設定!$D$20:$D$34,MATCH(A669,設定!$A$20:$A$34,0))&amp;"","")</f>
        <v>2027-02 月例</v>
      </c>
    </row>
    <row r="670" customFormat="false" ht="15" hidden="true" customHeight="false" outlineLevel="0" collapsed="false">
      <c r="A670" s="22" t="s">
        <v>222</v>
      </c>
      <c r="B670" s="23" t="s">
        <v>180</v>
      </c>
      <c r="C670" s="10" t="str">
        <f aca="false">IF(G670="","未受領",IF(G670="なし","報告なし",IF(AH670="○","起票済",IF(OR(AG670="○",F670="一致",F670="入金不要"),"入金確認済","受領済"))))</f>
        <v>未受領</v>
      </c>
      <c r="D670" s="10" t="str">
        <f aca="false">IF(OR(G670="",G670="なし"),"―",IF(CH670="N","対象外",IF(AND(I670="",J670="",K670=""),"標報未入力",IF(CD670&gt;=設定!$B$4,"要確認","問題なし"))))</f>
        <v>―</v>
      </c>
      <c r="E670" s="24" t="str">
        <f aca="false">IF(OR(G670="",G670="なし",CE670="",CF670=0),"―",IF(CF670=CE670,"前月同額",IF(CE670=0,"―",IF(ABS(CF670/CE670-1)&gt;=設定!$B$5,"変動大 "&amp;TEXT(CF670/CE670-1,"+0%;-0%"),"〇"))))</f>
        <v>―</v>
      </c>
      <c r="F670" s="10" t="str">
        <f aca="false">IF(OR(G670="",G670="なし"),"―",IF(CF670=0,"入金不要",IF(COUNT(Z670,AB670,AD670,AF670)=0,IF(AG670="○","手動確認","未入金"),IF(AND(N(Z670)=Y670,IF(AA670="",TRUE(),N(AB670)=AA670),IF(AC670="",TRUE(),N(AD670)=AC670),IF(AE670="",TRUE(),N(AF670)=AE670)),"一致","不一致"))))</f>
        <v>―</v>
      </c>
      <c r="G670" s="25"/>
      <c r="H670" s="26"/>
      <c r="I670" s="27"/>
      <c r="J670" s="27"/>
      <c r="K670" s="27"/>
      <c r="L670" s="27"/>
      <c r="M670" s="27"/>
      <c r="N670" s="27"/>
      <c r="O670" s="27"/>
      <c r="P670" s="27"/>
      <c r="Q670" s="27"/>
      <c r="R670" s="27"/>
      <c r="S670" s="27"/>
      <c r="T670" s="27"/>
      <c r="U670" s="27"/>
      <c r="V670" s="27"/>
      <c r="W670" s="10" t="str">
        <f aca="false">IFERROR(INDEX(設定!$E$61:$E$106,MATCH(B670,設定!$B$61:$B$106,0)),"合算")</f>
        <v>合算</v>
      </c>
      <c r="X670" s="28"/>
      <c r="Y670" s="29" t="str">
        <f aca="false">IF(OR(G670="",G670="なし"),"",IF(W670="合算",CF670,IF(W670="掛金・負担金別",(AU670+AV670+AZ670+BB670+BD670),SUM(AU670:AY670))))</f>
        <v/>
      </c>
      <c r="Z670" s="27"/>
      <c r="AA670" s="29" t="str">
        <f aca="false">IF(OR(G670="",G670="なし"),"",IF(W670="掛金・負担金別",(AW670+AX670+AY670+BA670+BC670+BE670),IF(W670="経理区分別",AZ670+BA670,"")))</f>
        <v/>
      </c>
      <c r="AB670" s="27"/>
      <c r="AC670" s="29" t="str">
        <f aca="false">IF(OR(G670="",G670="なし"),"",IF(W670="経理区分別",BB670+BC670,""))</f>
        <v/>
      </c>
      <c r="AD670" s="27"/>
      <c r="AE670" s="29" t="str">
        <f aca="false">IF(OR(G670="",G670="なし"),"",IF(W670="経理区分別",BD670+BE670,""))</f>
        <v/>
      </c>
      <c r="AF670" s="27"/>
      <c r="AG670" s="26"/>
      <c r="AH670" s="26"/>
      <c r="AI670" s="30"/>
      <c r="AJ670" s="31"/>
      <c r="AK670" s="31"/>
      <c r="AL670" s="31" t="n">
        <v>124440</v>
      </c>
      <c r="AM670" s="31" t="n">
        <v>10200</v>
      </c>
      <c r="AN670" s="31" t="n">
        <v>127</v>
      </c>
      <c r="AO670" s="31"/>
      <c r="AP670" s="31" t="n">
        <v>74949</v>
      </c>
      <c r="AQ670" s="31"/>
      <c r="AR670" s="31" t="n">
        <v>7031</v>
      </c>
      <c r="AS670" s="31"/>
      <c r="AT670" s="31" t="n">
        <v>1</v>
      </c>
      <c r="AU670" s="31" t="n">
        <f aca="false">IF($G670="",AJ670,L670)</f>
        <v>0</v>
      </c>
      <c r="AV670" s="31" t="n">
        <f aca="false">IF($G670="",AK670,M670)</f>
        <v>0</v>
      </c>
      <c r="AW670" s="31" t="n">
        <f aca="false">IF($G670="",AL670,N670)</f>
        <v>124440</v>
      </c>
      <c r="AX670" s="31" t="n">
        <f aca="false">IF($G670="",AM670,O670)</f>
        <v>10200</v>
      </c>
      <c r="AY670" s="31" t="n">
        <f aca="false">IF($G670="",AN670,P670)</f>
        <v>127</v>
      </c>
      <c r="AZ670" s="31" t="n">
        <f aca="false">IF($G670="",AO670,Q670)</f>
        <v>0</v>
      </c>
      <c r="BA670" s="31" t="n">
        <f aca="false">IF($G670="",AP670,R670)</f>
        <v>74949</v>
      </c>
      <c r="BB670" s="31" t="n">
        <f aca="false">IF($G670="",AQ670,S670)</f>
        <v>0</v>
      </c>
      <c r="BC670" s="31" t="n">
        <f aca="false">IF($G670="",AR670,T670)</f>
        <v>7031</v>
      </c>
      <c r="BD670" s="31" t="n">
        <f aca="false">IF($G670="",AS670,U670)</f>
        <v>0</v>
      </c>
      <c r="BE670" s="31" t="n">
        <f aca="false">IF($G670="",AT670,V670)</f>
        <v>1</v>
      </c>
      <c r="BF670" s="31" t="n">
        <f aca="false">ROUNDDOWN(I670*設定!$B$10/1000,0)+ROUNDDOWN(I670*設定!$B$11/1000,0)</f>
        <v>0</v>
      </c>
      <c r="BG670" s="31" t="n">
        <f aca="false">ROUNDDOWN(I670*設定!$C$10/1000,0)+ROUNDDOWN(I670*設定!$C$11/1000,0)+ROUNDDOWN(I670*設定!$C$12/1000,0)</f>
        <v>0</v>
      </c>
      <c r="BH670" s="31" t="n">
        <f aca="false">ROUNDDOWN(J670*設定!$B$13/1000,0)</f>
        <v>0</v>
      </c>
      <c r="BI670" s="31" t="n">
        <f aca="false">ROUNDDOWN(J670*設定!$C$13/1000,0)</f>
        <v>0</v>
      </c>
      <c r="BJ670" s="31" t="n">
        <f aca="false">ROUNDDOWN(K670*設定!$B$14/1000,0)</f>
        <v>0</v>
      </c>
      <c r="BK670" s="31" t="n">
        <f aca="false">ROUNDDOWN(K670*設定!$C$14/1000,0)</f>
        <v>0</v>
      </c>
      <c r="BL670" s="31" t="n">
        <f aca="false">ROUNDDOWN(J670*設定!$B$15/1000,0)</f>
        <v>0</v>
      </c>
      <c r="BM670" s="31" t="n">
        <f aca="false">ROUNDDOWN(J670*設定!$C$15/1000,0)</f>
        <v>0</v>
      </c>
      <c r="BN670" s="31" t="n">
        <f aca="false">L670+M670</f>
        <v>0</v>
      </c>
      <c r="BO670" s="31" t="n">
        <f aca="false">N670+O670+P670</f>
        <v>0</v>
      </c>
      <c r="BP670" s="31" t="n">
        <f aca="false">Q670</f>
        <v>0</v>
      </c>
      <c r="BQ670" s="31" t="n">
        <f aca="false">R670</f>
        <v>0</v>
      </c>
      <c r="BR670" s="31" t="n">
        <f aca="false">S670</f>
        <v>0</v>
      </c>
      <c r="BS670" s="31" t="n">
        <f aca="false">T670</f>
        <v>0</v>
      </c>
      <c r="BT670" s="31" t="n">
        <f aca="false">U670</f>
        <v>0</v>
      </c>
      <c r="BU670" s="31" t="n">
        <f aca="false">V670</f>
        <v>0</v>
      </c>
      <c r="BV670" s="32" t="n">
        <f aca="false">IF(BF670=0,IF(BN670=0,0,1),(BN670-BF670)/BF670)</f>
        <v>0</v>
      </c>
      <c r="BW670" s="32" t="n">
        <f aca="false">IF(BG670=0,IF(BO670=0,0,1),(BO670-BG670)/BG670)</f>
        <v>0</v>
      </c>
      <c r="BX670" s="32" t="n">
        <f aca="false">IF(BH670=0,IF(BP670=0,0,1),(BP670-BH670)/BH670)</f>
        <v>0</v>
      </c>
      <c r="BY670" s="32" t="n">
        <f aca="false">IF(BI670=0,IF(BQ670=0,0,1),(BQ670-BI670)/BI670)</f>
        <v>0</v>
      </c>
      <c r="BZ670" s="32" t="n">
        <f aca="false">IF(BJ670=0,IF(BR670=0,0,1),(BR670-BJ670)/BJ670)</f>
        <v>0</v>
      </c>
      <c r="CA670" s="32" t="n">
        <f aca="false">IF(BK670=0,IF(BS670=0,0,1),(BS670-BK670)/BK670)</f>
        <v>0</v>
      </c>
      <c r="CB670" s="32" t="n">
        <f aca="false">IF(BL670=0,IF(BT670=0,0,1),(BT670-BL670)/BL670)</f>
        <v>0</v>
      </c>
      <c r="CC670" s="32" t="n">
        <f aca="false">IF(BM670=0,IF(BU670=0,0,1),(BU670-BM670)/BM670)</f>
        <v>0</v>
      </c>
      <c r="CD670" s="32" t="n">
        <f aca="false">MAX(MAX(BV670:CC670),-MIN(BV670:CC670))</f>
        <v>-0</v>
      </c>
      <c r="CE670" s="31" t="n">
        <f aca="false">IF(CI670="","",SUMIFS($CF$7:$CF$696,$A$7:$A$696,CI670,$B$7:$B$696,B670))</f>
        <v>213356</v>
      </c>
      <c r="CF670" s="31" t="n">
        <f aca="false">SUM(AU670:BE670)</f>
        <v>216748</v>
      </c>
      <c r="CG670" s="33" t="str">
        <f aca="false">A670&amp;"|"&amp;B670</f>
        <v>2027-03 月例|都市整備公社　消防</v>
      </c>
      <c r="CH670" s="34" t="str">
        <f aca="false">IFERROR(INDEX(設定!$D$61:$D$106,MATCH(B670,設定!$B$61:$B$106,0)),"Y")</f>
        <v>Y</v>
      </c>
      <c r="CI670" s="34" t="str">
        <f aca="false">IFERROR(INDEX(設定!$D$20:$D$34,MATCH(A670,設定!$A$20:$A$34,0))&amp;"","")</f>
        <v>2027-02 月例</v>
      </c>
    </row>
    <row r="671" customFormat="false" ht="15" hidden="true" customHeight="false" outlineLevel="0" collapsed="false">
      <c r="A671" s="22" t="s">
        <v>222</v>
      </c>
      <c r="B671" s="23" t="s">
        <v>181</v>
      </c>
      <c r="C671" s="10" t="str">
        <f aca="false">IF(G671="","未受領",IF(G671="なし","報告なし",IF(AH671="○","起票済",IF(OR(AG671="○",F671="一致",F671="入金不要"),"入金確認済","受領済"))))</f>
        <v>未受領</v>
      </c>
      <c r="D671" s="10" t="str">
        <f aca="false">IF(OR(G671="",G671="なし"),"―",IF(CH671="N","対象外",IF(AND(I671="",J671="",K671=""),"標報未入力",IF(CD671&gt;=設定!$B$4,"要確認","問題なし"))))</f>
        <v>―</v>
      </c>
      <c r="E671" s="24" t="str">
        <f aca="false">IF(OR(G671="",G671="なし",CE671="",CF671=0),"―",IF(CF671=CE671,"前月同額",IF(CE671=0,"―",IF(ABS(CF671/CE671-1)&gt;=設定!$B$5,"変動大 "&amp;TEXT(CF671/CE671-1,"+0%;-0%"),"〇"))))</f>
        <v>―</v>
      </c>
      <c r="F671" s="10" t="str">
        <f aca="false">IF(OR(G671="",G671="なし"),"―",IF(CF671=0,"入金不要",IF(COUNT(Z671,AB671,AD671,AF671)=0,IF(AG671="○","手動確認","未入金"),IF(AND(N(Z671)=Y671,IF(AA671="",TRUE(),N(AB671)=AA671),IF(AC671="",TRUE(),N(AD671)=AC671),IF(AE671="",TRUE(),N(AF671)=AE671)),"一致","不一致"))))</f>
        <v>―</v>
      </c>
      <c r="G671" s="25"/>
      <c r="H671" s="26"/>
      <c r="I671" s="27"/>
      <c r="J671" s="27"/>
      <c r="K671" s="27"/>
      <c r="L671" s="27"/>
      <c r="M671" s="27"/>
      <c r="N671" s="27"/>
      <c r="O671" s="27"/>
      <c r="P671" s="27"/>
      <c r="Q671" s="27"/>
      <c r="R671" s="27"/>
      <c r="S671" s="27"/>
      <c r="T671" s="27"/>
      <c r="U671" s="27"/>
      <c r="V671" s="27"/>
      <c r="W671" s="10" t="str">
        <f aca="false">IFERROR(INDEX(設定!$E$61:$E$106,MATCH(B671,設定!$B$61:$B$106,0)),"合算")</f>
        <v>合算</v>
      </c>
      <c r="X671" s="28"/>
      <c r="Y671" s="29" t="str">
        <f aca="false">IF(OR(G671="",G671="なし"),"",IF(W671="合算",CF671,IF(W671="掛金・負担金別",(AU671+AV671+AZ671+BB671+BD671),SUM(AU671:AY671))))</f>
        <v/>
      </c>
      <c r="Z671" s="27"/>
      <c r="AA671" s="29" t="str">
        <f aca="false">IF(OR(G671="",G671="なし"),"",IF(W671="掛金・負担金別",(AW671+AX671+AY671+BA671+BC671+BE671),IF(W671="経理区分別",AZ671+BA671,"")))</f>
        <v/>
      </c>
      <c r="AB671" s="27"/>
      <c r="AC671" s="29" t="str">
        <f aca="false">IF(OR(G671="",G671="なし"),"",IF(W671="経理区分別",BB671+BC671,""))</f>
        <v/>
      </c>
      <c r="AD671" s="27"/>
      <c r="AE671" s="29" t="str">
        <f aca="false">IF(OR(G671="",G671="なし"),"",IF(W671="経理区分別",BD671+BE671,""))</f>
        <v/>
      </c>
      <c r="AF671" s="27"/>
      <c r="AG671" s="26"/>
      <c r="AH671" s="26"/>
      <c r="AI671" s="30"/>
      <c r="AJ671" s="31" t="n">
        <v>245220</v>
      </c>
      <c r="AK671" s="31" t="n">
        <v>20100</v>
      </c>
      <c r="AL671" s="31" t="n">
        <v>245220</v>
      </c>
      <c r="AM671" s="31" t="n">
        <v>20100</v>
      </c>
      <c r="AN671" s="31" t="n">
        <v>251</v>
      </c>
      <c r="AO671" s="31" t="n">
        <v>147425</v>
      </c>
      <c r="AP671" s="31" t="n">
        <v>147694</v>
      </c>
      <c r="AQ671" s="31" t="n">
        <v>9559</v>
      </c>
      <c r="AR671" s="31" t="n">
        <v>9559</v>
      </c>
      <c r="AS671" s="31" t="n">
        <v>1</v>
      </c>
      <c r="AT671" s="31" t="n">
        <v>1</v>
      </c>
      <c r="AU671" s="31" t="n">
        <f aca="false">IF($G671="",AJ671,L671)</f>
        <v>245220</v>
      </c>
      <c r="AV671" s="31" t="n">
        <f aca="false">IF($G671="",AK671,M671)</f>
        <v>20100</v>
      </c>
      <c r="AW671" s="31" t="n">
        <f aca="false">IF($G671="",AL671,N671)</f>
        <v>245220</v>
      </c>
      <c r="AX671" s="31" t="n">
        <f aca="false">IF($G671="",AM671,O671)</f>
        <v>20100</v>
      </c>
      <c r="AY671" s="31" t="n">
        <f aca="false">IF($G671="",AN671,P671)</f>
        <v>251</v>
      </c>
      <c r="AZ671" s="31" t="n">
        <f aca="false">IF($G671="",AO671,Q671)</f>
        <v>147425</v>
      </c>
      <c r="BA671" s="31" t="n">
        <f aca="false">IF($G671="",AP671,R671)</f>
        <v>147694</v>
      </c>
      <c r="BB671" s="31" t="n">
        <f aca="false">IF($G671="",AQ671,S671)</f>
        <v>9559</v>
      </c>
      <c r="BC671" s="31" t="n">
        <f aca="false">IF($G671="",AR671,T671)</f>
        <v>9559</v>
      </c>
      <c r="BD671" s="31" t="n">
        <f aca="false">IF($G671="",AS671,U671)</f>
        <v>1</v>
      </c>
      <c r="BE671" s="31" t="n">
        <f aca="false">IF($G671="",AT671,V671)</f>
        <v>1</v>
      </c>
      <c r="BF671" s="31" t="n">
        <f aca="false">ROUNDDOWN(I671*設定!$B$10/1000,0)+ROUNDDOWN(I671*設定!$B$11/1000,0)</f>
        <v>0</v>
      </c>
      <c r="BG671" s="31" t="n">
        <f aca="false">ROUNDDOWN(I671*設定!$C$10/1000,0)+ROUNDDOWN(I671*設定!$C$11/1000,0)+ROUNDDOWN(I671*設定!$C$12/1000,0)</f>
        <v>0</v>
      </c>
      <c r="BH671" s="31" t="n">
        <f aca="false">ROUNDDOWN(J671*設定!$B$13/1000,0)</f>
        <v>0</v>
      </c>
      <c r="BI671" s="31" t="n">
        <f aca="false">ROUNDDOWN(J671*設定!$C$13/1000,0)</f>
        <v>0</v>
      </c>
      <c r="BJ671" s="31" t="n">
        <f aca="false">ROUNDDOWN(K671*設定!$B$14/1000,0)</f>
        <v>0</v>
      </c>
      <c r="BK671" s="31" t="n">
        <f aca="false">ROUNDDOWN(K671*設定!$C$14/1000,0)</f>
        <v>0</v>
      </c>
      <c r="BL671" s="31" t="n">
        <f aca="false">ROUNDDOWN(J671*設定!$B$15/1000,0)</f>
        <v>0</v>
      </c>
      <c r="BM671" s="31" t="n">
        <f aca="false">ROUNDDOWN(J671*設定!$C$15/1000,0)</f>
        <v>0</v>
      </c>
      <c r="BN671" s="31" t="n">
        <f aca="false">L671+M671</f>
        <v>0</v>
      </c>
      <c r="BO671" s="31" t="n">
        <f aca="false">N671+O671+P671</f>
        <v>0</v>
      </c>
      <c r="BP671" s="31" t="n">
        <f aca="false">Q671</f>
        <v>0</v>
      </c>
      <c r="BQ671" s="31" t="n">
        <f aca="false">R671</f>
        <v>0</v>
      </c>
      <c r="BR671" s="31" t="n">
        <f aca="false">S671</f>
        <v>0</v>
      </c>
      <c r="BS671" s="31" t="n">
        <f aca="false">T671</f>
        <v>0</v>
      </c>
      <c r="BT671" s="31" t="n">
        <f aca="false">U671</f>
        <v>0</v>
      </c>
      <c r="BU671" s="31" t="n">
        <f aca="false">V671</f>
        <v>0</v>
      </c>
      <c r="BV671" s="32" t="n">
        <f aca="false">IF(BF671=0,IF(BN671=0,0,1),(BN671-BF671)/BF671)</f>
        <v>0</v>
      </c>
      <c r="BW671" s="32" t="n">
        <f aca="false">IF(BG671=0,IF(BO671=0,0,1),(BO671-BG671)/BG671)</f>
        <v>0</v>
      </c>
      <c r="BX671" s="32" t="n">
        <f aca="false">IF(BH671=0,IF(BP671=0,0,1),(BP671-BH671)/BH671)</f>
        <v>0</v>
      </c>
      <c r="BY671" s="32" t="n">
        <f aca="false">IF(BI671=0,IF(BQ671=0,0,1),(BQ671-BI671)/BI671)</f>
        <v>0</v>
      </c>
      <c r="BZ671" s="32" t="n">
        <f aca="false">IF(BJ671=0,IF(BR671=0,0,1),(BR671-BJ671)/BJ671)</f>
        <v>0</v>
      </c>
      <c r="CA671" s="32" t="n">
        <f aca="false">IF(BK671=0,IF(BS671=0,0,1),(BS671-BK671)/BK671)</f>
        <v>0</v>
      </c>
      <c r="CB671" s="32" t="n">
        <f aca="false">IF(BL671=0,IF(BT671=0,0,1),(BT671-BL671)/BL671)</f>
        <v>0</v>
      </c>
      <c r="CC671" s="32" t="n">
        <f aca="false">IF(BM671=0,IF(BU671=0,0,1),(BU671-BM671)/BM671)</f>
        <v>0</v>
      </c>
      <c r="CD671" s="32" t="n">
        <f aca="false">MAX(MAX(BV671:CC671),-MIN(BV671:CC671))</f>
        <v>-0</v>
      </c>
      <c r="CE671" s="31" t="n">
        <f aca="false">IF(CI671="","",SUMIFS($CF$7:$CF$696,$A$7:$A$696,CI671,$B$7:$B$696,B671))</f>
        <v>845130</v>
      </c>
      <c r="CF671" s="31" t="n">
        <f aca="false">SUM(AU671:BE671)</f>
        <v>845130</v>
      </c>
      <c r="CG671" s="33" t="str">
        <f aca="false">A671&amp;"|"&amp;B671</f>
        <v>2027-03 月例|日本下水道事業団</v>
      </c>
      <c r="CH671" s="34" t="str">
        <f aca="false">IFERROR(INDEX(設定!$D$61:$D$106,MATCH(B671,設定!$B$61:$B$106,0)),"Y")</f>
        <v>Y</v>
      </c>
      <c r="CI671" s="34" t="str">
        <f aca="false">IFERROR(INDEX(設定!$D$20:$D$34,MATCH(A671,設定!$A$20:$A$34,0))&amp;"","")</f>
        <v>2027-02 月例</v>
      </c>
    </row>
    <row r="672" customFormat="false" ht="15" hidden="true" customHeight="false" outlineLevel="0" collapsed="false">
      <c r="A672" s="22" t="s">
        <v>222</v>
      </c>
      <c r="B672" s="23" t="s">
        <v>182</v>
      </c>
      <c r="C672" s="10" t="str">
        <f aca="false">IF(G672="","未受領",IF(G672="なし","報告なし",IF(AH672="○","起票済",IF(OR(AG672="○",F672="一致",F672="入金不要"),"入金確認済","受領済"))))</f>
        <v>未受領</v>
      </c>
      <c r="D672" s="10" t="str">
        <f aca="false">IF(OR(G672="",G672="なし"),"―",IF(CH672="N","対象外",IF(AND(I672="",J672="",K672=""),"標報未入力",IF(CD672&gt;=設定!$B$4,"要確認","問題なし"))))</f>
        <v>―</v>
      </c>
      <c r="E672" s="24" t="str">
        <f aca="false">IF(OR(G672="",G672="なし",CE672="",CF672=0),"―",IF(CF672=CE672,"前月同額",IF(CE672=0,"―",IF(ABS(CF672/CE672-1)&gt;=設定!$B$5,"変動大 "&amp;TEXT(CF672/CE672-1,"+0%;-0%"),"〇"))))</f>
        <v>―</v>
      </c>
      <c r="F672" s="10" t="str">
        <f aca="false">IF(OR(G672="",G672="なし"),"―",IF(CF672=0,"入金不要",IF(COUNT(Z672,AB672,AD672,AF672)=0,IF(AG672="○","手動確認","未入金"),IF(AND(N(Z672)=Y672,IF(AA672="",TRUE(),N(AB672)=AA672),IF(AC672="",TRUE(),N(AD672)=AC672),IF(AE672="",TRUE(),N(AF672)=AE672)),"一致","不一致"))))</f>
        <v>―</v>
      </c>
      <c r="G672" s="25"/>
      <c r="H672" s="26"/>
      <c r="I672" s="27"/>
      <c r="J672" s="27"/>
      <c r="K672" s="27"/>
      <c r="L672" s="27"/>
      <c r="M672" s="27"/>
      <c r="N672" s="27"/>
      <c r="O672" s="27"/>
      <c r="P672" s="27"/>
      <c r="Q672" s="27"/>
      <c r="R672" s="27"/>
      <c r="S672" s="27"/>
      <c r="T672" s="27"/>
      <c r="U672" s="27"/>
      <c r="V672" s="27"/>
      <c r="W672" s="10" t="str">
        <f aca="false">IFERROR(INDEX(設定!$E$61:$E$106,MATCH(B672,設定!$B$61:$B$106,0)),"合算")</f>
        <v>合算</v>
      </c>
      <c r="X672" s="28"/>
      <c r="Y672" s="29" t="str">
        <f aca="false">IF(OR(G672="",G672="なし"),"",IF(W672="合算",CF672,IF(W672="掛金・負担金別",(AU672+AV672+AZ672+BB672+BD672),SUM(AU672:AY672))))</f>
        <v/>
      </c>
      <c r="Z672" s="27"/>
      <c r="AA672" s="29" t="str">
        <f aca="false">IF(OR(G672="",G672="なし"),"",IF(W672="掛金・負担金別",(AW672+AX672+AY672+BA672+BC672+BE672),IF(W672="経理区分別",AZ672+BA672,"")))</f>
        <v/>
      </c>
      <c r="AB672" s="27"/>
      <c r="AC672" s="29" t="str">
        <f aca="false">IF(OR(G672="",G672="なし"),"",IF(W672="経理区分別",BB672+BC672,""))</f>
        <v/>
      </c>
      <c r="AD672" s="27"/>
      <c r="AE672" s="29" t="str">
        <f aca="false">IF(OR(G672="",G672="なし"),"",IF(W672="経理区分別",BD672+BE672,""))</f>
        <v/>
      </c>
      <c r="AF672" s="27"/>
      <c r="AG672" s="26"/>
      <c r="AH672" s="26"/>
      <c r="AI672" s="30"/>
      <c r="AJ672" s="31" t="n">
        <v>40260</v>
      </c>
      <c r="AK672" s="31" t="n">
        <v>3300</v>
      </c>
      <c r="AL672" s="31" t="n">
        <v>40260</v>
      </c>
      <c r="AM672" s="31" t="n">
        <v>3300</v>
      </c>
      <c r="AN672" s="31" t="n">
        <v>41</v>
      </c>
      <c r="AO672" s="31" t="n">
        <v>24204</v>
      </c>
      <c r="AP672" s="31" t="n">
        <v>24248</v>
      </c>
      <c r="AQ672" s="31" t="n">
        <v>0</v>
      </c>
      <c r="AR672" s="31" t="n">
        <v>0</v>
      </c>
      <c r="AS672" s="31" t="n">
        <v>1</v>
      </c>
      <c r="AT672" s="31" t="n">
        <v>1</v>
      </c>
      <c r="AU672" s="31" t="n">
        <f aca="false">IF($G672="",AJ672,L672)</f>
        <v>40260</v>
      </c>
      <c r="AV672" s="31" t="n">
        <f aca="false">IF($G672="",AK672,M672)</f>
        <v>3300</v>
      </c>
      <c r="AW672" s="31" t="n">
        <f aca="false">IF($G672="",AL672,N672)</f>
        <v>40260</v>
      </c>
      <c r="AX672" s="31" t="n">
        <f aca="false">IF($G672="",AM672,O672)</f>
        <v>3300</v>
      </c>
      <c r="AY672" s="31" t="n">
        <f aca="false">IF($G672="",AN672,P672)</f>
        <v>41</v>
      </c>
      <c r="AZ672" s="31" t="n">
        <f aca="false">IF($G672="",AO672,Q672)</f>
        <v>24204</v>
      </c>
      <c r="BA672" s="31" t="n">
        <f aca="false">IF($G672="",AP672,R672)</f>
        <v>24248</v>
      </c>
      <c r="BB672" s="31" t="n">
        <f aca="false">IF($G672="",AQ672,S672)</f>
        <v>0</v>
      </c>
      <c r="BC672" s="31" t="n">
        <f aca="false">IF($G672="",AR672,T672)</f>
        <v>0</v>
      </c>
      <c r="BD672" s="31" t="n">
        <f aca="false">IF($G672="",AS672,U672)</f>
        <v>1</v>
      </c>
      <c r="BE672" s="31" t="n">
        <f aca="false">IF($G672="",AT672,V672)</f>
        <v>1</v>
      </c>
      <c r="BF672" s="31" t="n">
        <f aca="false">ROUNDDOWN(I672*設定!$B$10/1000,0)+ROUNDDOWN(I672*設定!$B$11/1000,0)</f>
        <v>0</v>
      </c>
      <c r="BG672" s="31" t="n">
        <f aca="false">ROUNDDOWN(I672*設定!$C$10/1000,0)+ROUNDDOWN(I672*設定!$C$11/1000,0)+ROUNDDOWN(I672*設定!$C$12/1000,0)</f>
        <v>0</v>
      </c>
      <c r="BH672" s="31" t="n">
        <f aca="false">ROUNDDOWN(J672*設定!$B$13/1000,0)</f>
        <v>0</v>
      </c>
      <c r="BI672" s="31" t="n">
        <f aca="false">ROUNDDOWN(J672*設定!$C$13/1000,0)</f>
        <v>0</v>
      </c>
      <c r="BJ672" s="31" t="n">
        <f aca="false">ROUNDDOWN(K672*設定!$B$14/1000,0)</f>
        <v>0</v>
      </c>
      <c r="BK672" s="31" t="n">
        <f aca="false">ROUNDDOWN(K672*設定!$C$14/1000,0)</f>
        <v>0</v>
      </c>
      <c r="BL672" s="31" t="n">
        <f aca="false">ROUNDDOWN(J672*設定!$B$15/1000,0)</f>
        <v>0</v>
      </c>
      <c r="BM672" s="31" t="n">
        <f aca="false">ROUNDDOWN(J672*設定!$C$15/1000,0)</f>
        <v>0</v>
      </c>
      <c r="BN672" s="31" t="n">
        <f aca="false">L672+M672</f>
        <v>0</v>
      </c>
      <c r="BO672" s="31" t="n">
        <f aca="false">N672+O672+P672</f>
        <v>0</v>
      </c>
      <c r="BP672" s="31" t="n">
        <f aca="false">Q672</f>
        <v>0</v>
      </c>
      <c r="BQ672" s="31" t="n">
        <f aca="false">R672</f>
        <v>0</v>
      </c>
      <c r="BR672" s="31" t="n">
        <f aca="false">S672</f>
        <v>0</v>
      </c>
      <c r="BS672" s="31" t="n">
        <f aca="false">T672</f>
        <v>0</v>
      </c>
      <c r="BT672" s="31" t="n">
        <f aca="false">U672</f>
        <v>0</v>
      </c>
      <c r="BU672" s="31" t="n">
        <f aca="false">V672</f>
        <v>0</v>
      </c>
      <c r="BV672" s="32" t="n">
        <f aca="false">IF(BF672=0,IF(BN672=0,0,1),(BN672-BF672)/BF672)</f>
        <v>0</v>
      </c>
      <c r="BW672" s="32" t="n">
        <f aca="false">IF(BG672=0,IF(BO672=0,0,1),(BO672-BG672)/BG672)</f>
        <v>0</v>
      </c>
      <c r="BX672" s="32" t="n">
        <f aca="false">IF(BH672=0,IF(BP672=0,0,1),(BP672-BH672)/BH672)</f>
        <v>0</v>
      </c>
      <c r="BY672" s="32" t="n">
        <f aca="false">IF(BI672=0,IF(BQ672=0,0,1),(BQ672-BI672)/BI672)</f>
        <v>0</v>
      </c>
      <c r="BZ672" s="32" t="n">
        <f aca="false">IF(BJ672=0,IF(BR672=0,0,1),(BR672-BJ672)/BJ672)</f>
        <v>0</v>
      </c>
      <c r="CA672" s="32" t="n">
        <f aca="false">IF(BK672=0,IF(BS672=0,0,1),(BS672-BK672)/BK672)</f>
        <v>0</v>
      </c>
      <c r="CB672" s="32" t="n">
        <f aca="false">IF(BL672=0,IF(BT672=0,0,1),(BT672-BL672)/BL672)</f>
        <v>0</v>
      </c>
      <c r="CC672" s="32" t="n">
        <f aca="false">IF(BM672=0,IF(BU672=0,0,1),(BU672-BM672)/BM672)</f>
        <v>0</v>
      </c>
      <c r="CD672" s="32" t="n">
        <f aca="false">MAX(MAX(BV672:CC672),-MIN(BV672:CC672))</f>
        <v>-0</v>
      </c>
      <c r="CE672" s="31" t="n">
        <f aca="false">IF(CI672="","",SUMIFS($CF$7:$CF$696,$A$7:$A$696,CI672,$B$7:$B$696,B672))</f>
        <v>135615</v>
      </c>
      <c r="CF672" s="31" t="n">
        <f aca="false">SUM(AU672:BE672)</f>
        <v>135615</v>
      </c>
      <c r="CG672" s="33" t="str">
        <f aca="false">A672&amp;"|"&amp;B672</f>
        <v>2027-03 月例|地方公務員災害補償基金本部</v>
      </c>
      <c r="CH672" s="34" t="str">
        <f aca="false">IFERROR(INDEX(設定!$D$61:$D$106,MATCH(B672,設定!$B$61:$B$106,0)),"Y")</f>
        <v>Y</v>
      </c>
      <c r="CI672" s="34" t="str">
        <f aca="false">IFERROR(INDEX(設定!$D$20:$D$34,MATCH(A672,設定!$A$20:$A$34,0))&amp;"","")</f>
        <v>2027-02 月例</v>
      </c>
    </row>
    <row r="673" customFormat="false" ht="15" hidden="true" customHeight="false" outlineLevel="0" collapsed="false">
      <c r="A673" s="22" t="s">
        <v>222</v>
      </c>
      <c r="B673" s="23" t="s">
        <v>183</v>
      </c>
      <c r="C673" s="10" t="str">
        <f aca="false">IF(G673="","未受領",IF(G673="なし","報告なし",IF(AH673="○","起票済",IF(OR(AG673="○",F673="一致",F673="入金不要"),"入金確認済","受領済"))))</f>
        <v>未受領</v>
      </c>
      <c r="D673" s="10" t="str">
        <f aca="false">IF(OR(G673="",G673="なし"),"―",IF(CH673="N","対象外",IF(AND(I673="",J673="",K673=""),"標報未入力",IF(CD673&gt;=設定!$B$4,"要確認","問題なし"))))</f>
        <v>―</v>
      </c>
      <c r="E673" s="24" t="str">
        <f aca="false">IF(OR(G673="",G673="なし",CE673="",CF673=0),"―",IF(CF673=CE673,"前月同額",IF(CE673=0,"―",IF(ABS(CF673/CE673-1)&gt;=設定!$B$5,"変動大 "&amp;TEXT(CF673/CE673-1,"+0%;-0%"),"〇"))))</f>
        <v>―</v>
      </c>
      <c r="F673" s="10" t="str">
        <f aca="false">IF(OR(G673="",G673="なし"),"―",IF(CF673=0,"入金不要",IF(COUNT(Z673,AB673,AD673,AF673)=0,IF(AG673="○","手動確認","未入金"),IF(AND(N(Z673)=Y673,IF(AA673="",TRUE(),N(AB673)=AA673),IF(AC673="",TRUE(),N(AD673)=AC673),IF(AE673="",TRUE(),N(AF673)=AE673)),"一致","不一致"))))</f>
        <v>―</v>
      </c>
      <c r="G673" s="25"/>
      <c r="H673" s="26"/>
      <c r="I673" s="27"/>
      <c r="J673" s="27"/>
      <c r="K673" s="27"/>
      <c r="L673" s="27"/>
      <c r="M673" s="27"/>
      <c r="N673" s="27"/>
      <c r="O673" s="27"/>
      <c r="P673" s="27"/>
      <c r="Q673" s="27"/>
      <c r="R673" s="27"/>
      <c r="S673" s="27"/>
      <c r="T673" s="27"/>
      <c r="U673" s="27"/>
      <c r="V673" s="27"/>
      <c r="W673" s="10" t="str">
        <f aca="false">IFERROR(INDEX(設定!$E$61:$E$106,MATCH(B673,設定!$B$61:$B$106,0)),"合算")</f>
        <v>合算</v>
      </c>
      <c r="X673" s="28"/>
      <c r="Y673" s="29" t="str">
        <f aca="false">IF(OR(G673="",G673="なし"),"",IF(W673="合算",CF673,IF(W673="掛金・負担金別",(AU673+AV673+AZ673+BB673+BD673),SUM(AU673:AY673))))</f>
        <v/>
      </c>
      <c r="Z673" s="27"/>
      <c r="AA673" s="29" t="str">
        <f aca="false">IF(OR(G673="",G673="なし"),"",IF(W673="掛金・負担金別",(AW673+AX673+AY673+BA673+BC673+BE673),IF(W673="経理区分別",AZ673+BA673,"")))</f>
        <v/>
      </c>
      <c r="AB673" s="27"/>
      <c r="AC673" s="29" t="str">
        <f aca="false">IF(OR(G673="",G673="なし"),"",IF(W673="経理区分別",BB673+BC673,""))</f>
        <v/>
      </c>
      <c r="AD673" s="27"/>
      <c r="AE673" s="29" t="str">
        <f aca="false">IF(OR(G673="",G673="なし"),"",IF(W673="経理区分別",BD673+BE673,""))</f>
        <v/>
      </c>
      <c r="AF673" s="27"/>
      <c r="AG673" s="26"/>
      <c r="AH673" s="26"/>
      <c r="AI673" s="30"/>
      <c r="AJ673" s="31" t="n">
        <v>102480</v>
      </c>
      <c r="AK673" s="31" t="n">
        <v>8400</v>
      </c>
      <c r="AL673" s="31" t="n">
        <v>102480</v>
      </c>
      <c r="AM673" s="31" t="n">
        <v>8400</v>
      </c>
      <c r="AN673" s="31" t="n">
        <v>105</v>
      </c>
      <c r="AO673" s="31" t="n">
        <v>61610</v>
      </c>
      <c r="AP673" s="31" t="n">
        <v>61723</v>
      </c>
      <c r="AQ673" s="31" t="n">
        <v>4661</v>
      </c>
      <c r="AR673" s="31" t="n">
        <v>4661</v>
      </c>
      <c r="AS673" s="31" t="n">
        <v>1</v>
      </c>
      <c r="AT673" s="31" t="n">
        <v>1</v>
      </c>
      <c r="AU673" s="31" t="n">
        <f aca="false">IF($G673="",AJ673,L673)</f>
        <v>102480</v>
      </c>
      <c r="AV673" s="31" t="n">
        <f aca="false">IF($G673="",AK673,M673)</f>
        <v>8400</v>
      </c>
      <c r="AW673" s="31" t="n">
        <f aca="false">IF($G673="",AL673,N673)</f>
        <v>102480</v>
      </c>
      <c r="AX673" s="31" t="n">
        <f aca="false">IF($G673="",AM673,O673)</f>
        <v>8400</v>
      </c>
      <c r="AY673" s="31" t="n">
        <f aca="false">IF($G673="",AN673,P673)</f>
        <v>105</v>
      </c>
      <c r="AZ673" s="31" t="n">
        <f aca="false">IF($G673="",AO673,Q673)</f>
        <v>61610</v>
      </c>
      <c r="BA673" s="31" t="n">
        <f aca="false">IF($G673="",AP673,R673)</f>
        <v>61723</v>
      </c>
      <c r="BB673" s="31" t="n">
        <f aca="false">IF($G673="",AQ673,S673)</f>
        <v>4661</v>
      </c>
      <c r="BC673" s="31" t="n">
        <f aca="false">IF($G673="",AR673,T673)</f>
        <v>4661</v>
      </c>
      <c r="BD673" s="31" t="n">
        <f aca="false">IF($G673="",AS673,U673)</f>
        <v>1</v>
      </c>
      <c r="BE673" s="31" t="n">
        <f aca="false">IF($G673="",AT673,V673)</f>
        <v>1</v>
      </c>
      <c r="BF673" s="31" t="n">
        <f aca="false">ROUNDDOWN(I673*設定!$B$10/1000,0)+ROUNDDOWN(I673*設定!$B$11/1000,0)</f>
        <v>0</v>
      </c>
      <c r="BG673" s="31" t="n">
        <f aca="false">ROUNDDOWN(I673*設定!$C$10/1000,0)+ROUNDDOWN(I673*設定!$C$11/1000,0)+ROUNDDOWN(I673*設定!$C$12/1000,0)</f>
        <v>0</v>
      </c>
      <c r="BH673" s="31" t="n">
        <f aca="false">ROUNDDOWN(J673*設定!$B$13/1000,0)</f>
        <v>0</v>
      </c>
      <c r="BI673" s="31" t="n">
        <f aca="false">ROUNDDOWN(J673*設定!$C$13/1000,0)</f>
        <v>0</v>
      </c>
      <c r="BJ673" s="31" t="n">
        <f aca="false">ROUNDDOWN(K673*設定!$B$14/1000,0)</f>
        <v>0</v>
      </c>
      <c r="BK673" s="31" t="n">
        <f aca="false">ROUNDDOWN(K673*設定!$C$14/1000,0)</f>
        <v>0</v>
      </c>
      <c r="BL673" s="31" t="n">
        <f aca="false">ROUNDDOWN(J673*設定!$B$15/1000,0)</f>
        <v>0</v>
      </c>
      <c r="BM673" s="31" t="n">
        <f aca="false">ROUNDDOWN(J673*設定!$C$15/1000,0)</f>
        <v>0</v>
      </c>
      <c r="BN673" s="31" t="n">
        <f aca="false">L673+M673</f>
        <v>0</v>
      </c>
      <c r="BO673" s="31" t="n">
        <f aca="false">N673+O673+P673</f>
        <v>0</v>
      </c>
      <c r="BP673" s="31" t="n">
        <f aca="false">Q673</f>
        <v>0</v>
      </c>
      <c r="BQ673" s="31" t="n">
        <f aca="false">R673</f>
        <v>0</v>
      </c>
      <c r="BR673" s="31" t="n">
        <f aca="false">S673</f>
        <v>0</v>
      </c>
      <c r="BS673" s="31" t="n">
        <f aca="false">T673</f>
        <v>0</v>
      </c>
      <c r="BT673" s="31" t="n">
        <f aca="false">U673</f>
        <v>0</v>
      </c>
      <c r="BU673" s="31" t="n">
        <f aca="false">V673</f>
        <v>0</v>
      </c>
      <c r="BV673" s="32" t="n">
        <f aca="false">IF(BF673=0,IF(BN673=0,0,1),(BN673-BF673)/BF673)</f>
        <v>0</v>
      </c>
      <c r="BW673" s="32" t="n">
        <f aca="false">IF(BG673=0,IF(BO673=0,0,1),(BO673-BG673)/BG673)</f>
        <v>0</v>
      </c>
      <c r="BX673" s="32" t="n">
        <f aca="false">IF(BH673=0,IF(BP673=0,0,1),(BP673-BH673)/BH673)</f>
        <v>0</v>
      </c>
      <c r="BY673" s="32" t="n">
        <f aca="false">IF(BI673=0,IF(BQ673=0,0,1),(BQ673-BI673)/BI673)</f>
        <v>0</v>
      </c>
      <c r="BZ673" s="32" t="n">
        <f aca="false">IF(BJ673=0,IF(BR673=0,0,1),(BR673-BJ673)/BJ673)</f>
        <v>0</v>
      </c>
      <c r="CA673" s="32" t="n">
        <f aca="false">IF(BK673=0,IF(BS673=0,0,1),(BS673-BK673)/BK673)</f>
        <v>0</v>
      </c>
      <c r="CB673" s="32" t="n">
        <f aca="false">IF(BL673=0,IF(BT673=0,0,1),(BT673-BL673)/BL673)</f>
        <v>0</v>
      </c>
      <c r="CC673" s="32" t="n">
        <f aca="false">IF(BM673=0,IF(BU673=0,0,1),(BU673-BM673)/BM673)</f>
        <v>0</v>
      </c>
      <c r="CD673" s="32" t="n">
        <f aca="false">MAX(MAX(BV673:CC673),-MIN(BV673:CC673))</f>
        <v>-0</v>
      </c>
      <c r="CE673" s="31" t="n">
        <f aca="false">IF(CI673="","",SUMIFS($CF$7:$CF$696,$A$7:$A$696,CI673,$B$7:$B$696,B673))</f>
        <v>354522</v>
      </c>
      <c r="CF673" s="31" t="n">
        <f aca="false">SUM(AU673:BE673)</f>
        <v>354522</v>
      </c>
      <c r="CG673" s="33" t="str">
        <f aca="false">A673&amp;"|"&amp;B673</f>
        <v>2027-03 月例|救急振興財団</v>
      </c>
      <c r="CH673" s="34" t="str">
        <f aca="false">IFERROR(INDEX(設定!$D$61:$D$106,MATCH(B673,設定!$B$61:$B$106,0)),"Y")</f>
        <v>Y</v>
      </c>
      <c r="CI673" s="34" t="str">
        <f aca="false">IFERROR(INDEX(設定!$D$20:$D$34,MATCH(A673,設定!$A$20:$A$34,0))&amp;"","")</f>
        <v>2027-02 月例</v>
      </c>
    </row>
    <row r="674" customFormat="false" ht="15" hidden="true" customHeight="false" outlineLevel="0" collapsed="false">
      <c r="A674" s="22" t="s">
        <v>222</v>
      </c>
      <c r="B674" s="23" t="s">
        <v>184</v>
      </c>
      <c r="C674" s="10" t="str">
        <f aca="false">IF(G674="","未受領",IF(G674="なし","報告なし",IF(AH674="○","起票済",IF(OR(AG674="○",F674="一致",F674="入金不要"),"入金確認済","受領済"))))</f>
        <v>未受領</v>
      </c>
      <c r="D674" s="10" t="str">
        <f aca="false">IF(OR(G674="",G674="なし"),"―",IF(CH674="N","対象外",IF(AND(I674="",J674="",K674=""),"標報未入力",IF(CD674&gt;=設定!$B$4,"要確認","問題なし"))))</f>
        <v>―</v>
      </c>
      <c r="E674" s="24" t="str">
        <f aca="false">IF(OR(G674="",G674="なし",CE674="",CF674=0),"―",IF(CF674=CE674,"前月同額",IF(CE674=0,"―",IF(ABS(CF674/CE674-1)&gt;=設定!$B$5,"変動大 "&amp;TEXT(CF674/CE674-1,"+0%;-0%"),"〇"))))</f>
        <v>―</v>
      </c>
      <c r="F674" s="10" t="str">
        <f aca="false">IF(OR(G674="",G674="なし"),"―",IF(CF674=0,"入金不要",IF(COUNT(Z674,AB674,AD674,AF674)=0,IF(AG674="○","手動確認","未入金"),IF(AND(N(Z674)=Y674,IF(AA674="",TRUE(),N(AB674)=AA674),IF(AC674="",TRUE(),N(AD674)=AC674),IF(AE674="",TRUE(),N(AF674)=AE674)),"一致","不一致"))))</f>
        <v>―</v>
      </c>
      <c r="G674" s="25"/>
      <c r="H674" s="26"/>
      <c r="I674" s="27"/>
      <c r="J674" s="27"/>
      <c r="K674" s="27"/>
      <c r="L674" s="27"/>
      <c r="M674" s="27"/>
      <c r="N674" s="27"/>
      <c r="O674" s="27"/>
      <c r="P674" s="27"/>
      <c r="Q674" s="27"/>
      <c r="R674" s="27"/>
      <c r="S674" s="27"/>
      <c r="T674" s="27"/>
      <c r="U674" s="27"/>
      <c r="V674" s="27"/>
      <c r="W674" s="10" t="str">
        <f aca="false">IFERROR(INDEX(設定!$E$61:$E$106,MATCH(B674,設定!$B$61:$B$106,0)),"合算")</f>
        <v>合算</v>
      </c>
      <c r="X674" s="28"/>
      <c r="Y674" s="29" t="str">
        <f aca="false">IF(OR(G674="",G674="なし"),"",IF(W674="合算",CF674,IF(W674="掛金・負担金別",(AU674+AV674+AZ674+BB674+BD674),SUM(AU674:AY674))))</f>
        <v/>
      </c>
      <c r="Z674" s="27"/>
      <c r="AA674" s="29" t="str">
        <f aca="false">IF(OR(G674="",G674="なし"),"",IF(W674="掛金・負担金別",(AW674+AX674+AY674+BA674+BC674+BE674),IF(W674="経理区分別",AZ674+BA674,"")))</f>
        <v/>
      </c>
      <c r="AB674" s="27"/>
      <c r="AC674" s="29" t="str">
        <f aca="false">IF(OR(G674="",G674="なし"),"",IF(W674="経理区分別",BB674+BC674,""))</f>
        <v/>
      </c>
      <c r="AD674" s="27"/>
      <c r="AE674" s="29" t="str">
        <f aca="false">IF(OR(G674="",G674="なし"),"",IF(W674="経理区分別",BD674+BE674,""))</f>
        <v/>
      </c>
      <c r="AF674" s="27"/>
      <c r="AG674" s="26"/>
      <c r="AH674" s="26"/>
      <c r="AI674" s="30"/>
      <c r="AJ674" s="31" t="n">
        <v>987285</v>
      </c>
      <c r="AK674" s="31" t="n">
        <v>80925</v>
      </c>
      <c r="AL674" s="31" t="n">
        <v>987285</v>
      </c>
      <c r="AM674" s="31" t="n">
        <v>80925</v>
      </c>
      <c r="AN674" s="31" t="n">
        <v>1028</v>
      </c>
      <c r="AO674" s="31" t="n">
        <v>593546</v>
      </c>
      <c r="AP674" s="31" t="n">
        <v>594636</v>
      </c>
      <c r="AQ674" s="31" t="n">
        <v>68124</v>
      </c>
      <c r="AR674" s="31" t="n">
        <v>68124</v>
      </c>
      <c r="AS674" s="31" t="n">
        <v>1</v>
      </c>
      <c r="AT674" s="31" t="n">
        <v>1</v>
      </c>
      <c r="AU674" s="31" t="n">
        <f aca="false">IF($G674="",AJ674,L674)</f>
        <v>987285</v>
      </c>
      <c r="AV674" s="31" t="n">
        <f aca="false">IF($G674="",AK674,M674)</f>
        <v>80925</v>
      </c>
      <c r="AW674" s="31" t="n">
        <f aca="false">IF($G674="",AL674,N674)</f>
        <v>987285</v>
      </c>
      <c r="AX674" s="31" t="n">
        <f aca="false">IF($G674="",AM674,O674)</f>
        <v>80925</v>
      </c>
      <c r="AY674" s="31" t="n">
        <f aca="false">IF($G674="",AN674,P674)</f>
        <v>1028</v>
      </c>
      <c r="AZ674" s="31" t="n">
        <f aca="false">IF($G674="",AO674,Q674)</f>
        <v>593546</v>
      </c>
      <c r="BA674" s="31" t="n">
        <f aca="false">IF($G674="",AP674,R674)</f>
        <v>594636</v>
      </c>
      <c r="BB674" s="31" t="n">
        <f aca="false">IF($G674="",AQ674,S674)</f>
        <v>68124</v>
      </c>
      <c r="BC674" s="31" t="n">
        <f aca="false">IF($G674="",AR674,T674)</f>
        <v>68124</v>
      </c>
      <c r="BD674" s="31" t="n">
        <f aca="false">IF($G674="",AS674,U674)</f>
        <v>1</v>
      </c>
      <c r="BE674" s="31" t="n">
        <f aca="false">IF($G674="",AT674,V674)</f>
        <v>1</v>
      </c>
      <c r="BF674" s="31" t="n">
        <f aca="false">ROUNDDOWN(I674*設定!$B$10/1000,0)+ROUNDDOWN(I674*設定!$B$11/1000,0)</f>
        <v>0</v>
      </c>
      <c r="BG674" s="31" t="n">
        <f aca="false">ROUNDDOWN(I674*設定!$C$10/1000,0)+ROUNDDOWN(I674*設定!$C$11/1000,0)+ROUNDDOWN(I674*設定!$C$12/1000,0)</f>
        <v>0</v>
      </c>
      <c r="BH674" s="31" t="n">
        <f aca="false">ROUNDDOWN(J674*設定!$B$13/1000,0)</f>
        <v>0</v>
      </c>
      <c r="BI674" s="31" t="n">
        <f aca="false">ROUNDDOWN(J674*設定!$C$13/1000,0)</f>
        <v>0</v>
      </c>
      <c r="BJ674" s="31" t="n">
        <f aca="false">ROUNDDOWN(K674*設定!$B$14/1000,0)</f>
        <v>0</v>
      </c>
      <c r="BK674" s="31" t="n">
        <f aca="false">ROUNDDOWN(K674*設定!$C$14/1000,0)</f>
        <v>0</v>
      </c>
      <c r="BL674" s="31" t="n">
        <f aca="false">ROUNDDOWN(J674*設定!$B$15/1000,0)</f>
        <v>0</v>
      </c>
      <c r="BM674" s="31" t="n">
        <f aca="false">ROUNDDOWN(J674*設定!$C$15/1000,0)</f>
        <v>0</v>
      </c>
      <c r="BN674" s="31" t="n">
        <f aca="false">L674+M674</f>
        <v>0</v>
      </c>
      <c r="BO674" s="31" t="n">
        <f aca="false">N674+O674+P674</f>
        <v>0</v>
      </c>
      <c r="BP674" s="31" t="n">
        <f aca="false">Q674</f>
        <v>0</v>
      </c>
      <c r="BQ674" s="31" t="n">
        <f aca="false">R674</f>
        <v>0</v>
      </c>
      <c r="BR674" s="31" t="n">
        <f aca="false">S674</f>
        <v>0</v>
      </c>
      <c r="BS674" s="31" t="n">
        <f aca="false">T674</f>
        <v>0</v>
      </c>
      <c r="BT674" s="31" t="n">
        <f aca="false">U674</f>
        <v>0</v>
      </c>
      <c r="BU674" s="31" t="n">
        <f aca="false">V674</f>
        <v>0</v>
      </c>
      <c r="BV674" s="32" t="n">
        <f aca="false">IF(BF674=0,IF(BN674=0,0,1),(BN674-BF674)/BF674)</f>
        <v>0</v>
      </c>
      <c r="BW674" s="32" t="n">
        <f aca="false">IF(BG674=0,IF(BO674=0,0,1),(BO674-BG674)/BG674)</f>
        <v>0</v>
      </c>
      <c r="BX674" s="32" t="n">
        <f aca="false">IF(BH674=0,IF(BP674=0,0,1),(BP674-BH674)/BH674)</f>
        <v>0</v>
      </c>
      <c r="BY674" s="32" t="n">
        <f aca="false">IF(BI674=0,IF(BQ674=0,0,1),(BQ674-BI674)/BI674)</f>
        <v>0</v>
      </c>
      <c r="BZ674" s="32" t="n">
        <f aca="false">IF(BJ674=0,IF(BR674=0,0,1),(BR674-BJ674)/BJ674)</f>
        <v>0</v>
      </c>
      <c r="CA674" s="32" t="n">
        <f aca="false">IF(BK674=0,IF(BS674=0,0,1),(BS674-BK674)/BK674)</f>
        <v>0</v>
      </c>
      <c r="CB674" s="32" t="n">
        <f aca="false">IF(BL674=0,IF(BT674=0,0,1),(BT674-BL674)/BL674)</f>
        <v>0</v>
      </c>
      <c r="CC674" s="32" t="n">
        <f aca="false">IF(BM674=0,IF(BU674=0,0,1),(BU674-BM674)/BM674)</f>
        <v>0</v>
      </c>
      <c r="CD674" s="32" t="n">
        <f aca="false">MAX(MAX(BV674:CC674),-MIN(BV674:CC674))</f>
        <v>-0</v>
      </c>
      <c r="CE674" s="31" t="n">
        <f aca="false">IF(CI674="","",SUMIFS($CF$7:$CF$696,$A$7:$A$696,CI674,$B$7:$B$696,B674))</f>
        <v>3222669</v>
      </c>
      <c r="CF674" s="31" t="n">
        <f aca="false">SUM(AU674:BE674)</f>
        <v>3461880</v>
      </c>
      <c r="CG674" s="33" t="str">
        <f aca="false">A674&amp;"|"&amp;B674</f>
        <v>2027-03 月例|高速道路公社</v>
      </c>
      <c r="CH674" s="34" t="str">
        <f aca="false">IFERROR(INDEX(設定!$D$61:$D$106,MATCH(B674,設定!$B$61:$B$106,0)),"Y")</f>
        <v>Y</v>
      </c>
      <c r="CI674" s="34" t="str">
        <f aca="false">IFERROR(INDEX(設定!$D$20:$D$34,MATCH(A674,設定!$A$20:$A$34,0))&amp;"","")</f>
        <v>2027-02 月例</v>
      </c>
    </row>
    <row r="675" customFormat="false" ht="15" hidden="true" customHeight="false" outlineLevel="0" collapsed="false">
      <c r="A675" s="22" t="s">
        <v>222</v>
      </c>
      <c r="B675" s="23" t="s">
        <v>185</v>
      </c>
      <c r="C675" s="10" t="str">
        <f aca="false">IF(G675="","未受領",IF(G675="なし","報告なし",IF(AH675="○","起票済",IF(OR(AG675="○",F675="一致",F675="入金不要"),"入金確認済","受領済"))))</f>
        <v>未受領</v>
      </c>
      <c r="D675" s="10" t="str">
        <f aca="false">IF(OR(G675="",G675="なし"),"―",IF(CH675="N","対象外",IF(AND(I675="",J675="",K675=""),"標報未入力",IF(CD675&gt;=設定!$B$4,"要確認","問題なし"))))</f>
        <v>―</v>
      </c>
      <c r="E675" s="24" t="str">
        <f aca="false">IF(OR(G675="",G675="なし",CE675="",CF675=0),"―",IF(CF675=CE675,"前月同額",IF(CE675=0,"―",IF(ABS(CF675/CE675-1)&gt;=設定!$B$5,"変動大 "&amp;TEXT(CF675/CE675-1,"+0%;-0%"),"〇"))))</f>
        <v>―</v>
      </c>
      <c r="F675" s="10" t="str">
        <f aca="false">IF(OR(G675="",G675="なし"),"―",IF(CF675=0,"入金不要",IF(COUNT(Z675,AB675,AD675,AF675)=0,IF(AG675="○","手動確認","未入金"),IF(AND(N(Z675)=Y675,IF(AA675="",TRUE(),N(AB675)=AA675),IF(AC675="",TRUE(),N(AD675)=AC675),IF(AE675="",TRUE(),N(AF675)=AE675)),"一致","不一致"))))</f>
        <v>―</v>
      </c>
      <c r="G675" s="25"/>
      <c r="H675" s="26"/>
      <c r="I675" s="27"/>
      <c r="J675" s="27"/>
      <c r="K675" s="27"/>
      <c r="L675" s="27"/>
      <c r="M675" s="27"/>
      <c r="N675" s="27"/>
      <c r="O675" s="27"/>
      <c r="P675" s="27"/>
      <c r="Q675" s="27"/>
      <c r="R675" s="27"/>
      <c r="S675" s="27"/>
      <c r="T675" s="27"/>
      <c r="U675" s="27"/>
      <c r="V675" s="27"/>
      <c r="W675" s="10" t="str">
        <f aca="false">IFERROR(INDEX(設定!$E$61:$E$106,MATCH(B675,設定!$B$61:$B$106,0)),"合算")</f>
        <v>合算</v>
      </c>
      <c r="X675" s="28"/>
      <c r="Y675" s="29" t="str">
        <f aca="false">IF(OR(G675="",G675="なし"),"",IF(W675="合算",CF675,IF(W675="掛金・負担金別",(AU675+AV675+AZ675+BB675+BD675),SUM(AU675:AY675))))</f>
        <v/>
      </c>
      <c r="Z675" s="27"/>
      <c r="AA675" s="29" t="str">
        <f aca="false">IF(OR(G675="",G675="なし"),"",IF(W675="掛金・負担金別",(AW675+AX675+AY675+BA675+BC675+BE675),IF(W675="経理区分別",AZ675+BA675,"")))</f>
        <v/>
      </c>
      <c r="AB675" s="27"/>
      <c r="AC675" s="29" t="str">
        <f aca="false">IF(OR(G675="",G675="なし"),"",IF(W675="経理区分別",BB675+BC675,""))</f>
        <v/>
      </c>
      <c r="AD675" s="27"/>
      <c r="AE675" s="29" t="str">
        <f aca="false">IF(OR(G675="",G675="なし"),"",IF(W675="経理区分別",BD675+BE675,""))</f>
        <v/>
      </c>
      <c r="AF675" s="27"/>
      <c r="AG675" s="26"/>
      <c r="AH675" s="26"/>
      <c r="AI675" s="30"/>
      <c r="AJ675" s="31"/>
      <c r="AK675" s="31"/>
      <c r="AL675" s="31" t="n">
        <v>634095</v>
      </c>
      <c r="AM675" s="31" t="n">
        <v>51975</v>
      </c>
      <c r="AN675" s="31" t="n">
        <v>689</v>
      </c>
      <c r="AO675" s="31"/>
      <c r="AP675" s="31" t="n">
        <v>381942</v>
      </c>
      <c r="AQ675" s="31"/>
      <c r="AR675" s="31" t="n">
        <v>36120</v>
      </c>
      <c r="AS675" s="31"/>
      <c r="AT675" s="31" t="n">
        <v>1</v>
      </c>
      <c r="AU675" s="31" t="n">
        <f aca="false">IF($G675="",AJ675,L675)</f>
        <v>0</v>
      </c>
      <c r="AV675" s="31" t="n">
        <f aca="false">IF($G675="",AK675,M675)</f>
        <v>0</v>
      </c>
      <c r="AW675" s="31" t="n">
        <f aca="false">IF($G675="",AL675,N675)</f>
        <v>634095</v>
      </c>
      <c r="AX675" s="31" t="n">
        <f aca="false">IF($G675="",AM675,O675)</f>
        <v>51975</v>
      </c>
      <c r="AY675" s="31" t="n">
        <f aca="false">IF($G675="",AN675,P675)</f>
        <v>689</v>
      </c>
      <c r="AZ675" s="31" t="n">
        <f aca="false">IF($G675="",AO675,Q675)</f>
        <v>0</v>
      </c>
      <c r="BA675" s="31" t="n">
        <f aca="false">IF($G675="",AP675,R675)</f>
        <v>381942</v>
      </c>
      <c r="BB675" s="31" t="n">
        <f aca="false">IF($G675="",AQ675,S675)</f>
        <v>0</v>
      </c>
      <c r="BC675" s="31" t="n">
        <f aca="false">IF($G675="",AR675,T675)</f>
        <v>36120</v>
      </c>
      <c r="BD675" s="31" t="n">
        <f aca="false">IF($G675="",AS675,U675)</f>
        <v>0</v>
      </c>
      <c r="BE675" s="31" t="n">
        <f aca="false">IF($G675="",AT675,V675)</f>
        <v>1</v>
      </c>
      <c r="BF675" s="31" t="n">
        <f aca="false">ROUNDDOWN(I675*設定!$B$10/1000,0)+ROUNDDOWN(I675*設定!$B$11/1000,0)</f>
        <v>0</v>
      </c>
      <c r="BG675" s="31" t="n">
        <f aca="false">ROUNDDOWN(I675*設定!$C$10/1000,0)+ROUNDDOWN(I675*設定!$C$11/1000,0)+ROUNDDOWN(I675*設定!$C$12/1000,0)</f>
        <v>0</v>
      </c>
      <c r="BH675" s="31" t="n">
        <f aca="false">ROUNDDOWN(J675*設定!$B$13/1000,0)</f>
        <v>0</v>
      </c>
      <c r="BI675" s="31" t="n">
        <f aca="false">ROUNDDOWN(J675*設定!$C$13/1000,0)</f>
        <v>0</v>
      </c>
      <c r="BJ675" s="31" t="n">
        <f aca="false">ROUNDDOWN(K675*設定!$B$14/1000,0)</f>
        <v>0</v>
      </c>
      <c r="BK675" s="31" t="n">
        <f aca="false">ROUNDDOWN(K675*設定!$C$14/1000,0)</f>
        <v>0</v>
      </c>
      <c r="BL675" s="31" t="n">
        <f aca="false">ROUNDDOWN(J675*設定!$B$15/1000,0)</f>
        <v>0</v>
      </c>
      <c r="BM675" s="31" t="n">
        <f aca="false">ROUNDDOWN(J675*設定!$C$15/1000,0)</f>
        <v>0</v>
      </c>
      <c r="BN675" s="31" t="n">
        <f aca="false">L675+M675</f>
        <v>0</v>
      </c>
      <c r="BO675" s="31" t="n">
        <f aca="false">N675+O675+P675</f>
        <v>0</v>
      </c>
      <c r="BP675" s="31" t="n">
        <f aca="false">Q675</f>
        <v>0</v>
      </c>
      <c r="BQ675" s="31" t="n">
        <f aca="false">R675</f>
        <v>0</v>
      </c>
      <c r="BR675" s="31" t="n">
        <f aca="false">S675</f>
        <v>0</v>
      </c>
      <c r="BS675" s="31" t="n">
        <f aca="false">T675</f>
        <v>0</v>
      </c>
      <c r="BT675" s="31" t="n">
        <f aca="false">U675</f>
        <v>0</v>
      </c>
      <c r="BU675" s="31" t="n">
        <f aca="false">V675</f>
        <v>0</v>
      </c>
      <c r="BV675" s="32" t="n">
        <f aca="false">IF(BF675=0,IF(BN675=0,0,1),(BN675-BF675)/BF675)</f>
        <v>0</v>
      </c>
      <c r="BW675" s="32" t="n">
        <f aca="false">IF(BG675=0,IF(BO675=0,0,1),(BO675-BG675)/BG675)</f>
        <v>0</v>
      </c>
      <c r="BX675" s="32" t="n">
        <f aca="false">IF(BH675=0,IF(BP675=0,0,1),(BP675-BH675)/BH675)</f>
        <v>0</v>
      </c>
      <c r="BY675" s="32" t="n">
        <f aca="false">IF(BI675=0,IF(BQ675=0,0,1),(BQ675-BI675)/BI675)</f>
        <v>0</v>
      </c>
      <c r="BZ675" s="32" t="n">
        <f aca="false">IF(BJ675=0,IF(BR675=0,0,1),(BR675-BJ675)/BJ675)</f>
        <v>0</v>
      </c>
      <c r="CA675" s="32" t="n">
        <f aca="false">IF(BK675=0,IF(BS675=0,0,1),(BS675-BK675)/BK675)</f>
        <v>0</v>
      </c>
      <c r="CB675" s="32" t="n">
        <f aca="false">IF(BL675=0,IF(BT675=0,0,1),(BT675-BL675)/BL675)</f>
        <v>0</v>
      </c>
      <c r="CC675" s="32" t="n">
        <f aca="false">IF(BM675=0,IF(BU675=0,0,1),(BU675-BM675)/BM675)</f>
        <v>0</v>
      </c>
      <c r="CD675" s="32" t="n">
        <f aca="false">MAX(MAX(BV675:CC675),-MIN(BV675:CC675))</f>
        <v>-0</v>
      </c>
      <c r="CE675" s="31" t="n">
        <f aca="false">IF(CI675="","",SUMIFS($CF$7:$CF$696,$A$7:$A$696,CI675,$B$7:$B$696,B675))</f>
        <v>991086</v>
      </c>
      <c r="CF675" s="31" t="n">
        <f aca="false">SUM(AU675:BE675)</f>
        <v>1104822</v>
      </c>
      <c r="CG675" s="33" t="str">
        <f aca="false">A675&amp;"|"&amp;B675</f>
        <v>2027-03 月例|農林水産振興センタ</v>
      </c>
      <c r="CH675" s="34" t="str">
        <f aca="false">IFERROR(INDEX(設定!$D$61:$D$106,MATCH(B675,設定!$B$61:$B$106,0)),"Y")</f>
        <v>Y</v>
      </c>
      <c r="CI675" s="34" t="str">
        <f aca="false">IFERROR(INDEX(設定!$D$20:$D$34,MATCH(A675,設定!$A$20:$A$34,0))&amp;"","")</f>
        <v>2027-02 月例</v>
      </c>
    </row>
    <row r="676" customFormat="false" ht="15" hidden="true" customHeight="false" outlineLevel="0" collapsed="false">
      <c r="A676" s="22" t="s">
        <v>222</v>
      </c>
      <c r="B676" s="23" t="s">
        <v>186</v>
      </c>
      <c r="C676" s="10" t="str">
        <f aca="false">IF(G676="","未受領",IF(G676="なし","報告なし",IF(AH676="○","起票済",IF(OR(AG676="○",F676="一致",F676="入金不要"),"入金確認済","受領済"))))</f>
        <v>未受領</v>
      </c>
      <c r="D676" s="10" t="str">
        <f aca="false">IF(OR(G676="",G676="なし"),"―",IF(CH676="N","対象外",IF(AND(I676="",J676="",K676=""),"標報未入力",IF(CD676&gt;=設定!$B$4,"要確認","問題なし"))))</f>
        <v>―</v>
      </c>
      <c r="E676" s="24" t="str">
        <f aca="false">IF(OR(G676="",G676="なし",CE676="",CF676=0),"―",IF(CF676=CE676,"前月同額",IF(CE676=0,"―",IF(ABS(CF676/CE676-1)&gt;=設定!$B$5,"変動大 "&amp;TEXT(CF676/CE676-1,"+0%;-0%"),"〇"))))</f>
        <v>―</v>
      </c>
      <c r="F676" s="10" t="str">
        <f aca="false">IF(OR(G676="",G676="なし"),"―",IF(CF676=0,"入金不要",IF(COUNT(Z676,AB676,AD676,AF676)=0,IF(AG676="○","手動確認","未入金"),IF(AND(N(Z676)=Y676,IF(AA676="",TRUE(),N(AB676)=AA676),IF(AC676="",TRUE(),N(AD676)=AC676),IF(AE676="",TRUE(),N(AF676)=AE676)),"一致","不一致"))))</f>
        <v>―</v>
      </c>
      <c r="G676" s="25"/>
      <c r="H676" s="26"/>
      <c r="I676" s="27"/>
      <c r="J676" s="27"/>
      <c r="K676" s="27"/>
      <c r="L676" s="27"/>
      <c r="M676" s="27"/>
      <c r="N676" s="27"/>
      <c r="O676" s="27"/>
      <c r="P676" s="27"/>
      <c r="Q676" s="27"/>
      <c r="R676" s="27"/>
      <c r="S676" s="27"/>
      <c r="T676" s="27"/>
      <c r="U676" s="27"/>
      <c r="V676" s="27"/>
      <c r="W676" s="10" t="str">
        <f aca="false">IFERROR(INDEX(設定!$E$61:$E$106,MATCH(B676,設定!$B$61:$B$106,0)),"合算")</f>
        <v>合算</v>
      </c>
      <c r="X676" s="28"/>
      <c r="Y676" s="29" t="str">
        <f aca="false">IF(OR(G676="",G676="なし"),"",IF(W676="合算",CF676,IF(W676="掛金・負担金別",(AU676+AV676+AZ676+BB676+BD676),SUM(AU676:AY676))))</f>
        <v/>
      </c>
      <c r="Z676" s="27"/>
      <c r="AA676" s="29" t="str">
        <f aca="false">IF(OR(G676="",G676="なし"),"",IF(W676="掛金・負担金別",(AW676+AX676+AY676+BA676+BC676+BE676),IF(W676="経理区分別",AZ676+BA676,"")))</f>
        <v/>
      </c>
      <c r="AB676" s="27"/>
      <c r="AC676" s="29" t="str">
        <f aca="false">IF(OR(G676="",G676="なし"),"",IF(W676="経理区分別",BB676+BC676,""))</f>
        <v/>
      </c>
      <c r="AD676" s="27"/>
      <c r="AE676" s="29" t="str">
        <f aca="false">IF(OR(G676="",G676="なし"),"",IF(W676="経理区分別",BD676+BE676,""))</f>
        <v/>
      </c>
      <c r="AF676" s="27"/>
      <c r="AG676" s="26"/>
      <c r="AH676" s="26"/>
      <c r="AI676" s="30"/>
      <c r="AJ676" s="31"/>
      <c r="AK676" s="31"/>
      <c r="AL676" s="31" t="n">
        <v>1196820</v>
      </c>
      <c r="AM676" s="31" t="n">
        <v>98100</v>
      </c>
      <c r="AN676" s="31" t="n">
        <v>1224</v>
      </c>
      <c r="AO676" s="31"/>
      <c r="AP676" s="31" t="n">
        <v>722488</v>
      </c>
      <c r="AQ676" s="31"/>
      <c r="AR676" s="31" t="n">
        <v>97012</v>
      </c>
      <c r="AS676" s="31"/>
      <c r="AT676" s="31" t="n">
        <v>1</v>
      </c>
      <c r="AU676" s="31" t="n">
        <f aca="false">IF($G676="",AJ676,L676)</f>
        <v>0</v>
      </c>
      <c r="AV676" s="31" t="n">
        <f aca="false">IF($G676="",AK676,M676)</f>
        <v>0</v>
      </c>
      <c r="AW676" s="31" t="n">
        <f aca="false">IF($G676="",AL676,N676)</f>
        <v>1196820</v>
      </c>
      <c r="AX676" s="31" t="n">
        <f aca="false">IF($G676="",AM676,O676)</f>
        <v>98100</v>
      </c>
      <c r="AY676" s="31" t="n">
        <f aca="false">IF($G676="",AN676,P676)</f>
        <v>1224</v>
      </c>
      <c r="AZ676" s="31" t="n">
        <f aca="false">IF($G676="",AO676,Q676)</f>
        <v>0</v>
      </c>
      <c r="BA676" s="31" t="n">
        <f aca="false">IF($G676="",AP676,R676)</f>
        <v>722488</v>
      </c>
      <c r="BB676" s="31" t="n">
        <f aca="false">IF($G676="",AQ676,S676)</f>
        <v>0</v>
      </c>
      <c r="BC676" s="31" t="n">
        <f aca="false">IF($G676="",AR676,T676)</f>
        <v>97012</v>
      </c>
      <c r="BD676" s="31" t="n">
        <f aca="false">IF($G676="",AS676,U676)</f>
        <v>0</v>
      </c>
      <c r="BE676" s="31" t="n">
        <f aca="false">IF($G676="",AT676,V676)</f>
        <v>1</v>
      </c>
      <c r="BF676" s="31" t="n">
        <f aca="false">ROUNDDOWN(I676*設定!$B$10/1000,0)+ROUNDDOWN(I676*設定!$B$11/1000,0)</f>
        <v>0</v>
      </c>
      <c r="BG676" s="31" t="n">
        <f aca="false">ROUNDDOWN(I676*設定!$C$10/1000,0)+ROUNDDOWN(I676*設定!$C$11/1000,0)+ROUNDDOWN(I676*設定!$C$12/1000,0)</f>
        <v>0</v>
      </c>
      <c r="BH676" s="31" t="n">
        <f aca="false">ROUNDDOWN(J676*設定!$B$13/1000,0)</f>
        <v>0</v>
      </c>
      <c r="BI676" s="31" t="n">
        <f aca="false">ROUNDDOWN(J676*設定!$C$13/1000,0)</f>
        <v>0</v>
      </c>
      <c r="BJ676" s="31" t="n">
        <f aca="false">ROUNDDOWN(K676*設定!$B$14/1000,0)</f>
        <v>0</v>
      </c>
      <c r="BK676" s="31" t="n">
        <f aca="false">ROUNDDOWN(K676*設定!$C$14/1000,0)</f>
        <v>0</v>
      </c>
      <c r="BL676" s="31" t="n">
        <f aca="false">ROUNDDOWN(J676*設定!$B$15/1000,0)</f>
        <v>0</v>
      </c>
      <c r="BM676" s="31" t="n">
        <f aca="false">ROUNDDOWN(J676*設定!$C$15/1000,0)</f>
        <v>0</v>
      </c>
      <c r="BN676" s="31" t="n">
        <f aca="false">L676+M676</f>
        <v>0</v>
      </c>
      <c r="BO676" s="31" t="n">
        <f aca="false">N676+O676+P676</f>
        <v>0</v>
      </c>
      <c r="BP676" s="31" t="n">
        <f aca="false">Q676</f>
        <v>0</v>
      </c>
      <c r="BQ676" s="31" t="n">
        <f aca="false">R676</f>
        <v>0</v>
      </c>
      <c r="BR676" s="31" t="n">
        <f aca="false">S676</f>
        <v>0</v>
      </c>
      <c r="BS676" s="31" t="n">
        <f aca="false">T676</f>
        <v>0</v>
      </c>
      <c r="BT676" s="31" t="n">
        <f aca="false">U676</f>
        <v>0</v>
      </c>
      <c r="BU676" s="31" t="n">
        <f aca="false">V676</f>
        <v>0</v>
      </c>
      <c r="BV676" s="32" t="n">
        <f aca="false">IF(BF676=0,IF(BN676=0,0,1),(BN676-BF676)/BF676)</f>
        <v>0</v>
      </c>
      <c r="BW676" s="32" t="n">
        <f aca="false">IF(BG676=0,IF(BO676=0,0,1),(BO676-BG676)/BG676)</f>
        <v>0</v>
      </c>
      <c r="BX676" s="32" t="n">
        <f aca="false">IF(BH676=0,IF(BP676=0,0,1),(BP676-BH676)/BH676)</f>
        <v>0</v>
      </c>
      <c r="BY676" s="32" t="n">
        <f aca="false">IF(BI676=0,IF(BQ676=0,0,1),(BQ676-BI676)/BI676)</f>
        <v>0</v>
      </c>
      <c r="BZ676" s="32" t="n">
        <f aca="false">IF(BJ676=0,IF(BR676=0,0,1),(BR676-BJ676)/BJ676)</f>
        <v>0</v>
      </c>
      <c r="CA676" s="32" t="n">
        <f aca="false">IF(BK676=0,IF(BS676=0,0,1),(BS676-BK676)/BK676)</f>
        <v>0</v>
      </c>
      <c r="CB676" s="32" t="n">
        <f aca="false">IF(BL676=0,IF(BT676=0,0,1),(BT676-BL676)/BL676)</f>
        <v>0</v>
      </c>
      <c r="CC676" s="32" t="n">
        <f aca="false">IF(BM676=0,IF(BU676=0,0,1),(BU676-BM676)/BM676)</f>
        <v>0</v>
      </c>
      <c r="CD676" s="32" t="n">
        <f aca="false">MAX(MAX(BV676:CC676),-MIN(BV676:CC676))</f>
        <v>-0</v>
      </c>
      <c r="CE676" s="31" t="n">
        <f aca="false">IF(CI676="","",SUMIFS($CF$7:$CF$696,$A$7:$A$696,CI676,$B$7:$B$696,B676))</f>
        <v>2050017</v>
      </c>
      <c r="CF676" s="31" t="n">
        <f aca="false">SUM(AU676:BE676)</f>
        <v>2115645</v>
      </c>
      <c r="CG676" s="33" t="str">
        <f aca="false">A676&amp;"|"&amp;B676</f>
        <v>2027-03 月例|文化財団　市長部局</v>
      </c>
      <c r="CH676" s="34" t="str">
        <f aca="false">IFERROR(INDEX(設定!$D$61:$D$106,MATCH(B676,設定!$B$61:$B$106,0)),"Y")</f>
        <v>Y</v>
      </c>
      <c r="CI676" s="34" t="str">
        <f aca="false">IFERROR(INDEX(設定!$D$20:$D$34,MATCH(A676,設定!$A$20:$A$34,0))&amp;"","")</f>
        <v>2027-02 月例</v>
      </c>
    </row>
    <row r="677" customFormat="false" ht="15" hidden="true" customHeight="false" outlineLevel="0" collapsed="false">
      <c r="A677" s="22" t="s">
        <v>222</v>
      </c>
      <c r="B677" s="23" t="s">
        <v>187</v>
      </c>
      <c r="C677" s="10" t="str">
        <f aca="false">IF(G677="","未受領",IF(G677="なし","報告なし",IF(AH677="○","起票済",IF(OR(AG677="○",F677="一致",F677="入金不要"),"入金確認済","受領済"))))</f>
        <v>未受領</v>
      </c>
      <c r="D677" s="10" t="str">
        <f aca="false">IF(OR(G677="",G677="なし"),"―",IF(CH677="N","対象外",IF(AND(I677="",J677="",K677=""),"標報未入力",IF(CD677&gt;=設定!$B$4,"要確認","問題なし"))))</f>
        <v>―</v>
      </c>
      <c r="E677" s="24" t="str">
        <f aca="false">IF(OR(G677="",G677="なし",CE677="",CF677=0),"―",IF(CF677=CE677,"前月同額",IF(CE677=0,"―",IF(ABS(CF677/CE677-1)&gt;=設定!$B$5,"変動大 "&amp;TEXT(CF677/CE677-1,"+0%;-0%"),"〇"))))</f>
        <v>―</v>
      </c>
      <c r="F677" s="10" t="str">
        <f aca="false">IF(OR(G677="",G677="なし"),"―",IF(CF677=0,"入金不要",IF(COUNT(Z677,AB677,AD677,AF677)=0,IF(AG677="○","手動確認","未入金"),IF(AND(N(Z677)=Y677,IF(AA677="",TRUE(),N(AB677)=AA677),IF(AC677="",TRUE(),N(AD677)=AC677),IF(AE677="",TRUE(),N(AF677)=AE677)),"一致","不一致"))))</f>
        <v>―</v>
      </c>
      <c r="G677" s="25"/>
      <c r="H677" s="26"/>
      <c r="I677" s="27"/>
      <c r="J677" s="27"/>
      <c r="K677" s="27"/>
      <c r="L677" s="27"/>
      <c r="M677" s="27"/>
      <c r="N677" s="27"/>
      <c r="O677" s="27"/>
      <c r="P677" s="27"/>
      <c r="Q677" s="27"/>
      <c r="R677" s="27"/>
      <c r="S677" s="27"/>
      <c r="T677" s="27"/>
      <c r="U677" s="27"/>
      <c r="V677" s="27"/>
      <c r="W677" s="10" t="str">
        <f aca="false">IFERROR(INDEX(設定!$E$61:$E$106,MATCH(B677,設定!$B$61:$B$106,0)),"合算")</f>
        <v>合算</v>
      </c>
      <c r="X677" s="28"/>
      <c r="Y677" s="29" t="str">
        <f aca="false">IF(OR(G677="",G677="なし"),"",IF(W677="合算",CF677,IF(W677="掛金・負担金別",(AU677+AV677+AZ677+BB677+BD677),SUM(AU677:AY677))))</f>
        <v/>
      </c>
      <c r="Z677" s="27"/>
      <c r="AA677" s="29" t="str">
        <f aca="false">IF(OR(G677="",G677="なし"),"",IF(W677="掛金・負担金別",(AW677+AX677+AY677+BA677+BC677+BE677),IF(W677="経理区分別",AZ677+BA677,"")))</f>
        <v/>
      </c>
      <c r="AB677" s="27"/>
      <c r="AC677" s="29" t="str">
        <f aca="false">IF(OR(G677="",G677="なし"),"",IF(W677="経理区分別",BB677+BC677,""))</f>
        <v/>
      </c>
      <c r="AD677" s="27"/>
      <c r="AE677" s="29" t="str">
        <f aca="false">IF(OR(G677="",G677="なし"),"",IF(W677="経理区分別",BD677+BE677,""))</f>
        <v/>
      </c>
      <c r="AF677" s="27"/>
      <c r="AG677" s="26"/>
      <c r="AH677" s="26"/>
      <c r="AI677" s="30"/>
      <c r="AJ677" s="31"/>
      <c r="AK677" s="31"/>
      <c r="AL677" s="31" t="n">
        <v>0</v>
      </c>
      <c r="AM677" s="31" t="n">
        <v>0</v>
      </c>
      <c r="AN677" s="31" t="n">
        <v>0</v>
      </c>
      <c r="AO677" s="31"/>
      <c r="AP677" s="31" t="n">
        <v>0</v>
      </c>
      <c r="AQ677" s="31"/>
      <c r="AR677" s="31" t="n">
        <v>0</v>
      </c>
      <c r="AS677" s="31"/>
      <c r="AT677" s="31" t="n">
        <v>0</v>
      </c>
      <c r="AU677" s="31" t="n">
        <f aca="false">IF($G677="",AJ677,L677)</f>
        <v>0</v>
      </c>
      <c r="AV677" s="31" t="n">
        <f aca="false">IF($G677="",AK677,M677)</f>
        <v>0</v>
      </c>
      <c r="AW677" s="31" t="n">
        <f aca="false">IF($G677="",AL677,N677)</f>
        <v>0</v>
      </c>
      <c r="AX677" s="31" t="n">
        <f aca="false">IF($G677="",AM677,O677)</f>
        <v>0</v>
      </c>
      <c r="AY677" s="31" t="n">
        <f aca="false">IF($G677="",AN677,P677)</f>
        <v>0</v>
      </c>
      <c r="AZ677" s="31" t="n">
        <f aca="false">IF($G677="",AO677,Q677)</f>
        <v>0</v>
      </c>
      <c r="BA677" s="31" t="n">
        <f aca="false">IF($G677="",AP677,R677)</f>
        <v>0</v>
      </c>
      <c r="BB677" s="31" t="n">
        <f aca="false">IF($G677="",AQ677,S677)</f>
        <v>0</v>
      </c>
      <c r="BC677" s="31" t="n">
        <f aca="false">IF($G677="",AR677,T677)</f>
        <v>0</v>
      </c>
      <c r="BD677" s="31" t="n">
        <f aca="false">IF($G677="",AS677,U677)</f>
        <v>0</v>
      </c>
      <c r="BE677" s="31" t="n">
        <f aca="false">IF($G677="",AT677,V677)</f>
        <v>0</v>
      </c>
      <c r="BF677" s="31" t="n">
        <f aca="false">ROUNDDOWN(I677*設定!$B$10/1000,0)+ROUNDDOWN(I677*設定!$B$11/1000,0)</f>
        <v>0</v>
      </c>
      <c r="BG677" s="31" t="n">
        <f aca="false">ROUNDDOWN(I677*設定!$C$10/1000,0)+ROUNDDOWN(I677*設定!$C$11/1000,0)+ROUNDDOWN(I677*設定!$C$12/1000,0)</f>
        <v>0</v>
      </c>
      <c r="BH677" s="31" t="n">
        <f aca="false">ROUNDDOWN(J677*設定!$B$13/1000,0)</f>
        <v>0</v>
      </c>
      <c r="BI677" s="31" t="n">
        <f aca="false">ROUNDDOWN(J677*設定!$C$13/1000,0)</f>
        <v>0</v>
      </c>
      <c r="BJ677" s="31" t="n">
        <f aca="false">ROUNDDOWN(K677*設定!$B$14/1000,0)</f>
        <v>0</v>
      </c>
      <c r="BK677" s="31" t="n">
        <f aca="false">ROUNDDOWN(K677*設定!$C$14/1000,0)</f>
        <v>0</v>
      </c>
      <c r="BL677" s="31" t="n">
        <f aca="false">ROUNDDOWN(J677*設定!$B$15/1000,0)</f>
        <v>0</v>
      </c>
      <c r="BM677" s="31" t="n">
        <f aca="false">ROUNDDOWN(J677*設定!$C$15/1000,0)</f>
        <v>0</v>
      </c>
      <c r="BN677" s="31" t="n">
        <f aca="false">L677+M677</f>
        <v>0</v>
      </c>
      <c r="BO677" s="31" t="n">
        <f aca="false">N677+O677+P677</f>
        <v>0</v>
      </c>
      <c r="BP677" s="31" t="n">
        <f aca="false">Q677</f>
        <v>0</v>
      </c>
      <c r="BQ677" s="31" t="n">
        <f aca="false">R677</f>
        <v>0</v>
      </c>
      <c r="BR677" s="31" t="n">
        <f aca="false">S677</f>
        <v>0</v>
      </c>
      <c r="BS677" s="31" t="n">
        <f aca="false">T677</f>
        <v>0</v>
      </c>
      <c r="BT677" s="31" t="n">
        <f aca="false">U677</f>
        <v>0</v>
      </c>
      <c r="BU677" s="31" t="n">
        <f aca="false">V677</f>
        <v>0</v>
      </c>
      <c r="BV677" s="32" t="n">
        <f aca="false">IF(BF677=0,IF(BN677=0,0,1),(BN677-BF677)/BF677)</f>
        <v>0</v>
      </c>
      <c r="BW677" s="32" t="n">
        <f aca="false">IF(BG677=0,IF(BO677=0,0,1),(BO677-BG677)/BG677)</f>
        <v>0</v>
      </c>
      <c r="BX677" s="32" t="n">
        <f aca="false">IF(BH677=0,IF(BP677=0,0,1),(BP677-BH677)/BH677)</f>
        <v>0</v>
      </c>
      <c r="BY677" s="32" t="n">
        <f aca="false">IF(BI677=0,IF(BQ677=0,0,1),(BQ677-BI677)/BI677)</f>
        <v>0</v>
      </c>
      <c r="BZ677" s="32" t="n">
        <f aca="false">IF(BJ677=0,IF(BR677=0,0,1),(BR677-BJ677)/BJ677)</f>
        <v>0</v>
      </c>
      <c r="CA677" s="32" t="n">
        <f aca="false">IF(BK677=0,IF(BS677=0,0,1),(BS677-BK677)/BK677)</f>
        <v>0</v>
      </c>
      <c r="CB677" s="32" t="n">
        <f aca="false">IF(BL677=0,IF(BT677=0,0,1),(BT677-BL677)/BL677)</f>
        <v>0</v>
      </c>
      <c r="CC677" s="32" t="n">
        <f aca="false">IF(BM677=0,IF(BU677=0,0,1),(BU677-BM677)/BM677)</f>
        <v>0</v>
      </c>
      <c r="CD677" s="32" t="n">
        <f aca="false">MAX(MAX(BV677:CC677),-MIN(BV677:CC677))</f>
        <v>-0</v>
      </c>
      <c r="CE677" s="31" t="n">
        <f aca="false">IF(CI677="","",SUMIFS($CF$7:$CF$696,$A$7:$A$696,CI677,$B$7:$B$696,B677))</f>
        <v>0</v>
      </c>
      <c r="CF677" s="31" t="n">
        <f aca="false">SUM(AU677:BE677)</f>
        <v>0</v>
      </c>
      <c r="CG677" s="33" t="str">
        <f aca="false">A677&amp;"|"&amp;B677</f>
        <v>2027-03 月例|文化財団　教育委員会</v>
      </c>
      <c r="CH677" s="34" t="str">
        <f aca="false">IFERROR(INDEX(設定!$D$61:$D$106,MATCH(B677,設定!$B$61:$B$106,0)),"Y")</f>
        <v>Y</v>
      </c>
      <c r="CI677" s="34" t="str">
        <f aca="false">IFERROR(INDEX(設定!$D$20:$D$34,MATCH(A677,設定!$A$20:$A$34,0))&amp;"","")</f>
        <v>2027-02 月例</v>
      </c>
    </row>
    <row r="678" customFormat="false" ht="15" hidden="true" customHeight="false" outlineLevel="0" collapsed="false">
      <c r="A678" s="22" t="s">
        <v>222</v>
      </c>
      <c r="B678" s="23" t="s">
        <v>188</v>
      </c>
      <c r="C678" s="10" t="str">
        <f aca="false">IF(G678="","未受領",IF(G678="なし","報告なし",IF(AH678="○","起票済",IF(OR(AG678="○",F678="一致",F678="入金不要"),"入金確認済","受領済"))))</f>
        <v>未受領</v>
      </c>
      <c r="D678" s="10" t="str">
        <f aca="false">IF(OR(G678="",G678="なし"),"―",IF(CH678="N","対象外",IF(AND(I678="",J678="",K678=""),"標報未入力",IF(CD678&gt;=設定!$B$4,"要確認","問題なし"))))</f>
        <v>―</v>
      </c>
      <c r="E678" s="24" t="str">
        <f aca="false">IF(OR(G678="",G678="なし",CE678="",CF678=0),"―",IF(CF678=CE678,"前月同額",IF(CE678=0,"―",IF(ABS(CF678/CE678-1)&gt;=設定!$B$5,"変動大 "&amp;TEXT(CF678/CE678-1,"+0%;-0%"),"〇"))))</f>
        <v>―</v>
      </c>
      <c r="F678" s="10" t="str">
        <f aca="false">IF(OR(G678="",G678="なし"),"―",IF(CF678=0,"入金不要",IF(COUNT(Z678,AB678,AD678,AF678)=0,IF(AG678="○","手動確認","未入金"),IF(AND(N(Z678)=Y678,IF(AA678="",TRUE(),N(AB678)=AA678),IF(AC678="",TRUE(),N(AD678)=AC678),IF(AE678="",TRUE(),N(AF678)=AE678)),"一致","不一致"))))</f>
        <v>―</v>
      </c>
      <c r="G678" s="25"/>
      <c r="H678" s="26"/>
      <c r="I678" s="27"/>
      <c r="J678" s="27"/>
      <c r="K678" s="27"/>
      <c r="L678" s="27"/>
      <c r="M678" s="27"/>
      <c r="N678" s="27"/>
      <c r="O678" s="27"/>
      <c r="P678" s="27"/>
      <c r="Q678" s="27"/>
      <c r="R678" s="27"/>
      <c r="S678" s="27"/>
      <c r="T678" s="27"/>
      <c r="U678" s="27"/>
      <c r="V678" s="27"/>
      <c r="W678" s="10" t="str">
        <f aca="false">IFERROR(INDEX(設定!$E$61:$E$106,MATCH(B678,設定!$B$61:$B$106,0)),"合算")</f>
        <v>合算</v>
      </c>
      <c r="X678" s="28"/>
      <c r="Y678" s="29" t="str">
        <f aca="false">IF(OR(G678="",G678="なし"),"",IF(W678="合算",CF678,IF(W678="掛金・負担金別",(AU678+AV678+AZ678+BB678+BD678),SUM(AU678:AY678))))</f>
        <v/>
      </c>
      <c r="Z678" s="27"/>
      <c r="AA678" s="29" t="str">
        <f aca="false">IF(OR(G678="",G678="なし"),"",IF(W678="掛金・負担金別",(AW678+AX678+AY678+BA678+BC678+BE678),IF(W678="経理区分別",AZ678+BA678,"")))</f>
        <v/>
      </c>
      <c r="AB678" s="27"/>
      <c r="AC678" s="29" t="str">
        <f aca="false">IF(OR(G678="",G678="なし"),"",IF(W678="経理区分別",BB678+BC678,""))</f>
        <v/>
      </c>
      <c r="AD678" s="27"/>
      <c r="AE678" s="29" t="str">
        <f aca="false">IF(OR(G678="",G678="なし"),"",IF(W678="経理区分別",BD678+BE678,""))</f>
        <v/>
      </c>
      <c r="AF678" s="27"/>
      <c r="AG678" s="26"/>
      <c r="AH678" s="26"/>
      <c r="AI678" s="30"/>
      <c r="AJ678" s="31"/>
      <c r="AK678" s="31"/>
      <c r="AL678" s="31" t="n">
        <v>402600</v>
      </c>
      <c r="AM678" s="31" t="n">
        <v>33000</v>
      </c>
      <c r="AN678" s="31" t="n">
        <v>412</v>
      </c>
      <c r="AO678" s="31"/>
      <c r="AP678" s="31" t="n">
        <v>242482</v>
      </c>
      <c r="AQ678" s="31"/>
      <c r="AR678" s="31" t="n">
        <v>34760</v>
      </c>
      <c r="AS678" s="31"/>
      <c r="AT678" s="31" t="n">
        <v>1</v>
      </c>
      <c r="AU678" s="31" t="n">
        <f aca="false">IF($G678="",AJ678,L678)</f>
        <v>0</v>
      </c>
      <c r="AV678" s="31" t="n">
        <f aca="false">IF($G678="",AK678,M678)</f>
        <v>0</v>
      </c>
      <c r="AW678" s="31" t="n">
        <f aca="false">IF($G678="",AL678,N678)</f>
        <v>402600</v>
      </c>
      <c r="AX678" s="31" t="n">
        <f aca="false">IF($G678="",AM678,O678)</f>
        <v>33000</v>
      </c>
      <c r="AY678" s="31" t="n">
        <f aca="false">IF($G678="",AN678,P678)</f>
        <v>412</v>
      </c>
      <c r="AZ678" s="31" t="n">
        <f aca="false">IF($G678="",AO678,Q678)</f>
        <v>0</v>
      </c>
      <c r="BA678" s="31" t="n">
        <f aca="false">IF($G678="",AP678,R678)</f>
        <v>242482</v>
      </c>
      <c r="BB678" s="31" t="n">
        <f aca="false">IF($G678="",AQ678,S678)</f>
        <v>0</v>
      </c>
      <c r="BC678" s="31" t="n">
        <f aca="false">IF($G678="",AR678,T678)</f>
        <v>34760</v>
      </c>
      <c r="BD678" s="31" t="n">
        <f aca="false">IF($G678="",AS678,U678)</f>
        <v>0</v>
      </c>
      <c r="BE678" s="31" t="n">
        <f aca="false">IF($G678="",AT678,V678)</f>
        <v>1</v>
      </c>
      <c r="BF678" s="31" t="n">
        <f aca="false">ROUNDDOWN(I678*設定!$B$10/1000,0)+ROUNDDOWN(I678*設定!$B$11/1000,0)</f>
        <v>0</v>
      </c>
      <c r="BG678" s="31" t="n">
        <f aca="false">ROUNDDOWN(I678*設定!$C$10/1000,0)+ROUNDDOWN(I678*設定!$C$11/1000,0)+ROUNDDOWN(I678*設定!$C$12/1000,0)</f>
        <v>0</v>
      </c>
      <c r="BH678" s="31" t="n">
        <f aca="false">ROUNDDOWN(J678*設定!$B$13/1000,0)</f>
        <v>0</v>
      </c>
      <c r="BI678" s="31" t="n">
        <f aca="false">ROUNDDOWN(J678*設定!$C$13/1000,0)</f>
        <v>0</v>
      </c>
      <c r="BJ678" s="31" t="n">
        <f aca="false">ROUNDDOWN(K678*設定!$B$14/1000,0)</f>
        <v>0</v>
      </c>
      <c r="BK678" s="31" t="n">
        <f aca="false">ROUNDDOWN(K678*設定!$C$14/1000,0)</f>
        <v>0</v>
      </c>
      <c r="BL678" s="31" t="n">
        <f aca="false">ROUNDDOWN(J678*設定!$B$15/1000,0)</f>
        <v>0</v>
      </c>
      <c r="BM678" s="31" t="n">
        <f aca="false">ROUNDDOWN(J678*設定!$C$15/1000,0)</f>
        <v>0</v>
      </c>
      <c r="BN678" s="31" t="n">
        <f aca="false">L678+M678</f>
        <v>0</v>
      </c>
      <c r="BO678" s="31" t="n">
        <f aca="false">N678+O678+P678</f>
        <v>0</v>
      </c>
      <c r="BP678" s="31" t="n">
        <f aca="false">Q678</f>
        <v>0</v>
      </c>
      <c r="BQ678" s="31" t="n">
        <f aca="false">R678</f>
        <v>0</v>
      </c>
      <c r="BR678" s="31" t="n">
        <f aca="false">S678</f>
        <v>0</v>
      </c>
      <c r="BS678" s="31" t="n">
        <f aca="false">T678</f>
        <v>0</v>
      </c>
      <c r="BT678" s="31" t="n">
        <f aca="false">U678</f>
        <v>0</v>
      </c>
      <c r="BU678" s="31" t="n">
        <f aca="false">V678</f>
        <v>0</v>
      </c>
      <c r="BV678" s="32" t="n">
        <f aca="false">IF(BF678=0,IF(BN678=0,0,1),(BN678-BF678)/BF678)</f>
        <v>0</v>
      </c>
      <c r="BW678" s="32" t="n">
        <f aca="false">IF(BG678=0,IF(BO678=0,0,1),(BO678-BG678)/BG678)</f>
        <v>0</v>
      </c>
      <c r="BX678" s="32" t="n">
        <f aca="false">IF(BH678=0,IF(BP678=0,0,1),(BP678-BH678)/BH678)</f>
        <v>0</v>
      </c>
      <c r="BY678" s="32" t="n">
        <f aca="false">IF(BI678=0,IF(BQ678=0,0,1),(BQ678-BI678)/BI678)</f>
        <v>0</v>
      </c>
      <c r="BZ678" s="32" t="n">
        <f aca="false">IF(BJ678=0,IF(BR678=0,0,1),(BR678-BJ678)/BJ678)</f>
        <v>0</v>
      </c>
      <c r="CA678" s="32" t="n">
        <f aca="false">IF(BK678=0,IF(BS678=0,0,1),(BS678-BK678)/BK678)</f>
        <v>0</v>
      </c>
      <c r="CB678" s="32" t="n">
        <f aca="false">IF(BL678=0,IF(BT678=0,0,1),(BT678-BL678)/BL678)</f>
        <v>0</v>
      </c>
      <c r="CC678" s="32" t="n">
        <f aca="false">IF(BM678=0,IF(BU678=0,0,1),(BU678-BM678)/BM678)</f>
        <v>0</v>
      </c>
      <c r="CD678" s="32" t="n">
        <f aca="false">MAX(MAX(BV678:CC678),-MIN(BV678:CC678))</f>
        <v>-0</v>
      </c>
      <c r="CE678" s="31" t="n">
        <f aca="false">IF(CI678="","",SUMIFS($CF$7:$CF$696,$A$7:$A$696,CI678,$B$7:$B$696,B678))</f>
        <v>713255</v>
      </c>
      <c r="CF678" s="31" t="n">
        <f aca="false">SUM(AU678:BE678)</f>
        <v>713255</v>
      </c>
      <c r="CG678" s="33" t="str">
        <f aca="false">A678&amp;"|"&amp;B678</f>
        <v>2027-03 月例|みどり生きもの協会</v>
      </c>
      <c r="CH678" s="34" t="str">
        <f aca="false">IFERROR(INDEX(設定!$D$61:$D$106,MATCH(B678,設定!$B$61:$B$106,0)),"Y")</f>
        <v>Y</v>
      </c>
      <c r="CI678" s="34" t="str">
        <f aca="false">IFERROR(INDEX(設定!$D$20:$D$34,MATCH(A678,設定!$A$20:$A$34,0))&amp;"","")</f>
        <v>2027-02 月例</v>
      </c>
    </row>
    <row r="679" customFormat="false" ht="15" hidden="true" customHeight="false" outlineLevel="0" collapsed="false">
      <c r="A679" s="22" t="s">
        <v>222</v>
      </c>
      <c r="B679" s="23" t="s">
        <v>189</v>
      </c>
      <c r="C679" s="10" t="str">
        <f aca="false">IF(G679="","未受領",IF(G679="なし","報告なし",IF(AH679="○","起票済",IF(OR(AG679="○",F679="一致",F679="入金不要"),"入金確認済","受領済"))))</f>
        <v>未受領</v>
      </c>
      <c r="D679" s="10" t="str">
        <f aca="false">IF(OR(G679="",G679="なし"),"―",IF(CH679="N","対象外",IF(AND(I679="",J679="",K679=""),"標報未入力",IF(CD679&gt;=設定!$B$4,"要確認","問題なし"))))</f>
        <v>―</v>
      </c>
      <c r="E679" s="24" t="str">
        <f aca="false">IF(OR(G679="",G679="なし",CE679="",CF679=0),"―",IF(CF679=CE679,"前月同額",IF(CE679=0,"―",IF(ABS(CF679/CE679-1)&gt;=設定!$B$5,"変動大 "&amp;TEXT(CF679/CE679-1,"+0%;-0%"),"〇"))))</f>
        <v>―</v>
      </c>
      <c r="F679" s="10" t="str">
        <f aca="false">IF(OR(G679="",G679="なし"),"―",IF(CF679=0,"入金不要",IF(COUNT(Z679,AB679,AD679,AF679)=0,IF(AG679="○","手動確認","未入金"),IF(AND(N(Z679)=Y679,IF(AA679="",TRUE(),N(AB679)=AA679),IF(AC679="",TRUE(),N(AD679)=AC679),IF(AE679="",TRUE(),N(AF679)=AE679)),"一致","不一致"))))</f>
        <v>―</v>
      </c>
      <c r="G679" s="25"/>
      <c r="H679" s="26"/>
      <c r="I679" s="27"/>
      <c r="J679" s="27"/>
      <c r="K679" s="27"/>
      <c r="L679" s="27"/>
      <c r="M679" s="27"/>
      <c r="N679" s="27"/>
      <c r="O679" s="27"/>
      <c r="P679" s="27"/>
      <c r="Q679" s="27"/>
      <c r="R679" s="27"/>
      <c r="S679" s="27"/>
      <c r="T679" s="27"/>
      <c r="U679" s="27"/>
      <c r="V679" s="27"/>
      <c r="W679" s="10" t="str">
        <f aca="false">IFERROR(INDEX(設定!$E$61:$E$106,MATCH(B679,設定!$B$61:$B$106,0)),"合算")</f>
        <v>合算</v>
      </c>
      <c r="X679" s="28"/>
      <c r="Y679" s="29" t="str">
        <f aca="false">IF(OR(G679="",G679="なし"),"",IF(W679="合算",CF679,IF(W679="掛金・負担金別",(AU679+AV679+AZ679+BB679+BD679),SUM(AU679:AY679))))</f>
        <v/>
      </c>
      <c r="Z679" s="27"/>
      <c r="AA679" s="29" t="str">
        <f aca="false">IF(OR(G679="",G679="なし"),"",IF(W679="掛金・負担金別",(AW679+AX679+AY679+BA679+BC679+BE679),IF(W679="経理区分別",AZ679+BA679,"")))</f>
        <v/>
      </c>
      <c r="AB679" s="27"/>
      <c r="AC679" s="29" t="str">
        <f aca="false">IF(OR(G679="",G679="なし"),"",IF(W679="経理区分別",BB679+BC679,""))</f>
        <v/>
      </c>
      <c r="AD679" s="27"/>
      <c r="AE679" s="29" t="str">
        <f aca="false">IF(OR(G679="",G679="なし"),"",IF(W679="経理区分別",BD679+BE679,""))</f>
        <v/>
      </c>
      <c r="AF679" s="27"/>
      <c r="AG679" s="26"/>
      <c r="AH679" s="26"/>
      <c r="AI679" s="30"/>
      <c r="AJ679" s="31" t="n">
        <v>137250</v>
      </c>
      <c r="AK679" s="31" t="n">
        <v>11250</v>
      </c>
      <c r="AL679" s="31" t="n">
        <v>137250</v>
      </c>
      <c r="AM679" s="31" t="n">
        <v>11250</v>
      </c>
      <c r="AN679" s="31" t="n">
        <v>140</v>
      </c>
      <c r="AO679" s="31" t="n">
        <v>82514</v>
      </c>
      <c r="AP679" s="31" t="n">
        <v>82665</v>
      </c>
      <c r="AQ679" s="31" t="n">
        <v>8611</v>
      </c>
      <c r="AR679" s="31" t="n">
        <v>8611</v>
      </c>
      <c r="AS679" s="31" t="n">
        <v>1</v>
      </c>
      <c r="AT679" s="31" t="n">
        <v>1</v>
      </c>
      <c r="AU679" s="31" t="n">
        <f aca="false">IF($G679="",AJ679,L679)</f>
        <v>137250</v>
      </c>
      <c r="AV679" s="31" t="n">
        <f aca="false">IF($G679="",AK679,M679)</f>
        <v>11250</v>
      </c>
      <c r="AW679" s="31" t="n">
        <f aca="false">IF($G679="",AL679,N679)</f>
        <v>137250</v>
      </c>
      <c r="AX679" s="31" t="n">
        <f aca="false">IF($G679="",AM679,O679)</f>
        <v>11250</v>
      </c>
      <c r="AY679" s="31" t="n">
        <f aca="false">IF($G679="",AN679,P679)</f>
        <v>140</v>
      </c>
      <c r="AZ679" s="31" t="n">
        <f aca="false">IF($G679="",AO679,Q679)</f>
        <v>82514</v>
      </c>
      <c r="BA679" s="31" t="n">
        <f aca="false">IF($G679="",AP679,R679)</f>
        <v>82665</v>
      </c>
      <c r="BB679" s="31" t="n">
        <f aca="false">IF($G679="",AQ679,S679)</f>
        <v>8611</v>
      </c>
      <c r="BC679" s="31" t="n">
        <f aca="false">IF($G679="",AR679,T679)</f>
        <v>8611</v>
      </c>
      <c r="BD679" s="31" t="n">
        <f aca="false">IF($G679="",AS679,U679)</f>
        <v>1</v>
      </c>
      <c r="BE679" s="31" t="n">
        <f aca="false">IF($G679="",AT679,V679)</f>
        <v>1</v>
      </c>
      <c r="BF679" s="31" t="n">
        <f aca="false">ROUNDDOWN(I679*設定!$B$10/1000,0)+ROUNDDOWN(I679*設定!$B$11/1000,0)</f>
        <v>0</v>
      </c>
      <c r="BG679" s="31" t="n">
        <f aca="false">ROUNDDOWN(I679*設定!$C$10/1000,0)+ROUNDDOWN(I679*設定!$C$11/1000,0)+ROUNDDOWN(I679*設定!$C$12/1000,0)</f>
        <v>0</v>
      </c>
      <c r="BH679" s="31" t="n">
        <f aca="false">ROUNDDOWN(J679*設定!$B$13/1000,0)</f>
        <v>0</v>
      </c>
      <c r="BI679" s="31" t="n">
        <f aca="false">ROUNDDOWN(J679*設定!$C$13/1000,0)</f>
        <v>0</v>
      </c>
      <c r="BJ679" s="31" t="n">
        <f aca="false">ROUNDDOWN(K679*設定!$B$14/1000,0)</f>
        <v>0</v>
      </c>
      <c r="BK679" s="31" t="n">
        <f aca="false">ROUNDDOWN(K679*設定!$C$14/1000,0)</f>
        <v>0</v>
      </c>
      <c r="BL679" s="31" t="n">
        <f aca="false">ROUNDDOWN(J679*設定!$B$15/1000,0)</f>
        <v>0</v>
      </c>
      <c r="BM679" s="31" t="n">
        <f aca="false">ROUNDDOWN(J679*設定!$C$15/1000,0)</f>
        <v>0</v>
      </c>
      <c r="BN679" s="31" t="n">
        <f aca="false">L679+M679</f>
        <v>0</v>
      </c>
      <c r="BO679" s="31" t="n">
        <f aca="false">N679+O679+P679</f>
        <v>0</v>
      </c>
      <c r="BP679" s="31" t="n">
        <f aca="false">Q679</f>
        <v>0</v>
      </c>
      <c r="BQ679" s="31" t="n">
        <f aca="false">R679</f>
        <v>0</v>
      </c>
      <c r="BR679" s="31" t="n">
        <f aca="false">S679</f>
        <v>0</v>
      </c>
      <c r="BS679" s="31" t="n">
        <f aca="false">T679</f>
        <v>0</v>
      </c>
      <c r="BT679" s="31" t="n">
        <f aca="false">U679</f>
        <v>0</v>
      </c>
      <c r="BU679" s="31" t="n">
        <f aca="false">V679</f>
        <v>0</v>
      </c>
      <c r="BV679" s="32" t="n">
        <f aca="false">IF(BF679=0,IF(BN679=0,0,1),(BN679-BF679)/BF679)</f>
        <v>0</v>
      </c>
      <c r="BW679" s="32" t="n">
        <f aca="false">IF(BG679=0,IF(BO679=0,0,1),(BO679-BG679)/BG679)</f>
        <v>0</v>
      </c>
      <c r="BX679" s="32" t="n">
        <f aca="false">IF(BH679=0,IF(BP679=0,0,1),(BP679-BH679)/BH679)</f>
        <v>0</v>
      </c>
      <c r="BY679" s="32" t="n">
        <f aca="false">IF(BI679=0,IF(BQ679=0,0,1),(BQ679-BI679)/BI679)</f>
        <v>0</v>
      </c>
      <c r="BZ679" s="32" t="n">
        <f aca="false">IF(BJ679=0,IF(BR679=0,0,1),(BR679-BJ679)/BJ679)</f>
        <v>0</v>
      </c>
      <c r="CA679" s="32" t="n">
        <f aca="false">IF(BK679=0,IF(BS679=0,0,1),(BS679-BK679)/BK679)</f>
        <v>0</v>
      </c>
      <c r="CB679" s="32" t="n">
        <f aca="false">IF(BL679=0,IF(BT679=0,0,1),(BT679-BL679)/BL679)</f>
        <v>0</v>
      </c>
      <c r="CC679" s="32" t="n">
        <f aca="false">IF(BM679=0,IF(BU679=0,0,1),(BU679-BM679)/BM679)</f>
        <v>0</v>
      </c>
      <c r="CD679" s="32" t="n">
        <f aca="false">MAX(MAX(BV679:CC679),-MIN(BV679:CC679))</f>
        <v>-0</v>
      </c>
      <c r="CE679" s="31" t="n">
        <f aca="false">IF(CI679="","",SUMIFS($CF$7:$CF$696,$A$7:$A$696,CI679,$B$7:$B$696,B679))</f>
        <v>479543</v>
      </c>
      <c r="CF679" s="31" t="n">
        <f aca="false">SUM(AU679:BE679)</f>
        <v>479543</v>
      </c>
      <c r="CG679" s="33" t="str">
        <f aca="false">A679&amp;"|"&amp;B679</f>
        <v>2027-03 月例|県下水道公社</v>
      </c>
      <c r="CH679" s="34" t="str">
        <f aca="false">IFERROR(INDEX(設定!$D$61:$D$106,MATCH(B679,設定!$B$61:$B$106,0)),"Y")</f>
        <v>Y</v>
      </c>
      <c r="CI679" s="34" t="str">
        <f aca="false">IFERROR(INDEX(設定!$D$20:$D$34,MATCH(A679,設定!$A$20:$A$34,0))&amp;"","")</f>
        <v>2027-02 月例</v>
      </c>
    </row>
    <row r="680" customFormat="false" ht="26.85" hidden="true" customHeight="false" outlineLevel="0" collapsed="false">
      <c r="A680" s="22" t="s">
        <v>222</v>
      </c>
      <c r="B680" s="35" t="s">
        <v>190</v>
      </c>
      <c r="C680" s="10" t="str">
        <f aca="false">IF(G680="","未受領",IF(G680="なし","報告なし",IF(AH680="○","起票済",IF(OR(AG680="○",F680="一致",F680="入金不要"),"入金確認済","受領済"))))</f>
        <v>未受領</v>
      </c>
      <c r="D680" s="10" t="str">
        <f aca="false">IF(OR(G680="",G680="なし"),"―",IF(CH680="N","対象外",IF(AND(I680="",J680="",K680=""),"標報未入力",IF(CD680&gt;=設定!$B$4,"要確認","問題なし"))))</f>
        <v>―</v>
      </c>
      <c r="E680" s="24" t="str">
        <f aca="false">IF(OR(G680="",G680="なし",CE680="",CF680=0),"―",IF(CF680=CE680,"前月同額",IF(CE680=0,"―",IF(ABS(CF680/CE680-1)&gt;=設定!$B$5,"変動大 "&amp;TEXT(CF680/CE680-1,"+0%;-0%"),"〇"))))</f>
        <v>―</v>
      </c>
      <c r="F680" s="10" t="str">
        <f aca="false">IF(OR(G680="",G680="なし"),"―",IF(CF680=0,"入金不要",IF(COUNT(Z680,AB680,AD680,AF680)=0,IF(AG680="○","手動確認","未入金"),IF(AND(N(Z680)=Y680,IF(AA680="",TRUE(),N(AB680)=AA680),IF(AC680="",TRUE(),N(AD680)=AC680),IF(AE680="",TRUE(),N(AF680)=AE680)),"一致","不一致"))))</f>
        <v>―</v>
      </c>
      <c r="G680" s="25"/>
      <c r="H680" s="26"/>
      <c r="I680" s="27"/>
      <c r="J680" s="27"/>
      <c r="K680" s="27"/>
      <c r="L680" s="27"/>
      <c r="M680" s="27"/>
      <c r="N680" s="27"/>
      <c r="O680" s="27"/>
      <c r="P680" s="27"/>
      <c r="Q680" s="27"/>
      <c r="R680" s="27"/>
      <c r="S680" s="27"/>
      <c r="T680" s="27"/>
      <c r="U680" s="27"/>
      <c r="V680" s="27"/>
      <c r="W680" s="10" t="str">
        <f aca="false">IFERROR(INDEX(設定!$E$61:$E$106,MATCH(B680,設定!$B$61:$B$106,0)),"合算")</f>
        <v>合算</v>
      </c>
      <c r="X680" s="28"/>
      <c r="Y680" s="29" t="str">
        <f aca="false">IF(OR(G680="",G680="なし"),"",IF(W680="合算",CF680,IF(W680="掛金・負担金別",(AU680+AV680+AZ680+BB680+BD680),SUM(AU680:AY680))))</f>
        <v/>
      </c>
      <c r="Z680" s="27"/>
      <c r="AA680" s="29" t="str">
        <f aca="false">IF(OR(G680="",G680="なし"),"",IF(W680="掛金・負担金別",(AW680+AX680+AY680+BA680+BC680+BE680),IF(W680="経理区分別",AZ680+BA680,"")))</f>
        <v/>
      </c>
      <c r="AB680" s="27"/>
      <c r="AC680" s="29" t="str">
        <f aca="false">IF(OR(G680="",G680="なし"),"",IF(W680="経理区分別",BB680+BC680,""))</f>
        <v/>
      </c>
      <c r="AD680" s="27"/>
      <c r="AE680" s="29" t="str">
        <f aca="false">IF(OR(G680="",G680="なし"),"",IF(W680="経理区分別",BD680+BE680,""))</f>
        <v/>
      </c>
      <c r="AF680" s="27"/>
      <c r="AG680" s="26"/>
      <c r="AH680" s="26"/>
      <c r="AI680" s="30"/>
      <c r="AJ680" s="31"/>
      <c r="AK680" s="31"/>
      <c r="AL680" s="31" t="n">
        <v>48495</v>
      </c>
      <c r="AM680" s="31" t="n">
        <v>3975</v>
      </c>
      <c r="AN680" s="31" t="n">
        <v>50</v>
      </c>
      <c r="AO680" s="31"/>
      <c r="AP680" s="31" t="n">
        <v>29208</v>
      </c>
      <c r="AQ680" s="31"/>
      <c r="AR680" s="31" t="n">
        <v>4452</v>
      </c>
      <c r="AS680" s="31"/>
      <c r="AT680" s="31" t="n">
        <v>1</v>
      </c>
      <c r="AU680" s="31" t="n">
        <f aca="false">IF($G680="",AJ680,L680)</f>
        <v>0</v>
      </c>
      <c r="AV680" s="31" t="n">
        <f aca="false">IF($G680="",AK680,M680)</f>
        <v>0</v>
      </c>
      <c r="AW680" s="31" t="n">
        <f aca="false">IF($G680="",AL680,N680)</f>
        <v>48495</v>
      </c>
      <c r="AX680" s="31" t="n">
        <f aca="false">IF($G680="",AM680,O680)</f>
        <v>3975</v>
      </c>
      <c r="AY680" s="31" t="n">
        <f aca="false">IF($G680="",AN680,P680)</f>
        <v>50</v>
      </c>
      <c r="AZ680" s="31" t="n">
        <f aca="false">IF($G680="",AO680,Q680)</f>
        <v>0</v>
      </c>
      <c r="BA680" s="31" t="n">
        <f aca="false">IF($G680="",AP680,R680)</f>
        <v>29208</v>
      </c>
      <c r="BB680" s="31" t="n">
        <f aca="false">IF($G680="",AQ680,S680)</f>
        <v>0</v>
      </c>
      <c r="BC680" s="31" t="n">
        <f aca="false">IF($G680="",AR680,T680)</f>
        <v>4452</v>
      </c>
      <c r="BD680" s="31" t="n">
        <f aca="false">IF($G680="",AS680,U680)</f>
        <v>0</v>
      </c>
      <c r="BE680" s="31" t="n">
        <f aca="false">IF($G680="",AT680,V680)</f>
        <v>1</v>
      </c>
      <c r="BF680" s="31" t="n">
        <f aca="false">ROUNDDOWN(I680*設定!$B$10/1000,0)+ROUNDDOWN(I680*設定!$B$11/1000,0)</f>
        <v>0</v>
      </c>
      <c r="BG680" s="31" t="n">
        <f aca="false">ROUNDDOWN(I680*設定!$C$10/1000,0)+ROUNDDOWN(I680*設定!$C$11/1000,0)+ROUNDDOWN(I680*設定!$C$12/1000,0)</f>
        <v>0</v>
      </c>
      <c r="BH680" s="31" t="n">
        <f aca="false">ROUNDDOWN(J680*設定!$B$13/1000,0)</f>
        <v>0</v>
      </c>
      <c r="BI680" s="31" t="n">
        <f aca="false">ROUNDDOWN(J680*設定!$C$13/1000,0)</f>
        <v>0</v>
      </c>
      <c r="BJ680" s="31" t="n">
        <f aca="false">ROUNDDOWN(K680*設定!$B$14/1000,0)</f>
        <v>0</v>
      </c>
      <c r="BK680" s="31" t="n">
        <f aca="false">ROUNDDOWN(K680*設定!$C$14/1000,0)</f>
        <v>0</v>
      </c>
      <c r="BL680" s="31" t="n">
        <f aca="false">ROUNDDOWN(J680*設定!$B$15/1000,0)</f>
        <v>0</v>
      </c>
      <c r="BM680" s="31" t="n">
        <f aca="false">ROUNDDOWN(J680*設定!$C$15/1000,0)</f>
        <v>0</v>
      </c>
      <c r="BN680" s="31" t="n">
        <f aca="false">L680+M680</f>
        <v>0</v>
      </c>
      <c r="BO680" s="31" t="n">
        <f aca="false">N680+O680+P680</f>
        <v>0</v>
      </c>
      <c r="BP680" s="31" t="n">
        <f aca="false">Q680</f>
        <v>0</v>
      </c>
      <c r="BQ680" s="31" t="n">
        <f aca="false">R680</f>
        <v>0</v>
      </c>
      <c r="BR680" s="31" t="n">
        <f aca="false">S680</f>
        <v>0</v>
      </c>
      <c r="BS680" s="31" t="n">
        <f aca="false">T680</f>
        <v>0</v>
      </c>
      <c r="BT680" s="31" t="n">
        <f aca="false">U680</f>
        <v>0</v>
      </c>
      <c r="BU680" s="31" t="n">
        <f aca="false">V680</f>
        <v>0</v>
      </c>
      <c r="BV680" s="32" t="n">
        <f aca="false">IF(BF680=0,IF(BN680=0,0,1),(BN680-BF680)/BF680)</f>
        <v>0</v>
      </c>
      <c r="BW680" s="32" t="n">
        <f aca="false">IF(BG680=0,IF(BO680=0,0,1),(BO680-BG680)/BG680)</f>
        <v>0</v>
      </c>
      <c r="BX680" s="32" t="n">
        <f aca="false">IF(BH680=0,IF(BP680=0,0,1),(BP680-BH680)/BH680)</f>
        <v>0</v>
      </c>
      <c r="BY680" s="32" t="n">
        <f aca="false">IF(BI680=0,IF(BQ680=0,0,1),(BQ680-BI680)/BI680)</f>
        <v>0</v>
      </c>
      <c r="BZ680" s="32" t="n">
        <f aca="false">IF(BJ680=0,IF(BR680=0,0,1),(BR680-BJ680)/BJ680)</f>
        <v>0</v>
      </c>
      <c r="CA680" s="32" t="n">
        <f aca="false">IF(BK680=0,IF(BS680=0,0,1),(BS680-BK680)/BK680)</f>
        <v>0</v>
      </c>
      <c r="CB680" s="32" t="n">
        <f aca="false">IF(BL680=0,IF(BT680=0,0,1),(BT680-BL680)/BL680)</f>
        <v>0</v>
      </c>
      <c r="CC680" s="32" t="n">
        <f aca="false">IF(BM680=0,IF(BU680=0,0,1),(BU680-BM680)/BM680)</f>
        <v>0</v>
      </c>
      <c r="CD680" s="32" t="n">
        <f aca="false">MAX(MAX(BV680:CC680),-MIN(BV680:CC680))</f>
        <v>-0</v>
      </c>
      <c r="CE680" s="31" t="n">
        <f aca="false">IF(CI680="","",SUMIFS($CF$7:$CF$696,$A$7:$A$696,CI680,$B$7:$B$696,B680))</f>
        <v>835973</v>
      </c>
      <c r="CF680" s="31" t="n">
        <f aca="false">SUM(AU680:BE680)</f>
        <v>86181</v>
      </c>
      <c r="CG680" s="36" t="str">
        <f aca="false">A680&amp;"|"&amp;B680</f>
        <v>2027-03 月例|バス協調・共創
プラットフォーム</v>
      </c>
      <c r="CH680" s="34" t="str">
        <f aca="false">IFERROR(INDEX(設定!$D$61:$D$106,MATCH(B680,設定!$B$61:$B$106,0)),"Y")</f>
        <v>Y</v>
      </c>
      <c r="CI680" s="34" t="str">
        <f aca="false">IFERROR(INDEX(設定!$D$20:$D$34,MATCH(A680,設定!$A$20:$A$34,0))&amp;"","")</f>
        <v>2027-02 月例</v>
      </c>
    </row>
    <row r="681" customFormat="false" ht="15" hidden="true" customHeight="false" outlineLevel="0" collapsed="false">
      <c r="A681" s="22" t="s">
        <v>222</v>
      </c>
      <c r="B681" s="23" t="s">
        <v>191</v>
      </c>
      <c r="C681" s="10" t="str">
        <f aca="false">IF(G681="","未受領",IF(G681="なし","報告なし",IF(AH681="○","起票済",IF(OR(AG681="○",F681="一致",F681="入金不要"),"入金確認済","受領済"))))</f>
        <v>未受領</v>
      </c>
      <c r="D681" s="10" t="str">
        <f aca="false">IF(OR(G681="",G681="なし"),"―",IF(CH681="N","対象外",IF(AND(I681="",J681="",K681=""),"標報未入力",IF(CD681&gt;=設定!$B$4,"要確認","問題なし"))))</f>
        <v>―</v>
      </c>
      <c r="E681" s="24" t="str">
        <f aca="false">IF(OR(G681="",G681="なし",CE681="",CF681=0),"―",IF(CF681=CE681,"前月同額",IF(CE681=0,"―",IF(ABS(CF681/CE681-1)&gt;=設定!$B$5,"変動大 "&amp;TEXT(CF681/CE681-1,"+0%;-0%"),"〇"))))</f>
        <v>―</v>
      </c>
      <c r="F681" s="10" t="str">
        <f aca="false">IF(OR(G681="",G681="なし"),"―",IF(CF681=0,"入金不要",IF(COUNT(Z681,AB681,AD681,AF681)=0,IF(AG681="○","手動確認","未入金"),IF(AND(N(Z681)=Y681,IF(AA681="",TRUE(),N(AB681)=AA681),IF(AC681="",TRUE(),N(AD681)=AC681),IF(AE681="",TRUE(),N(AF681)=AE681)),"一致","不一致"))))</f>
        <v>―</v>
      </c>
      <c r="G681" s="25"/>
      <c r="H681" s="26"/>
      <c r="I681" s="27"/>
      <c r="J681" s="27"/>
      <c r="K681" s="27"/>
      <c r="L681" s="27"/>
      <c r="M681" s="27"/>
      <c r="N681" s="27"/>
      <c r="O681" s="27"/>
      <c r="P681" s="27"/>
      <c r="Q681" s="27"/>
      <c r="R681" s="27"/>
      <c r="S681" s="27"/>
      <c r="T681" s="27"/>
      <c r="U681" s="27"/>
      <c r="V681" s="27"/>
      <c r="W681" s="10" t="str">
        <f aca="false">IFERROR(INDEX(設定!$E$61:$E$106,MATCH(B681,設定!$B$61:$B$106,0)),"合算")</f>
        <v>合算</v>
      </c>
      <c r="X681" s="28"/>
      <c r="Y681" s="29" t="str">
        <f aca="false">IF(OR(G681="",G681="なし"),"",IF(W681="合算",CF681,IF(W681="掛金・負担金別",(AU681+AV681+AZ681+BB681+BD681),SUM(AU681:AY681))))</f>
        <v/>
      </c>
      <c r="Z681" s="27"/>
      <c r="AA681" s="29" t="str">
        <f aca="false">IF(OR(G681="",G681="なし"),"",IF(W681="掛金・負担金別",(AW681+AX681+AY681+BA681+BC681+BE681),IF(W681="経理区分別",AZ681+BA681,"")))</f>
        <v/>
      </c>
      <c r="AB681" s="27"/>
      <c r="AC681" s="29" t="str">
        <f aca="false">IF(OR(G681="",G681="なし"),"",IF(W681="経理区分別",BB681+BC681,""))</f>
        <v/>
      </c>
      <c r="AD681" s="27"/>
      <c r="AE681" s="29" t="str">
        <f aca="false">IF(OR(G681="",G681="なし"),"",IF(W681="経理区分別",BD681+BE681,""))</f>
        <v/>
      </c>
      <c r="AF681" s="27"/>
      <c r="AG681" s="26"/>
      <c r="AH681" s="26"/>
      <c r="AI681" s="30"/>
      <c r="AJ681" s="31" t="n">
        <v>56730</v>
      </c>
      <c r="AK681" s="31" t="n">
        <v>4650</v>
      </c>
      <c r="AL681" s="31" t="n">
        <v>56730</v>
      </c>
      <c r="AM681" s="31" t="n">
        <v>4650</v>
      </c>
      <c r="AN681" s="31" t="n">
        <v>58</v>
      </c>
      <c r="AO681" s="31" t="n">
        <v>34106</v>
      </c>
      <c r="AP681" s="31" t="n">
        <v>34168</v>
      </c>
      <c r="AQ681" s="31" t="n">
        <v>4898</v>
      </c>
      <c r="AR681" s="31" t="n">
        <v>4898</v>
      </c>
      <c r="AS681" s="31" t="n">
        <v>1</v>
      </c>
      <c r="AT681" s="31" t="n">
        <v>1</v>
      </c>
      <c r="AU681" s="31" t="n">
        <f aca="false">IF($G681="",AJ681,L681)</f>
        <v>56730</v>
      </c>
      <c r="AV681" s="31" t="n">
        <f aca="false">IF($G681="",AK681,M681)</f>
        <v>4650</v>
      </c>
      <c r="AW681" s="31" t="n">
        <f aca="false">IF($G681="",AL681,N681)</f>
        <v>56730</v>
      </c>
      <c r="AX681" s="31" t="n">
        <f aca="false">IF($G681="",AM681,O681)</f>
        <v>4650</v>
      </c>
      <c r="AY681" s="31" t="n">
        <f aca="false">IF($G681="",AN681,P681)</f>
        <v>58</v>
      </c>
      <c r="AZ681" s="31" t="n">
        <f aca="false">IF($G681="",AO681,Q681)</f>
        <v>34106</v>
      </c>
      <c r="BA681" s="31" t="n">
        <f aca="false">IF($G681="",AP681,R681)</f>
        <v>34168</v>
      </c>
      <c r="BB681" s="31" t="n">
        <f aca="false">IF($G681="",AQ681,S681)</f>
        <v>4898</v>
      </c>
      <c r="BC681" s="31" t="n">
        <f aca="false">IF($G681="",AR681,T681)</f>
        <v>4898</v>
      </c>
      <c r="BD681" s="31" t="n">
        <f aca="false">IF($G681="",AS681,U681)</f>
        <v>1</v>
      </c>
      <c r="BE681" s="31" t="n">
        <f aca="false">IF($G681="",AT681,V681)</f>
        <v>1</v>
      </c>
      <c r="BF681" s="31" t="n">
        <f aca="false">ROUNDDOWN(I681*設定!$B$10/1000,0)+ROUNDDOWN(I681*設定!$B$11/1000,0)</f>
        <v>0</v>
      </c>
      <c r="BG681" s="31" t="n">
        <f aca="false">ROUNDDOWN(I681*設定!$C$10/1000,0)+ROUNDDOWN(I681*設定!$C$11/1000,0)+ROUNDDOWN(I681*設定!$C$12/1000,0)</f>
        <v>0</v>
      </c>
      <c r="BH681" s="31" t="n">
        <f aca="false">ROUNDDOWN(J681*設定!$B$13/1000,0)</f>
        <v>0</v>
      </c>
      <c r="BI681" s="31" t="n">
        <f aca="false">ROUNDDOWN(J681*設定!$C$13/1000,0)</f>
        <v>0</v>
      </c>
      <c r="BJ681" s="31" t="n">
        <f aca="false">ROUNDDOWN(K681*設定!$B$14/1000,0)</f>
        <v>0</v>
      </c>
      <c r="BK681" s="31" t="n">
        <f aca="false">ROUNDDOWN(K681*設定!$C$14/1000,0)</f>
        <v>0</v>
      </c>
      <c r="BL681" s="31" t="n">
        <f aca="false">ROUNDDOWN(J681*設定!$B$15/1000,0)</f>
        <v>0</v>
      </c>
      <c r="BM681" s="31" t="n">
        <f aca="false">ROUNDDOWN(J681*設定!$C$15/1000,0)</f>
        <v>0</v>
      </c>
      <c r="BN681" s="31" t="n">
        <f aca="false">L681+M681</f>
        <v>0</v>
      </c>
      <c r="BO681" s="31" t="n">
        <f aca="false">N681+O681+P681</f>
        <v>0</v>
      </c>
      <c r="BP681" s="31" t="n">
        <f aca="false">Q681</f>
        <v>0</v>
      </c>
      <c r="BQ681" s="31" t="n">
        <f aca="false">R681</f>
        <v>0</v>
      </c>
      <c r="BR681" s="31" t="n">
        <f aca="false">S681</f>
        <v>0</v>
      </c>
      <c r="BS681" s="31" t="n">
        <f aca="false">T681</f>
        <v>0</v>
      </c>
      <c r="BT681" s="31" t="n">
        <f aca="false">U681</f>
        <v>0</v>
      </c>
      <c r="BU681" s="31" t="n">
        <f aca="false">V681</f>
        <v>0</v>
      </c>
      <c r="BV681" s="32" t="n">
        <f aca="false">IF(BF681=0,IF(BN681=0,0,1),(BN681-BF681)/BF681)</f>
        <v>0</v>
      </c>
      <c r="BW681" s="32" t="n">
        <f aca="false">IF(BG681=0,IF(BO681=0,0,1),(BO681-BG681)/BG681)</f>
        <v>0</v>
      </c>
      <c r="BX681" s="32" t="n">
        <f aca="false">IF(BH681=0,IF(BP681=0,0,1),(BP681-BH681)/BH681)</f>
        <v>0</v>
      </c>
      <c r="BY681" s="32" t="n">
        <f aca="false">IF(BI681=0,IF(BQ681=0,0,1),(BQ681-BI681)/BI681)</f>
        <v>0</v>
      </c>
      <c r="BZ681" s="32" t="n">
        <f aca="false">IF(BJ681=0,IF(BR681=0,0,1),(BR681-BJ681)/BJ681)</f>
        <v>0</v>
      </c>
      <c r="CA681" s="32" t="n">
        <f aca="false">IF(BK681=0,IF(BS681=0,0,1),(BS681-BK681)/BK681)</f>
        <v>0</v>
      </c>
      <c r="CB681" s="32" t="n">
        <f aca="false">IF(BL681=0,IF(BT681=0,0,1),(BT681-BL681)/BL681)</f>
        <v>0</v>
      </c>
      <c r="CC681" s="32" t="n">
        <f aca="false">IF(BM681=0,IF(BU681=0,0,1),(BU681-BM681)/BM681)</f>
        <v>0</v>
      </c>
      <c r="CD681" s="32" t="n">
        <f aca="false">MAX(MAX(BV681:CC681),-MIN(BV681:CC681))</f>
        <v>-0</v>
      </c>
      <c r="CE681" s="31" t="n">
        <f aca="false">IF(CI681="","",SUMIFS($CF$7:$CF$696,$A$7:$A$696,CI681,$B$7:$B$696,B681))</f>
        <v>200890</v>
      </c>
      <c r="CF681" s="31" t="n">
        <f aca="false">SUM(AU681:BE681)</f>
        <v>200890</v>
      </c>
      <c r="CG681" s="33" t="str">
        <f aca="false">A681&amp;"|"&amp;B681</f>
        <v>2027-03 月例|広島県市長会</v>
      </c>
      <c r="CH681" s="34" t="str">
        <f aca="false">IFERROR(INDEX(設定!$D$61:$D$106,MATCH(B681,設定!$B$61:$B$106,0)),"Y")</f>
        <v>Y</v>
      </c>
      <c r="CI681" s="34" t="str">
        <f aca="false">IFERROR(INDEX(設定!$D$20:$D$34,MATCH(A681,設定!$A$20:$A$34,0))&amp;"","")</f>
        <v>2027-02 月例</v>
      </c>
    </row>
    <row r="682" customFormat="false" ht="15" hidden="true" customHeight="false" outlineLevel="0" collapsed="false">
      <c r="A682" s="22" t="s">
        <v>222</v>
      </c>
      <c r="B682" s="23" t="s">
        <v>192</v>
      </c>
      <c r="C682" s="10" t="str">
        <f aca="false">IF(G682="","未受領",IF(G682="なし","報告なし",IF(AH682="○","起票済",IF(OR(AG682="○",F682="一致",F682="入金不要"),"入金確認済","受領済"))))</f>
        <v>未受領</v>
      </c>
      <c r="D682" s="10" t="str">
        <f aca="false">IF(OR(G682="",G682="なし"),"―",IF(CH682="N","対象外",IF(AND(I682="",J682="",K682=""),"標報未入力",IF(CD682&gt;=設定!$B$4,"要確認","問題なし"))))</f>
        <v>―</v>
      </c>
      <c r="E682" s="24" t="str">
        <f aca="false">IF(OR(G682="",G682="なし",CE682="",CF682=0),"―",IF(CF682=CE682,"前月同額",IF(CE682=0,"―",IF(ABS(CF682/CE682-1)&gt;=設定!$B$5,"変動大 "&amp;TEXT(CF682/CE682-1,"+0%;-0%"),"〇"))))</f>
        <v>―</v>
      </c>
      <c r="F682" s="10" t="str">
        <f aca="false">IF(OR(G682="",G682="なし"),"―",IF(CF682=0,"入金不要",IF(COUNT(Z682,AB682,AD682,AF682)=0,IF(AG682="○","手動確認","未入金"),IF(AND(N(Z682)=Y682,IF(AA682="",TRUE(),N(AB682)=AA682),IF(AC682="",TRUE(),N(AD682)=AC682),IF(AE682="",TRUE(),N(AF682)=AE682)),"一致","不一致"))))</f>
        <v>―</v>
      </c>
      <c r="G682" s="25"/>
      <c r="H682" s="26"/>
      <c r="I682" s="27"/>
      <c r="J682" s="27"/>
      <c r="K682" s="27"/>
      <c r="L682" s="27"/>
      <c r="M682" s="27"/>
      <c r="N682" s="27"/>
      <c r="O682" s="27"/>
      <c r="P682" s="27"/>
      <c r="Q682" s="27"/>
      <c r="R682" s="27"/>
      <c r="S682" s="27"/>
      <c r="T682" s="27"/>
      <c r="U682" s="27"/>
      <c r="V682" s="27"/>
      <c r="W682" s="10" t="str">
        <f aca="false">IFERROR(INDEX(設定!$E$61:$E$106,MATCH(B682,設定!$B$61:$B$106,0)),"合算")</f>
        <v>合算</v>
      </c>
      <c r="X682" s="28"/>
      <c r="Y682" s="29" t="str">
        <f aca="false">IF(OR(G682="",G682="なし"),"",IF(W682="合算",CF682,IF(W682="掛金・負担金別",(AU682+AV682+AZ682+BB682+BD682),SUM(AU682:AY682))))</f>
        <v/>
      </c>
      <c r="Z682" s="27"/>
      <c r="AA682" s="29" t="str">
        <f aca="false">IF(OR(G682="",G682="なし"),"",IF(W682="掛金・負担金別",(AW682+AX682+AY682+BA682+BC682+BE682),IF(W682="経理区分別",AZ682+BA682,"")))</f>
        <v/>
      </c>
      <c r="AB682" s="27"/>
      <c r="AC682" s="29" t="str">
        <f aca="false">IF(OR(G682="",G682="なし"),"",IF(W682="経理区分別",BB682+BC682,""))</f>
        <v/>
      </c>
      <c r="AD682" s="27"/>
      <c r="AE682" s="29" t="str">
        <f aca="false">IF(OR(G682="",G682="なし"),"",IF(W682="経理区分別",BD682+BE682,""))</f>
        <v/>
      </c>
      <c r="AF682" s="27"/>
      <c r="AG682" s="26"/>
      <c r="AH682" s="26"/>
      <c r="AI682" s="30"/>
      <c r="AJ682" s="31" t="n">
        <v>59475</v>
      </c>
      <c r="AK682" s="31" t="n">
        <v>4875</v>
      </c>
      <c r="AL682" s="31" t="n">
        <v>59475</v>
      </c>
      <c r="AM682" s="31" t="n">
        <v>4875</v>
      </c>
      <c r="AN682" s="31" t="n">
        <v>61</v>
      </c>
      <c r="AO682" s="31" t="n">
        <v>41257</v>
      </c>
      <c r="AP682" s="31" t="n">
        <v>41332</v>
      </c>
      <c r="AQ682" s="31" t="n">
        <v>5925</v>
      </c>
      <c r="AR682" s="31" t="n">
        <v>5925</v>
      </c>
      <c r="AS682" s="31" t="n">
        <v>1</v>
      </c>
      <c r="AT682" s="31" t="n">
        <v>1</v>
      </c>
      <c r="AU682" s="31" t="n">
        <f aca="false">IF($G682="",AJ682,L682)</f>
        <v>59475</v>
      </c>
      <c r="AV682" s="31" t="n">
        <f aca="false">IF($G682="",AK682,M682)</f>
        <v>4875</v>
      </c>
      <c r="AW682" s="31" t="n">
        <f aca="false">IF($G682="",AL682,N682)</f>
        <v>59475</v>
      </c>
      <c r="AX682" s="31" t="n">
        <f aca="false">IF($G682="",AM682,O682)</f>
        <v>4875</v>
      </c>
      <c r="AY682" s="31" t="n">
        <f aca="false">IF($G682="",AN682,P682)</f>
        <v>61</v>
      </c>
      <c r="AZ682" s="31" t="n">
        <f aca="false">IF($G682="",AO682,Q682)</f>
        <v>41257</v>
      </c>
      <c r="BA682" s="31" t="n">
        <f aca="false">IF($G682="",AP682,R682)</f>
        <v>41332</v>
      </c>
      <c r="BB682" s="31" t="n">
        <f aca="false">IF($G682="",AQ682,S682)</f>
        <v>5925</v>
      </c>
      <c r="BC682" s="31" t="n">
        <f aca="false">IF($G682="",AR682,T682)</f>
        <v>5925</v>
      </c>
      <c r="BD682" s="31" t="n">
        <f aca="false">IF($G682="",AS682,U682)</f>
        <v>1</v>
      </c>
      <c r="BE682" s="31" t="n">
        <f aca="false">IF($G682="",AT682,V682)</f>
        <v>1</v>
      </c>
      <c r="BF682" s="31" t="n">
        <f aca="false">ROUNDDOWN(I682*設定!$B$10/1000,0)+ROUNDDOWN(I682*設定!$B$11/1000,0)</f>
        <v>0</v>
      </c>
      <c r="BG682" s="31" t="n">
        <f aca="false">ROUNDDOWN(I682*設定!$C$10/1000,0)+ROUNDDOWN(I682*設定!$C$11/1000,0)+ROUNDDOWN(I682*設定!$C$12/1000,0)</f>
        <v>0</v>
      </c>
      <c r="BH682" s="31" t="n">
        <f aca="false">ROUNDDOWN(J682*設定!$B$13/1000,0)</f>
        <v>0</v>
      </c>
      <c r="BI682" s="31" t="n">
        <f aca="false">ROUNDDOWN(J682*設定!$C$13/1000,0)</f>
        <v>0</v>
      </c>
      <c r="BJ682" s="31" t="n">
        <f aca="false">ROUNDDOWN(K682*設定!$B$14/1000,0)</f>
        <v>0</v>
      </c>
      <c r="BK682" s="31" t="n">
        <f aca="false">ROUNDDOWN(K682*設定!$C$14/1000,0)</f>
        <v>0</v>
      </c>
      <c r="BL682" s="31" t="n">
        <f aca="false">ROUNDDOWN(J682*設定!$B$15/1000,0)</f>
        <v>0</v>
      </c>
      <c r="BM682" s="31" t="n">
        <f aca="false">ROUNDDOWN(J682*設定!$C$15/1000,0)</f>
        <v>0</v>
      </c>
      <c r="BN682" s="31" t="n">
        <f aca="false">L682+M682</f>
        <v>0</v>
      </c>
      <c r="BO682" s="31" t="n">
        <f aca="false">N682+O682+P682</f>
        <v>0</v>
      </c>
      <c r="BP682" s="31" t="n">
        <f aca="false">Q682</f>
        <v>0</v>
      </c>
      <c r="BQ682" s="31" t="n">
        <f aca="false">R682</f>
        <v>0</v>
      </c>
      <c r="BR682" s="31" t="n">
        <f aca="false">S682</f>
        <v>0</v>
      </c>
      <c r="BS682" s="31" t="n">
        <f aca="false">T682</f>
        <v>0</v>
      </c>
      <c r="BT682" s="31" t="n">
        <f aca="false">U682</f>
        <v>0</v>
      </c>
      <c r="BU682" s="31" t="n">
        <f aca="false">V682</f>
        <v>0</v>
      </c>
      <c r="BV682" s="32" t="n">
        <f aca="false">IF(BF682=0,IF(BN682=0,0,1),(BN682-BF682)/BF682)</f>
        <v>0</v>
      </c>
      <c r="BW682" s="32" t="n">
        <f aca="false">IF(BG682=0,IF(BO682=0,0,1),(BO682-BG682)/BG682)</f>
        <v>0</v>
      </c>
      <c r="BX682" s="32" t="n">
        <f aca="false">IF(BH682=0,IF(BP682=0,0,1),(BP682-BH682)/BH682)</f>
        <v>0</v>
      </c>
      <c r="BY682" s="32" t="n">
        <f aca="false">IF(BI682=0,IF(BQ682=0,0,1),(BQ682-BI682)/BI682)</f>
        <v>0</v>
      </c>
      <c r="BZ682" s="32" t="n">
        <f aca="false">IF(BJ682=0,IF(BR682=0,0,1),(BR682-BJ682)/BJ682)</f>
        <v>0</v>
      </c>
      <c r="CA682" s="32" t="n">
        <f aca="false">IF(BK682=0,IF(BS682=0,0,1),(BS682-BK682)/BK682)</f>
        <v>0</v>
      </c>
      <c r="CB682" s="32" t="n">
        <f aca="false">IF(BL682=0,IF(BT682=0,0,1),(BT682-BL682)/BL682)</f>
        <v>0</v>
      </c>
      <c r="CC682" s="32" t="n">
        <f aca="false">IF(BM682=0,IF(BU682=0,0,1),(BU682-BM682)/BM682)</f>
        <v>0</v>
      </c>
      <c r="CD682" s="32" t="n">
        <f aca="false">MAX(MAX(BV682:CC682),-MIN(BV682:CC682))</f>
        <v>-0</v>
      </c>
      <c r="CE682" s="31" t="n">
        <f aca="false">IF(CI682="","",SUMIFS($CF$7:$CF$696,$A$7:$A$696,CI682,$B$7:$B$696,B682))</f>
        <v>223202</v>
      </c>
      <c r="CF682" s="31" t="n">
        <f aca="false">SUM(AU682:BE682)</f>
        <v>223202</v>
      </c>
      <c r="CG682" s="33" t="str">
        <f aca="false">A682&amp;"|"&amp;B682</f>
        <v>2027-03 月例|全国市町村研修財団</v>
      </c>
      <c r="CH682" s="34" t="str">
        <f aca="false">IFERROR(INDEX(設定!$D$61:$D$106,MATCH(B682,設定!$B$61:$B$106,0)),"Y")</f>
        <v>Y</v>
      </c>
      <c r="CI682" s="34" t="str">
        <f aca="false">IFERROR(INDEX(設定!$D$20:$D$34,MATCH(A682,設定!$A$20:$A$34,0))&amp;"","")</f>
        <v>2027-02 月例</v>
      </c>
    </row>
    <row r="683" customFormat="false" ht="15" hidden="true" customHeight="false" outlineLevel="0" collapsed="false">
      <c r="A683" s="22" t="s">
        <v>222</v>
      </c>
      <c r="B683" s="23" t="s">
        <v>193</v>
      </c>
      <c r="C683" s="10" t="str">
        <f aca="false">IF(G683="","未受領",IF(G683="なし","報告なし",IF(AH683="○","起票済",IF(OR(AG683="○",F683="一致",F683="入金不要"),"入金確認済","受領済"))))</f>
        <v>未受領</v>
      </c>
      <c r="D683" s="10" t="str">
        <f aca="false">IF(OR(G683="",G683="なし"),"―",IF(CH683="N","対象外",IF(AND(I683="",J683="",K683=""),"標報未入力",IF(CD683&gt;=設定!$B$4,"要確認","問題なし"))))</f>
        <v>―</v>
      </c>
      <c r="E683" s="24" t="str">
        <f aca="false">IF(OR(G683="",G683="なし",CE683="",CF683=0),"―",IF(CF683=CE683,"前月同額",IF(CE683=0,"―",IF(ABS(CF683/CE683-1)&gt;=設定!$B$5,"変動大 "&amp;TEXT(CF683/CE683-1,"+0%;-0%"),"〇"))))</f>
        <v>―</v>
      </c>
      <c r="F683" s="10" t="str">
        <f aca="false">IF(OR(G683="",G683="なし"),"―",IF(CF683=0,"入金不要",IF(COUNT(Z683,AB683,AD683,AF683)=0,IF(AG683="○","手動確認","未入金"),IF(AND(N(Z683)=Y683,IF(AA683="",TRUE(),N(AB683)=AA683),IF(AC683="",TRUE(),N(AD683)=AC683),IF(AE683="",TRUE(),N(AF683)=AE683)),"一致","不一致"))))</f>
        <v>―</v>
      </c>
      <c r="G683" s="25"/>
      <c r="H683" s="26"/>
      <c r="I683" s="27"/>
      <c r="J683" s="27"/>
      <c r="K683" s="27"/>
      <c r="L683" s="27"/>
      <c r="M683" s="27"/>
      <c r="N683" s="27"/>
      <c r="O683" s="27"/>
      <c r="P683" s="27"/>
      <c r="Q683" s="27"/>
      <c r="R683" s="27"/>
      <c r="S683" s="27"/>
      <c r="T683" s="27"/>
      <c r="U683" s="27"/>
      <c r="V683" s="27"/>
      <c r="W683" s="10" t="str">
        <f aca="false">IFERROR(INDEX(設定!$E$61:$E$106,MATCH(B683,設定!$B$61:$B$106,0)),"合算")</f>
        <v>合算</v>
      </c>
      <c r="X683" s="28"/>
      <c r="Y683" s="29" t="str">
        <f aca="false">IF(OR(G683="",G683="なし"),"",IF(W683="合算",CF683,IF(W683="掛金・負担金別",(AU683+AV683+AZ683+BB683+BD683),SUM(AU683:AY683))))</f>
        <v/>
      </c>
      <c r="Z683" s="27"/>
      <c r="AA683" s="29" t="str">
        <f aca="false">IF(OR(G683="",G683="なし"),"",IF(W683="掛金・負担金別",(AW683+AX683+AY683+BA683+BC683+BE683),IF(W683="経理区分別",AZ683+BA683,"")))</f>
        <v/>
      </c>
      <c r="AB683" s="27"/>
      <c r="AC683" s="29" t="str">
        <f aca="false">IF(OR(G683="",G683="なし"),"",IF(W683="経理区分別",BB683+BC683,""))</f>
        <v/>
      </c>
      <c r="AD683" s="27"/>
      <c r="AE683" s="29" t="str">
        <f aca="false">IF(OR(G683="",G683="なし"),"",IF(W683="経理区分別",BD683+BE683,""))</f>
        <v/>
      </c>
      <c r="AF683" s="27"/>
      <c r="AG683" s="26"/>
      <c r="AH683" s="26"/>
      <c r="AI683" s="30"/>
      <c r="AJ683" s="31" t="n">
        <v>53985</v>
      </c>
      <c r="AK683" s="31" t="n">
        <v>4425</v>
      </c>
      <c r="AL683" s="31" t="n">
        <v>53985</v>
      </c>
      <c r="AM683" s="31" t="n">
        <v>4425</v>
      </c>
      <c r="AN683" s="31" t="n">
        <v>55</v>
      </c>
      <c r="AO683" s="31" t="n">
        <v>32455</v>
      </c>
      <c r="AP683" s="31" t="n">
        <v>32514</v>
      </c>
      <c r="AQ683" s="31" t="n">
        <v>0</v>
      </c>
      <c r="AR683" s="31" t="n">
        <v>0</v>
      </c>
      <c r="AS683" s="31" t="n">
        <v>1</v>
      </c>
      <c r="AT683" s="31" t="n">
        <v>1</v>
      </c>
      <c r="AU683" s="31" t="n">
        <f aca="false">IF($G683="",AJ683,L683)</f>
        <v>53985</v>
      </c>
      <c r="AV683" s="31" t="n">
        <f aca="false">IF($G683="",AK683,M683)</f>
        <v>4425</v>
      </c>
      <c r="AW683" s="31" t="n">
        <f aca="false">IF($G683="",AL683,N683)</f>
        <v>53985</v>
      </c>
      <c r="AX683" s="31" t="n">
        <f aca="false">IF($G683="",AM683,O683)</f>
        <v>4425</v>
      </c>
      <c r="AY683" s="31" t="n">
        <f aca="false">IF($G683="",AN683,P683)</f>
        <v>55</v>
      </c>
      <c r="AZ683" s="31" t="n">
        <f aca="false">IF($G683="",AO683,Q683)</f>
        <v>32455</v>
      </c>
      <c r="BA683" s="31" t="n">
        <f aca="false">IF($G683="",AP683,R683)</f>
        <v>32514</v>
      </c>
      <c r="BB683" s="31" t="n">
        <f aca="false">IF($G683="",AQ683,S683)</f>
        <v>0</v>
      </c>
      <c r="BC683" s="31" t="n">
        <f aca="false">IF($G683="",AR683,T683)</f>
        <v>0</v>
      </c>
      <c r="BD683" s="31" t="n">
        <f aca="false">IF($G683="",AS683,U683)</f>
        <v>1</v>
      </c>
      <c r="BE683" s="31" t="n">
        <f aca="false">IF($G683="",AT683,V683)</f>
        <v>1</v>
      </c>
      <c r="BF683" s="31" t="n">
        <f aca="false">ROUNDDOWN(I683*設定!$B$10/1000,0)+ROUNDDOWN(I683*設定!$B$11/1000,0)</f>
        <v>0</v>
      </c>
      <c r="BG683" s="31" t="n">
        <f aca="false">ROUNDDOWN(I683*設定!$C$10/1000,0)+ROUNDDOWN(I683*設定!$C$11/1000,0)+ROUNDDOWN(I683*設定!$C$12/1000,0)</f>
        <v>0</v>
      </c>
      <c r="BH683" s="31" t="n">
        <f aca="false">ROUNDDOWN(J683*設定!$B$13/1000,0)</f>
        <v>0</v>
      </c>
      <c r="BI683" s="31" t="n">
        <f aca="false">ROUNDDOWN(J683*設定!$C$13/1000,0)</f>
        <v>0</v>
      </c>
      <c r="BJ683" s="31" t="n">
        <f aca="false">ROUNDDOWN(K683*設定!$B$14/1000,0)</f>
        <v>0</v>
      </c>
      <c r="BK683" s="31" t="n">
        <f aca="false">ROUNDDOWN(K683*設定!$C$14/1000,0)</f>
        <v>0</v>
      </c>
      <c r="BL683" s="31" t="n">
        <f aca="false">ROUNDDOWN(J683*設定!$B$15/1000,0)</f>
        <v>0</v>
      </c>
      <c r="BM683" s="31" t="n">
        <f aca="false">ROUNDDOWN(J683*設定!$C$15/1000,0)</f>
        <v>0</v>
      </c>
      <c r="BN683" s="31" t="n">
        <f aca="false">L683+M683</f>
        <v>0</v>
      </c>
      <c r="BO683" s="31" t="n">
        <f aca="false">N683+O683+P683</f>
        <v>0</v>
      </c>
      <c r="BP683" s="31" t="n">
        <f aca="false">Q683</f>
        <v>0</v>
      </c>
      <c r="BQ683" s="31" t="n">
        <f aca="false">R683</f>
        <v>0</v>
      </c>
      <c r="BR683" s="31" t="n">
        <f aca="false">S683</f>
        <v>0</v>
      </c>
      <c r="BS683" s="31" t="n">
        <f aca="false">T683</f>
        <v>0</v>
      </c>
      <c r="BT683" s="31" t="n">
        <f aca="false">U683</f>
        <v>0</v>
      </c>
      <c r="BU683" s="31" t="n">
        <f aca="false">V683</f>
        <v>0</v>
      </c>
      <c r="BV683" s="32" t="n">
        <f aca="false">IF(BF683=0,IF(BN683=0,0,1),(BN683-BF683)/BF683)</f>
        <v>0</v>
      </c>
      <c r="BW683" s="32" t="n">
        <f aca="false">IF(BG683=0,IF(BO683=0,0,1),(BO683-BG683)/BG683)</f>
        <v>0</v>
      </c>
      <c r="BX683" s="32" t="n">
        <f aca="false">IF(BH683=0,IF(BP683=0,0,1),(BP683-BH683)/BH683)</f>
        <v>0</v>
      </c>
      <c r="BY683" s="32" t="n">
        <f aca="false">IF(BI683=0,IF(BQ683=0,0,1),(BQ683-BI683)/BI683)</f>
        <v>0</v>
      </c>
      <c r="BZ683" s="32" t="n">
        <f aca="false">IF(BJ683=0,IF(BR683=0,0,1),(BR683-BJ683)/BJ683)</f>
        <v>0</v>
      </c>
      <c r="CA683" s="32" t="n">
        <f aca="false">IF(BK683=0,IF(BS683=0,0,1),(BS683-BK683)/BK683)</f>
        <v>0</v>
      </c>
      <c r="CB683" s="32" t="n">
        <f aca="false">IF(BL683=0,IF(BT683=0,0,1),(BT683-BL683)/BL683)</f>
        <v>0</v>
      </c>
      <c r="CC683" s="32" t="n">
        <f aca="false">IF(BM683=0,IF(BU683=0,0,1),(BU683-BM683)/BM683)</f>
        <v>0</v>
      </c>
      <c r="CD683" s="32" t="n">
        <f aca="false">MAX(MAX(BV683:CC683),-MIN(BV683:CC683))</f>
        <v>-0</v>
      </c>
      <c r="CE683" s="31" t="n">
        <f aca="false">IF(CI683="","",SUMIFS($CF$7:$CF$696,$A$7:$A$696,CI683,$B$7:$B$696,B683))</f>
        <v>181846</v>
      </c>
      <c r="CF683" s="31" t="n">
        <f aca="false">SUM(AU683:BE683)</f>
        <v>181846</v>
      </c>
      <c r="CG683" s="33" t="str">
        <f aca="false">A683&amp;"|"&amp;B683</f>
        <v>2027-03 月例|都市再生機構</v>
      </c>
      <c r="CH683" s="34" t="str">
        <f aca="false">IFERROR(INDEX(設定!$D$61:$D$106,MATCH(B683,設定!$B$61:$B$106,0)),"Y")</f>
        <v>Y</v>
      </c>
      <c r="CI683" s="34" t="str">
        <f aca="false">IFERROR(INDEX(設定!$D$20:$D$34,MATCH(A683,設定!$A$20:$A$34,0))&amp;"","")</f>
        <v>2027-02 月例</v>
      </c>
    </row>
    <row r="684" customFormat="false" ht="15" hidden="true" customHeight="false" outlineLevel="0" collapsed="false">
      <c r="A684" s="22" t="s">
        <v>222</v>
      </c>
      <c r="B684" s="23" t="s">
        <v>194</v>
      </c>
      <c r="C684" s="10" t="str">
        <f aca="false">IF(G684="","未受領",IF(G684="なし","報告なし",IF(AH684="○","起票済",IF(OR(AG684="○",F684="一致",F684="入金不要"),"入金確認済","受領済"))))</f>
        <v>未受領</v>
      </c>
      <c r="D684" s="10" t="str">
        <f aca="false">IF(OR(G684="",G684="なし"),"―",IF(CH684="N","対象外",IF(AND(I684="",J684="",K684=""),"標報未入力",IF(CD684&gt;=設定!$B$4,"要確認","問題なし"))))</f>
        <v>―</v>
      </c>
      <c r="E684" s="24" t="str">
        <f aca="false">IF(OR(G684="",G684="なし",CE684="",CF684=0),"―",IF(CF684=CE684,"前月同額",IF(CE684=0,"―",IF(ABS(CF684/CE684-1)&gt;=設定!$B$5,"変動大 "&amp;TEXT(CF684/CE684-1,"+0%;-0%"),"〇"))))</f>
        <v>―</v>
      </c>
      <c r="F684" s="10" t="str">
        <f aca="false">IF(OR(G684="",G684="なし"),"―",IF(CF684=0,"入金不要",IF(COUNT(Z684,AB684,AD684,AF684)=0,IF(AG684="○","手動確認","未入金"),IF(AND(N(Z684)=Y684,IF(AA684="",TRUE(),N(AB684)=AA684),IF(AC684="",TRUE(),N(AD684)=AC684),IF(AE684="",TRUE(),N(AF684)=AE684)),"一致","不一致"))))</f>
        <v>―</v>
      </c>
      <c r="G684" s="25"/>
      <c r="H684" s="26"/>
      <c r="I684" s="27"/>
      <c r="J684" s="27"/>
      <c r="K684" s="27"/>
      <c r="L684" s="27"/>
      <c r="M684" s="27"/>
      <c r="N684" s="27"/>
      <c r="O684" s="27"/>
      <c r="P684" s="27"/>
      <c r="Q684" s="27"/>
      <c r="R684" s="27"/>
      <c r="S684" s="27"/>
      <c r="T684" s="27"/>
      <c r="U684" s="27"/>
      <c r="V684" s="27"/>
      <c r="W684" s="10" t="str">
        <f aca="false">IFERROR(INDEX(設定!$E$61:$E$106,MATCH(B684,設定!$B$61:$B$106,0)),"合算")</f>
        <v>合算</v>
      </c>
      <c r="X684" s="28"/>
      <c r="Y684" s="29" t="str">
        <f aca="false">IF(OR(G684="",G684="なし"),"",IF(W684="合算",CF684,IF(W684="掛金・負担金別",(AU684+AV684+AZ684+BB684+BD684),SUM(AU684:AY684))))</f>
        <v/>
      </c>
      <c r="Z684" s="27"/>
      <c r="AA684" s="29" t="str">
        <f aca="false">IF(OR(G684="",G684="なし"),"",IF(W684="掛金・負担金別",(AW684+AX684+AY684+BA684+BC684+BE684),IF(W684="経理区分別",AZ684+BA684,"")))</f>
        <v/>
      </c>
      <c r="AB684" s="27"/>
      <c r="AC684" s="29" t="str">
        <f aca="false">IF(OR(G684="",G684="なし"),"",IF(W684="経理区分別",BB684+BC684,""))</f>
        <v/>
      </c>
      <c r="AD684" s="27"/>
      <c r="AE684" s="29" t="str">
        <f aca="false">IF(OR(G684="",G684="なし"),"",IF(W684="経理区分別",BD684+BE684,""))</f>
        <v/>
      </c>
      <c r="AF684" s="27"/>
      <c r="AG684" s="26"/>
      <c r="AH684" s="26"/>
      <c r="AI684" s="30"/>
      <c r="AJ684" s="31" t="n">
        <v>1216950</v>
      </c>
      <c r="AK684" s="31" t="n">
        <v>99750</v>
      </c>
      <c r="AL684" s="31" t="n">
        <v>1216950</v>
      </c>
      <c r="AM684" s="31" t="n">
        <v>99750</v>
      </c>
      <c r="AN684" s="31" t="n">
        <v>1360</v>
      </c>
      <c r="AO684" s="31" t="n">
        <v>731621</v>
      </c>
      <c r="AP684" s="31" t="n">
        <v>733082</v>
      </c>
      <c r="AQ684" s="31" t="n">
        <v>69599</v>
      </c>
      <c r="AR684" s="31" t="n">
        <v>69599</v>
      </c>
      <c r="AS684" s="31" t="n">
        <v>1</v>
      </c>
      <c r="AT684" s="31" t="n">
        <v>1</v>
      </c>
      <c r="AU684" s="31" t="n">
        <f aca="false">IF($G684="",AJ684,L684)</f>
        <v>1216950</v>
      </c>
      <c r="AV684" s="31" t="n">
        <f aca="false">IF($G684="",AK684,M684)</f>
        <v>99750</v>
      </c>
      <c r="AW684" s="31" t="n">
        <f aca="false">IF($G684="",AL684,N684)</f>
        <v>1216950</v>
      </c>
      <c r="AX684" s="31" t="n">
        <f aca="false">IF($G684="",AM684,O684)</f>
        <v>99750</v>
      </c>
      <c r="AY684" s="31" t="n">
        <f aca="false">IF($G684="",AN684,P684)</f>
        <v>1360</v>
      </c>
      <c r="AZ684" s="31" t="n">
        <f aca="false">IF($G684="",AO684,Q684)</f>
        <v>731621</v>
      </c>
      <c r="BA684" s="31" t="n">
        <f aca="false">IF($G684="",AP684,R684)</f>
        <v>733082</v>
      </c>
      <c r="BB684" s="31" t="n">
        <f aca="false">IF($G684="",AQ684,S684)</f>
        <v>69599</v>
      </c>
      <c r="BC684" s="31" t="n">
        <f aca="false">IF($G684="",AR684,T684)</f>
        <v>69599</v>
      </c>
      <c r="BD684" s="31" t="n">
        <f aca="false">IF($G684="",AS684,U684)</f>
        <v>1</v>
      </c>
      <c r="BE684" s="31" t="n">
        <f aca="false">IF($G684="",AT684,V684)</f>
        <v>1</v>
      </c>
      <c r="BF684" s="31" t="n">
        <f aca="false">ROUNDDOWN(I684*設定!$B$10/1000,0)+ROUNDDOWN(I684*設定!$B$11/1000,0)</f>
        <v>0</v>
      </c>
      <c r="BG684" s="31" t="n">
        <f aca="false">ROUNDDOWN(I684*設定!$C$10/1000,0)+ROUNDDOWN(I684*設定!$C$11/1000,0)+ROUNDDOWN(I684*設定!$C$12/1000,0)</f>
        <v>0</v>
      </c>
      <c r="BH684" s="31" t="n">
        <f aca="false">ROUNDDOWN(J684*設定!$B$13/1000,0)</f>
        <v>0</v>
      </c>
      <c r="BI684" s="31" t="n">
        <f aca="false">ROUNDDOWN(J684*設定!$C$13/1000,0)</f>
        <v>0</v>
      </c>
      <c r="BJ684" s="31" t="n">
        <f aca="false">ROUNDDOWN(K684*設定!$B$14/1000,0)</f>
        <v>0</v>
      </c>
      <c r="BK684" s="31" t="n">
        <f aca="false">ROUNDDOWN(K684*設定!$C$14/1000,0)</f>
        <v>0</v>
      </c>
      <c r="BL684" s="31" t="n">
        <f aca="false">ROUNDDOWN(J684*設定!$B$15/1000,0)</f>
        <v>0</v>
      </c>
      <c r="BM684" s="31" t="n">
        <f aca="false">ROUNDDOWN(J684*設定!$C$15/1000,0)</f>
        <v>0</v>
      </c>
      <c r="BN684" s="31" t="n">
        <f aca="false">L684+M684</f>
        <v>0</v>
      </c>
      <c r="BO684" s="31" t="n">
        <f aca="false">N684+O684+P684</f>
        <v>0</v>
      </c>
      <c r="BP684" s="31" t="n">
        <f aca="false">Q684</f>
        <v>0</v>
      </c>
      <c r="BQ684" s="31" t="n">
        <f aca="false">R684</f>
        <v>0</v>
      </c>
      <c r="BR684" s="31" t="n">
        <f aca="false">S684</f>
        <v>0</v>
      </c>
      <c r="BS684" s="31" t="n">
        <f aca="false">T684</f>
        <v>0</v>
      </c>
      <c r="BT684" s="31" t="n">
        <f aca="false">U684</f>
        <v>0</v>
      </c>
      <c r="BU684" s="31" t="n">
        <f aca="false">V684</f>
        <v>0</v>
      </c>
      <c r="BV684" s="32" t="n">
        <f aca="false">IF(BF684=0,IF(BN684=0,0,1),(BN684-BF684)/BF684)</f>
        <v>0</v>
      </c>
      <c r="BW684" s="32" t="n">
        <f aca="false">IF(BG684=0,IF(BO684=0,0,1),(BO684-BG684)/BG684)</f>
        <v>0</v>
      </c>
      <c r="BX684" s="32" t="n">
        <f aca="false">IF(BH684=0,IF(BP684=0,0,1),(BP684-BH684)/BH684)</f>
        <v>0</v>
      </c>
      <c r="BY684" s="32" t="n">
        <f aca="false">IF(BI684=0,IF(BQ684=0,0,1),(BQ684-BI684)/BI684)</f>
        <v>0</v>
      </c>
      <c r="BZ684" s="32" t="n">
        <f aca="false">IF(BJ684=0,IF(BR684=0,0,1),(BR684-BJ684)/BJ684)</f>
        <v>0</v>
      </c>
      <c r="CA684" s="32" t="n">
        <f aca="false">IF(BK684=0,IF(BS684=0,0,1),(BS684-BK684)/BK684)</f>
        <v>0</v>
      </c>
      <c r="CB684" s="32" t="n">
        <f aca="false">IF(BL684=0,IF(BT684=0,0,1),(BT684-BL684)/BL684)</f>
        <v>0</v>
      </c>
      <c r="CC684" s="32" t="n">
        <f aca="false">IF(BM684=0,IF(BU684=0,0,1),(BU684-BM684)/BM684)</f>
        <v>0</v>
      </c>
      <c r="CD684" s="32" t="n">
        <f aca="false">MAX(MAX(BV684:CC684),-MIN(BV684:CC684))</f>
        <v>-0</v>
      </c>
      <c r="CE684" s="31" t="n">
        <f aca="false">IF(CI684="","",SUMIFS($CF$7:$CF$696,$A$7:$A$696,CI684,$B$7:$B$696,B684))</f>
        <v>4170621</v>
      </c>
      <c r="CF684" s="31" t="n">
        <f aca="false">SUM(AU684:BE684)</f>
        <v>4238663</v>
      </c>
      <c r="CG684" s="33" t="str">
        <f aca="false">A684&amp;"|"&amp;B684</f>
        <v>2027-03 月例|広島市立大学</v>
      </c>
      <c r="CH684" s="34" t="str">
        <f aca="false">IFERROR(INDEX(設定!$D$61:$D$106,MATCH(B684,設定!$B$61:$B$106,0)),"Y")</f>
        <v>Y</v>
      </c>
      <c r="CI684" s="34" t="str">
        <f aca="false">IFERROR(INDEX(設定!$D$20:$D$34,MATCH(A684,設定!$A$20:$A$34,0))&amp;"","")</f>
        <v>2027-02 月例</v>
      </c>
    </row>
    <row r="685" customFormat="false" ht="15" hidden="true" customHeight="false" outlineLevel="0" collapsed="false">
      <c r="A685" s="22" t="s">
        <v>222</v>
      </c>
      <c r="B685" s="23" t="s">
        <v>195</v>
      </c>
      <c r="C685" s="10" t="str">
        <f aca="false">IF(G685="","未受領",IF(G685="なし","報告なし",IF(AH685="○","起票済",IF(OR(AG685="○",F685="一致",F685="入金不要"),"入金確認済","受領済"))))</f>
        <v>未受領</v>
      </c>
      <c r="D685" s="10" t="str">
        <f aca="false">IF(OR(G685="",G685="なし"),"―",IF(CH685="N","対象外",IF(AND(I685="",J685="",K685=""),"標報未入力",IF(CD685&gt;=設定!$B$4,"要確認","問題なし"))))</f>
        <v>―</v>
      </c>
      <c r="E685" s="24" t="str">
        <f aca="false">IF(OR(G685="",G685="なし",CE685="",CF685=0),"―",IF(CF685=CE685,"前月同額",IF(CE685=0,"―",IF(ABS(CF685/CE685-1)&gt;=設定!$B$5,"変動大 "&amp;TEXT(CF685/CE685-1,"+0%;-0%"),"〇"))))</f>
        <v>―</v>
      </c>
      <c r="F685" s="10" t="str">
        <f aca="false">IF(OR(G685="",G685="なし"),"―",IF(CF685=0,"入金不要",IF(COUNT(Z685,AB685,AD685,AF685)=0,IF(AG685="○","手動確認","未入金"),IF(AND(N(Z685)=Y685,IF(AA685="",TRUE(),N(AB685)=AA685),IF(AC685="",TRUE(),N(AD685)=AC685),IF(AE685="",TRUE(),N(AF685)=AE685)),"一致","不一致"))))</f>
        <v>―</v>
      </c>
      <c r="G685" s="25"/>
      <c r="H685" s="26"/>
      <c r="I685" s="27"/>
      <c r="J685" s="27"/>
      <c r="K685" s="27"/>
      <c r="L685" s="27"/>
      <c r="M685" s="27"/>
      <c r="N685" s="27"/>
      <c r="O685" s="27"/>
      <c r="P685" s="27"/>
      <c r="Q685" s="27"/>
      <c r="R685" s="27"/>
      <c r="S685" s="27"/>
      <c r="T685" s="27"/>
      <c r="U685" s="27"/>
      <c r="V685" s="27"/>
      <c r="W685" s="10" t="str">
        <f aca="false">IFERROR(INDEX(設定!$E$61:$E$106,MATCH(B685,設定!$B$61:$B$106,0)),"合算")</f>
        <v>合算</v>
      </c>
      <c r="X685" s="28"/>
      <c r="Y685" s="29" t="str">
        <f aca="false">IF(OR(G685="",G685="なし"),"",IF(W685="合算",CF685,IF(W685="掛金・負担金別",(AU685+AV685+AZ685+BB685+BD685),SUM(AU685:AY685))))</f>
        <v/>
      </c>
      <c r="Z685" s="27"/>
      <c r="AA685" s="29" t="str">
        <f aca="false">IF(OR(G685="",G685="なし"),"",IF(W685="掛金・負担金別",(AW685+AX685+AY685+BA685+BC685+BE685),IF(W685="経理区分別",AZ685+BA685,"")))</f>
        <v/>
      </c>
      <c r="AB685" s="27"/>
      <c r="AC685" s="29" t="str">
        <f aca="false">IF(OR(G685="",G685="なし"),"",IF(W685="経理区分別",BB685+BC685,""))</f>
        <v/>
      </c>
      <c r="AD685" s="27"/>
      <c r="AE685" s="29" t="str">
        <f aca="false">IF(OR(G685="",G685="なし"),"",IF(W685="経理区分別",BD685+BE685,""))</f>
        <v/>
      </c>
      <c r="AF685" s="27"/>
      <c r="AG685" s="26"/>
      <c r="AH685" s="26"/>
      <c r="AI685" s="30"/>
      <c r="AJ685" s="31"/>
      <c r="AK685" s="31"/>
      <c r="AL685" s="31" t="n">
        <v>245220</v>
      </c>
      <c r="AM685" s="31" t="n">
        <v>20100</v>
      </c>
      <c r="AN685" s="31" t="n">
        <v>251</v>
      </c>
      <c r="AO685" s="31"/>
      <c r="AP685" s="31" t="n">
        <v>151001</v>
      </c>
      <c r="AQ685" s="31"/>
      <c r="AR685" s="31" t="n">
        <v>10744</v>
      </c>
      <c r="AS685" s="31"/>
      <c r="AT685" s="31" t="n">
        <v>1</v>
      </c>
      <c r="AU685" s="31" t="n">
        <f aca="false">IF($G685="",AJ685,L685)</f>
        <v>0</v>
      </c>
      <c r="AV685" s="31" t="n">
        <f aca="false">IF($G685="",AK685,M685)</f>
        <v>0</v>
      </c>
      <c r="AW685" s="31" t="n">
        <f aca="false">IF($G685="",AL685,N685)</f>
        <v>245220</v>
      </c>
      <c r="AX685" s="31" t="n">
        <f aca="false">IF($G685="",AM685,O685)</f>
        <v>20100</v>
      </c>
      <c r="AY685" s="31" t="n">
        <f aca="false">IF($G685="",AN685,P685)</f>
        <v>251</v>
      </c>
      <c r="AZ685" s="31" t="n">
        <f aca="false">IF($G685="",AO685,Q685)</f>
        <v>0</v>
      </c>
      <c r="BA685" s="31" t="n">
        <f aca="false">IF($G685="",AP685,R685)</f>
        <v>151001</v>
      </c>
      <c r="BB685" s="31" t="n">
        <f aca="false">IF($G685="",AQ685,S685)</f>
        <v>0</v>
      </c>
      <c r="BC685" s="31" t="n">
        <f aca="false">IF($G685="",AR685,T685)</f>
        <v>10744</v>
      </c>
      <c r="BD685" s="31" t="n">
        <f aca="false">IF($G685="",AS685,U685)</f>
        <v>0</v>
      </c>
      <c r="BE685" s="31" t="n">
        <f aca="false">IF($G685="",AT685,V685)</f>
        <v>1</v>
      </c>
      <c r="BF685" s="31" t="n">
        <f aca="false">ROUNDDOWN(I685*設定!$B$10/1000,0)+ROUNDDOWN(I685*設定!$B$11/1000,0)</f>
        <v>0</v>
      </c>
      <c r="BG685" s="31" t="n">
        <f aca="false">ROUNDDOWN(I685*設定!$C$10/1000,0)+ROUNDDOWN(I685*設定!$C$11/1000,0)+ROUNDDOWN(I685*設定!$C$12/1000,0)</f>
        <v>0</v>
      </c>
      <c r="BH685" s="31" t="n">
        <f aca="false">ROUNDDOWN(J685*設定!$B$13/1000,0)</f>
        <v>0</v>
      </c>
      <c r="BI685" s="31" t="n">
        <f aca="false">ROUNDDOWN(J685*設定!$C$13/1000,0)</f>
        <v>0</v>
      </c>
      <c r="BJ685" s="31" t="n">
        <f aca="false">ROUNDDOWN(K685*設定!$B$14/1000,0)</f>
        <v>0</v>
      </c>
      <c r="BK685" s="31" t="n">
        <f aca="false">ROUNDDOWN(K685*設定!$C$14/1000,0)</f>
        <v>0</v>
      </c>
      <c r="BL685" s="31" t="n">
        <f aca="false">ROUNDDOWN(J685*設定!$B$15/1000,0)</f>
        <v>0</v>
      </c>
      <c r="BM685" s="31" t="n">
        <f aca="false">ROUNDDOWN(J685*設定!$C$15/1000,0)</f>
        <v>0</v>
      </c>
      <c r="BN685" s="31" t="n">
        <f aca="false">L685+M685</f>
        <v>0</v>
      </c>
      <c r="BO685" s="31" t="n">
        <f aca="false">N685+O685+P685</f>
        <v>0</v>
      </c>
      <c r="BP685" s="31" t="n">
        <f aca="false">Q685</f>
        <v>0</v>
      </c>
      <c r="BQ685" s="31" t="n">
        <f aca="false">R685</f>
        <v>0</v>
      </c>
      <c r="BR685" s="31" t="n">
        <f aca="false">S685</f>
        <v>0</v>
      </c>
      <c r="BS685" s="31" t="n">
        <f aca="false">T685</f>
        <v>0</v>
      </c>
      <c r="BT685" s="31" t="n">
        <f aca="false">U685</f>
        <v>0</v>
      </c>
      <c r="BU685" s="31" t="n">
        <f aca="false">V685</f>
        <v>0</v>
      </c>
      <c r="BV685" s="32" t="n">
        <f aca="false">IF(BF685=0,IF(BN685=0,0,1),(BN685-BF685)/BF685)</f>
        <v>0</v>
      </c>
      <c r="BW685" s="32" t="n">
        <f aca="false">IF(BG685=0,IF(BO685=0,0,1),(BO685-BG685)/BG685)</f>
        <v>0</v>
      </c>
      <c r="BX685" s="32" t="n">
        <f aca="false">IF(BH685=0,IF(BP685=0,0,1),(BP685-BH685)/BH685)</f>
        <v>0</v>
      </c>
      <c r="BY685" s="32" t="n">
        <f aca="false">IF(BI685=0,IF(BQ685=0,0,1),(BQ685-BI685)/BI685)</f>
        <v>0</v>
      </c>
      <c r="BZ685" s="32" t="n">
        <f aca="false">IF(BJ685=0,IF(BR685=0,0,1),(BR685-BJ685)/BJ685)</f>
        <v>0</v>
      </c>
      <c r="CA685" s="32" t="n">
        <f aca="false">IF(BK685=0,IF(BS685=0,0,1),(BS685-BK685)/BK685)</f>
        <v>0</v>
      </c>
      <c r="CB685" s="32" t="n">
        <f aca="false">IF(BL685=0,IF(BT685=0,0,1),(BT685-BL685)/BL685)</f>
        <v>0</v>
      </c>
      <c r="CC685" s="32" t="n">
        <f aca="false">IF(BM685=0,IF(BU685=0,0,1),(BU685-BM685)/BM685)</f>
        <v>0</v>
      </c>
      <c r="CD685" s="32" t="n">
        <f aca="false">MAX(MAX(BV685:CC685),-MIN(BV685:CC685))</f>
        <v>-0</v>
      </c>
      <c r="CE685" s="31" t="n">
        <f aca="false">IF(CI685="","",SUMIFS($CF$7:$CF$696,$A$7:$A$696,CI685,$B$7:$B$696,B685))</f>
        <v>427317</v>
      </c>
      <c r="CF685" s="31" t="n">
        <f aca="false">SUM(AU685:BE685)</f>
        <v>427317</v>
      </c>
      <c r="CG685" s="33" t="str">
        <f aca="false">A685&amp;"|"&amp;B685</f>
        <v>2027-03 月例|社会福祉協議会</v>
      </c>
      <c r="CH685" s="34" t="str">
        <f aca="false">IFERROR(INDEX(設定!$D$61:$D$106,MATCH(B685,設定!$B$61:$B$106,0)),"Y")</f>
        <v>Y</v>
      </c>
      <c r="CI685" s="34" t="str">
        <f aca="false">IFERROR(INDEX(設定!$D$20:$D$34,MATCH(A685,設定!$A$20:$A$34,0))&amp;"","")</f>
        <v>2027-02 月例</v>
      </c>
    </row>
    <row r="686" customFormat="false" ht="15" hidden="true" customHeight="false" outlineLevel="0" collapsed="false">
      <c r="A686" s="22" t="s">
        <v>222</v>
      </c>
      <c r="B686" s="23" t="s">
        <v>196</v>
      </c>
      <c r="C686" s="10" t="str">
        <f aca="false">IF(G686="","未受領",IF(G686="なし","報告なし",IF(AH686="○","起票済",IF(OR(AG686="○",F686="一致",F686="入金不要"),"入金確認済","受領済"))))</f>
        <v>未受領</v>
      </c>
      <c r="D686" s="10" t="str">
        <f aca="false">IF(OR(G686="",G686="なし"),"―",IF(CH686="N","対象外",IF(AND(I686="",J686="",K686=""),"標報未入力",IF(CD686&gt;=設定!$B$4,"要確認","問題なし"))))</f>
        <v>―</v>
      </c>
      <c r="E686" s="24" t="str">
        <f aca="false">IF(OR(G686="",G686="なし",CE686="",CF686=0),"―",IF(CF686=CE686,"前月同額",IF(CE686=0,"―",IF(ABS(CF686/CE686-1)&gt;=設定!$B$5,"変動大 "&amp;TEXT(CF686/CE686-1,"+0%;-0%"),"〇"))))</f>
        <v>―</v>
      </c>
      <c r="F686" s="10" t="str">
        <f aca="false">IF(OR(G686="",G686="なし"),"―",IF(CF686=0,"入金不要",IF(COUNT(Z686,AB686,AD686,AF686)=0,IF(AG686="○","手動確認","未入金"),IF(AND(N(Z686)=Y686,IF(AA686="",TRUE(),N(AB686)=AA686),IF(AC686="",TRUE(),N(AD686)=AC686),IF(AE686="",TRUE(),N(AF686)=AE686)),"一致","不一致"))))</f>
        <v>―</v>
      </c>
      <c r="G686" s="25"/>
      <c r="H686" s="26"/>
      <c r="I686" s="27"/>
      <c r="J686" s="27"/>
      <c r="K686" s="27"/>
      <c r="L686" s="27"/>
      <c r="M686" s="27"/>
      <c r="N686" s="27"/>
      <c r="O686" s="27"/>
      <c r="P686" s="27"/>
      <c r="Q686" s="27"/>
      <c r="R686" s="27"/>
      <c r="S686" s="27"/>
      <c r="T686" s="27"/>
      <c r="U686" s="27"/>
      <c r="V686" s="27"/>
      <c r="W686" s="10" t="str">
        <f aca="false">IFERROR(INDEX(設定!$E$61:$E$106,MATCH(B686,設定!$B$61:$B$106,0)),"合算")</f>
        <v>合算</v>
      </c>
      <c r="X686" s="28"/>
      <c r="Y686" s="29" t="str">
        <f aca="false">IF(OR(G686="",G686="なし"),"",IF(W686="合算",CF686,IF(W686="掛金・負担金別",(AU686+AV686+AZ686+BB686+BD686),SUM(AU686:AY686))))</f>
        <v/>
      </c>
      <c r="Z686" s="27"/>
      <c r="AA686" s="29" t="str">
        <f aca="false">IF(OR(G686="",G686="なし"),"",IF(W686="掛金・負担金別",(AW686+AX686+AY686+BA686+BC686+BE686),IF(W686="経理区分別",AZ686+BA686,"")))</f>
        <v/>
      </c>
      <c r="AB686" s="27"/>
      <c r="AC686" s="29" t="str">
        <f aca="false">IF(OR(G686="",G686="なし"),"",IF(W686="経理区分別",BB686+BC686,""))</f>
        <v/>
      </c>
      <c r="AD686" s="27"/>
      <c r="AE686" s="29" t="str">
        <f aca="false">IF(OR(G686="",G686="なし"),"",IF(W686="経理区分別",BD686+BE686,""))</f>
        <v/>
      </c>
      <c r="AF686" s="27"/>
      <c r="AG686" s="26"/>
      <c r="AH686" s="26"/>
      <c r="AI686" s="30"/>
      <c r="AJ686" s="31" t="n">
        <v>122457286</v>
      </c>
      <c r="AK686" s="31" t="n">
        <v>10042357</v>
      </c>
      <c r="AL686" s="31" t="n">
        <v>169847748</v>
      </c>
      <c r="AM686" s="31" t="n">
        <v>10042357</v>
      </c>
      <c r="AN686" s="31" t="n">
        <v>134868</v>
      </c>
      <c r="AO686" s="31" t="n">
        <v>95166395</v>
      </c>
      <c r="AP686" s="31" t="n">
        <v>95340690</v>
      </c>
      <c r="AQ686" s="31" t="n">
        <v>8029163</v>
      </c>
      <c r="AR686" s="31" t="n">
        <v>8029163</v>
      </c>
      <c r="AS686" s="31" t="n">
        <v>1</v>
      </c>
      <c r="AT686" s="31" t="n">
        <v>1</v>
      </c>
      <c r="AU686" s="31" t="n">
        <f aca="false">IF($G686="",AJ686,L686)</f>
        <v>122457286</v>
      </c>
      <c r="AV686" s="31" t="n">
        <f aca="false">IF($G686="",AK686,M686)</f>
        <v>10042357</v>
      </c>
      <c r="AW686" s="31" t="n">
        <f aca="false">IF($G686="",AL686,N686)</f>
        <v>169847748</v>
      </c>
      <c r="AX686" s="31" t="n">
        <f aca="false">IF($G686="",AM686,O686)</f>
        <v>10042357</v>
      </c>
      <c r="AY686" s="31" t="n">
        <f aca="false">IF($G686="",AN686,P686)</f>
        <v>134868</v>
      </c>
      <c r="AZ686" s="31" t="n">
        <f aca="false">IF($G686="",AO686,Q686)</f>
        <v>95166395</v>
      </c>
      <c r="BA686" s="31" t="n">
        <f aca="false">IF($G686="",AP686,R686)</f>
        <v>95340690</v>
      </c>
      <c r="BB686" s="31" t="n">
        <f aca="false">IF($G686="",AQ686,S686)</f>
        <v>8029163</v>
      </c>
      <c r="BC686" s="31" t="n">
        <f aca="false">IF($G686="",AR686,T686)</f>
        <v>8029163</v>
      </c>
      <c r="BD686" s="31" t="n">
        <f aca="false">IF($G686="",AS686,U686)</f>
        <v>1</v>
      </c>
      <c r="BE686" s="31" t="n">
        <f aca="false">IF($G686="",AT686,V686)</f>
        <v>1</v>
      </c>
      <c r="BF686" s="31" t="n">
        <f aca="false">ROUNDDOWN(I686*設定!$B$10/1000,0)+ROUNDDOWN(I686*設定!$B$11/1000,0)</f>
        <v>0</v>
      </c>
      <c r="BG686" s="31" t="n">
        <f aca="false">ROUNDDOWN(I686*設定!$C$10/1000,0)+ROUNDDOWN(I686*設定!$C$11/1000,0)+ROUNDDOWN(I686*設定!$C$12/1000,0)</f>
        <v>0</v>
      </c>
      <c r="BH686" s="31" t="n">
        <f aca="false">ROUNDDOWN(J686*設定!$B$13/1000,0)</f>
        <v>0</v>
      </c>
      <c r="BI686" s="31" t="n">
        <f aca="false">ROUNDDOWN(J686*設定!$C$13/1000,0)</f>
        <v>0</v>
      </c>
      <c r="BJ686" s="31" t="n">
        <f aca="false">ROUNDDOWN(K686*設定!$B$14/1000,0)</f>
        <v>0</v>
      </c>
      <c r="BK686" s="31" t="n">
        <f aca="false">ROUNDDOWN(K686*設定!$C$14/1000,0)</f>
        <v>0</v>
      </c>
      <c r="BL686" s="31" t="n">
        <f aca="false">ROUNDDOWN(J686*設定!$B$15/1000,0)</f>
        <v>0</v>
      </c>
      <c r="BM686" s="31" t="n">
        <f aca="false">ROUNDDOWN(J686*設定!$C$15/1000,0)</f>
        <v>0</v>
      </c>
      <c r="BN686" s="31" t="n">
        <f aca="false">L686+M686</f>
        <v>0</v>
      </c>
      <c r="BO686" s="31" t="n">
        <f aca="false">N686+O686+P686</f>
        <v>0</v>
      </c>
      <c r="BP686" s="31" t="n">
        <f aca="false">Q686</f>
        <v>0</v>
      </c>
      <c r="BQ686" s="31" t="n">
        <f aca="false">R686</f>
        <v>0</v>
      </c>
      <c r="BR686" s="31" t="n">
        <f aca="false">S686</f>
        <v>0</v>
      </c>
      <c r="BS686" s="31" t="n">
        <f aca="false">T686</f>
        <v>0</v>
      </c>
      <c r="BT686" s="31" t="n">
        <f aca="false">U686</f>
        <v>0</v>
      </c>
      <c r="BU686" s="31" t="n">
        <f aca="false">V686</f>
        <v>0</v>
      </c>
      <c r="BV686" s="32" t="n">
        <f aca="false">IF(BF686=0,IF(BN686=0,0,1),(BN686-BF686)/BF686)</f>
        <v>0</v>
      </c>
      <c r="BW686" s="32" t="n">
        <f aca="false">IF(BG686=0,IF(BO686=0,0,1),(BO686-BG686)/BG686)</f>
        <v>0</v>
      </c>
      <c r="BX686" s="32" t="n">
        <f aca="false">IF(BH686=0,IF(BP686=0,0,1),(BP686-BH686)/BH686)</f>
        <v>0</v>
      </c>
      <c r="BY686" s="32" t="n">
        <f aca="false">IF(BI686=0,IF(BQ686=0,0,1),(BQ686-BI686)/BI686)</f>
        <v>0</v>
      </c>
      <c r="BZ686" s="32" t="n">
        <f aca="false">IF(BJ686=0,IF(BR686=0,0,1),(BR686-BJ686)/BJ686)</f>
        <v>0</v>
      </c>
      <c r="CA686" s="32" t="n">
        <f aca="false">IF(BK686=0,IF(BS686=0,0,1),(BS686-BK686)/BK686)</f>
        <v>0</v>
      </c>
      <c r="CB686" s="32" t="n">
        <f aca="false">IF(BL686=0,IF(BT686=0,0,1),(BT686-BL686)/BL686)</f>
        <v>0</v>
      </c>
      <c r="CC686" s="32" t="n">
        <f aca="false">IF(BM686=0,IF(BU686=0,0,1),(BU686-BM686)/BM686)</f>
        <v>0</v>
      </c>
      <c r="CD686" s="32" t="n">
        <f aca="false">MAX(MAX(BV686:CC686),-MIN(BV686:CC686))</f>
        <v>-0</v>
      </c>
      <c r="CE686" s="31" t="n">
        <f aca="false">IF(CI686="","",SUMIFS($CF$7:$CF$696,$A$7:$A$696,CI686,$B$7:$B$696,B686))</f>
        <v>535537494</v>
      </c>
      <c r="CF686" s="31" t="n">
        <f aca="false">SUM(AU686:BE686)</f>
        <v>519090029</v>
      </c>
      <c r="CG686" s="33" t="str">
        <f aca="false">A686&amp;"|"&amp;B686</f>
        <v>2027-03 月例|市立病院機構</v>
      </c>
      <c r="CH686" s="34" t="str">
        <f aca="false">IFERROR(INDEX(設定!$D$61:$D$106,MATCH(B686,設定!$B$61:$B$106,0)),"Y")</f>
        <v>N</v>
      </c>
      <c r="CI686" s="34" t="str">
        <f aca="false">IFERROR(INDEX(設定!$D$20:$D$34,MATCH(A686,設定!$A$20:$A$34,0))&amp;"","")</f>
        <v>2027-02 月例</v>
      </c>
    </row>
    <row r="687" customFormat="false" ht="15" hidden="true" customHeight="false" outlineLevel="0" collapsed="false">
      <c r="A687" s="22" t="s">
        <v>222</v>
      </c>
      <c r="B687" s="23" t="s">
        <v>197</v>
      </c>
      <c r="C687" s="10" t="str">
        <f aca="false">IF(G687="","未受領",IF(G687="なし","報告なし",IF(AH687="○","起票済",IF(OR(AG687="○",F687="一致",F687="入金不要"),"入金確認済","受領済"))))</f>
        <v>未受領</v>
      </c>
      <c r="D687" s="10" t="str">
        <f aca="false">IF(OR(G687="",G687="なし"),"―",IF(CH687="N","対象外",IF(AND(I687="",J687="",K687=""),"標報未入力",IF(CD687&gt;=設定!$B$4,"要確認","問題なし"))))</f>
        <v>―</v>
      </c>
      <c r="E687" s="24" t="str">
        <f aca="false">IF(OR(G687="",G687="なし",CE687="",CF687=0),"―",IF(CF687=CE687,"前月同額",IF(CE687=0,"―",IF(ABS(CF687/CE687-1)&gt;=設定!$B$5,"変動大 "&amp;TEXT(CF687/CE687-1,"+0%;-0%"),"〇"))))</f>
        <v>―</v>
      </c>
      <c r="F687" s="10" t="str">
        <f aca="false">IF(OR(G687="",G687="なし"),"―",IF(CF687=0,"入金不要",IF(COUNT(Z687,AB687,AD687,AF687)=0,IF(AG687="○","手動確認","未入金"),IF(AND(N(Z687)=Y687,IF(AA687="",TRUE(),N(AB687)=AA687),IF(AC687="",TRUE(),N(AD687)=AC687),IF(AE687="",TRUE(),N(AF687)=AE687)),"一致","不一致"))))</f>
        <v>―</v>
      </c>
      <c r="G687" s="25"/>
      <c r="H687" s="26"/>
      <c r="I687" s="27"/>
      <c r="J687" s="27"/>
      <c r="K687" s="27"/>
      <c r="L687" s="27"/>
      <c r="M687" s="27"/>
      <c r="N687" s="27"/>
      <c r="O687" s="27"/>
      <c r="P687" s="27"/>
      <c r="Q687" s="27"/>
      <c r="R687" s="27"/>
      <c r="S687" s="27"/>
      <c r="T687" s="27"/>
      <c r="U687" s="27"/>
      <c r="V687" s="27"/>
      <c r="W687" s="10" t="str">
        <f aca="false">IFERROR(INDEX(設定!$E$61:$E$106,MATCH(B687,設定!$B$61:$B$106,0)),"合算")</f>
        <v>合算</v>
      </c>
      <c r="X687" s="28"/>
      <c r="Y687" s="29" t="str">
        <f aca="false">IF(OR(G687="",G687="なし"),"",IF(W687="合算",CF687,IF(W687="掛金・負担金別",(AU687+AV687+AZ687+BB687+BD687),SUM(AU687:AY687))))</f>
        <v/>
      </c>
      <c r="Z687" s="27"/>
      <c r="AA687" s="29" t="str">
        <f aca="false">IF(OR(G687="",G687="なし"),"",IF(W687="掛金・負担金別",(AW687+AX687+AY687+BA687+BC687+BE687),IF(W687="経理区分別",AZ687+BA687,"")))</f>
        <v/>
      </c>
      <c r="AB687" s="27"/>
      <c r="AC687" s="29" t="str">
        <f aca="false">IF(OR(G687="",G687="なし"),"",IF(W687="経理区分別",BB687+BC687,""))</f>
        <v/>
      </c>
      <c r="AD687" s="27"/>
      <c r="AE687" s="29" t="str">
        <f aca="false">IF(OR(G687="",G687="なし"),"",IF(W687="経理区分別",BD687+BE687,""))</f>
        <v/>
      </c>
      <c r="AF687" s="27"/>
      <c r="AG687" s="26"/>
      <c r="AH687" s="26"/>
      <c r="AI687" s="30"/>
      <c r="AJ687" s="31"/>
      <c r="AK687" s="31"/>
      <c r="AL687" s="31"/>
      <c r="AM687" s="31"/>
      <c r="AN687" s="31"/>
      <c r="AO687" s="31" t="n">
        <v>99012</v>
      </c>
      <c r="AP687" s="31" t="n">
        <v>99196</v>
      </c>
      <c r="AQ687" s="31" t="n">
        <v>13524</v>
      </c>
      <c r="AR687" s="31" t="n">
        <v>13524</v>
      </c>
      <c r="AS687" s="31" t="n">
        <v>1</v>
      </c>
      <c r="AT687" s="31" t="n">
        <v>1</v>
      </c>
      <c r="AU687" s="31" t="n">
        <f aca="false">IF($G687="",AJ687,L687)</f>
        <v>0</v>
      </c>
      <c r="AV687" s="31" t="n">
        <f aca="false">IF($G687="",AK687,M687)</f>
        <v>0</v>
      </c>
      <c r="AW687" s="31" t="n">
        <f aca="false">IF($G687="",AL687,N687)</f>
        <v>0</v>
      </c>
      <c r="AX687" s="31" t="n">
        <f aca="false">IF($G687="",AM687,O687)</f>
        <v>0</v>
      </c>
      <c r="AY687" s="31" t="n">
        <f aca="false">IF($G687="",AN687,P687)</f>
        <v>0</v>
      </c>
      <c r="AZ687" s="31" t="n">
        <f aca="false">IF($G687="",AO687,Q687)</f>
        <v>99012</v>
      </c>
      <c r="BA687" s="31" t="n">
        <f aca="false">IF($G687="",AP687,R687)</f>
        <v>99196</v>
      </c>
      <c r="BB687" s="31" t="n">
        <f aca="false">IF($G687="",AQ687,S687)</f>
        <v>13524</v>
      </c>
      <c r="BC687" s="31" t="n">
        <f aca="false">IF($G687="",AR687,T687)</f>
        <v>13524</v>
      </c>
      <c r="BD687" s="31" t="n">
        <f aca="false">IF($G687="",AS687,U687)</f>
        <v>1</v>
      </c>
      <c r="BE687" s="31" t="n">
        <f aca="false">IF($G687="",AT687,V687)</f>
        <v>1</v>
      </c>
      <c r="BF687" s="31" t="n">
        <f aca="false">ROUNDDOWN(I687*設定!$B$10/1000,0)+ROUNDDOWN(I687*設定!$B$11/1000,0)</f>
        <v>0</v>
      </c>
      <c r="BG687" s="31" t="n">
        <f aca="false">ROUNDDOWN(I687*設定!$C$10/1000,0)+ROUNDDOWN(I687*設定!$C$11/1000,0)+ROUNDDOWN(I687*設定!$C$12/1000,0)</f>
        <v>0</v>
      </c>
      <c r="BH687" s="31" t="n">
        <f aca="false">ROUNDDOWN(J687*設定!$B$13/1000,0)</f>
        <v>0</v>
      </c>
      <c r="BI687" s="31" t="n">
        <f aca="false">ROUNDDOWN(J687*設定!$C$13/1000,0)</f>
        <v>0</v>
      </c>
      <c r="BJ687" s="31" t="n">
        <f aca="false">ROUNDDOWN(K687*設定!$B$14/1000,0)</f>
        <v>0</v>
      </c>
      <c r="BK687" s="31" t="n">
        <f aca="false">ROUNDDOWN(K687*設定!$C$14/1000,0)</f>
        <v>0</v>
      </c>
      <c r="BL687" s="31" t="n">
        <f aca="false">ROUNDDOWN(J687*設定!$B$15/1000,0)</f>
        <v>0</v>
      </c>
      <c r="BM687" s="31" t="n">
        <f aca="false">ROUNDDOWN(J687*設定!$C$15/1000,0)</f>
        <v>0</v>
      </c>
      <c r="BN687" s="31" t="n">
        <f aca="false">L687+M687</f>
        <v>0</v>
      </c>
      <c r="BO687" s="31" t="n">
        <f aca="false">N687+O687+P687</f>
        <v>0</v>
      </c>
      <c r="BP687" s="31" t="n">
        <f aca="false">Q687</f>
        <v>0</v>
      </c>
      <c r="BQ687" s="31" t="n">
        <f aca="false">R687</f>
        <v>0</v>
      </c>
      <c r="BR687" s="31" t="n">
        <f aca="false">S687</f>
        <v>0</v>
      </c>
      <c r="BS687" s="31" t="n">
        <f aca="false">T687</f>
        <v>0</v>
      </c>
      <c r="BT687" s="31" t="n">
        <f aca="false">U687</f>
        <v>0</v>
      </c>
      <c r="BU687" s="31" t="n">
        <f aca="false">V687</f>
        <v>0</v>
      </c>
      <c r="BV687" s="32" t="n">
        <f aca="false">IF(BF687=0,IF(BN687=0,0,1),(BN687-BF687)/BF687)</f>
        <v>0</v>
      </c>
      <c r="BW687" s="32" t="n">
        <f aca="false">IF(BG687=0,IF(BO687=0,0,1),(BO687-BG687)/BG687)</f>
        <v>0</v>
      </c>
      <c r="BX687" s="32" t="n">
        <f aca="false">IF(BH687=0,IF(BP687=0,0,1),(BP687-BH687)/BH687)</f>
        <v>0</v>
      </c>
      <c r="BY687" s="32" t="n">
        <f aca="false">IF(BI687=0,IF(BQ687=0,0,1),(BQ687-BI687)/BI687)</f>
        <v>0</v>
      </c>
      <c r="BZ687" s="32" t="n">
        <f aca="false">IF(BJ687=0,IF(BR687=0,0,1),(BR687-BJ687)/BJ687)</f>
        <v>0</v>
      </c>
      <c r="CA687" s="32" t="n">
        <f aca="false">IF(BK687=0,IF(BS687=0,0,1),(BS687-BK687)/BK687)</f>
        <v>0</v>
      </c>
      <c r="CB687" s="32" t="n">
        <f aca="false">IF(BL687=0,IF(BT687=0,0,1),(BT687-BL687)/BL687)</f>
        <v>0</v>
      </c>
      <c r="CC687" s="32" t="n">
        <f aca="false">IF(BM687=0,IF(BU687=0,0,1),(BU687-BM687)/BM687)</f>
        <v>0</v>
      </c>
      <c r="CD687" s="32" t="n">
        <f aca="false">MAX(MAX(BV687:CC687),-MIN(BV687:CC687))</f>
        <v>-0</v>
      </c>
      <c r="CE687" s="31" t="n">
        <f aca="false">IF(CI687="","",SUMIFS($CF$7:$CF$696,$A$7:$A$696,CI687,$B$7:$B$696,B687))</f>
        <v>241422</v>
      </c>
      <c r="CF687" s="31" t="n">
        <f aca="false">SUM(AU687:BE687)</f>
        <v>225258</v>
      </c>
      <c r="CG687" s="33" t="str">
        <f aca="false">A687&amp;"|"&amp;B687</f>
        <v>2027-03 月例|職員共済組合</v>
      </c>
      <c r="CH687" s="34" t="str">
        <f aca="false">IFERROR(INDEX(設定!$D$61:$D$106,MATCH(B687,設定!$B$61:$B$106,0)),"Y")</f>
        <v>Y</v>
      </c>
      <c r="CI687" s="34" t="str">
        <f aca="false">IFERROR(INDEX(設定!$D$20:$D$34,MATCH(A687,設定!$A$20:$A$34,0))&amp;"","")</f>
        <v>2027-02 月例</v>
      </c>
    </row>
    <row r="688" customFormat="false" ht="26.85" hidden="true" customHeight="false" outlineLevel="0" collapsed="false">
      <c r="A688" s="22" t="s">
        <v>222</v>
      </c>
      <c r="B688" s="35" t="s">
        <v>216</v>
      </c>
      <c r="C688" s="10" t="str">
        <f aca="false">IF(G688="","未受領",IF(G688="なし","報告なし",IF(AH688="○","起票済",IF(OR(AG688="○",F688="一致",F688="入金不要"),"入金確認済","受領済"))))</f>
        <v>報告なし</v>
      </c>
      <c r="D688" s="10" t="str">
        <f aca="false">IF(OR(G688="",G688="なし"),"―",IF(CH688="N","対象外",IF(AND(I688="",J688="",K688=""),"標報未入力",IF(CD688&gt;=設定!$B$4,"要確認","問題なし"))))</f>
        <v>―</v>
      </c>
      <c r="E688" s="24" t="str">
        <f aca="false">IF(OR(G688="",G688="なし",CE688="",CF688=0),"―",IF(CF688=CE688,"前月同額",IF(CE688=0,"―",IF(ABS(CF688/CE688-1)&gt;=設定!$B$5,"変動大 "&amp;TEXT(CF688/CE688-1,"+0%;-0%"),"〇"))))</f>
        <v>―</v>
      </c>
      <c r="F688" s="10" t="str">
        <f aca="false">IF(OR(G688="",G688="なし"),"―",IF(CF688=0,"入金不要",IF(COUNT(Z688,AB688,AD688,AF688)=0,IF(AG688="○","手動確認","未入金"),IF(AND(N(Z688)=Y688,IF(AA688="",TRUE(),N(AB688)=AA688),IF(AC688="",TRUE(),N(AD688)=AC688),IF(AE688="",TRUE(),N(AF688)=AE688)),"一致","不一致"))))</f>
        <v>―</v>
      </c>
      <c r="G688" s="25" t="s">
        <v>173</v>
      </c>
      <c r="H688" s="26"/>
      <c r="I688" s="27"/>
      <c r="J688" s="27"/>
      <c r="K688" s="27"/>
      <c r="L688" s="27"/>
      <c r="M688" s="27"/>
      <c r="N688" s="27"/>
      <c r="O688" s="27"/>
      <c r="P688" s="27"/>
      <c r="Q688" s="27"/>
      <c r="R688" s="27"/>
      <c r="S688" s="27"/>
      <c r="T688" s="27"/>
      <c r="U688" s="27"/>
      <c r="V688" s="27"/>
      <c r="W688" s="10" t="str">
        <f aca="false">IFERROR(INDEX(設定!$E$61:$E$106,MATCH(B688,設定!$B$61:$B$106,0)),"合算")</f>
        <v>合算</v>
      </c>
      <c r="X688" s="28"/>
      <c r="Y688" s="29" t="str">
        <f aca="false">IF(OR(G688="",G688="なし"),"",IF(W688="合算",CF688,IF(W688="掛金・負担金別",(AU688+AV688+AZ688+BB688+BD688),SUM(AU688:AY688))))</f>
        <v/>
      </c>
      <c r="Z688" s="27"/>
      <c r="AA688" s="29" t="str">
        <f aca="false">IF(OR(G688="",G688="なし"),"",IF(W688="掛金・負担金別",(AW688+AX688+AY688+BA688+BC688+BE688),IF(W688="経理区分別",AZ688+BA688,"")))</f>
        <v/>
      </c>
      <c r="AB688" s="27"/>
      <c r="AC688" s="29" t="str">
        <f aca="false">IF(OR(G688="",G688="なし"),"",IF(W688="経理区分別",BB688+BC688,""))</f>
        <v/>
      </c>
      <c r="AD688" s="27"/>
      <c r="AE688" s="29" t="str">
        <f aca="false">IF(OR(G688="",G688="なし"),"",IF(W688="経理区分別",BD688+BE688,""))</f>
        <v/>
      </c>
      <c r="AF688" s="27"/>
      <c r="AG688" s="26"/>
      <c r="AH688" s="26"/>
      <c r="AI688" s="30"/>
      <c r="AJ688" s="31"/>
      <c r="AK688" s="31"/>
      <c r="AL688" s="31"/>
      <c r="AM688" s="31"/>
      <c r="AN688" s="31"/>
      <c r="AO688" s="31"/>
      <c r="AP688" s="31"/>
      <c r="AQ688" s="31"/>
      <c r="AR688" s="31"/>
      <c r="AS688" s="31"/>
      <c r="AT688" s="31"/>
      <c r="AU688" s="31" t="n">
        <f aca="false">IF($G688="",AJ688,L688)</f>
        <v>0</v>
      </c>
      <c r="AV688" s="31" t="n">
        <f aca="false">IF($G688="",AK688,M688)</f>
        <v>0</v>
      </c>
      <c r="AW688" s="31" t="n">
        <f aca="false">IF($G688="",AL688,N688)</f>
        <v>0</v>
      </c>
      <c r="AX688" s="31" t="n">
        <f aca="false">IF($G688="",AM688,O688)</f>
        <v>0</v>
      </c>
      <c r="AY688" s="31" t="n">
        <f aca="false">IF($G688="",AN688,P688)</f>
        <v>0</v>
      </c>
      <c r="AZ688" s="31" t="n">
        <f aca="false">IF($G688="",AO688,Q688)</f>
        <v>0</v>
      </c>
      <c r="BA688" s="31" t="n">
        <f aca="false">IF($G688="",AP688,R688)</f>
        <v>0</v>
      </c>
      <c r="BB688" s="31" t="n">
        <f aca="false">IF($G688="",AQ688,S688)</f>
        <v>0</v>
      </c>
      <c r="BC688" s="31" t="n">
        <f aca="false">IF($G688="",AR688,T688)</f>
        <v>0</v>
      </c>
      <c r="BD688" s="31" t="n">
        <f aca="false">IF($G688="",AS688,U688)</f>
        <v>0</v>
      </c>
      <c r="BE688" s="31" t="n">
        <f aca="false">IF($G688="",AT688,V688)</f>
        <v>0</v>
      </c>
      <c r="BF688" s="31" t="n">
        <f aca="false">ROUNDDOWN(I688*設定!$B$10/1000,0)+ROUNDDOWN(I688*設定!$B$11/1000,0)</f>
        <v>0</v>
      </c>
      <c r="BG688" s="31" t="n">
        <f aca="false">ROUNDDOWN(I688*設定!$C$10/1000,0)+ROUNDDOWN(I688*設定!$C$11/1000,0)+ROUNDDOWN(I688*設定!$C$12/1000,0)</f>
        <v>0</v>
      </c>
      <c r="BH688" s="31" t="n">
        <f aca="false">ROUNDDOWN(J688*設定!$B$13/1000,0)</f>
        <v>0</v>
      </c>
      <c r="BI688" s="31" t="n">
        <f aca="false">ROUNDDOWN(J688*設定!$C$13/1000,0)</f>
        <v>0</v>
      </c>
      <c r="BJ688" s="31" t="n">
        <f aca="false">ROUNDDOWN(K688*設定!$B$14/1000,0)</f>
        <v>0</v>
      </c>
      <c r="BK688" s="31" t="n">
        <f aca="false">ROUNDDOWN(K688*設定!$C$14/1000,0)</f>
        <v>0</v>
      </c>
      <c r="BL688" s="31" t="n">
        <f aca="false">ROUNDDOWN(J688*設定!$B$15/1000,0)</f>
        <v>0</v>
      </c>
      <c r="BM688" s="31" t="n">
        <f aca="false">ROUNDDOWN(J688*設定!$C$15/1000,0)</f>
        <v>0</v>
      </c>
      <c r="BN688" s="31" t="n">
        <f aca="false">L688+M688</f>
        <v>0</v>
      </c>
      <c r="BO688" s="31" t="n">
        <f aca="false">N688+O688+P688</f>
        <v>0</v>
      </c>
      <c r="BP688" s="31" t="n">
        <f aca="false">Q688</f>
        <v>0</v>
      </c>
      <c r="BQ688" s="31" t="n">
        <f aca="false">R688</f>
        <v>0</v>
      </c>
      <c r="BR688" s="31" t="n">
        <f aca="false">S688</f>
        <v>0</v>
      </c>
      <c r="BS688" s="31" t="n">
        <f aca="false">T688</f>
        <v>0</v>
      </c>
      <c r="BT688" s="31" t="n">
        <f aca="false">U688</f>
        <v>0</v>
      </c>
      <c r="BU688" s="31" t="n">
        <f aca="false">V688</f>
        <v>0</v>
      </c>
      <c r="BV688" s="32" t="n">
        <f aca="false">IF(BF688=0,IF(BN688=0,0,1),(BN688-BF688)/BF688)</f>
        <v>0</v>
      </c>
      <c r="BW688" s="32" t="n">
        <f aca="false">IF(BG688=0,IF(BO688=0,0,1),(BO688-BG688)/BG688)</f>
        <v>0</v>
      </c>
      <c r="BX688" s="32" t="n">
        <f aca="false">IF(BH688=0,IF(BP688=0,0,1),(BP688-BH688)/BH688)</f>
        <v>0</v>
      </c>
      <c r="BY688" s="32" t="n">
        <f aca="false">IF(BI688=0,IF(BQ688=0,0,1),(BQ688-BI688)/BI688)</f>
        <v>0</v>
      </c>
      <c r="BZ688" s="32" t="n">
        <f aca="false">IF(BJ688=0,IF(BR688=0,0,1),(BR688-BJ688)/BJ688)</f>
        <v>0</v>
      </c>
      <c r="CA688" s="32" t="n">
        <f aca="false">IF(BK688=0,IF(BS688=0,0,1),(BS688-BK688)/BK688)</f>
        <v>0</v>
      </c>
      <c r="CB688" s="32" t="n">
        <f aca="false">IF(BL688=0,IF(BT688=0,0,1),(BT688-BL688)/BL688)</f>
        <v>0</v>
      </c>
      <c r="CC688" s="32" t="n">
        <f aca="false">IF(BM688=0,IF(BU688=0,0,1),(BU688-BM688)/BM688)</f>
        <v>0</v>
      </c>
      <c r="CD688" s="32" t="n">
        <f aca="false">MAX(MAX(BV688:CC688),-MIN(BV688:CC688))</f>
        <v>-0</v>
      </c>
      <c r="CE688" s="31" t="n">
        <f aca="false">IF(CI688="","",SUMIFS($CF$7:$CF$696,$A$7:$A$696,CI688,$B$7:$B$696,B688))</f>
        <v>0</v>
      </c>
      <c r="CF688" s="31" t="n">
        <f aca="false">SUM(AU688:BE688)</f>
        <v>0</v>
      </c>
      <c r="CG688" s="36" t="str">
        <f aca="false">A688&amp;"|"&amp;B688</f>
        <v>2027-03 月例|地方公共団体
情報システム機構</v>
      </c>
      <c r="CH688" s="34" t="str">
        <f aca="false">IFERROR(INDEX(設定!$D$61:$D$106,MATCH(B688,設定!$B$61:$B$106,0)),"Y")</f>
        <v>Y</v>
      </c>
      <c r="CI688" s="34" t="str">
        <f aca="false">IFERROR(INDEX(設定!$D$20:$D$34,MATCH(A688,設定!$A$20:$A$34,0))&amp;"","")</f>
        <v>2027-02 月例</v>
      </c>
    </row>
    <row r="689" customFormat="false" ht="15" hidden="true" customHeight="false" outlineLevel="0" collapsed="false">
      <c r="A689" s="22" t="s">
        <v>222</v>
      </c>
      <c r="B689" s="23" t="s">
        <v>199</v>
      </c>
      <c r="C689" s="10" t="str">
        <f aca="false">IF(G689="","未受領",IF(G689="なし","報告なし",IF(AH689="○","起票済",IF(OR(AG689="○",F689="一致",F689="入金不要"),"入金確認済","受領済"))))</f>
        <v>未受領</v>
      </c>
      <c r="D689" s="10" t="str">
        <f aca="false">IF(OR(G689="",G689="なし"),"―",IF(CH689="N","対象外",IF(AND(I689="",J689="",K689=""),"標報未入力",IF(CD689&gt;=設定!$B$4,"要確認","問題なし"))))</f>
        <v>―</v>
      </c>
      <c r="E689" s="24" t="str">
        <f aca="false">IF(OR(G689="",G689="なし",CE689="",CF689=0),"―",IF(CF689=CE689,"前月同額",IF(CE689=0,"―",IF(ABS(CF689/CE689-1)&gt;=設定!$B$5,"変動大 "&amp;TEXT(CF689/CE689-1,"+0%;-0%"),"〇"))))</f>
        <v>―</v>
      </c>
      <c r="F689" s="10" t="str">
        <f aca="false">IF(OR(G689="",G689="なし"),"―",IF(CF689=0,"入金不要",IF(COUNT(Z689,AB689,AD689,AF689)=0,IF(AG689="○","手動確認","未入金"),IF(AND(N(Z689)=Y689,IF(AA689="",TRUE(),N(AB689)=AA689),IF(AC689="",TRUE(),N(AD689)=AC689),IF(AE689="",TRUE(),N(AF689)=AE689)),"一致","不一致"))))</f>
        <v>―</v>
      </c>
      <c r="G689" s="25"/>
      <c r="H689" s="26"/>
      <c r="I689" s="27"/>
      <c r="J689" s="27"/>
      <c r="K689" s="27"/>
      <c r="L689" s="27"/>
      <c r="M689" s="27"/>
      <c r="N689" s="27"/>
      <c r="O689" s="27"/>
      <c r="P689" s="27"/>
      <c r="Q689" s="27"/>
      <c r="R689" s="27"/>
      <c r="S689" s="27"/>
      <c r="T689" s="27"/>
      <c r="U689" s="27"/>
      <c r="V689" s="27"/>
      <c r="W689" s="10" t="str">
        <f aca="false">IFERROR(INDEX(設定!$E$61:$E$106,MATCH(B689,設定!$B$61:$B$106,0)),"合算")</f>
        <v>合算</v>
      </c>
      <c r="X689" s="28"/>
      <c r="Y689" s="29" t="str">
        <f aca="false">IF(OR(G689="",G689="なし"),"",IF(W689="合算",CF689,IF(W689="掛金・負担金別",(AU689+AV689+AZ689+BB689+BD689),SUM(AU689:AY689))))</f>
        <v/>
      </c>
      <c r="Z689" s="27"/>
      <c r="AA689" s="29" t="str">
        <f aca="false">IF(OR(G689="",G689="なし"),"",IF(W689="掛金・負担金別",(AW689+AX689+AY689+BA689+BC689+BE689),IF(W689="経理区分別",AZ689+BA689,"")))</f>
        <v/>
      </c>
      <c r="AB689" s="27"/>
      <c r="AC689" s="29" t="str">
        <f aca="false">IF(OR(G689="",G689="なし"),"",IF(W689="経理区分別",BB689+BC689,""))</f>
        <v/>
      </c>
      <c r="AD689" s="27"/>
      <c r="AE689" s="29" t="str">
        <f aca="false">IF(OR(G689="",G689="なし"),"",IF(W689="経理区分別",BD689+BE689,""))</f>
        <v/>
      </c>
      <c r="AF689" s="27"/>
      <c r="AG689" s="26"/>
      <c r="AH689" s="26"/>
      <c r="AI689" s="30"/>
      <c r="AJ689" s="31" t="n">
        <v>59475</v>
      </c>
      <c r="AK689" s="31" t="n">
        <v>4875</v>
      </c>
      <c r="AL689" s="31" t="n">
        <v>59475</v>
      </c>
      <c r="AM689" s="31" t="n">
        <v>4875</v>
      </c>
      <c r="AN689" s="31" t="n">
        <v>61</v>
      </c>
      <c r="AO689" s="31" t="n">
        <v>41257</v>
      </c>
      <c r="AP689" s="31" t="n">
        <v>41332</v>
      </c>
      <c r="AQ689" s="31" t="n">
        <v>5925</v>
      </c>
      <c r="AR689" s="31" t="n">
        <v>5925</v>
      </c>
      <c r="AS689" s="31" t="n">
        <v>1</v>
      </c>
      <c r="AT689" s="31" t="n">
        <v>1</v>
      </c>
      <c r="AU689" s="31" t="n">
        <f aca="false">IF($G689="",AJ689,L689)</f>
        <v>59475</v>
      </c>
      <c r="AV689" s="31" t="n">
        <f aca="false">IF($G689="",AK689,M689)</f>
        <v>4875</v>
      </c>
      <c r="AW689" s="31" t="n">
        <f aca="false">IF($G689="",AL689,N689)</f>
        <v>59475</v>
      </c>
      <c r="AX689" s="31" t="n">
        <f aca="false">IF($G689="",AM689,O689)</f>
        <v>4875</v>
      </c>
      <c r="AY689" s="31" t="n">
        <f aca="false">IF($G689="",AN689,P689)</f>
        <v>61</v>
      </c>
      <c r="AZ689" s="31" t="n">
        <f aca="false">IF($G689="",AO689,Q689)</f>
        <v>41257</v>
      </c>
      <c r="BA689" s="31" t="n">
        <f aca="false">IF($G689="",AP689,R689)</f>
        <v>41332</v>
      </c>
      <c r="BB689" s="31" t="n">
        <f aca="false">IF($G689="",AQ689,S689)</f>
        <v>5925</v>
      </c>
      <c r="BC689" s="31" t="n">
        <f aca="false">IF($G689="",AR689,T689)</f>
        <v>5925</v>
      </c>
      <c r="BD689" s="31" t="n">
        <f aca="false">IF($G689="",AS689,U689)</f>
        <v>1</v>
      </c>
      <c r="BE689" s="31" t="n">
        <f aca="false">IF($G689="",AT689,V689)</f>
        <v>1</v>
      </c>
      <c r="BF689" s="31" t="n">
        <f aca="false">ROUNDDOWN(I689*設定!$B$10/1000,0)+ROUNDDOWN(I689*設定!$B$11/1000,0)</f>
        <v>0</v>
      </c>
      <c r="BG689" s="31" t="n">
        <f aca="false">ROUNDDOWN(I689*設定!$C$10/1000,0)+ROUNDDOWN(I689*設定!$C$11/1000,0)+ROUNDDOWN(I689*設定!$C$12/1000,0)</f>
        <v>0</v>
      </c>
      <c r="BH689" s="31" t="n">
        <f aca="false">ROUNDDOWN(J689*設定!$B$13/1000,0)</f>
        <v>0</v>
      </c>
      <c r="BI689" s="31" t="n">
        <f aca="false">ROUNDDOWN(J689*設定!$C$13/1000,0)</f>
        <v>0</v>
      </c>
      <c r="BJ689" s="31" t="n">
        <f aca="false">ROUNDDOWN(K689*設定!$B$14/1000,0)</f>
        <v>0</v>
      </c>
      <c r="BK689" s="31" t="n">
        <f aca="false">ROUNDDOWN(K689*設定!$C$14/1000,0)</f>
        <v>0</v>
      </c>
      <c r="BL689" s="31" t="n">
        <f aca="false">ROUNDDOWN(J689*設定!$B$15/1000,0)</f>
        <v>0</v>
      </c>
      <c r="BM689" s="31" t="n">
        <f aca="false">ROUNDDOWN(J689*設定!$C$15/1000,0)</f>
        <v>0</v>
      </c>
      <c r="BN689" s="31" t="n">
        <f aca="false">L689+M689</f>
        <v>0</v>
      </c>
      <c r="BO689" s="31" t="n">
        <f aca="false">N689+O689+P689</f>
        <v>0</v>
      </c>
      <c r="BP689" s="31" t="n">
        <f aca="false">Q689</f>
        <v>0</v>
      </c>
      <c r="BQ689" s="31" t="n">
        <f aca="false">R689</f>
        <v>0</v>
      </c>
      <c r="BR689" s="31" t="n">
        <f aca="false">S689</f>
        <v>0</v>
      </c>
      <c r="BS689" s="31" t="n">
        <f aca="false">T689</f>
        <v>0</v>
      </c>
      <c r="BT689" s="31" t="n">
        <f aca="false">U689</f>
        <v>0</v>
      </c>
      <c r="BU689" s="31" t="n">
        <f aca="false">V689</f>
        <v>0</v>
      </c>
      <c r="BV689" s="32" t="n">
        <f aca="false">IF(BF689=0,IF(BN689=0,0,1),(BN689-BF689)/BF689)</f>
        <v>0</v>
      </c>
      <c r="BW689" s="32" t="n">
        <f aca="false">IF(BG689=0,IF(BO689=0,0,1),(BO689-BG689)/BG689)</f>
        <v>0</v>
      </c>
      <c r="BX689" s="32" t="n">
        <f aca="false">IF(BH689=0,IF(BP689=0,0,1),(BP689-BH689)/BH689)</f>
        <v>0</v>
      </c>
      <c r="BY689" s="32" t="n">
        <f aca="false">IF(BI689=0,IF(BQ689=0,0,1),(BQ689-BI689)/BI689)</f>
        <v>0</v>
      </c>
      <c r="BZ689" s="32" t="n">
        <f aca="false">IF(BJ689=0,IF(BR689=0,0,1),(BR689-BJ689)/BJ689)</f>
        <v>0</v>
      </c>
      <c r="CA689" s="32" t="n">
        <f aca="false">IF(BK689=0,IF(BS689=0,0,1),(BS689-BK689)/BK689)</f>
        <v>0</v>
      </c>
      <c r="CB689" s="32" t="n">
        <f aca="false">IF(BL689=0,IF(BT689=0,0,1),(BT689-BL689)/BL689)</f>
        <v>0</v>
      </c>
      <c r="CC689" s="32" t="n">
        <f aca="false">IF(BM689=0,IF(BU689=0,0,1),(BU689-BM689)/BM689)</f>
        <v>0</v>
      </c>
      <c r="CD689" s="32" t="n">
        <f aca="false">MAX(MAX(BV689:CC689),-MIN(BV689:CC689))</f>
        <v>-0</v>
      </c>
      <c r="CE689" s="31" t="n">
        <f aca="false">IF(CI689="","",SUMIFS($CF$7:$CF$696,$A$7:$A$696,CI689,$B$7:$B$696,B689))</f>
        <v>223202</v>
      </c>
      <c r="CF689" s="31" t="n">
        <f aca="false">SUM(AU689:BE689)</f>
        <v>223202</v>
      </c>
      <c r="CG689" s="33" t="str">
        <f aca="false">A689&amp;"|"&amp;B689</f>
        <v>2027-03 月例|全国市長会</v>
      </c>
      <c r="CH689" s="34" t="str">
        <f aca="false">IFERROR(INDEX(設定!$D$61:$D$106,MATCH(B689,設定!$B$61:$B$106,0)),"Y")</f>
        <v>Y</v>
      </c>
      <c r="CI689" s="34" t="str">
        <f aca="false">IFERROR(INDEX(設定!$D$20:$D$34,MATCH(A689,設定!$A$20:$A$34,0))&amp;"","")</f>
        <v>2027-02 月例</v>
      </c>
    </row>
    <row r="690" customFormat="false" ht="15" hidden="true" customHeight="false" outlineLevel="0" collapsed="false">
      <c r="A690" s="22" t="s">
        <v>222</v>
      </c>
      <c r="B690" s="23" t="s">
        <v>200</v>
      </c>
      <c r="C690" s="10" t="str">
        <f aca="false">IF(G690="","未受領",IF(G690="なし","報告なし",IF(AH690="○","起票済",IF(OR(AG690="○",F690="一致",F690="入金不要"),"入金確認済","受領済"))))</f>
        <v>未受領</v>
      </c>
      <c r="D690" s="10" t="str">
        <f aca="false">IF(OR(G690="",G690="なし"),"―",IF(CH690="N","対象外",IF(AND(I690="",J690="",K690=""),"標報未入力",IF(CD690&gt;=設定!$B$4,"要確認","問題なし"))))</f>
        <v>―</v>
      </c>
      <c r="E690" s="24" t="str">
        <f aca="false">IF(OR(G690="",G690="なし",CE690="",CF690=0),"―",IF(CF690=CE690,"前月同額",IF(CE690=0,"―",IF(ABS(CF690/CE690-1)&gt;=設定!$B$5,"変動大 "&amp;TEXT(CF690/CE690-1,"+0%;-0%"),"〇"))))</f>
        <v>―</v>
      </c>
      <c r="F690" s="10" t="str">
        <f aca="false">IF(OR(G690="",G690="なし"),"―",IF(CF690=0,"入金不要",IF(COUNT(Z690,AB690,AD690,AF690)=0,IF(AG690="○","手動確認","未入金"),IF(AND(N(Z690)=Y690,IF(AA690="",TRUE(),N(AB690)=AA690),IF(AC690="",TRUE(),N(AD690)=AC690),IF(AE690="",TRUE(),N(AF690)=AE690)),"一致","不一致"))))</f>
        <v>―</v>
      </c>
      <c r="G690" s="25"/>
      <c r="H690" s="26"/>
      <c r="I690" s="27"/>
      <c r="J690" s="27"/>
      <c r="K690" s="27"/>
      <c r="L690" s="27"/>
      <c r="M690" s="27"/>
      <c r="N690" s="27"/>
      <c r="O690" s="27"/>
      <c r="P690" s="27"/>
      <c r="Q690" s="27"/>
      <c r="R690" s="27"/>
      <c r="S690" s="27"/>
      <c r="T690" s="27"/>
      <c r="U690" s="27"/>
      <c r="V690" s="27"/>
      <c r="W690" s="10" t="str">
        <f aca="false">IFERROR(INDEX(設定!$E$61:$E$106,MATCH(B690,設定!$B$61:$B$106,0)),"合算")</f>
        <v>合算</v>
      </c>
      <c r="X690" s="28"/>
      <c r="Y690" s="29" t="str">
        <f aca="false">IF(OR(G690="",G690="なし"),"",IF(W690="合算",CF690,IF(W690="掛金・負担金別",(AU690+AV690+AZ690+BB690+BD690),SUM(AU690:AY690))))</f>
        <v/>
      </c>
      <c r="Z690" s="27"/>
      <c r="AA690" s="29" t="str">
        <f aca="false">IF(OR(G690="",G690="なし"),"",IF(W690="掛金・負担金別",(AW690+AX690+AY690+BA690+BC690+BE690),IF(W690="経理区分別",AZ690+BA690,"")))</f>
        <v/>
      </c>
      <c r="AB690" s="27"/>
      <c r="AC690" s="29" t="str">
        <f aca="false">IF(OR(G690="",G690="なし"),"",IF(W690="経理区分別",BB690+BC690,""))</f>
        <v/>
      </c>
      <c r="AD690" s="27"/>
      <c r="AE690" s="29" t="str">
        <f aca="false">IF(OR(G690="",G690="なし"),"",IF(W690="経理区分別",BD690+BE690,""))</f>
        <v/>
      </c>
      <c r="AF690" s="27"/>
      <c r="AG690" s="26"/>
      <c r="AH690" s="26"/>
      <c r="AI690" s="30"/>
      <c r="AJ690" s="31" t="n">
        <v>185745</v>
      </c>
      <c r="AK690" s="31" t="n">
        <v>15225</v>
      </c>
      <c r="AL690" s="31" t="n">
        <v>185745</v>
      </c>
      <c r="AM690" s="31" t="n">
        <v>15225</v>
      </c>
      <c r="AN690" s="31" t="n">
        <v>193</v>
      </c>
      <c r="AO690" s="31" t="n">
        <v>0</v>
      </c>
      <c r="AP690" s="31"/>
      <c r="AQ690" s="31" t="n">
        <v>0</v>
      </c>
      <c r="AR690" s="31"/>
      <c r="AS690" s="31" t="n">
        <v>0</v>
      </c>
      <c r="AT690" s="31"/>
      <c r="AU690" s="31" t="n">
        <f aca="false">IF($G690="",AJ690,L690)</f>
        <v>185745</v>
      </c>
      <c r="AV690" s="31" t="n">
        <f aca="false">IF($G690="",AK690,M690)</f>
        <v>15225</v>
      </c>
      <c r="AW690" s="31" t="n">
        <f aca="false">IF($G690="",AL690,N690)</f>
        <v>185745</v>
      </c>
      <c r="AX690" s="31" t="n">
        <f aca="false">IF($G690="",AM690,O690)</f>
        <v>15225</v>
      </c>
      <c r="AY690" s="31" t="n">
        <f aca="false">IF($G690="",AN690,P690)</f>
        <v>193</v>
      </c>
      <c r="AZ690" s="31" t="n">
        <f aca="false">IF($G690="",AO690,Q690)</f>
        <v>0</v>
      </c>
      <c r="BA690" s="31" t="n">
        <f aca="false">IF($G690="",AP690,R690)</f>
        <v>0</v>
      </c>
      <c r="BB690" s="31" t="n">
        <f aca="false">IF($G690="",AQ690,S690)</f>
        <v>0</v>
      </c>
      <c r="BC690" s="31" t="n">
        <f aca="false">IF($G690="",AR690,T690)</f>
        <v>0</v>
      </c>
      <c r="BD690" s="31" t="n">
        <f aca="false">IF($G690="",AS690,U690)</f>
        <v>0</v>
      </c>
      <c r="BE690" s="31" t="n">
        <f aca="false">IF($G690="",AT690,V690)</f>
        <v>0</v>
      </c>
      <c r="BF690" s="31" t="n">
        <f aca="false">ROUNDDOWN(I690*設定!$B$10/1000,0)+ROUNDDOWN(I690*設定!$B$11/1000,0)</f>
        <v>0</v>
      </c>
      <c r="BG690" s="31" t="n">
        <f aca="false">ROUNDDOWN(I690*設定!$C$10/1000,0)+ROUNDDOWN(I690*設定!$C$11/1000,0)+ROUNDDOWN(I690*設定!$C$12/1000,0)</f>
        <v>0</v>
      </c>
      <c r="BH690" s="31" t="n">
        <f aca="false">ROUNDDOWN(J690*設定!$B$13/1000,0)</f>
        <v>0</v>
      </c>
      <c r="BI690" s="31" t="n">
        <f aca="false">ROUNDDOWN(J690*設定!$C$13/1000,0)</f>
        <v>0</v>
      </c>
      <c r="BJ690" s="31" t="n">
        <f aca="false">ROUNDDOWN(K690*設定!$B$14/1000,0)</f>
        <v>0</v>
      </c>
      <c r="BK690" s="31" t="n">
        <f aca="false">ROUNDDOWN(K690*設定!$C$14/1000,0)</f>
        <v>0</v>
      </c>
      <c r="BL690" s="31" t="n">
        <f aca="false">ROUNDDOWN(J690*設定!$B$15/1000,0)</f>
        <v>0</v>
      </c>
      <c r="BM690" s="31" t="n">
        <f aca="false">ROUNDDOWN(J690*設定!$C$15/1000,0)</f>
        <v>0</v>
      </c>
      <c r="BN690" s="31" t="n">
        <f aca="false">L690+M690</f>
        <v>0</v>
      </c>
      <c r="BO690" s="31" t="n">
        <f aca="false">N690+O690+P690</f>
        <v>0</v>
      </c>
      <c r="BP690" s="31" t="n">
        <f aca="false">Q690</f>
        <v>0</v>
      </c>
      <c r="BQ690" s="31" t="n">
        <f aca="false">R690</f>
        <v>0</v>
      </c>
      <c r="BR690" s="31" t="n">
        <f aca="false">S690</f>
        <v>0</v>
      </c>
      <c r="BS690" s="31" t="n">
        <f aca="false">T690</f>
        <v>0</v>
      </c>
      <c r="BT690" s="31" t="n">
        <f aca="false">U690</f>
        <v>0</v>
      </c>
      <c r="BU690" s="31" t="n">
        <f aca="false">V690</f>
        <v>0</v>
      </c>
      <c r="BV690" s="32" t="n">
        <f aca="false">IF(BF690=0,IF(BN690=0,0,1),(BN690-BF690)/BF690)</f>
        <v>0</v>
      </c>
      <c r="BW690" s="32" t="n">
        <f aca="false">IF(BG690=0,IF(BO690=0,0,1),(BO690-BG690)/BG690)</f>
        <v>0</v>
      </c>
      <c r="BX690" s="32" t="n">
        <f aca="false">IF(BH690=0,IF(BP690=0,0,1),(BP690-BH690)/BH690)</f>
        <v>0</v>
      </c>
      <c r="BY690" s="32" t="n">
        <f aca="false">IF(BI690=0,IF(BQ690=0,0,1),(BQ690-BI690)/BI690)</f>
        <v>0</v>
      </c>
      <c r="BZ690" s="32" t="n">
        <f aca="false">IF(BJ690=0,IF(BR690=0,0,1),(BR690-BJ690)/BJ690)</f>
        <v>0</v>
      </c>
      <c r="CA690" s="32" t="n">
        <f aca="false">IF(BK690=0,IF(BS690=0,0,1),(BS690-BK690)/BK690)</f>
        <v>0</v>
      </c>
      <c r="CB690" s="32" t="n">
        <f aca="false">IF(BL690=0,IF(BT690=0,0,1),(BT690-BL690)/BL690)</f>
        <v>0</v>
      </c>
      <c r="CC690" s="32" t="n">
        <f aca="false">IF(BM690=0,IF(BU690=0,0,1),(BU690-BM690)/BM690)</f>
        <v>0</v>
      </c>
      <c r="CD690" s="32" t="n">
        <f aca="false">MAX(MAX(BV690:CC690),-MIN(BV690:CC690))</f>
        <v>-0</v>
      </c>
      <c r="CE690" s="31" t="n">
        <f aca="false">IF(CI690="","",SUMIFS($CF$7:$CF$696,$A$7:$A$696,CI690,$B$7:$B$696,B690))</f>
        <v>314969</v>
      </c>
      <c r="CF690" s="31" t="n">
        <f aca="false">SUM(AU690:BE690)</f>
        <v>402133</v>
      </c>
      <c r="CG690" s="33" t="str">
        <f aca="false">A690&amp;"|"&amp;B690</f>
        <v>2027-03 月例|高速交通（株）</v>
      </c>
      <c r="CH690" s="34" t="str">
        <f aca="false">IFERROR(INDEX(設定!$D$61:$D$106,MATCH(B690,設定!$B$61:$B$106,0)),"Y")</f>
        <v>Y</v>
      </c>
      <c r="CI690" s="34" t="str">
        <f aca="false">IFERROR(INDEX(設定!$D$20:$D$34,MATCH(A690,設定!$A$20:$A$34,0))&amp;"","")</f>
        <v>2027-02 月例</v>
      </c>
    </row>
    <row r="691" customFormat="false" ht="15" hidden="true" customHeight="false" outlineLevel="0" collapsed="false">
      <c r="A691" s="22" t="s">
        <v>222</v>
      </c>
      <c r="B691" s="23" t="s">
        <v>201</v>
      </c>
      <c r="C691" s="10" t="str">
        <f aca="false">IF(G691="","未受領",IF(G691="なし","報告なし",IF(AH691="○","起票済",IF(OR(AG691="○",F691="一致",F691="入金不要"),"入金確認済","受領済"))))</f>
        <v>未受領</v>
      </c>
      <c r="D691" s="10" t="str">
        <f aca="false">IF(OR(G691="",G691="なし"),"―",IF(CH691="N","対象外",IF(AND(I691="",J691="",K691=""),"標報未入力",IF(CD691&gt;=設定!$B$4,"要確認","問題なし"))))</f>
        <v>―</v>
      </c>
      <c r="E691" s="24" t="str">
        <f aca="false">IF(OR(G691="",G691="なし",CE691="",CF691=0),"―",IF(CF691=CE691,"前月同額",IF(CE691=0,"―",IF(ABS(CF691/CE691-1)&gt;=設定!$B$5,"変動大 "&amp;TEXT(CF691/CE691-1,"+0%;-0%"),"〇"))))</f>
        <v>―</v>
      </c>
      <c r="F691" s="10" t="str">
        <f aca="false">IF(OR(G691="",G691="なし"),"―",IF(CF691=0,"入金不要",IF(COUNT(Z691,AB691,AD691,AF691)=0,IF(AG691="○","手動確認","未入金"),IF(AND(N(Z691)=Y691,IF(AA691="",TRUE(),N(AB691)=AA691),IF(AC691="",TRUE(),N(AD691)=AC691),IF(AE691="",TRUE(),N(AF691)=AE691)),"一致","不一致"))))</f>
        <v>―</v>
      </c>
      <c r="G691" s="25"/>
      <c r="H691" s="26"/>
      <c r="I691" s="27"/>
      <c r="J691" s="27"/>
      <c r="K691" s="27"/>
      <c r="L691" s="27"/>
      <c r="M691" s="27"/>
      <c r="N691" s="27"/>
      <c r="O691" s="27"/>
      <c r="P691" s="27"/>
      <c r="Q691" s="27"/>
      <c r="R691" s="27"/>
      <c r="S691" s="27"/>
      <c r="T691" s="27"/>
      <c r="U691" s="27"/>
      <c r="V691" s="27"/>
      <c r="W691" s="10" t="str">
        <f aca="false">IFERROR(INDEX(設定!$E$61:$E$106,MATCH(B691,設定!$B$61:$B$106,0)),"合算")</f>
        <v>合算</v>
      </c>
      <c r="X691" s="28"/>
      <c r="Y691" s="29" t="str">
        <f aca="false">IF(OR(G691="",G691="なし"),"",IF(W691="合算",CF691,IF(W691="掛金・負担金別",(AU691+AV691+AZ691+BB691+BD691),SUM(AU691:AY691))))</f>
        <v/>
      </c>
      <c r="Z691" s="27"/>
      <c r="AA691" s="29" t="str">
        <f aca="false">IF(OR(G691="",G691="なし"),"",IF(W691="掛金・負担金別",(AW691+AX691+AY691+BA691+BC691+BE691),IF(W691="経理区分別",AZ691+BA691,"")))</f>
        <v/>
      </c>
      <c r="AB691" s="27"/>
      <c r="AC691" s="29" t="str">
        <f aca="false">IF(OR(G691="",G691="なし"),"",IF(W691="経理区分別",BB691+BC691,""))</f>
        <v/>
      </c>
      <c r="AD691" s="27"/>
      <c r="AE691" s="29" t="str">
        <f aca="false">IF(OR(G691="",G691="なし"),"",IF(W691="経理区分別",BD691+BE691,""))</f>
        <v/>
      </c>
      <c r="AF691" s="27"/>
      <c r="AG691" s="26"/>
      <c r="AH691" s="26"/>
      <c r="AI691" s="30"/>
      <c r="AJ691" s="31" t="n">
        <v>53985</v>
      </c>
      <c r="AK691" s="31" t="n">
        <v>4425</v>
      </c>
      <c r="AL691" s="31" t="n">
        <v>53985</v>
      </c>
      <c r="AM691" s="31" t="n">
        <v>4425</v>
      </c>
      <c r="AN691" s="31" t="n">
        <v>55</v>
      </c>
      <c r="AO691" s="31"/>
      <c r="AP691" s="31"/>
      <c r="AQ691" s="31"/>
      <c r="AR691" s="31"/>
      <c r="AS691" s="31"/>
      <c r="AT691" s="31"/>
      <c r="AU691" s="31" t="n">
        <f aca="false">IF($G691="",AJ691,L691)</f>
        <v>53985</v>
      </c>
      <c r="AV691" s="31" t="n">
        <f aca="false">IF($G691="",AK691,M691)</f>
        <v>4425</v>
      </c>
      <c r="AW691" s="31" t="n">
        <f aca="false">IF($G691="",AL691,N691)</f>
        <v>53985</v>
      </c>
      <c r="AX691" s="31" t="n">
        <f aca="false">IF($G691="",AM691,O691)</f>
        <v>4425</v>
      </c>
      <c r="AY691" s="31" t="n">
        <f aca="false">IF($G691="",AN691,P691)</f>
        <v>55</v>
      </c>
      <c r="AZ691" s="31" t="n">
        <f aca="false">IF($G691="",AO691,Q691)</f>
        <v>0</v>
      </c>
      <c r="BA691" s="31" t="n">
        <f aca="false">IF($G691="",AP691,R691)</f>
        <v>0</v>
      </c>
      <c r="BB691" s="31" t="n">
        <f aca="false">IF($G691="",AQ691,S691)</f>
        <v>0</v>
      </c>
      <c r="BC691" s="31" t="n">
        <f aca="false">IF($G691="",AR691,T691)</f>
        <v>0</v>
      </c>
      <c r="BD691" s="31" t="n">
        <f aca="false">IF($G691="",AS691,U691)</f>
        <v>0</v>
      </c>
      <c r="BE691" s="31" t="n">
        <f aca="false">IF($G691="",AT691,V691)</f>
        <v>0</v>
      </c>
      <c r="BF691" s="31" t="n">
        <f aca="false">ROUNDDOWN(I691*設定!$B$10/1000,0)+ROUNDDOWN(I691*設定!$B$11/1000,0)</f>
        <v>0</v>
      </c>
      <c r="BG691" s="31" t="n">
        <f aca="false">ROUNDDOWN(I691*設定!$C$10/1000,0)+ROUNDDOWN(I691*設定!$C$11/1000,0)+ROUNDDOWN(I691*設定!$C$12/1000,0)</f>
        <v>0</v>
      </c>
      <c r="BH691" s="31" t="n">
        <f aca="false">ROUNDDOWN(J691*設定!$B$13/1000,0)</f>
        <v>0</v>
      </c>
      <c r="BI691" s="31" t="n">
        <f aca="false">ROUNDDOWN(J691*設定!$C$13/1000,0)</f>
        <v>0</v>
      </c>
      <c r="BJ691" s="31" t="n">
        <f aca="false">ROUNDDOWN(K691*設定!$B$14/1000,0)</f>
        <v>0</v>
      </c>
      <c r="BK691" s="31" t="n">
        <f aca="false">ROUNDDOWN(K691*設定!$C$14/1000,0)</f>
        <v>0</v>
      </c>
      <c r="BL691" s="31" t="n">
        <f aca="false">ROUNDDOWN(J691*設定!$B$15/1000,0)</f>
        <v>0</v>
      </c>
      <c r="BM691" s="31" t="n">
        <f aca="false">ROUNDDOWN(J691*設定!$C$15/1000,0)</f>
        <v>0</v>
      </c>
      <c r="BN691" s="31" t="n">
        <f aca="false">L691+M691</f>
        <v>0</v>
      </c>
      <c r="BO691" s="31" t="n">
        <f aca="false">N691+O691+P691</f>
        <v>0</v>
      </c>
      <c r="BP691" s="31" t="n">
        <f aca="false">Q691</f>
        <v>0</v>
      </c>
      <c r="BQ691" s="31" t="n">
        <f aca="false">R691</f>
        <v>0</v>
      </c>
      <c r="BR691" s="31" t="n">
        <f aca="false">S691</f>
        <v>0</v>
      </c>
      <c r="BS691" s="31" t="n">
        <f aca="false">T691</f>
        <v>0</v>
      </c>
      <c r="BT691" s="31" t="n">
        <f aca="false">U691</f>
        <v>0</v>
      </c>
      <c r="BU691" s="31" t="n">
        <f aca="false">V691</f>
        <v>0</v>
      </c>
      <c r="BV691" s="32" t="n">
        <f aca="false">IF(BF691=0,IF(BN691=0,0,1),(BN691-BF691)/BF691)</f>
        <v>0</v>
      </c>
      <c r="BW691" s="32" t="n">
        <f aca="false">IF(BG691=0,IF(BO691=0,0,1),(BO691-BG691)/BG691)</f>
        <v>0</v>
      </c>
      <c r="BX691" s="32" t="n">
        <f aca="false">IF(BH691=0,IF(BP691=0,0,1),(BP691-BH691)/BH691)</f>
        <v>0</v>
      </c>
      <c r="BY691" s="32" t="n">
        <f aca="false">IF(BI691=0,IF(BQ691=0,0,1),(BQ691-BI691)/BI691)</f>
        <v>0</v>
      </c>
      <c r="BZ691" s="32" t="n">
        <f aca="false">IF(BJ691=0,IF(BR691=0,0,1),(BR691-BJ691)/BJ691)</f>
        <v>0</v>
      </c>
      <c r="CA691" s="32" t="n">
        <f aca="false">IF(BK691=0,IF(BS691=0,0,1),(BS691-BK691)/BK691)</f>
        <v>0</v>
      </c>
      <c r="CB691" s="32" t="n">
        <f aca="false">IF(BL691=0,IF(BT691=0,0,1),(BT691-BL691)/BL691)</f>
        <v>0</v>
      </c>
      <c r="CC691" s="32" t="n">
        <f aca="false">IF(BM691=0,IF(BU691=0,0,1),(BU691-BM691)/BM691)</f>
        <v>0</v>
      </c>
      <c r="CD691" s="32" t="n">
        <f aca="false">MAX(MAX(BV691:CC691),-MIN(BV691:CC691))</f>
        <v>-0</v>
      </c>
      <c r="CE691" s="31" t="n">
        <f aca="false">IF(CI691="","",SUMIFS($CF$7:$CF$696,$A$7:$A$696,CI691,$B$7:$B$696,B691))</f>
        <v>116875</v>
      </c>
      <c r="CF691" s="31" t="n">
        <f aca="false">SUM(AU691:BE691)</f>
        <v>116875</v>
      </c>
      <c r="CG691" s="33" t="str">
        <f aca="false">A691&amp;"|"&amp;B691</f>
        <v>2027-03 月例|広島駅南口開発（株）</v>
      </c>
      <c r="CH691" s="34" t="str">
        <f aca="false">IFERROR(INDEX(設定!$D$61:$D$106,MATCH(B691,設定!$B$61:$B$106,0)),"Y")</f>
        <v>Y</v>
      </c>
      <c r="CI691" s="34" t="str">
        <f aca="false">IFERROR(INDEX(設定!$D$20:$D$34,MATCH(A691,設定!$A$20:$A$34,0))&amp;"","")</f>
        <v>2027-02 月例</v>
      </c>
    </row>
    <row r="692" customFormat="false" ht="15" hidden="true" customHeight="false" outlineLevel="0" collapsed="false">
      <c r="A692" s="22" t="s">
        <v>222</v>
      </c>
      <c r="B692" s="23" t="s">
        <v>202</v>
      </c>
      <c r="C692" s="10" t="str">
        <f aca="false">IF(G692="","未受領",IF(G692="なし","報告なし",IF(AH692="○","起票済",IF(OR(AG692="○",F692="一致",F692="入金不要"),"入金確認済","受領済"))))</f>
        <v>未受領</v>
      </c>
      <c r="D692" s="10" t="str">
        <f aca="false">IF(OR(G692="",G692="なし"),"―",IF(CH692="N","対象外",IF(AND(I692="",J692="",K692=""),"標報未入力",IF(CD692&gt;=設定!$B$4,"要確認","問題なし"))))</f>
        <v>―</v>
      </c>
      <c r="E692" s="24" t="str">
        <f aca="false">IF(OR(G692="",G692="なし",CE692="",CF692=0),"―",IF(CF692=CE692,"前月同額",IF(CE692=0,"―",IF(ABS(CF692/CE692-1)&gt;=設定!$B$5,"変動大 "&amp;TEXT(CF692/CE692-1,"+0%;-0%"),"〇"))))</f>
        <v>―</v>
      </c>
      <c r="F692" s="10" t="str">
        <f aca="false">IF(OR(G692="",G692="なし"),"―",IF(CF692=0,"入金不要",IF(COUNT(Z692,AB692,AD692,AF692)=0,IF(AG692="○","手動確認","未入金"),IF(AND(N(Z692)=Y692,IF(AA692="",TRUE(),N(AB692)=AA692),IF(AC692="",TRUE(),N(AD692)=AC692),IF(AE692="",TRUE(),N(AF692)=AE692)),"一致","不一致"))))</f>
        <v>―</v>
      </c>
      <c r="G692" s="25"/>
      <c r="H692" s="26"/>
      <c r="I692" s="27"/>
      <c r="J692" s="27"/>
      <c r="K692" s="27"/>
      <c r="L692" s="27"/>
      <c r="M692" s="27"/>
      <c r="N692" s="27"/>
      <c r="O692" s="27"/>
      <c r="P692" s="27"/>
      <c r="Q692" s="27"/>
      <c r="R692" s="27"/>
      <c r="S692" s="27"/>
      <c r="T692" s="27"/>
      <c r="U692" s="27"/>
      <c r="V692" s="27"/>
      <c r="W692" s="10" t="str">
        <f aca="false">IFERROR(INDEX(設定!$E$61:$E$106,MATCH(B692,設定!$B$61:$B$106,0)),"合算")</f>
        <v>合算</v>
      </c>
      <c r="X692" s="28"/>
      <c r="Y692" s="29" t="str">
        <f aca="false">IF(OR(G692="",G692="なし"),"",IF(W692="合算",CF692,IF(W692="掛金・負担金別",(AU692+AV692+AZ692+BB692+BD692),SUM(AU692:AY692))))</f>
        <v/>
      </c>
      <c r="Z692" s="27"/>
      <c r="AA692" s="29" t="str">
        <f aca="false">IF(OR(G692="",G692="なし"),"",IF(W692="掛金・負担金別",(AW692+AX692+AY692+BA692+BC692+BE692),IF(W692="経理区分別",AZ692+BA692,"")))</f>
        <v/>
      </c>
      <c r="AB692" s="27"/>
      <c r="AC692" s="29" t="str">
        <f aca="false">IF(OR(G692="",G692="なし"),"",IF(W692="経理区分別",BB692+BC692,""))</f>
        <v/>
      </c>
      <c r="AD692" s="27"/>
      <c r="AE692" s="29" t="str">
        <f aca="false">IF(OR(G692="",G692="なし"),"",IF(W692="経理区分別",BD692+BE692,""))</f>
        <v/>
      </c>
      <c r="AF692" s="27"/>
      <c r="AG692" s="26"/>
      <c r="AH692" s="26"/>
      <c r="AI692" s="30"/>
      <c r="AJ692" s="31" t="n">
        <v>29280</v>
      </c>
      <c r="AK692" s="31" t="n">
        <v>2400</v>
      </c>
      <c r="AL692" s="31" t="n">
        <v>29280</v>
      </c>
      <c r="AM692" s="31" t="n">
        <v>2400</v>
      </c>
      <c r="AN692" s="31"/>
      <c r="AO692" s="31" t="n">
        <v>17603</v>
      </c>
      <c r="AP692" s="31" t="n">
        <v>17635</v>
      </c>
      <c r="AQ692" s="31" t="n">
        <v>2528</v>
      </c>
      <c r="AR692" s="31" t="n">
        <v>2528</v>
      </c>
      <c r="AS692" s="31" t="n">
        <v>1</v>
      </c>
      <c r="AT692" s="31" t="n">
        <v>1</v>
      </c>
      <c r="AU692" s="31" t="n">
        <f aca="false">IF($G692="",AJ692,L692)</f>
        <v>29280</v>
      </c>
      <c r="AV692" s="31" t="n">
        <f aca="false">IF($G692="",AK692,M692)</f>
        <v>2400</v>
      </c>
      <c r="AW692" s="31" t="n">
        <f aca="false">IF($G692="",AL692,N692)</f>
        <v>29280</v>
      </c>
      <c r="AX692" s="31" t="n">
        <f aca="false">IF($G692="",AM692,O692)</f>
        <v>2400</v>
      </c>
      <c r="AY692" s="31" t="n">
        <f aca="false">IF($G692="",AN692,P692)</f>
        <v>0</v>
      </c>
      <c r="AZ692" s="31" t="n">
        <f aca="false">IF($G692="",AO692,Q692)</f>
        <v>17603</v>
      </c>
      <c r="BA692" s="31" t="n">
        <f aca="false">IF($G692="",AP692,R692)</f>
        <v>17635</v>
      </c>
      <c r="BB692" s="31" t="n">
        <f aca="false">IF($G692="",AQ692,S692)</f>
        <v>2528</v>
      </c>
      <c r="BC692" s="31" t="n">
        <f aca="false">IF($G692="",AR692,T692)</f>
        <v>2528</v>
      </c>
      <c r="BD692" s="31" t="n">
        <f aca="false">IF($G692="",AS692,U692)</f>
        <v>1</v>
      </c>
      <c r="BE692" s="31" t="n">
        <f aca="false">IF($G692="",AT692,V692)</f>
        <v>1</v>
      </c>
      <c r="BF692" s="31" t="n">
        <f aca="false">ROUNDDOWN(I692*設定!$B$10/1000,0)+ROUNDDOWN(I692*設定!$B$11/1000,0)</f>
        <v>0</v>
      </c>
      <c r="BG692" s="31" t="n">
        <f aca="false">ROUNDDOWN(I692*設定!$C$10/1000,0)+ROUNDDOWN(I692*設定!$C$11/1000,0)+ROUNDDOWN(I692*設定!$C$12/1000,0)</f>
        <v>0</v>
      </c>
      <c r="BH692" s="31" t="n">
        <f aca="false">ROUNDDOWN(J692*設定!$B$13/1000,0)</f>
        <v>0</v>
      </c>
      <c r="BI692" s="31" t="n">
        <f aca="false">ROUNDDOWN(J692*設定!$C$13/1000,0)</f>
        <v>0</v>
      </c>
      <c r="BJ692" s="31" t="n">
        <f aca="false">ROUNDDOWN(K692*設定!$B$14/1000,0)</f>
        <v>0</v>
      </c>
      <c r="BK692" s="31" t="n">
        <f aca="false">ROUNDDOWN(K692*設定!$C$14/1000,0)</f>
        <v>0</v>
      </c>
      <c r="BL692" s="31" t="n">
        <f aca="false">ROUNDDOWN(J692*設定!$B$15/1000,0)</f>
        <v>0</v>
      </c>
      <c r="BM692" s="31" t="n">
        <f aca="false">ROUNDDOWN(J692*設定!$C$15/1000,0)</f>
        <v>0</v>
      </c>
      <c r="BN692" s="31" t="n">
        <f aca="false">L692+M692</f>
        <v>0</v>
      </c>
      <c r="BO692" s="31" t="n">
        <f aca="false">N692+O692+P692</f>
        <v>0</v>
      </c>
      <c r="BP692" s="31" t="n">
        <f aca="false">Q692</f>
        <v>0</v>
      </c>
      <c r="BQ692" s="31" t="n">
        <f aca="false">R692</f>
        <v>0</v>
      </c>
      <c r="BR692" s="31" t="n">
        <f aca="false">S692</f>
        <v>0</v>
      </c>
      <c r="BS692" s="31" t="n">
        <f aca="false">T692</f>
        <v>0</v>
      </c>
      <c r="BT692" s="31" t="n">
        <f aca="false">U692</f>
        <v>0</v>
      </c>
      <c r="BU692" s="31" t="n">
        <f aca="false">V692</f>
        <v>0</v>
      </c>
      <c r="BV692" s="32" t="n">
        <f aca="false">IF(BF692=0,IF(BN692=0,0,1),(BN692-BF692)/BF692)</f>
        <v>0</v>
      </c>
      <c r="BW692" s="32" t="n">
        <f aca="false">IF(BG692=0,IF(BO692=0,0,1),(BO692-BG692)/BG692)</f>
        <v>0</v>
      </c>
      <c r="BX692" s="32" t="n">
        <f aca="false">IF(BH692=0,IF(BP692=0,0,1),(BP692-BH692)/BH692)</f>
        <v>0</v>
      </c>
      <c r="BY692" s="32" t="n">
        <f aca="false">IF(BI692=0,IF(BQ692=0,0,1),(BQ692-BI692)/BI692)</f>
        <v>0</v>
      </c>
      <c r="BZ692" s="32" t="n">
        <f aca="false">IF(BJ692=0,IF(BR692=0,0,1),(BR692-BJ692)/BJ692)</f>
        <v>0</v>
      </c>
      <c r="CA692" s="32" t="n">
        <f aca="false">IF(BK692=0,IF(BS692=0,0,1),(BS692-BK692)/BK692)</f>
        <v>0</v>
      </c>
      <c r="CB692" s="32" t="n">
        <f aca="false">IF(BL692=0,IF(BT692=0,0,1),(BT692-BL692)/BL692)</f>
        <v>0</v>
      </c>
      <c r="CC692" s="32" t="n">
        <f aca="false">IF(BM692=0,IF(BU692=0,0,1),(BU692-BM692)/BM692)</f>
        <v>0</v>
      </c>
      <c r="CD692" s="32" t="n">
        <f aca="false">MAX(MAX(BV692:CC692),-MIN(BV692:CC692))</f>
        <v>-0</v>
      </c>
      <c r="CE692" s="31" t="n">
        <f aca="false">IF(CI692="","",SUMIFS($CF$7:$CF$696,$A$7:$A$696,CI692,$B$7:$B$696,B692))</f>
        <v>103656</v>
      </c>
      <c r="CF692" s="31" t="n">
        <f aca="false">SUM(AU692:BE692)</f>
        <v>103656</v>
      </c>
      <c r="CG692" s="33" t="str">
        <f aca="false">A692&amp;"|"&amp;B692</f>
        <v>2027-03 月例|市職員労働組合</v>
      </c>
      <c r="CH692" s="34" t="str">
        <f aca="false">IFERROR(INDEX(設定!$D$61:$D$106,MATCH(B692,設定!$B$61:$B$106,0)),"Y")</f>
        <v>Y</v>
      </c>
      <c r="CI692" s="34" t="str">
        <f aca="false">IFERROR(INDEX(設定!$D$20:$D$34,MATCH(A692,設定!$A$20:$A$34,0))&amp;"","")</f>
        <v>2027-02 月例</v>
      </c>
    </row>
    <row r="693" customFormat="false" ht="15" hidden="true" customHeight="false" outlineLevel="0" collapsed="false">
      <c r="A693" s="22" t="s">
        <v>222</v>
      </c>
      <c r="B693" s="23" t="s">
        <v>203</v>
      </c>
      <c r="C693" s="10" t="str">
        <f aca="false">IF(G693="","未受領",IF(G693="なし","報告なし",IF(AH693="○","起票済",IF(OR(AG693="○",F693="一致",F693="入金不要"),"入金確認済","受領済"))))</f>
        <v>報告なし</v>
      </c>
      <c r="D693" s="10" t="str">
        <f aca="false">IF(OR(G693="",G693="なし"),"―",IF(CH693="N","対象外",IF(AND(I693="",J693="",K693=""),"標報未入力",IF(CD693&gt;=設定!$B$4,"要確認","問題なし"))))</f>
        <v>―</v>
      </c>
      <c r="E693" s="24" t="str">
        <f aca="false">IF(OR(G693="",G693="なし",CE693="",CF693=0),"―",IF(CF693=CE693,"前月同額",IF(CE693=0,"―",IF(ABS(CF693/CE693-1)&gt;=設定!$B$5,"変動大 "&amp;TEXT(CF693/CE693-1,"+0%;-0%"),"〇"))))</f>
        <v>―</v>
      </c>
      <c r="F693" s="10" t="str">
        <f aca="false">IF(OR(G693="",G693="なし"),"―",IF(CF693=0,"入金不要",IF(COUNT(Z693,AB693,AD693,AF693)=0,IF(AG693="○","手動確認","未入金"),IF(AND(N(Z693)=Y693,IF(AA693="",TRUE(),N(AB693)=AA693),IF(AC693="",TRUE(),N(AD693)=AC693),IF(AE693="",TRUE(),N(AF693)=AE693)),"一致","不一致"))))</f>
        <v>―</v>
      </c>
      <c r="G693" s="25" t="s">
        <v>173</v>
      </c>
      <c r="H693" s="26"/>
      <c r="I693" s="27"/>
      <c r="J693" s="27"/>
      <c r="K693" s="27"/>
      <c r="L693" s="27"/>
      <c r="M693" s="27"/>
      <c r="N693" s="27"/>
      <c r="O693" s="27"/>
      <c r="P693" s="27"/>
      <c r="Q693" s="27"/>
      <c r="R693" s="27"/>
      <c r="S693" s="27"/>
      <c r="T693" s="27"/>
      <c r="U693" s="27"/>
      <c r="V693" s="27"/>
      <c r="W693" s="10" t="str">
        <f aca="false">IFERROR(INDEX(設定!$E$61:$E$106,MATCH(B693,設定!$B$61:$B$106,0)),"合算")</f>
        <v>合算</v>
      </c>
      <c r="X693" s="28"/>
      <c r="Y693" s="29" t="str">
        <f aca="false">IF(OR(G693="",G693="なし"),"",IF(W693="合算",CF693,IF(W693="掛金・負担金別",(AU693+AV693+AZ693+BB693+BD693),SUM(AU693:AY693))))</f>
        <v/>
      </c>
      <c r="Z693" s="27"/>
      <c r="AA693" s="29" t="str">
        <f aca="false">IF(OR(G693="",G693="なし"),"",IF(W693="掛金・負担金別",(AW693+AX693+AY693+BA693+BC693+BE693),IF(W693="経理区分別",AZ693+BA693,"")))</f>
        <v/>
      </c>
      <c r="AB693" s="27"/>
      <c r="AC693" s="29" t="str">
        <f aca="false">IF(OR(G693="",G693="なし"),"",IF(W693="経理区分別",BB693+BC693,""))</f>
        <v/>
      </c>
      <c r="AD693" s="27"/>
      <c r="AE693" s="29" t="str">
        <f aca="false">IF(OR(G693="",G693="なし"),"",IF(W693="経理区分別",BD693+BE693,""))</f>
        <v/>
      </c>
      <c r="AF693" s="27"/>
      <c r="AG693" s="26"/>
      <c r="AH693" s="26"/>
      <c r="AI693" s="30"/>
      <c r="AJ693" s="31"/>
      <c r="AK693" s="31"/>
      <c r="AL693" s="31"/>
      <c r="AM693" s="31"/>
      <c r="AN693" s="31"/>
      <c r="AO693" s="31"/>
      <c r="AP693" s="31"/>
      <c r="AQ693" s="31"/>
      <c r="AR693" s="31"/>
      <c r="AS693" s="31"/>
      <c r="AT693" s="31"/>
      <c r="AU693" s="31" t="n">
        <f aca="false">IF($G693="",AJ693,L693)</f>
        <v>0</v>
      </c>
      <c r="AV693" s="31" t="n">
        <f aca="false">IF($G693="",AK693,M693)</f>
        <v>0</v>
      </c>
      <c r="AW693" s="31" t="n">
        <f aca="false">IF($G693="",AL693,N693)</f>
        <v>0</v>
      </c>
      <c r="AX693" s="31" t="n">
        <f aca="false">IF($G693="",AM693,O693)</f>
        <v>0</v>
      </c>
      <c r="AY693" s="31" t="n">
        <f aca="false">IF($G693="",AN693,P693)</f>
        <v>0</v>
      </c>
      <c r="AZ693" s="31" t="n">
        <f aca="false">IF($G693="",AO693,Q693)</f>
        <v>0</v>
      </c>
      <c r="BA693" s="31" t="n">
        <f aca="false">IF($G693="",AP693,R693)</f>
        <v>0</v>
      </c>
      <c r="BB693" s="31" t="n">
        <f aca="false">IF($G693="",AQ693,S693)</f>
        <v>0</v>
      </c>
      <c r="BC693" s="31" t="n">
        <f aca="false">IF($G693="",AR693,T693)</f>
        <v>0</v>
      </c>
      <c r="BD693" s="31" t="n">
        <f aca="false">IF($G693="",AS693,U693)</f>
        <v>0</v>
      </c>
      <c r="BE693" s="31" t="n">
        <f aca="false">IF($G693="",AT693,V693)</f>
        <v>0</v>
      </c>
      <c r="BF693" s="31" t="n">
        <f aca="false">ROUNDDOWN(I693*設定!$B$10/1000,0)+ROUNDDOWN(I693*設定!$B$11/1000,0)</f>
        <v>0</v>
      </c>
      <c r="BG693" s="31" t="n">
        <f aca="false">ROUNDDOWN(I693*設定!$C$10/1000,0)+ROUNDDOWN(I693*設定!$C$11/1000,0)+ROUNDDOWN(I693*設定!$C$12/1000,0)</f>
        <v>0</v>
      </c>
      <c r="BH693" s="31" t="n">
        <f aca="false">ROUNDDOWN(J693*設定!$B$13/1000,0)</f>
        <v>0</v>
      </c>
      <c r="BI693" s="31" t="n">
        <f aca="false">ROUNDDOWN(J693*設定!$C$13/1000,0)</f>
        <v>0</v>
      </c>
      <c r="BJ693" s="31" t="n">
        <f aca="false">ROUNDDOWN(K693*設定!$B$14/1000,0)</f>
        <v>0</v>
      </c>
      <c r="BK693" s="31" t="n">
        <f aca="false">ROUNDDOWN(K693*設定!$C$14/1000,0)</f>
        <v>0</v>
      </c>
      <c r="BL693" s="31" t="n">
        <f aca="false">ROUNDDOWN(J693*設定!$B$15/1000,0)</f>
        <v>0</v>
      </c>
      <c r="BM693" s="31" t="n">
        <f aca="false">ROUNDDOWN(J693*設定!$C$15/1000,0)</f>
        <v>0</v>
      </c>
      <c r="BN693" s="31" t="n">
        <f aca="false">L693+M693</f>
        <v>0</v>
      </c>
      <c r="BO693" s="31" t="n">
        <f aca="false">N693+O693+P693</f>
        <v>0</v>
      </c>
      <c r="BP693" s="31" t="n">
        <f aca="false">Q693</f>
        <v>0</v>
      </c>
      <c r="BQ693" s="31" t="n">
        <f aca="false">R693</f>
        <v>0</v>
      </c>
      <c r="BR693" s="31" t="n">
        <f aca="false">S693</f>
        <v>0</v>
      </c>
      <c r="BS693" s="31" t="n">
        <f aca="false">T693</f>
        <v>0</v>
      </c>
      <c r="BT693" s="31" t="n">
        <f aca="false">U693</f>
        <v>0</v>
      </c>
      <c r="BU693" s="31" t="n">
        <f aca="false">V693</f>
        <v>0</v>
      </c>
      <c r="BV693" s="32" t="n">
        <f aca="false">IF(BF693=0,IF(BN693=0,0,1),(BN693-BF693)/BF693)</f>
        <v>0</v>
      </c>
      <c r="BW693" s="32" t="n">
        <f aca="false">IF(BG693=0,IF(BO693=0,0,1),(BO693-BG693)/BG693)</f>
        <v>0</v>
      </c>
      <c r="BX693" s="32" t="n">
        <f aca="false">IF(BH693=0,IF(BP693=0,0,1),(BP693-BH693)/BH693)</f>
        <v>0</v>
      </c>
      <c r="BY693" s="32" t="n">
        <f aca="false">IF(BI693=0,IF(BQ693=0,0,1),(BQ693-BI693)/BI693)</f>
        <v>0</v>
      </c>
      <c r="BZ693" s="32" t="n">
        <f aca="false">IF(BJ693=0,IF(BR693=0,0,1),(BR693-BJ693)/BJ693)</f>
        <v>0</v>
      </c>
      <c r="CA693" s="32" t="n">
        <f aca="false">IF(BK693=0,IF(BS693=0,0,1),(BS693-BK693)/BK693)</f>
        <v>0</v>
      </c>
      <c r="CB693" s="32" t="n">
        <f aca="false">IF(BL693=0,IF(BT693=0,0,1),(BT693-BL693)/BL693)</f>
        <v>0</v>
      </c>
      <c r="CC693" s="32" t="n">
        <f aca="false">IF(BM693=0,IF(BU693=0,0,1),(BU693-BM693)/BM693)</f>
        <v>0</v>
      </c>
      <c r="CD693" s="32" t="n">
        <f aca="false">MAX(MAX(BV693:CC693),-MIN(BV693:CC693))</f>
        <v>-0</v>
      </c>
      <c r="CE693" s="31" t="n">
        <f aca="false">IF(CI693="","",SUMIFS($CF$7:$CF$696,$A$7:$A$696,CI693,$B$7:$B$696,B693))</f>
        <v>0</v>
      </c>
      <c r="CF693" s="31" t="n">
        <f aca="false">SUM(AU693:BE693)</f>
        <v>0</v>
      </c>
      <c r="CG693" s="33" t="str">
        <f aca="false">A693&amp;"|"&amp;B693</f>
        <v>2027-03 月例|自治労労働組合</v>
      </c>
      <c r="CH693" s="34" t="str">
        <f aca="false">IFERROR(INDEX(設定!$D$61:$D$106,MATCH(B693,設定!$B$61:$B$106,0)),"Y")</f>
        <v>Y</v>
      </c>
      <c r="CI693" s="34" t="str">
        <f aca="false">IFERROR(INDEX(設定!$D$20:$D$34,MATCH(A693,設定!$A$20:$A$34,0))&amp;"","")</f>
        <v>2027-02 月例</v>
      </c>
    </row>
    <row r="694" customFormat="false" ht="15" hidden="true" customHeight="false" outlineLevel="0" collapsed="false">
      <c r="A694" s="22" t="s">
        <v>222</v>
      </c>
      <c r="B694" s="23" t="s">
        <v>204</v>
      </c>
      <c r="C694" s="10" t="str">
        <f aca="false">IF(G694="","未受領",IF(G694="なし","報告なし",IF(AH694="○","起票済",IF(OR(AG694="○",F694="一致",F694="入金不要"),"入金確認済","受領済"))))</f>
        <v>未受領</v>
      </c>
      <c r="D694" s="10" t="str">
        <f aca="false">IF(OR(G694="",G694="なし"),"―",IF(CH694="N","対象外",IF(AND(I694="",J694="",K694=""),"標報未入力",IF(CD694&gt;=設定!$B$4,"要確認","問題なし"))))</f>
        <v>―</v>
      </c>
      <c r="E694" s="24" t="str">
        <f aca="false">IF(OR(G694="",G694="なし",CE694="",CF694=0),"―",IF(CF694=CE694,"前月同額",IF(CE694=0,"―",IF(ABS(CF694/CE694-1)&gt;=設定!$B$5,"変動大 "&amp;TEXT(CF694/CE694-1,"+0%;-0%"),"〇"))))</f>
        <v>―</v>
      </c>
      <c r="F694" s="10" t="str">
        <f aca="false">IF(OR(G694="",G694="なし"),"―",IF(CF694=0,"入金不要",IF(COUNT(Z694,AB694,AD694,AF694)=0,IF(AG694="○","手動確認","未入金"),IF(AND(N(Z694)=Y694,IF(AA694="",TRUE(),N(AB694)=AA694),IF(AC694="",TRUE(),N(AD694)=AC694),IF(AE694="",TRUE(),N(AF694)=AE694)),"一致","不一致"))))</f>
        <v>―</v>
      </c>
      <c r="G694" s="25"/>
      <c r="H694" s="26"/>
      <c r="I694" s="27"/>
      <c r="J694" s="27"/>
      <c r="K694" s="27"/>
      <c r="L694" s="27"/>
      <c r="M694" s="27"/>
      <c r="N694" s="27"/>
      <c r="O694" s="27"/>
      <c r="P694" s="27"/>
      <c r="Q694" s="27"/>
      <c r="R694" s="27"/>
      <c r="S694" s="27"/>
      <c r="T694" s="27"/>
      <c r="U694" s="27"/>
      <c r="V694" s="27"/>
      <c r="W694" s="10" t="str">
        <f aca="false">IFERROR(INDEX(設定!$E$61:$E$106,MATCH(B694,設定!$B$61:$B$106,0)),"合算")</f>
        <v>合算</v>
      </c>
      <c r="X694" s="28"/>
      <c r="Y694" s="29" t="str">
        <f aca="false">IF(OR(G694="",G694="なし"),"",IF(W694="合算",CF694,IF(W694="掛金・負担金別",(AU694+AV694+AZ694+BB694+BD694),SUM(AU694:AY694))))</f>
        <v/>
      </c>
      <c r="Z694" s="27"/>
      <c r="AA694" s="29" t="str">
        <f aca="false">IF(OR(G694="",G694="なし"),"",IF(W694="掛金・負担金別",(AW694+AX694+AY694+BA694+BC694+BE694),IF(W694="経理区分別",AZ694+BA694,"")))</f>
        <v/>
      </c>
      <c r="AB694" s="27"/>
      <c r="AC694" s="29" t="str">
        <f aca="false">IF(OR(G694="",G694="なし"),"",IF(W694="経理区分別",BB694+BC694,""))</f>
        <v/>
      </c>
      <c r="AD694" s="27"/>
      <c r="AE694" s="29" t="str">
        <f aca="false">IF(OR(G694="",G694="なし"),"",IF(W694="経理区分別",BD694+BE694,""))</f>
        <v/>
      </c>
      <c r="AF694" s="27"/>
      <c r="AG694" s="26"/>
      <c r="AH694" s="26"/>
      <c r="AI694" s="30"/>
      <c r="AJ694" s="31" t="n">
        <v>27450</v>
      </c>
      <c r="AK694" s="31" t="n">
        <v>2250</v>
      </c>
      <c r="AL694" s="31" t="n">
        <v>27450</v>
      </c>
      <c r="AM694" s="31" t="n">
        <v>2250</v>
      </c>
      <c r="AN694" s="31"/>
      <c r="AO694" s="31" t="n">
        <v>33006</v>
      </c>
      <c r="AP694" s="31" t="n">
        <v>33066</v>
      </c>
      <c r="AQ694" s="31" t="n">
        <v>2370</v>
      </c>
      <c r="AR694" s="31" t="n">
        <v>2370</v>
      </c>
      <c r="AS694" s="31" t="n">
        <v>1</v>
      </c>
      <c r="AT694" s="31" t="n">
        <v>1</v>
      </c>
      <c r="AU694" s="31" t="n">
        <f aca="false">IF($G694="",AJ694,L694)</f>
        <v>27450</v>
      </c>
      <c r="AV694" s="31" t="n">
        <f aca="false">IF($G694="",AK694,M694)</f>
        <v>2250</v>
      </c>
      <c r="AW694" s="31" t="n">
        <f aca="false">IF($G694="",AL694,N694)</f>
        <v>27450</v>
      </c>
      <c r="AX694" s="31" t="n">
        <f aca="false">IF($G694="",AM694,O694)</f>
        <v>2250</v>
      </c>
      <c r="AY694" s="31" t="n">
        <f aca="false">IF($G694="",AN694,P694)</f>
        <v>0</v>
      </c>
      <c r="AZ694" s="31" t="n">
        <f aca="false">IF($G694="",AO694,Q694)</f>
        <v>33006</v>
      </c>
      <c r="BA694" s="31" t="n">
        <f aca="false">IF($G694="",AP694,R694)</f>
        <v>33066</v>
      </c>
      <c r="BB694" s="31" t="n">
        <f aca="false">IF($G694="",AQ694,S694)</f>
        <v>2370</v>
      </c>
      <c r="BC694" s="31" t="n">
        <f aca="false">IF($G694="",AR694,T694)</f>
        <v>2370</v>
      </c>
      <c r="BD694" s="31" t="n">
        <f aca="false">IF($G694="",AS694,U694)</f>
        <v>1</v>
      </c>
      <c r="BE694" s="31" t="n">
        <f aca="false">IF($G694="",AT694,V694)</f>
        <v>1</v>
      </c>
      <c r="BF694" s="31" t="n">
        <f aca="false">ROUNDDOWN(I694*設定!$B$10/1000,0)+ROUNDDOWN(I694*設定!$B$11/1000,0)</f>
        <v>0</v>
      </c>
      <c r="BG694" s="31" t="n">
        <f aca="false">ROUNDDOWN(I694*設定!$C$10/1000,0)+ROUNDDOWN(I694*設定!$C$11/1000,0)+ROUNDDOWN(I694*設定!$C$12/1000,0)</f>
        <v>0</v>
      </c>
      <c r="BH694" s="31" t="n">
        <f aca="false">ROUNDDOWN(J694*設定!$B$13/1000,0)</f>
        <v>0</v>
      </c>
      <c r="BI694" s="31" t="n">
        <f aca="false">ROUNDDOWN(J694*設定!$C$13/1000,0)</f>
        <v>0</v>
      </c>
      <c r="BJ694" s="31" t="n">
        <f aca="false">ROUNDDOWN(K694*設定!$B$14/1000,0)</f>
        <v>0</v>
      </c>
      <c r="BK694" s="31" t="n">
        <f aca="false">ROUNDDOWN(K694*設定!$C$14/1000,0)</f>
        <v>0</v>
      </c>
      <c r="BL694" s="31" t="n">
        <f aca="false">ROUNDDOWN(J694*設定!$B$15/1000,0)</f>
        <v>0</v>
      </c>
      <c r="BM694" s="31" t="n">
        <f aca="false">ROUNDDOWN(J694*設定!$C$15/1000,0)</f>
        <v>0</v>
      </c>
      <c r="BN694" s="31" t="n">
        <f aca="false">L694+M694</f>
        <v>0</v>
      </c>
      <c r="BO694" s="31" t="n">
        <f aca="false">N694+O694+P694</f>
        <v>0</v>
      </c>
      <c r="BP694" s="31" t="n">
        <f aca="false">Q694</f>
        <v>0</v>
      </c>
      <c r="BQ694" s="31" t="n">
        <f aca="false">R694</f>
        <v>0</v>
      </c>
      <c r="BR694" s="31" t="n">
        <f aca="false">S694</f>
        <v>0</v>
      </c>
      <c r="BS694" s="31" t="n">
        <f aca="false">T694</f>
        <v>0</v>
      </c>
      <c r="BT694" s="31" t="n">
        <f aca="false">U694</f>
        <v>0</v>
      </c>
      <c r="BU694" s="31" t="n">
        <f aca="false">V694</f>
        <v>0</v>
      </c>
      <c r="BV694" s="32" t="n">
        <f aca="false">IF(BF694=0,IF(BN694=0,0,1),(BN694-BF694)/BF694)</f>
        <v>0</v>
      </c>
      <c r="BW694" s="32" t="n">
        <f aca="false">IF(BG694=0,IF(BO694=0,0,1),(BO694-BG694)/BG694)</f>
        <v>0</v>
      </c>
      <c r="BX694" s="32" t="n">
        <f aca="false">IF(BH694=0,IF(BP694=0,0,1),(BP694-BH694)/BH694)</f>
        <v>0</v>
      </c>
      <c r="BY694" s="32" t="n">
        <f aca="false">IF(BI694=0,IF(BQ694=0,0,1),(BQ694-BI694)/BI694)</f>
        <v>0</v>
      </c>
      <c r="BZ694" s="32" t="n">
        <f aca="false">IF(BJ694=0,IF(BR694=0,0,1),(BR694-BJ694)/BJ694)</f>
        <v>0</v>
      </c>
      <c r="CA694" s="32" t="n">
        <f aca="false">IF(BK694=0,IF(BS694=0,0,1),(BS694-BK694)/BK694)</f>
        <v>0</v>
      </c>
      <c r="CB694" s="32" t="n">
        <f aca="false">IF(BL694=0,IF(BT694=0,0,1),(BT694-BL694)/BL694)</f>
        <v>0</v>
      </c>
      <c r="CC694" s="32" t="n">
        <f aca="false">IF(BM694=0,IF(BU694=0,0,1),(BU694-BM694)/BM694)</f>
        <v>0</v>
      </c>
      <c r="CD694" s="32" t="n">
        <f aca="false">MAX(MAX(BV694:CC694),-MIN(BV694:CC694))</f>
        <v>-0</v>
      </c>
      <c r="CE694" s="31" t="n">
        <f aca="false">IF(CI694="","",SUMIFS($CF$7:$CF$696,$A$7:$A$696,CI694,$B$7:$B$696,B694))</f>
        <v>130214</v>
      </c>
      <c r="CF694" s="31" t="n">
        <f aca="false">SUM(AU694:BE694)</f>
        <v>130214</v>
      </c>
      <c r="CG694" s="33" t="str">
        <f aca="false">A694&amp;"|"&amp;B694</f>
        <v>2027-03 月例|病院労働組合</v>
      </c>
      <c r="CH694" s="34" t="str">
        <f aca="false">IFERROR(INDEX(設定!$D$61:$D$106,MATCH(B694,設定!$B$61:$B$106,0)),"Y")</f>
        <v>Y</v>
      </c>
      <c r="CI694" s="34" t="str">
        <f aca="false">IFERROR(INDEX(設定!$D$20:$D$34,MATCH(A694,設定!$A$20:$A$34,0))&amp;"","")</f>
        <v>2027-02 月例</v>
      </c>
    </row>
    <row r="695" customFormat="false" ht="15" hidden="true" customHeight="false" outlineLevel="0" collapsed="false">
      <c r="A695" s="22" t="s">
        <v>222</v>
      </c>
      <c r="B695" s="23" t="s">
        <v>205</v>
      </c>
      <c r="C695" s="10" t="str">
        <f aca="false">IF(G695="","未受領",IF(G695="なし","報告なし",IF(AH695="○","起票済",IF(OR(AG695="○",F695="一致",F695="入金不要"),"入金確認済","受領済"))))</f>
        <v>報告なし</v>
      </c>
      <c r="D695" s="10" t="str">
        <f aca="false">IF(OR(G695="",G695="なし"),"―",IF(CH695="N","対象外",IF(AND(I695="",J695="",K695=""),"標報未入力",IF(CD695&gt;=設定!$B$4,"要確認","問題なし"))))</f>
        <v>―</v>
      </c>
      <c r="E695" s="24" t="str">
        <f aca="false">IF(OR(G695="",G695="なし",CE695="",CF695=0),"―",IF(CF695=CE695,"前月同額",IF(CE695=0,"―",IF(ABS(CF695/CE695-1)&gt;=設定!$B$5,"変動大 "&amp;TEXT(CF695/CE695-1,"+0%;-0%"),"〇"))))</f>
        <v>―</v>
      </c>
      <c r="F695" s="10" t="str">
        <f aca="false">IF(OR(G695="",G695="なし"),"―",IF(CF695=0,"入金不要",IF(COUNT(Z695,AB695,AD695,AF695)=0,IF(AG695="○","手動確認","未入金"),IF(AND(N(Z695)=Y695,IF(AA695="",TRUE(),N(AB695)=AA695),IF(AC695="",TRUE(),N(AD695)=AC695),IF(AE695="",TRUE(),N(AF695)=AE695)),"一致","不一致"))))</f>
        <v>―</v>
      </c>
      <c r="G695" s="25" t="s">
        <v>173</v>
      </c>
      <c r="H695" s="26"/>
      <c r="I695" s="27"/>
      <c r="J695" s="27"/>
      <c r="K695" s="27"/>
      <c r="L695" s="27"/>
      <c r="M695" s="27"/>
      <c r="N695" s="27"/>
      <c r="O695" s="27"/>
      <c r="P695" s="27"/>
      <c r="Q695" s="27"/>
      <c r="R695" s="27"/>
      <c r="S695" s="27"/>
      <c r="T695" s="27"/>
      <c r="U695" s="27"/>
      <c r="V695" s="27"/>
      <c r="W695" s="10" t="str">
        <f aca="false">IFERROR(INDEX(設定!$E$61:$E$106,MATCH(B695,設定!$B$61:$B$106,0)),"合算")</f>
        <v>合算</v>
      </c>
      <c r="X695" s="28"/>
      <c r="Y695" s="29" t="str">
        <f aca="false">IF(OR(G695="",G695="なし"),"",IF(W695="合算",CF695,IF(W695="掛金・負担金別",(AU695+AV695+AZ695+BB695+BD695),SUM(AU695:AY695))))</f>
        <v/>
      </c>
      <c r="Z695" s="27"/>
      <c r="AA695" s="29" t="str">
        <f aca="false">IF(OR(G695="",G695="なし"),"",IF(W695="掛金・負担金別",(AW695+AX695+AY695+BA695+BC695+BE695),IF(W695="経理区分別",AZ695+BA695,"")))</f>
        <v/>
      </c>
      <c r="AB695" s="27"/>
      <c r="AC695" s="29" t="str">
        <f aca="false">IF(OR(G695="",G695="なし"),"",IF(W695="経理区分別",BB695+BC695,""))</f>
        <v/>
      </c>
      <c r="AD695" s="27"/>
      <c r="AE695" s="29" t="str">
        <f aca="false">IF(OR(G695="",G695="なし"),"",IF(W695="経理区分別",BD695+BE695,""))</f>
        <v/>
      </c>
      <c r="AF695" s="27"/>
      <c r="AG695" s="26"/>
      <c r="AH695" s="26"/>
      <c r="AI695" s="30"/>
      <c r="AJ695" s="31"/>
      <c r="AK695" s="31"/>
      <c r="AL695" s="31"/>
      <c r="AM695" s="31"/>
      <c r="AN695" s="31"/>
      <c r="AO695" s="31"/>
      <c r="AP695" s="31"/>
      <c r="AQ695" s="31"/>
      <c r="AR695" s="31"/>
      <c r="AS695" s="31"/>
      <c r="AT695" s="31"/>
      <c r="AU695" s="31" t="n">
        <f aca="false">IF($G695="",AJ695,L695)</f>
        <v>0</v>
      </c>
      <c r="AV695" s="31" t="n">
        <f aca="false">IF($G695="",AK695,M695)</f>
        <v>0</v>
      </c>
      <c r="AW695" s="31" t="n">
        <f aca="false">IF($G695="",AL695,N695)</f>
        <v>0</v>
      </c>
      <c r="AX695" s="31" t="n">
        <f aca="false">IF($G695="",AM695,O695)</f>
        <v>0</v>
      </c>
      <c r="AY695" s="31" t="n">
        <f aca="false">IF($G695="",AN695,P695)</f>
        <v>0</v>
      </c>
      <c r="AZ695" s="31" t="n">
        <f aca="false">IF($G695="",AO695,Q695)</f>
        <v>0</v>
      </c>
      <c r="BA695" s="31" t="n">
        <f aca="false">IF($G695="",AP695,R695)</f>
        <v>0</v>
      </c>
      <c r="BB695" s="31" t="n">
        <f aca="false">IF($G695="",AQ695,S695)</f>
        <v>0</v>
      </c>
      <c r="BC695" s="31" t="n">
        <f aca="false">IF($G695="",AR695,T695)</f>
        <v>0</v>
      </c>
      <c r="BD695" s="31" t="n">
        <f aca="false">IF($G695="",AS695,U695)</f>
        <v>0</v>
      </c>
      <c r="BE695" s="31" t="n">
        <f aca="false">IF($G695="",AT695,V695)</f>
        <v>0</v>
      </c>
      <c r="BF695" s="31" t="n">
        <f aca="false">ROUNDDOWN(I695*設定!$B$10/1000,0)+ROUNDDOWN(I695*設定!$B$11/1000,0)</f>
        <v>0</v>
      </c>
      <c r="BG695" s="31" t="n">
        <f aca="false">ROUNDDOWN(I695*設定!$C$10/1000,0)+ROUNDDOWN(I695*設定!$C$11/1000,0)+ROUNDDOWN(I695*設定!$C$12/1000,0)</f>
        <v>0</v>
      </c>
      <c r="BH695" s="31" t="n">
        <f aca="false">ROUNDDOWN(J695*設定!$B$13/1000,0)</f>
        <v>0</v>
      </c>
      <c r="BI695" s="31" t="n">
        <f aca="false">ROUNDDOWN(J695*設定!$C$13/1000,0)</f>
        <v>0</v>
      </c>
      <c r="BJ695" s="31" t="n">
        <f aca="false">ROUNDDOWN(K695*設定!$B$14/1000,0)</f>
        <v>0</v>
      </c>
      <c r="BK695" s="31" t="n">
        <f aca="false">ROUNDDOWN(K695*設定!$C$14/1000,0)</f>
        <v>0</v>
      </c>
      <c r="BL695" s="31" t="n">
        <f aca="false">ROUNDDOWN(J695*設定!$B$15/1000,0)</f>
        <v>0</v>
      </c>
      <c r="BM695" s="31" t="n">
        <f aca="false">ROUNDDOWN(J695*設定!$C$15/1000,0)</f>
        <v>0</v>
      </c>
      <c r="BN695" s="31" t="n">
        <f aca="false">L695+M695</f>
        <v>0</v>
      </c>
      <c r="BO695" s="31" t="n">
        <f aca="false">N695+O695+P695</f>
        <v>0</v>
      </c>
      <c r="BP695" s="31" t="n">
        <f aca="false">Q695</f>
        <v>0</v>
      </c>
      <c r="BQ695" s="31" t="n">
        <f aca="false">R695</f>
        <v>0</v>
      </c>
      <c r="BR695" s="31" t="n">
        <f aca="false">S695</f>
        <v>0</v>
      </c>
      <c r="BS695" s="31" t="n">
        <f aca="false">T695</f>
        <v>0</v>
      </c>
      <c r="BT695" s="31" t="n">
        <f aca="false">U695</f>
        <v>0</v>
      </c>
      <c r="BU695" s="31" t="n">
        <f aca="false">V695</f>
        <v>0</v>
      </c>
      <c r="BV695" s="32" t="n">
        <f aca="false">IF(BF695=0,IF(BN695=0,0,1),(BN695-BF695)/BF695)</f>
        <v>0</v>
      </c>
      <c r="BW695" s="32" t="n">
        <f aca="false">IF(BG695=0,IF(BO695=0,0,1),(BO695-BG695)/BG695)</f>
        <v>0</v>
      </c>
      <c r="BX695" s="32" t="n">
        <f aca="false">IF(BH695=0,IF(BP695=0,0,1),(BP695-BH695)/BH695)</f>
        <v>0</v>
      </c>
      <c r="BY695" s="32" t="n">
        <f aca="false">IF(BI695=0,IF(BQ695=0,0,1),(BQ695-BI695)/BI695)</f>
        <v>0</v>
      </c>
      <c r="BZ695" s="32" t="n">
        <f aca="false">IF(BJ695=0,IF(BR695=0,0,1),(BR695-BJ695)/BJ695)</f>
        <v>0</v>
      </c>
      <c r="CA695" s="32" t="n">
        <f aca="false">IF(BK695=0,IF(BS695=0,0,1),(BS695-BK695)/BK695)</f>
        <v>0</v>
      </c>
      <c r="CB695" s="32" t="n">
        <f aca="false">IF(BL695=0,IF(BT695=0,0,1),(BT695-BL695)/BL695)</f>
        <v>0</v>
      </c>
      <c r="CC695" s="32" t="n">
        <f aca="false">IF(BM695=0,IF(BU695=0,0,1),(BU695-BM695)/BM695)</f>
        <v>0</v>
      </c>
      <c r="CD695" s="32" t="n">
        <f aca="false">MAX(MAX(BV695:CC695),-MIN(BV695:CC695))</f>
        <v>-0</v>
      </c>
      <c r="CE695" s="31" t="n">
        <f aca="false">IF(CI695="","",SUMIFS($CF$7:$CF$696,$A$7:$A$696,CI695,$B$7:$B$696,B695))</f>
        <v>0</v>
      </c>
      <c r="CF695" s="31" t="n">
        <f aca="false">SUM(AU695:BE695)</f>
        <v>0</v>
      </c>
      <c r="CG695" s="33" t="str">
        <f aca="false">A695&amp;"|"&amp;B695</f>
        <v>2027-03 月例|水道労働組合</v>
      </c>
      <c r="CH695" s="34" t="str">
        <f aca="false">IFERROR(INDEX(設定!$D$61:$D$106,MATCH(B695,設定!$B$61:$B$106,0)),"Y")</f>
        <v>Y</v>
      </c>
      <c r="CI695" s="34" t="str">
        <f aca="false">IFERROR(INDEX(設定!$D$20:$D$34,MATCH(A695,設定!$A$20:$A$34,0))&amp;"","")</f>
        <v>2027-02 月例</v>
      </c>
    </row>
    <row r="696" customFormat="false" ht="15" hidden="true" customHeight="false" outlineLevel="0" collapsed="false">
      <c r="A696" s="22" t="s">
        <v>222</v>
      </c>
      <c r="B696" s="23" t="s">
        <v>206</v>
      </c>
      <c r="C696" s="10" t="str">
        <f aca="false">IF(G696="","未受領",IF(G696="なし","報告なし",IF(AH696="○","起票済",IF(OR(AG696="○",F696="一致",F696="入金不要"),"入金確認済","受領済"))))</f>
        <v>未受領</v>
      </c>
      <c r="D696" s="10" t="str">
        <f aca="false">IF(OR(G696="",G696="なし"),"―",IF(CH696="N","対象外",IF(AND(I696="",J696="",K696=""),"標報未入力",IF(CD696&gt;=設定!$B$4,"要確認","問題なし"))))</f>
        <v>―</v>
      </c>
      <c r="E696" s="24" t="str">
        <f aca="false">IF(OR(G696="",G696="なし",CE696="",CF696=0),"―",IF(CF696=CE696,"前月同額",IF(CE696=0,"―",IF(ABS(CF696/CE696-1)&gt;=設定!$B$5,"変動大 "&amp;TEXT(CF696/CE696-1,"+0%;-0%"),"〇"))))</f>
        <v>―</v>
      </c>
      <c r="F696" s="10" t="str">
        <f aca="false">IF(OR(G696="",G696="なし"),"―",IF(CF696=0,"入金不要",IF(COUNT(Z696,AB696,AD696,AF696)=0,IF(AG696="○","手動確認","未入金"),IF(AND(N(Z696)=Y696,IF(AA696="",TRUE(),N(AB696)=AA696),IF(AC696="",TRUE(),N(AD696)=AC696),IF(AE696="",TRUE(),N(AF696)=AE696)),"一致","不一致"))))</f>
        <v>―</v>
      </c>
      <c r="G696" s="25"/>
      <c r="H696" s="26"/>
      <c r="I696" s="27"/>
      <c r="J696" s="27"/>
      <c r="K696" s="27"/>
      <c r="L696" s="27"/>
      <c r="M696" s="27"/>
      <c r="N696" s="27"/>
      <c r="O696" s="27"/>
      <c r="P696" s="27"/>
      <c r="Q696" s="27"/>
      <c r="R696" s="27"/>
      <c r="S696" s="27"/>
      <c r="T696" s="27"/>
      <c r="U696" s="27"/>
      <c r="V696" s="27"/>
      <c r="W696" s="10" t="str">
        <f aca="false">IFERROR(INDEX(設定!$E$61:$E$106,MATCH(B696,設定!$B$61:$B$106,0)),"合算")</f>
        <v>合算</v>
      </c>
      <c r="X696" s="28"/>
      <c r="Y696" s="29" t="str">
        <f aca="false">IF(OR(G696="",G696="なし"),"",IF(W696="合算",CF696,IF(W696="掛金・負担金別",(AU696+AV696+AZ696+BB696+BD696),SUM(AU696:AY696))))</f>
        <v/>
      </c>
      <c r="Z696" s="27"/>
      <c r="AA696" s="29" t="str">
        <f aca="false">IF(OR(G696="",G696="なし"),"",IF(W696="掛金・負担金別",(AW696+AX696+AY696+BA696+BC696+BE696),IF(W696="経理区分別",AZ696+BA696,"")))</f>
        <v/>
      </c>
      <c r="AB696" s="27"/>
      <c r="AC696" s="29" t="str">
        <f aca="false">IF(OR(G696="",G696="なし"),"",IF(W696="経理区分別",BB696+BC696,""))</f>
        <v/>
      </c>
      <c r="AD696" s="27"/>
      <c r="AE696" s="29" t="str">
        <f aca="false">IF(OR(G696="",G696="なし"),"",IF(W696="経理区分別",BD696+BE696,""))</f>
        <v/>
      </c>
      <c r="AF696" s="27"/>
      <c r="AG696" s="26"/>
      <c r="AH696" s="26"/>
      <c r="AI696" s="30"/>
      <c r="AJ696" s="31"/>
      <c r="AK696" s="31"/>
      <c r="AL696" s="31"/>
      <c r="AM696" s="31"/>
      <c r="AN696" s="31"/>
      <c r="AO696" s="31" t="n">
        <v>112219</v>
      </c>
      <c r="AP696" s="31"/>
      <c r="AQ696" s="31" t="n">
        <v>17136</v>
      </c>
      <c r="AR696" s="31"/>
      <c r="AS696" s="31" t="n">
        <v>1</v>
      </c>
      <c r="AT696" s="31"/>
      <c r="AU696" s="31" t="n">
        <f aca="false">IF($G696="",AJ696,L696)</f>
        <v>0</v>
      </c>
      <c r="AV696" s="31" t="n">
        <f aca="false">IF($G696="",AK696,M696)</f>
        <v>0</v>
      </c>
      <c r="AW696" s="31" t="n">
        <f aca="false">IF($G696="",AL696,N696)</f>
        <v>0</v>
      </c>
      <c r="AX696" s="31" t="n">
        <f aca="false">IF($G696="",AM696,O696)</f>
        <v>0</v>
      </c>
      <c r="AY696" s="31" t="n">
        <f aca="false">IF($G696="",AN696,P696)</f>
        <v>0</v>
      </c>
      <c r="AZ696" s="31" t="n">
        <f aca="false">IF($G696="",AO696,Q696)</f>
        <v>112219</v>
      </c>
      <c r="BA696" s="31" t="n">
        <f aca="false">IF($G696="",AP696,R696)</f>
        <v>0</v>
      </c>
      <c r="BB696" s="31" t="n">
        <f aca="false">IF($G696="",AQ696,S696)</f>
        <v>17136</v>
      </c>
      <c r="BC696" s="31" t="n">
        <f aca="false">IF($G696="",AR696,T696)</f>
        <v>0</v>
      </c>
      <c r="BD696" s="31" t="n">
        <f aca="false">IF($G696="",AS696,U696)</f>
        <v>1</v>
      </c>
      <c r="BE696" s="31" t="n">
        <f aca="false">IF($G696="",AT696,V696)</f>
        <v>0</v>
      </c>
      <c r="BF696" s="31" t="n">
        <f aca="false">ROUNDDOWN(I696*設定!$B$10/1000,0)+ROUNDDOWN(I696*設定!$B$11/1000,0)</f>
        <v>0</v>
      </c>
      <c r="BG696" s="31" t="n">
        <f aca="false">ROUNDDOWN(I696*設定!$C$10/1000,0)+ROUNDDOWN(I696*設定!$C$11/1000,0)+ROUNDDOWN(I696*設定!$C$12/1000,0)</f>
        <v>0</v>
      </c>
      <c r="BH696" s="31" t="n">
        <f aca="false">ROUNDDOWN(J696*設定!$B$13/1000,0)</f>
        <v>0</v>
      </c>
      <c r="BI696" s="31" t="n">
        <f aca="false">ROUNDDOWN(J696*設定!$C$13/1000,0)</f>
        <v>0</v>
      </c>
      <c r="BJ696" s="31" t="n">
        <f aca="false">ROUNDDOWN(K696*設定!$B$14/1000,0)</f>
        <v>0</v>
      </c>
      <c r="BK696" s="31" t="n">
        <f aca="false">ROUNDDOWN(K696*設定!$C$14/1000,0)</f>
        <v>0</v>
      </c>
      <c r="BL696" s="31" t="n">
        <f aca="false">ROUNDDOWN(J696*設定!$B$15/1000,0)</f>
        <v>0</v>
      </c>
      <c r="BM696" s="31" t="n">
        <f aca="false">ROUNDDOWN(J696*設定!$C$15/1000,0)</f>
        <v>0</v>
      </c>
      <c r="BN696" s="31" t="n">
        <f aca="false">L696+M696</f>
        <v>0</v>
      </c>
      <c r="BO696" s="31" t="n">
        <f aca="false">N696+O696+P696</f>
        <v>0</v>
      </c>
      <c r="BP696" s="31" t="n">
        <f aca="false">Q696</f>
        <v>0</v>
      </c>
      <c r="BQ696" s="31" t="n">
        <f aca="false">R696</f>
        <v>0</v>
      </c>
      <c r="BR696" s="31" t="n">
        <f aca="false">S696</f>
        <v>0</v>
      </c>
      <c r="BS696" s="31" t="n">
        <f aca="false">T696</f>
        <v>0</v>
      </c>
      <c r="BT696" s="31" t="n">
        <f aca="false">U696</f>
        <v>0</v>
      </c>
      <c r="BU696" s="31" t="n">
        <f aca="false">V696</f>
        <v>0</v>
      </c>
      <c r="BV696" s="32" t="n">
        <f aca="false">IF(BF696=0,IF(BN696=0,0,1),(BN696-BF696)/BF696)</f>
        <v>0</v>
      </c>
      <c r="BW696" s="32" t="n">
        <f aca="false">IF(BG696=0,IF(BO696=0,0,1),(BO696-BG696)/BG696)</f>
        <v>0</v>
      </c>
      <c r="BX696" s="32" t="n">
        <f aca="false">IF(BH696=0,IF(BP696=0,0,1),(BP696-BH696)/BH696)</f>
        <v>0</v>
      </c>
      <c r="BY696" s="32" t="n">
        <f aca="false">IF(BI696=0,IF(BQ696=0,0,1),(BQ696-BI696)/BI696)</f>
        <v>0</v>
      </c>
      <c r="BZ696" s="32" t="n">
        <f aca="false">IF(BJ696=0,IF(BR696=0,0,1),(BR696-BJ696)/BJ696)</f>
        <v>0</v>
      </c>
      <c r="CA696" s="32" t="n">
        <f aca="false">IF(BK696=0,IF(BS696=0,0,1),(BS696-BK696)/BK696)</f>
        <v>0</v>
      </c>
      <c r="CB696" s="32" t="n">
        <f aca="false">IF(BL696=0,IF(BT696=0,0,1),(BT696-BL696)/BL696)</f>
        <v>0</v>
      </c>
      <c r="CC696" s="32" t="n">
        <f aca="false">IF(BM696=0,IF(BU696=0,0,1),(BU696-BM696)/BM696)</f>
        <v>0</v>
      </c>
      <c r="CD696" s="32" t="n">
        <f aca="false">MAX(MAX(BV696:CC696),-MIN(BV696:CC696))</f>
        <v>-0</v>
      </c>
      <c r="CE696" s="31" t="n">
        <f aca="false">IF(CI696="","",SUMIFS($CF$7:$CF$696,$A$7:$A$696,CI696,$B$7:$B$696,B696))</f>
        <v>934276</v>
      </c>
      <c r="CF696" s="31" t="n">
        <f aca="false">SUM(AU696:BE696)</f>
        <v>129356</v>
      </c>
      <c r="CG696" s="33" t="str">
        <f aca="false">A696&amp;"|"&amp;B696</f>
        <v>2027-03 月例|任意継続組合員</v>
      </c>
      <c r="CH696" s="34" t="str">
        <f aca="false">IFERROR(INDEX(設定!$D$61:$D$106,MATCH(B696,設定!$B$61:$B$106,0)),"Y")</f>
        <v>N</v>
      </c>
      <c r="CI696" s="34" t="str">
        <f aca="false">IFERROR(INDEX(設定!$D$20:$D$34,MATCH(A696,設定!$A$20:$A$34,0))&amp;"","")</f>
        <v>2027-02 月例</v>
      </c>
    </row>
  </sheetData>
  <autoFilter ref="A6:CI696">
    <filterColumn colId="0">
      <filters>
        <filter val="2026-10 月例"/>
      </filters>
    </filterColumn>
  </autoFilter>
  <mergeCells count="11">
    <mergeCell ref="C5:F5"/>
    <mergeCell ref="G5:H5"/>
    <mergeCell ref="I5:K5"/>
    <mergeCell ref="L5:V5"/>
    <mergeCell ref="W5:AF5"/>
    <mergeCell ref="AG5:AH5"/>
    <mergeCell ref="AJ5:AT5"/>
    <mergeCell ref="AU5:BE5"/>
    <mergeCell ref="BF5:BM5"/>
    <mergeCell ref="BN5:BU5"/>
    <mergeCell ref="BV5:CC5"/>
  </mergeCells>
  <conditionalFormatting sqref="C7:C696">
    <cfRule type="expression" priority="2" aboveAverage="0" equalAverage="0" bottom="0" percent="0" rank="0" text="" dxfId="0">
      <formula>C7="未受領"</formula>
    </cfRule>
    <cfRule type="expression" priority="3" aboveAverage="0" equalAverage="0" bottom="0" percent="0" rank="0" text="" dxfId="17">
      <formula>OR(C7="入金確認済",C7="起票済")</formula>
    </cfRule>
    <cfRule type="expression" priority="4" aboveAverage="0" equalAverage="0" bottom="0" percent="0" rank="0" text="" dxfId="18">
      <formula>C7="受領済"</formula>
    </cfRule>
    <cfRule type="expression" priority="5" aboveAverage="0" equalAverage="0" bottom="0" percent="0" rank="0" text="" dxfId="19">
      <formula>C7="報告なし"</formula>
    </cfRule>
  </conditionalFormatting>
  <conditionalFormatting sqref="D7:D696">
    <cfRule type="expression" priority="6" aboveAverage="0" equalAverage="0" bottom="0" percent="0" rank="0" text="" dxfId="1">
      <formula>D7="要確認"</formula>
    </cfRule>
    <cfRule type="expression" priority="7" aboveAverage="0" equalAverage="0" bottom="0" percent="0" rank="0" text="" dxfId="2">
      <formula>D7="問題なし"</formula>
    </cfRule>
    <cfRule type="expression" priority="8" aboveAverage="0" equalAverage="0" bottom="0" percent="0" rank="0" text="" dxfId="19">
      <formula>D7="標報未入力"</formula>
    </cfRule>
  </conditionalFormatting>
  <conditionalFormatting sqref="E7:E696">
    <cfRule type="expression" priority="9" aboveAverage="0" equalAverage="0" bottom="0" percent="0" rank="0" text="" dxfId="20">
      <formula>LEFT(E7,3)="変動大"</formula>
    </cfRule>
    <cfRule type="expression" priority="10" aboveAverage="0" equalAverage="0" bottom="0" percent="0" rank="0" text="" dxfId="20">
      <formula>E7="前月同額"</formula>
    </cfRule>
  </conditionalFormatting>
  <conditionalFormatting sqref="F7:F696">
    <cfRule type="expression" priority="11" aboveAverage="0" equalAverage="0" bottom="0" percent="0" rank="0" text="" dxfId="1">
      <formula>F7="不一致"</formula>
    </cfRule>
    <cfRule type="expression" priority="12" aboveAverage="0" equalAverage="0" bottom="0" percent="0" rank="0" text="" dxfId="2">
      <formula>F7="一致"</formula>
    </cfRule>
    <cfRule type="expression" priority="13" aboveAverage="0" equalAverage="0" bottom="0" percent="0" rank="0" text="" dxfId="19">
      <formula>F7="未入金"</formula>
    </cfRule>
  </conditionalFormatting>
  <conditionalFormatting sqref="B7:B696">
    <cfRule type="expression" priority="14" aboveAverage="0" equalAverage="0" bottom="0" percent="0" rank="0" text="" dxfId="21">
      <formula>$D7="要確認"</formula>
    </cfRule>
  </conditionalFormatting>
  <conditionalFormatting sqref="A7:A696">
    <cfRule type="expression" priority="15" aboveAverage="0" equalAverage="0" bottom="0" percent="0" rank="0" text="" dxfId="22">
      <formula>$A7=ホーム!$C$4</formula>
    </cfRule>
  </conditionalFormatting>
  <dataValidations count="2">
    <dataValidation allowBlank="true" errorStyle="stop" operator="between" showDropDown="false" showErrorMessage="false" showInputMessage="false" sqref="H7:H696" type="list">
      <formula1>"Excel,PDF,FAX,紙,メール,その他"</formula1>
      <formula2>0</formula2>
    </dataValidation>
    <dataValidation allowBlank="true" errorStyle="stop" operator="between" showDropDown="false" showErrorMessage="false" showInputMessage="false" sqref="AG7:AH696"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AK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421875" defaultRowHeight="15" zeroHeight="false" outlineLevelRow="0" outlineLevelCol="1"/>
  <cols>
    <col collapsed="false" customWidth="true" hidden="false" outlineLevel="0" max="1" min="1" style="0" width="26"/>
    <col collapsed="false" customWidth="true" hidden="true" outlineLevel="0" max="2" min="2" style="0" width="5"/>
    <col collapsed="false" customWidth="true" hidden="false" outlineLevel="0" max="3" min="3" style="0" width="10"/>
    <col collapsed="false" customWidth="true" hidden="false" outlineLevel="0" max="4" min="4" style="0" width="11"/>
    <col collapsed="false" customWidth="true" hidden="false" outlineLevel="0" max="10" min="5" style="0" width="12"/>
    <col collapsed="false" customWidth="true" hidden="false" outlineLevel="0" max="11" min="11" style="0" width="9"/>
    <col collapsed="false" customWidth="true" hidden="false" outlineLevel="0" max="13" min="12" style="0" width="12"/>
    <col collapsed="false" customWidth="true" hidden="false" outlineLevel="0" max="14" min="14" style="0" width="9"/>
    <col collapsed="false" customWidth="true" hidden="false" outlineLevel="0" max="16" min="15" style="0" width="12"/>
    <col collapsed="false" customWidth="true" hidden="false" outlineLevel="0" max="17" min="17" style="0" width="9"/>
    <col collapsed="false" customWidth="true" hidden="false" outlineLevel="0" max="19" min="18" style="0" width="12"/>
    <col collapsed="false" customWidth="true" hidden="false" outlineLevel="0" max="20" min="20" style="0" width="9"/>
    <col collapsed="false" customWidth="true" hidden="false" outlineLevel="0" max="22" min="21" style="0" width="12"/>
    <col collapsed="false" customWidth="true" hidden="false" outlineLevel="0" max="23" min="23" style="0" width="9"/>
    <col collapsed="false" customWidth="true" hidden="false" outlineLevel="0" max="25" min="24" style="0" width="12"/>
    <col collapsed="false" customWidth="true" hidden="false" outlineLevel="0" max="26" min="26" style="0" width="9"/>
    <col collapsed="false" customWidth="true" hidden="false" outlineLevel="0" max="28" min="27" style="0" width="12"/>
    <col collapsed="false" customWidth="true" hidden="false" outlineLevel="0" max="29" min="29" style="0" width="9"/>
    <col collapsed="false" customWidth="true" hidden="false" outlineLevel="0" max="31" min="30" style="0" width="12"/>
    <col collapsed="false" customWidth="true" hidden="false" outlineLevel="0" max="32" min="32" style="0" width="9"/>
    <col collapsed="false" customWidth="true" hidden="true" outlineLevel="1" max="37" min="33" style="0" width="6"/>
  </cols>
  <sheetData>
    <row r="1" customFormat="false" ht="19.4" hidden="false" customHeight="false" outlineLevel="0" collapsed="false">
      <c r="A1" s="16" t="s">
        <v>223</v>
      </c>
    </row>
    <row r="2" customFormat="false" ht="17.35" hidden="false" customHeight="false" outlineLevel="0" collapsed="false">
      <c r="A2" s="37" t="s">
        <v>224</v>
      </c>
      <c r="B2" s="38" t="str">
        <f aca="false">ホーム!C4</f>
        <v>2026-10 月例</v>
      </c>
    </row>
    <row r="3" customFormat="false" ht="17.35" hidden="false" customHeight="false" outlineLevel="0" collapsed="false">
      <c r="A3" s="2" t="s">
        <v>225</v>
      </c>
    </row>
    <row r="4" customFormat="false" ht="17.35" hidden="false" customHeight="false" outlineLevel="0" collapsed="false">
      <c r="A4" s="5" t="s">
        <v>226</v>
      </c>
    </row>
    <row r="5" customFormat="false" ht="15" hidden="false" customHeight="true" outlineLevel="0" collapsed="false">
      <c r="A5" s="3"/>
      <c r="B5" s="3"/>
      <c r="C5" s="3"/>
      <c r="D5" s="3"/>
      <c r="E5" s="3"/>
      <c r="F5" s="3"/>
      <c r="G5" s="3"/>
      <c r="H5" s="3"/>
      <c r="I5" s="3" t="s">
        <v>227</v>
      </c>
      <c r="J5" s="3"/>
      <c r="K5" s="3"/>
      <c r="L5" s="3" t="s">
        <v>228</v>
      </c>
      <c r="M5" s="3"/>
      <c r="N5" s="3"/>
      <c r="O5" s="3" t="s">
        <v>229</v>
      </c>
      <c r="P5" s="3"/>
      <c r="Q5" s="3"/>
      <c r="R5" s="3" t="s">
        <v>230</v>
      </c>
      <c r="S5" s="3"/>
      <c r="T5" s="3"/>
      <c r="U5" s="3" t="s">
        <v>231</v>
      </c>
      <c r="V5" s="3"/>
      <c r="W5" s="3"/>
      <c r="X5" s="3" t="s">
        <v>232</v>
      </c>
      <c r="Y5" s="3"/>
      <c r="Z5" s="3"/>
      <c r="AA5" s="3" t="s">
        <v>233</v>
      </c>
      <c r="AB5" s="3"/>
      <c r="AC5" s="3"/>
      <c r="AD5" s="3" t="s">
        <v>234</v>
      </c>
      <c r="AE5" s="3"/>
      <c r="AF5" s="3"/>
      <c r="AG5" s="39"/>
      <c r="AH5" s="40"/>
      <c r="AI5" s="40"/>
      <c r="AJ5" s="40"/>
      <c r="AK5" s="40"/>
    </row>
    <row r="6" customFormat="false" ht="30" hidden="false" customHeight="true" outlineLevel="0" collapsed="false">
      <c r="A6" s="3" t="s">
        <v>72</v>
      </c>
      <c r="B6" s="21" t="s">
        <v>235</v>
      </c>
      <c r="C6" s="3" t="s">
        <v>41</v>
      </c>
      <c r="D6" s="3" t="s">
        <v>73</v>
      </c>
      <c r="E6" s="3" t="s">
        <v>74</v>
      </c>
      <c r="F6" s="3" t="s">
        <v>236</v>
      </c>
      <c r="G6" s="3" t="s">
        <v>237</v>
      </c>
      <c r="H6" s="3" t="s">
        <v>238</v>
      </c>
      <c r="I6" s="3" t="s">
        <v>239</v>
      </c>
      <c r="J6" s="3" t="s">
        <v>240</v>
      </c>
      <c r="K6" s="3" t="s">
        <v>241</v>
      </c>
      <c r="L6" s="3" t="s">
        <v>239</v>
      </c>
      <c r="M6" s="3" t="s">
        <v>240</v>
      </c>
      <c r="N6" s="3" t="s">
        <v>241</v>
      </c>
      <c r="O6" s="3" t="s">
        <v>239</v>
      </c>
      <c r="P6" s="3" t="s">
        <v>240</v>
      </c>
      <c r="Q6" s="3" t="s">
        <v>241</v>
      </c>
      <c r="R6" s="3" t="s">
        <v>239</v>
      </c>
      <c r="S6" s="3" t="s">
        <v>240</v>
      </c>
      <c r="T6" s="3" t="s">
        <v>241</v>
      </c>
      <c r="U6" s="3" t="s">
        <v>239</v>
      </c>
      <c r="V6" s="3" t="s">
        <v>240</v>
      </c>
      <c r="W6" s="3" t="s">
        <v>241</v>
      </c>
      <c r="X6" s="3" t="s">
        <v>239</v>
      </c>
      <c r="Y6" s="3" t="s">
        <v>240</v>
      </c>
      <c r="Z6" s="3" t="s">
        <v>241</v>
      </c>
      <c r="AA6" s="3" t="s">
        <v>239</v>
      </c>
      <c r="AB6" s="3" t="s">
        <v>240</v>
      </c>
      <c r="AC6" s="3" t="s">
        <v>241</v>
      </c>
      <c r="AD6" s="3" t="s">
        <v>239</v>
      </c>
      <c r="AE6" s="3" t="s">
        <v>240</v>
      </c>
      <c r="AF6" s="3" t="s">
        <v>241</v>
      </c>
      <c r="AG6" s="21" t="s">
        <v>242</v>
      </c>
      <c r="AH6" s="21" t="s">
        <v>243</v>
      </c>
      <c r="AI6" s="21" t="s">
        <v>244</v>
      </c>
      <c r="AJ6" s="21" t="s">
        <v>245</v>
      </c>
      <c r="AK6" s="21" t="s">
        <v>151</v>
      </c>
    </row>
    <row r="7" customFormat="false" ht="15" hidden="false" customHeight="false" outlineLevel="0" collapsed="false">
      <c r="A7" s="41" t="str">
        <f aca="false">設定!B61</f>
        <v>市長部局</v>
      </c>
      <c r="B7" s="33" t="n">
        <f aca="false">IFERROR(MATCH(ホーム!$C$4&amp;"|"&amp;A7,報告入力!$CG$7:$CG$696,0),"")</f>
        <v>323</v>
      </c>
      <c r="C7" s="10" t="str">
        <f aca="false">IF($B7="","",INDEX(報告入力!$C$7:$C$696,$B7))</f>
        <v>未受領</v>
      </c>
      <c r="D7" s="10" t="str">
        <f aca="false">IF($B7="","",INDEX(報告入力!$D$7:$D$696,$B7))</f>
        <v>―</v>
      </c>
      <c r="E7" s="24" t="str">
        <f aca="false">IF($B7="","",INDEX(報告入力!$E$7:$E$696,$B7))</f>
        <v>―</v>
      </c>
      <c r="F7" s="42" t="n">
        <f aca="false">IF($B7="","",INDEX(報告入力!$I$7:$I$696,$B7))</f>
        <v>0</v>
      </c>
      <c r="G7" s="42" t="n">
        <f aca="false">IF($B7="","",INDEX(報告入力!$J$7:$J$696,$B7))</f>
        <v>0</v>
      </c>
      <c r="H7" s="42" t="n">
        <f aca="false">IF($B7="","",INDEX(報告入力!$K$7:$K$696,$B7))</f>
        <v>0</v>
      </c>
      <c r="I7" s="42" t="str">
        <f aca="false">IF($AG7=1,INDEX(報告入力!$BN$7:$BN$696,$B7),"")</f>
        <v/>
      </c>
      <c r="J7" s="42" t="str">
        <f aca="false">IF($AH7=1,INDEX(報告入力!$BF$7:$BF$696,$B7),"")</f>
        <v/>
      </c>
      <c r="K7" s="43" t="str">
        <f aca="false">IF($AH7=1,INDEX(報告入力!$BV$7:$BV$696,$B7),"")</f>
        <v/>
      </c>
      <c r="L7" s="42" t="str">
        <f aca="false">IF($AG7=1,INDEX(報告入力!$BO$7:$BO$696,$B7),"")</f>
        <v/>
      </c>
      <c r="M7" s="42" t="str">
        <f aca="false">IF($AH7=1,INDEX(報告入力!$BG$7:$BG$696,$B7),"")</f>
        <v/>
      </c>
      <c r="N7" s="43" t="str">
        <f aca="false">IF($AH7=1,INDEX(報告入力!$BW$7:$BW$696,$B7),"")</f>
        <v/>
      </c>
      <c r="O7" s="42" t="str">
        <f aca="false">IF($AG7=1,INDEX(報告入力!$BP$7:$BP$696,$B7),"")</f>
        <v/>
      </c>
      <c r="P7" s="42" t="str">
        <f aca="false">IF($AH7=1,INDEX(報告入力!$BH$7:$BH$696,$B7),"")</f>
        <v/>
      </c>
      <c r="Q7" s="43" t="str">
        <f aca="false">IF($AH7=1,INDEX(報告入力!$BX$7:$BX$696,$B7),"")</f>
        <v/>
      </c>
      <c r="R7" s="42" t="str">
        <f aca="false">IF($AG7=1,INDEX(報告入力!$BQ$7:$BQ$696,$B7),"")</f>
        <v/>
      </c>
      <c r="S7" s="42" t="str">
        <f aca="false">IF($AH7=1,INDEX(報告入力!$BI$7:$BI$696,$B7),"")</f>
        <v/>
      </c>
      <c r="T7" s="43" t="str">
        <f aca="false">IF($AH7=1,INDEX(報告入力!$BY$7:$BY$696,$B7),"")</f>
        <v/>
      </c>
      <c r="U7" s="42" t="str">
        <f aca="false">IF($AG7=1,INDEX(報告入力!$BR$7:$BR$696,$B7),"")</f>
        <v/>
      </c>
      <c r="V7" s="42" t="str">
        <f aca="false">IF($AH7=1,INDEX(報告入力!$BJ$7:$BJ$696,$B7),"")</f>
        <v/>
      </c>
      <c r="W7" s="43" t="str">
        <f aca="false">IF($AH7=1,INDEX(報告入力!$BZ$7:$BZ$696,$B7),"")</f>
        <v/>
      </c>
      <c r="X7" s="42" t="str">
        <f aca="false">IF($AG7=1,INDEX(報告入力!$BS$7:$BS$696,$B7),"")</f>
        <v/>
      </c>
      <c r="Y7" s="42" t="str">
        <f aca="false">IF($AH7=1,INDEX(報告入力!$BK$7:$BK$696,$B7),"")</f>
        <v/>
      </c>
      <c r="Z7" s="43" t="str">
        <f aca="false">IF($AH7=1,INDEX(報告入力!$CA$7:$CA$696,$B7),"")</f>
        <v/>
      </c>
      <c r="AA7" s="42" t="str">
        <f aca="false">IF($AG7=1,INDEX(報告入力!$BT$7:$BT$696,$B7),"")</f>
        <v/>
      </c>
      <c r="AB7" s="42" t="str">
        <f aca="false">IF($AH7=1,INDEX(報告入力!$BL$7:$BL$696,$B7),"")</f>
        <v/>
      </c>
      <c r="AC7" s="43" t="str">
        <f aca="false">IF($AH7=1,INDEX(報告入力!$CB$7:$CB$696,$B7),"")</f>
        <v/>
      </c>
      <c r="AD7" s="42" t="str">
        <f aca="false">IF($AG7=1,INDEX(報告入力!$BU$7:$BU$696,$B7),"")</f>
        <v/>
      </c>
      <c r="AE7" s="42" t="str">
        <f aca="false">IF($AH7=1,INDEX(報告入力!$BM$7:$BM$696,$B7),"")</f>
        <v/>
      </c>
      <c r="AF7" s="43" t="str">
        <f aca="false">IF($AH7=1,INDEX(報告入力!$CC$7:$CC$696,$B7),"")</f>
        <v/>
      </c>
      <c r="AG7" s="33" t="n">
        <f aca="false">IF($B7="",0,IF(OR(C7="未受領",C7="報告なし"),0,1))</f>
        <v>0</v>
      </c>
      <c r="AH7" s="33" t="n">
        <f aca="false">IF(OR(D7="問題なし",D7="要確認"),1,0)</f>
        <v>0</v>
      </c>
      <c r="AI7" s="33" t="n">
        <f aca="false">IF(C7="未受領",MAX(AI$6:AI6)+1,"")</f>
        <v>1</v>
      </c>
      <c r="AJ7" s="33" t="str">
        <f aca="false">IF(D7="要確認",MAX(AJ$6:AJ6)+1,"")</f>
        <v/>
      </c>
      <c r="AK7" s="32" t="str">
        <f aca="false">IF(D7="要確認",INDEX(報告入力!$CD$7:$CD$696,$B7),"")</f>
        <v/>
      </c>
    </row>
    <row r="8" customFormat="false" ht="15" hidden="false" customHeight="false" outlineLevel="0" collapsed="false">
      <c r="A8" s="41" t="str">
        <f aca="false">設定!B62</f>
        <v>下水道局</v>
      </c>
      <c r="B8" s="33" t="n">
        <f aca="false">IFERROR(MATCH(ホーム!$C$4&amp;"|"&amp;A8,報告入力!$CG$7:$CG$696,0),"")</f>
        <v>324</v>
      </c>
      <c r="C8" s="10" t="str">
        <f aca="false">IF($B8="","",INDEX(報告入力!$C$7:$C$696,$B8))</f>
        <v>未受領</v>
      </c>
      <c r="D8" s="10" t="str">
        <f aca="false">IF($B8="","",INDEX(報告入力!$D$7:$D$696,$B8))</f>
        <v>―</v>
      </c>
      <c r="E8" s="24" t="str">
        <f aca="false">IF($B8="","",INDEX(報告入力!$E$7:$E$696,$B8))</f>
        <v>―</v>
      </c>
      <c r="F8" s="42" t="n">
        <f aca="false">IF($B8="","",INDEX(報告入力!$I$7:$I$696,$B8))</f>
        <v>0</v>
      </c>
      <c r="G8" s="42" t="n">
        <f aca="false">IF($B8="","",INDEX(報告入力!$J$7:$J$696,$B8))</f>
        <v>0</v>
      </c>
      <c r="H8" s="42" t="n">
        <f aca="false">IF($B8="","",INDEX(報告入力!$K$7:$K$696,$B8))</f>
        <v>0</v>
      </c>
      <c r="I8" s="42" t="str">
        <f aca="false">IF($AG8=1,INDEX(報告入力!$BN$7:$BN$696,$B8),"")</f>
        <v/>
      </c>
      <c r="J8" s="42" t="str">
        <f aca="false">IF($AH8=1,INDEX(報告入力!$BF$7:$BF$696,$B8),"")</f>
        <v/>
      </c>
      <c r="K8" s="43" t="str">
        <f aca="false">IF($AH8=1,INDEX(報告入力!$BV$7:$BV$696,$B8),"")</f>
        <v/>
      </c>
      <c r="L8" s="42" t="str">
        <f aca="false">IF($AG8=1,INDEX(報告入力!$BO$7:$BO$696,$B8),"")</f>
        <v/>
      </c>
      <c r="M8" s="42" t="str">
        <f aca="false">IF($AH8=1,INDEX(報告入力!$BG$7:$BG$696,$B8),"")</f>
        <v/>
      </c>
      <c r="N8" s="43" t="str">
        <f aca="false">IF($AH8=1,INDEX(報告入力!$BW$7:$BW$696,$B8),"")</f>
        <v/>
      </c>
      <c r="O8" s="42" t="str">
        <f aca="false">IF($AG8=1,INDEX(報告入力!$BP$7:$BP$696,$B8),"")</f>
        <v/>
      </c>
      <c r="P8" s="42" t="str">
        <f aca="false">IF($AH8=1,INDEX(報告入力!$BH$7:$BH$696,$B8),"")</f>
        <v/>
      </c>
      <c r="Q8" s="43" t="str">
        <f aca="false">IF($AH8=1,INDEX(報告入力!$BX$7:$BX$696,$B8),"")</f>
        <v/>
      </c>
      <c r="R8" s="42" t="str">
        <f aca="false">IF($AG8=1,INDEX(報告入力!$BQ$7:$BQ$696,$B8),"")</f>
        <v/>
      </c>
      <c r="S8" s="42" t="str">
        <f aca="false">IF($AH8=1,INDEX(報告入力!$BI$7:$BI$696,$B8),"")</f>
        <v/>
      </c>
      <c r="T8" s="43" t="str">
        <f aca="false">IF($AH8=1,INDEX(報告入力!$BY$7:$BY$696,$B8),"")</f>
        <v/>
      </c>
      <c r="U8" s="42" t="str">
        <f aca="false">IF($AG8=1,INDEX(報告入力!$BR$7:$BR$696,$B8),"")</f>
        <v/>
      </c>
      <c r="V8" s="42" t="str">
        <f aca="false">IF($AH8=1,INDEX(報告入力!$BJ$7:$BJ$696,$B8),"")</f>
        <v/>
      </c>
      <c r="W8" s="43" t="str">
        <f aca="false">IF($AH8=1,INDEX(報告入力!$BZ$7:$BZ$696,$B8),"")</f>
        <v/>
      </c>
      <c r="X8" s="42" t="str">
        <f aca="false">IF($AG8=1,INDEX(報告入力!$BS$7:$BS$696,$B8),"")</f>
        <v/>
      </c>
      <c r="Y8" s="42" t="str">
        <f aca="false">IF($AH8=1,INDEX(報告入力!$BK$7:$BK$696,$B8),"")</f>
        <v/>
      </c>
      <c r="Z8" s="43" t="str">
        <f aca="false">IF($AH8=1,INDEX(報告入力!$CA$7:$CA$696,$B8),"")</f>
        <v/>
      </c>
      <c r="AA8" s="42" t="str">
        <f aca="false">IF($AG8=1,INDEX(報告入力!$BT$7:$BT$696,$B8),"")</f>
        <v/>
      </c>
      <c r="AB8" s="42" t="str">
        <f aca="false">IF($AH8=1,INDEX(報告入力!$BL$7:$BL$696,$B8),"")</f>
        <v/>
      </c>
      <c r="AC8" s="43" t="str">
        <f aca="false">IF($AH8=1,INDEX(報告入力!$CB$7:$CB$696,$B8),"")</f>
        <v/>
      </c>
      <c r="AD8" s="42" t="str">
        <f aca="false">IF($AG8=1,INDEX(報告入力!$BU$7:$BU$696,$B8),"")</f>
        <v/>
      </c>
      <c r="AE8" s="42" t="str">
        <f aca="false">IF($AH8=1,INDEX(報告入力!$BM$7:$BM$696,$B8),"")</f>
        <v/>
      </c>
      <c r="AF8" s="43" t="str">
        <f aca="false">IF($AH8=1,INDEX(報告入力!$CC$7:$CC$696,$B8),"")</f>
        <v/>
      </c>
      <c r="AG8" s="33" t="n">
        <f aca="false">IF($B8="",0,IF(OR(C8="未受領",C8="報告なし"),0,1))</f>
        <v>0</v>
      </c>
      <c r="AH8" s="33" t="n">
        <f aca="false">IF(OR(D8="問題なし",D8="要確認"),1,0)</f>
        <v>0</v>
      </c>
      <c r="AI8" s="33" t="n">
        <f aca="false">IF(C8="未受領",MAX(AI$6:AI7)+1,"")</f>
        <v>2</v>
      </c>
      <c r="AJ8" s="33" t="str">
        <f aca="false">IF(D8="要確認",MAX(AJ$6:AJ7)+1,"")</f>
        <v/>
      </c>
      <c r="AK8" s="32" t="str">
        <f aca="false">IF(D8="要確認",INDEX(報告入力!$CD$7:$CD$696,$B8),"")</f>
        <v/>
      </c>
    </row>
    <row r="9" customFormat="false" ht="15" hidden="false" customHeight="false" outlineLevel="0" collapsed="false">
      <c r="A9" s="41" t="str">
        <f aca="false">設定!B63</f>
        <v>消防局</v>
      </c>
      <c r="B9" s="33" t="n">
        <f aca="false">IFERROR(MATCH(ホーム!$C$4&amp;"|"&amp;A9,報告入力!$CG$7:$CG$696,0),"")</f>
        <v>325</v>
      </c>
      <c r="C9" s="10" t="str">
        <f aca="false">IF($B9="","",INDEX(報告入力!$C$7:$C$696,$B9))</f>
        <v>未受領</v>
      </c>
      <c r="D9" s="10" t="str">
        <f aca="false">IF($B9="","",INDEX(報告入力!$D$7:$D$696,$B9))</f>
        <v>―</v>
      </c>
      <c r="E9" s="24" t="str">
        <f aca="false">IF($B9="","",INDEX(報告入力!$E$7:$E$696,$B9))</f>
        <v>―</v>
      </c>
      <c r="F9" s="42" t="n">
        <f aca="false">IF($B9="","",INDEX(報告入力!$I$7:$I$696,$B9))</f>
        <v>0</v>
      </c>
      <c r="G9" s="42" t="n">
        <f aca="false">IF($B9="","",INDEX(報告入力!$J$7:$J$696,$B9))</f>
        <v>0</v>
      </c>
      <c r="H9" s="42" t="n">
        <f aca="false">IF($B9="","",INDEX(報告入力!$K$7:$K$696,$B9))</f>
        <v>0</v>
      </c>
      <c r="I9" s="42" t="str">
        <f aca="false">IF($AG9=1,INDEX(報告入力!$BN$7:$BN$696,$B9),"")</f>
        <v/>
      </c>
      <c r="J9" s="42" t="str">
        <f aca="false">IF($AH9=1,INDEX(報告入力!$BF$7:$BF$696,$B9),"")</f>
        <v/>
      </c>
      <c r="K9" s="43" t="str">
        <f aca="false">IF($AH9=1,INDEX(報告入力!$BV$7:$BV$696,$B9),"")</f>
        <v/>
      </c>
      <c r="L9" s="42" t="str">
        <f aca="false">IF($AG9=1,INDEX(報告入力!$BO$7:$BO$696,$B9),"")</f>
        <v/>
      </c>
      <c r="M9" s="42" t="str">
        <f aca="false">IF($AH9=1,INDEX(報告入力!$BG$7:$BG$696,$B9),"")</f>
        <v/>
      </c>
      <c r="N9" s="43" t="str">
        <f aca="false">IF($AH9=1,INDEX(報告入力!$BW$7:$BW$696,$B9),"")</f>
        <v/>
      </c>
      <c r="O9" s="42" t="str">
        <f aca="false">IF($AG9=1,INDEX(報告入力!$BP$7:$BP$696,$B9),"")</f>
        <v/>
      </c>
      <c r="P9" s="42" t="str">
        <f aca="false">IF($AH9=1,INDEX(報告入力!$BH$7:$BH$696,$B9),"")</f>
        <v/>
      </c>
      <c r="Q9" s="43" t="str">
        <f aca="false">IF($AH9=1,INDEX(報告入力!$BX$7:$BX$696,$B9),"")</f>
        <v/>
      </c>
      <c r="R9" s="42" t="str">
        <f aca="false">IF($AG9=1,INDEX(報告入力!$BQ$7:$BQ$696,$B9),"")</f>
        <v/>
      </c>
      <c r="S9" s="42" t="str">
        <f aca="false">IF($AH9=1,INDEX(報告入力!$BI$7:$BI$696,$B9),"")</f>
        <v/>
      </c>
      <c r="T9" s="43" t="str">
        <f aca="false">IF($AH9=1,INDEX(報告入力!$BY$7:$BY$696,$B9),"")</f>
        <v/>
      </c>
      <c r="U9" s="42" t="str">
        <f aca="false">IF($AG9=1,INDEX(報告入力!$BR$7:$BR$696,$B9),"")</f>
        <v/>
      </c>
      <c r="V9" s="42" t="str">
        <f aca="false">IF($AH9=1,INDEX(報告入力!$BJ$7:$BJ$696,$B9),"")</f>
        <v/>
      </c>
      <c r="W9" s="43" t="str">
        <f aca="false">IF($AH9=1,INDEX(報告入力!$BZ$7:$BZ$696,$B9),"")</f>
        <v/>
      </c>
      <c r="X9" s="42" t="str">
        <f aca="false">IF($AG9=1,INDEX(報告入力!$BS$7:$BS$696,$B9),"")</f>
        <v/>
      </c>
      <c r="Y9" s="42" t="str">
        <f aca="false">IF($AH9=1,INDEX(報告入力!$BK$7:$BK$696,$B9),"")</f>
        <v/>
      </c>
      <c r="Z9" s="43" t="str">
        <f aca="false">IF($AH9=1,INDEX(報告入力!$CA$7:$CA$696,$B9),"")</f>
        <v/>
      </c>
      <c r="AA9" s="42" t="str">
        <f aca="false">IF($AG9=1,INDEX(報告入力!$BT$7:$BT$696,$B9),"")</f>
        <v/>
      </c>
      <c r="AB9" s="42" t="str">
        <f aca="false">IF($AH9=1,INDEX(報告入力!$BL$7:$BL$696,$B9),"")</f>
        <v/>
      </c>
      <c r="AC9" s="43" t="str">
        <f aca="false">IF($AH9=1,INDEX(報告入力!$CB$7:$CB$696,$B9),"")</f>
        <v/>
      </c>
      <c r="AD9" s="42" t="str">
        <f aca="false">IF($AG9=1,INDEX(報告入力!$BU$7:$BU$696,$B9),"")</f>
        <v/>
      </c>
      <c r="AE9" s="42" t="str">
        <f aca="false">IF($AH9=1,INDEX(報告入力!$BM$7:$BM$696,$B9),"")</f>
        <v/>
      </c>
      <c r="AF9" s="43" t="str">
        <f aca="false">IF($AH9=1,INDEX(報告入力!$CC$7:$CC$696,$B9),"")</f>
        <v/>
      </c>
      <c r="AG9" s="33" t="n">
        <f aca="false">IF($B9="",0,IF(OR(C9="未受領",C9="報告なし"),0,1))</f>
        <v>0</v>
      </c>
      <c r="AH9" s="33" t="n">
        <f aca="false">IF(OR(D9="問題なし",D9="要確認"),1,0)</f>
        <v>0</v>
      </c>
      <c r="AI9" s="33" t="n">
        <f aca="false">IF(C9="未受領",MAX(AI$6:AI8)+1,"")</f>
        <v>3</v>
      </c>
      <c r="AJ9" s="33" t="str">
        <f aca="false">IF(D9="要確認",MAX(AJ$6:AJ8)+1,"")</f>
        <v/>
      </c>
      <c r="AK9" s="32" t="str">
        <f aca="false">IF(D9="要確認",INDEX(報告入力!$CD$7:$CD$696,$B9),"")</f>
        <v/>
      </c>
    </row>
    <row r="10" customFormat="false" ht="15" hidden="false" customHeight="false" outlineLevel="0" collapsed="false">
      <c r="A10" s="41" t="str">
        <f aca="false">設定!B64</f>
        <v>議会事務局</v>
      </c>
      <c r="B10" s="33" t="n">
        <f aca="false">IFERROR(MATCH(ホーム!$C$4&amp;"|"&amp;A10,報告入力!$CG$7:$CG$696,0),"")</f>
        <v>326</v>
      </c>
      <c r="C10" s="10" t="str">
        <f aca="false">IF($B10="","",INDEX(報告入力!$C$7:$C$696,$B10))</f>
        <v>未受領</v>
      </c>
      <c r="D10" s="10" t="str">
        <f aca="false">IF($B10="","",INDEX(報告入力!$D$7:$D$696,$B10))</f>
        <v>―</v>
      </c>
      <c r="E10" s="24" t="str">
        <f aca="false">IF($B10="","",INDEX(報告入力!$E$7:$E$696,$B10))</f>
        <v>―</v>
      </c>
      <c r="F10" s="42" t="n">
        <f aca="false">IF($B10="","",INDEX(報告入力!$I$7:$I$696,$B10))</f>
        <v>0</v>
      </c>
      <c r="G10" s="42" t="n">
        <f aca="false">IF($B10="","",INDEX(報告入力!$J$7:$J$696,$B10))</f>
        <v>0</v>
      </c>
      <c r="H10" s="42" t="n">
        <f aca="false">IF($B10="","",INDEX(報告入力!$K$7:$K$696,$B10))</f>
        <v>0</v>
      </c>
      <c r="I10" s="42" t="str">
        <f aca="false">IF($AG10=1,INDEX(報告入力!$BN$7:$BN$696,$B10),"")</f>
        <v/>
      </c>
      <c r="J10" s="42" t="str">
        <f aca="false">IF($AH10=1,INDEX(報告入力!$BF$7:$BF$696,$B10),"")</f>
        <v/>
      </c>
      <c r="K10" s="43" t="str">
        <f aca="false">IF($AH10=1,INDEX(報告入力!$BV$7:$BV$696,$B10),"")</f>
        <v/>
      </c>
      <c r="L10" s="42" t="str">
        <f aca="false">IF($AG10=1,INDEX(報告入力!$BO$7:$BO$696,$B10),"")</f>
        <v/>
      </c>
      <c r="M10" s="42" t="str">
        <f aca="false">IF($AH10=1,INDEX(報告入力!$BG$7:$BG$696,$B10),"")</f>
        <v/>
      </c>
      <c r="N10" s="43" t="str">
        <f aca="false">IF($AH10=1,INDEX(報告入力!$BW$7:$BW$696,$B10),"")</f>
        <v/>
      </c>
      <c r="O10" s="42" t="str">
        <f aca="false">IF($AG10=1,INDEX(報告入力!$BP$7:$BP$696,$B10),"")</f>
        <v/>
      </c>
      <c r="P10" s="42" t="str">
        <f aca="false">IF($AH10=1,INDEX(報告入力!$BH$7:$BH$696,$B10),"")</f>
        <v/>
      </c>
      <c r="Q10" s="43" t="str">
        <f aca="false">IF($AH10=1,INDEX(報告入力!$BX$7:$BX$696,$B10),"")</f>
        <v/>
      </c>
      <c r="R10" s="42" t="str">
        <f aca="false">IF($AG10=1,INDEX(報告入力!$BQ$7:$BQ$696,$B10),"")</f>
        <v/>
      </c>
      <c r="S10" s="42" t="str">
        <f aca="false">IF($AH10=1,INDEX(報告入力!$BI$7:$BI$696,$B10),"")</f>
        <v/>
      </c>
      <c r="T10" s="43" t="str">
        <f aca="false">IF($AH10=1,INDEX(報告入力!$BY$7:$BY$696,$B10),"")</f>
        <v/>
      </c>
      <c r="U10" s="42" t="str">
        <f aca="false">IF($AG10=1,INDEX(報告入力!$BR$7:$BR$696,$B10),"")</f>
        <v/>
      </c>
      <c r="V10" s="42" t="str">
        <f aca="false">IF($AH10=1,INDEX(報告入力!$BJ$7:$BJ$696,$B10),"")</f>
        <v/>
      </c>
      <c r="W10" s="43" t="str">
        <f aca="false">IF($AH10=1,INDEX(報告入力!$BZ$7:$BZ$696,$B10),"")</f>
        <v/>
      </c>
      <c r="X10" s="42" t="str">
        <f aca="false">IF($AG10=1,INDEX(報告入力!$BS$7:$BS$696,$B10),"")</f>
        <v/>
      </c>
      <c r="Y10" s="42" t="str">
        <f aca="false">IF($AH10=1,INDEX(報告入力!$BK$7:$BK$696,$B10),"")</f>
        <v/>
      </c>
      <c r="Z10" s="43" t="str">
        <f aca="false">IF($AH10=1,INDEX(報告入力!$CA$7:$CA$696,$B10),"")</f>
        <v/>
      </c>
      <c r="AA10" s="42" t="str">
        <f aca="false">IF($AG10=1,INDEX(報告入力!$BT$7:$BT$696,$B10),"")</f>
        <v/>
      </c>
      <c r="AB10" s="42" t="str">
        <f aca="false">IF($AH10=1,INDEX(報告入力!$BL$7:$BL$696,$B10),"")</f>
        <v/>
      </c>
      <c r="AC10" s="43" t="str">
        <f aca="false">IF($AH10=1,INDEX(報告入力!$CB$7:$CB$696,$B10),"")</f>
        <v/>
      </c>
      <c r="AD10" s="42" t="str">
        <f aca="false">IF($AG10=1,INDEX(報告入力!$BU$7:$BU$696,$B10),"")</f>
        <v/>
      </c>
      <c r="AE10" s="42" t="str">
        <f aca="false">IF($AH10=1,INDEX(報告入力!$BM$7:$BM$696,$B10),"")</f>
        <v/>
      </c>
      <c r="AF10" s="43" t="str">
        <f aca="false">IF($AH10=1,INDEX(報告入力!$CC$7:$CC$696,$B10),"")</f>
        <v/>
      </c>
      <c r="AG10" s="33" t="n">
        <f aca="false">IF($B10="",0,IF(OR(C10="未受領",C10="報告なし"),0,1))</f>
        <v>0</v>
      </c>
      <c r="AH10" s="33" t="n">
        <f aca="false">IF(OR(D10="問題なし",D10="要確認"),1,0)</f>
        <v>0</v>
      </c>
      <c r="AI10" s="33" t="n">
        <f aca="false">IF(C10="未受領",MAX(AI$6:AI9)+1,"")</f>
        <v>4</v>
      </c>
      <c r="AJ10" s="33" t="str">
        <f aca="false">IF(D10="要確認",MAX(AJ$6:AJ9)+1,"")</f>
        <v/>
      </c>
      <c r="AK10" s="32" t="str">
        <f aca="false">IF(D10="要確認",INDEX(報告入力!$CD$7:$CD$696,$B10),"")</f>
        <v/>
      </c>
    </row>
    <row r="11" customFormat="false" ht="15" hidden="false" customHeight="false" outlineLevel="0" collapsed="false">
      <c r="A11" s="41" t="str">
        <f aca="false">設定!B65</f>
        <v>教育委員会（総務課）</v>
      </c>
      <c r="B11" s="33" t="n">
        <f aca="false">IFERROR(MATCH(ホーム!$C$4&amp;"|"&amp;A11,報告入力!$CG$7:$CG$696,0),"")</f>
        <v>327</v>
      </c>
      <c r="C11" s="10" t="str">
        <f aca="false">IF($B11="","",INDEX(報告入力!$C$7:$C$696,$B11))</f>
        <v>未受領</v>
      </c>
      <c r="D11" s="10" t="str">
        <f aca="false">IF($B11="","",INDEX(報告入力!$D$7:$D$696,$B11))</f>
        <v>―</v>
      </c>
      <c r="E11" s="24" t="str">
        <f aca="false">IF($B11="","",INDEX(報告入力!$E$7:$E$696,$B11))</f>
        <v>―</v>
      </c>
      <c r="F11" s="42" t="n">
        <f aca="false">IF($B11="","",INDEX(報告入力!$I$7:$I$696,$B11))</f>
        <v>0</v>
      </c>
      <c r="G11" s="42" t="n">
        <f aca="false">IF($B11="","",INDEX(報告入力!$J$7:$J$696,$B11))</f>
        <v>0</v>
      </c>
      <c r="H11" s="42" t="n">
        <f aca="false">IF($B11="","",INDEX(報告入力!$K$7:$K$696,$B11))</f>
        <v>0</v>
      </c>
      <c r="I11" s="42" t="str">
        <f aca="false">IF($AG11=1,INDEX(報告入力!$BN$7:$BN$696,$B11),"")</f>
        <v/>
      </c>
      <c r="J11" s="42" t="str">
        <f aca="false">IF($AH11=1,INDEX(報告入力!$BF$7:$BF$696,$B11),"")</f>
        <v/>
      </c>
      <c r="K11" s="43" t="str">
        <f aca="false">IF($AH11=1,INDEX(報告入力!$BV$7:$BV$696,$B11),"")</f>
        <v/>
      </c>
      <c r="L11" s="42" t="str">
        <f aca="false">IF($AG11=1,INDEX(報告入力!$BO$7:$BO$696,$B11),"")</f>
        <v/>
      </c>
      <c r="M11" s="42" t="str">
        <f aca="false">IF($AH11=1,INDEX(報告入力!$BG$7:$BG$696,$B11),"")</f>
        <v/>
      </c>
      <c r="N11" s="43" t="str">
        <f aca="false">IF($AH11=1,INDEX(報告入力!$BW$7:$BW$696,$B11),"")</f>
        <v/>
      </c>
      <c r="O11" s="42" t="str">
        <f aca="false">IF($AG11=1,INDEX(報告入力!$BP$7:$BP$696,$B11),"")</f>
        <v/>
      </c>
      <c r="P11" s="42" t="str">
        <f aca="false">IF($AH11=1,INDEX(報告入力!$BH$7:$BH$696,$B11),"")</f>
        <v/>
      </c>
      <c r="Q11" s="43" t="str">
        <f aca="false">IF($AH11=1,INDEX(報告入力!$BX$7:$BX$696,$B11),"")</f>
        <v/>
      </c>
      <c r="R11" s="42" t="str">
        <f aca="false">IF($AG11=1,INDEX(報告入力!$BQ$7:$BQ$696,$B11),"")</f>
        <v/>
      </c>
      <c r="S11" s="42" t="str">
        <f aca="false">IF($AH11=1,INDEX(報告入力!$BI$7:$BI$696,$B11),"")</f>
        <v/>
      </c>
      <c r="T11" s="43" t="str">
        <f aca="false">IF($AH11=1,INDEX(報告入力!$BY$7:$BY$696,$B11),"")</f>
        <v/>
      </c>
      <c r="U11" s="42" t="str">
        <f aca="false">IF($AG11=1,INDEX(報告入力!$BR$7:$BR$696,$B11),"")</f>
        <v/>
      </c>
      <c r="V11" s="42" t="str">
        <f aca="false">IF($AH11=1,INDEX(報告入力!$BJ$7:$BJ$696,$B11),"")</f>
        <v/>
      </c>
      <c r="W11" s="43" t="str">
        <f aca="false">IF($AH11=1,INDEX(報告入力!$BZ$7:$BZ$696,$B11),"")</f>
        <v/>
      </c>
      <c r="X11" s="42" t="str">
        <f aca="false">IF($AG11=1,INDEX(報告入力!$BS$7:$BS$696,$B11),"")</f>
        <v/>
      </c>
      <c r="Y11" s="42" t="str">
        <f aca="false">IF($AH11=1,INDEX(報告入力!$BK$7:$BK$696,$B11),"")</f>
        <v/>
      </c>
      <c r="Z11" s="43" t="str">
        <f aca="false">IF($AH11=1,INDEX(報告入力!$CA$7:$CA$696,$B11),"")</f>
        <v/>
      </c>
      <c r="AA11" s="42" t="str">
        <f aca="false">IF($AG11=1,INDEX(報告入力!$BT$7:$BT$696,$B11),"")</f>
        <v/>
      </c>
      <c r="AB11" s="42" t="str">
        <f aca="false">IF($AH11=1,INDEX(報告入力!$BL$7:$BL$696,$B11),"")</f>
        <v/>
      </c>
      <c r="AC11" s="43" t="str">
        <f aca="false">IF($AH11=1,INDEX(報告入力!$CB$7:$CB$696,$B11),"")</f>
        <v/>
      </c>
      <c r="AD11" s="42" t="str">
        <f aca="false">IF($AG11=1,INDEX(報告入力!$BU$7:$BU$696,$B11),"")</f>
        <v/>
      </c>
      <c r="AE11" s="42" t="str">
        <f aca="false">IF($AH11=1,INDEX(報告入力!$BM$7:$BM$696,$B11),"")</f>
        <v/>
      </c>
      <c r="AF11" s="43" t="str">
        <f aca="false">IF($AH11=1,INDEX(報告入力!$CC$7:$CC$696,$B11),"")</f>
        <v/>
      </c>
      <c r="AG11" s="33" t="n">
        <f aca="false">IF($B11="",0,IF(OR(C11="未受領",C11="報告なし"),0,1))</f>
        <v>0</v>
      </c>
      <c r="AH11" s="33" t="n">
        <f aca="false">IF(OR(D11="問題なし",D11="要確認"),1,0)</f>
        <v>0</v>
      </c>
      <c r="AI11" s="33" t="n">
        <f aca="false">IF(C11="未受領",MAX(AI$6:AI10)+1,"")</f>
        <v>5</v>
      </c>
      <c r="AJ11" s="33" t="str">
        <f aca="false">IF(D11="要確認",MAX(AJ$6:AJ10)+1,"")</f>
        <v/>
      </c>
      <c r="AK11" s="32" t="str">
        <f aca="false">IF(D11="要確認",INDEX(報告入力!$CD$7:$CD$696,$B11),"")</f>
        <v/>
      </c>
    </row>
    <row r="12" customFormat="false" ht="15" hidden="false" customHeight="false" outlineLevel="0" collapsed="false">
      <c r="A12" s="41" t="str">
        <f aca="false">設定!B66</f>
        <v>選挙管理委員会</v>
      </c>
      <c r="B12" s="33" t="n">
        <f aca="false">IFERROR(MATCH(ホーム!$C$4&amp;"|"&amp;A12,報告入力!$CG$7:$CG$696,0),"")</f>
        <v>328</v>
      </c>
      <c r="C12" s="10" t="str">
        <f aca="false">IF($B12="","",INDEX(報告入力!$C$7:$C$696,$B12))</f>
        <v>未受領</v>
      </c>
      <c r="D12" s="10" t="str">
        <f aca="false">IF($B12="","",INDEX(報告入力!$D$7:$D$696,$B12))</f>
        <v>―</v>
      </c>
      <c r="E12" s="24" t="str">
        <f aca="false">IF($B12="","",INDEX(報告入力!$E$7:$E$696,$B12))</f>
        <v>―</v>
      </c>
      <c r="F12" s="42" t="n">
        <f aca="false">IF($B12="","",INDEX(報告入力!$I$7:$I$696,$B12))</f>
        <v>0</v>
      </c>
      <c r="G12" s="42" t="n">
        <f aca="false">IF($B12="","",INDEX(報告入力!$J$7:$J$696,$B12))</f>
        <v>0</v>
      </c>
      <c r="H12" s="42" t="n">
        <f aca="false">IF($B12="","",INDEX(報告入力!$K$7:$K$696,$B12))</f>
        <v>0</v>
      </c>
      <c r="I12" s="42" t="str">
        <f aca="false">IF($AG12=1,INDEX(報告入力!$BN$7:$BN$696,$B12),"")</f>
        <v/>
      </c>
      <c r="J12" s="42" t="str">
        <f aca="false">IF($AH12=1,INDEX(報告入力!$BF$7:$BF$696,$B12),"")</f>
        <v/>
      </c>
      <c r="K12" s="43" t="str">
        <f aca="false">IF($AH12=1,INDEX(報告入力!$BV$7:$BV$696,$B12),"")</f>
        <v/>
      </c>
      <c r="L12" s="42" t="str">
        <f aca="false">IF($AG12=1,INDEX(報告入力!$BO$7:$BO$696,$B12),"")</f>
        <v/>
      </c>
      <c r="M12" s="42" t="str">
        <f aca="false">IF($AH12=1,INDEX(報告入力!$BG$7:$BG$696,$B12),"")</f>
        <v/>
      </c>
      <c r="N12" s="43" t="str">
        <f aca="false">IF($AH12=1,INDEX(報告入力!$BW$7:$BW$696,$B12),"")</f>
        <v/>
      </c>
      <c r="O12" s="42" t="str">
        <f aca="false">IF($AG12=1,INDEX(報告入力!$BP$7:$BP$696,$B12),"")</f>
        <v/>
      </c>
      <c r="P12" s="42" t="str">
        <f aca="false">IF($AH12=1,INDEX(報告入力!$BH$7:$BH$696,$B12),"")</f>
        <v/>
      </c>
      <c r="Q12" s="43" t="str">
        <f aca="false">IF($AH12=1,INDEX(報告入力!$BX$7:$BX$696,$B12),"")</f>
        <v/>
      </c>
      <c r="R12" s="42" t="str">
        <f aca="false">IF($AG12=1,INDEX(報告入力!$BQ$7:$BQ$696,$B12),"")</f>
        <v/>
      </c>
      <c r="S12" s="42" t="str">
        <f aca="false">IF($AH12=1,INDEX(報告入力!$BI$7:$BI$696,$B12),"")</f>
        <v/>
      </c>
      <c r="T12" s="43" t="str">
        <f aca="false">IF($AH12=1,INDEX(報告入力!$BY$7:$BY$696,$B12),"")</f>
        <v/>
      </c>
      <c r="U12" s="42" t="str">
        <f aca="false">IF($AG12=1,INDEX(報告入力!$BR$7:$BR$696,$B12),"")</f>
        <v/>
      </c>
      <c r="V12" s="42" t="str">
        <f aca="false">IF($AH12=1,INDEX(報告入力!$BJ$7:$BJ$696,$B12),"")</f>
        <v/>
      </c>
      <c r="W12" s="43" t="str">
        <f aca="false">IF($AH12=1,INDEX(報告入力!$BZ$7:$BZ$696,$B12),"")</f>
        <v/>
      </c>
      <c r="X12" s="42" t="str">
        <f aca="false">IF($AG12=1,INDEX(報告入力!$BS$7:$BS$696,$B12),"")</f>
        <v/>
      </c>
      <c r="Y12" s="42" t="str">
        <f aca="false">IF($AH12=1,INDEX(報告入力!$BK$7:$BK$696,$B12),"")</f>
        <v/>
      </c>
      <c r="Z12" s="43" t="str">
        <f aca="false">IF($AH12=1,INDEX(報告入力!$CA$7:$CA$696,$B12),"")</f>
        <v/>
      </c>
      <c r="AA12" s="42" t="str">
        <f aca="false">IF($AG12=1,INDEX(報告入力!$BT$7:$BT$696,$B12),"")</f>
        <v/>
      </c>
      <c r="AB12" s="42" t="str">
        <f aca="false">IF($AH12=1,INDEX(報告入力!$BL$7:$BL$696,$B12),"")</f>
        <v/>
      </c>
      <c r="AC12" s="43" t="str">
        <f aca="false">IF($AH12=1,INDEX(報告入力!$CB$7:$CB$696,$B12),"")</f>
        <v/>
      </c>
      <c r="AD12" s="42" t="str">
        <f aca="false">IF($AG12=1,INDEX(報告入力!$BU$7:$BU$696,$B12),"")</f>
        <v/>
      </c>
      <c r="AE12" s="42" t="str">
        <f aca="false">IF($AH12=1,INDEX(報告入力!$BM$7:$BM$696,$B12),"")</f>
        <v/>
      </c>
      <c r="AF12" s="43" t="str">
        <f aca="false">IF($AH12=1,INDEX(報告入力!$CC$7:$CC$696,$B12),"")</f>
        <v/>
      </c>
      <c r="AG12" s="33" t="n">
        <f aca="false">IF($B12="",0,IF(OR(C12="未受領",C12="報告なし"),0,1))</f>
        <v>0</v>
      </c>
      <c r="AH12" s="33" t="n">
        <f aca="false">IF(OR(D12="問題なし",D12="要確認"),1,0)</f>
        <v>0</v>
      </c>
      <c r="AI12" s="33" t="n">
        <f aca="false">IF(C12="未受領",MAX(AI$6:AI11)+1,"")</f>
        <v>6</v>
      </c>
      <c r="AJ12" s="33" t="str">
        <f aca="false">IF(D12="要確認",MAX(AJ$6:AJ11)+1,"")</f>
        <v/>
      </c>
      <c r="AK12" s="32" t="str">
        <f aca="false">IF(D12="要確認",INDEX(報告入力!$CD$7:$CD$696,$B12),"")</f>
        <v/>
      </c>
    </row>
    <row r="13" customFormat="false" ht="15" hidden="false" customHeight="false" outlineLevel="0" collapsed="false">
      <c r="A13" s="41" t="str">
        <f aca="false">設定!B67</f>
        <v>人事委員会</v>
      </c>
      <c r="B13" s="33" t="n">
        <f aca="false">IFERROR(MATCH(ホーム!$C$4&amp;"|"&amp;A13,報告入力!$CG$7:$CG$696,0),"")</f>
        <v>329</v>
      </c>
      <c r="C13" s="10" t="str">
        <f aca="false">IF($B13="","",INDEX(報告入力!$C$7:$C$696,$B13))</f>
        <v>未受領</v>
      </c>
      <c r="D13" s="10" t="str">
        <f aca="false">IF($B13="","",INDEX(報告入力!$D$7:$D$696,$B13))</f>
        <v>―</v>
      </c>
      <c r="E13" s="24" t="str">
        <f aca="false">IF($B13="","",INDEX(報告入力!$E$7:$E$696,$B13))</f>
        <v>―</v>
      </c>
      <c r="F13" s="42" t="n">
        <f aca="false">IF($B13="","",INDEX(報告入力!$I$7:$I$696,$B13))</f>
        <v>0</v>
      </c>
      <c r="G13" s="42" t="n">
        <f aca="false">IF($B13="","",INDEX(報告入力!$J$7:$J$696,$B13))</f>
        <v>0</v>
      </c>
      <c r="H13" s="42" t="n">
        <f aca="false">IF($B13="","",INDEX(報告入力!$K$7:$K$696,$B13))</f>
        <v>0</v>
      </c>
      <c r="I13" s="42" t="str">
        <f aca="false">IF($AG13=1,INDEX(報告入力!$BN$7:$BN$696,$B13),"")</f>
        <v/>
      </c>
      <c r="J13" s="42" t="str">
        <f aca="false">IF($AH13=1,INDEX(報告入力!$BF$7:$BF$696,$B13),"")</f>
        <v/>
      </c>
      <c r="K13" s="43" t="str">
        <f aca="false">IF($AH13=1,INDEX(報告入力!$BV$7:$BV$696,$B13),"")</f>
        <v/>
      </c>
      <c r="L13" s="42" t="str">
        <f aca="false">IF($AG13=1,INDEX(報告入力!$BO$7:$BO$696,$B13),"")</f>
        <v/>
      </c>
      <c r="M13" s="42" t="str">
        <f aca="false">IF($AH13=1,INDEX(報告入力!$BG$7:$BG$696,$B13),"")</f>
        <v/>
      </c>
      <c r="N13" s="43" t="str">
        <f aca="false">IF($AH13=1,INDEX(報告入力!$BW$7:$BW$696,$B13),"")</f>
        <v/>
      </c>
      <c r="O13" s="42" t="str">
        <f aca="false">IF($AG13=1,INDEX(報告入力!$BP$7:$BP$696,$B13),"")</f>
        <v/>
      </c>
      <c r="P13" s="42" t="str">
        <f aca="false">IF($AH13=1,INDEX(報告入力!$BH$7:$BH$696,$B13),"")</f>
        <v/>
      </c>
      <c r="Q13" s="43" t="str">
        <f aca="false">IF($AH13=1,INDEX(報告入力!$BX$7:$BX$696,$B13),"")</f>
        <v/>
      </c>
      <c r="R13" s="42" t="str">
        <f aca="false">IF($AG13=1,INDEX(報告入力!$BQ$7:$BQ$696,$B13),"")</f>
        <v/>
      </c>
      <c r="S13" s="42" t="str">
        <f aca="false">IF($AH13=1,INDEX(報告入力!$BI$7:$BI$696,$B13),"")</f>
        <v/>
      </c>
      <c r="T13" s="43" t="str">
        <f aca="false">IF($AH13=1,INDEX(報告入力!$BY$7:$BY$696,$B13),"")</f>
        <v/>
      </c>
      <c r="U13" s="42" t="str">
        <f aca="false">IF($AG13=1,INDEX(報告入力!$BR$7:$BR$696,$B13),"")</f>
        <v/>
      </c>
      <c r="V13" s="42" t="str">
        <f aca="false">IF($AH13=1,INDEX(報告入力!$BJ$7:$BJ$696,$B13),"")</f>
        <v/>
      </c>
      <c r="W13" s="43" t="str">
        <f aca="false">IF($AH13=1,INDEX(報告入力!$BZ$7:$BZ$696,$B13),"")</f>
        <v/>
      </c>
      <c r="X13" s="42" t="str">
        <f aca="false">IF($AG13=1,INDEX(報告入力!$BS$7:$BS$696,$B13),"")</f>
        <v/>
      </c>
      <c r="Y13" s="42" t="str">
        <f aca="false">IF($AH13=1,INDEX(報告入力!$BK$7:$BK$696,$B13),"")</f>
        <v/>
      </c>
      <c r="Z13" s="43" t="str">
        <f aca="false">IF($AH13=1,INDEX(報告入力!$CA$7:$CA$696,$B13),"")</f>
        <v/>
      </c>
      <c r="AA13" s="42" t="str">
        <f aca="false">IF($AG13=1,INDEX(報告入力!$BT$7:$BT$696,$B13),"")</f>
        <v/>
      </c>
      <c r="AB13" s="42" t="str">
        <f aca="false">IF($AH13=1,INDEX(報告入力!$BL$7:$BL$696,$B13),"")</f>
        <v/>
      </c>
      <c r="AC13" s="43" t="str">
        <f aca="false">IF($AH13=1,INDEX(報告入力!$CB$7:$CB$696,$B13),"")</f>
        <v/>
      </c>
      <c r="AD13" s="42" t="str">
        <f aca="false">IF($AG13=1,INDEX(報告入力!$BU$7:$BU$696,$B13),"")</f>
        <v/>
      </c>
      <c r="AE13" s="42" t="str">
        <f aca="false">IF($AH13=1,INDEX(報告入力!$BM$7:$BM$696,$B13),"")</f>
        <v/>
      </c>
      <c r="AF13" s="43" t="str">
        <f aca="false">IF($AH13=1,INDEX(報告入力!$CC$7:$CC$696,$B13),"")</f>
        <v/>
      </c>
      <c r="AG13" s="33" t="n">
        <f aca="false">IF($B13="",0,IF(OR(C13="未受領",C13="報告なし"),0,1))</f>
        <v>0</v>
      </c>
      <c r="AH13" s="33" t="n">
        <f aca="false">IF(OR(D13="問題なし",D13="要確認"),1,0)</f>
        <v>0</v>
      </c>
      <c r="AI13" s="33" t="n">
        <f aca="false">IF(C13="未受領",MAX(AI$6:AI12)+1,"")</f>
        <v>7</v>
      </c>
      <c r="AJ13" s="33" t="str">
        <f aca="false">IF(D13="要確認",MAX(AJ$6:AJ12)+1,"")</f>
        <v/>
      </c>
      <c r="AK13" s="32" t="str">
        <f aca="false">IF(D13="要確認",INDEX(報告入力!$CD$7:$CD$696,$B13),"")</f>
        <v/>
      </c>
    </row>
    <row r="14" customFormat="false" ht="15" hidden="false" customHeight="false" outlineLevel="0" collapsed="false">
      <c r="A14" s="41" t="str">
        <f aca="false">設定!B68</f>
        <v>監査事務局</v>
      </c>
      <c r="B14" s="33" t="n">
        <f aca="false">IFERROR(MATCH(ホーム!$C$4&amp;"|"&amp;A14,報告入力!$CG$7:$CG$696,0),"")</f>
        <v>330</v>
      </c>
      <c r="C14" s="10" t="str">
        <f aca="false">IF($B14="","",INDEX(報告入力!$C$7:$C$696,$B14))</f>
        <v>未受領</v>
      </c>
      <c r="D14" s="10" t="str">
        <f aca="false">IF($B14="","",INDEX(報告入力!$D$7:$D$696,$B14))</f>
        <v>―</v>
      </c>
      <c r="E14" s="24" t="str">
        <f aca="false">IF($B14="","",INDEX(報告入力!$E$7:$E$696,$B14))</f>
        <v>―</v>
      </c>
      <c r="F14" s="42" t="n">
        <f aca="false">IF($B14="","",INDEX(報告入力!$I$7:$I$696,$B14))</f>
        <v>0</v>
      </c>
      <c r="G14" s="42" t="n">
        <f aca="false">IF($B14="","",INDEX(報告入力!$J$7:$J$696,$B14))</f>
        <v>0</v>
      </c>
      <c r="H14" s="42" t="n">
        <f aca="false">IF($B14="","",INDEX(報告入力!$K$7:$K$696,$B14))</f>
        <v>0</v>
      </c>
      <c r="I14" s="42" t="str">
        <f aca="false">IF($AG14=1,INDEX(報告入力!$BN$7:$BN$696,$B14),"")</f>
        <v/>
      </c>
      <c r="J14" s="42" t="str">
        <f aca="false">IF($AH14=1,INDEX(報告入力!$BF$7:$BF$696,$B14),"")</f>
        <v/>
      </c>
      <c r="K14" s="43" t="str">
        <f aca="false">IF($AH14=1,INDEX(報告入力!$BV$7:$BV$696,$B14),"")</f>
        <v/>
      </c>
      <c r="L14" s="42" t="str">
        <f aca="false">IF($AG14=1,INDEX(報告入力!$BO$7:$BO$696,$B14),"")</f>
        <v/>
      </c>
      <c r="M14" s="42" t="str">
        <f aca="false">IF($AH14=1,INDEX(報告入力!$BG$7:$BG$696,$B14),"")</f>
        <v/>
      </c>
      <c r="N14" s="43" t="str">
        <f aca="false">IF($AH14=1,INDEX(報告入力!$BW$7:$BW$696,$B14),"")</f>
        <v/>
      </c>
      <c r="O14" s="42" t="str">
        <f aca="false">IF($AG14=1,INDEX(報告入力!$BP$7:$BP$696,$B14),"")</f>
        <v/>
      </c>
      <c r="P14" s="42" t="str">
        <f aca="false">IF($AH14=1,INDEX(報告入力!$BH$7:$BH$696,$B14),"")</f>
        <v/>
      </c>
      <c r="Q14" s="43" t="str">
        <f aca="false">IF($AH14=1,INDEX(報告入力!$BX$7:$BX$696,$B14),"")</f>
        <v/>
      </c>
      <c r="R14" s="42" t="str">
        <f aca="false">IF($AG14=1,INDEX(報告入力!$BQ$7:$BQ$696,$B14),"")</f>
        <v/>
      </c>
      <c r="S14" s="42" t="str">
        <f aca="false">IF($AH14=1,INDEX(報告入力!$BI$7:$BI$696,$B14),"")</f>
        <v/>
      </c>
      <c r="T14" s="43" t="str">
        <f aca="false">IF($AH14=1,INDEX(報告入力!$BY$7:$BY$696,$B14),"")</f>
        <v/>
      </c>
      <c r="U14" s="42" t="str">
        <f aca="false">IF($AG14=1,INDEX(報告入力!$BR$7:$BR$696,$B14),"")</f>
        <v/>
      </c>
      <c r="V14" s="42" t="str">
        <f aca="false">IF($AH14=1,INDEX(報告入力!$BJ$7:$BJ$696,$B14),"")</f>
        <v/>
      </c>
      <c r="W14" s="43" t="str">
        <f aca="false">IF($AH14=1,INDEX(報告入力!$BZ$7:$BZ$696,$B14),"")</f>
        <v/>
      </c>
      <c r="X14" s="42" t="str">
        <f aca="false">IF($AG14=1,INDEX(報告入力!$BS$7:$BS$696,$B14),"")</f>
        <v/>
      </c>
      <c r="Y14" s="42" t="str">
        <f aca="false">IF($AH14=1,INDEX(報告入力!$BK$7:$BK$696,$B14),"")</f>
        <v/>
      </c>
      <c r="Z14" s="43" t="str">
        <f aca="false">IF($AH14=1,INDEX(報告入力!$CA$7:$CA$696,$B14),"")</f>
        <v/>
      </c>
      <c r="AA14" s="42" t="str">
        <f aca="false">IF($AG14=1,INDEX(報告入力!$BT$7:$BT$696,$B14),"")</f>
        <v/>
      </c>
      <c r="AB14" s="42" t="str">
        <f aca="false">IF($AH14=1,INDEX(報告入力!$BL$7:$BL$696,$B14),"")</f>
        <v/>
      </c>
      <c r="AC14" s="43" t="str">
        <f aca="false">IF($AH14=1,INDEX(報告入力!$CB$7:$CB$696,$B14),"")</f>
        <v/>
      </c>
      <c r="AD14" s="42" t="str">
        <f aca="false">IF($AG14=1,INDEX(報告入力!$BU$7:$BU$696,$B14),"")</f>
        <v/>
      </c>
      <c r="AE14" s="42" t="str">
        <f aca="false">IF($AH14=1,INDEX(報告入力!$BM$7:$BM$696,$B14),"")</f>
        <v/>
      </c>
      <c r="AF14" s="43" t="str">
        <f aca="false">IF($AH14=1,INDEX(報告入力!$CC$7:$CC$696,$B14),"")</f>
        <v/>
      </c>
      <c r="AG14" s="33" t="n">
        <f aca="false">IF($B14="",0,IF(OR(C14="未受領",C14="報告なし"),0,1))</f>
        <v>0</v>
      </c>
      <c r="AH14" s="33" t="n">
        <f aca="false">IF(OR(D14="問題なし",D14="要確認"),1,0)</f>
        <v>0</v>
      </c>
      <c r="AI14" s="33" t="n">
        <f aca="false">IF(C14="未受領",MAX(AI$6:AI13)+1,"")</f>
        <v>8</v>
      </c>
      <c r="AJ14" s="33" t="str">
        <f aca="false">IF(D14="要確認",MAX(AJ$6:AJ13)+1,"")</f>
        <v/>
      </c>
      <c r="AK14" s="32" t="str">
        <f aca="false">IF(D14="要確認",INDEX(報告入力!$CD$7:$CD$696,$B14),"")</f>
        <v/>
      </c>
    </row>
    <row r="15" customFormat="false" ht="15" hidden="false" customHeight="false" outlineLevel="0" collapsed="false">
      <c r="A15" s="41" t="str">
        <f aca="false">設定!B69</f>
        <v>農業委員会</v>
      </c>
      <c r="B15" s="33" t="n">
        <f aca="false">IFERROR(MATCH(ホーム!$C$4&amp;"|"&amp;A15,報告入力!$CG$7:$CG$696,0),"")</f>
        <v>331</v>
      </c>
      <c r="C15" s="10" t="str">
        <f aca="false">IF($B15="","",INDEX(報告入力!$C$7:$C$696,$B15))</f>
        <v>未受領</v>
      </c>
      <c r="D15" s="10" t="str">
        <f aca="false">IF($B15="","",INDEX(報告入力!$D$7:$D$696,$B15))</f>
        <v>―</v>
      </c>
      <c r="E15" s="24" t="str">
        <f aca="false">IF($B15="","",INDEX(報告入力!$E$7:$E$696,$B15))</f>
        <v>―</v>
      </c>
      <c r="F15" s="42" t="n">
        <f aca="false">IF($B15="","",INDEX(報告入力!$I$7:$I$696,$B15))</f>
        <v>0</v>
      </c>
      <c r="G15" s="42" t="n">
        <f aca="false">IF($B15="","",INDEX(報告入力!$J$7:$J$696,$B15))</f>
        <v>0</v>
      </c>
      <c r="H15" s="42" t="n">
        <f aca="false">IF($B15="","",INDEX(報告入力!$K$7:$K$696,$B15))</f>
        <v>0</v>
      </c>
      <c r="I15" s="42" t="str">
        <f aca="false">IF($AG15=1,INDEX(報告入力!$BN$7:$BN$696,$B15),"")</f>
        <v/>
      </c>
      <c r="J15" s="42" t="str">
        <f aca="false">IF($AH15=1,INDEX(報告入力!$BF$7:$BF$696,$B15),"")</f>
        <v/>
      </c>
      <c r="K15" s="43" t="str">
        <f aca="false">IF($AH15=1,INDEX(報告入力!$BV$7:$BV$696,$B15),"")</f>
        <v/>
      </c>
      <c r="L15" s="42" t="str">
        <f aca="false">IF($AG15=1,INDEX(報告入力!$BO$7:$BO$696,$B15),"")</f>
        <v/>
      </c>
      <c r="M15" s="42" t="str">
        <f aca="false">IF($AH15=1,INDEX(報告入力!$BG$7:$BG$696,$B15),"")</f>
        <v/>
      </c>
      <c r="N15" s="43" t="str">
        <f aca="false">IF($AH15=1,INDEX(報告入力!$BW$7:$BW$696,$B15),"")</f>
        <v/>
      </c>
      <c r="O15" s="42" t="str">
        <f aca="false">IF($AG15=1,INDEX(報告入力!$BP$7:$BP$696,$B15),"")</f>
        <v/>
      </c>
      <c r="P15" s="42" t="str">
        <f aca="false">IF($AH15=1,INDEX(報告入力!$BH$7:$BH$696,$B15),"")</f>
        <v/>
      </c>
      <c r="Q15" s="43" t="str">
        <f aca="false">IF($AH15=1,INDEX(報告入力!$BX$7:$BX$696,$B15),"")</f>
        <v/>
      </c>
      <c r="R15" s="42" t="str">
        <f aca="false">IF($AG15=1,INDEX(報告入力!$BQ$7:$BQ$696,$B15),"")</f>
        <v/>
      </c>
      <c r="S15" s="42" t="str">
        <f aca="false">IF($AH15=1,INDEX(報告入力!$BI$7:$BI$696,$B15),"")</f>
        <v/>
      </c>
      <c r="T15" s="43" t="str">
        <f aca="false">IF($AH15=1,INDEX(報告入力!$BY$7:$BY$696,$B15),"")</f>
        <v/>
      </c>
      <c r="U15" s="42" t="str">
        <f aca="false">IF($AG15=1,INDEX(報告入力!$BR$7:$BR$696,$B15),"")</f>
        <v/>
      </c>
      <c r="V15" s="42" t="str">
        <f aca="false">IF($AH15=1,INDEX(報告入力!$BJ$7:$BJ$696,$B15),"")</f>
        <v/>
      </c>
      <c r="W15" s="43" t="str">
        <f aca="false">IF($AH15=1,INDEX(報告入力!$BZ$7:$BZ$696,$B15),"")</f>
        <v/>
      </c>
      <c r="X15" s="42" t="str">
        <f aca="false">IF($AG15=1,INDEX(報告入力!$BS$7:$BS$696,$B15),"")</f>
        <v/>
      </c>
      <c r="Y15" s="42" t="str">
        <f aca="false">IF($AH15=1,INDEX(報告入力!$BK$7:$BK$696,$B15),"")</f>
        <v/>
      </c>
      <c r="Z15" s="43" t="str">
        <f aca="false">IF($AH15=1,INDEX(報告入力!$CA$7:$CA$696,$B15),"")</f>
        <v/>
      </c>
      <c r="AA15" s="42" t="str">
        <f aca="false">IF($AG15=1,INDEX(報告入力!$BT$7:$BT$696,$B15),"")</f>
        <v/>
      </c>
      <c r="AB15" s="42" t="str">
        <f aca="false">IF($AH15=1,INDEX(報告入力!$BL$7:$BL$696,$B15),"")</f>
        <v/>
      </c>
      <c r="AC15" s="43" t="str">
        <f aca="false">IF($AH15=1,INDEX(報告入力!$CB$7:$CB$696,$B15),"")</f>
        <v/>
      </c>
      <c r="AD15" s="42" t="str">
        <f aca="false">IF($AG15=1,INDEX(報告入力!$BU$7:$BU$696,$B15),"")</f>
        <v/>
      </c>
      <c r="AE15" s="42" t="str">
        <f aca="false">IF($AH15=1,INDEX(報告入力!$BM$7:$BM$696,$B15),"")</f>
        <v/>
      </c>
      <c r="AF15" s="43" t="str">
        <f aca="false">IF($AH15=1,INDEX(報告入力!$CC$7:$CC$696,$B15),"")</f>
        <v/>
      </c>
      <c r="AG15" s="33" t="n">
        <f aca="false">IF($B15="",0,IF(OR(C15="未受領",C15="報告なし"),0,1))</f>
        <v>0</v>
      </c>
      <c r="AH15" s="33" t="n">
        <f aca="false">IF(OR(D15="問題なし",D15="要確認"),1,0)</f>
        <v>0</v>
      </c>
      <c r="AI15" s="33" t="n">
        <f aca="false">IF(C15="未受領",MAX(AI$6:AI14)+1,"")</f>
        <v>9</v>
      </c>
      <c r="AJ15" s="33" t="str">
        <f aca="false">IF(D15="要確認",MAX(AJ$6:AJ14)+1,"")</f>
        <v/>
      </c>
      <c r="AK15" s="32" t="str">
        <f aca="false">IF(D15="要確認",INDEX(報告入力!$CD$7:$CD$696,$B15),"")</f>
        <v/>
      </c>
    </row>
    <row r="16" customFormat="false" ht="15" hidden="false" customHeight="false" outlineLevel="0" collapsed="false">
      <c r="A16" s="41" t="str">
        <f aca="false">設定!B70</f>
        <v>水道局</v>
      </c>
      <c r="B16" s="33" t="n">
        <f aca="false">IFERROR(MATCH(ホーム!$C$4&amp;"|"&amp;A16,報告入力!$CG$7:$CG$696,0),"")</f>
        <v>332</v>
      </c>
      <c r="C16" s="10" t="str">
        <f aca="false">IF($B16="","",INDEX(報告入力!$C$7:$C$696,$B16))</f>
        <v>未受領</v>
      </c>
      <c r="D16" s="10" t="str">
        <f aca="false">IF($B16="","",INDEX(報告入力!$D$7:$D$696,$B16))</f>
        <v>―</v>
      </c>
      <c r="E16" s="24" t="str">
        <f aca="false">IF($B16="","",INDEX(報告入力!$E$7:$E$696,$B16))</f>
        <v>―</v>
      </c>
      <c r="F16" s="42" t="n">
        <f aca="false">IF($B16="","",INDEX(報告入力!$I$7:$I$696,$B16))</f>
        <v>0</v>
      </c>
      <c r="G16" s="42" t="n">
        <f aca="false">IF($B16="","",INDEX(報告入力!$J$7:$J$696,$B16))</f>
        <v>0</v>
      </c>
      <c r="H16" s="42" t="n">
        <f aca="false">IF($B16="","",INDEX(報告入力!$K$7:$K$696,$B16))</f>
        <v>0</v>
      </c>
      <c r="I16" s="42" t="str">
        <f aca="false">IF($AG16=1,INDEX(報告入力!$BN$7:$BN$696,$B16),"")</f>
        <v/>
      </c>
      <c r="J16" s="42" t="str">
        <f aca="false">IF($AH16=1,INDEX(報告入力!$BF$7:$BF$696,$B16),"")</f>
        <v/>
      </c>
      <c r="K16" s="43" t="str">
        <f aca="false">IF($AH16=1,INDEX(報告入力!$BV$7:$BV$696,$B16),"")</f>
        <v/>
      </c>
      <c r="L16" s="42" t="str">
        <f aca="false">IF($AG16=1,INDEX(報告入力!$BO$7:$BO$696,$B16),"")</f>
        <v/>
      </c>
      <c r="M16" s="42" t="str">
        <f aca="false">IF($AH16=1,INDEX(報告入力!$BG$7:$BG$696,$B16),"")</f>
        <v/>
      </c>
      <c r="N16" s="43" t="str">
        <f aca="false">IF($AH16=1,INDEX(報告入力!$BW$7:$BW$696,$B16),"")</f>
        <v/>
      </c>
      <c r="O16" s="42" t="str">
        <f aca="false">IF($AG16=1,INDEX(報告入力!$BP$7:$BP$696,$B16),"")</f>
        <v/>
      </c>
      <c r="P16" s="42" t="str">
        <f aca="false">IF($AH16=1,INDEX(報告入力!$BH$7:$BH$696,$B16),"")</f>
        <v/>
      </c>
      <c r="Q16" s="43" t="str">
        <f aca="false">IF($AH16=1,INDEX(報告入力!$BX$7:$BX$696,$B16),"")</f>
        <v/>
      </c>
      <c r="R16" s="42" t="str">
        <f aca="false">IF($AG16=1,INDEX(報告入力!$BQ$7:$BQ$696,$B16),"")</f>
        <v/>
      </c>
      <c r="S16" s="42" t="str">
        <f aca="false">IF($AH16=1,INDEX(報告入力!$BI$7:$BI$696,$B16),"")</f>
        <v/>
      </c>
      <c r="T16" s="43" t="str">
        <f aca="false">IF($AH16=1,INDEX(報告入力!$BY$7:$BY$696,$B16),"")</f>
        <v/>
      </c>
      <c r="U16" s="42" t="str">
        <f aca="false">IF($AG16=1,INDEX(報告入力!$BR$7:$BR$696,$B16),"")</f>
        <v/>
      </c>
      <c r="V16" s="42" t="str">
        <f aca="false">IF($AH16=1,INDEX(報告入力!$BJ$7:$BJ$696,$B16),"")</f>
        <v/>
      </c>
      <c r="W16" s="43" t="str">
        <f aca="false">IF($AH16=1,INDEX(報告入力!$BZ$7:$BZ$696,$B16),"")</f>
        <v/>
      </c>
      <c r="X16" s="42" t="str">
        <f aca="false">IF($AG16=1,INDEX(報告入力!$BS$7:$BS$696,$B16),"")</f>
        <v/>
      </c>
      <c r="Y16" s="42" t="str">
        <f aca="false">IF($AH16=1,INDEX(報告入力!$BK$7:$BK$696,$B16),"")</f>
        <v/>
      </c>
      <c r="Z16" s="43" t="str">
        <f aca="false">IF($AH16=1,INDEX(報告入力!$CA$7:$CA$696,$B16),"")</f>
        <v/>
      </c>
      <c r="AA16" s="42" t="str">
        <f aca="false">IF($AG16=1,INDEX(報告入力!$BT$7:$BT$696,$B16),"")</f>
        <v/>
      </c>
      <c r="AB16" s="42" t="str">
        <f aca="false">IF($AH16=1,INDEX(報告入力!$BL$7:$BL$696,$B16),"")</f>
        <v/>
      </c>
      <c r="AC16" s="43" t="str">
        <f aca="false">IF($AH16=1,INDEX(報告入力!$CB$7:$CB$696,$B16),"")</f>
        <v/>
      </c>
      <c r="AD16" s="42" t="str">
        <f aca="false">IF($AG16=1,INDEX(報告入力!$BU$7:$BU$696,$B16),"")</f>
        <v/>
      </c>
      <c r="AE16" s="42" t="str">
        <f aca="false">IF($AH16=1,INDEX(報告入力!$BM$7:$BM$696,$B16),"")</f>
        <v/>
      </c>
      <c r="AF16" s="43" t="str">
        <f aca="false">IF($AH16=1,INDEX(報告入力!$CC$7:$CC$696,$B16),"")</f>
        <v/>
      </c>
      <c r="AG16" s="33" t="n">
        <f aca="false">IF($B16="",0,IF(OR(C16="未受領",C16="報告なし"),0,1))</f>
        <v>0</v>
      </c>
      <c r="AH16" s="33" t="n">
        <f aca="false">IF(OR(D16="問題なし",D16="要確認"),1,0)</f>
        <v>0</v>
      </c>
      <c r="AI16" s="33" t="n">
        <f aca="false">IF(C16="未受領",MAX(AI$6:AI15)+1,"")</f>
        <v>10</v>
      </c>
      <c r="AJ16" s="33" t="str">
        <f aca="false">IF(D16="要確認",MAX(AJ$6:AJ15)+1,"")</f>
        <v/>
      </c>
      <c r="AK16" s="32" t="str">
        <f aca="false">IF(D16="要確認",INDEX(報告入力!$CD$7:$CD$696,$B16),"")</f>
        <v/>
      </c>
    </row>
    <row r="17" customFormat="false" ht="15" hidden="false" customHeight="false" outlineLevel="0" collapsed="false">
      <c r="A17" s="41" t="str">
        <f aca="false">設定!B71</f>
        <v>医療政策課(安芸市民)</v>
      </c>
      <c r="B17" s="33" t="n">
        <f aca="false">IFERROR(MATCH(ホーム!$C$4&amp;"|"&amp;A17,報告入力!$CG$7:$CG$696,0),"")</f>
        <v>333</v>
      </c>
      <c r="C17" s="10" t="str">
        <f aca="false">IF($B17="","",INDEX(報告入力!$C$7:$C$696,$B17))</f>
        <v>未受領</v>
      </c>
      <c r="D17" s="10" t="str">
        <f aca="false">IF($B17="","",INDEX(報告入力!$D$7:$D$696,$B17))</f>
        <v>―</v>
      </c>
      <c r="E17" s="24" t="str">
        <f aca="false">IF($B17="","",INDEX(報告入力!$E$7:$E$696,$B17))</f>
        <v>―</v>
      </c>
      <c r="F17" s="42" t="n">
        <f aca="false">IF($B17="","",INDEX(報告入力!$I$7:$I$696,$B17))</f>
        <v>0</v>
      </c>
      <c r="G17" s="42" t="n">
        <f aca="false">IF($B17="","",INDEX(報告入力!$J$7:$J$696,$B17))</f>
        <v>0</v>
      </c>
      <c r="H17" s="42" t="n">
        <f aca="false">IF($B17="","",INDEX(報告入力!$K$7:$K$696,$B17))</f>
        <v>0</v>
      </c>
      <c r="I17" s="42" t="str">
        <f aca="false">IF($AG17=1,INDEX(報告入力!$BN$7:$BN$696,$B17),"")</f>
        <v/>
      </c>
      <c r="J17" s="42" t="str">
        <f aca="false">IF($AH17=1,INDEX(報告入力!$BF$7:$BF$696,$B17),"")</f>
        <v/>
      </c>
      <c r="K17" s="43" t="str">
        <f aca="false">IF($AH17=1,INDEX(報告入力!$BV$7:$BV$696,$B17),"")</f>
        <v/>
      </c>
      <c r="L17" s="42" t="str">
        <f aca="false">IF($AG17=1,INDEX(報告入力!$BO$7:$BO$696,$B17),"")</f>
        <v/>
      </c>
      <c r="M17" s="42" t="str">
        <f aca="false">IF($AH17=1,INDEX(報告入力!$BG$7:$BG$696,$B17),"")</f>
        <v/>
      </c>
      <c r="N17" s="43" t="str">
        <f aca="false">IF($AH17=1,INDEX(報告入力!$BW$7:$BW$696,$B17),"")</f>
        <v/>
      </c>
      <c r="O17" s="42" t="str">
        <f aca="false">IF($AG17=1,INDEX(報告入力!$BP$7:$BP$696,$B17),"")</f>
        <v/>
      </c>
      <c r="P17" s="42" t="str">
        <f aca="false">IF($AH17=1,INDEX(報告入力!$BH$7:$BH$696,$B17),"")</f>
        <v/>
      </c>
      <c r="Q17" s="43" t="str">
        <f aca="false">IF($AH17=1,INDEX(報告入力!$BX$7:$BX$696,$B17),"")</f>
        <v/>
      </c>
      <c r="R17" s="42" t="str">
        <f aca="false">IF($AG17=1,INDEX(報告入力!$BQ$7:$BQ$696,$B17),"")</f>
        <v/>
      </c>
      <c r="S17" s="42" t="str">
        <f aca="false">IF($AH17=1,INDEX(報告入力!$BI$7:$BI$696,$B17),"")</f>
        <v/>
      </c>
      <c r="T17" s="43" t="str">
        <f aca="false">IF($AH17=1,INDEX(報告入力!$BY$7:$BY$696,$B17),"")</f>
        <v/>
      </c>
      <c r="U17" s="42" t="str">
        <f aca="false">IF($AG17=1,INDEX(報告入力!$BR$7:$BR$696,$B17),"")</f>
        <v/>
      </c>
      <c r="V17" s="42" t="str">
        <f aca="false">IF($AH17=1,INDEX(報告入力!$BJ$7:$BJ$696,$B17),"")</f>
        <v/>
      </c>
      <c r="W17" s="43" t="str">
        <f aca="false">IF($AH17=1,INDEX(報告入力!$BZ$7:$BZ$696,$B17),"")</f>
        <v/>
      </c>
      <c r="X17" s="42" t="str">
        <f aca="false">IF($AG17=1,INDEX(報告入力!$BS$7:$BS$696,$B17),"")</f>
        <v/>
      </c>
      <c r="Y17" s="42" t="str">
        <f aca="false">IF($AH17=1,INDEX(報告入力!$BK$7:$BK$696,$B17),"")</f>
        <v/>
      </c>
      <c r="Z17" s="43" t="str">
        <f aca="false">IF($AH17=1,INDEX(報告入力!$CA$7:$CA$696,$B17),"")</f>
        <v/>
      </c>
      <c r="AA17" s="42" t="str">
        <f aca="false">IF($AG17=1,INDEX(報告入力!$BT$7:$BT$696,$B17),"")</f>
        <v/>
      </c>
      <c r="AB17" s="42" t="str">
        <f aca="false">IF($AH17=1,INDEX(報告入力!$BL$7:$BL$696,$B17),"")</f>
        <v/>
      </c>
      <c r="AC17" s="43" t="str">
        <f aca="false">IF($AH17=1,INDEX(報告入力!$CB$7:$CB$696,$B17),"")</f>
        <v/>
      </c>
      <c r="AD17" s="42" t="str">
        <f aca="false">IF($AG17=1,INDEX(報告入力!$BU$7:$BU$696,$B17),"")</f>
        <v/>
      </c>
      <c r="AE17" s="42" t="str">
        <f aca="false">IF($AH17=1,INDEX(報告入力!$BM$7:$BM$696,$B17),"")</f>
        <v/>
      </c>
      <c r="AF17" s="43" t="str">
        <f aca="false">IF($AH17=1,INDEX(報告入力!$CC$7:$CC$696,$B17),"")</f>
        <v/>
      </c>
      <c r="AG17" s="33" t="n">
        <f aca="false">IF($B17="",0,IF(OR(C17="未受領",C17="報告なし"),0,1))</f>
        <v>0</v>
      </c>
      <c r="AH17" s="33" t="n">
        <f aca="false">IF(OR(D17="問題なし",D17="要確認"),1,0)</f>
        <v>0</v>
      </c>
      <c r="AI17" s="33" t="n">
        <f aca="false">IF(C17="未受領",MAX(AI$6:AI16)+1,"")</f>
        <v>11</v>
      </c>
      <c r="AJ17" s="33" t="str">
        <f aca="false">IF(D17="要確認",MAX(AJ$6:AJ16)+1,"")</f>
        <v/>
      </c>
      <c r="AK17" s="32" t="str">
        <f aca="false">IF(D17="要確認",INDEX(報告入力!$CD$7:$CD$696,$B17),"")</f>
        <v/>
      </c>
    </row>
    <row r="18" customFormat="false" ht="15" hidden="false" customHeight="false" outlineLevel="0" collapsed="false">
      <c r="A18" s="41" t="str">
        <f aca="false">設定!B72</f>
        <v>教育委員会（教育給与課）</v>
      </c>
      <c r="B18" s="33" t="n">
        <f aca="false">IFERROR(MATCH(ホーム!$C$4&amp;"|"&amp;A18,報告入力!$CG$7:$CG$696,0),"")</f>
        <v>334</v>
      </c>
      <c r="C18" s="10" t="str">
        <f aca="false">IF($B18="","",INDEX(報告入力!$C$7:$C$696,$B18))</f>
        <v>未受領</v>
      </c>
      <c r="D18" s="10" t="str">
        <f aca="false">IF($B18="","",INDEX(報告入力!$D$7:$D$696,$B18))</f>
        <v>―</v>
      </c>
      <c r="E18" s="24" t="str">
        <f aca="false">IF($B18="","",INDEX(報告入力!$E$7:$E$696,$B18))</f>
        <v>―</v>
      </c>
      <c r="F18" s="42" t="n">
        <f aca="false">IF($B18="","",INDEX(報告入力!$I$7:$I$696,$B18))</f>
        <v>0</v>
      </c>
      <c r="G18" s="42" t="n">
        <f aca="false">IF($B18="","",INDEX(報告入力!$J$7:$J$696,$B18))</f>
        <v>0</v>
      </c>
      <c r="H18" s="42" t="n">
        <f aca="false">IF($B18="","",INDEX(報告入力!$K$7:$K$696,$B18))</f>
        <v>0</v>
      </c>
      <c r="I18" s="42" t="str">
        <f aca="false">IF($AG18=1,INDEX(報告入力!$BN$7:$BN$696,$B18),"")</f>
        <v/>
      </c>
      <c r="J18" s="42" t="str">
        <f aca="false">IF($AH18=1,INDEX(報告入力!$BF$7:$BF$696,$B18),"")</f>
        <v/>
      </c>
      <c r="K18" s="43" t="str">
        <f aca="false">IF($AH18=1,INDEX(報告入力!$BV$7:$BV$696,$B18),"")</f>
        <v/>
      </c>
      <c r="L18" s="42" t="str">
        <f aca="false">IF($AG18=1,INDEX(報告入力!$BO$7:$BO$696,$B18),"")</f>
        <v/>
      </c>
      <c r="M18" s="42" t="str">
        <f aca="false">IF($AH18=1,INDEX(報告入力!$BG$7:$BG$696,$B18),"")</f>
        <v/>
      </c>
      <c r="N18" s="43" t="str">
        <f aca="false">IF($AH18=1,INDEX(報告入力!$BW$7:$BW$696,$B18),"")</f>
        <v/>
      </c>
      <c r="O18" s="42" t="str">
        <f aca="false">IF($AG18=1,INDEX(報告入力!$BP$7:$BP$696,$B18),"")</f>
        <v/>
      </c>
      <c r="P18" s="42" t="str">
        <f aca="false">IF($AH18=1,INDEX(報告入力!$BH$7:$BH$696,$B18),"")</f>
        <v/>
      </c>
      <c r="Q18" s="43" t="str">
        <f aca="false">IF($AH18=1,INDEX(報告入力!$BX$7:$BX$696,$B18),"")</f>
        <v/>
      </c>
      <c r="R18" s="42" t="str">
        <f aca="false">IF($AG18=1,INDEX(報告入力!$BQ$7:$BQ$696,$B18),"")</f>
        <v/>
      </c>
      <c r="S18" s="42" t="str">
        <f aca="false">IF($AH18=1,INDEX(報告入力!$BI$7:$BI$696,$B18),"")</f>
        <v/>
      </c>
      <c r="T18" s="43" t="str">
        <f aca="false">IF($AH18=1,INDEX(報告入力!$BY$7:$BY$696,$B18),"")</f>
        <v/>
      </c>
      <c r="U18" s="42" t="str">
        <f aca="false">IF($AG18=1,INDEX(報告入力!$BR$7:$BR$696,$B18),"")</f>
        <v/>
      </c>
      <c r="V18" s="42" t="str">
        <f aca="false">IF($AH18=1,INDEX(報告入力!$BJ$7:$BJ$696,$B18),"")</f>
        <v/>
      </c>
      <c r="W18" s="43" t="str">
        <f aca="false">IF($AH18=1,INDEX(報告入力!$BZ$7:$BZ$696,$B18),"")</f>
        <v/>
      </c>
      <c r="X18" s="42" t="str">
        <f aca="false">IF($AG18=1,INDEX(報告入力!$BS$7:$BS$696,$B18),"")</f>
        <v/>
      </c>
      <c r="Y18" s="42" t="str">
        <f aca="false">IF($AH18=1,INDEX(報告入力!$BK$7:$BK$696,$B18),"")</f>
        <v/>
      </c>
      <c r="Z18" s="43" t="str">
        <f aca="false">IF($AH18=1,INDEX(報告入力!$CA$7:$CA$696,$B18),"")</f>
        <v/>
      </c>
      <c r="AA18" s="42" t="str">
        <f aca="false">IF($AG18=1,INDEX(報告入力!$BT$7:$BT$696,$B18),"")</f>
        <v/>
      </c>
      <c r="AB18" s="42" t="str">
        <f aca="false">IF($AH18=1,INDEX(報告入力!$BL$7:$BL$696,$B18),"")</f>
        <v/>
      </c>
      <c r="AC18" s="43" t="str">
        <f aca="false">IF($AH18=1,INDEX(報告入力!$CB$7:$CB$696,$B18),"")</f>
        <v/>
      </c>
      <c r="AD18" s="42" t="str">
        <f aca="false">IF($AG18=1,INDEX(報告入力!$BU$7:$BU$696,$B18),"")</f>
        <v/>
      </c>
      <c r="AE18" s="42" t="str">
        <f aca="false">IF($AH18=1,INDEX(報告入力!$BM$7:$BM$696,$B18),"")</f>
        <v/>
      </c>
      <c r="AF18" s="43" t="str">
        <f aca="false">IF($AH18=1,INDEX(報告入力!$CC$7:$CC$696,$B18),"")</f>
        <v/>
      </c>
      <c r="AG18" s="33" t="n">
        <f aca="false">IF($B18="",0,IF(OR(C18="未受領",C18="報告なし"),0,1))</f>
        <v>0</v>
      </c>
      <c r="AH18" s="33" t="n">
        <f aca="false">IF(OR(D18="問題なし",D18="要確認"),1,0)</f>
        <v>0</v>
      </c>
      <c r="AI18" s="33" t="n">
        <f aca="false">IF(C18="未受領",MAX(AI$6:AI17)+1,"")</f>
        <v>12</v>
      </c>
      <c r="AJ18" s="33" t="str">
        <f aca="false">IF(D18="要確認",MAX(AJ$6:AJ17)+1,"")</f>
        <v/>
      </c>
      <c r="AK18" s="32" t="str">
        <f aca="false">IF(D18="要確認",INDEX(報告入力!$CD$7:$CD$696,$B18),"")</f>
        <v/>
      </c>
    </row>
    <row r="19" customFormat="false" ht="15" hidden="false" customHeight="false" outlineLevel="0" collapsed="false">
      <c r="A19" s="41" t="str">
        <f aca="false">設定!B73</f>
        <v>地方税共同機構</v>
      </c>
      <c r="B19" s="33" t="n">
        <f aca="false">IFERROR(MATCH(ホーム!$C$4&amp;"|"&amp;A19,報告入力!$CG$7:$CG$696,0),"")</f>
        <v>335</v>
      </c>
      <c r="C19" s="10" t="str">
        <f aca="false">IF($B19="","",INDEX(報告入力!$C$7:$C$696,$B19))</f>
        <v>報告なし</v>
      </c>
      <c r="D19" s="10" t="str">
        <f aca="false">IF($B19="","",INDEX(報告入力!$D$7:$D$696,$B19))</f>
        <v>―</v>
      </c>
      <c r="E19" s="24" t="str">
        <f aca="false">IF($B19="","",INDEX(報告入力!$E$7:$E$696,$B19))</f>
        <v>―</v>
      </c>
      <c r="F19" s="42" t="n">
        <f aca="false">IF($B19="","",INDEX(報告入力!$I$7:$I$696,$B19))</f>
        <v>0</v>
      </c>
      <c r="G19" s="42" t="n">
        <f aca="false">IF($B19="","",INDEX(報告入力!$J$7:$J$696,$B19))</f>
        <v>0</v>
      </c>
      <c r="H19" s="42" t="n">
        <f aca="false">IF($B19="","",INDEX(報告入力!$K$7:$K$696,$B19))</f>
        <v>0</v>
      </c>
      <c r="I19" s="42" t="str">
        <f aca="false">IF($AG19=1,INDEX(報告入力!$BN$7:$BN$696,$B19),"")</f>
        <v/>
      </c>
      <c r="J19" s="42" t="str">
        <f aca="false">IF($AH19=1,INDEX(報告入力!$BF$7:$BF$696,$B19),"")</f>
        <v/>
      </c>
      <c r="K19" s="43" t="str">
        <f aca="false">IF($AH19=1,INDEX(報告入力!$BV$7:$BV$696,$B19),"")</f>
        <v/>
      </c>
      <c r="L19" s="42" t="str">
        <f aca="false">IF($AG19=1,INDEX(報告入力!$BO$7:$BO$696,$B19),"")</f>
        <v/>
      </c>
      <c r="M19" s="42" t="str">
        <f aca="false">IF($AH19=1,INDEX(報告入力!$BG$7:$BG$696,$B19),"")</f>
        <v/>
      </c>
      <c r="N19" s="43" t="str">
        <f aca="false">IF($AH19=1,INDEX(報告入力!$BW$7:$BW$696,$B19),"")</f>
        <v/>
      </c>
      <c r="O19" s="42" t="str">
        <f aca="false">IF($AG19=1,INDEX(報告入力!$BP$7:$BP$696,$B19),"")</f>
        <v/>
      </c>
      <c r="P19" s="42" t="str">
        <f aca="false">IF($AH19=1,INDEX(報告入力!$BH$7:$BH$696,$B19),"")</f>
        <v/>
      </c>
      <c r="Q19" s="43" t="str">
        <f aca="false">IF($AH19=1,INDEX(報告入力!$BX$7:$BX$696,$B19),"")</f>
        <v/>
      </c>
      <c r="R19" s="42" t="str">
        <f aca="false">IF($AG19=1,INDEX(報告入力!$BQ$7:$BQ$696,$B19),"")</f>
        <v/>
      </c>
      <c r="S19" s="42" t="str">
        <f aca="false">IF($AH19=1,INDEX(報告入力!$BI$7:$BI$696,$B19),"")</f>
        <v/>
      </c>
      <c r="T19" s="43" t="str">
        <f aca="false">IF($AH19=1,INDEX(報告入力!$BY$7:$BY$696,$B19),"")</f>
        <v/>
      </c>
      <c r="U19" s="42" t="str">
        <f aca="false">IF($AG19=1,INDEX(報告入力!$BR$7:$BR$696,$B19),"")</f>
        <v/>
      </c>
      <c r="V19" s="42" t="str">
        <f aca="false">IF($AH19=1,INDEX(報告入力!$BJ$7:$BJ$696,$B19),"")</f>
        <v/>
      </c>
      <c r="W19" s="43" t="str">
        <f aca="false">IF($AH19=1,INDEX(報告入力!$BZ$7:$BZ$696,$B19),"")</f>
        <v/>
      </c>
      <c r="X19" s="42" t="str">
        <f aca="false">IF($AG19=1,INDEX(報告入力!$BS$7:$BS$696,$B19),"")</f>
        <v/>
      </c>
      <c r="Y19" s="42" t="str">
        <f aca="false">IF($AH19=1,INDEX(報告入力!$BK$7:$BK$696,$B19),"")</f>
        <v/>
      </c>
      <c r="Z19" s="43" t="str">
        <f aca="false">IF($AH19=1,INDEX(報告入力!$CA$7:$CA$696,$B19),"")</f>
        <v/>
      </c>
      <c r="AA19" s="42" t="str">
        <f aca="false">IF($AG19=1,INDEX(報告入力!$BT$7:$BT$696,$B19),"")</f>
        <v/>
      </c>
      <c r="AB19" s="42" t="str">
        <f aca="false">IF($AH19=1,INDEX(報告入力!$BL$7:$BL$696,$B19),"")</f>
        <v/>
      </c>
      <c r="AC19" s="43" t="str">
        <f aca="false">IF($AH19=1,INDEX(報告入力!$CB$7:$CB$696,$B19),"")</f>
        <v/>
      </c>
      <c r="AD19" s="42" t="str">
        <f aca="false">IF($AG19=1,INDEX(報告入力!$BU$7:$BU$696,$B19),"")</f>
        <v/>
      </c>
      <c r="AE19" s="42" t="str">
        <f aca="false">IF($AH19=1,INDEX(報告入力!$BM$7:$BM$696,$B19),"")</f>
        <v/>
      </c>
      <c r="AF19" s="43" t="str">
        <f aca="false">IF($AH19=1,INDEX(報告入力!$CC$7:$CC$696,$B19),"")</f>
        <v/>
      </c>
      <c r="AG19" s="33" t="n">
        <f aca="false">IF($B19="",0,IF(OR(C19="未受領",C19="報告なし"),0,1))</f>
        <v>0</v>
      </c>
      <c r="AH19" s="33" t="n">
        <f aca="false">IF(OR(D19="問題なし",D19="要確認"),1,0)</f>
        <v>0</v>
      </c>
      <c r="AI19" s="33" t="str">
        <f aca="false">IF(C19="未受領",MAX(AI$6:AI18)+1,"")</f>
        <v/>
      </c>
      <c r="AJ19" s="33" t="str">
        <f aca="false">IF(D19="要確認",MAX(AJ$6:AJ18)+1,"")</f>
        <v/>
      </c>
      <c r="AK19" s="32" t="str">
        <f aca="false">IF(D19="要確認",INDEX(報告入力!$CD$7:$CD$696,$B19),"")</f>
        <v/>
      </c>
    </row>
    <row r="20" customFormat="false" ht="15" hidden="false" customHeight="false" outlineLevel="0" collapsed="false">
      <c r="A20" s="41" t="str">
        <f aca="false">設定!B74</f>
        <v>平和文化センター</v>
      </c>
      <c r="B20" s="33" t="n">
        <f aca="false">IFERROR(MATCH(ホーム!$C$4&amp;"|"&amp;A20,報告入力!$CG$7:$CG$696,0),"")</f>
        <v>336</v>
      </c>
      <c r="C20" s="10" t="str">
        <f aca="false">IF($B20="","",INDEX(報告入力!$C$7:$C$696,$B20))</f>
        <v>未受領</v>
      </c>
      <c r="D20" s="10" t="str">
        <f aca="false">IF($B20="","",INDEX(報告入力!$D$7:$D$696,$B20))</f>
        <v>―</v>
      </c>
      <c r="E20" s="24" t="str">
        <f aca="false">IF($B20="","",INDEX(報告入力!$E$7:$E$696,$B20))</f>
        <v>―</v>
      </c>
      <c r="F20" s="42" t="n">
        <f aca="false">IF($B20="","",INDEX(報告入力!$I$7:$I$696,$B20))</f>
        <v>0</v>
      </c>
      <c r="G20" s="42" t="n">
        <f aca="false">IF($B20="","",INDEX(報告入力!$J$7:$J$696,$B20))</f>
        <v>0</v>
      </c>
      <c r="H20" s="42" t="n">
        <f aca="false">IF($B20="","",INDEX(報告入力!$K$7:$K$696,$B20))</f>
        <v>0</v>
      </c>
      <c r="I20" s="42" t="str">
        <f aca="false">IF($AG20=1,INDEX(報告入力!$BN$7:$BN$696,$B20),"")</f>
        <v/>
      </c>
      <c r="J20" s="42" t="str">
        <f aca="false">IF($AH20=1,INDEX(報告入力!$BF$7:$BF$696,$B20),"")</f>
        <v/>
      </c>
      <c r="K20" s="43" t="str">
        <f aca="false">IF($AH20=1,INDEX(報告入力!$BV$7:$BV$696,$B20),"")</f>
        <v/>
      </c>
      <c r="L20" s="42" t="str">
        <f aca="false">IF($AG20=1,INDEX(報告入力!$BO$7:$BO$696,$B20),"")</f>
        <v/>
      </c>
      <c r="M20" s="42" t="str">
        <f aca="false">IF($AH20=1,INDEX(報告入力!$BG$7:$BG$696,$B20),"")</f>
        <v/>
      </c>
      <c r="N20" s="43" t="str">
        <f aca="false">IF($AH20=1,INDEX(報告入力!$BW$7:$BW$696,$B20),"")</f>
        <v/>
      </c>
      <c r="O20" s="42" t="str">
        <f aca="false">IF($AG20=1,INDEX(報告入力!$BP$7:$BP$696,$B20),"")</f>
        <v/>
      </c>
      <c r="P20" s="42" t="str">
        <f aca="false">IF($AH20=1,INDEX(報告入力!$BH$7:$BH$696,$B20),"")</f>
        <v/>
      </c>
      <c r="Q20" s="43" t="str">
        <f aca="false">IF($AH20=1,INDEX(報告入力!$BX$7:$BX$696,$B20),"")</f>
        <v/>
      </c>
      <c r="R20" s="42" t="str">
        <f aca="false">IF($AG20=1,INDEX(報告入力!$BQ$7:$BQ$696,$B20),"")</f>
        <v/>
      </c>
      <c r="S20" s="42" t="str">
        <f aca="false">IF($AH20=1,INDEX(報告入力!$BI$7:$BI$696,$B20),"")</f>
        <v/>
      </c>
      <c r="T20" s="43" t="str">
        <f aca="false">IF($AH20=1,INDEX(報告入力!$BY$7:$BY$696,$B20),"")</f>
        <v/>
      </c>
      <c r="U20" s="42" t="str">
        <f aca="false">IF($AG20=1,INDEX(報告入力!$BR$7:$BR$696,$B20),"")</f>
        <v/>
      </c>
      <c r="V20" s="42" t="str">
        <f aca="false">IF($AH20=1,INDEX(報告入力!$BJ$7:$BJ$696,$B20),"")</f>
        <v/>
      </c>
      <c r="W20" s="43" t="str">
        <f aca="false">IF($AH20=1,INDEX(報告入力!$BZ$7:$BZ$696,$B20),"")</f>
        <v/>
      </c>
      <c r="X20" s="42" t="str">
        <f aca="false">IF($AG20=1,INDEX(報告入力!$BS$7:$BS$696,$B20),"")</f>
        <v/>
      </c>
      <c r="Y20" s="42" t="str">
        <f aca="false">IF($AH20=1,INDEX(報告入力!$BK$7:$BK$696,$B20),"")</f>
        <v/>
      </c>
      <c r="Z20" s="43" t="str">
        <f aca="false">IF($AH20=1,INDEX(報告入力!$CA$7:$CA$696,$B20),"")</f>
        <v/>
      </c>
      <c r="AA20" s="42" t="str">
        <f aca="false">IF($AG20=1,INDEX(報告入力!$BT$7:$BT$696,$B20),"")</f>
        <v/>
      </c>
      <c r="AB20" s="42" t="str">
        <f aca="false">IF($AH20=1,INDEX(報告入力!$BL$7:$BL$696,$B20),"")</f>
        <v/>
      </c>
      <c r="AC20" s="43" t="str">
        <f aca="false">IF($AH20=1,INDEX(報告入力!$CB$7:$CB$696,$B20),"")</f>
        <v/>
      </c>
      <c r="AD20" s="42" t="str">
        <f aca="false">IF($AG20=1,INDEX(報告入力!$BU$7:$BU$696,$B20),"")</f>
        <v/>
      </c>
      <c r="AE20" s="42" t="str">
        <f aca="false">IF($AH20=1,INDEX(報告入力!$BM$7:$BM$696,$B20),"")</f>
        <v/>
      </c>
      <c r="AF20" s="43" t="str">
        <f aca="false">IF($AH20=1,INDEX(報告入力!$CC$7:$CC$696,$B20),"")</f>
        <v/>
      </c>
      <c r="AG20" s="33" t="n">
        <f aca="false">IF($B20="",0,IF(OR(C20="未受領",C20="報告なし"),0,1))</f>
        <v>0</v>
      </c>
      <c r="AH20" s="33" t="n">
        <f aca="false">IF(OR(D20="問題なし",D20="要確認"),1,0)</f>
        <v>0</v>
      </c>
      <c r="AI20" s="33" t="n">
        <f aca="false">IF(C20="未受領",MAX(AI$6:AI19)+1,"")</f>
        <v>13</v>
      </c>
      <c r="AJ20" s="33" t="str">
        <f aca="false">IF(D20="要確認",MAX(AJ$6:AJ19)+1,"")</f>
        <v/>
      </c>
      <c r="AK20" s="32" t="str">
        <f aca="false">IF(D20="要確認",INDEX(報告入力!$CD$7:$CD$696,$B20),"")</f>
        <v/>
      </c>
    </row>
    <row r="21" customFormat="false" ht="15" hidden="false" customHeight="false" outlineLevel="0" collapsed="false">
      <c r="A21" s="41" t="str">
        <f aca="false">設定!B75</f>
        <v>社会福祉事業団</v>
      </c>
      <c r="B21" s="33" t="n">
        <f aca="false">IFERROR(MATCH(ホーム!$C$4&amp;"|"&amp;A21,報告入力!$CG$7:$CG$696,0),"")</f>
        <v>337</v>
      </c>
      <c r="C21" s="10" t="str">
        <f aca="false">IF($B21="","",INDEX(報告入力!$C$7:$C$696,$B21))</f>
        <v>未受領</v>
      </c>
      <c r="D21" s="10" t="str">
        <f aca="false">IF($B21="","",INDEX(報告入力!$D$7:$D$696,$B21))</f>
        <v>―</v>
      </c>
      <c r="E21" s="24" t="str">
        <f aca="false">IF($B21="","",INDEX(報告入力!$E$7:$E$696,$B21))</f>
        <v>―</v>
      </c>
      <c r="F21" s="42" t="n">
        <f aca="false">IF($B21="","",INDEX(報告入力!$I$7:$I$696,$B21))</f>
        <v>0</v>
      </c>
      <c r="G21" s="42" t="n">
        <f aca="false">IF($B21="","",INDEX(報告入力!$J$7:$J$696,$B21))</f>
        <v>0</v>
      </c>
      <c r="H21" s="42" t="n">
        <f aca="false">IF($B21="","",INDEX(報告入力!$K$7:$K$696,$B21))</f>
        <v>0</v>
      </c>
      <c r="I21" s="42" t="str">
        <f aca="false">IF($AG21=1,INDEX(報告入力!$BN$7:$BN$696,$B21),"")</f>
        <v/>
      </c>
      <c r="J21" s="42" t="str">
        <f aca="false">IF($AH21=1,INDEX(報告入力!$BF$7:$BF$696,$B21),"")</f>
        <v/>
      </c>
      <c r="K21" s="43" t="str">
        <f aca="false">IF($AH21=1,INDEX(報告入力!$BV$7:$BV$696,$B21),"")</f>
        <v/>
      </c>
      <c r="L21" s="42" t="str">
        <f aca="false">IF($AG21=1,INDEX(報告入力!$BO$7:$BO$696,$B21),"")</f>
        <v/>
      </c>
      <c r="M21" s="42" t="str">
        <f aca="false">IF($AH21=1,INDEX(報告入力!$BG$7:$BG$696,$B21),"")</f>
        <v/>
      </c>
      <c r="N21" s="43" t="str">
        <f aca="false">IF($AH21=1,INDEX(報告入力!$BW$7:$BW$696,$B21),"")</f>
        <v/>
      </c>
      <c r="O21" s="42" t="str">
        <f aca="false">IF($AG21=1,INDEX(報告入力!$BP$7:$BP$696,$B21),"")</f>
        <v/>
      </c>
      <c r="P21" s="42" t="str">
        <f aca="false">IF($AH21=1,INDEX(報告入力!$BH$7:$BH$696,$B21),"")</f>
        <v/>
      </c>
      <c r="Q21" s="43" t="str">
        <f aca="false">IF($AH21=1,INDEX(報告入力!$BX$7:$BX$696,$B21),"")</f>
        <v/>
      </c>
      <c r="R21" s="42" t="str">
        <f aca="false">IF($AG21=1,INDEX(報告入力!$BQ$7:$BQ$696,$B21),"")</f>
        <v/>
      </c>
      <c r="S21" s="42" t="str">
        <f aca="false">IF($AH21=1,INDEX(報告入力!$BI$7:$BI$696,$B21),"")</f>
        <v/>
      </c>
      <c r="T21" s="43" t="str">
        <f aca="false">IF($AH21=1,INDEX(報告入力!$BY$7:$BY$696,$B21),"")</f>
        <v/>
      </c>
      <c r="U21" s="42" t="str">
        <f aca="false">IF($AG21=1,INDEX(報告入力!$BR$7:$BR$696,$B21),"")</f>
        <v/>
      </c>
      <c r="V21" s="42" t="str">
        <f aca="false">IF($AH21=1,INDEX(報告入力!$BJ$7:$BJ$696,$B21),"")</f>
        <v/>
      </c>
      <c r="W21" s="43" t="str">
        <f aca="false">IF($AH21=1,INDEX(報告入力!$BZ$7:$BZ$696,$B21),"")</f>
        <v/>
      </c>
      <c r="X21" s="42" t="str">
        <f aca="false">IF($AG21=1,INDEX(報告入力!$BS$7:$BS$696,$B21),"")</f>
        <v/>
      </c>
      <c r="Y21" s="42" t="str">
        <f aca="false">IF($AH21=1,INDEX(報告入力!$BK$7:$BK$696,$B21),"")</f>
        <v/>
      </c>
      <c r="Z21" s="43" t="str">
        <f aca="false">IF($AH21=1,INDEX(報告入力!$CA$7:$CA$696,$B21),"")</f>
        <v/>
      </c>
      <c r="AA21" s="42" t="str">
        <f aca="false">IF($AG21=1,INDEX(報告入力!$BT$7:$BT$696,$B21),"")</f>
        <v/>
      </c>
      <c r="AB21" s="42" t="str">
        <f aca="false">IF($AH21=1,INDEX(報告入力!$BL$7:$BL$696,$B21),"")</f>
        <v/>
      </c>
      <c r="AC21" s="43" t="str">
        <f aca="false">IF($AH21=1,INDEX(報告入力!$CB$7:$CB$696,$B21),"")</f>
        <v/>
      </c>
      <c r="AD21" s="42" t="str">
        <f aca="false">IF($AG21=1,INDEX(報告入力!$BU$7:$BU$696,$B21),"")</f>
        <v/>
      </c>
      <c r="AE21" s="42" t="str">
        <f aca="false">IF($AH21=1,INDEX(報告入力!$BM$7:$BM$696,$B21),"")</f>
        <v/>
      </c>
      <c r="AF21" s="43" t="str">
        <f aca="false">IF($AH21=1,INDEX(報告入力!$CC$7:$CC$696,$B21),"")</f>
        <v/>
      </c>
      <c r="AG21" s="33" t="n">
        <f aca="false">IF($B21="",0,IF(OR(C21="未受領",C21="報告なし"),0,1))</f>
        <v>0</v>
      </c>
      <c r="AH21" s="33" t="n">
        <f aca="false">IF(OR(D21="問題なし",D21="要確認"),1,0)</f>
        <v>0</v>
      </c>
      <c r="AI21" s="33" t="n">
        <f aca="false">IF(C21="未受領",MAX(AI$6:AI20)+1,"")</f>
        <v>14</v>
      </c>
      <c r="AJ21" s="33" t="str">
        <f aca="false">IF(D21="要確認",MAX(AJ$6:AJ20)+1,"")</f>
        <v/>
      </c>
      <c r="AK21" s="32" t="str">
        <f aca="false">IF(D21="要確認",INDEX(報告入力!$CD$7:$CD$696,$B21),"")</f>
        <v/>
      </c>
    </row>
    <row r="22" customFormat="false" ht="15" hidden="false" customHeight="false" outlineLevel="0" collapsed="false">
      <c r="A22" s="41" t="str">
        <f aca="false">設定!B76</f>
        <v>原爆障害対策協議会</v>
      </c>
      <c r="B22" s="33" t="n">
        <f aca="false">IFERROR(MATCH(ホーム!$C$4&amp;"|"&amp;A22,報告入力!$CG$7:$CG$696,0),"")</f>
        <v>338</v>
      </c>
      <c r="C22" s="10" t="str">
        <f aca="false">IF($B22="","",INDEX(報告入力!$C$7:$C$696,$B22))</f>
        <v>未受領</v>
      </c>
      <c r="D22" s="10" t="str">
        <f aca="false">IF($B22="","",INDEX(報告入力!$D$7:$D$696,$B22))</f>
        <v>―</v>
      </c>
      <c r="E22" s="24" t="str">
        <f aca="false">IF($B22="","",INDEX(報告入力!$E$7:$E$696,$B22))</f>
        <v>―</v>
      </c>
      <c r="F22" s="42" t="n">
        <f aca="false">IF($B22="","",INDEX(報告入力!$I$7:$I$696,$B22))</f>
        <v>0</v>
      </c>
      <c r="G22" s="42" t="n">
        <f aca="false">IF($B22="","",INDEX(報告入力!$J$7:$J$696,$B22))</f>
        <v>0</v>
      </c>
      <c r="H22" s="42" t="n">
        <f aca="false">IF($B22="","",INDEX(報告入力!$K$7:$K$696,$B22))</f>
        <v>0</v>
      </c>
      <c r="I22" s="42" t="str">
        <f aca="false">IF($AG22=1,INDEX(報告入力!$BN$7:$BN$696,$B22),"")</f>
        <v/>
      </c>
      <c r="J22" s="42" t="str">
        <f aca="false">IF($AH22=1,INDEX(報告入力!$BF$7:$BF$696,$B22),"")</f>
        <v/>
      </c>
      <c r="K22" s="43" t="str">
        <f aca="false">IF($AH22=1,INDEX(報告入力!$BV$7:$BV$696,$B22),"")</f>
        <v/>
      </c>
      <c r="L22" s="42" t="str">
        <f aca="false">IF($AG22=1,INDEX(報告入力!$BO$7:$BO$696,$B22),"")</f>
        <v/>
      </c>
      <c r="M22" s="42" t="str">
        <f aca="false">IF($AH22=1,INDEX(報告入力!$BG$7:$BG$696,$B22),"")</f>
        <v/>
      </c>
      <c r="N22" s="43" t="str">
        <f aca="false">IF($AH22=1,INDEX(報告入力!$BW$7:$BW$696,$B22),"")</f>
        <v/>
      </c>
      <c r="O22" s="42" t="str">
        <f aca="false">IF($AG22=1,INDEX(報告入力!$BP$7:$BP$696,$B22),"")</f>
        <v/>
      </c>
      <c r="P22" s="42" t="str">
        <f aca="false">IF($AH22=1,INDEX(報告入力!$BH$7:$BH$696,$B22),"")</f>
        <v/>
      </c>
      <c r="Q22" s="43" t="str">
        <f aca="false">IF($AH22=1,INDEX(報告入力!$BX$7:$BX$696,$B22),"")</f>
        <v/>
      </c>
      <c r="R22" s="42" t="str">
        <f aca="false">IF($AG22=1,INDEX(報告入力!$BQ$7:$BQ$696,$B22),"")</f>
        <v/>
      </c>
      <c r="S22" s="42" t="str">
        <f aca="false">IF($AH22=1,INDEX(報告入力!$BI$7:$BI$696,$B22),"")</f>
        <v/>
      </c>
      <c r="T22" s="43" t="str">
        <f aca="false">IF($AH22=1,INDEX(報告入力!$BY$7:$BY$696,$B22),"")</f>
        <v/>
      </c>
      <c r="U22" s="42" t="str">
        <f aca="false">IF($AG22=1,INDEX(報告入力!$BR$7:$BR$696,$B22),"")</f>
        <v/>
      </c>
      <c r="V22" s="42" t="str">
        <f aca="false">IF($AH22=1,INDEX(報告入力!$BJ$7:$BJ$696,$B22),"")</f>
        <v/>
      </c>
      <c r="W22" s="43" t="str">
        <f aca="false">IF($AH22=1,INDEX(報告入力!$BZ$7:$BZ$696,$B22),"")</f>
        <v/>
      </c>
      <c r="X22" s="42" t="str">
        <f aca="false">IF($AG22=1,INDEX(報告入力!$BS$7:$BS$696,$B22),"")</f>
        <v/>
      </c>
      <c r="Y22" s="42" t="str">
        <f aca="false">IF($AH22=1,INDEX(報告入力!$BK$7:$BK$696,$B22),"")</f>
        <v/>
      </c>
      <c r="Z22" s="43" t="str">
        <f aca="false">IF($AH22=1,INDEX(報告入力!$CA$7:$CA$696,$B22),"")</f>
        <v/>
      </c>
      <c r="AA22" s="42" t="str">
        <f aca="false">IF($AG22=1,INDEX(報告入力!$BT$7:$BT$696,$B22),"")</f>
        <v/>
      </c>
      <c r="AB22" s="42" t="str">
        <f aca="false">IF($AH22=1,INDEX(報告入力!$BL$7:$BL$696,$B22),"")</f>
        <v/>
      </c>
      <c r="AC22" s="43" t="str">
        <f aca="false">IF($AH22=1,INDEX(報告入力!$CB$7:$CB$696,$B22),"")</f>
        <v/>
      </c>
      <c r="AD22" s="42" t="str">
        <f aca="false">IF($AG22=1,INDEX(報告入力!$BU$7:$BU$696,$B22),"")</f>
        <v/>
      </c>
      <c r="AE22" s="42" t="str">
        <f aca="false">IF($AH22=1,INDEX(報告入力!$BM$7:$BM$696,$B22),"")</f>
        <v/>
      </c>
      <c r="AF22" s="43" t="str">
        <f aca="false">IF($AH22=1,INDEX(報告入力!$CC$7:$CC$696,$B22),"")</f>
        <v/>
      </c>
      <c r="AG22" s="33" t="n">
        <f aca="false">IF($B22="",0,IF(OR(C22="未受領",C22="報告なし"),0,1))</f>
        <v>0</v>
      </c>
      <c r="AH22" s="33" t="n">
        <f aca="false">IF(OR(D22="問題なし",D22="要確認"),1,0)</f>
        <v>0</v>
      </c>
      <c r="AI22" s="33" t="n">
        <f aca="false">IF(C22="未受領",MAX(AI$6:AI21)+1,"")</f>
        <v>15</v>
      </c>
      <c r="AJ22" s="33" t="str">
        <f aca="false">IF(D22="要確認",MAX(AJ$6:AJ21)+1,"")</f>
        <v/>
      </c>
      <c r="AK22" s="32" t="str">
        <f aca="false">IF(D22="要確認",INDEX(報告入力!$CD$7:$CD$696,$B22),"")</f>
        <v/>
      </c>
    </row>
    <row r="23" customFormat="false" ht="15" hidden="false" customHeight="false" outlineLevel="0" collapsed="false">
      <c r="A23" s="41" t="str">
        <f aca="false">設定!B77</f>
        <v>産業振興センター</v>
      </c>
      <c r="B23" s="33" t="n">
        <f aca="false">IFERROR(MATCH(ホーム!$C$4&amp;"|"&amp;A23,報告入力!$CG$7:$CG$696,0),"")</f>
        <v>339</v>
      </c>
      <c r="C23" s="10" t="str">
        <f aca="false">IF($B23="","",INDEX(報告入力!$C$7:$C$696,$B23))</f>
        <v>未受領</v>
      </c>
      <c r="D23" s="10" t="str">
        <f aca="false">IF($B23="","",INDEX(報告入力!$D$7:$D$696,$B23))</f>
        <v>―</v>
      </c>
      <c r="E23" s="24" t="str">
        <f aca="false">IF($B23="","",INDEX(報告入力!$E$7:$E$696,$B23))</f>
        <v>―</v>
      </c>
      <c r="F23" s="42" t="n">
        <f aca="false">IF($B23="","",INDEX(報告入力!$I$7:$I$696,$B23))</f>
        <v>0</v>
      </c>
      <c r="G23" s="42" t="n">
        <f aca="false">IF($B23="","",INDEX(報告入力!$J$7:$J$696,$B23))</f>
        <v>0</v>
      </c>
      <c r="H23" s="42" t="n">
        <f aca="false">IF($B23="","",INDEX(報告入力!$K$7:$K$696,$B23))</f>
        <v>0</v>
      </c>
      <c r="I23" s="42" t="str">
        <f aca="false">IF($AG23=1,INDEX(報告入力!$BN$7:$BN$696,$B23),"")</f>
        <v/>
      </c>
      <c r="J23" s="42" t="str">
        <f aca="false">IF($AH23=1,INDEX(報告入力!$BF$7:$BF$696,$B23),"")</f>
        <v/>
      </c>
      <c r="K23" s="43" t="str">
        <f aca="false">IF($AH23=1,INDEX(報告入力!$BV$7:$BV$696,$B23),"")</f>
        <v/>
      </c>
      <c r="L23" s="42" t="str">
        <f aca="false">IF($AG23=1,INDEX(報告入力!$BO$7:$BO$696,$B23),"")</f>
        <v/>
      </c>
      <c r="M23" s="42" t="str">
        <f aca="false">IF($AH23=1,INDEX(報告入力!$BG$7:$BG$696,$B23),"")</f>
        <v/>
      </c>
      <c r="N23" s="43" t="str">
        <f aca="false">IF($AH23=1,INDEX(報告入力!$BW$7:$BW$696,$B23),"")</f>
        <v/>
      </c>
      <c r="O23" s="42" t="str">
        <f aca="false">IF($AG23=1,INDEX(報告入力!$BP$7:$BP$696,$B23),"")</f>
        <v/>
      </c>
      <c r="P23" s="42" t="str">
        <f aca="false">IF($AH23=1,INDEX(報告入力!$BH$7:$BH$696,$B23),"")</f>
        <v/>
      </c>
      <c r="Q23" s="43" t="str">
        <f aca="false">IF($AH23=1,INDEX(報告入力!$BX$7:$BX$696,$B23),"")</f>
        <v/>
      </c>
      <c r="R23" s="42" t="str">
        <f aca="false">IF($AG23=1,INDEX(報告入力!$BQ$7:$BQ$696,$B23),"")</f>
        <v/>
      </c>
      <c r="S23" s="42" t="str">
        <f aca="false">IF($AH23=1,INDEX(報告入力!$BI$7:$BI$696,$B23),"")</f>
        <v/>
      </c>
      <c r="T23" s="43" t="str">
        <f aca="false">IF($AH23=1,INDEX(報告入力!$BY$7:$BY$696,$B23),"")</f>
        <v/>
      </c>
      <c r="U23" s="42" t="str">
        <f aca="false">IF($AG23=1,INDEX(報告入力!$BR$7:$BR$696,$B23),"")</f>
        <v/>
      </c>
      <c r="V23" s="42" t="str">
        <f aca="false">IF($AH23=1,INDEX(報告入力!$BJ$7:$BJ$696,$B23),"")</f>
        <v/>
      </c>
      <c r="W23" s="43" t="str">
        <f aca="false">IF($AH23=1,INDEX(報告入力!$BZ$7:$BZ$696,$B23),"")</f>
        <v/>
      </c>
      <c r="X23" s="42" t="str">
        <f aca="false">IF($AG23=1,INDEX(報告入力!$BS$7:$BS$696,$B23),"")</f>
        <v/>
      </c>
      <c r="Y23" s="42" t="str">
        <f aca="false">IF($AH23=1,INDEX(報告入力!$BK$7:$BK$696,$B23),"")</f>
        <v/>
      </c>
      <c r="Z23" s="43" t="str">
        <f aca="false">IF($AH23=1,INDEX(報告入力!$CA$7:$CA$696,$B23),"")</f>
        <v/>
      </c>
      <c r="AA23" s="42" t="str">
        <f aca="false">IF($AG23=1,INDEX(報告入力!$BT$7:$BT$696,$B23),"")</f>
        <v/>
      </c>
      <c r="AB23" s="42" t="str">
        <f aca="false">IF($AH23=1,INDEX(報告入力!$BL$7:$BL$696,$B23),"")</f>
        <v/>
      </c>
      <c r="AC23" s="43" t="str">
        <f aca="false">IF($AH23=1,INDEX(報告入力!$CB$7:$CB$696,$B23),"")</f>
        <v/>
      </c>
      <c r="AD23" s="42" t="str">
        <f aca="false">IF($AG23=1,INDEX(報告入力!$BU$7:$BU$696,$B23),"")</f>
        <v/>
      </c>
      <c r="AE23" s="42" t="str">
        <f aca="false">IF($AH23=1,INDEX(報告入力!$BM$7:$BM$696,$B23),"")</f>
        <v/>
      </c>
      <c r="AF23" s="43" t="str">
        <f aca="false">IF($AH23=1,INDEX(報告入力!$CC$7:$CC$696,$B23),"")</f>
        <v/>
      </c>
      <c r="AG23" s="33" t="n">
        <f aca="false">IF($B23="",0,IF(OR(C23="未受領",C23="報告なし"),0,1))</f>
        <v>0</v>
      </c>
      <c r="AH23" s="33" t="n">
        <f aca="false">IF(OR(D23="問題なし",D23="要確認"),1,0)</f>
        <v>0</v>
      </c>
      <c r="AI23" s="33" t="n">
        <f aca="false">IF(C23="未受領",MAX(AI$6:AI22)+1,"")</f>
        <v>16</v>
      </c>
      <c r="AJ23" s="33" t="str">
        <f aca="false">IF(D23="要確認",MAX(AJ$6:AJ22)+1,"")</f>
        <v/>
      </c>
      <c r="AK23" s="32" t="str">
        <f aca="false">IF(D23="要確認",INDEX(報告入力!$CD$7:$CD$696,$B23),"")</f>
        <v/>
      </c>
    </row>
    <row r="24" customFormat="false" ht="15" hidden="false" customHeight="false" outlineLevel="0" collapsed="false">
      <c r="A24" s="41" t="str">
        <f aca="false">設定!B78</f>
        <v>ひろしま産業振興</v>
      </c>
      <c r="B24" s="33" t="n">
        <f aca="false">IFERROR(MATCH(ホーム!$C$4&amp;"|"&amp;A24,報告入力!$CG$7:$CG$696,0),"")</f>
        <v>340</v>
      </c>
      <c r="C24" s="10" t="str">
        <f aca="false">IF($B24="","",INDEX(報告入力!$C$7:$C$696,$B24))</f>
        <v>未受領</v>
      </c>
      <c r="D24" s="10" t="str">
        <f aca="false">IF($B24="","",INDEX(報告入力!$D$7:$D$696,$B24))</f>
        <v>―</v>
      </c>
      <c r="E24" s="24" t="str">
        <f aca="false">IF($B24="","",INDEX(報告入力!$E$7:$E$696,$B24))</f>
        <v>―</v>
      </c>
      <c r="F24" s="42" t="n">
        <f aca="false">IF($B24="","",INDEX(報告入力!$I$7:$I$696,$B24))</f>
        <v>0</v>
      </c>
      <c r="G24" s="42" t="n">
        <f aca="false">IF($B24="","",INDEX(報告入力!$J$7:$J$696,$B24))</f>
        <v>0</v>
      </c>
      <c r="H24" s="42" t="n">
        <f aca="false">IF($B24="","",INDEX(報告入力!$K$7:$K$696,$B24))</f>
        <v>0</v>
      </c>
      <c r="I24" s="42" t="str">
        <f aca="false">IF($AG24=1,INDEX(報告入力!$BN$7:$BN$696,$B24),"")</f>
        <v/>
      </c>
      <c r="J24" s="42" t="str">
        <f aca="false">IF($AH24=1,INDEX(報告入力!$BF$7:$BF$696,$B24),"")</f>
        <v/>
      </c>
      <c r="K24" s="43" t="str">
        <f aca="false">IF($AH24=1,INDEX(報告入力!$BV$7:$BV$696,$B24),"")</f>
        <v/>
      </c>
      <c r="L24" s="42" t="str">
        <f aca="false">IF($AG24=1,INDEX(報告入力!$BO$7:$BO$696,$B24),"")</f>
        <v/>
      </c>
      <c r="M24" s="42" t="str">
        <f aca="false">IF($AH24=1,INDEX(報告入力!$BG$7:$BG$696,$B24),"")</f>
        <v/>
      </c>
      <c r="N24" s="43" t="str">
        <f aca="false">IF($AH24=1,INDEX(報告入力!$BW$7:$BW$696,$B24),"")</f>
        <v/>
      </c>
      <c r="O24" s="42" t="str">
        <f aca="false">IF($AG24=1,INDEX(報告入力!$BP$7:$BP$696,$B24),"")</f>
        <v/>
      </c>
      <c r="P24" s="42" t="str">
        <f aca="false">IF($AH24=1,INDEX(報告入力!$BH$7:$BH$696,$B24),"")</f>
        <v/>
      </c>
      <c r="Q24" s="43" t="str">
        <f aca="false">IF($AH24=1,INDEX(報告入力!$BX$7:$BX$696,$B24),"")</f>
        <v/>
      </c>
      <c r="R24" s="42" t="str">
        <f aca="false">IF($AG24=1,INDEX(報告入力!$BQ$7:$BQ$696,$B24),"")</f>
        <v/>
      </c>
      <c r="S24" s="42" t="str">
        <f aca="false">IF($AH24=1,INDEX(報告入力!$BI$7:$BI$696,$B24),"")</f>
        <v/>
      </c>
      <c r="T24" s="43" t="str">
        <f aca="false">IF($AH24=1,INDEX(報告入力!$BY$7:$BY$696,$B24),"")</f>
        <v/>
      </c>
      <c r="U24" s="42" t="str">
        <f aca="false">IF($AG24=1,INDEX(報告入力!$BR$7:$BR$696,$B24),"")</f>
        <v/>
      </c>
      <c r="V24" s="42" t="str">
        <f aca="false">IF($AH24=1,INDEX(報告入力!$BJ$7:$BJ$696,$B24),"")</f>
        <v/>
      </c>
      <c r="W24" s="43" t="str">
        <f aca="false">IF($AH24=1,INDEX(報告入力!$BZ$7:$BZ$696,$B24),"")</f>
        <v/>
      </c>
      <c r="X24" s="42" t="str">
        <f aca="false">IF($AG24=1,INDEX(報告入力!$BS$7:$BS$696,$B24),"")</f>
        <v/>
      </c>
      <c r="Y24" s="42" t="str">
        <f aca="false">IF($AH24=1,INDEX(報告入力!$BK$7:$BK$696,$B24),"")</f>
        <v/>
      </c>
      <c r="Z24" s="43" t="str">
        <f aca="false">IF($AH24=1,INDEX(報告入力!$CA$7:$CA$696,$B24),"")</f>
        <v/>
      </c>
      <c r="AA24" s="42" t="str">
        <f aca="false">IF($AG24=1,INDEX(報告入力!$BT$7:$BT$696,$B24),"")</f>
        <v/>
      </c>
      <c r="AB24" s="42" t="str">
        <f aca="false">IF($AH24=1,INDEX(報告入力!$BL$7:$BL$696,$B24),"")</f>
        <v/>
      </c>
      <c r="AC24" s="43" t="str">
        <f aca="false">IF($AH24=1,INDEX(報告入力!$CB$7:$CB$696,$B24),"")</f>
        <v/>
      </c>
      <c r="AD24" s="42" t="str">
        <f aca="false">IF($AG24=1,INDEX(報告入力!$BU$7:$BU$696,$B24),"")</f>
        <v/>
      </c>
      <c r="AE24" s="42" t="str">
        <f aca="false">IF($AH24=1,INDEX(報告入力!$BM$7:$BM$696,$B24),"")</f>
        <v/>
      </c>
      <c r="AF24" s="43" t="str">
        <f aca="false">IF($AH24=1,INDEX(報告入力!$CC$7:$CC$696,$B24),"")</f>
        <v/>
      </c>
      <c r="AG24" s="33" t="n">
        <f aca="false">IF($B24="",0,IF(OR(C24="未受領",C24="報告なし"),0,1))</f>
        <v>0</v>
      </c>
      <c r="AH24" s="33" t="n">
        <f aca="false">IF(OR(D24="問題なし",D24="要確認"),1,0)</f>
        <v>0</v>
      </c>
      <c r="AI24" s="33" t="n">
        <f aca="false">IF(C24="未受領",MAX(AI$6:AI23)+1,"")</f>
        <v>17</v>
      </c>
      <c r="AJ24" s="33" t="str">
        <f aca="false">IF(D24="要確認",MAX(AJ$6:AJ23)+1,"")</f>
        <v/>
      </c>
      <c r="AK24" s="32" t="str">
        <f aca="false">IF(D24="要確認",INDEX(報告入力!$CD$7:$CD$696,$B24),"")</f>
        <v/>
      </c>
    </row>
    <row r="25" customFormat="false" ht="15" hidden="false" customHeight="false" outlineLevel="0" collapsed="false">
      <c r="A25" s="41" t="str">
        <f aca="false">設定!B79</f>
        <v>都市整備公社　市</v>
      </c>
      <c r="B25" s="33" t="n">
        <f aca="false">IFERROR(MATCH(ホーム!$C$4&amp;"|"&amp;A25,報告入力!$CG$7:$CG$696,0),"")</f>
        <v>341</v>
      </c>
      <c r="C25" s="10" t="str">
        <f aca="false">IF($B25="","",INDEX(報告入力!$C$7:$C$696,$B25))</f>
        <v>未受領</v>
      </c>
      <c r="D25" s="10" t="str">
        <f aca="false">IF($B25="","",INDEX(報告入力!$D$7:$D$696,$B25))</f>
        <v>―</v>
      </c>
      <c r="E25" s="24" t="str">
        <f aca="false">IF($B25="","",INDEX(報告入力!$E$7:$E$696,$B25))</f>
        <v>―</v>
      </c>
      <c r="F25" s="42" t="n">
        <f aca="false">IF($B25="","",INDEX(報告入力!$I$7:$I$696,$B25))</f>
        <v>0</v>
      </c>
      <c r="G25" s="42" t="n">
        <f aca="false">IF($B25="","",INDEX(報告入力!$J$7:$J$696,$B25))</f>
        <v>0</v>
      </c>
      <c r="H25" s="42" t="n">
        <f aca="false">IF($B25="","",INDEX(報告入力!$K$7:$K$696,$B25))</f>
        <v>0</v>
      </c>
      <c r="I25" s="42" t="str">
        <f aca="false">IF($AG25=1,INDEX(報告入力!$BN$7:$BN$696,$B25),"")</f>
        <v/>
      </c>
      <c r="J25" s="42" t="str">
        <f aca="false">IF($AH25=1,INDEX(報告入力!$BF$7:$BF$696,$B25),"")</f>
        <v/>
      </c>
      <c r="K25" s="43" t="str">
        <f aca="false">IF($AH25=1,INDEX(報告入力!$BV$7:$BV$696,$B25),"")</f>
        <v/>
      </c>
      <c r="L25" s="42" t="str">
        <f aca="false">IF($AG25=1,INDEX(報告入力!$BO$7:$BO$696,$B25),"")</f>
        <v/>
      </c>
      <c r="M25" s="42" t="str">
        <f aca="false">IF($AH25=1,INDEX(報告入力!$BG$7:$BG$696,$B25),"")</f>
        <v/>
      </c>
      <c r="N25" s="43" t="str">
        <f aca="false">IF($AH25=1,INDEX(報告入力!$BW$7:$BW$696,$B25),"")</f>
        <v/>
      </c>
      <c r="O25" s="42" t="str">
        <f aca="false">IF($AG25=1,INDEX(報告入力!$BP$7:$BP$696,$B25),"")</f>
        <v/>
      </c>
      <c r="P25" s="42" t="str">
        <f aca="false">IF($AH25=1,INDEX(報告入力!$BH$7:$BH$696,$B25),"")</f>
        <v/>
      </c>
      <c r="Q25" s="43" t="str">
        <f aca="false">IF($AH25=1,INDEX(報告入力!$BX$7:$BX$696,$B25),"")</f>
        <v/>
      </c>
      <c r="R25" s="42" t="str">
        <f aca="false">IF($AG25=1,INDEX(報告入力!$BQ$7:$BQ$696,$B25),"")</f>
        <v/>
      </c>
      <c r="S25" s="42" t="str">
        <f aca="false">IF($AH25=1,INDEX(報告入力!$BI$7:$BI$696,$B25),"")</f>
        <v/>
      </c>
      <c r="T25" s="43" t="str">
        <f aca="false">IF($AH25=1,INDEX(報告入力!$BY$7:$BY$696,$B25),"")</f>
        <v/>
      </c>
      <c r="U25" s="42" t="str">
        <f aca="false">IF($AG25=1,INDEX(報告入力!$BR$7:$BR$696,$B25),"")</f>
        <v/>
      </c>
      <c r="V25" s="42" t="str">
        <f aca="false">IF($AH25=1,INDEX(報告入力!$BJ$7:$BJ$696,$B25),"")</f>
        <v/>
      </c>
      <c r="W25" s="43" t="str">
        <f aca="false">IF($AH25=1,INDEX(報告入力!$BZ$7:$BZ$696,$B25),"")</f>
        <v/>
      </c>
      <c r="X25" s="42" t="str">
        <f aca="false">IF($AG25=1,INDEX(報告入力!$BS$7:$BS$696,$B25),"")</f>
        <v/>
      </c>
      <c r="Y25" s="42" t="str">
        <f aca="false">IF($AH25=1,INDEX(報告入力!$BK$7:$BK$696,$B25),"")</f>
        <v/>
      </c>
      <c r="Z25" s="43" t="str">
        <f aca="false">IF($AH25=1,INDEX(報告入力!$CA$7:$CA$696,$B25),"")</f>
        <v/>
      </c>
      <c r="AA25" s="42" t="str">
        <f aca="false">IF($AG25=1,INDEX(報告入力!$BT$7:$BT$696,$B25),"")</f>
        <v/>
      </c>
      <c r="AB25" s="42" t="str">
        <f aca="false">IF($AH25=1,INDEX(報告入力!$BL$7:$BL$696,$B25),"")</f>
        <v/>
      </c>
      <c r="AC25" s="43" t="str">
        <f aca="false">IF($AH25=1,INDEX(報告入力!$CB$7:$CB$696,$B25),"")</f>
        <v/>
      </c>
      <c r="AD25" s="42" t="str">
        <f aca="false">IF($AG25=1,INDEX(報告入力!$BU$7:$BU$696,$B25),"")</f>
        <v/>
      </c>
      <c r="AE25" s="42" t="str">
        <f aca="false">IF($AH25=1,INDEX(報告入力!$BM$7:$BM$696,$B25),"")</f>
        <v/>
      </c>
      <c r="AF25" s="43" t="str">
        <f aca="false">IF($AH25=1,INDEX(報告入力!$CC$7:$CC$696,$B25),"")</f>
        <v/>
      </c>
      <c r="AG25" s="33" t="n">
        <f aca="false">IF($B25="",0,IF(OR(C25="未受領",C25="報告なし"),0,1))</f>
        <v>0</v>
      </c>
      <c r="AH25" s="33" t="n">
        <f aca="false">IF(OR(D25="問題なし",D25="要確認"),1,0)</f>
        <v>0</v>
      </c>
      <c r="AI25" s="33" t="n">
        <f aca="false">IF(C25="未受領",MAX(AI$6:AI24)+1,"")</f>
        <v>18</v>
      </c>
      <c r="AJ25" s="33" t="str">
        <f aca="false">IF(D25="要確認",MAX(AJ$6:AJ24)+1,"")</f>
        <v/>
      </c>
      <c r="AK25" s="32" t="str">
        <f aca="false">IF(D25="要確認",INDEX(報告入力!$CD$7:$CD$696,$B25),"")</f>
        <v/>
      </c>
    </row>
    <row r="26" customFormat="false" ht="15" hidden="false" customHeight="false" outlineLevel="0" collapsed="false">
      <c r="A26" s="41" t="str">
        <f aca="false">設定!B80</f>
        <v>都市整備公社　消防</v>
      </c>
      <c r="B26" s="33" t="n">
        <f aca="false">IFERROR(MATCH(ホーム!$C$4&amp;"|"&amp;A26,報告入力!$CG$7:$CG$696,0),"")</f>
        <v>342</v>
      </c>
      <c r="C26" s="10" t="str">
        <f aca="false">IF($B26="","",INDEX(報告入力!$C$7:$C$696,$B26))</f>
        <v>未受領</v>
      </c>
      <c r="D26" s="10" t="str">
        <f aca="false">IF($B26="","",INDEX(報告入力!$D$7:$D$696,$B26))</f>
        <v>―</v>
      </c>
      <c r="E26" s="24" t="str">
        <f aca="false">IF($B26="","",INDEX(報告入力!$E$7:$E$696,$B26))</f>
        <v>―</v>
      </c>
      <c r="F26" s="42" t="n">
        <f aca="false">IF($B26="","",INDEX(報告入力!$I$7:$I$696,$B26))</f>
        <v>0</v>
      </c>
      <c r="G26" s="42" t="n">
        <f aca="false">IF($B26="","",INDEX(報告入力!$J$7:$J$696,$B26))</f>
        <v>0</v>
      </c>
      <c r="H26" s="42" t="n">
        <f aca="false">IF($B26="","",INDEX(報告入力!$K$7:$K$696,$B26))</f>
        <v>0</v>
      </c>
      <c r="I26" s="42" t="str">
        <f aca="false">IF($AG26=1,INDEX(報告入力!$BN$7:$BN$696,$B26),"")</f>
        <v/>
      </c>
      <c r="J26" s="42" t="str">
        <f aca="false">IF($AH26=1,INDEX(報告入力!$BF$7:$BF$696,$B26),"")</f>
        <v/>
      </c>
      <c r="K26" s="43" t="str">
        <f aca="false">IF($AH26=1,INDEX(報告入力!$BV$7:$BV$696,$B26),"")</f>
        <v/>
      </c>
      <c r="L26" s="42" t="str">
        <f aca="false">IF($AG26=1,INDEX(報告入力!$BO$7:$BO$696,$B26),"")</f>
        <v/>
      </c>
      <c r="M26" s="42" t="str">
        <f aca="false">IF($AH26=1,INDEX(報告入力!$BG$7:$BG$696,$B26),"")</f>
        <v/>
      </c>
      <c r="N26" s="43" t="str">
        <f aca="false">IF($AH26=1,INDEX(報告入力!$BW$7:$BW$696,$B26),"")</f>
        <v/>
      </c>
      <c r="O26" s="42" t="str">
        <f aca="false">IF($AG26=1,INDEX(報告入力!$BP$7:$BP$696,$B26),"")</f>
        <v/>
      </c>
      <c r="P26" s="42" t="str">
        <f aca="false">IF($AH26=1,INDEX(報告入力!$BH$7:$BH$696,$B26),"")</f>
        <v/>
      </c>
      <c r="Q26" s="43" t="str">
        <f aca="false">IF($AH26=1,INDEX(報告入力!$BX$7:$BX$696,$B26),"")</f>
        <v/>
      </c>
      <c r="R26" s="42" t="str">
        <f aca="false">IF($AG26=1,INDEX(報告入力!$BQ$7:$BQ$696,$B26),"")</f>
        <v/>
      </c>
      <c r="S26" s="42" t="str">
        <f aca="false">IF($AH26=1,INDEX(報告入力!$BI$7:$BI$696,$B26),"")</f>
        <v/>
      </c>
      <c r="T26" s="43" t="str">
        <f aca="false">IF($AH26=1,INDEX(報告入力!$BY$7:$BY$696,$B26),"")</f>
        <v/>
      </c>
      <c r="U26" s="42" t="str">
        <f aca="false">IF($AG26=1,INDEX(報告入力!$BR$7:$BR$696,$B26),"")</f>
        <v/>
      </c>
      <c r="V26" s="42" t="str">
        <f aca="false">IF($AH26=1,INDEX(報告入力!$BJ$7:$BJ$696,$B26),"")</f>
        <v/>
      </c>
      <c r="W26" s="43" t="str">
        <f aca="false">IF($AH26=1,INDEX(報告入力!$BZ$7:$BZ$696,$B26),"")</f>
        <v/>
      </c>
      <c r="X26" s="42" t="str">
        <f aca="false">IF($AG26=1,INDEX(報告入力!$BS$7:$BS$696,$B26),"")</f>
        <v/>
      </c>
      <c r="Y26" s="42" t="str">
        <f aca="false">IF($AH26=1,INDEX(報告入力!$BK$7:$BK$696,$B26),"")</f>
        <v/>
      </c>
      <c r="Z26" s="43" t="str">
        <f aca="false">IF($AH26=1,INDEX(報告入力!$CA$7:$CA$696,$B26),"")</f>
        <v/>
      </c>
      <c r="AA26" s="42" t="str">
        <f aca="false">IF($AG26=1,INDEX(報告入力!$BT$7:$BT$696,$B26),"")</f>
        <v/>
      </c>
      <c r="AB26" s="42" t="str">
        <f aca="false">IF($AH26=1,INDEX(報告入力!$BL$7:$BL$696,$B26),"")</f>
        <v/>
      </c>
      <c r="AC26" s="43" t="str">
        <f aca="false">IF($AH26=1,INDEX(報告入力!$CB$7:$CB$696,$B26),"")</f>
        <v/>
      </c>
      <c r="AD26" s="42" t="str">
        <f aca="false">IF($AG26=1,INDEX(報告入力!$BU$7:$BU$696,$B26),"")</f>
        <v/>
      </c>
      <c r="AE26" s="42" t="str">
        <f aca="false">IF($AH26=1,INDEX(報告入力!$BM$7:$BM$696,$B26),"")</f>
        <v/>
      </c>
      <c r="AF26" s="43" t="str">
        <f aca="false">IF($AH26=1,INDEX(報告入力!$CC$7:$CC$696,$B26),"")</f>
        <v/>
      </c>
      <c r="AG26" s="33" t="n">
        <f aca="false">IF($B26="",0,IF(OR(C26="未受領",C26="報告なし"),0,1))</f>
        <v>0</v>
      </c>
      <c r="AH26" s="33" t="n">
        <f aca="false">IF(OR(D26="問題なし",D26="要確認"),1,0)</f>
        <v>0</v>
      </c>
      <c r="AI26" s="33" t="n">
        <f aca="false">IF(C26="未受領",MAX(AI$6:AI25)+1,"")</f>
        <v>19</v>
      </c>
      <c r="AJ26" s="33" t="str">
        <f aca="false">IF(D26="要確認",MAX(AJ$6:AJ25)+1,"")</f>
        <v/>
      </c>
      <c r="AK26" s="32" t="str">
        <f aca="false">IF(D26="要確認",INDEX(報告入力!$CD$7:$CD$696,$B26),"")</f>
        <v/>
      </c>
    </row>
    <row r="27" customFormat="false" ht="15" hidden="false" customHeight="false" outlineLevel="0" collapsed="false">
      <c r="A27" s="41" t="str">
        <f aca="false">設定!B81</f>
        <v>日本下水道事業団</v>
      </c>
      <c r="B27" s="33" t="n">
        <f aca="false">IFERROR(MATCH(ホーム!$C$4&amp;"|"&amp;A27,報告入力!$CG$7:$CG$696,0),"")</f>
        <v>343</v>
      </c>
      <c r="C27" s="10" t="str">
        <f aca="false">IF($B27="","",INDEX(報告入力!$C$7:$C$696,$B27))</f>
        <v>受領済</v>
      </c>
      <c r="D27" s="10" t="str">
        <f aca="false">IF($B27="","",INDEX(報告入力!$D$7:$D$696,$B27))</f>
        <v>標報未入力</v>
      </c>
      <c r="E27" s="24" t="str">
        <f aca="false">IF($B27="","",INDEX(報告入力!$E$7:$E$696,$B27))</f>
        <v>前月同額</v>
      </c>
      <c r="F27" s="42" t="n">
        <f aca="false">IF($B27="","",INDEX(報告入力!$I$7:$I$696,$B27))</f>
        <v>0</v>
      </c>
      <c r="G27" s="42" t="n">
        <f aca="false">IF($B27="","",INDEX(報告入力!$J$7:$J$696,$B27))</f>
        <v>0</v>
      </c>
      <c r="H27" s="42" t="n">
        <f aca="false">IF($B27="","",INDEX(報告入力!$K$7:$K$696,$B27))</f>
        <v>0</v>
      </c>
      <c r="I27" s="42" t="n">
        <f aca="false">IF($AG27=1,INDEX(報告入力!$BN$7:$BN$696,$B27),"")</f>
        <v>267300</v>
      </c>
      <c r="J27" s="42" t="str">
        <f aca="false">IF($AH27=1,INDEX(報告入力!$BF$7:$BF$696,$B27),"")</f>
        <v/>
      </c>
      <c r="K27" s="43" t="str">
        <f aca="false">IF($AH27=1,INDEX(報告入力!$BV$7:$BV$696,$B27),"")</f>
        <v/>
      </c>
      <c r="L27" s="42" t="n">
        <f aca="false">IF($AG27=1,INDEX(報告入力!$BO$7:$BO$696,$B27),"")</f>
        <v>267534</v>
      </c>
      <c r="M27" s="42" t="str">
        <f aca="false">IF($AH27=1,INDEX(報告入力!$BG$7:$BG$696,$B27),"")</f>
        <v/>
      </c>
      <c r="N27" s="43" t="str">
        <f aca="false">IF($AH27=1,INDEX(報告入力!$BW$7:$BW$696,$B27),"")</f>
        <v/>
      </c>
      <c r="O27" s="42" t="n">
        <f aca="false">IF($AG27=1,INDEX(報告入力!$BP$7:$BP$696,$B27),"")</f>
        <v>140021</v>
      </c>
      <c r="P27" s="42" t="str">
        <f aca="false">IF($AH27=1,INDEX(報告入力!$BH$7:$BH$696,$B27),"")</f>
        <v/>
      </c>
      <c r="Q27" s="43" t="str">
        <f aca="false">IF($AH27=1,INDEX(報告入力!$BX$7:$BX$696,$B27),"")</f>
        <v/>
      </c>
      <c r="R27" s="42" t="n">
        <f aca="false">IF($AG27=1,INDEX(報告入力!$BQ$7:$BQ$696,$B27),"")</f>
        <v>140157</v>
      </c>
      <c r="S27" s="42" t="str">
        <f aca="false">IF($AH27=1,INDEX(報告入力!$BI$7:$BI$696,$B27),"")</f>
        <v/>
      </c>
      <c r="T27" s="43" t="str">
        <f aca="false">IF($AH27=1,INDEX(報告入力!$BY$7:$BY$696,$B27),"")</f>
        <v/>
      </c>
      <c r="U27" s="42" t="n">
        <f aca="false">IF($AG27=1,INDEX(報告入力!$BR$7:$BR$696,$B27),"")</f>
        <v>10270</v>
      </c>
      <c r="V27" s="42" t="str">
        <f aca="false">IF($AH27=1,INDEX(報告入力!$BJ$7:$BJ$696,$B27),"")</f>
        <v/>
      </c>
      <c r="W27" s="43" t="str">
        <f aca="false">IF($AH27=1,INDEX(報告入力!$BZ$7:$BZ$696,$B27),"")</f>
        <v/>
      </c>
      <c r="X27" s="42" t="n">
        <f aca="false">IF($AG27=1,INDEX(報告入力!$BS$7:$BS$696,$B27),"")</f>
        <v>10270</v>
      </c>
      <c r="Y27" s="42" t="str">
        <f aca="false">IF($AH27=1,INDEX(報告入力!$BK$7:$BK$696,$B27),"")</f>
        <v/>
      </c>
      <c r="Z27" s="43" t="str">
        <f aca="false">IF($AH27=1,INDEX(報告入力!$CA$7:$CA$696,$B27),"")</f>
        <v/>
      </c>
      <c r="AA27" s="42" t="n">
        <f aca="false">IF($AG27=1,INDEX(報告入力!$BT$7:$BT$696,$B27),"")</f>
        <v>3104</v>
      </c>
      <c r="AB27" s="42" t="str">
        <f aca="false">IF($AH27=1,INDEX(報告入力!$BL$7:$BL$696,$B27),"")</f>
        <v/>
      </c>
      <c r="AC27" s="43" t="str">
        <f aca="false">IF($AH27=1,INDEX(報告入力!$CB$7:$CB$696,$B27),"")</f>
        <v/>
      </c>
      <c r="AD27" s="42" t="n">
        <f aca="false">IF($AG27=1,INDEX(報告入力!$BU$7:$BU$696,$B27),"")</f>
        <v>3105</v>
      </c>
      <c r="AE27" s="42" t="str">
        <f aca="false">IF($AH27=1,INDEX(報告入力!$BM$7:$BM$696,$B27),"")</f>
        <v/>
      </c>
      <c r="AF27" s="43" t="str">
        <f aca="false">IF($AH27=1,INDEX(報告入力!$CC$7:$CC$696,$B27),"")</f>
        <v/>
      </c>
      <c r="AG27" s="33" t="n">
        <f aca="false">IF($B27="",0,IF(OR(C27="未受領",C27="報告なし"),0,1))</f>
        <v>1</v>
      </c>
      <c r="AH27" s="33" t="n">
        <f aca="false">IF(OR(D27="問題なし",D27="要確認"),1,0)</f>
        <v>0</v>
      </c>
      <c r="AI27" s="33" t="str">
        <f aca="false">IF(C27="未受領",MAX(AI$6:AI26)+1,"")</f>
        <v/>
      </c>
      <c r="AJ27" s="33" t="str">
        <f aca="false">IF(D27="要確認",MAX(AJ$6:AJ26)+1,"")</f>
        <v/>
      </c>
      <c r="AK27" s="32" t="str">
        <f aca="false">IF(D27="要確認",INDEX(報告入力!$CD$7:$CD$696,$B27),"")</f>
        <v/>
      </c>
    </row>
    <row r="28" customFormat="false" ht="15" hidden="false" customHeight="false" outlineLevel="0" collapsed="false">
      <c r="A28" s="41" t="str">
        <f aca="false">設定!B82</f>
        <v>地方公務員災害補償基金本部</v>
      </c>
      <c r="B28" s="33" t="n">
        <f aca="false">IFERROR(MATCH(ホーム!$C$4&amp;"|"&amp;A28,報告入力!$CG$7:$CG$696,0),"")</f>
        <v>344</v>
      </c>
      <c r="C28" s="10" t="str">
        <f aca="false">IF($B28="","",INDEX(報告入力!$C$7:$C$696,$B28))</f>
        <v>受領済</v>
      </c>
      <c r="D28" s="10" t="str">
        <f aca="false">IF($B28="","",INDEX(報告入力!$D$7:$D$696,$B28))</f>
        <v>標報未入力</v>
      </c>
      <c r="E28" s="24" t="str">
        <f aca="false">IF($B28="","",INDEX(報告入力!$E$7:$E$696,$B28))</f>
        <v>前月同額</v>
      </c>
      <c r="F28" s="42" t="n">
        <f aca="false">IF($B28="","",INDEX(報告入力!$I$7:$I$696,$B28))</f>
        <v>0</v>
      </c>
      <c r="G28" s="42" t="n">
        <f aca="false">IF($B28="","",INDEX(報告入力!$J$7:$J$696,$B28))</f>
        <v>0</v>
      </c>
      <c r="H28" s="42" t="n">
        <f aca="false">IF($B28="","",INDEX(報告入力!$K$7:$K$696,$B28))</f>
        <v>0</v>
      </c>
      <c r="I28" s="42" t="n">
        <f aca="false">IF($AG28=1,INDEX(報告入力!$BN$7:$BN$696,$B28),"")</f>
        <v>46530</v>
      </c>
      <c r="J28" s="42" t="str">
        <f aca="false">IF($AH28=1,INDEX(報告入力!$BF$7:$BF$696,$B28),"")</f>
        <v/>
      </c>
      <c r="K28" s="43" t="str">
        <f aca="false">IF($AH28=1,INDEX(報告入力!$BV$7:$BV$696,$B28),"")</f>
        <v/>
      </c>
      <c r="L28" s="42" t="n">
        <f aca="false">IF($AG28=1,INDEX(報告入力!$BO$7:$BO$696,$B28),"")</f>
        <v>46570</v>
      </c>
      <c r="M28" s="42" t="str">
        <f aca="false">IF($AH28=1,INDEX(報告入力!$BG$7:$BG$696,$B28),"")</f>
        <v/>
      </c>
      <c r="N28" s="43" t="str">
        <f aca="false">IF($AH28=1,INDEX(報告入力!$BW$7:$BW$696,$B28),"")</f>
        <v/>
      </c>
      <c r="O28" s="42" t="n">
        <f aca="false">IF($AG28=1,INDEX(報告入力!$BP$7:$BP$696,$B28),"")</f>
        <v>24374</v>
      </c>
      <c r="P28" s="42" t="str">
        <f aca="false">IF($AH28=1,INDEX(報告入力!$BH$7:$BH$696,$B28),"")</f>
        <v/>
      </c>
      <c r="Q28" s="43" t="str">
        <f aca="false">IF($AH28=1,INDEX(報告入力!$BX$7:$BX$696,$B28),"")</f>
        <v/>
      </c>
      <c r="R28" s="42" t="n">
        <f aca="false">IF($AG28=1,INDEX(報告入力!$BQ$7:$BQ$696,$B28),"")</f>
        <v>24397</v>
      </c>
      <c r="S28" s="42" t="str">
        <f aca="false">IF($AH28=1,INDEX(報告入力!$BI$7:$BI$696,$B28),"")</f>
        <v/>
      </c>
      <c r="T28" s="43" t="str">
        <f aca="false">IF($AH28=1,INDEX(報告入力!$BY$7:$BY$696,$B28),"")</f>
        <v/>
      </c>
      <c r="U28" s="42" t="n">
        <f aca="false">IF($AG28=1,INDEX(報告入力!$BR$7:$BR$696,$B28),"")</f>
        <v>0</v>
      </c>
      <c r="V28" s="42" t="str">
        <f aca="false">IF($AH28=1,INDEX(報告入力!$BJ$7:$BJ$696,$B28),"")</f>
        <v/>
      </c>
      <c r="W28" s="43" t="str">
        <f aca="false">IF($AH28=1,INDEX(報告入力!$BZ$7:$BZ$696,$B28),"")</f>
        <v/>
      </c>
      <c r="X28" s="42" t="n">
        <f aca="false">IF($AG28=1,INDEX(報告入力!$BS$7:$BS$696,$B28),"")</f>
        <v>0</v>
      </c>
      <c r="Y28" s="42" t="str">
        <f aca="false">IF($AH28=1,INDEX(報告入力!$BK$7:$BK$696,$B28),"")</f>
        <v/>
      </c>
      <c r="Z28" s="43" t="str">
        <f aca="false">IF($AH28=1,INDEX(報告入力!$CA$7:$CA$696,$B28),"")</f>
        <v/>
      </c>
      <c r="AA28" s="42" t="n">
        <f aca="false">IF($AG28=1,INDEX(報告入力!$BT$7:$BT$696,$B28),"")</f>
        <v>540</v>
      </c>
      <c r="AB28" s="42" t="str">
        <f aca="false">IF($AH28=1,INDEX(報告入力!$BL$7:$BL$696,$B28),"")</f>
        <v/>
      </c>
      <c r="AC28" s="43" t="str">
        <f aca="false">IF($AH28=1,INDEX(報告入力!$CB$7:$CB$696,$B28),"")</f>
        <v/>
      </c>
      <c r="AD28" s="42" t="n">
        <f aca="false">IF($AG28=1,INDEX(報告入力!$BU$7:$BU$696,$B28),"")</f>
        <v>540</v>
      </c>
      <c r="AE28" s="42" t="str">
        <f aca="false">IF($AH28=1,INDEX(報告入力!$BM$7:$BM$696,$B28),"")</f>
        <v/>
      </c>
      <c r="AF28" s="43" t="str">
        <f aca="false">IF($AH28=1,INDEX(報告入力!$CC$7:$CC$696,$B28),"")</f>
        <v/>
      </c>
      <c r="AG28" s="33" t="n">
        <f aca="false">IF($B28="",0,IF(OR(C28="未受領",C28="報告なし"),0,1))</f>
        <v>1</v>
      </c>
      <c r="AH28" s="33" t="n">
        <f aca="false">IF(OR(D28="問題なし",D28="要確認"),1,0)</f>
        <v>0</v>
      </c>
      <c r="AI28" s="33" t="str">
        <f aca="false">IF(C28="未受領",MAX(AI$6:AI27)+1,"")</f>
        <v/>
      </c>
      <c r="AJ28" s="33" t="str">
        <f aca="false">IF(D28="要確認",MAX(AJ$6:AJ27)+1,"")</f>
        <v/>
      </c>
      <c r="AK28" s="32" t="str">
        <f aca="false">IF(D28="要確認",INDEX(報告入力!$CD$7:$CD$696,$B28),"")</f>
        <v/>
      </c>
    </row>
    <row r="29" customFormat="false" ht="15" hidden="false" customHeight="false" outlineLevel="0" collapsed="false">
      <c r="A29" s="41" t="str">
        <f aca="false">設定!B83</f>
        <v>救急振興財団</v>
      </c>
      <c r="B29" s="33" t="n">
        <f aca="false">IFERROR(MATCH(ホーム!$C$4&amp;"|"&amp;A29,報告入力!$CG$7:$CG$696,0),"")</f>
        <v>345</v>
      </c>
      <c r="C29" s="10" t="str">
        <f aca="false">IF($B29="","",INDEX(報告入力!$C$7:$C$696,$B29))</f>
        <v>未受領</v>
      </c>
      <c r="D29" s="10" t="str">
        <f aca="false">IF($B29="","",INDEX(報告入力!$D$7:$D$696,$B29))</f>
        <v>―</v>
      </c>
      <c r="E29" s="24" t="str">
        <f aca="false">IF($B29="","",INDEX(報告入力!$E$7:$E$696,$B29))</f>
        <v>―</v>
      </c>
      <c r="F29" s="42" t="n">
        <f aca="false">IF($B29="","",INDEX(報告入力!$I$7:$I$696,$B29))</f>
        <v>0</v>
      </c>
      <c r="G29" s="42" t="n">
        <f aca="false">IF($B29="","",INDEX(報告入力!$J$7:$J$696,$B29))</f>
        <v>0</v>
      </c>
      <c r="H29" s="42" t="n">
        <f aca="false">IF($B29="","",INDEX(報告入力!$K$7:$K$696,$B29))</f>
        <v>0</v>
      </c>
      <c r="I29" s="42" t="str">
        <f aca="false">IF($AG29=1,INDEX(報告入力!$BN$7:$BN$696,$B29),"")</f>
        <v/>
      </c>
      <c r="J29" s="42" t="str">
        <f aca="false">IF($AH29=1,INDEX(報告入力!$BF$7:$BF$696,$B29),"")</f>
        <v/>
      </c>
      <c r="K29" s="43" t="str">
        <f aca="false">IF($AH29=1,INDEX(報告入力!$BV$7:$BV$696,$B29),"")</f>
        <v/>
      </c>
      <c r="L29" s="42" t="str">
        <f aca="false">IF($AG29=1,INDEX(報告入力!$BO$7:$BO$696,$B29),"")</f>
        <v/>
      </c>
      <c r="M29" s="42" t="str">
        <f aca="false">IF($AH29=1,INDEX(報告入力!$BG$7:$BG$696,$B29),"")</f>
        <v/>
      </c>
      <c r="N29" s="43" t="str">
        <f aca="false">IF($AH29=1,INDEX(報告入力!$BW$7:$BW$696,$B29),"")</f>
        <v/>
      </c>
      <c r="O29" s="42" t="str">
        <f aca="false">IF($AG29=1,INDEX(報告入力!$BP$7:$BP$696,$B29),"")</f>
        <v/>
      </c>
      <c r="P29" s="42" t="str">
        <f aca="false">IF($AH29=1,INDEX(報告入力!$BH$7:$BH$696,$B29),"")</f>
        <v/>
      </c>
      <c r="Q29" s="43" t="str">
        <f aca="false">IF($AH29=1,INDEX(報告入力!$BX$7:$BX$696,$B29),"")</f>
        <v/>
      </c>
      <c r="R29" s="42" t="str">
        <f aca="false">IF($AG29=1,INDEX(報告入力!$BQ$7:$BQ$696,$B29),"")</f>
        <v/>
      </c>
      <c r="S29" s="42" t="str">
        <f aca="false">IF($AH29=1,INDEX(報告入力!$BI$7:$BI$696,$B29),"")</f>
        <v/>
      </c>
      <c r="T29" s="43" t="str">
        <f aca="false">IF($AH29=1,INDEX(報告入力!$BY$7:$BY$696,$B29),"")</f>
        <v/>
      </c>
      <c r="U29" s="42" t="str">
        <f aca="false">IF($AG29=1,INDEX(報告入力!$BR$7:$BR$696,$B29),"")</f>
        <v/>
      </c>
      <c r="V29" s="42" t="str">
        <f aca="false">IF($AH29=1,INDEX(報告入力!$BJ$7:$BJ$696,$B29),"")</f>
        <v/>
      </c>
      <c r="W29" s="43" t="str">
        <f aca="false">IF($AH29=1,INDEX(報告入力!$BZ$7:$BZ$696,$B29),"")</f>
        <v/>
      </c>
      <c r="X29" s="42" t="str">
        <f aca="false">IF($AG29=1,INDEX(報告入力!$BS$7:$BS$696,$B29),"")</f>
        <v/>
      </c>
      <c r="Y29" s="42" t="str">
        <f aca="false">IF($AH29=1,INDEX(報告入力!$BK$7:$BK$696,$B29),"")</f>
        <v/>
      </c>
      <c r="Z29" s="43" t="str">
        <f aca="false">IF($AH29=1,INDEX(報告入力!$CA$7:$CA$696,$B29),"")</f>
        <v/>
      </c>
      <c r="AA29" s="42" t="str">
        <f aca="false">IF($AG29=1,INDEX(報告入力!$BT$7:$BT$696,$B29),"")</f>
        <v/>
      </c>
      <c r="AB29" s="42" t="str">
        <f aca="false">IF($AH29=1,INDEX(報告入力!$BL$7:$BL$696,$B29),"")</f>
        <v/>
      </c>
      <c r="AC29" s="43" t="str">
        <f aca="false">IF($AH29=1,INDEX(報告入力!$CB$7:$CB$696,$B29),"")</f>
        <v/>
      </c>
      <c r="AD29" s="42" t="str">
        <f aca="false">IF($AG29=1,INDEX(報告入力!$BU$7:$BU$696,$B29),"")</f>
        <v/>
      </c>
      <c r="AE29" s="42" t="str">
        <f aca="false">IF($AH29=1,INDEX(報告入力!$BM$7:$BM$696,$B29),"")</f>
        <v/>
      </c>
      <c r="AF29" s="43" t="str">
        <f aca="false">IF($AH29=1,INDEX(報告入力!$CC$7:$CC$696,$B29),"")</f>
        <v/>
      </c>
      <c r="AG29" s="33" t="n">
        <f aca="false">IF($B29="",0,IF(OR(C29="未受領",C29="報告なし"),0,1))</f>
        <v>0</v>
      </c>
      <c r="AH29" s="33" t="n">
        <f aca="false">IF(OR(D29="問題なし",D29="要確認"),1,0)</f>
        <v>0</v>
      </c>
      <c r="AI29" s="33" t="n">
        <f aca="false">IF(C29="未受領",MAX(AI$6:AI28)+1,"")</f>
        <v>20</v>
      </c>
      <c r="AJ29" s="33" t="str">
        <f aca="false">IF(D29="要確認",MAX(AJ$6:AJ28)+1,"")</f>
        <v/>
      </c>
      <c r="AK29" s="32" t="str">
        <f aca="false">IF(D29="要確認",INDEX(報告入力!$CD$7:$CD$696,$B29),"")</f>
        <v/>
      </c>
    </row>
    <row r="30" customFormat="false" ht="15" hidden="false" customHeight="false" outlineLevel="0" collapsed="false">
      <c r="A30" s="41" t="str">
        <f aca="false">設定!B84</f>
        <v>高速道路公社</v>
      </c>
      <c r="B30" s="33" t="n">
        <f aca="false">IFERROR(MATCH(ホーム!$C$4&amp;"|"&amp;A30,報告入力!$CG$7:$CG$696,0),"")</f>
        <v>346</v>
      </c>
      <c r="C30" s="10" t="str">
        <f aca="false">IF($B30="","",INDEX(報告入力!$C$7:$C$696,$B30))</f>
        <v>未受領</v>
      </c>
      <c r="D30" s="10" t="str">
        <f aca="false">IF($B30="","",INDEX(報告入力!$D$7:$D$696,$B30))</f>
        <v>―</v>
      </c>
      <c r="E30" s="24" t="str">
        <f aca="false">IF($B30="","",INDEX(報告入力!$E$7:$E$696,$B30))</f>
        <v>―</v>
      </c>
      <c r="F30" s="42" t="n">
        <f aca="false">IF($B30="","",INDEX(報告入力!$I$7:$I$696,$B30))</f>
        <v>0</v>
      </c>
      <c r="G30" s="42" t="n">
        <f aca="false">IF($B30="","",INDEX(報告入力!$J$7:$J$696,$B30))</f>
        <v>0</v>
      </c>
      <c r="H30" s="42" t="n">
        <f aca="false">IF($B30="","",INDEX(報告入力!$K$7:$K$696,$B30))</f>
        <v>0</v>
      </c>
      <c r="I30" s="42" t="str">
        <f aca="false">IF($AG30=1,INDEX(報告入力!$BN$7:$BN$696,$B30),"")</f>
        <v/>
      </c>
      <c r="J30" s="42" t="str">
        <f aca="false">IF($AH30=1,INDEX(報告入力!$BF$7:$BF$696,$B30),"")</f>
        <v/>
      </c>
      <c r="K30" s="43" t="str">
        <f aca="false">IF($AH30=1,INDEX(報告入力!$BV$7:$BV$696,$B30),"")</f>
        <v/>
      </c>
      <c r="L30" s="42" t="str">
        <f aca="false">IF($AG30=1,INDEX(報告入力!$BO$7:$BO$696,$B30),"")</f>
        <v/>
      </c>
      <c r="M30" s="42" t="str">
        <f aca="false">IF($AH30=1,INDEX(報告入力!$BG$7:$BG$696,$B30),"")</f>
        <v/>
      </c>
      <c r="N30" s="43" t="str">
        <f aca="false">IF($AH30=1,INDEX(報告入力!$BW$7:$BW$696,$B30),"")</f>
        <v/>
      </c>
      <c r="O30" s="42" t="str">
        <f aca="false">IF($AG30=1,INDEX(報告入力!$BP$7:$BP$696,$B30),"")</f>
        <v/>
      </c>
      <c r="P30" s="42" t="str">
        <f aca="false">IF($AH30=1,INDEX(報告入力!$BH$7:$BH$696,$B30),"")</f>
        <v/>
      </c>
      <c r="Q30" s="43" t="str">
        <f aca="false">IF($AH30=1,INDEX(報告入力!$BX$7:$BX$696,$B30),"")</f>
        <v/>
      </c>
      <c r="R30" s="42" t="str">
        <f aca="false">IF($AG30=1,INDEX(報告入力!$BQ$7:$BQ$696,$B30),"")</f>
        <v/>
      </c>
      <c r="S30" s="42" t="str">
        <f aca="false">IF($AH30=1,INDEX(報告入力!$BI$7:$BI$696,$B30),"")</f>
        <v/>
      </c>
      <c r="T30" s="43" t="str">
        <f aca="false">IF($AH30=1,INDEX(報告入力!$BY$7:$BY$696,$B30),"")</f>
        <v/>
      </c>
      <c r="U30" s="42" t="str">
        <f aca="false">IF($AG30=1,INDEX(報告入力!$BR$7:$BR$696,$B30),"")</f>
        <v/>
      </c>
      <c r="V30" s="42" t="str">
        <f aca="false">IF($AH30=1,INDEX(報告入力!$BJ$7:$BJ$696,$B30),"")</f>
        <v/>
      </c>
      <c r="W30" s="43" t="str">
        <f aca="false">IF($AH30=1,INDEX(報告入力!$BZ$7:$BZ$696,$B30),"")</f>
        <v/>
      </c>
      <c r="X30" s="42" t="str">
        <f aca="false">IF($AG30=1,INDEX(報告入力!$BS$7:$BS$696,$B30),"")</f>
        <v/>
      </c>
      <c r="Y30" s="42" t="str">
        <f aca="false">IF($AH30=1,INDEX(報告入力!$BK$7:$BK$696,$B30),"")</f>
        <v/>
      </c>
      <c r="Z30" s="43" t="str">
        <f aca="false">IF($AH30=1,INDEX(報告入力!$CA$7:$CA$696,$B30),"")</f>
        <v/>
      </c>
      <c r="AA30" s="42" t="str">
        <f aca="false">IF($AG30=1,INDEX(報告入力!$BT$7:$BT$696,$B30),"")</f>
        <v/>
      </c>
      <c r="AB30" s="42" t="str">
        <f aca="false">IF($AH30=1,INDEX(報告入力!$BL$7:$BL$696,$B30),"")</f>
        <v/>
      </c>
      <c r="AC30" s="43" t="str">
        <f aca="false">IF($AH30=1,INDEX(報告入力!$CB$7:$CB$696,$B30),"")</f>
        <v/>
      </c>
      <c r="AD30" s="42" t="str">
        <f aca="false">IF($AG30=1,INDEX(報告入力!$BU$7:$BU$696,$B30),"")</f>
        <v/>
      </c>
      <c r="AE30" s="42" t="str">
        <f aca="false">IF($AH30=1,INDEX(報告入力!$BM$7:$BM$696,$B30),"")</f>
        <v/>
      </c>
      <c r="AF30" s="43" t="str">
        <f aca="false">IF($AH30=1,INDEX(報告入力!$CC$7:$CC$696,$B30),"")</f>
        <v/>
      </c>
      <c r="AG30" s="33" t="n">
        <f aca="false">IF($B30="",0,IF(OR(C30="未受領",C30="報告なし"),0,1))</f>
        <v>0</v>
      </c>
      <c r="AH30" s="33" t="n">
        <f aca="false">IF(OR(D30="問題なし",D30="要確認"),1,0)</f>
        <v>0</v>
      </c>
      <c r="AI30" s="33" t="n">
        <f aca="false">IF(C30="未受領",MAX(AI$6:AI29)+1,"")</f>
        <v>21</v>
      </c>
      <c r="AJ30" s="33" t="str">
        <f aca="false">IF(D30="要確認",MAX(AJ$6:AJ29)+1,"")</f>
        <v/>
      </c>
      <c r="AK30" s="32" t="str">
        <f aca="false">IF(D30="要確認",INDEX(報告入力!$CD$7:$CD$696,$B30),"")</f>
        <v/>
      </c>
    </row>
    <row r="31" customFormat="false" ht="15" hidden="false" customHeight="false" outlineLevel="0" collapsed="false">
      <c r="A31" s="41" t="str">
        <f aca="false">設定!B85</f>
        <v>農林水産振興センタ</v>
      </c>
      <c r="B31" s="33" t="n">
        <f aca="false">IFERROR(MATCH(ホーム!$C$4&amp;"|"&amp;A31,報告入力!$CG$7:$CG$696,0),"")</f>
        <v>347</v>
      </c>
      <c r="C31" s="10" t="str">
        <f aca="false">IF($B31="","",INDEX(報告入力!$C$7:$C$696,$B31))</f>
        <v>未受領</v>
      </c>
      <c r="D31" s="10" t="str">
        <f aca="false">IF($B31="","",INDEX(報告入力!$D$7:$D$696,$B31))</f>
        <v>―</v>
      </c>
      <c r="E31" s="24" t="str">
        <f aca="false">IF($B31="","",INDEX(報告入力!$E$7:$E$696,$B31))</f>
        <v>―</v>
      </c>
      <c r="F31" s="42" t="n">
        <f aca="false">IF($B31="","",INDEX(報告入力!$I$7:$I$696,$B31))</f>
        <v>0</v>
      </c>
      <c r="G31" s="42" t="n">
        <f aca="false">IF($B31="","",INDEX(報告入力!$J$7:$J$696,$B31))</f>
        <v>0</v>
      </c>
      <c r="H31" s="42" t="n">
        <f aca="false">IF($B31="","",INDEX(報告入力!$K$7:$K$696,$B31))</f>
        <v>0</v>
      </c>
      <c r="I31" s="42" t="str">
        <f aca="false">IF($AG31=1,INDEX(報告入力!$BN$7:$BN$696,$B31),"")</f>
        <v/>
      </c>
      <c r="J31" s="42" t="str">
        <f aca="false">IF($AH31=1,INDEX(報告入力!$BF$7:$BF$696,$B31),"")</f>
        <v/>
      </c>
      <c r="K31" s="43" t="str">
        <f aca="false">IF($AH31=1,INDEX(報告入力!$BV$7:$BV$696,$B31),"")</f>
        <v/>
      </c>
      <c r="L31" s="42" t="str">
        <f aca="false">IF($AG31=1,INDEX(報告入力!$BO$7:$BO$696,$B31),"")</f>
        <v/>
      </c>
      <c r="M31" s="42" t="str">
        <f aca="false">IF($AH31=1,INDEX(報告入力!$BG$7:$BG$696,$B31),"")</f>
        <v/>
      </c>
      <c r="N31" s="43" t="str">
        <f aca="false">IF($AH31=1,INDEX(報告入力!$BW$7:$BW$696,$B31),"")</f>
        <v/>
      </c>
      <c r="O31" s="42" t="str">
        <f aca="false">IF($AG31=1,INDEX(報告入力!$BP$7:$BP$696,$B31),"")</f>
        <v/>
      </c>
      <c r="P31" s="42" t="str">
        <f aca="false">IF($AH31=1,INDEX(報告入力!$BH$7:$BH$696,$B31),"")</f>
        <v/>
      </c>
      <c r="Q31" s="43" t="str">
        <f aca="false">IF($AH31=1,INDEX(報告入力!$BX$7:$BX$696,$B31),"")</f>
        <v/>
      </c>
      <c r="R31" s="42" t="str">
        <f aca="false">IF($AG31=1,INDEX(報告入力!$BQ$7:$BQ$696,$B31),"")</f>
        <v/>
      </c>
      <c r="S31" s="42" t="str">
        <f aca="false">IF($AH31=1,INDEX(報告入力!$BI$7:$BI$696,$B31),"")</f>
        <v/>
      </c>
      <c r="T31" s="43" t="str">
        <f aca="false">IF($AH31=1,INDEX(報告入力!$BY$7:$BY$696,$B31),"")</f>
        <v/>
      </c>
      <c r="U31" s="42" t="str">
        <f aca="false">IF($AG31=1,INDEX(報告入力!$BR$7:$BR$696,$B31),"")</f>
        <v/>
      </c>
      <c r="V31" s="42" t="str">
        <f aca="false">IF($AH31=1,INDEX(報告入力!$BJ$7:$BJ$696,$B31),"")</f>
        <v/>
      </c>
      <c r="W31" s="43" t="str">
        <f aca="false">IF($AH31=1,INDEX(報告入力!$BZ$7:$BZ$696,$B31),"")</f>
        <v/>
      </c>
      <c r="X31" s="42" t="str">
        <f aca="false">IF($AG31=1,INDEX(報告入力!$BS$7:$BS$696,$B31),"")</f>
        <v/>
      </c>
      <c r="Y31" s="42" t="str">
        <f aca="false">IF($AH31=1,INDEX(報告入力!$BK$7:$BK$696,$B31),"")</f>
        <v/>
      </c>
      <c r="Z31" s="43" t="str">
        <f aca="false">IF($AH31=1,INDEX(報告入力!$CA$7:$CA$696,$B31),"")</f>
        <v/>
      </c>
      <c r="AA31" s="42" t="str">
        <f aca="false">IF($AG31=1,INDEX(報告入力!$BT$7:$BT$696,$B31),"")</f>
        <v/>
      </c>
      <c r="AB31" s="42" t="str">
        <f aca="false">IF($AH31=1,INDEX(報告入力!$BL$7:$BL$696,$B31),"")</f>
        <v/>
      </c>
      <c r="AC31" s="43" t="str">
        <f aca="false">IF($AH31=1,INDEX(報告入力!$CB$7:$CB$696,$B31),"")</f>
        <v/>
      </c>
      <c r="AD31" s="42" t="str">
        <f aca="false">IF($AG31=1,INDEX(報告入力!$BU$7:$BU$696,$B31),"")</f>
        <v/>
      </c>
      <c r="AE31" s="42" t="str">
        <f aca="false">IF($AH31=1,INDEX(報告入力!$BM$7:$BM$696,$B31),"")</f>
        <v/>
      </c>
      <c r="AF31" s="43" t="str">
        <f aca="false">IF($AH31=1,INDEX(報告入力!$CC$7:$CC$696,$B31),"")</f>
        <v/>
      </c>
      <c r="AG31" s="33" t="n">
        <f aca="false">IF($B31="",0,IF(OR(C31="未受領",C31="報告なし"),0,1))</f>
        <v>0</v>
      </c>
      <c r="AH31" s="33" t="n">
        <f aca="false">IF(OR(D31="問題なし",D31="要確認"),1,0)</f>
        <v>0</v>
      </c>
      <c r="AI31" s="33" t="n">
        <f aca="false">IF(C31="未受領",MAX(AI$6:AI30)+1,"")</f>
        <v>22</v>
      </c>
      <c r="AJ31" s="33" t="str">
        <f aca="false">IF(D31="要確認",MAX(AJ$6:AJ30)+1,"")</f>
        <v/>
      </c>
      <c r="AK31" s="32" t="str">
        <f aca="false">IF(D31="要確認",INDEX(報告入力!$CD$7:$CD$696,$B31),"")</f>
        <v/>
      </c>
    </row>
    <row r="32" customFormat="false" ht="15" hidden="false" customHeight="false" outlineLevel="0" collapsed="false">
      <c r="A32" s="41" t="str">
        <f aca="false">設定!B86</f>
        <v>文化財団　市長部局</v>
      </c>
      <c r="B32" s="33" t="n">
        <f aca="false">IFERROR(MATCH(ホーム!$C$4&amp;"|"&amp;A32,報告入力!$CG$7:$CG$696,0),"")</f>
        <v>348</v>
      </c>
      <c r="C32" s="10" t="str">
        <f aca="false">IF($B32="","",INDEX(報告入力!$C$7:$C$696,$B32))</f>
        <v>未受領</v>
      </c>
      <c r="D32" s="10" t="str">
        <f aca="false">IF($B32="","",INDEX(報告入力!$D$7:$D$696,$B32))</f>
        <v>―</v>
      </c>
      <c r="E32" s="24" t="str">
        <f aca="false">IF($B32="","",INDEX(報告入力!$E$7:$E$696,$B32))</f>
        <v>―</v>
      </c>
      <c r="F32" s="42" t="n">
        <f aca="false">IF($B32="","",INDEX(報告入力!$I$7:$I$696,$B32))</f>
        <v>0</v>
      </c>
      <c r="G32" s="42" t="n">
        <f aca="false">IF($B32="","",INDEX(報告入力!$J$7:$J$696,$B32))</f>
        <v>0</v>
      </c>
      <c r="H32" s="42" t="n">
        <f aca="false">IF($B32="","",INDEX(報告入力!$K$7:$K$696,$B32))</f>
        <v>0</v>
      </c>
      <c r="I32" s="42" t="str">
        <f aca="false">IF($AG32=1,INDEX(報告入力!$BN$7:$BN$696,$B32),"")</f>
        <v/>
      </c>
      <c r="J32" s="42" t="str">
        <f aca="false">IF($AH32=1,INDEX(報告入力!$BF$7:$BF$696,$B32),"")</f>
        <v/>
      </c>
      <c r="K32" s="43" t="str">
        <f aca="false">IF($AH32=1,INDEX(報告入力!$BV$7:$BV$696,$B32),"")</f>
        <v/>
      </c>
      <c r="L32" s="42" t="str">
        <f aca="false">IF($AG32=1,INDEX(報告入力!$BO$7:$BO$696,$B32),"")</f>
        <v/>
      </c>
      <c r="M32" s="42" t="str">
        <f aca="false">IF($AH32=1,INDEX(報告入力!$BG$7:$BG$696,$B32),"")</f>
        <v/>
      </c>
      <c r="N32" s="43" t="str">
        <f aca="false">IF($AH32=1,INDEX(報告入力!$BW$7:$BW$696,$B32),"")</f>
        <v/>
      </c>
      <c r="O32" s="42" t="str">
        <f aca="false">IF($AG32=1,INDEX(報告入力!$BP$7:$BP$696,$B32),"")</f>
        <v/>
      </c>
      <c r="P32" s="42" t="str">
        <f aca="false">IF($AH32=1,INDEX(報告入力!$BH$7:$BH$696,$B32),"")</f>
        <v/>
      </c>
      <c r="Q32" s="43" t="str">
        <f aca="false">IF($AH32=1,INDEX(報告入力!$BX$7:$BX$696,$B32),"")</f>
        <v/>
      </c>
      <c r="R32" s="42" t="str">
        <f aca="false">IF($AG32=1,INDEX(報告入力!$BQ$7:$BQ$696,$B32),"")</f>
        <v/>
      </c>
      <c r="S32" s="42" t="str">
        <f aca="false">IF($AH32=1,INDEX(報告入力!$BI$7:$BI$696,$B32),"")</f>
        <v/>
      </c>
      <c r="T32" s="43" t="str">
        <f aca="false">IF($AH32=1,INDEX(報告入力!$BY$7:$BY$696,$B32),"")</f>
        <v/>
      </c>
      <c r="U32" s="42" t="str">
        <f aca="false">IF($AG32=1,INDEX(報告入力!$BR$7:$BR$696,$B32),"")</f>
        <v/>
      </c>
      <c r="V32" s="42" t="str">
        <f aca="false">IF($AH32=1,INDEX(報告入力!$BJ$7:$BJ$696,$B32),"")</f>
        <v/>
      </c>
      <c r="W32" s="43" t="str">
        <f aca="false">IF($AH32=1,INDEX(報告入力!$BZ$7:$BZ$696,$B32),"")</f>
        <v/>
      </c>
      <c r="X32" s="42" t="str">
        <f aca="false">IF($AG32=1,INDEX(報告入力!$BS$7:$BS$696,$B32),"")</f>
        <v/>
      </c>
      <c r="Y32" s="42" t="str">
        <f aca="false">IF($AH32=1,INDEX(報告入力!$BK$7:$BK$696,$B32),"")</f>
        <v/>
      </c>
      <c r="Z32" s="43" t="str">
        <f aca="false">IF($AH32=1,INDEX(報告入力!$CA$7:$CA$696,$B32),"")</f>
        <v/>
      </c>
      <c r="AA32" s="42" t="str">
        <f aca="false">IF($AG32=1,INDEX(報告入力!$BT$7:$BT$696,$B32),"")</f>
        <v/>
      </c>
      <c r="AB32" s="42" t="str">
        <f aca="false">IF($AH32=1,INDEX(報告入力!$BL$7:$BL$696,$B32),"")</f>
        <v/>
      </c>
      <c r="AC32" s="43" t="str">
        <f aca="false">IF($AH32=1,INDEX(報告入力!$CB$7:$CB$696,$B32),"")</f>
        <v/>
      </c>
      <c r="AD32" s="42" t="str">
        <f aca="false">IF($AG32=1,INDEX(報告入力!$BU$7:$BU$696,$B32),"")</f>
        <v/>
      </c>
      <c r="AE32" s="42" t="str">
        <f aca="false">IF($AH32=1,INDEX(報告入力!$BM$7:$BM$696,$B32),"")</f>
        <v/>
      </c>
      <c r="AF32" s="43" t="str">
        <f aca="false">IF($AH32=1,INDEX(報告入力!$CC$7:$CC$696,$B32),"")</f>
        <v/>
      </c>
      <c r="AG32" s="33" t="n">
        <f aca="false">IF($B32="",0,IF(OR(C32="未受領",C32="報告なし"),0,1))</f>
        <v>0</v>
      </c>
      <c r="AH32" s="33" t="n">
        <f aca="false">IF(OR(D32="問題なし",D32="要確認"),1,0)</f>
        <v>0</v>
      </c>
      <c r="AI32" s="33" t="n">
        <f aca="false">IF(C32="未受領",MAX(AI$6:AI31)+1,"")</f>
        <v>23</v>
      </c>
      <c r="AJ32" s="33" t="str">
        <f aca="false">IF(D32="要確認",MAX(AJ$6:AJ31)+1,"")</f>
        <v/>
      </c>
      <c r="AK32" s="32" t="str">
        <f aca="false">IF(D32="要確認",INDEX(報告入力!$CD$7:$CD$696,$B32),"")</f>
        <v/>
      </c>
    </row>
    <row r="33" customFormat="false" ht="15" hidden="false" customHeight="false" outlineLevel="0" collapsed="false">
      <c r="A33" s="41" t="str">
        <f aca="false">設定!B87</f>
        <v>文化財団　教育委員会</v>
      </c>
      <c r="B33" s="33" t="n">
        <f aca="false">IFERROR(MATCH(ホーム!$C$4&amp;"|"&amp;A33,報告入力!$CG$7:$CG$696,0),"")</f>
        <v>349</v>
      </c>
      <c r="C33" s="10" t="str">
        <f aca="false">IF($B33="","",INDEX(報告入力!$C$7:$C$696,$B33))</f>
        <v>未受領</v>
      </c>
      <c r="D33" s="10" t="str">
        <f aca="false">IF($B33="","",INDEX(報告入力!$D$7:$D$696,$B33))</f>
        <v>―</v>
      </c>
      <c r="E33" s="24" t="str">
        <f aca="false">IF($B33="","",INDEX(報告入力!$E$7:$E$696,$B33))</f>
        <v>―</v>
      </c>
      <c r="F33" s="42" t="n">
        <f aca="false">IF($B33="","",INDEX(報告入力!$I$7:$I$696,$B33))</f>
        <v>0</v>
      </c>
      <c r="G33" s="42" t="n">
        <f aca="false">IF($B33="","",INDEX(報告入力!$J$7:$J$696,$B33))</f>
        <v>0</v>
      </c>
      <c r="H33" s="42" t="n">
        <f aca="false">IF($B33="","",INDEX(報告入力!$K$7:$K$696,$B33))</f>
        <v>0</v>
      </c>
      <c r="I33" s="42" t="str">
        <f aca="false">IF($AG33=1,INDEX(報告入力!$BN$7:$BN$696,$B33),"")</f>
        <v/>
      </c>
      <c r="J33" s="42" t="str">
        <f aca="false">IF($AH33=1,INDEX(報告入力!$BF$7:$BF$696,$B33),"")</f>
        <v/>
      </c>
      <c r="K33" s="43" t="str">
        <f aca="false">IF($AH33=1,INDEX(報告入力!$BV$7:$BV$696,$B33),"")</f>
        <v/>
      </c>
      <c r="L33" s="42" t="str">
        <f aca="false">IF($AG33=1,INDEX(報告入力!$BO$7:$BO$696,$B33),"")</f>
        <v/>
      </c>
      <c r="M33" s="42" t="str">
        <f aca="false">IF($AH33=1,INDEX(報告入力!$BG$7:$BG$696,$B33),"")</f>
        <v/>
      </c>
      <c r="N33" s="43" t="str">
        <f aca="false">IF($AH33=1,INDEX(報告入力!$BW$7:$BW$696,$B33),"")</f>
        <v/>
      </c>
      <c r="O33" s="42" t="str">
        <f aca="false">IF($AG33=1,INDEX(報告入力!$BP$7:$BP$696,$B33),"")</f>
        <v/>
      </c>
      <c r="P33" s="42" t="str">
        <f aca="false">IF($AH33=1,INDEX(報告入力!$BH$7:$BH$696,$B33),"")</f>
        <v/>
      </c>
      <c r="Q33" s="43" t="str">
        <f aca="false">IF($AH33=1,INDEX(報告入力!$BX$7:$BX$696,$B33),"")</f>
        <v/>
      </c>
      <c r="R33" s="42" t="str">
        <f aca="false">IF($AG33=1,INDEX(報告入力!$BQ$7:$BQ$696,$B33),"")</f>
        <v/>
      </c>
      <c r="S33" s="42" t="str">
        <f aca="false">IF($AH33=1,INDEX(報告入力!$BI$7:$BI$696,$B33),"")</f>
        <v/>
      </c>
      <c r="T33" s="43" t="str">
        <f aca="false">IF($AH33=1,INDEX(報告入力!$BY$7:$BY$696,$B33),"")</f>
        <v/>
      </c>
      <c r="U33" s="42" t="str">
        <f aca="false">IF($AG33=1,INDEX(報告入力!$BR$7:$BR$696,$B33),"")</f>
        <v/>
      </c>
      <c r="V33" s="42" t="str">
        <f aca="false">IF($AH33=1,INDEX(報告入力!$BJ$7:$BJ$696,$B33),"")</f>
        <v/>
      </c>
      <c r="W33" s="43" t="str">
        <f aca="false">IF($AH33=1,INDEX(報告入力!$BZ$7:$BZ$696,$B33),"")</f>
        <v/>
      </c>
      <c r="X33" s="42" t="str">
        <f aca="false">IF($AG33=1,INDEX(報告入力!$BS$7:$BS$696,$B33),"")</f>
        <v/>
      </c>
      <c r="Y33" s="42" t="str">
        <f aca="false">IF($AH33=1,INDEX(報告入力!$BK$7:$BK$696,$B33),"")</f>
        <v/>
      </c>
      <c r="Z33" s="43" t="str">
        <f aca="false">IF($AH33=1,INDEX(報告入力!$CA$7:$CA$696,$B33),"")</f>
        <v/>
      </c>
      <c r="AA33" s="42" t="str">
        <f aca="false">IF($AG33=1,INDEX(報告入力!$BT$7:$BT$696,$B33),"")</f>
        <v/>
      </c>
      <c r="AB33" s="42" t="str">
        <f aca="false">IF($AH33=1,INDEX(報告入力!$BL$7:$BL$696,$B33),"")</f>
        <v/>
      </c>
      <c r="AC33" s="43" t="str">
        <f aca="false">IF($AH33=1,INDEX(報告入力!$CB$7:$CB$696,$B33),"")</f>
        <v/>
      </c>
      <c r="AD33" s="42" t="str">
        <f aca="false">IF($AG33=1,INDEX(報告入力!$BU$7:$BU$696,$B33),"")</f>
        <v/>
      </c>
      <c r="AE33" s="42" t="str">
        <f aca="false">IF($AH33=1,INDEX(報告入力!$BM$7:$BM$696,$B33),"")</f>
        <v/>
      </c>
      <c r="AF33" s="43" t="str">
        <f aca="false">IF($AH33=1,INDEX(報告入力!$CC$7:$CC$696,$B33),"")</f>
        <v/>
      </c>
      <c r="AG33" s="33" t="n">
        <f aca="false">IF($B33="",0,IF(OR(C33="未受領",C33="報告なし"),0,1))</f>
        <v>0</v>
      </c>
      <c r="AH33" s="33" t="n">
        <f aca="false">IF(OR(D33="問題なし",D33="要確認"),1,0)</f>
        <v>0</v>
      </c>
      <c r="AI33" s="33" t="n">
        <f aca="false">IF(C33="未受領",MAX(AI$6:AI32)+1,"")</f>
        <v>24</v>
      </c>
      <c r="AJ33" s="33" t="str">
        <f aca="false">IF(D33="要確認",MAX(AJ$6:AJ32)+1,"")</f>
        <v/>
      </c>
      <c r="AK33" s="32" t="str">
        <f aca="false">IF(D33="要確認",INDEX(報告入力!$CD$7:$CD$696,$B33),"")</f>
        <v/>
      </c>
    </row>
    <row r="34" customFormat="false" ht="15" hidden="false" customHeight="false" outlineLevel="0" collapsed="false">
      <c r="A34" s="41" t="str">
        <f aca="false">設定!B88</f>
        <v>みどり生きもの協会</v>
      </c>
      <c r="B34" s="33" t="n">
        <f aca="false">IFERROR(MATCH(ホーム!$C$4&amp;"|"&amp;A34,報告入力!$CG$7:$CG$696,0),"")</f>
        <v>350</v>
      </c>
      <c r="C34" s="10" t="str">
        <f aca="false">IF($B34="","",INDEX(報告入力!$C$7:$C$696,$B34))</f>
        <v>未受領</v>
      </c>
      <c r="D34" s="10" t="str">
        <f aca="false">IF($B34="","",INDEX(報告入力!$D$7:$D$696,$B34))</f>
        <v>―</v>
      </c>
      <c r="E34" s="24" t="str">
        <f aca="false">IF($B34="","",INDEX(報告入力!$E$7:$E$696,$B34))</f>
        <v>―</v>
      </c>
      <c r="F34" s="42" t="n">
        <f aca="false">IF($B34="","",INDEX(報告入力!$I$7:$I$696,$B34))</f>
        <v>0</v>
      </c>
      <c r="G34" s="42" t="n">
        <f aca="false">IF($B34="","",INDEX(報告入力!$J$7:$J$696,$B34))</f>
        <v>0</v>
      </c>
      <c r="H34" s="42" t="n">
        <f aca="false">IF($B34="","",INDEX(報告入力!$K$7:$K$696,$B34))</f>
        <v>0</v>
      </c>
      <c r="I34" s="42" t="str">
        <f aca="false">IF($AG34=1,INDEX(報告入力!$BN$7:$BN$696,$B34),"")</f>
        <v/>
      </c>
      <c r="J34" s="42" t="str">
        <f aca="false">IF($AH34=1,INDEX(報告入力!$BF$7:$BF$696,$B34),"")</f>
        <v/>
      </c>
      <c r="K34" s="43" t="str">
        <f aca="false">IF($AH34=1,INDEX(報告入力!$BV$7:$BV$696,$B34),"")</f>
        <v/>
      </c>
      <c r="L34" s="42" t="str">
        <f aca="false">IF($AG34=1,INDEX(報告入力!$BO$7:$BO$696,$B34),"")</f>
        <v/>
      </c>
      <c r="M34" s="42" t="str">
        <f aca="false">IF($AH34=1,INDEX(報告入力!$BG$7:$BG$696,$B34),"")</f>
        <v/>
      </c>
      <c r="N34" s="43" t="str">
        <f aca="false">IF($AH34=1,INDEX(報告入力!$BW$7:$BW$696,$B34),"")</f>
        <v/>
      </c>
      <c r="O34" s="42" t="str">
        <f aca="false">IF($AG34=1,INDEX(報告入力!$BP$7:$BP$696,$B34),"")</f>
        <v/>
      </c>
      <c r="P34" s="42" t="str">
        <f aca="false">IF($AH34=1,INDEX(報告入力!$BH$7:$BH$696,$B34),"")</f>
        <v/>
      </c>
      <c r="Q34" s="43" t="str">
        <f aca="false">IF($AH34=1,INDEX(報告入力!$BX$7:$BX$696,$B34),"")</f>
        <v/>
      </c>
      <c r="R34" s="42" t="str">
        <f aca="false">IF($AG34=1,INDEX(報告入力!$BQ$7:$BQ$696,$B34),"")</f>
        <v/>
      </c>
      <c r="S34" s="42" t="str">
        <f aca="false">IF($AH34=1,INDEX(報告入力!$BI$7:$BI$696,$B34),"")</f>
        <v/>
      </c>
      <c r="T34" s="43" t="str">
        <f aca="false">IF($AH34=1,INDEX(報告入力!$BY$7:$BY$696,$B34),"")</f>
        <v/>
      </c>
      <c r="U34" s="42" t="str">
        <f aca="false">IF($AG34=1,INDEX(報告入力!$BR$7:$BR$696,$B34),"")</f>
        <v/>
      </c>
      <c r="V34" s="42" t="str">
        <f aca="false">IF($AH34=1,INDEX(報告入力!$BJ$7:$BJ$696,$B34),"")</f>
        <v/>
      </c>
      <c r="W34" s="43" t="str">
        <f aca="false">IF($AH34=1,INDEX(報告入力!$BZ$7:$BZ$696,$B34),"")</f>
        <v/>
      </c>
      <c r="X34" s="42" t="str">
        <f aca="false">IF($AG34=1,INDEX(報告入力!$BS$7:$BS$696,$B34),"")</f>
        <v/>
      </c>
      <c r="Y34" s="42" t="str">
        <f aca="false">IF($AH34=1,INDEX(報告入力!$BK$7:$BK$696,$B34),"")</f>
        <v/>
      </c>
      <c r="Z34" s="43" t="str">
        <f aca="false">IF($AH34=1,INDEX(報告入力!$CA$7:$CA$696,$B34),"")</f>
        <v/>
      </c>
      <c r="AA34" s="42" t="str">
        <f aca="false">IF($AG34=1,INDEX(報告入力!$BT$7:$BT$696,$B34),"")</f>
        <v/>
      </c>
      <c r="AB34" s="42" t="str">
        <f aca="false">IF($AH34=1,INDEX(報告入力!$BL$7:$BL$696,$B34),"")</f>
        <v/>
      </c>
      <c r="AC34" s="43" t="str">
        <f aca="false">IF($AH34=1,INDEX(報告入力!$CB$7:$CB$696,$B34),"")</f>
        <v/>
      </c>
      <c r="AD34" s="42" t="str">
        <f aca="false">IF($AG34=1,INDEX(報告入力!$BU$7:$BU$696,$B34),"")</f>
        <v/>
      </c>
      <c r="AE34" s="42" t="str">
        <f aca="false">IF($AH34=1,INDEX(報告入力!$BM$7:$BM$696,$B34),"")</f>
        <v/>
      </c>
      <c r="AF34" s="43" t="str">
        <f aca="false">IF($AH34=1,INDEX(報告入力!$CC$7:$CC$696,$B34),"")</f>
        <v/>
      </c>
      <c r="AG34" s="33" t="n">
        <f aca="false">IF($B34="",0,IF(OR(C34="未受領",C34="報告なし"),0,1))</f>
        <v>0</v>
      </c>
      <c r="AH34" s="33" t="n">
        <f aca="false">IF(OR(D34="問題なし",D34="要確認"),1,0)</f>
        <v>0</v>
      </c>
      <c r="AI34" s="33" t="n">
        <f aca="false">IF(C34="未受領",MAX(AI$6:AI33)+1,"")</f>
        <v>25</v>
      </c>
      <c r="AJ34" s="33" t="str">
        <f aca="false">IF(D34="要確認",MAX(AJ$6:AJ33)+1,"")</f>
        <v/>
      </c>
      <c r="AK34" s="32" t="str">
        <f aca="false">IF(D34="要確認",INDEX(報告入力!$CD$7:$CD$696,$B34),"")</f>
        <v/>
      </c>
    </row>
    <row r="35" customFormat="false" ht="15" hidden="false" customHeight="false" outlineLevel="0" collapsed="false">
      <c r="A35" s="41" t="str">
        <f aca="false">設定!B89</f>
        <v>県下水道公社</v>
      </c>
      <c r="B35" s="33" t="n">
        <f aca="false">IFERROR(MATCH(ホーム!$C$4&amp;"|"&amp;A35,報告入力!$CG$7:$CG$696,0),"")</f>
        <v>351</v>
      </c>
      <c r="C35" s="10" t="str">
        <f aca="false">IF($B35="","",INDEX(報告入力!$C$7:$C$696,$B35))</f>
        <v>未受領</v>
      </c>
      <c r="D35" s="10" t="str">
        <f aca="false">IF($B35="","",INDEX(報告入力!$D$7:$D$696,$B35))</f>
        <v>―</v>
      </c>
      <c r="E35" s="24" t="str">
        <f aca="false">IF($B35="","",INDEX(報告入力!$E$7:$E$696,$B35))</f>
        <v>―</v>
      </c>
      <c r="F35" s="42" t="n">
        <f aca="false">IF($B35="","",INDEX(報告入力!$I$7:$I$696,$B35))</f>
        <v>0</v>
      </c>
      <c r="G35" s="42" t="n">
        <f aca="false">IF($B35="","",INDEX(報告入力!$J$7:$J$696,$B35))</f>
        <v>0</v>
      </c>
      <c r="H35" s="42" t="n">
        <f aca="false">IF($B35="","",INDEX(報告入力!$K$7:$K$696,$B35))</f>
        <v>0</v>
      </c>
      <c r="I35" s="42" t="str">
        <f aca="false">IF($AG35=1,INDEX(報告入力!$BN$7:$BN$696,$B35),"")</f>
        <v/>
      </c>
      <c r="J35" s="42" t="str">
        <f aca="false">IF($AH35=1,INDEX(報告入力!$BF$7:$BF$696,$B35),"")</f>
        <v/>
      </c>
      <c r="K35" s="43" t="str">
        <f aca="false">IF($AH35=1,INDEX(報告入力!$BV$7:$BV$696,$B35),"")</f>
        <v/>
      </c>
      <c r="L35" s="42" t="str">
        <f aca="false">IF($AG35=1,INDEX(報告入力!$BO$7:$BO$696,$B35),"")</f>
        <v/>
      </c>
      <c r="M35" s="42" t="str">
        <f aca="false">IF($AH35=1,INDEX(報告入力!$BG$7:$BG$696,$B35),"")</f>
        <v/>
      </c>
      <c r="N35" s="43" t="str">
        <f aca="false">IF($AH35=1,INDEX(報告入力!$BW$7:$BW$696,$B35),"")</f>
        <v/>
      </c>
      <c r="O35" s="42" t="str">
        <f aca="false">IF($AG35=1,INDEX(報告入力!$BP$7:$BP$696,$B35),"")</f>
        <v/>
      </c>
      <c r="P35" s="42" t="str">
        <f aca="false">IF($AH35=1,INDEX(報告入力!$BH$7:$BH$696,$B35),"")</f>
        <v/>
      </c>
      <c r="Q35" s="43" t="str">
        <f aca="false">IF($AH35=1,INDEX(報告入力!$BX$7:$BX$696,$B35),"")</f>
        <v/>
      </c>
      <c r="R35" s="42" t="str">
        <f aca="false">IF($AG35=1,INDEX(報告入力!$BQ$7:$BQ$696,$B35),"")</f>
        <v/>
      </c>
      <c r="S35" s="42" t="str">
        <f aca="false">IF($AH35=1,INDEX(報告入力!$BI$7:$BI$696,$B35),"")</f>
        <v/>
      </c>
      <c r="T35" s="43" t="str">
        <f aca="false">IF($AH35=1,INDEX(報告入力!$BY$7:$BY$696,$B35),"")</f>
        <v/>
      </c>
      <c r="U35" s="42" t="str">
        <f aca="false">IF($AG35=1,INDEX(報告入力!$BR$7:$BR$696,$B35),"")</f>
        <v/>
      </c>
      <c r="V35" s="42" t="str">
        <f aca="false">IF($AH35=1,INDEX(報告入力!$BJ$7:$BJ$696,$B35),"")</f>
        <v/>
      </c>
      <c r="W35" s="43" t="str">
        <f aca="false">IF($AH35=1,INDEX(報告入力!$BZ$7:$BZ$696,$B35),"")</f>
        <v/>
      </c>
      <c r="X35" s="42" t="str">
        <f aca="false">IF($AG35=1,INDEX(報告入力!$BS$7:$BS$696,$B35),"")</f>
        <v/>
      </c>
      <c r="Y35" s="42" t="str">
        <f aca="false">IF($AH35=1,INDEX(報告入力!$BK$7:$BK$696,$B35),"")</f>
        <v/>
      </c>
      <c r="Z35" s="43" t="str">
        <f aca="false">IF($AH35=1,INDEX(報告入力!$CA$7:$CA$696,$B35),"")</f>
        <v/>
      </c>
      <c r="AA35" s="42" t="str">
        <f aca="false">IF($AG35=1,INDEX(報告入力!$BT$7:$BT$696,$B35),"")</f>
        <v/>
      </c>
      <c r="AB35" s="42" t="str">
        <f aca="false">IF($AH35=1,INDEX(報告入力!$BL$7:$BL$696,$B35),"")</f>
        <v/>
      </c>
      <c r="AC35" s="43" t="str">
        <f aca="false">IF($AH35=1,INDEX(報告入力!$CB$7:$CB$696,$B35),"")</f>
        <v/>
      </c>
      <c r="AD35" s="42" t="str">
        <f aca="false">IF($AG35=1,INDEX(報告入力!$BU$7:$BU$696,$B35),"")</f>
        <v/>
      </c>
      <c r="AE35" s="42" t="str">
        <f aca="false">IF($AH35=1,INDEX(報告入力!$BM$7:$BM$696,$B35),"")</f>
        <v/>
      </c>
      <c r="AF35" s="43" t="str">
        <f aca="false">IF($AH35=1,INDEX(報告入力!$CC$7:$CC$696,$B35),"")</f>
        <v/>
      </c>
      <c r="AG35" s="33" t="n">
        <f aca="false">IF($B35="",0,IF(OR(C35="未受領",C35="報告なし"),0,1))</f>
        <v>0</v>
      </c>
      <c r="AH35" s="33" t="n">
        <f aca="false">IF(OR(D35="問題なし",D35="要確認"),1,0)</f>
        <v>0</v>
      </c>
      <c r="AI35" s="33" t="n">
        <f aca="false">IF(C35="未受領",MAX(AI$6:AI34)+1,"")</f>
        <v>26</v>
      </c>
      <c r="AJ35" s="33" t="str">
        <f aca="false">IF(D35="要確認",MAX(AJ$6:AJ34)+1,"")</f>
        <v/>
      </c>
      <c r="AK35" s="32" t="str">
        <f aca="false">IF(D35="要確認",INDEX(報告入力!$CD$7:$CD$696,$B35),"")</f>
        <v/>
      </c>
    </row>
    <row r="36" customFormat="false" ht="26.85" hidden="false" customHeight="false" outlineLevel="0" collapsed="false">
      <c r="A36" s="41" t="str">
        <f aca="false">設定!B90</f>
        <v>バス協調・共創
プラットフォーム</v>
      </c>
      <c r="B36" s="33" t="n">
        <f aca="false">IFERROR(MATCH(ホーム!$C$4&amp;"|"&amp;A36,報告入力!$CG$7:$CG$696,0),"")</f>
        <v>352</v>
      </c>
      <c r="C36" s="10" t="str">
        <f aca="false">IF($B36="","",INDEX(報告入力!$C$7:$C$696,$B36))</f>
        <v>未受領</v>
      </c>
      <c r="D36" s="10" t="str">
        <f aca="false">IF($B36="","",INDEX(報告入力!$D$7:$D$696,$B36))</f>
        <v>―</v>
      </c>
      <c r="E36" s="24" t="str">
        <f aca="false">IF($B36="","",INDEX(報告入力!$E$7:$E$696,$B36))</f>
        <v>―</v>
      </c>
      <c r="F36" s="42" t="n">
        <f aca="false">IF($B36="","",INDEX(報告入力!$I$7:$I$696,$B36))</f>
        <v>0</v>
      </c>
      <c r="G36" s="42" t="n">
        <f aca="false">IF($B36="","",INDEX(報告入力!$J$7:$J$696,$B36))</f>
        <v>0</v>
      </c>
      <c r="H36" s="42" t="n">
        <f aca="false">IF($B36="","",INDEX(報告入力!$K$7:$K$696,$B36))</f>
        <v>0</v>
      </c>
      <c r="I36" s="42" t="str">
        <f aca="false">IF($AG36=1,INDEX(報告入力!$BN$7:$BN$696,$B36),"")</f>
        <v/>
      </c>
      <c r="J36" s="42" t="str">
        <f aca="false">IF($AH36=1,INDEX(報告入力!$BF$7:$BF$696,$B36),"")</f>
        <v/>
      </c>
      <c r="K36" s="43" t="str">
        <f aca="false">IF($AH36=1,INDEX(報告入力!$BV$7:$BV$696,$B36),"")</f>
        <v/>
      </c>
      <c r="L36" s="42" t="str">
        <f aca="false">IF($AG36=1,INDEX(報告入力!$BO$7:$BO$696,$B36),"")</f>
        <v/>
      </c>
      <c r="M36" s="42" t="str">
        <f aca="false">IF($AH36=1,INDEX(報告入力!$BG$7:$BG$696,$B36),"")</f>
        <v/>
      </c>
      <c r="N36" s="43" t="str">
        <f aca="false">IF($AH36=1,INDEX(報告入力!$BW$7:$BW$696,$B36),"")</f>
        <v/>
      </c>
      <c r="O36" s="42" t="str">
        <f aca="false">IF($AG36=1,INDEX(報告入力!$BP$7:$BP$696,$B36),"")</f>
        <v/>
      </c>
      <c r="P36" s="42" t="str">
        <f aca="false">IF($AH36=1,INDEX(報告入力!$BH$7:$BH$696,$B36),"")</f>
        <v/>
      </c>
      <c r="Q36" s="43" t="str">
        <f aca="false">IF($AH36=1,INDEX(報告入力!$BX$7:$BX$696,$B36),"")</f>
        <v/>
      </c>
      <c r="R36" s="42" t="str">
        <f aca="false">IF($AG36=1,INDEX(報告入力!$BQ$7:$BQ$696,$B36),"")</f>
        <v/>
      </c>
      <c r="S36" s="42" t="str">
        <f aca="false">IF($AH36=1,INDEX(報告入力!$BI$7:$BI$696,$B36),"")</f>
        <v/>
      </c>
      <c r="T36" s="43" t="str">
        <f aca="false">IF($AH36=1,INDEX(報告入力!$BY$7:$BY$696,$B36),"")</f>
        <v/>
      </c>
      <c r="U36" s="42" t="str">
        <f aca="false">IF($AG36=1,INDEX(報告入力!$BR$7:$BR$696,$B36),"")</f>
        <v/>
      </c>
      <c r="V36" s="42" t="str">
        <f aca="false">IF($AH36=1,INDEX(報告入力!$BJ$7:$BJ$696,$B36),"")</f>
        <v/>
      </c>
      <c r="W36" s="43" t="str">
        <f aca="false">IF($AH36=1,INDEX(報告入力!$BZ$7:$BZ$696,$B36),"")</f>
        <v/>
      </c>
      <c r="X36" s="42" t="str">
        <f aca="false">IF($AG36=1,INDEX(報告入力!$BS$7:$BS$696,$B36),"")</f>
        <v/>
      </c>
      <c r="Y36" s="42" t="str">
        <f aca="false">IF($AH36=1,INDEX(報告入力!$BK$7:$BK$696,$B36),"")</f>
        <v/>
      </c>
      <c r="Z36" s="43" t="str">
        <f aca="false">IF($AH36=1,INDEX(報告入力!$CA$7:$CA$696,$B36),"")</f>
        <v/>
      </c>
      <c r="AA36" s="42" t="str">
        <f aca="false">IF($AG36=1,INDEX(報告入力!$BT$7:$BT$696,$B36),"")</f>
        <v/>
      </c>
      <c r="AB36" s="42" t="str">
        <f aca="false">IF($AH36=1,INDEX(報告入力!$BL$7:$BL$696,$B36),"")</f>
        <v/>
      </c>
      <c r="AC36" s="43" t="str">
        <f aca="false">IF($AH36=1,INDEX(報告入力!$CB$7:$CB$696,$B36),"")</f>
        <v/>
      </c>
      <c r="AD36" s="42" t="str">
        <f aca="false">IF($AG36=1,INDEX(報告入力!$BU$7:$BU$696,$B36),"")</f>
        <v/>
      </c>
      <c r="AE36" s="42" t="str">
        <f aca="false">IF($AH36=1,INDEX(報告入力!$BM$7:$BM$696,$B36),"")</f>
        <v/>
      </c>
      <c r="AF36" s="43" t="str">
        <f aca="false">IF($AH36=1,INDEX(報告入力!$CC$7:$CC$696,$B36),"")</f>
        <v/>
      </c>
      <c r="AG36" s="33" t="n">
        <f aca="false">IF($B36="",0,IF(OR(C36="未受領",C36="報告なし"),0,1))</f>
        <v>0</v>
      </c>
      <c r="AH36" s="33" t="n">
        <f aca="false">IF(OR(D36="問題なし",D36="要確認"),1,0)</f>
        <v>0</v>
      </c>
      <c r="AI36" s="33" t="n">
        <f aca="false">IF(C36="未受領",MAX(AI$6:AI35)+1,"")</f>
        <v>27</v>
      </c>
      <c r="AJ36" s="33" t="str">
        <f aca="false">IF(D36="要確認",MAX(AJ$6:AJ35)+1,"")</f>
        <v/>
      </c>
      <c r="AK36" s="32" t="str">
        <f aca="false">IF(D36="要確認",INDEX(報告入力!$CD$7:$CD$696,$B36),"")</f>
        <v/>
      </c>
    </row>
    <row r="37" customFormat="false" ht="15" hidden="false" customHeight="false" outlineLevel="0" collapsed="false">
      <c r="A37" s="41" t="str">
        <f aca="false">設定!B91</f>
        <v>広島県市長会</v>
      </c>
      <c r="B37" s="33" t="n">
        <f aca="false">IFERROR(MATCH(ホーム!$C$4&amp;"|"&amp;A37,報告入力!$CG$7:$CG$696,0),"")</f>
        <v>353</v>
      </c>
      <c r="C37" s="10" t="str">
        <f aca="false">IF($B37="","",INDEX(報告入力!$C$7:$C$696,$B37))</f>
        <v>受領済</v>
      </c>
      <c r="D37" s="10" t="str">
        <f aca="false">IF($B37="","",INDEX(報告入力!$D$7:$D$696,$B37))</f>
        <v>標報未入力</v>
      </c>
      <c r="E37" s="24" t="str">
        <f aca="false">IF($B37="","",INDEX(報告入力!$E$7:$E$696,$B37))</f>
        <v>前月同額</v>
      </c>
      <c r="F37" s="42" t="n">
        <f aca="false">IF($B37="","",INDEX(報告入力!$I$7:$I$696,$B37))</f>
        <v>0</v>
      </c>
      <c r="G37" s="42" t="n">
        <f aca="false">IF($B37="","",INDEX(報告入力!$J$7:$J$696,$B37))</f>
        <v>0</v>
      </c>
      <c r="H37" s="42" t="n">
        <f aca="false">IF($B37="","",INDEX(報告入力!$K$7:$K$696,$B37))</f>
        <v>0</v>
      </c>
      <c r="I37" s="42" t="n">
        <f aca="false">IF($AG37=1,INDEX(報告入力!$BN$7:$BN$696,$B37),"")</f>
        <v>58410</v>
      </c>
      <c r="J37" s="42" t="str">
        <f aca="false">IF($AH37=1,INDEX(報告入力!$BF$7:$BF$696,$B37),"")</f>
        <v/>
      </c>
      <c r="K37" s="43" t="str">
        <f aca="false">IF($AH37=1,INDEX(報告入力!$BV$7:$BV$696,$B37),"")</f>
        <v/>
      </c>
      <c r="L37" s="42" t="n">
        <f aca="false">IF($AG37=1,INDEX(報告入力!$BO$7:$BO$696,$B37),"")</f>
        <v>58461</v>
      </c>
      <c r="M37" s="42" t="str">
        <f aca="false">IF($AH37=1,INDEX(報告入力!$BG$7:$BG$696,$B37),"")</f>
        <v/>
      </c>
      <c r="N37" s="43" t="str">
        <f aca="false">IF($AH37=1,INDEX(報告入力!$BW$7:$BW$696,$B37),"")</f>
        <v/>
      </c>
      <c r="O37" s="42" t="n">
        <f aca="false">IF($AG37=1,INDEX(報告入力!$BP$7:$BP$696,$B37),"")</f>
        <v>30597</v>
      </c>
      <c r="P37" s="42" t="str">
        <f aca="false">IF($AH37=1,INDEX(報告入力!$BH$7:$BH$696,$B37),"")</f>
        <v/>
      </c>
      <c r="Q37" s="43" t="str">
        <f aca="false">IF($AH37=1,INDEX(報告入力!$BX$7:$BX$696,$B37),"")</f>
        <v/>
      </c>
      <c r="R37" s="42" t="n">
        <f aca="false">IF($AG37=1,INDEX(報告入力!$BQ$7:$BQ$696,$B37),"")</f>
        <v>30626</v>
      </c>
      <c r="S37" s="42" t="str">
        <f aca="false">IF($AH37=1,INDEX(報告入力!$BI$7:$BI$696,$B37),"")</f>
        <v/>
      </c>
      <c r="T37" s="43" t="str">
        <f aca="false">IF($AH37=1,INDEX(報告入力!$BY$7:$BY$696,$B37),"")</f>
        <v/>
      </c>
      <c r="U37" s="42" t="n">
        <f aca="false">IF($AG37=1,INDEX(報告入力!$BR$7:$BR$696,$B37),"")</f>
        <v>4661</v>
      </c>
      <c r="V37" s="42" t="str">
        <f aca="false">IF($AH37=1,INDEX(報告入力!$BJ$7:$BJ$696,$B37),"")</f>
        <v/>
      </c>
      <c r="W37" s="43" t="str">
        <f aca="false">IF($AH37=1,INDEX(報告入力!$BZ$7:$BZ$696,$B37),"")</f>
        <v/>
      </c>
      <c r="X37" s="42" t="n">
        <f aca="false">IF($AG37=1,INDEX(報告入力!$BS$7:$BS$696,$B37),"")</f>
        <v>4661</v>
      </c>
      <c r="Y37" s="42" t="str">
        <f aca="false">IF($AH37=1,INDEX(報告入力!$BK$7:$BK$696,$B37),"")</f>
        <v/>
      </c>
      <c r="Z37" s="43" t="str">
        <f aca="false">IF($AH37=1,INDEX(報告入力!$CA$7:$CA$696,$B37),"")</f>
        <v/>
      </c>
      <c r="AA37" s="42" t="n">
        <f aca="false">IF($AG37=1,INDEX(報告入力!$BT$7:$BT$696,$B37),"")</f>
        <v>678</v>
      </c>
      <c r="AB37" s="42" t="str">
        <f aca="false">IF($AH37=1,INDEX(報告入力!$BL$7:$BL$696,$B37),"")</f>
        <v/>
      </c>
      <c r="AC37" s="43" t="str">
        <f aca="false">IF($AH37=1,INDEX(報告入力!$CB$7:$CB$696,$B37),"")</f>
        <v/>
      </c>
      <c r="AD37" s="42" t="n">
        <f aca="false">IF($AG37=1,INDEX(報告入力!$BU$7:$BU$696,$B37),"")</f>
        <v>678</v>
      </c>
      <c r="AE37" s="42" t="str">
        <f aca="false">IF($AH37=1,INDEX(報告入力!$BM$7:$BM$696,$B37),"")</f>
        <v/>
      </c>
      <c r="AF37" s="43" t="str">
        <f aca="false">IF($AH37=1,INDEX(報告入力!$CC$7:$CC$696,$B37),"")</f>
        <v/>
      </c>
      <c r="AG37" s="33" t="n">
        <f aca="false">IF($B37="",0,IF(OR(C37="未受領",C37="報告なし"),0,1))</f>
        <v>1</v>
      </c>
      <c r="AH37" s="33" t="n">
        <f aca="false">IF(OR(D37="問題なし",D37="要確認"),1,0)</f>
        <v>0</v>
      </c>
      <c r="AI37" s="33" t="str">
        <f aca="false">IF(C37="未受領",MAX(AI$6:AI36)+1,"")</f>
        <v/>
      </c>
      <c r="AJ37" s="33" t="str">
        <f aca="false">IF(D37="要確認",MAX(AJ$6:AJ36)+1,"")</f>
        <v/>
      </c>
      <c r="AK37" s="32" t="str">
        <f aca="false">IF(D37="要確認",INDEX(報告入力!$CD$7:$CD$696,$B37),"")</f>
        <v/>
      </c>
    </row>
    <row r="38" customFormat="false" ht="15" hidden="false" customHeight="false" outlineLevel="0" collapsed="false">
      <c r="A38" s="41" t="str">
        <f aca="false">設定!B92</f>
        <v>全国市町村研修財団</v>
      </c>
      <c r="B38" s="33" t="n">
        <f aca="false">IFERROR(MATCH(ホーム!$C$4&amp;"|"&amp;A38,報告入力!$CG$7:$CG$696,0),"")</f>
        <v>354</v>
      </c>
      <c r="C38" s="10" t="str">
        <f aca="false">IF($B38="","",INDEX(報告入力!$C$7:$C$696,$B38))</f>
        <v>受領済</v>
      </c>
      <c r="D38" s="10" t="str">
        <f aca="false">IF($B38="","",INDEX(報告入力!$D$7:$D$696,$B38))</f>
        <v>標報未入力</v>
      </c>
      <c r="E38" s="24" t="str">
        <f aca="false">IF($B38="","",INDEX(報告入力!$E$7:$E$696,$B38))</f>
        <v>前月同額</v>
      </c>
      <c r="F38" s="42" t="n">
        <f aca="false">IF($B38="","",INDEX(報告入力!$I$7:$I$696,$B38))</f>
        <v>0</v>
      </c>
      <c r="G38" s="42" t="n">
        <f aca="false">IF($B38="","",INDEX(報告入力!$J$7:$J$696,$B38))</f>
        <v>0</v>
      </c>
      <c r="H38" s="42" t="n">
        <f aca="false">IF($B38="","",INDEX(報告入力!$K$7:$K$696,$B38))</f>
        <v>0</v>
      </c>
      <c r="I38" s="42" t="n">
        <f aca="false">IF($AG38=1,INDEX(報告入力!$BN$7:$BN$696,$B38),"")</f>
        <v>64350</v>
      </c>
      <c r="J38" s="42" t="str">
        <f aca="false">IF($AH38=1,INDEX(報告入力!$BF$7:$BF$696,$B38),"")</f>
        <v/>
      </c>
      <c r="K38" s="43" t="str">
        <f aca="false">IF($AH38=1,INDEX(報告入力!$BV$7:$BV$696,$B38),"")</f>
        <v/>
      </c>
      <c r="L38" s="42" t="n">
        <f aca="false">IF($AG38=1,INDEX(報告入力!$BO$7:$BO$696,$B38),"")</f>
        <v>64406</v>
      </c>
      <c r="M38" s="42" t="str">
        <f aca="false">IF($AH38=1,INDEX(報告入力!$BG$7:$BG$696,$B38),"")</f>
        <v/>
      </c>
      <c r="N38" s="43" t="str">
        <f aca="false">IF($AH38=1,INDEX(報告入力!$BW$7:$BW$696,$B38),"")</f>
        <v/>
      </c>
      <c r="O38" s="42" t="n">
        <f aca="false">IF($AG38=1,INDEX(報告入力!$BP$7:$BP$696,$B38),"")</f>
        <v>36820</v>
      </c>
      <c r="P38" s="42" t="str">
        <f aca="false">IF($AH38=1,INDEX(報告入力!$BH$7:$BH$696,$B38),"")</f>
        <v/>
      </c>
      <c r="Q38" s="43" t="str">
        <f aca="false">IF($AH38=1,INDEX(報告入力!$BX$7:$BX$696,$B38),"")</f>
        <v/>
      </c>
      <c r="R38" s="42" t="n">
        <f aca="false">IF($AG38=1,INDEX(報告入力!$BQ$7:$BQ$696,$B38),"")</f>
        <v>36856</v>
      </c>
      <c r="S38" s="42" t="str">
        <f aca="false">IF($AH38=1,INDEX(報告入力!$BI$7:$BI$696,$B38),"")</f>
        <v/>
      </c>
      <c r="T38" s="43" t="str">
        <f aca="false">IF($AH38=1,INDEX(報告入力!$BY$7:$BY$696,$B38),"")</f>
        <v/>
      </c>
      <c r="U38" s="42" t="n">
        <f aca="false">IF($AG38=1,INDEX(報告入力!$BR$7:$BR$696,$B38),"")</f>
        <v>5609</v>
      </c>
      <c r="V38" s="42" t="str">
        <f aca="false">IF($AH38=1,INDEX(報告入力!$BJ$7:$BJ$696,$B38),"")</f>
        <v/>
      </c>
      <c r="W38" s="43" t="str">
        <f aca="false">IF($AH38=1,INDEX(報告入力!$BZ$7:$BZ$696,$B38),"")</f>
        <v/>
      </c>
      <c r="X38" s="42" t="n">
        <f aca="false">IF($AG38=1,INDEX(報告入力!$BS$7:$BS$696,$B38),"")</f>
        <v>5609</v>
      </c>
      <c r="Y38" s="42" t="str">
        <f aca="false">IF($AH38=1,INDEX(報告入力!$BK$7:$BK$696,$B38),"")</f>
        <v/>
      </c>
      <c r="Z38" s="43" t="str">
        <f aca="false">IF($AH38=1,INDEX(報告入力!$CA$7:$CA$696,$B38),"")</f>
        <v/>
      </c>
      <c r="AA38" s="42" t="n">
        <f aca="false">IF($AG38=1,INDEX(報告入力!$BT$7:$BT$696,$B38),"")</f>
        <v>816</v>
      </c>
      <c r="AB38" s="42" t="str">
        <f aca="false">IF($AH38=1,INDEX(報告入力!$BL$7:$BL$696,$B38),"")</f>
        <v/>
      </c>
      <c r="AC38" s="43" t="str">
        <f aca="false">IF($AH38=1,INDEX(報告入力!$CB$7:$CB$696,$B38),"")</f>
        <v/>
      </c>
      <c r="AD38" s="42" t="n">
        <f aca="false">IF($AG38=1,INDEX(報告入力!$BU$7:$BU$696,$B38),"")</f>
        <v>816</v>
      </c>
      <c r="AE38" s="42" t="str">
        <f aca="false">IF($AH38=1,INDEX(報告入力!$BM$7:$BM$696,$B38),"")</f>
        <v/>
      </c>
      <c r="AF38" s="43" t="str">
        <f aca="false">IF($AH38=1,INDEX(報告入力!$CC$7:$CC$696,$B38),"")</f>
        <v/>
      </c>
      <c r="AG38" s="33" t="n">
        <f aca="false">IF($B38="",0,IF(OR(C38="未受領",C38="報告なし"),0,1))</f>
        <v>1</v>
      </c>
      <c r="AH38" s="33" t="n">
        <f aca="false">IF(OR(D38="問題なし",D38="要確認"),1,0)</f>
        <v>0</v>
      </c>
      <c r="AI38" s="33" t="str">
        <f aca="false">IF(C38="未受領",MAX(AI$6:AI37)+1,"")</f>
        <v/>
      </c>
      <c r="AJ38" s="33" t="str">
        <f aca="false">IF(D38="要確認",MAX(AJ$6:AJ37)+1,"")</f>
        <v/>
      </c>
      <c r="AK38" s="32" t="str">
        <f aca="false">IF(D38="要確認",INDEX(報告入力!$CD$7:$CD$696,$B38),"")</f>
        <v/>
      </c>
    </row>
    <row r="39" customFormat="false" ht="15" hidden="false" customHeight="false" outlineLevel="0" collapsed="false">
      <c r="A39" s="41" t="str">
        <f aca="false">設定!B93</f>
        <v>都市再生機構</v>
      </c>
      <c r="B39" s="33" t="n">
        <f aca="false">IFERROR(MATCH(ホーム!$C$4&amp;"|"&amp;A39,報告入力!$CG$7:$CG$696,0),"")</f>
        <v>355</v>
      </c>
      <c r="C39" s="10" t="str">
        <f aca="false">IF($B39="","",INDEX(報告入力!$C$7:$C$696,$B39))</f>
        <v>受領済</v>
      </c>
      <c r="D39" s="10" t="str">
        <f aca="false">IF($B39="","",INDEX(報告入力!$D$7:$D$696,$B39))</f>
        <v>標報未入力</v>
      </c>
      <c r="E39" s="24" t="str">
        <f aca="false">IF($B39="","",INDEX(報告入力!$E$7:$E$696,$B39))</f>
        <v>前月同額</v>
      </c>
      <c r="F39" s="42" t="n">
        <f aca="false">IF($B39="","",INDEX(報告入力!$I$7:$I$696,$B39))</f>
        <v>0</v>
      </c>
      <c r="G39" s="42" t="n">
        <f aca="false">IF($B39="","",INDEX(報告入力!$J$7:$J$696,$B39))</f>
        <v>0</v>
      </c>
      <c r="H39" s="42" t="n">
        <f aca="false">IF($B39="","",INDEX(報告入力!$K$7:$K$696,$B39))</f>
        <v>0</v>
      </c>
      <c r="I39" s="42" t="n">
        <f aca="false">IF($AG39=1,INDEX(報告入力!$BN$7:$BN$696,$B39),"")</f>
        <v>49500</v>
      </c>
      <c r="J39" s="42" t="str">
        <f aca="false">IF($AH39=1,INDEX(報告入力!$BF$7:$BF$696,$B39),"")</f>
        <v/>
      </c>
      <c r="K39" s="43" t="str">
        <f aca="false">IF($AH39=1,INDEX(報告入力!$BV$7:$BV$696,$B39),"")</f>
        <v/>
      </c>
      <c r="L39" s="42" t="n">
        <f aca="false">IF($AG39=1,INDEX(報告入力!$BO$7:$BO$696,$B39),"")</f>
        <v>49543</v>
      </c>
      <c r="M39" s="42" t="str">
        <f aca="false">IF($AH39=1,INDEX(報告入力!$BG$7:$BG$696,$B39),"")</f>
        <v/>
      </c>
      <c r="N39" s="43" t="str">
        <f aca="false">IF($AH39=1,INDEX(報告入力!$BW$7:$BW$696,$B39),"")</f>
        <v/>
      </c>
      <c r="O39" s="42" t="n">
        <f aca="false">IF($AG39=1,INDEX(報告入力!$BP$7:$BP$696,$B39),"")</f>
        <v>25930</v>
      </c>
      <c r="P39" s="42" t="str">
        <f aca="false">IF($AH39=1,INDEX(報告入力!$BH$7:$BH$696,$B39),"")</f>
        <v/>
      </c>
      <c r="Q39" s="43" t="str">
        <f aca="false">IF($AH39=1,INDEX(報告入力!$BX$7:$BX$696,$B39),"")</f>
        <v/>
      </c>
      <c r="R39" s="42" t="n">
        <f aca="false">IF($AG39=1,INDEX(報告入力!$BQ$7:$BQ$696,$B39),"")</f>
        <v>25955</v>
      </c>
      <c r="S39" s="42" t="str">
        <f aca="false">IF($AH39=1,INDEX(報告入力!$BI$7:$BI$696,$B39),"")</f>
        <v/>
      </c>
      <c r="T39" s="43" t="str">
        <f aca="false">IF($AH39=1,INDEX(報告入力!$BY$7:$BY$696,$B39),"")</f>
        <v/>
      </c>
      <c r="U39" s="42" t="n">
        <f aca="false">IF($AG39=1,INDEX(報告入力!$BR$7:$BR$696,$B39),"")</f>
        <v>0</v>
      </c>
      <c r="V39" s="42" t="str">
        <f aca="false">IF($AH39=1,INDEX(報告入力!$BJ$7:$BJ$696,$B39),"")</f>
        <v/>
      </c>
      <c r="W39" s="43" t="str">
        <f aca="false">IF($AH39=1,INDEX(報告入力!$BZ$7:$BZ$696,$B39),"")</f>
        <v/>
      </c>
      <c r="X39" s="42" t="n">
        <f aca="false">IF($AG39=1,INDEX(報告入力!$BS$7:$BS$696,$B39),"")</f>
        <v>0</v>
      </c>
      <c r="Y39" s="42" t="str">
        <f aca="false">IF($AH39=1,INDEX(報告入力!$BK$7:$BK$696,$B39),"")</f>
        <v/>
      </c>
      <c r="Z39" s="43" t="str">
        <f aca="false">IF($AH39=1,INDEX(報告入力!$CA$7:$CA$696,$B39),"")</f>
        <v/>
      </c>
      <c r="AA39" s="42" t="n">
        <f aca="false">IF($AG39=1,INDEX(報告入力!$BT$7:$BT$696,$B39),"")</f>
        <v>575</v>
      </c>
      <c r="AB39" s="42" t="str">
        <f aca="false">IF($AH39=1,INDEX(報告入力!$BL$7:$BL$696,$B39),"")</f>
        <v/>
      </c>
      <c r="AC39" s="43" t="str">
        <f aca="false">IF($AH39=1,INDEX(報告入力!$CB$7:$CB$696,$B39),"")</f>
        <v/>
      </c>
      <c r="AD39" s="42" t="n">
        <f aca="false">IF($AG39=1,INDEX(報告入力!$BU$7:$BU$696,$B39),"")</f>
        <v>575</v>
      </c>
      <c r="AE39" s="42" t="str">
        <f aca="false">IF($AH39=1,INDEX(報告入力!$BM$7:$BM$696,$B39),"")</f>
        <v/>
      </c>
      <c r="AF39" s="43" t="str">
        <f aca="false">IF($AH39=1,INDEX(報告入力!$CC$7:$CC$696,$B39),"")</f>
        <v/>
      </c>
      <c r="AG39" s="33" t="n">
        <f aca="false">IF($B39="",0,IF(OR(C39="未受領",C39="報告なし"),0,1))</f>
        <v>1</v>
      </c>
      <c r="AH39" s="33" t="n">
        <f aca="false">IF(OR(D39="問題なし",D39="要確認"),1,0)</f>
        <v>0</v>
      </c>
      <c r="AI39" s="33" t="str">
        <f aca="false">IF(C39="未受領",MAX(AI$6:AI38)+1,"")</f>
        <v/>
      </c>
      <c r="AJ39" s="33" t="str">
        <f aca="false">IF(D39="要確認",MAX(AJ$6:AJ38)+1,"")</f>
        <v/>
      </c>
      <c r="AK39" s="32" t="str">
        <f aca="false">IF(D39="要確認",INDEX(報告入力!$CD$7:$CD$696,$B39),"")</f>
        <v/>
      </c>
    </row>
    <row r="40" customFormat="false" ht="15" hidden="false" customHeight="false" outlineLevel="0" collapsed="false">
      <c r="A40" s="41" t="str">
        <f aca="false">設定!B94</f>
        <v>広島市立大学</v>
      </c>
      <c r="B40" s="33" t="n">
        <f aca="false">IFERROR(MATCH(ホーム!$C$4&amp;"|"&amp;A40,報告入力!$CG$7:$CG$696,0),"")</f>
        <v>356</v>
      </c>
      <c r="C40" s="10" t="str">
        <f aca="false">IF($B40="","",INDEX(報告入力!$C$7:$C$696,$B40))</f>
        <v>未受領</v>
      </c>
      <c r="D40" s="10" t="str">
        <f aca="false">IF($B40="","",INDEX(報告入力!$D$7:$D$696,$B40))</f>
        <v>―</v>
      </c>
      <c r="E40" s="24" t="str">
        <f aca="false">IF($B40="","",INDEX(報告入力!$E$7:$E$696,$B40))</f>
        <v>―</v>
      </c>
      <c r="F40" s="42" t="n">
        <f aca="false">IF($B40="","",INDEX(報告入力!$I$7:$I$696,$B40))</f>
        <v>0</v>
      </c>
      <c r="G40" s="42" t="n">
        <f aca="false">IF($B40="","",INDEX(報告入力!$J$7:$J$696,$B40))</f>
        <v>0</v>
      </c>
      <c r="H40" s="42" t="n">
        <f aca="false">IF($B40="","",INDEX(報告入力!$K$7:$K$696,$B40))</f>
        <v>0</v>
      </c>
      <c r="I40" s="42" t="str">
        <f aca="false">IF($AG40=1,INDEX(報告入力!$BN$7:$BN$696,$B40),"")</f>
        <v/>
      </c>
      <c r="J40" s="42" t="str">
        <f aca="false">IF($AH40=1,INDEX(報告入力!$BF$7:$BF$696,$B40),"")</f>
        <v/>
      </c>
      <c r="K40" s="43" t="str">
        <f aca="false">IF($AH40=1,INDEX(報告入力!$BV$7:$BV$696,$B40),"")</f>
        <v/>
      </c>
      <c r="L40" s="42" t="str">
        <f aca="false">IF($AG40=1,INDEX(報告入力!$BO$7:$BO$696,$B40),"")</f>
        <v/>
      </c>
      <c r="M40" s="42" t="str">
        <f aca="false">IF($AH40=1,INDEX(報告入力!$BG$7:$BG$696,$B40),"")</f>
        <v/>
      </c>
      <c r="N40" s="43" t="str">
        <f aca="false">IF($AH40=1,INDEX(報告入力!$BW$7:$BW$696,$B40),"")</f>
        <v/>
      </c>
      <c r="O40" s="42" t="str">
        <f aca="false">IF($AG40=1,INDEX(報告入力!$BP$7:$BP$696,$B40),"")</f>
        <v/>
      </c>
      <c r="P40" s="42" t="str">
        <f aca="false">IF($AH40=1,INDEX(報告入力!$BH$7:$BH$696,$B40),"")</f>
        <v/>
      </c>
      <c r="Q40" s="43" t="str">
        <f aca="false">IF($AH40=1,INDEX(報告入力!$BX$7:$BX$696,$B40),"")</f>
        <v/>
      </c>
      <c r="R40" s="42" t="str">
        <f aca="false">IF($AG40=1,INDEX(報告入力!$BQ$7:$BQ$696,$B40),"")</f>
        <v/>
      </c>
      <c r="S40" s="42" t="str">
        <f aca="false">IF($AH40=1,INDEX(報告入力!$BI$7:$BI$696,$B40),"")</f>
        <v/>
      </c>
      <c r="T40" s="43" t="str">
        <f aca="false">IF($AH40=1,INDEX(報告入力!$BY$7:$BY$696,$B40),"")</f>
        <v/>
      </c>
      <c r="U40" s="42" t="str">
        <f aca="false">IF($AG40=1,INDEX(報告入力!$BR$7:$BR$696,$B40),"")</f>
        <v/>
      </c>
      <c r="V40" s="42" t="str">
        <f aca="false">IF($AH40=1,INDEX(報告入力!$BJ$7:$BJ$696,$B40),"")</f>
        <v/>
      </c>
      <c r="W40" s="43" t="str">
        <f aca="false">IF($AH40=1,INDEX(報告入力!$BZ$7:$BZ$696,$B40),"")</f>
        <v/>
      </c>
      <c r="X40" s="42" t="str">
        <f aca="false">IF($AG40=1,INDEX(報告入力!$BS$7:$BS$696,$B40),"")</f>
        <v/>
      </c>
      <c r="Y40" s="42" t="str">
        <f aca="false">IF($AH40=1,INDEX(報告入力!$BK$7:$BK$696,$B40),"")</f>
        <v/>
      </c>
      <c r="Z40" s="43" t="str">
        <f aca="false">IF($AH40=1,INDEX(報告入力!$CA$7:$CA$696,$B40),"")</f>
        <v/>
      </c>
      <c r="AA40" s="42" t="str">
        <f aca="false">IF($AG40=1,INDEX(報告入力!$BT$7:$BT$696,$B40),"")</f>
        <v/>
      </c>
      <c r="AB40" s="42" t="str">
        <f aca="false">IF($AH40=1,INDEX(報告入力!$BL$7:$BL$696,$B40),"")</f>
        <v/>
      </c>
      <c r="AC40" s="43" t="str">
        <f aca="false">IF($AH40=1,INDEX(報告入力!$CB$7:$CB$696,$B40),"")</f>
        <v/>
      </c>
      <c r="AD40" s="42" t="str">
        <f aca="false">IF($AG40=1,INDEX(報告入力!$BU$7:$BU$696,$B40),"")</f>
        <v/>
      </c>
      <c r="AE40" s="42" t="str">
        <f aca="false">IF($AH40=1,INDEX(報告入力!$BM$7:$BM$696,$B40),"")</f>
        <v/>
      </c>
      <c r="AF40" s="43" t="str">
        <f aca="false">IF($AH40=1,INDEX(報告入力!$CC$7:$CC$696,$B40),"")</f>
        <v/>
      </c>
      <c r="AG40" s="33" t="n">
        <f aca="false">IF($B40="",0,IF(OR(C40="未受領",C40="報告なし"),0,1))</f>
        <v>0</v>
      </c>
      <c r="AH40" s="33" t="n">
        <f aca="false">IF(OR(D40="問題なし",D40="要確認"),1,0)</f>
        <v>0</v>
      </c>
      <c r="AI40" s="33" t="n">
        <f aca="false">IF(C40="未受領",MAX(AI$6:AI39)+1,"")</f>
        <v>28</v>
      </c>
      <c r="AJ40" s="33" t="str">
        <f aca="false">IF(D40="要確認",MAX(AJ$6:AJ39)+1,"")</f>
        <v/>
      </c>
      <c r="AK40" s="32" t="str">
        <f aca="false">IF(D40="要確認",INDEX(報告入力!$CD$7:$CD$696,$B40),"")</f>
        <v/>
      </c>
    </row>
    <row r="41" customFormat="false" ht="15" hidden="false" customHeight="false" outlineLevel="0" collapsed="false">
      <c r="A41" s="41" t="str">
        <f aca="false">設定!B95</f>
        <v>社会福祉協議会</v>
      </c>
      <c r="B41" s="33" t="n">
        <f aca="false">IFERROR(MATCH(ホーム!$C$4&amp;"|"&amp;A41,報告入力!$CG$7:$CG$696,0),"")</f>
        <v>357</v>
      </c>
      <c r="C41" s="10" t="str">
        <f aca="false">IF($B41="","",INDEX(報告入力!$C$7:$C$696,$B41))</f>
        <v>未受領</v>
      </c>
      <c r="D41" s="10" t="str">
        <f aca="false">IF($B41="","",INDEX(報告入力!$D$7:$D$696,$B41))</f>
        <v>―</v>
      </c>
      <c r="E41" s="24" t="str">
        <f aca="false">IF($B41="","",INDEX(報告入力!$E$7:$E$696,$B41))</f>
        <v>―</v>
      </c>
      <c r="F41" s="42" t="n">
        <f aca="false">IF($B41="","",INDEX(報告入力!$I$7:$I$696,$B41))</f>
        <v>0</v>
      </c>
      <c r="G41" s="42" t="n">
        <f aca="false">IF($B41="","",INDEX(報告入力!$J$7:$J$696,$B41))</f>
        <v>0</v>
      </c>
      <c r="H41" s="42" t="n">
        <f aca="false">IF($B41="","",INDEX(報告入力!$K$7:$K$696,$B41))</f>
        <v>0</v>
      </c>
      <c r="I41" s="42" t="str">
        <f aca="false">IF($AG41=1,INDEX(報告入力!$BN$7:$BN$696,$B41),"")</f>
        <v/>
      </c>
      <c r="J41" s="42" t="str">
        <f aca="false">IF($AH41=1,INDEX(報告入力!$BF$7:$BF$696,$B41),"")</f>
        <v/>
      </c>
      <c r="K41" s="43" t="str">
        <f aca="false">IF($AH41=1,INDEX(報告入力!$BV$7:$BV$696,$B41),"")</f>
        <v/>
      </c>
      <c r="L41" s="42" t="str">
        <f aca="false">IF($AG41=1,INDEX(報告入力!$BO$7:$BO$696,$B41),"")</f>
        <v/>
      </c>
      <c r="M41" s="42" t="str">
        <f aca="false">IF($AH41=1,INDEX(報告入力!$BG$7:$BG$696,$B41),"")</f>
        <v/>
      </c>
      <c r="N41" s="43" t="str">
        <f aca="false">IF($AH41=1,INDEX(報告入力!$BW$7:$BW$696,$B41),"")</f>
        <v/>
      </c>
      <c r="O41" s="42" t="str">
        <f aca="false">IF($AG41=1,INDEX(報告入力!$BP$7:$BP$696,$B41),"")</f>
        <v/>
      </c>
      <c r="P41" s="42" t="str">
        <f aca="false">IF($AH41=1,INDEX(報告入力!$BH$7:$BH$696,$B41),"")</f>
        <v/>
      </c>
      <c r="Q41" s="43" t="str">
        <f aca="false">IF($AH41=1,INDEX(報告入力!$BX$7:$BX$696,$B41),"")</f>
        <v/>
      </c>
      <c r="R41" s="42" t="str">
        <f aca="false">IF($AG41=1,INDEX(報告入力!$BQ$7:$BQ$696,$B41),"")</f>
        <v/>
      </c>
      <c r="S41" s="42" t="str">
        <f aca="false">IF($AH41=1,INDEX(報告入力!$BI$7:$BI$696,$B41),"")</f>
        <v/>
      </c>
      <c r="T41" s="43" t="str">
        <f aca="false">IF($AH41=1,INDEX(報告入力!$BY$7:$BY$696,$B41),"")</f>
        <v/>
      </c>
      <c r="U41" s="42" t="str">
        <f aca="false">IF($AG41=1,INDEX(報告入力!$BR$7:$BR$696,$B41),"")</f>
        <v/>
      </c>
      <c r="V41" s="42" t="str">
        <f aca="false">IF($AH41=1,INDEX(報告入力!$BJ$7:$BJ$696,$B41),"")</f>
        <v/>
      </c>
      <c r="W41" s="43" t="str">
        <f aca="false">IF($AH41=1,INDEX(報告入力!$BZ$7:$BZ$696,$B41),"")</f>
        <v/>
      </c>
      <c r="X41" s="42" t="str">
        <f aca="false">IF($AG41=1,INDEX(報告入力!$BS$7:$BS$696,$B41),"")</f>
        <v/>
      </c>
      <c r="Y41" s="42" t="str">
        <f aca="false">IF($AH41=1,INDEX(報告入力!$BK$7:$BK$696,$B41),"")</f>
        <v/>
      </c>
      <c r="Z41" s="43" t="str">
        <f aca="false">IF($AH41=1,INDEX(報告入力!$CA$7:$CA$696,$B41),"")</f>
        <v/>
      </c>
      <c r="AA41" s="42" t="str">
        <f aca="false">IF($AG41=1,INDEX(報告入力!$BT$7:$BT$696,$B41),"")</f>
        <v/>
      </c>
      <c r="AB41" s="42" t="str">
        <f aca="false">IF($AH41=1,INDEX(報告入力!$BL$7:$BL$696,$B41),"")</f>
        <v/>
      </c>
      <c r="AC41" s="43" t="str">
        <f aca="false">IF($AH41=1,INDEX(報告入力!$CB$7:$CB$696,$B41),"")</f>
        <v/>
      </c>
      <c r="AD41" s="42" t="str">
        <f aca="false">IF($AG41=1,INDEX(報告入力!$BU$7:$BU$696,$B41),"")</f>
        <v/>
      </c>
      <c r="AE41" s="42" t="str">
        <f aca="false">IF($AH41=1,INDEX(報告入力!$BM$7:$BM$696,$B41),"")</f>
        <v/>
      </c>
      <c r="AF41" s="43" t="str">
        <f aca="false">IF($AH41=1,INDEX(報告入力!$CC$7:$CC$696,$B41),"")</f>
        <v/>
      </c>
      <c r="AG41" s="33" t="n">
        <f aca="false">IF($B41="",0,IF(OR(C41="未受領",C41="報告なし"),0,1))</f>
        <v>0</v>
      </c>
      <c r="AH41" s="33" t="n">
        <f aca="false">IF(OR(D41="問題なし",D41="要確認"),1,0)</f>
        <v>0</v>
      </c>
      <c r="AI41" s="33" t="n">
        <f aca="false">IF(C41="未受領",MAX(AI$6:AI40)+1,"")</f>
        <v>29</v>
      </c>
      <c r="AJ41" s="33" t="str">
        <f aca="false">IF(D41="要確認",MAX(AJ$6:AJ40)+1,"")</f>
        <v/>
      </c>
      <c r="AK41" s="32" t="str">
        <f aca="false">IF(D41="要確認",INDEX(報告入力!$CD$7:$CD$696,$B41),"")</f>
        <v/>
      </c>
    </row>
    <row r="42" customFormat="false" ht="15" hidden="false" customHeight="false" outlineLevel="0" collapsed="false">
      <c r="A42" s="41" t="str">
        <f aca="false">設定!B96</f>
        <v>市立病院機構</v>
      </c>
      <c r="B42" s="33" t="n">
        <f aca="false">IFERROR(MATCH(ホーム!$C$4&amp;"|"&amp;A42,報告入力!$CG$7:$CG$696,0),"")</f>
        <v>358</v>
      </c>
      <c r="C42" s="10" t="str">
        <f aca="false">IF($B42="","",INDEX(報告入力!$C$7:$C$696,$B42))</f>
        <v>未受領</v>
      </c>
      <c r="D42" s="10" t="str">
        <f aca="false">IF($B42="","",INDEX(報告入力!$D$7:$D$696,$B42))</f>
        <v>―</v>
      </c>
      <c r="E42" s="24" t="str">
        <f aca="false">IF($B42="","",INDEX(報告入力!$E$7:$E$696,$B42))</f>
        <v>―</v>
      </c>
      <c r="F42" s="42" t="n">
        <f aca="false">IF($B42="","",INDEX(報告入力!$I$7:$I$696,$B42))</f>
        <v>0</v>
      </c>
      <c r="G42" s="42" t="n">
        <f aca="false">IF($B42="","",INDEX(報告入力!$J$7:$J$696,$B42))</f>
        <v>0</v>
      </c>
      <c r="H42" s="42" t="n">
        <f aca="false">IF($B42="","",INDEX(報告入力!$K$7:$K$696,$B42))</f>
        <v>0</v>
      </c>
      <c r="I42" s="42" t="str">
        <f aca="false">IF($AG42=1,INDEX(報告入力!$BN$7:$BN$696,$B42),"")</f>
        <v/>
      </c>
      <c r="J42" s="42" t="str">
        <f aca="false">IF($AH42=1,INDEX(報告入力!$BF$7:$BF$696,$B42),"")</f>
        <v/>
      </c>
      <c r="K42" s="43" t="str">
        <f aca="false">IF($AH42=1,INDEX(報告入力!$BV$7:$BV$696,$B42),"")</f>
        <v/>
      </c>
      <c r="L42" s="42" t="str">
        <f aca="false">IF($AG42=1,INDEX(報告入力!$BO$7:$BO$696,$B42),"")</f>
        <v/>
      </c>
      <c r="M42" s="42" t="str">
        <f aca="false">IF($AH42=1,INDEX(報告入力!$BG$7:$BG$696,$B42),"")</f>
        <v/>
      </c>
      <c r="N42" s="43" t="str">
        <f aca="false">IF($AH42=1,INDEX(報告入力!$BW$7:$BW$696,$B42),"")</f>
        <v/>
      </c>
      <c r="O42" s="42" t="str">
        <f aca="false">IF($AG42=1,INDEX(報告入力!$BP$7:$BP$696,$B42),"")</f>
        <v/>
      </c>
      <c r="P42" s="42" t="str">
        <f aca="false">IF($AH42=1,INDEX(報告入力!$BH$7:$BH$696,$B42),"")</f>
        <v/>
      </c>
      <c r="Q42" s="43" t="str">
        <f aca="false">IF($AH42=1,INDEX(報告入力!$BX$7:$BX$696,$B42),"")</f>
        <v/>
      </c>
      <c r="R42" s="42" t="str">
        <f aca="false">IF($AG42=1,INDEX(報告入力!$BQ$7:$BQ$696,$B42),"")</f>
        <v/>
      </c>
      <c r="S42" s="42" t="str">
        <f aca="false">IF($AH42=1,INDEX(報告入力!$BI$7:$BI$696,$B42),"")</f>
        <v/>
      </c>
      <c r="T42" s="43" t="str">
        <f aca="false">IF($AH42=1,INDEX(報告入力!$BY$7:$BY$696,$B42),"")</f>
        <v/>
      </c>
      <c r="U42" s="42" t="str">
        <f aca="false">IF($AG42=1,INDEX(報告入力!$BR$7:$BR$696,$B42),"")</f>
        <v/>
      </c>
      <c r="V42" s="42" t="str">
        <f aca="false">IF($AH42=1,INDEX(報告入力!$BJ$7:$BJ$696,$B42),"")</f>
        <v/>
      </c>
      <c r="W42" s="43" t="str">
        <f aca="false">IF($AH42=1,INDEX(報告入力!$BZ$7:$BZ$696,$B42),"")</f>
        <v/>
      </c>
      <c r="X42" s="42" t="str">
        <f aca="false">IF($AG42=1,INDEX(報告入力!$BS$7:$BS$696,$B42),"")</f>
        <v/>
      </c>
      <c r="Y42" s="42" t="str">
        <f aca="false">IF($AH42=1,INDEX(報告入力!$BK$7:$BK$696,$B42),"")</f>
        <v/>
      </c>
      <c r="Z42" s="43" t="str">
        <f aca="false">IF($AH42=1,INDEX(報告入力!$CA$7:$CA$696,$B42),"")</f>
        <v/>
      </c>
      <c r="AA42" s="42" t="str">
        <f aca="false">IF($AG42=1,INDEX(報告入力!$BT$7:$BT$696,$B42),"")</f>
        <v/>
      </c>
      <c r="AB42" s="42" t="str">
        <f aca="false">IF($AH42=1,INDEX(報告入力!$BL$7:$BL$696,$B42),"")</f>
        <v/>
      </c>
      <c r="AC42" s="43" t="str">
        <f aca="false">IF($AH42=1,INDEX(報告入力!$CB$7:$CB$696,$B42),"")</f>
        <v/>
      </c>
      <c r="AD42" s="42" t="str">
        <f aca="false">IF($AG42=1,INDEX(報告入力!$BU$7:$BU$696,$B42),"")</f>
        <v/>
      </c>
      <c r="AE42" s="42" t="str">
        <f aca="false">IF($AH42=1,INDEX(報告入力!$BM$7:$BM$696,$B42),"")</f>
        <v/>
      </c>
      <c r="AF42" s="43" t="str">
        <f aca="false">IF($AH42=1,INDEX(報告入力!$CC$7:$CC$696,$B42),"")</f>
        <v/>
      </c>
      <c r="AG42" s="33" t="n">
        <f aca="false">IF($B42="",0,IF(OR(C42="未受領",C42="報告なし"),0,1))</f>
        <v>0</v>
      </c>
      <c r="AH42" s="33" t="n">
        <f aca="false">IF(OR(D42="問題なし",D42="要確認"),1,0)</f>
        <v>0</v>
      </c>
      <c r="AI42" s="33" t="n">
        <f aca="false">IF(C42="未受領",MAX(AI$6:AI41)+1,"")</f>
        <v>30</v>
      </c>
      <c r="AJ42" s="33" t="str">
        <f aca="false">IF(D42="要確認",MAX(AJ$6:AJ41)+1,"")</f>
        <v/>
      </c>
      <c r="AK42" s="32" t="str">
        <f aca="false">IF(D42="要確認",INDEX(報告入力!$CD$7:$CD$696,$B42),"")</f>
        <v/>
      </c>
    </row>
    <row r="43" customFormat="false" ht="15" hidden="false" customHeight="false" outlineLevel="0" collapsed="false">
      <c r="A43" s="41" t="str">
        <f aca="false">設定!B97</f>
        <v>職員共済組合</v>
      </c>
      <c r="B43" s="33" t="n">
        <f aca="false">IFERROR(MATCH(ホーム!$C$4&amp;"|"&amp;A43,報告入力!$CG$7:$CG$696,0),"")</f>
        <v>359</v>
      </c>
      <c r="C43" s="10" t="str">
        <f aca="false">IF($B43="","",INDEX(報告入力!$C$7:$C$696,$B43))</f>
        <v>未受領</v>
      </c>
      <c r="D43" s="10" t="str">
        <f aca="false">IF($B43="","",INDEX(報告入力!$D$7:$D$696,$B43))</f>
        <v>―</v>
      </c>
      <c r="E43" s="24" t="str">
        <f aca="false">IF($B43="","",INDEX(報告入力!$E$7:$E$696,$B43))</f>
        <v>―</v>
      </c>
      <c r="F43" s="42" t="n">
        <f aca="false">IF($B43="","",INDEX(報告入力!$I$7:$I$696,$B43))</f>
        <v>0</v>
      </c>
      <c r="G43" s="42" t="n">
        <f aca="false">IF($B43="","",INDEX(報告入力!$J$7:$J$696,$B43))</f>
        <v>0</v>
      </c>
      <c r="H43" s="42" t="n">
        <f aca="false">IF($B43="","",INDEX(報告入力!$K$7:$K$696,$B43))</f>
        <v>0</v>
      </c>
      <c r="I43" s="42" t="str">
        <f aca="false">IF($AG43=1,INDEX(報告入力!$BN$7:$BN$696,$B43),"")</f>
        <v/>
      </c>
      <c r="J43" s="42" t="str">
        <f aca="false">IF($AH43=1,INDEX(報告入力!$BF$7:$BF$696,$B43),"")</f>
        <v/>
      </c>
      <c r="K43" s="43" t="str">
        <f aca="false">IF($AH43=1,INDEX(報告入力!$BV$7:$BV$696,$B43),"")</f>
        <v/>
      </c>
      <c r="L43" s="42" t="str">
        <f aca="false">IF($AG43=1,INDEX(報告入力!$BO$7:$BO$696,$B43),"")</f>
        <v/>
      </c>
      <c r="M43" s="42" t="str">
        <f aca="false">IF($AH43=1,INDEX(報告入力!$BG$7:$BG$696,$B43),"")</f>
        <v/>
      </c>
      <c r="N43" s="43" t="str">
        <f aca="false">IF($AH43=1,INDEX(報告入力!$BW$7:$BW$696,$B43),"")</f>
        <v/>
      </c>
      <c r="O43" s="42" t="str">
        <f aca="false">IF($AG43=1,INDEX(報告入力!$BP$7:$BP$696,$B43),"")</f>
        <v/>
      </c>
      <c r="P43" s="42" t="str">
        <f aca="false">IF($AH43=1,INDEX(報告入力!$BH$7:$BH$696,$B43),"")</f>
        <v/>
      </c>
      <c r="Q43" s="43" t="str">
        <f aca="false">IF($AH43=1,INDEX(報告入力!$BX$7:$BX$696,$B43),"")</f>
        <v/>
      </c>
      <c r="R43" s="42" t="str">
        <f aca="false">IF($AG43=1,INDEX(報告入力!$BQ$7:$BQ$696,$B43),"")</f>
        <v/>
      </c>
      <c r="S43" s="42" t="str">
        <f aca="false">IF($AH43=1,INDEX(報告入力!$BI$7:$BI$696,$B43),"")</f>
        <v/>
      </c>
      <c r="T43" s="43" t="str">
        <f aca="false">IF($AH43=1,INDEX(報告入力!$BY$7:$BY$696,$B43),"")</f>
        <v/>
      </c>
      <c r="U43" s="42" t="str">
        <f aca="false">IF($AG43=1,INDEX(報告入力!$BR$7:$BR$696,$B43),"")</f>
        <v/>
      </c>
      <c r="V43" s="42" t="str">
        <f aca="false">IF($AH43=1,INDEX(報告入力!$BJ$7:$BJ$696,$B43),"")</f>
        <v/>
      </c>
      <c r="W43" s="43" t="str">
        <f aca="false">IF($AH43=1,INDEX(報告入力!$BZ$7:$BZ$696,$B43),"")</f>
        <v/>
      </c>
      <c r="X43" s="42" t="str">
        <f aca="false">IF($AG43=1,INDEX(報告入力!$BS$7:$BS$696,$B43),"")</f>
        <v/>
      </c>
      <c r="Y43" s="42" t="str">
        <f aca="false">IF($AH43=1,INDEX(報告入力!$BK$7:$BK$696,$B43),"")</f>
        <v/>
      </c>
      <c r="Z43" s="43" t="str">
        <f aca="false">IF($AH43=1,INDEX(報告入力!$CA$7:$CA$696,$B43),"")</f>
        <v/>
      </c>
      <c r="AA43" s="42" t="str">
        <f aca="false">IF($AG43=1,INDEX(報告入力!$BT$7:$BT$696,$B43),"")</f>
        <v/>
      </c>
      <c r="AB43" s="42" t="str">
        <f aca="false">IF($AH43=1,INDEX(報告入力!$BL$7:$BL$696,$B43),"")</f>
        <v/>
      </c>
      <c r="AC43" s="43" t="str">
        <f aca="false">IF($AH43=1,INDEX(報告入力!$CB$7:$CB$696,$B43),"")</f>
        <v/>
      </c>
      <c r="AD43" s="42" t="str">
        <f aca="false">IF($AG43=1,INDEX(報告入力!$BU$7:$BU$696,$B43),"")</f>
        <v/>
      </c>
      <c r="AE43" s="42" t="str">
        <f aca="false">IF($AH43=1,INDEX(報告入力!$BM$7:$BM$696,$B43),"")</f>
        <v/>
      </c>
      <c r="AF43" s="43" t="str">
        <f aca="false">IF($AH43=1,INDEX(報告入力!$CC$7:$CC$696,$B43),"")</f>
        <v/>
      </c>
      <c r="AG43" s="33" t="n">
        <f aca="false">IF($B43="",0,IF(OR(C43="未受領",C43="報告なし"),0,1))</f>
        <v>0</v>
      </c>
      <c r="AH43" s="33" t="n">
        <f aca="false">IF(OR(D43="問題なし",D43="要確認"),1,0)</f>
        <v>0</v>
      </c>
      <c r="AI43" s="33" t="n">
        <f aca="false">IF(C43="未受領",MAX(AI$6:AI42)+1,"")</f>
        <v>31</v>
      </c>
      <c r="AJ43" s="33" t="str">
        <f aca="false">IF(D43="要確認",MAX(AJ$6:AJ42)+1,"")</f>
        <v/>
      </c>
      <c r="AK43" s="32" t="str">
        <f aca="false">IF(D43="要確認",INDEX(報告入力!$CD$7:$CD$696,$B43),"")</f>
        <v/>
      </c>
    </row>
    <row r="44" customFormat="false" ht="26.85" hidden="false" customHeight="false" outlineLevel="0" collapsed="false">
      <c r="A44" s="41" t="str">
        <f aca="false">設定!B98</f>
        <v>地方公共団体
情報システム機構</v>
      </c>
      <c r="B44" s="33" t="n">
        <f aca="false">IFERROR(MATCH(ホーム!$C$4&amp;"|"&amp;A44,報告入力!$CG$7:$CG$696,0),"")</f>
        <v>360</v>
      </c>
      <c r="C44" s="10" t="str">
        <f aca="false">IF($B44="","",INDEX(報告入力!$C$7:$C$696,$B44))</f>
        <v>報告なし</v>
      </c>
      <c r="D44" s="10" t="str">
        <f aca="false">IF($B44="","",INDEX(報告入力!$D$7:$D$696,$B44))</f>
        <v>―</v>
      </c>
      <c r="E44" s="24" t="str">
        <f aca="false">IF($B44="","",INDEX(報告入力!$E$7:$E$696,$B44))</f>
        <v>―</v>
      </c>
      <c r="F44" s="42" t="n">
        <f aca="false">IF($B44="","",INDEX(報告入力!$I$7:$I$696,$B44))</f>
        <v>0</v>
      </c>
      <c r="G44" s="42" t="n">
        <f aca="false">IF($B44="","",INDEX(報告入力!$J$7:$J$696,$B44))</f>
        <v>0</v>
      </c>
      <c r="H44" s="42" t="n">
        <f aca="false">IF($B44="","",INDEX(報告入力!$K$7:$K$696,$B44))</f>
        <v>0</v>
      </c>
      <c r="I44" s="42" t="str">
        <f aca="false">IF($AG44=1,INDEX(報告入力!$BN$7:$BN$696,$B44),"")</f>
        <v/>
      </c>
      <c r="J44" s="42" t="str">
        <f aca="false">IF($AH44=1,INDEX(報告入力!$BF$7:$BF$696,$B44),"")</f>
        <v/>
      </c>
      <c r="K44" s="43" t="str">
        <f aca="false">IF($AH44=1,INDEX(報告入力!$BV$7:$BV$696,$B44),"")</f>
        <v/>
      </c>
      <c r="L44" s="42" t="str">
        <f aca="false">IF($AG44=1,INDEX(報告入力!$BO$7:$BO$696,$B44),"")</f>
        <v/>
      </c>
      <c r="M44" s="42" t="str">
        <f aca="false">IF($AH44=1,INDEX(報告入力!$BG$7:$BG$696,$B44),"")</f>
        <v/>
      </c>
      <c r="N44" s="43" t="str">
        <f aca="false">IF($AH44=1,INDEX(報告入力!$BW$7:$BW$696,$B44),"")</f>
        <v/>
      </c>
      <c r="O44" s="42" t="str">
        <f aca="false">IF($AG44=1,INDEX(報告入力!$BP$7:$BP$696,$B44),"")</f>
        <v/>
      </c>
      <c r="P44" s="42" t="str">
        <f aca="false">IF($AH44=1,INDEX(報告入力!$BH$7:$BH$696,$B44),"")</f>
        <v/>
      </c>
      <c r="Q44" s="43" t="str">
        <f aca="false">IF($AH44=1,INDEX(報告入力!$BX$7:$BX$696,$B44),"")</f>
        <v/>
      </c>
      <c r="R44" s="42" t="str">
        <f aca="false">IF($AG44=1,INDEX(報告入力!$BQ$7:$BQ$696,$B44),"")</f>
        <v/>
      </c>
      <c r="S44" s="42" t="str">
        <f aca="false">IF($AH44=1,INDEX(報告入力!$BI$7:$BI$696,$B44),"")</f>
        <v/>
      </c>
      <c r="T44" s="43" t="str">
        <f aca="false">IF($AH44=1,INDEX(報告入力!$BY$7:$BY$696,$B44),"")</f>
        <v/>
      </c>
      <c r="U44" s="42" t="str">
        <f aca="false">IF($AG44=1,INDEX(報告入力!$BR$7:$BR$696,$B44),"")</f>
        <v/>
      </c>
      <c r="V44" s="42" t="str">
        <f aca="false">IF($AH44=1,INDEX(報告入力!$BJ$7:$BJ$696,$B44),"")</f>
        <v/>
      </c>
      <c r="W44" s="43" t="str">
        <f aca="false">IF($AH44=1,INDEX(報告入力!$BZ$7:$BZ$696,$B44),"")</f>
        <v/>
      </c>
      <c r="X44" s="42" t="str">
        <f aca="false">IF($AG44=1,INDEX(報告入力!$BS$7:$BS$696,$B44),"")</f>
        <v/>
      </c>
      <c r="Y44" s="42" t="str">
        <f aca="false">IF($AH44=1,INDEX(報告入力!$BK$7:$BK$696,$B44),"")</f>
        <v/>
      </c>
      <c r="Z44" s="43" t="str">
        <f aca="false">IF($AH44=1,INDEX(報告入力!$CA$7:$CA$696,$B44),"")</f>
        <v/>
      </c>
      <c r="AA44" s="42" t="str">
        <f aca="false">IF($AG44=1,INDEX(報告入力!$BT$7:$BT$696,$B44),"")</f>
        <v/>
      </c>
      <c r="AB44" s="42" t="str">
        <f aca="false">IF($AH44=1,INDEX(報告入力!$BL$7:$BL$696,$B44),"")</f>
        <v/>
      </c>
      <c r="AC44" s="43" t="str">
        <f aca="false">IF($AH44=1,INDEX(報告入力!$CB$7:$CB$696,$B44),"")</f>
        <v/>
      </c>
      <c r="AD44" s="42" t="str">
        <f aca="false">IF($AG44=1,INDEX(報告入力!$BU$7:$BU$696,$B44),"")</f>
        <v/>
      </c>
      <c r="AE44" s="42" t="str">
        <f aca="false">IF($AH44=1,INDEX(報告入力!$BM$7:$BM$696,$B44),"")</f>
        <v/>
      </c>
      <c r="AF44" s="43" t="str">
        <f aca="false">IF($AH44=1,INDEX(報告入力!$CC$7:$CC$696,$B44),"")</f>
        <v/>
      </c>
      <c r="AG44" s="33" t="n">
        <f aca="false">IF($B44="",0,IF(OR(C44="未受領",C44="報告なし"),0,1))</f>
        <v>0</v>
      </c>
      <c r="AH44" s="33" t="n">
        <f aca="false">IF(OR(D44="問題なし",D44="要確認"),1,0)</f>
        <v>0</v>
      </c>
      <c r="AI44" s="33" t="str">
        <f aca="false">IF(C44="未受領",MAX(AI$6:AI43)+1,"")</f>
        <v/>
      </c>
      <c r="AJ44" s="33" t="str">
        <f aca="false">IF(D44="要確認",MAX(AJ$6:AJ43)+1,"")</f>
        <v/>
      </c>
      <c r="AK44" s="32" t="str">
        <f aca="false">IF(D44="要確認",INDEX(報告入力!$CD$7:$CD$696,$B44),"")</f>
        <v/>
      </c>
    </row>
    <row r="45" customFormat="false" ht="15" hidden="false" customHeight="false" outlineLevel="0" collapsed="false">
      <c r="A45" s="41" t="str">
        <f aca="false">設定!B99</f>
        <v>全国市長会</v>
      </c>
      <c r="B45" s="33" t="n">
        <f aca="false">IFERROR(MATCH(ホーム!$C$4&amp;"|"&amp;A45,報告入力!$CG$7:$CG$696,0),"")</f>
        <v>361</v>
      </c>
      <c r="C45" s="10" t="str">
        <f aca="false">IF($B45="","",INDEX(報告入力!$C$7:$C$696,$B45))</f>
        <v>受領済</v>
      </c>
      <c r="D45" s="10" t="str">
        <f aca="false">IF($B45="","",INDEX(報告入力!$D$7:$D$696,$B45))</f>
        <v>標報未入力</v>
      </c>
      <c r="E45" s="24" t="str">
        <f aca="false">IF($B45="","",INDEX(報告入力!$E$7:$E$696,$B45))</f>
        <v>前月同額</v>
      </c>
      <c r="F45" s="42" t="n">
        <f aca="false">IF($B45="","",INDEX(報告入力!$I$7:$I$696,$B45))</f>
        <v>0</v>
      </c>
      <c r="G45" s="42" t="n">
        <f aca="false">IF($B45="","",INDEX(報告入力!$J$7:$J$696,$B45))</f>
        <v>0</v>
      </c>
      <c r="H45" s="42" t="n">
        <f aca="false">IF($B45="","",INDEX(報告入力!$K$7:$K$696,$B45))</f>
        <v>0</v>
      </c>
      <c r="I45" s="42" t="n">
        <f aca="false">IF($AG45=1,INDEX(報告入力!$BN$7:$BN$696,$B45),"")</f>
        <v>128700</v>
      </c>
      <c r="J45" s="42" t="str">
        <f aca="false">IF($AH45=1,INDEX(報告入力!$BF$7:$BF$696,$B45),"")</f>
        <v/>
      </c>
      <c r="K45" s="43" t="str">
        <f aca="false">IF($AH45=1,INDEX(報告入力!$BV$7:$BV$696,$B45),"")</f>
        <v/>
      </c>
      <c r="L45" s="42" t="n">
        <f aca="false">IF($AG45=1,INDEX(報告入力!$BO$7:$BO$696,$B45),"")</f>
        <v>128812</v>
      </c>
      <c r="M45" s="42" t="str">
        <f aca="false">IF($AH45=1,INDEX(報告入力!$BG$7:$BG$696,$B45),"")</f>
        <v/>
      </c>
      <c r="N45" s="43" t="str">
        <f aca="false">IF($AH45=1,INDEX(報告入力!$BW$7:$BW$696,$B45),"")</f>
        <v/>
      </c>
      <c r="O45" s="42" t="n">
        <f aca="false">IF($AG45=1,INDEX(報告入力!$BP$7:$BP$696,$B45),"")</f>
        <v>86605</v>
      </c>
      <c r="P45" s="42" t="str">
        <f aca="false">IF($AH45=1,INDEX(報告入力!$BH$7:$BH$696,$B45),"")</f>
        <v/>
      </c>
      <c r="Q45" s="43" t="str">
        <f aca="false">IF($AH45=1,INDEX(報告入力!$BX$7:$BX$696,$B45),"")</f>
        <v/>
      </c>
      <c r="R45" s="42" t="n">
        <f aca="false">IF($AG45=1,INDEX(報告入力!$BQ$7:$BQ$696,$B45),"")</f>
        <v>86689</v>
      </c>
      <c r="S45" s="42" t="str">
        <f aca="false">IF($AH45=1,INDEX(報告入力!$BI$7:$BI$696,$B45),"")</f>
        <v/>
      </c>
      <c r="T45" s="43" t="str">
        <f aca="false">IF($AH45=1,INDEX(報告入力!$BY$7:$BY$696,$B45),"")</f>
        <v/>
      </c>
      <c r="U45" s="42" t="n">
        <f aca="false">IF($AG45=1,INDEX(報告入力!$BR$7:$BR$696,$B45),"")</f>
        <v>13193</v>
      </c>
      <c r="V45" s="42" t="str">
        <f aca="false">IF($AH45=1,INDEX(報告入力!$BJ$7:$BJ$696,$B45),"")</f>
        <v/>
      </c>
      <c r="W45" s="43" t="str">
        <f aca="false">IF($AH45=1,INDEX(報告入力!$BZ$7:$BZ$696,$B45),"")</f>
        <v/>
      </c>
      <c r="X45" s="42" t="n">
        <f aca="false">IF($AG45=1,INDEX(報告入力!$BS$7:$BS$696,$B45),"")</f>
        <v>13193</v>
      </c>
      <c r="Y45" s="42" t="str">
        <f aca="false">IF($AH45=1,INDEX(報告入力!$BK$7:$BK$696,$B45),"")</f>
        <v/>
      </c>
      <c r="Z45" s="43" t="str">
        <f aca="false">IF($AH45=1,INDEX(報告入力!$CA$7:$CA$696,$B45),"")</f>
        <v/>
      </c>
      <c r="AA45" s="42" t="n">
        <f aca="false">IF($AG45=1,INDEX(報告入力!$BT$7:$BT$696,$B45),"")</f>
        <v>1920</v>
      </c>
      <c r="AB45" s="42" t="str">
        <f aca="false">IF($AH45=1,INDEX(報告入力!$BL$7:$BL$696,$B45),"")</f>
        <v/>
      </c>
      <c r="AC45" s="43" t="str">
        <f aca="false">IF($AH45=1,INDEX(報告入力!$CB$7:$CB$696,$B45),"")</f>
        <v/>
      </c>
      <c r="AD45" s="42" t="n">
        <f aca="false">IF($AG45=1,INDEX(報告入力!$BU$7:$BU$696,$B45),"")</f>
        <v>1920</v>
      </c>
      <c r="AE45" s="42" t="str">
        <f aca="false">IF($AH45=1,INDEX(報告入力!$BM$7:$BM$696,$B45),"")</f>
        <v/>
      </c>
      <c r="AF45" s="43" t="str">
        <f aca="false">IF($AH45=1,INDEX(報告入力!$CC$7:$CC$696,$B45),"")</f>
        <v/>
      </c>
      <c r="AG45" s="33" t="n">
        <f aca="false">IF($B45="",0,IF(OR(C45="未受領",C45="報告なし"),0,1))</f>
        <v>1</v>
      </c>
      <c r="AH45" s="33" t="n">
        <f aca="false">IF(OR(D45="問題なし",D45="要確認"),1,0)</f>
        <v>0</v>
      </c>
      <c r="AI45" s="33" t="str">
        <f aca="false">IF(C45="未受領",MAX(AI$6:AI44)+1,"")</f>
        <v/>
      </c>
      <c r="AJ45" s="33" t="str">
        <f aca="false">IF(D45="要確認",MAX(AJ$6:AJ44)+1,"")</f>
        <v/>
      </c>
      <c r="AK45" s="32" t="str">
        <f aca="false">IF(D45="要確認",INDEX(報告入力!$CD$7:$CD$696,$B45),"")</f>
        <v/>
      </c>
    </row>
    <row r="46" customFormat="false" ht="15" hidden="false" customHeight="false" outlineLevel="0" collapsed="false">
      <c r="A46" s="41" t="str">
        <f aca="false">設定!B100</f>
        <v>高速交通（株）</v>
      </c>
      <c r="B46" s="33" t="n">
        <f aca="false">IFERROR(MATCH(ホーム!$C$4&amp;"|"&amp;A46,報告入力!$CG$7:$CG$696,0),"")</f>
        <v>362</v>
      </c>
      <c r="C46" s="10" t="str">
        <f aca="false">IF($B46="","",INDEX(報告入力!$C$7:$C$696,$B46))</f>
        <v>未受領</v>
      </c>
      <c r="D46" s="10" t="str">
        <f aca="false">IF($B46="","",INDEX(報告入力!$D$7:$D$696,$B46))</f>
        <v>―</v>
      </c>
      <c r="E46" s="24" t="str">
        <f aca="false">IF($B46="","",INDEX(報告入力!$E$7:$E$696,$B46))</f>
        <v>―</v>
      </c>
      <c r="F46" s="42" t="n">
        <f aca="false">IF($B46="","",INDEX(報告入力!$I$7:$I$696,$B46))</f>
        <v>0</v>
      </c>
      <c r="G46" s="42" t="n">
        <f aca="false">IF($B46="","",INDEX(報告入力!$J$7:$J$696,$B46))</f>
        <v>0</v>
      </c>
      <c r="H46" s="42" t="n">
        <f aca="false">IF($B46="","",INDEX(報告入力!$K$7:$K$696,$B46))</f>
        <v>0</v>
      </c>
      <c r="I46" s="42" t="str">
        <f aca="false">IF($AG46=1,INDEX(報告入力!$BN$7:$BN$696,$B46),"")</f>
        <v/>
      </c>
      <c r="J46" s="42" t="str">
        <f aca="false">IF($AH46=1,INDEX(報告入力!$BF$7:$BF$696,$B46),"")</f>
        <v/>
      </c>
      <c r="K46" s="43" t="str">
        <f aca="false">IF($AH46=1,INDEX(報告入力!$BV$7:$BV$696,$B46),"")</f>
        <v/>
      </c>
      <c r="L46" s="42" t="str">
        <f aca="false">IF($AG46=1,INDEX(報告入力!$BO$7:$BO$696,$B46),"")</f>
        <v/>
      </c>
      <c r="M46" s="42" t="str">
        <f aca="false">IF($AH46=1,INDEX(報告入力!$BG$7:$BG$696,$B46),"")</f>
        <v/>
      </c>
      <c r="N46" s="43" t="str">
        <f aca="false">IF($AH46=1,INDEX(報告入力!$BW$7:$BW$696,$B46),"")</f>
        <v/>
      </c>
      <c r="O46" s="42" t="str">
        <f aca="false">IF($AG46=1,INDEX(報告入力!$BP$7:$BP$696,$B46),"")</f>
        <v/>
      </c>
      <c r="P46" s="42" t="str">
        <f aca="false">IF($AH46=1,INDEX(報告入力!$BH$7:$BH$696,$B46),"")</f>
        <v/>
      </c>
      <c r="Q46" s="43" t="str">
        <f aca="false">IF($AH46=1,INDEX(報告入力!$BX$7:$BX$696,$B46),"")</f>
        <v/>
      </c>
      <c r="R46" s="42" t="str">
        <f aca="false">IF($AG46=1,INDEX(報告入力!$BQ$7:$BQ$696,$B46),"")</f>
        <v/>
      </c>
      <c r="S46" s="42" t="str">
        <f aca="false">IF($AH46=1,INDEX(報告入力!$BI$7:$BI$696,$B46),"")</f>
        <v/>
      </c>
      <c r="T46" s="43" t="str">
        <f aca="false">IF($AH46=1,INDEX(報告入力!$BY$7:$BY$696,$B46),"")</f>
        <v/>
      </c>
      <c r="U46" s="42" t="str">
        <f aca="false">IF($AG46=1,INDEX(報告入力!$BR$7:$BR$696,$B46),"")</f>
        <v/>
      </c>
      <c r="V46" s="42" t="str">
        <f aca="false">IF($AH46=1,INDEX(報告入力!$BJ$7:$BJ$696,$B46),"")</f>
        <v/>
      </c>
      <c r="W46" s="43" t="str">
        <f aca="false">IF($AH46=1,INDEX(報告入力!$BZ$7:$BZ$696,$B46),"")</f>
        <v/>
      </c>
      <c r="X46" s="42" t="str">
        <f aca="false">IF($AG46=1,INDEX(報告入力!$BS$7:$BS$696,$B46),"")</f>
        <v/>
      </c>
      <c r="Y46" s="42" t="str">
        <f aca="false">IF($AH46=1,INDEX(報告入力!$BK$7:$BK$696,$B46),"")</f>
        <v/>
      </c>
      <c r="Z46" s="43" t="str">
        <f aca="false">IF($AH46=1,INDEX(報告入力!$CA$7:$CA$696,$B46),"")</f>
        <v/>
      </c>
      <c r="AA46" s="42" t="str">
        <f aca="false">IF($AG46=1,INDEX(報告入力!$BT$7:$BT$696,$B46),"")</f>
        <v/>
      </c>
      <c r="AB46" s="42" t="str">
        <f aca="false">IF($AH46=1,INDEX(報告入力!$BL$7:$BL$696,$B46),"")</f>
        <v/>
      </c>
      <c r="AC46" s="43" t="str">
        <f aca="false">IF($AH46=1,INDEX(報告入力!$CB$7:$CB$696,$B46),"")</f>
        <v/>
      </c>
      <c r="AD46" s="42" t="str">
        <f aca="false">IF($AG46=1,INDEX(報告入力!$BU$7:$BU$696,$B46),"")</f>
        <v/>
      </c>
      <c r="AE46" s="42" t="str">
        <f aca="false">IF($AH46=1,INDEX(報告入力!$BM$7:$BM$696,$B46),"")</f>
        <v/>
      </c>
      <c r="AF46" s="43" t="str">
        <f aca="false">IF($AH46=1,INDEX(報告入力!$CC$7:$CC$696,$B46),"")</f>
        <v/>
      </c>
      <c r="AG46" s="33" t="n">
        <f aca="false">IF($B46="",0,IF(OR(C46="未受領",C46="報告なし"),0,1))</f>
        <v>0</v>
      </c>
      <c r="AH46" s="33" t="n">
        <f aca="false">IF(OR(D46="問題なし",D46="要確認"),1,0)</f>
        <v>0</v>
      </c>
      <c r="AI46" s="33" t="n">
        <f aca="false">IF(C46="未受領",MAX(AI$6:AI45)+1,"")</f>
        <v>32</v>
      </c>
      <c r="AJ46" s="33" t="str">
        <f aca="false">IF(D46="要確認",MAX(AJ$6:AJ45)+1,"")</f>
        <v/>
      </c>
      <c r="AK46" s="32" t="str">
        <f aca="false">IF(D46="要確認",INDEX(報告入力!$CD$7:$CD$696,$B46),"")</f>
        <v/>
      </c>
    </row>
    <row r="47" customFormat="false" ht="15" hidden="false" customHeight="false" outlineLevel="0" collapsed="false">
      <c r="A47" s="41" t="str">
        <f aca="false">設定!B101</f>
        <v>広島駅南口開発（株）</v>
      </c>
      <c r="B47" s="33" t="n">
        <f aca="false">IFERROR(MATCH(ホーム!$C$4&amp;"|"&amp;A47,報告入力!$CG$7:$CG$696,0),"")</f>
        <v>363</v>
      </c>
      <c r="C47" s="10" t="str">
        <f aca="false">IF($B47="","",INDEX(報告入力!$C$7:$C$696,$B47))</f>
        <v>受領済</v>
      </c>
      <c r="D47" s="10" t="str">
        <f aca="false">IF($B47="","",INDEX(報告入力!$D$7:$D$696,$B47))</f>
        <v>標報未入力</v>
      </c>
      <c r="E47" s="24" t="str">
        <f aca="false">IF($B47="","",INDEX(報告入力!$E$7:$E$696,$B47))</f>
        <v>前月同額</v>
      </c>
      <c r="F47" s="42" t="n">
        <f aca="false">IF($B47="","",INDEX(報告入力!$I$7:$I$696,$B47))</f>
        <v>0</v>
      </c>
      <c r="G47" s="42" t="n">
        <f aca="false">IF($B47="","",INDEX(報告入力!$J$7:$J$696,$B47))</f>
        <v>0</v>
      </c>
      <c r="H47" s="42" t="n">
        <f aca="false">IF($B47="","",INDEX(報告入力!$K$7:$K$696,$B47))</f>
        <v>0</v>
      </c>
      <c r="I47" s="42" t="n">
        <f aca="false">IF($AG47=1,INDEX(報告入力!$BN$7:$BN$696,$B47),"")</f>
        <v>58410</v>
      </c>
      <c r="J47" s="42" t="str">
        <f aca="false">IF($AH47=1,INDEX(報告入力!$BF$7:$BF$696,$B47),"")</f>
        <v/>
      </c>
      <c r="K47" s="43" t="str">
        <f aca="false">IF($AH47=1,INDEX(報告入力!$BV$7:$BV$696,$B47),"")</f>
        <v/>
      </c>
      <c r="L47" s="42" t="n">
        <f aca="false">IF($AG47=1,INDEX(報告入力!$BO$7:$BO$696,$B47),"")</f>
        <v>58461</v>
      </c>
      <c r="M47" s="42" t="str">
        <f aca="false">IF($AH47=1,INDEX(報告入力!$BG$7:$BG$696,$B47),"")</f>
        <v/>
      </c>
      <c r="N47" s="43" t="str">
        <f aca="false">IF($AH47=1,INDEX(報告入力!$BW$7:$BW$696,$B47),"")</f>
        <v/>
      </c>
      <c r="O47" s="42" t="n">
        <f aca="false">IF($AG47=1,INDEX(報告入力!$BP$7:$BP$696,$B47),"")</f>
        <v>0</v>
      </c>
      <c r="P47" s="42" t="str">
        <f aca="false">IF($AH47=1,INDEX(報告入力!$BH$7:$BH$696,$B47),"")</f>
        <v/>
      </c>
      <c r="Q47" s="43" t="str">
        <f aca="false">IF($AH47=1,INDEX(報告入力!$BX$7:$BX$696,$B47),"")</f>
        <v/>
      </c>
      <c r="R47" s="42" t="n">
        <f aca="false">IF($AG47=1,INDEX(報告入力!$BQ$7:$BQ$696,$B47),"")</f>
        <v>0</v>
      </c>
      <c r="S47" s="42" t="str">
        <f aca="false">IF($AH47=1,INDEX(報告入力!$BI$7:$BI$696,$B47),"")</f>
        <v/>
      </c>
      <c r="T47" s="43" t="str">
        <f aca="false">IF($AH47=1,INDEX(報告入力!$BY$7:$BY$696,$B47),"")</f>
        <v/>
      </c>
      <c r="U47" s="42" t="n">
        <f aca="false">IF($AG47=1,INDEX(報告入力!$BR$7:$BR$696,$B47),"")</f>
        <v>0</v>
      </c>
      <c r="V47" s="42" t="str">
        <f aca="false">IF($AH47=1,INDEX(報告入力!$BJ$7:$BJ$696,$B47),"")</f>
        <v/>
      </c>
      <c r="W47" s="43" t="str">
        <f aca="false">IF($AH47=1,INDEX(報告入力!$BZ$7:$BZ$696,$B47),"")</f>
        <v/>
      </c>
      <c r="X47" s="42" t="n">
        <f aca="false">IF($AG47=1,INDEX(報告入力!$BS$7:$BS$696,$B47),"")</f>
        <v>0</v>
      </c>
      <c r="Y47" s="42" t="str">
        <f aca="false">IF($AH47=1,INDEX(報告入力!$BK$7:$BK$696,$B47),"")</f>
        <v/>
      </c>
      <c r="Z47" s="43" t="str">
        <f aca="false">IF($AH47=1,INDEX(報告入力!$CA$7:$CA$696,$B47),"")</f>
        <v/>
      </c>
      <c r="AA47" s="42" t="n">
        <f aca="false">IF($AG47=1,INDEX(報告入力!$BT$7:$BT$696,$B47),"")</f>
        <v>0</v>
      </c>
      <c r="AB47" s="42" t="str">
        <f aca="false">IF($AH47=1,INDEX(報告入力!$BL$7:$BL$696,$B47),"")</f>
        <v/>
      </c>
      <c r="AC47" s="43" t="str">
        <f aca="false">IF($AH47=1,INDEX(報告入力!$CB$7:$CB$696,$B47),"")</f>
        <v/>
      </c>
      <c r="AD47" s="42" t="n">
        <f aca="false">IF($AG47=1,INDEX(報告入力!$BU$7:$BU$696,$B47),"")</f>
        <v>0</v>
      </c>
      <c r="AE47" s="42" t="str">
        <f aca="false">IF($AH47=1,INDEX(報告入力!$BM$7:$BM$696,$B47),"")</f>
        <v/>
      </c>
      <c r="AF47" s="43" t="str">
        <f aca="false">IF($AH47=1,INDEX(報告入力!$CC$7:$CC$696,$B47),"")</f>
        <v/>
      </c>
      <c r="AG47" s="33" t="n">
        <f aca="false">IF($B47="",0,IF(OR(C47="未受領",C47="報告なし"),0,1))</f>
        <v>1</v>
      </c>
      <c r="AH47" s="33" t="n">
        <f aca="false">IF(OR(D47="問題なし",D47="要確認"),1,0)</f>
        <v>0</v>
      </c>
      <c r="AI47" s="33" t="str">
        <f aca="false">IF(C47="未受領",MAX(AI$6:AI46)+1,"")</f>
        <v/>
      </c>
      <c r="AJ47" s="33" t="str">
        <f aca="false">IF(D47="要確認",MAX(AJ$6:AJ46)+1,"")</f>
        <v/>
      </c>
      <c r="AK47" s="32" t="str">
        <f aca="false">IF(D47="要確認",INDEX(報告入力!$CD$7:$CD$696,$B47),"")</f>
        <v/>
      </c>
    </row>
    <row r="48" customFormat="false" ht="15" hidden="false" customHeight="false" outlineLevel="0" collapsed="false">
      <c r="A48" s="41" t="str">
        <f aca="false">設定!B102</f>
        <v>市職員労働組合</v>
      </c>
      <c r="B48" s="33" t="n">
        <f aca="false">IFERROR(MATCH(ホーム!$C$4&amp;"|"&amp;A48,報告入力!$CG$7:$CG$696,0),"")</f>
        <v>364</v>
      </c>
      <c r="C48" s="10" t="str">
        <f aca="false">IF($B48="","",INDEX(報告入力!$C$7:$C$696,$B48))</f>
        <v>未受領</v>
      </c>
      <c r="D48" s="10" t="str">
        <f aca="false">IF($B48="","",INDEX(報告入力!$D$7:$D$696,$B48))</f>
        <v>―</v>
      </c>
      <c r="E48" s="24" t="str">
        <f aca="false">IF($B48="","",INDEX(報告入力!$E$7:$E$696,$B48))</f>
        <v>―</v>
      </c>
      <c r="F48" s="42" t="n">
        <f aca="false">IF($B48="","",INDEX(報告入力!$I$7:$I$696,$B48))</f>
        <v>0</v>
      </c>
      <c r="G48" s="42" t="n">
        <f aca="false">IF($B48="","",INDEX(報告入力!$J$7:$J$696,$B48))</f>
        <v>0</v>
      </c>
      <c r="H48" s="42" t="n">
        <f aca="false">IF($B48="","",INDEX(報告入力!$K$7:$K$696,$B48))</f>
        <v>0</v>
      </c>
      <c r="I48" s="42" t="str">
        <f aca="false">IF($AG48=1,INDEX(報告入力!$BN$7:$BN$696,$B48),"")</f>
        <v/>
      </c>
      <c r="J48" s="42" t="str">
        <f aca="false">IF($AH48=1,INDEX(報告入力!$BF$7:$BF$696,$B48),"")</f>
        <v/>
      </c>
      <c r="K48" s="43" t="str">
        <f aca="false">IF($AH48=1,INDEX(報告入力!$BV$7:$BV$696,$B48),"")</f>
        <v/>
      </c>
      <c r="L48" s="42" t="str">
        <f aca="false">IF($AG48=1,INDEX(報告入力!$BO$7:$BO$696,$B48),"")</f>
        <v/>
      </c>
      <c r="M48" s="42" t="str">
        <f aca="false">IF($AH48=1,INDEX(報告入力!$BG$7:$BG$696,$B48),"")</f>
        <v/>
      </c>
      <c r="N48" s="43" t="str">
        <f aca="false">IF($AH48=1,INDEX(報告入力!$BW$7:$BW$696,$B48),"")</f>
        <v/>
      </c>
      <c r="O48" s="42" t="str">
        <f aca="false">IF($AG48=1,INDEX(報告入力!$BP$7:$BP$696,$B48),"")</f>
        <v/>
      </c>
      <c r="P48" s="42" t="str">
        <f aca="false">IF($AH48=1,INDEX(報告入力!$BH$7:$BH$696,$B48),"")</f>
        <v/>
      </c>
      <c r="Q48" s="43" t="str">
        <f aca="false">IF($AH48=1,INDEX(報告入力!$BX$7:$BX$696,$B48),"")</f>
        <v/>
      </c>
      <c r="R48" s="42" t="str">
        <f aca="false">IF($AG48=1,INDEX(報告入力!$BQ$7:$BQ$696,$B48),"")</f>
        <v/>
      </c>
      <c r="S48" s="42" t="str">
        <f aca="false">IF($AH48=1,INDEX(報告入力!$BI$7:$BI$696,$B48),"")</f>
        <v/>
      </c>
      <c r="T48" s="43" t="str">
        <f aca="false">IF($AH48=1,INDEX(報告入力!$BY$7:$BY$696,$B48),"")</f>
        <v/>
      </c>
      <c r="U48" s="42" t="str">
        <f aca="false">IF($AG48=1,INDEX(報告入力!$BR$7:$BR$696,$B48),"")</f>
        <v/>
      </c>
      <c r="V48" s="42" t="str">
        <f aca="false">IF($AH48=1,INDEX(報告入力!$BJ$7:$BJ$696,$B48),"")</f>
        <v/>
      </c>
      <c r="W48" s="43" t="str">
        <f aca="false">IF($AH48=1,INDEX(報告入力!$BZ$7:$BZ$696,$B48),"")</f>
        <v/>
      </c>
      <c r="X48" s="42" t="str">
        <f aca="false">IF($AG48=1,INDEX(報告入力!$BS$7:$BS$696,$B48),"")</f>
        <v/>
      </c>
      <c r="Y48" s="42" t="str">
        <f aca="false">IF($AH48=1,INDEX(報告入力!$BK$7:$BK$696,$B48),"")</f>
        <v/>
      </c>
      <c r="Z48" s="43" t="str">
        <f aca="false">IF($AH48=1,INDEX(報告入力!$CA$7:$CA$696,$B48),"")</f>
        <v/>
      </c>
      <c r="AA48" s="42" t="str">
        <f aca="false">IF($AG48=1,INDEX(報告入力!$BT$7:$BT$696,$B48),"")</f>
        <v/>
      </c>
      <c r="AB48" s="42" t="str">
        <f aca="false">IF($AH48=1,INDEX(報告入力!$BL$7:$BL$696,$B48),"")</f>
        <v/>
      </c>
      <c r="AC48" s="43" t="str">
        <f aca="false">IF($AH48=1,INDEX(報告入力!$CB$7:$CB$696,$B48),"")</f>
        <v/>
      </c>
      <c r="AD48" s="42" t="str">
        <f aca="false">IF($AG48=1,INDEX(報告入力!$BU$7:$BU$696,$B48),"")</f>
        <v/>
      </c>
      <c r="AE48" s="42" t="str">
        <f aca="false">IF($AH48=1,INDEX(報告入力!$BM$7:$BM$696,$B48),"")</f>
        <v/>
      </c>
      <c r="AF48" s="43" t="str">
        <f aca="false">IF($AH48=1,INDEX(報告入力!$CC$7:$CC$696,$B48),"")</f>
        <v/>
      </c>
      <c r="AG48" s="33" t="n">
        <f aca="false">IF($B48="",0,IF(OR(C48="未受領",C48="報告なし"),0,1))</f>
        <v>0</v>
      </c>
      <c r="AH48" s="33" t="n">
        <f aca="false">IF(OR(D48="問題なし",D48="要確認"),1,0)</f>
        <v>0</v>
      </c>
      <c r="AI48" s="33" t="n">
        <f aca="false">IF(C48="未受領",MAX(AI$6:AI47)+1,"")</f>
        <v>33</v>
      </c>
      <c r="AJ48" s="33" t="str">
        <f aca="false">IF(D48="要確認",MAX(AJ$6:AJ47)+1,"")</f>
        <v/>
      </c>
      <c r="AK48" s="32" t="str">
        <f aca="false">IF(D48="要確認",INDEX(報告入力!$CD$7:$CD$696,$B48),"")</f>
        <v/>
      </c>
    </row>
    <row r="49" customFormat="false" ht="15" hidden="false" customHeight="false" outlineLevel="0" collapsed="false">
      <c r="A49" s="41" t="str">
        <f aca="false">設定!B103</f>
        <v>自治労労働組合</v>
      </c>
      <c r="B49" s="33" t="n">
        <f aca="false">IFERROR(MATCH(ホーム!$C$4&amp;"|"&amp;A49,報告入力!$CG$7:$CG$696,0),"")</f>
        <v>365</v>
      </c>
      <c r="C49" s="10" t="str">
        <f aca="false">IF($B49="","",INDEX(報告入力!$C$7:$C$696,$B49))</f>
        <v>未受領</v>
      </c>
      <c r="D49" s="10" t="str">
        <f aca="false">IF($B49="","",INDEX(報告入力!$D$7:$D$696,$B49))</f>
        <v>―</v>
      </c>
      <c r="E49" s="24" t="str">
        <f aca="false">IF($B49="","",INDEX(報告入力!$E$7:$E$696,$B49))</f>
        <v>―</v>
      </c>
      <c r="F49" s="42" t="n">
        <f aca="false">IF($B49="","",INDEX(報告入力!$I$7:$I$696,$B49))</f>
        <v>0</v>
      </c>
      <c r="G49" s="42" t="n">
        <f aca="false">IF($B49="","",INDEX(報告入力!$J$7:$J$696,$B49))</f>
        <v>0</v>
      </c>
      <c r="H49" s="42" t="n">
        <f aca="false">IF($B49="","",INDEX(報告入力!$K$7:$K$696,$B49))</f>
        <v>0</v>
      </c>
      <c r="I49" s="42" t="str">
        <f aca="false">IF($AG49=1,INDEX(報告入力!$BN$7:$BN$696,$B49),"")</f>
        <v/>
      </c>
      <c r="J49" s="42" t="str">
        <f aca="false">IF($AH49=1,INDEX(報告入力!$BF$7:$BF$696,$B49),"")</f>
        <v/>
      </c>
      <c r="K49" s="43" t="str">
        <f aca="false">IF($AH49=1,INDEX(報告入力!$BV$7:$BV$696,$B49),"")</f>
        <v/>
      </c>
      <c r="L49" s="42" t="str">
        <f aca="false">IF($AG49=1,INDEX(報告入力!$BO$7:$BO$696,$B49),"")</f>
        <v/>
      </c>
      <c r="M49" s="42" t="str">
        <f aca="false">IF($AH49=1,INDEX(報告入力!$BG$7:$BG$696,$B49),"")</f>
        <v/>
      </c>
      <c r="N49" s="43" t="str">
        <f aca="false">IF($AH49=1,INDEX(報告入力!$BW$7:$BW$696,$B49),"")</f>
        <v/>
      </c>
      <c r="O49" s="42" t="str">
        <f aca="false">IF($AG49=1,INDEX(報告入力!$BP$7:$BP$696,$B49),"")</f>
        <v/>
      </c>
      <c r="P49" s="42" t="str">
        <f aca="false">IF($AH49=1,INDEX(報告入力!$BH$7:$BH$696,$B49),"")</f>
        <v/>
      </c>
      <c r="Q49" s="43" t="str">
        <f aca="false">IF($AH49=1,INDEX(報告入力!$BX$7:$BX$696,$B49),"")</f>
        <v/>
      </c>
      <c r="R49" s="42" t="str">
        <f aca="false">IF($AG49=1,INDEX(報告入力!$BQ$7:$BQ$696,$B49),"")</f>
        <v/>
      </c>
      <c r="S49" s="42" t="str">
        <f aca="false">IF($AH49=1,INDEX(報告入力!$BI$7:$BI$696,$B49),"")</f>
        <v/>
      </c>
      <c r="T49" s="43" t="str">
        <f aca="false">IF($AH49=1,INDEX(報告入力!$BY$7:$BY$696,$B49),"")</f>
        <v/>
      </c>
      <c r="U49" s="42" t="str">
        <f aca="false">IF($AG49=1,INDEX(報告入力!$BR$7:$BR$696,$B49),"")</f>
        <v/>
      </c>
      <c r="V49" s="42" t="str">
        <f aca="false">IF($AH49=1,INDEX(報告入力!$BJ$7:$BJ$696,$B49),"")</f>
        <v/>
      </c>
      <c r="W49" s="43" t="str">
        <f aca="false">IF($AH49=1,INDEX(報告入力!$BZ$7:$BZ$696,$B49),"")</f>
        <v/>
      </c>
      <c r="X49" s="42" t="str">
        <f aca="false">IF($AG49=1,INDEX(報告入力!$BS$7:$BS$696,$B49),"")</f>
        <v/>
      </c>
      <c r="Y49" s="42" t="str">
        <f aca="false">IF($AH49=1,INDEX(報告入力!$BK$7:$BK$696,$B49),"")</f>
        <v/>
      </c>
      <c r="Z49" s="43" t="str">
        <f aca="false">IF($AH49=1,INDEX(報告入力!$CA$7:$CA$696,$B49),"")</f>
        <v/>
      </c>
      <c r="AA49" s="42" t="str">
        <f aca="false">IF($AG49=1,INDEX(報告入力!$BT$7:$BT$696,$B49),"")</f>
        <v/>
      </c>
      <c r="AB49" s="42" t="str">
        <f aca="false">IF($AH49=1,INDEX(報告入力!$BL$7:$BL$696,$B49),"")</f>
        <v/>
      </c>
      <c r="AC49" s="43" t="str">
        <f aca="false">IF($AH49=1,INDEX(報告入力!$CB$7:$CB$696,$B49),"")</f>
        <v/>
      </c>
      <c r="AD49" s="42" t="str">
        <f aca="false">IF($AG49=1,INDEX(報告入力!$BU$7:$BU$696,$B49),"")</f>
        <v/>
      </c>
      <c r="AE49" s="42" t="str">
        <f aca="false">IF($AH49=1,INDEX(報告入力!$BM$7:$BM$696,$B49),"")</f>
        <v/>
      </c>
      <c r="AF49" s="43" t="str">
        <f aca="false">IF($AH49=1,INDEX(報告入力!$CC$7:$CC$696,$B49),"")</f>
        <v/>
      </c>
      <c r="AG49" s="33" t="n">
        <f aca="false">IF($B49="",0,IF(OR(C49="未受領",C49="報告なし"),0,1))</f>
        <v>0</v>
      </c>
      <c r="AH49" s="33" t="n">
        <f aca="false">IF(OR(D49="問題なし",D49="要確認"),1,0)</f>
        <v>0</v>
      </c>
      <c r="AI49" s="33" t="n">
        <f aca="false">IF(C49="未受領",MAX(AI$6:AI48)+1,"")</f>
        <v>34</v>
      </c>
      <c r="AJ49" s="33" t="str">
        <f aca="false">IF(D49="要確認",MAX(AJ$6:AJ48)+1,"")</f>
        <v/>
      </c>
      <c r="AK49" s="32" t="str">
        <f aca="false">IF(D49="要確認",INDEX(報告入力!$CD$7:$CD$696,$B49),"")</f>
        <v/>
      </c>
    </row>
    <row r="50" customFormat="false" ht="15" hidden="false" customHeight="false" outlineLevel="0" collapsed="false">
      <c r="A50" s="41" t="str">
        <f aca="false">設定!B104</f>
        <v>病院労働組合</v>
      </c>
      <c r="B50" s="33" t="n">
        <f aca="false">IFERROR(MATCH(ホーム!$C$4&amp;"|"&amp;A50,報告入力!$CG$7:$CG$696,0),"")</f>
        <v>366</v>
      </c>
      <c r="C50" s="10" t="str">
        <f aca="false">IF($B50="","",INDEX(報告入力!$C$7:$C$696,$B50))</f>
        <v>受領済</v>
      </c>
      <c r="D50" s="10" t="str">
        <f aca="false">IF($B50="","",INDEX(報告入力!$D$7:$D$696,$B50))</f>
        <v>標報未入力</v>
      </c>
      <c r="E50" s="24" t="str">
        <f aca="false">IF($B50="","",INDEX(報告入力!$E$7:$E$696,$B50))</f>
        <v>前月同額</v>
      </c>
      <c r="F50" s="42" t="n">
        <f aca="false">IF($B50="","",INDEX(報告入力!$I$7:$I$696,$B50))</f>
        <v>0</v>
      </c>
      <c r="G50" s="42" t="n">
        <f aca="false">IF($B50="","",INDEX(報告入力!$J$7:$J$696,$B50))</f>
        <v>0</v>
      </c>
      <c r="H50" s="42" t="n">
        <f aca="false">IF($B50="","",INDEX(報告入力!$K$7:$K$696,$B50))</f>
        <v>0</v>
      </c>
      <c r="I50" s="42" t="n">
        <f aca="false">IF($AG50=1,INDEX(報告入力!$BN$7:$BN$696,$B50),"")</f>
        <v>31680</v>
      </c>
      <c r="J50" s="42" t="str">
        <f aca="false">IF($AH50=1,INDEX(報告入力!$BF$7:$BF$696,$B50),"")</f>
        <v/>
      </c>
      <c r="K50" s="43" t="str">
        <f aca="false">IF($AH50=1,INDEX(報告入力!$BV$7:$BV$696,$B50),"")</f>
        <v/>
      </c>
      <c r="L50" s="42" t="n">
        <f aca="false">IF($AG50=1,INDEX(報告入力!$BO$7:$BO$696,$B50),"")</f>
        <v>31680</v>
      </c>
      <c r="M50" s="42" t="str">
        <f aca="false">IF($AH50=1,INDEX(報告入力!$BG$7:$BG$696,$B50),"")</f>
        <v/>
      </c>
      <c r="N50" s="43" t="str">
        <f aca="false">IF($AH50=1,INDEX(報告入力!$BW$7:$BW$696,$B50),"")</f>
        <v/>
      </c>
      <c r="O50" s="42" t="n">
        <f aca="false">IF($AG50=1,INDEX(報告入力!$BP$7:$BP$696,$B50),"")</f>
        <v>32153</v>
      </c>
      <c r="P50" s="42" t="str">
        <f aca="false">IF($AH50=1,INDEX(報告入力!$BH$7:$BH$696,$B50),"")</f>
        <v/>
      </c>
      <c r="Q50" s="43" t="str">
        <f aca="false">IF($AH50=1,INDEX(報告入力!$BX$7:$BX$696,$B50),"")</f>
        <v/>
      </c>
      <c r="R50" s="42" t="n">
        <f aca="false">IF($AG50=1,INDEX(報告入力!$BQ$7:$BQ$696,$B50),"")</f>
        <v>32184</v>
      </c>
      <c r="S50" s="42" t="str">
        <f aca="false">IF($AH50=1,INDEX(報告入力!$BI$7:$BI$696,$B50),"")</f>
        <v/>
      </c>
      <c r="T50" s="43" t="str">
        <f aca="false">IF($AH50=1,INDEX(報告入力!$BY$7:$BY$696,$B50),"")</f>
        <v/>
      </c>
      <c r="U50" s="42" t="n">
        <f aca="false">IF($AG50=1,INDEX(報告入力!$BR$7:$BR$696,$B50),"")</f>
        <v>2370</v>
      </c>
      <c r="V50" s="42" t="str">
        <f aca="false">IF($AH50=1,INDEX(報告入力!$BJ$7:$BJ$696,$B50),"")</f>
        <v/>
      </c>
      <c r="W50" s="43" t="str">
        <f aca="false">IF($AH50=1,INDEX(報告入力!$BZ$7:$BZ$696,$B50),"")</f>
        <v/>
      </c>
      <c r="X50" s="42" t="n">
        <f aca="false">IF($AG50=1,INDEX(報告入力!$BS$7:$BS$696,$B50),"")</f>
        <v>2370</v>
      </c>
      <c r="Y50" s="42" t="str">
        <f aca="false">IF($AH50=1,INDEX(報告入力!$BK$7:$BK$696,$B50),"")</f>
        <v/>
      </c>
      <c r="Z50" s="43" t="str">
        <f aca="false">IF($AH50=1,INDEX(報告入力!$CA$7:$CA$696,$B50),"")</f>
        <v/>
      </c>
      <c r="AA50" s="42" t="n">
        <f aca="false">IF($AG50=1,INDEX(報告入力!$BT$7:$BT$696,$B50),"")</f>
        <v>713</v>
      </c>
      <c r="AB50" s="42" t="str">
        <f aca="false">IF($AH50=1,INDEX(報告入力!$BL$7:$BL$696,$B50),"")</f>
        <v/>
      </c>
      <c r="AC50" s="43" t="str">
        <f aca="false">IF($AH50=1,INDEX(報告入力!$CB$7:$CB$696,$B50),"")</f>
        <v/>
      </c>
      <c r="AD50" s="42" t="n">
        <f aca="false">IF($AG50=1,INDEX(報告入力!$BU$7:$BU$696,$B50),"")</f>
        <v>713</v>
      </c>
      <c r="AE50" s="42" t="str">
        <f aca="false">IF($AH50=1,INDEX(報告入力!$BM$7:$BM$696,$B50),"")</f>
        <v/>
      </c>
      <c r="AF50" s="43" t="str">
        <f aca="false">IF($AH50=1,INDEX(報告入力!$CC$7:$CC$696,$B50),"")</f>
        <v/>
      </c>
      <c r="AG50" s="33" t="n">
        <f aca="false">IF($B50="",0,IF(OR(C50="未受領",C50="報告なし"),0,1))</f>
        <v>1</v>
      </c>
      <c r="AH50" s="33" t="n">
        <f aca="false">IF(OR(D50="問題なし",D50="要確認"),1,0)</f>
        <v>0</v>
      </c>
      <c r="AI50" s="33" t="str">
        <f aca="false">IF(C50="未受領",MAX(AI$6:AI49)+1,"")</f>
        <v/>
      </c>
      <c r="AJ50" s="33" t="str">
        <f aca="false">IF(D50="要確認",MAX(AJ$6:AJ49)+1,"")</f>
        <v/>
      </c>
      <c r="AK50" s="32" t="str">
        <f aca="false">IF(D50="要確認",INDEX(報告入力!$CD$7:$CD$696,$B50),"")</f>
        <v/>
      </c>
    </row>
    <row r="51" customFormat="false" ht="15" hidden="false" customHeight="false" outlineLevel="0" collapsed="false">
      <c r="A51" s="41" t="str">
        <f aca="false">設定!B105</f>
        <v>水道労働組合</v>
      </c>
      <c r="B51" s="33" t="n">
        <f aca="false">IFERROR(MATCH(ホーム!$C$4&amp;"|"&amp;A51,報告入力!$CG$7:$CG$696,0),"")</f>
        <v>367</v>
      </c>
      <c r="C51" s="10" t="str">
        <f aca="false">IF($B51="","",INDEX(報告入力!$C$7:$C$696,$B51))</f>
        <v>報告なし</v>
      </c>
      <c r="D51" s="10" t="str">
        <f aca="false">IF($B51="","",INDEX(報告入力!$D$7:$D$696,$B51))</f>
        <v>―</v>
      </c>
      <c r="E51" s="24" t="str">
        <f aca="false">IF($B51="","",INDEX(報告入力!$E$7:$E$696,$B51))</f>
        <v>―</v>
      </c>
      <c r="F51" s="42" t="n">
        <f aca="false">IF($B51="","",INDEX(報告入力!$I$7:$I$696,$B51))</f>
        <v>0</v>
      </c>
      <c r="G51" s="42" t="n">
        <f aca="false">IF($B51="","",INDEX(報告入力!$J$7:$J$696,$B51))</f>
        <v>0</v>
      </c>
      <c r="H51" s="42" t="n">
        <f aca="false">IF($B51="","",INDEX(報告入力!$K$7:$K$696,$B51))</f>
        <v>0</v>
      </c>
      <c r="I51" s="42" t="str">
        <f aca="false">IF($AG51=1,INDEX(報告入力!$BN$7:$BN$696,$B51),"")</f>
        <v/>
      </c>
      <c r="J51" s="42" t="str">
        <f aca="false">IF($AH51=1,INDEX(報告入力!$BF$7:$BF$696,$B51),"")</f>
        <v/>
      </c>
      <c r="K51" s="43" t="str">
        <f aca="false">IF($AH51=1,INDEX(報告入力!$BV$7:$BV$696,$B51),"")</f>
        <v/>
      </c>
      <c r="L51" s="42" t="str">
        <f aca="false">IF($AG51=1,INDEX(報告入力!$BO$7:$BO$696,$B51),"")</f>
        <v/>
      </c>
      <c r="M51" s="42" t="str">
        <f aca="false">IF($AH51=1,INDEX(報告入力!$BG$7:$BG$696,$B51),"")</f>
        <v/>
      </c>
      <c r="N51" s="43" t="str">
        <f aca="false">IF($AH51=1,INDEX(報告入力!$BW$7:$BW$696,$B51),"")</f>
        <v/>
      </c>
      <c r="O51" s="42" t="str">
        <f aca="false">IF($AG51=1,INDEX(報告入力!$BP$7:$BP$696,$B51),"")</f>
        <v/>
      </c>
      <c r="P51" s="42" t="str">
        <f aca="false">IF($AH51=1,INDEX(報告入力!$BH$7:$BH$696,$B51),"")</f>
        <v/>
      </c>
      <c r="Q51" s="43" t="str">
        <f aca="false">IF($AH51=1,INDEX(報告入力!$BX$7:$BX$696,$B51),"")</f>
        <v/>
      </c>
      <c r="R51" s="42" t="str">
        <f aca="false">IF($AG51=1,INDEX(報告入力!$BQ$7:$BQ$696,$B51),"")</f>
        <v/>
      </c>
      <c r="S51" s="42" t="str">
        <f aca="false">IF($AH51=1,INDEX(報告入力!$BI$7:$BI$696,$B51),"")</f>
        <v/>
      </c>
      <c r="T51" s="43" t="str">
        <f aca="false">IF($AH51=1,INDEX(報告入力!$BY$7:$BY$696,$B51),"")</f>
        <v/>
      </c>
      <c r="U51" s="42" t="str">
        <f aca="false">IF($AG51=1,INDEX(報告入力!$BR$7:$BR$696,$B51),"")</f>
        <v/>
      </c>
      <c r="V51" s="42" t="str">
        <f aca="false">IF($AH51=1,INDEX(報告入力!$BJ$7:$BJ$696,$B51),"")</f>
        <v/>
      </c>
      <c r="W51" s="43" t="str">
        <f aca="false">IF($AH51=1,INDEX(報告入力!$BZ$7:$BZ$696,$B51),"")</f>
        <v/>
      </c>
      <c r="X51" s="42" t="str">
        <f aca="false">IF($AG51=1,INDEX(報告入力!$BS$7:$BS$696,$B51),"")</f>
        <v/>
      </c>
      <c r="Y51" s="42" t="str">
        <f aca="false">IF($AH51=1,INDEX(報告入力!$BK$7:$BK$696,$B51),"")</f>
        <v/>
      </c>
      <c r="Z51" s="43" t="str">
        <f aca="false">IF($AH51=1,INDEX(報告入力!$CA$7:$CA$696,$B51),"")</f>
        <v/>
      </c>
      <c r="AA51" s="42" t="str">
        <f aca="false">IF($AG51=1,INDEX(報告入力!$BT$7:$BT$696,$B51),"")</f>
        <v/>
      </c>
      <c r="AB51" s="42" t="str">
        <f aca="false">IF($AH51=1,INDEX(報告入力!$BL$7:$BL$696,$B51),"")</f>
        <v/>
      </c>
      <c r="AC51" s="43" t="str">
        <f aca="false">IF($AH51=1,INDEX(報告入力!$CB$7:$CB$696,$B51),"")</f>
        <v/>
      </c>
      <c r="AD51" s="42" t="str">
        <f aca="false">IF($AG51=1,INDEX(報告入力!$BU$7:$BU$696,$B51),"")</f>
        <v/>
      </c>
      <c r="AE51" s="42" t="str">
        <f aca="false">IF($AH51=1,INDEX(報告入力!$BM$7:$BM$696,$B51),"")</f>
        <v/>
      </c>
      <c r="AF51" s="43" t="str">
        <f aca="false">IF($AH51=1,INDEX(報告入力!$CC$7:$CC$696,$B51),"")</f>
        <v/>
      </c>
      <c r="AG51" s="33" t="n">
        <f aca="false">IF($B51="",0,IF(OR(C51="未受領",C51="報告なし"),0,1))</f>
        <v>0</v>
      </c>
      <c r="AH51" s="33" t="n">
        <f aca="false">IF(OR(D51="問題なし",D51="要確認"),1,0)</f>
        <v>0</v>
      </c>
      <c r="AI51" s="33" t="str">
        <f aca="false">IF(C51="未受領",MAX(AI$6:AI50)+1,"")</f>
        <v/>
      </c>
      <c r="AJ51" s="33" t="str">
        <f aca="false">IF(D51="要確認",MAX(AJ$6:AJ50)+1,"")</f>
        <v/>
      </c>
      <c r="AK51" s="32" t="str">
        <f aca="false">IF(D51="要確認",INDEX(報告入力!$CD$7:$CD$696,$B51),"")</f>
        <v/>
      </c>
    </row>
    <row r="52" customFormat="false" ht="15" hidden="false" customHeight="false" outlineLevel="0" collapsed="false">
      <c r="A52" s="41" t="str">
        <f aca="false">設定!B106</f>
        <v>任意継続組合員</v>
      </c>
      <c r="B52" s="33" t="n">
        <f aca="false">IFERROR(MATCH(ホーム!$C$4&amp;"|"&amp;A52,報告入力!$CG$7:$CG$696,0),"")</f>
        <v>368</v>
      </c>
      <c r="C52" s="10" t="str">
        <f aca="false">IF($B52="","",INDEX(報告入力!$C$7:$C$696,$B52))</f>
        <v>未受領</v>
      </c>
      <c r="D52" s="10" t="str">
        <f aca="false">IF($B52="","",INDEX(報告入力!$D$7:$D$696,$B52))</f>
        <v>―</v>
      </c>
      <c r="E52" s="24" t="str">
        <f aca="false">IF($B52="","",INDEX(報告入力!$E$7:$E$696,$B52))</f>
        <v>―</v>
      </c>
      <c r="F52" s="42" t="n">
        <f aca="false">IF($B52="","",INDEX(報告入力!$I$7:$I$696,$B52))</f>
        <v>0</v>
      </c>
      <c r="G52" s="42" t="n">
        <f aca="false">IF($B52="","",INDEX(報告入力!$J$7:$J$696,$B52))</f>
        <v>0</v>
      </c>
      <c r="H52" s="42" t="n">
        <f aca="false">IF($B52="","",INDEX(報告入力!$K$7:$K$696,$B52))</f>
        <v>0</v>
      </c>
      <c r="I52" s="42" t="str">
        <f aca="false">IF($AG52=1,INDEX(報告入力!$BN$7:$BN$696,$B52),"")</f>
        <v/>
      </c>
      <c r="J52" s="42" t="str">
        <f aca="false">IF($AH52=1,INDEX(報告入力!$BF$7:$BF$696,$B52),"")</f>
        <v/>
      </c>
      <c r="K52" s="43" t="str">
        <f aca="false">IF($AH52=1,INDEX(報告入力!$BV$7:$BV$696,$B52),"")</f>
        <v/>
      </c>
      <c r="L52" s="42" t="str">
        <f aca="false">IF($AG52=1,INDEX(報告入力!$BO$7:$BO$696,$B52),"")</f>
        <v/>
      </c>
      <c r="M52" s="42" t="str">
        <f aca="false">IF($AH52=1,INDEX(報告入力!$BG$7:$BG$696,$B52),"")</f>
        <v/>
      </c>
      <c r="N52" s="43" t="str">
        <f aca="false">IF($AH52=1,INDEX(報告入力!$BW$7:$BW$696,$B52),"")</f>
        <v/>
      </c>
      <c r="O52" s="42" t="str">
        <f aca="false">IF($AG52=1,INDEX(報告入力!$BP$7:$BP$696,$B52),"")</f>
        <v/>
      </c>
      <c r="P52" s="42" t="str">
        <f aca="false">IF($AH52=1,INDEX(報告入力!$BH$7:$BH$696,$B52),"")</f>
        <v/>
      </c>
      <c r="Q52" s="43" t="str">
        <f aca="false">IF($AH52=1,INDEX(報告入力!$BX$7:$BX$696,$B52),"")</f>
        <v/>
      </c>
      <c r="R52" s="42" t="str">
        <f aca="false">IF($AG52=1,INDEX(報告入力!$BQ$7:$BQ$696,$B52),"")</f>
        <v/>
      </c>
      <c r="S52" s="42" t="str">
        <f aca="false">IF($AH52=1,INDEX(報告入力!$BI$7:$BI$696,$B52),"")</f>
        <v/>
      </c>
      <c r="T52" s="43" t="str">
        <f aca="false">IF($AH52=1,INDEX(報告入力!$BY$7:$BY$696,$B52),"")</f>
        <v/>
      </c>
      <c r="U52" s="42" t="str">
        <f aca="false">IF($AG52=1,INDEX(報告入力!$BR$7:$BR$696,$B52),"")</f>
        <v/>
      </c>
      <c r="V52" s="42" t="str">
        <f aca="false">IF($AH52=1,INDEX(報告入力!$BJ$7:$BJ$696,$B52),"")</f>
        <v/>
      </c>
      <c r="W52" s="43" t="str">
        <f aca="false">IF($AH52=1,INDEX(報告入力!$BZ$7:$BZ$696,$B52),"")</f>
        <v/>
      </c>
      <c r="X52" s="42" t="str">
        <f aca="false">IF($AG52=1,INDEX(報告入力!$BS$7:$BS$696,$B52),"")</f>
        <v/>
      </c>
      <c r="Y52" s="42" t="str">
        <f aca="false">IF($AH52=1,INDEX(報告入力!$BK$7:$BK$696,$B52),"")</f>
        <v/>
      </c>
      <c r="Z52" s="43" t="str">
        <f aca="false">IF($AH52=1,INDEX(報告入力!$CA$7:$CA$696,$B52),"")</f>
        <v/>
      </c>
      <c r="AA52" s="42" t="str">
        <f aca="false">IF($AG52=1,INDEX(報告入力!$BT$7:$BT$696,$B52),"")</f>
        <v/>
      </c>
      <c r="AB52" s="42" t="str">
        <f aca="false">IF($AH52=1,INDEX(報告入力!$BL$7:$BL$696,$B52),"")</f>
        <v/>
      </c>
      <c r="AC52" s="43" t="str">
        <f aca="false">IF($AH52=1,INDEX(報告入力!$CB$7:$CB$696,$B52),"")</f>
        <v/>
      </c>
      <c r="AD52" s="42" t="str">
        <f aca="false">IF($AG52=1,INDEX(報告入力!$BU$7:$BU$696,$B52),"")</f>
        <v/>
      </c>
      <c r="AE52" s="42" t="str">
        <f aca="false">IF($AH52=1,INDEX(報告入力!$BM$7:$BM$696,$B52),"")</f>
        <v/>
      </c>
      <c r="AF52" s="43" t="str">
        <f aca="false">IF($AH52=1,INDEX(報告入力!$CC$7:$CC$696,$B52),"")</f>
        <v/>
      </c>
      <c r="AG52" s="33" t="n">
        <f aca="false">IF($B52="",0,IF(OR(C52="未受領",C52="報告なし"),0,1))</f>
        <v>0</v>
      </c>
      <c r="AH52" s="33" t="n">
        <f aca="false">IF(OR(D52="問題なし",D52="要確認"),1,0)</f>
        <v>0</v>
      </c>
      <c r="AI52" s="33" t="n">
        <f aca="false">IF(C52="未受領",MAX(AI$6:AI51)+1,"")</f>
        <v>35</v>
      </c>
      <c r="AJ52" s="33" t="str">
        <f aca="false">IF(D52="要確認",MAX(AJ$6:AJ51)+1,"")</f>
        <v/>
      </c>
      <c r="AK52" s="32" t="str">
        <f aca="false">IF(D52="要確認",INDEX(報告入力!$CD$7:$CD$696,$B52),"")</f>
        <v/>
      </c>
    </row>
  </sheetData>
  <mergeCells count="8">
    <mergeCell ref="I5:K5"/>
    <mergeCell ref="L5:N5"/>
    <mergeCell ref="O5:Q5"/>
    <mergeCell ref="R5:T5"/>
    <mergeCell ref="U5:W5"/>
    <mergeCell ref="X5:Z5"/>
    <mergeCell ref="AA5:AC5"/>
    <mergeCell ref="AD5:AF5"/>
  </mergeCells>
  <conditionalFormatting sqref="C7:C52">
    <cfRule type="expression" priority="2" aboveAverage="0" equalAverage="0" bottom="0" percent="0" rank="0" text="" dxfId="0">
      <formula>C7="未受領"</formula>
    </cfRule>
    <cfRule type="expression" priority="3" aboveAverage="0" equalAverage="0" bottom="0" percent="0" rank="0" text="" dxfId="17">
      <formula>OR(C7="入金確認済",C7="起票済")</formula>
    </cfRule>
    <cfRule type="expression" priority="4" aboveAverage="0" equalAverage="0" bottom="0" percent="0" rank="0" text="" dxfId="18">
      <formula>C7="受領済"</formula>
    </cfRule>
  </conditionalFormatting>
  <conditionalFormatting sqref="D7:D52">
    <cfRule type="expression" priority="5" aboveAverage="0" equalAverage="0" bottom="0" percent="0" rank="0" text="" dxfId="1">
      <formula>D7="要確認"</formula>
    </cfRule>
    <cfRule type="expression" priority="6" aboveAverage="0" equalAverage="0" bottom="0" percent="0" rank="0" text="" dxfId="2">
      <formula>D7="問題なし"</formula>
    </cfRule>
  </conditionalFormatting>
  <conditionalFormatting sqref="E7:E52">
    <cfRule type="expression" priority="7" aboveAverage="0" equalAverage="0" bottom="0" percent="0" rank="0" text="" dxfId="20">
      <formula>OR(LEFT(E7,3)="変動大",E7="前月同額")</formula>
    </cfRule>
  </conditionalFormatting>
  <conditionalFormatting sqref="A7:A52">
    <cfRule type="expression" priority="8" aboveAverage="0" equalAverage="0" bottom="0" percent="0" rank="0" text="" dxfId="21">
      <formula>$D7="要確認"</formula>
    </cfRule>
  </conditionalFormatting>
  <conditionalFormatting sqref="K7:K52">
    <cfRule type="expression" priority="9" aboveAverage="0" equalAverage="0" bottom="0" percent="0" rank="0" text="" dxfId="1">
      <formula>AND(ISNUMBER(K7),ABS(K7)&gt;=設定!$B$4)</formula>
    </cfRule>
  </conditionalFormatting>
  <conditionalFormatting sqref="N7:N52">
    <cfRule type="expression" priority="10" aboveAverage="0" equalAverage="0" bottom="0" percent="0" rank="0" text="" dxfId="1">
      <formula>AND(ISNUMBER(N7),ABS(N7)&gt;=設定!$B$4)</formula>
    </cfRule>
  </conditionalFormatting>
  <conditionalFormatting sqref="Q7:Q52">
    <cfRule type="expression" priority="11" aboveAverage="0" equalAverage="0" bottom="0" percent="0" rank="0" text="" dxfId="1">
      <formula>AND(ISNUMBER(Q7),ABS(Q7)&gt;=設定!$B$4)</formula>
    </cfRule>
  </conditionalFormatting>
  <conditionalFormatting sqref="T7:T52">
    <cfRule type="expression" priority="12" aboveAverage="0" equalAverage="0" bottom="0" percent="0" rank="0" text="" dxfId="1">
      <formula>AND(ISNUMBER(T7),ABS(T7)&gt;=設定!$B$4)</formula>
    </cfRule>
  </conditionalFormatting>
  <conditionalFormatting sqref="W7:W52">
    <cfRule type="expression" priority="13" aboveAverage="0" equalAverage="0" bottom="0" percent="0" rank="0" text="" dxfId="1">
      <formula>AND(ISNUMBER(W7),ABS(W7)&gt;=設定!$B$4)</formula>
    </cfRule>
  </conditionalFormatting>
  <conditionalFormatting sqref="Z7:Z52">
    <cfRule type="expression" priority="14" aboveAverage="0" equalAverage="0" bottom="0" percent="0" rank="0" text="" dxfId="1">
      <formula>AND(ISNUMBER(Z7),ABS(Z7)&gt;=設定!$B$4)</formula>
    </cfRule>
  </conditionalFormatting>
  <conditionalFormatting sqref="AC7:AC52">
    <cfRule type="expression" priority="15" aboveAverage="0" equalAverage="0" bottom="0" percent="0" rank="0" text="" dxfId="1">
      <formula>AND(ISNUMBER(AC7),ABS(AC7)&gt;=設定!$B$4)</formula>
    </cfRule>
  </conditionalFormatting>
  <conditionalFormatting sqref="AF7:AF52">
    <cfRule type="expression" priority="16" aboveAverage="0" equalAverage="0" bottom="0" percent="0" rank="0" text="" dxfId="1">
      <formula>AND(ISNUMBER(AF7),ABS(AF7)&gt;=設定!$B$4)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M5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421875" defaultRowHeight="15" zeroHeight="false" outlineLevelRow="0" outlineLevelCol="1"/>
  <cols>
    <col collapsed="false" customWidth="true" hidden="false" outlineLevel="0" max="1" min="1" style="0" width="7"/>
    <col collapsed="false" customWidth="true" hidden="false" outlineLevel="0" max="2" min="2" style="0" width="26"/>
    <col collapsed="false" customWidth="true" hidden="false" outlineLevel="0" max="3" min="3" style="0" width="9"/>
    <col collapsed="false" customWidth="true" hidden="false" outlineLevel="0" max="4" min="4" style="0" width="28"/>
    <col collapsed="false" customWidth="true" hidden="false" outlineLevel="0" max="5" min="5" style="0" width="14"/>
    <col collapsed="false" customWidth="true" hidden="false" outlineLevel="0" max="6" min="6" style="0" width="16"/>
    <col collapsed="false" customWidth="true" hidden="false" outlineLevel="0" max="7" min="7" style="0" width="13"/>
    <col collapsed="false" customWidth="true" hidden="false" outlineLevel="0" max="8" min="8" style="0" width="14"/>
    <col collapsed="false" customWidth="true" hidden="false" outlineLevel="0" max="9" min="9" style="0" width="20"/>
    <col collapsed="false" customWidth="true" hidden="false" outlineLevel="0" max="10" min="10" style="0" width="13"/>
    <col collapsed="false" customWidth="true" hidden="false" outlineLevel="0" max="11" min="11" style="0" width="11"/>
    <col collapsed="false" customWidth="true" hidden="true" outlineLevel="1" max="13" min="12" style="0" width="32"/>
  </cols>
  <sheetData>
    <row r="1" customFormat="false" ht="17.35" hidden="false" customHeight="false" outlineLevel="0" collapsed="false">
      <c r="A1" s="16" t="s">
        <v>246</v>
      </c>
    </row>
    <row r="2" customFormat="false" ht="17.35" hidden="false" customHeight="false" outlineLevel="0" collapsed="false">
      <c r="A2" s="37" t="s">
        <v>224</v>
      </c>
      <c r="B2" s="38" t="str">
        <f aca="false">ホーム!C4</f>
        <v>2026-10 月例</v>
      </c>
      <c r="D2" s="37" t="s">
        <v>247</v>
      </c>
      <c r="E2" s="37" t="str">
        <f aca="false">設定!B6</f>
        <v>入金確認済のみ</v>
      </c>
    </row>
    <row r="3" customFormat="false" ht="17.35" hidden="false" customHeight="false" outlineLevel="0" collapsed="false">
      <c r="A3" s="2" t="s">
        <v>248</v>
      </c>
    </row>
    <row r="4" customFormat="false" ht="17.35" hidden="false" customHeight="false" outlineLevel="0" collapsed="false">
      <c r="A4" s="44" t="s">
        <v>249</v>
      </c>
    </row>
    <row r="5" customFormat="false" ht="17.35" hidden="false" customHeight="false" outlineLevel="0" collapsed="false"/>
    <row r="6" customFormat="false" ht="15" hidden="false" customHeight="false" outlineLevel="0" collapsed="false">
      <c r="A6" s="3" t="s">
        <v>250</v>
      </c>
      <c r="B6" s="3" t="s">
        <v>251</v>
      </c>
      <c r="C6" s="3" t="s">
        <v>252</v>
      </c>
      <c r="D6" s="3" t="s">
        <v>253</v>
      </c>
      <c r="E6" s="3" t="s">
        <v>254</v>
      </c>
      <c r="F6" s="3" t="s">
        <v>255</v>
      </c>
      <c r="G6" s="3" t="s">
        <v>256</v>
      </c>
      <c r="H6" s="3" t="s">
        <v>257</v>
      </c>
      <c r="I6" s="3" t="s">
        <v>258</v>
      </c>
      <c r="J6" s="3" t="s">
        <v>259</v>
      </c>
      <c r="K6" s="3" t="s">
        <v>260</v>
      </c>
      <c r="L6" s="21" t="s">
        <v>261</v>
      </c>
      <c r="M6" s="21" t="s">
        <v>262</v>
      </c>
    </row>
    <row r="7" customFormat="false" ht="15" hidden="false" customHeight="false" outlineLevel="0" collapsed="false">
      <c r="A7" s="10" t="str">
        <f aca="false">IF($M7="","",INDEX(伝票元!$P$6:$P$511,$M7))</f>
        <v/>
      </c>
      <c r="B7" s="45" t="str">
        <f aca="false">IF($M7="","",INDEX(伝票元!$D$6:$D$511,$M7))</f>
        <v/>
      </c>
      <c r="C7" s="10" t="str">
        <f aca="false">IF($M7="","",INDEX(伝票元!$E$6:$E$511,$M7))</f>
        <v/>
      </c>
      <c r="D7" s="45" t="str">
        <f aca="false">IF($M7="","",INDEX(伝票元!$A$6:$A$511,$M7))</f>
        <v/>
      </c>
      <c r="E7" s="10" t="str">
        <f aca="false">IF(IF($M7="",0,INDEX(伝票元!$N$6:$N$511,$M7))=1,INDEX(伝票元!$I$6:$I$511,$M7),"")</f>
        <v/>
      </c>
      <c r="F7" s="45" t="str">
        <f aca="false">IF(IF($M7="",0,INDEX(伝票元!$N$6:$N$511,$M7))=1,INDEX(伝票元!$J$6:$J$511,$M7),"")</f>
        <v/>
      </c>
      <c r="G7" s="42" t="str">
        <f aca="false">IF(IF($M7="",0,INDEX(伝票元!$N$6:$N$511,$M7))=1,INDEX(伝票元!$Q$6:$Q$511,$M7),"")</f>
        <v/>
      </c>
      <c r="H7" s="45" t="str">
        <f aca="false">IF($M7="","",INDEX(伝票元!$F$6:$F$511,$M7))</f>
        <v/>
      </c>
      <c r="I7" s="45" t="str">
        <f aca="false">IF($M7="","",INDEX(伝票元!$G$6:$G$511,$M7))</f>
        <v/>
      </c>
      <c r="J7" s="42" t="str">
        <f aca="false">IF($M7="","",INDEX(伝票元!$H$6:$H$511,$M7))</f>
        <v/>
      </c>
      <c r="K7" s="46" t="str">
        <f aca="false">IF(IF($M7="",0,INDEX(伝票元!$N$6:$N$511,$M7))=1,INDEX(伝票元!$R$6:$R$511,$M7),"")</f>
        <v/>
      </c>
      <c r="L7" s="47" t="str">
        <f aca="false">IF($M7="","",INDEX(伝票元!$S$6:$S$511,$M7))</f>
        <v/>
      </c>
      <c r="M7" s="47" t="str">
        <f aca="false">IFERROR(MATCH(1,伝票元!$O$6:$O$511,0),"")</f>
        <v/>
      </c>
    </row>
    <row r="8" customFormat="false" ht="15" hidden="false" customHeight="false" outlineLevel="0" collapsed="false">
      <c r="A8" s="10" t="str">
        <f aca="false">IF($M8="","",INDEX(伝票元!$P$6:$P$511,$M8))</f>
        <v/>
      </c>
      <c r="B8" s="45" t="str">
        <f aca="false">IF($M8="","",INDEX(伝票元!$D$6:$D$511,$M8))</f>
        <v/>
      </c>
      <c r="C8" s="10" t="str">
        <f aca="false">IF($M8="","",INDEX(伝票元!$E$6:$E$511,$M8))</f>
        <v/>
      </c>
      <c r="D8" s="45" t="str">
        <f aca="false">IF($M8="","",INDEX(伝票元!$A$6:$A$511,$M8))</f>
        <v/>
      </c>
      <c r="E8" s="10" t="str">
        <f aca="false">IF(IF($M8="",0,INDEX(伝票元!$N$6:$N$511,$M8))=1,INDEX(伝票元!$I$6:$I$511,$M8),"")</f>
        <v/>
      </c>
      <c r="F8" s="45" t="str">
        <f aca="false">IF(IF($M8="",0,INDEX(伝票元!$N$6:$N$511,$M8))=1,INDEX(伝票元!$J$6:$J$511,$M8),"")</f>
        <v/>
      </c>
      <c r="G8" s="42" t="str">
        <f aca="false">IF(IF($M8="",0,INDEX(伝票元!$N$6:$N$511,$M8))=1,INDEX(伝票元!$Q$6:$Q$511,$M8),"")</f>
        <v/>
      </c>
      <c r="H8" s="45" t="str">
        <f aca="false">IF($M8="","",INDEX(伝票元!$F$6:$F$511,$M8))</f>
        <v/>
      </c>
      <c r="I8" s="45" t="str">
        <f aca="false">IF($M8="","",INDEX(伝票元!$G$6:$G$511,$M8))</f>
        <v/>
      </c>
      <c r="J8" s="42" t="str">
        <f aca="false">IF($M8="","",INDEX(伝票元!$H$6:$H$511,$M8))</f>
        <v/>
      </c>
      <c r="K8" s="46" t="str">
        <f aca="false">IF(IF($M8="",0,INDEX(伝票元!$N$6:$N$511,$M8))=1,INDEX(伝票元!$R$6:$R$511,$M8),"")</f>
        <v/>
      </c>
      <c r="L8" s="47" t="str">
        <f aca="false">IF($M8="","",INDEX(伝票元!$S$6:$S$511,$M8))</f>
        <v/>
      </c>
      <c r="M8" s="47" t="str">
        <f aca="false">IFERROR(MATCH(2,伝票元!$O$6:$O$511,0),"")</f>
        <v/>
      </c>
    </row>
    <row r="9" customFormat="false" ht="15" hidden="false" customHeight="false" outlineLevel="0" collapsed="false">
      <c r="A9" s="10" t="str">
        <f aca="false">IF($M9="","",INDEX(伝票元!$P$6:$P$511,$M9))</f>
        <v/>
      </c>
      <c r="B9" s="45" t="str">
        <f aca="false">IF($M9="","",INDEX(伝票元!$D$6:$D$511,$M9))</f>
        <v/>
      </c>
      <c r="C9" s="10" t="str">
        <f aca="false">IF($M9="","",INDEX(伝票元!$E$6:$E$511,$M9))</f>
        <v/>
      </c>
      <c r="D9" s="45" t="str">
        <f aca="false">IF($M9="","",INDEX(伝票元!$A$6:$A$511,$M9))</f>
        <v/>
      </c>
      <c r="E9" s="10" t="str">
        <f aca="false">IF(IF($M9="",0,INDEX(伝票元!$N$6:$N$511,$M9))=1,INDEX(伝票元!$I$6:$I$511,$M9),"")</f>
        <v/>
      </c>
      <c r="F9" s="45" t="str">
        <f aca="false">IF(IF($M9="",0,INDEX(伝票元!$N$6:$N$511,$M9))=1,INDEX(伝票元!$J$6:$J$511,$M9),"")</f>
        <v/>
      </c>
      <c r="G9" s="42" t="str">
        <f aca="false">IF(IF($M9="",0,INDEX(伝票元!$N$6:$N$511,$M9))=1,INDEX(伝票元!$Q$6:$Q$511,$M9),"")</f>
        <v/>
      </c>
      <c r="H9" s="45" t="str">
        <f aca="false">IF($M9="","",INDEX(伝票元!$F$6:$F$511,$M9))</f>
        <v/>
      </c>
      <c r="I9" s="45" t="str">
        <f aca="false">IF($M9="","",INDEX(伝票元!$G$6:$G$511,$M9))</f>
        <v/>
      </c>
      <c r="J9" s="42" t="str">
        <f aca="false">IF($M9="","",INDEX(伝票元!$H$6:$H$511,$M9))</f>
        <v/>
      </c>
      <c r="K9" s="46" t="str">
        <f aca="false">IF(IF($M9="",0,INDEX(伝票元!$N$6:$N$511,$M9))=1,INDEX(伝票元!$R$6:$R$511,$M9),"")</f>
        <v/>
      </c>
      <c r="L9" s="47" t="str">
        <f aca="false">IF($M9="","",INDEX(伝票元!$S$6:$S$511,$M9))</f>
        <v/>
      </c>
      <c r="M9" s="47" t="str">
        <f aca="false">IFERROR(MATCH(3,伝票元!$O$6:$O$511,0),"")</f>
        <v/>
      </c>
    </row>
    <row r="10" customFormat="false" ht="15" hidden="false" customHeight="false" outlineLevel="0" collapsed="false">
      <c r="A10" s="10" t="str">
        <f aca="false">IF($M10="","",INDEX(伝票元!$P$6:$P$511,$M10))</f>
        <v/>
      </c>
      <c r="B10" s="45" t="str">
        <f aca="false">IF($M10="","",INDEX(伝票元!$D$6:$D$511,$M10))</f>
        <v/>
      </c>
      <c r="C10" s="10" t="str">
        <f aca="false">IF($M10="","",INDEX(伝票元!$E$6:$E$511,$M10))</f>
        <v/>
      </c>
      <c r="D10" s="45" t="str">
        <f aca="false">IF($M10="","",INDEX(伝票元!$A$6:$A$511,$M10))</f>
        <v/>
      </c>
      <c r="E10" s="10" t="str">
        <f aca="false">IF(IF($M10="",0,INDEX(伝票元!$N$6:$N$511,$M10))=1,INDEX(伝票元!$I$6:$I$511,$M10),"")</f>
        <v/>
      </c>
      <c r="F10" s="45" t="str">
        <f aca="false">IF(IF($M10="",0,INDEX(伝票元!$N$6:$N$511,$M10))=1,INDEX(伝票元!$J$6:$J$511,$M10),"")</f>
        <v/>
      </c>
      <c r="G10" s="42" t="str">
        <f aca="false">IF(IF($M10="",0,INDEX(伝票元!$N$6:$N$511,$M10))=1,INDEX(伝票元!$Q$6:$Q$511,$M10),"")</f>
        <v/>
      </c>
      <c r="H10" s="45" t="str">
        <f aca="false">IF($M10="","",INDEX(伝票元!$F$6:$F$511,$M10))</f>
        <v/>
      </c>
      <c r="I10" s="45" t="str">
        <f aca="false">IF($M10="","",INDEX(伝票元!$G$6:$G$511,$M10))</f>
        <v/>
      </c>
      <c r="J10" s="42" t="str">
        <f aca="false">IF($M10="","",INDEX(伝票元!$H$6:$H$511,$M10))</f>
        <v/>
      </c>
      <c r="K10" s="46" t="str">
        <f aca="false">IF(IF($M10="",0,INDEX(伝票元!$N$6:$N$511,$M10))=1,INDEX(伝票元!$R$6:$R$511,$M10),"")</f>
        <v/>
      </c>
      <c r="L10" s="47" t="str">
        <f aca="false">IF($M10="","",INDEX(伝票元!$S$6:$S$511,$M10))</f>
        <v/>
      </c>
      <c r="M10" s="47" t="str">
        <f aca="false">IFERROR(MATCH(4,伝票元!$O$6:$O$511,0),"")</f>
        <v/>
      </c>
    </row>
    <row r="11" customFormat="false" ht="15" hidden="false" customHeight="false" outlineLevel="0" collapsed="false">
      <c r="A11" s="10" t="str">
        <f aca="false">IF($M11="","",INDEX(伝票元!$P$6:$P$511,$M11))</f>
        <v/>
      </c>
      <c r="B11" s="45" t="str">
        <f aca="false">IF($M11="","",INDEX(伝票元!$D$6:$D$511,$M11))</f>
        <v/>
      </c>
      <c r="C11" s="10" t="str">
        <f aca="false">IF($M11="","",INDEX(伝票元!$E$6:$E$511,$M11))</f>
        <v/>
      </c>
      <c r="D11" s="45" t="str">
        <f aca="false">IF($M11="","",INDEX(伝票元!$A$6:$A$511,$M11))</f>
        <v/>
      </c>
      <c r="E11" s="10" t="str">
        <f aca="false">IF(IF($M11="",0,INDEX(伝票元!$N$6:$N$511,$M11))=1,INDEX(伝票元!$I$6:$I$511,$M11),"")</f>
        <v/>
      </c>
      <c r="F11" s="45" t="str">
        <f aca="false">IF(IF($M11="",0,INDEX(伝票元!$N$6:$N$511,$M11))=1,INDEX(伝票元!$J$6:$J$511,$M11),"")</f>
        <v/>
      </c>
      <c r="G11" s="42" t="str">
        <f aca="false">IF(IF($M11="",0,INDEX(伝票元!$N$6:$N$511,$M11))=1,INDEX(伝票元!$Q$6:$Q$511,$M11),"")</f>
        <v/>
      </c>
      <c r="H11" s="45" t="str">
        <f aca="false">IF($M11="","",INDEX(伝票元!$F$6:$F$511,$M11))</f>
        <v/>
      </c>
      <c r="I11" s="45" t="str">
        <f aca="false">IF($M11="","",INDEX(伝票元!$G$6:$G$511,$M11))</f>
        <v/>
      </c>
      <c r="J11" s="42" t="str">
        <f aca="false">IF($M11="","",INDEX(伝票元!$H$6:$H$511,$M11))</f>
        <v/>
      </c>
      <c r="K11" s="46" t="str">
        <f aca="false">IF(IF($M11="",0,INDEX(伝票元!$N$6:$N$511,$M11))=1,INDEX(伝票元!$R$6:$R$511,$M11),"")</f>
        <v/>
      </c>
      <c r="L11" s="47" t="str">
        <f aca="false">IF($M11="","",INDEX(伝票元!$S$6:$S$511,$M11))</f>
        <v/>
      </c>
      <c r="M11" s="47" t="str">
        <f aca="false">IFERROR(MATCH(5,伝票元!$O$6:$O$511,0),"")</f>
        <v/>
      </c>
    </row>
    <row r="12" customFormat="false" ht="15" hidden="false" customHeight="false" outlineLevel="0" collapsed="false">
      <c r="A12" s="10" t="str">
        <f aca="false">IF($M12="","",INDEX(伝票元!$P$6:$P$511,$M12))</f>
        <v/>
      </c>
      <c r="B12" s="45" t="str">
        <f aca="false">IF($M12="","",INDEX(伝票元!$D$6:$D$511,$M12))</f>
        <v/>
      </c>
      <c r="C12" s="10" t="str">
        <f aca="false">IF($M12="","",INDEX(伝票元!$E$6:$E$511,$M12))</f>
        <v/>
      </c>
      <c r="D12" s="45" t="str">
        <f aca="false">IF($M12="","",INDEX(伝票元!$A$6:$A$511,$M12))</f>
        <v/>
      </c>
      <c r="E12" s="10" t="str">
        <f aca="false">IF(IF($M12="",0,INDEX(伝票元!$N$6:$N$511,$M12))=1,INDEX(伝票元!$I$6:$I$511,$M12),"")</f>
        <v/>
      </c>
      <c r="F12" s="45" t="str">
        <f aca="false">IF(IF($M12="",0,INDEX(伝票元!$N$6:$N$511,$M12))=1,INDEX(伝票元!$J$6:$J$511,$M12),"")</f>
        <v/>
      </c>
      <c r="G12" s="42" t="str">
        <f aca="false">IF(IF($M12="",0,INDEX(伝票元!$N$6:$N$511,$M12))=1,INDEX(伝票元!$Q$6:$Q$511,$M12),"")</f>
        <v/>
      </c>
      <c r="H12" s="45" t="str">
        <f aca="false">IF($M12="","",INDEX(伝票元!$F$6:$F$511,$M12))</f>
        <v/>
      </c>
      <c r="I12" s="45" t="str">
        <f aca="false">IF($M12="","",INDEX(伝票元!$G$6:$G$511,$M12))</f>
        <v/>
      </c>
      <c r="J12" s="42" t="str">
        <f aca="false">IF($M12="","",INDEX(伝票元!$H$6:$H$511,$M12))</f>
        <v/>
      </c>
      <c r="K12" s="46" t="str">
        <f aca="false">IF(IF($M12="",0,INDEX(伝票元!$N$6:$N$511,$M12))=1,INDEX(伝票元!$R$6:$R$511,$M12),"")</f>
        <v/>
      </c>
      <c r="L12" s="47" t="str">
        <f aca="false">IF($M12="","",INDEX(伝票元!$S$6:$S$511,$M12))</f>
        <v/>
      </c>
      <c r="M12" s="47" t="str">
        <f aca="false">IFERROR(MATCH(6,伝票元!$O$6:$O$511,0),"")</f>
        <v/>
      </c>
    </row>
    <row r="13" customFormat="false" ht="15" hidden="false" customHeight="false" outlineLevel="0" collapsed="false">
      <c r="A13" s="10" t="str">
        <f aca="false">IF($M13="","",INDEX(伝票元!$P$6:$P$511,$M13))</f>
        <v/>
      </c>
      <c r="B13" s="45" t="str">
        <f aca="false">IF($M13="","",INDEX(伝票元!$D$6:$D$511,$M13))</f>
        <v/>
      </c>
      <c r="C13" s="10" t="str">
        <f aca="false">IF($M13="","",INDEX(伝票元!$E$6:$E$511,$M13))</f>
        <v/>
      </c>
      <c r="D13" s="45" t="str">
        <f aca="false">IF($M13="","",INDEX(伝票元!$A$6:$A$511,$M13))</f>
        <v/>
      </c>
      <c r="E13" s="10" t="str">
        <f aca="false">IF(IF($M13="",0,INDEX(伝票元!$N$6:$N$511,$M13))=1,INDEX(伝票元!$I$6:$I$511,$M13),"")</f>
        <v/>
      </c>
      <c r="F13" s="45" t="str">
        <f aca="false">IF(IF($M13="",0,INDEX(伝票元!$N$6:$N$511,$M13))=1,INDEX(伝票元!$J$6:$J$511,$M13),"")</f>
        <v/>
      </c>
      <c r="G13" s="42" t="str">
        <f aca="false">IF(IF($M13="",0,INDEX(伝票元!$N$6:$N$511,$M13))=1,INDEX(伝票元!$Q$6:$Q$511,$M13),"")</f>
        <v/>
      </c>
      <c r="H13" s="45" t="str">
        <f aca="false">IF($M13="","",INDEX(伝票元!$F$6:$F$511,$M13))</f>
        <v/>
      </c>
      <c r="I13" s="45" t="str">
        <f aca="false">IF($M13="","",INDEX(伝票元!$G$6:$G$511,$M13))</f>
        <v/>
      </c>
      <c r="J13" s="42" t="str">
        <f aca="false">IF($M13="","",INDEX(伝票元!$H$6:$H$511,$M13))</f>
        <v/>
      </c>
      <c r="K13" s="46" t="str">
        <f aca="false">IF(IF($M13="",0,INDEX(伝票元!$N$6:$N$511,$M13))=1,INDEX(伝票元!$R$6:$R$511,$M13),"")</f>
        <v/>
      </c>
      <c r="L13" s="47" t="str">
        <f aca="false">IF($M13="","",INDEX(伝票元!$S$6:$S$511,$M13))</f>
        <v/>
      </c>
      <c r="M13" s="47" t="str">
        <f aca="false">IFERROR(MATCH(7,伝票元!$O$6:$O$511,0),"")</f>
        <v/>
      </c>
    </row>
    <row r="14" customFormat="false" ht="15" hidden="false" customHeight="false" outlineLevel="0" collapsed="false">
      <c r="A14" s="10" t="str">
        <f aca="false">IF($M14="","",INDEX(伝票元!$P$6:$P$511,$M14))</f>
        <v/>
      </c>
      <c r="B14" s="45" t="str">
        <f aca="false">IF($M14="","",INDEX(伝票元!$D$6:$D$511,$M14))</f>
        <v/>
      </c>
      <c r="C14" s="10" t="str">
        <f aca="false">IF($M14="","",INDEX(伝票元!$E$6:$E$511,$M14))</f>
        <v/>
      </c>
      <c r="D14" s="45" t="str">
        <f aca="false">IF($M14="","",INDEX(伝票元!$A$6:$A$511,$M14))</f>
        <v/>
      </c>
      <c r="E14" s="10" t="str">
        <f aca="false">IF(IF($M14="",0,INDEX(伝票元!$N$6:$N$511,$M14))=1,INDEX(伝票元!$I$6:$I$511,$M14),"")</f>
        <v/>
      </c>
      <c r="F14" s="45" t="str">
        <f aca="false">IF(IF($M14="",0,INDEX(伝票元!$N$6:$N$511,$M14))=1,INDEX(伝票元!$J$6:$J$511,$M14),"")</f>
        <v/>
      </c>
      <c r="G14" s="42" t="str">
        <f aca="false">IF(IF($M14="",0,INDEX(伝票元!$N$6:$N$511,$M14))=1,INDEX(伝票元!$Q$6:$Q$511,$M14),"")</f>
        <v/>
      </c>
      <c r="H14" s="45" t="str">
        <f aca="false">IF($M14="","",INDEX(伝票元!$F$6:$F$511,$M14))</f>
        <v/>
      </c>
      <c r="I14" s="45" t="str">
        <f aca="false">IF($M14="","",INDEX(伝票元!$G$6:$G$511,$M14))</f>
        <v/>
      </c>
      <c r="J14" s="42" t="str">
        <f aca="false">IF($M14="","",INDEX(伝票元!$H$6:$H$511,$M14))</f>
        <v/>
      </c>
      <c r="K14" s="46" t="str">
        <f aca="false">IF(IF($M14="",0,INDEX(伝票元!$N$6:$N$511,$M14))=1,INDEX(伝票元!$R$6:$R$511,$M14),"")</f>
        <v/>
      </c>
      <c r="L14" s="47" t="str">
        <f aca="false">IF($M14="","",INDEX(伝票元!$S$6:$S$511,$M14))</f>
        <v/>
      </c>
      <c r="M14" s="47" t="str">
        <f aca="false">IFERROR(MATCH(8,伝票元!$O$6:$O$511,0),"")</f>
        <v/>
      </c>
    </row>
    <row r="15" customFormat="false" ht="15" hidden="false" customHeight="false" outlineLevel="0" collapsed="false">
      <c r="A15" s="10" t="str">
        <f aca="false">IF($M15="","",INDEX(伝票元!$P$6:$P$511,$M15))</f>
        <v/>
      </c>
      <c r="B15" s="45" t="str">
        <f aca="false">IF($M15="","",INDEX(伝票元!$D$6:$D$511,$M15))</f>
        <v/>
      </c>
      <c r="C15" s="10" t="str">
        <f aca="false">IF($M15="","",INDEX(伝票元!$E$6:$E$511,$M15))</f>
        <v/>
      </c>
      <c r="D15" s="45" t="str">
        <f aca="false">IF($M15="","",INDEX(伝票元!$A$6:$A$511,$M15))</f>
        <v/>
      </c>
      <c r="E15" s="10" t="str">
        <f aca="false">IF(IF($M15="",0,INDEX(伝票元!$N$6:$N$511,$M15))=1,INDEX(伝票元!$I$6:$I$511,$M15),"")</f>
        <v/>
      </c>
      <c r="F15" s="45" t="str">
        <f aca="false">IF(IF($M15="",0,INDEX(伝票元!$N$6:$N$511,$M15))=1,INDEX(伝票元!$J$6:$J$511,$M15),"")</f>
        <v/>
      </c>
      <c r="G15" s="42" t="str">
        <f aca="false">IF(IF($M15="",0,INDEX(伝票元!$N$6:$N$511,$M15))=1,INDEX(伝票元!$Q$6:$Q$511,$M15),"")</f>
        <v/>
      </c>
      <c r="H15" s="45" t="str">
        <f aca="false">IF($M15="","",INDEX(伝票元!$F$6:$F$511,$M15))</f>
        <v/>
      </c>
      <c r="I15" s="45" t="str">
        <f aca="false">IF($M15="","",INDEX(伝票元!$G$6:$G$511,$M15))</f>
        <v/>
      </c>
      <c r="J15" s="42" t="str">
        <f aca="false">IF($M15="","",INDEX(伝票元!$H$6:$H$511,$M15))</f>
        <v/>
      </c>
      <c r="K15" s="46" t="str">
        <f aca="false">IF(IF($M15="",0,INDEX(伝票元!$N$6:$N$511,$M15))=1,INDEX(伝票元!$R$6:$R$511,$M15),"")</f>
        <v/>
      </c>
      <c r="L15" s="47" t="str">
        <f aca="false">IF($M15="","",INDEX(伝票元!$S$6:$S$511,$M15))</f>
        <v/>
      </c>
      <c r="M15" s="47" t="str">
        <f aca="false">IFERROR(MATCH(9,伝票元!$O$6:$O$511,0),"")</f>
        <v/>
      </c>
    </row>
    <row r="16" customFormat="false" ht="15" hidden="false" customHeight="false" outlineLevel="0" collapsed="false">
      <c r="A16" s="10" t="str">
        <f aca="false">IF($M16="","",INDEX(伝票元!$P$6:$P$511,$M16))</f>
        <v/>
      </c>
      <c r="B16" s="45" t="str">
        <f aca="false">IF($M16="","",INDEX(伝票元!$D$6:$D$511,$M16))</f>
        <v/>
      </c>
      <c r="C16" s="10" t="str">
        <f aca="false">IF($M16="","",INDEX(伝票元!$E$6:$E$511,$M16))</f>
        <v/>
      </c>
      <c r="D16" s="45" t="str">
        <f aca="false">IF($M16="","",INDEX(伝票元!$A$6:$A$511,$M16))</f>
        <v/>
      </c>
      <c r="E16" s="10" t="str">
        <f aca="false">IF(IF($M16="",0,INDEX(伝票元!$N$6:$N$511,$M16))=1,INDEX(伝票元!$I$6:$I$511,$M16),"")</f>
        <v/>
      </c>
      <c r="F16" s="45" t="str">
        <f aca="false">IF(IF($M16="",0,INDEX(伝票元!$N$6:$N$511,$M16))=1,INDEX(伝票元!$J$6:$J$511,$M16),"")</f>
        <v/>
      </c>
      <c r="G16" s="42" t="str">
        <f aca="false">IF(IF($M16="",0,INDEX(伝票元!$N$6:$N$511,$M16))=1,INDEX(伝票元!$Q$6:$Q$511,$M16),"")</f>
        <v/>
      </c>
      <c r="H16" s="45" t="str">
        <f aca="false">IF($M16="","",INDEX(伝票元!$F$6:$F$511,$M16))</f>
        <v/>
      </c>
      <c r="I16" s="45" t="str">
        <f aca="false">IF($M16="","",INDEX(伝票元!$G$6:$G$511,$M16))</f>
        <v/>
      </c>
      <c r="J16" s="42" t="str">
        <f aca="false">IF($M16="","",INDEX(伝票元!$H$6:$H$511,$M16))</f>
        <v/>
      </c>
      <c r="K16" s="46" t="str">
        <f aca="false">IF(IF($M16="",0,INDEX(伝票元!$N$6:$N$511,$M16))=1,INDEX(伝票元!$R$6:$R$511,$M16),"")</f>
        <v/>
      </c>
      <c r="L16" s="47" t="str">
        <f aca="false">IF($M16="","",INDEX(伝票元!$S$6:$S$511,$M16))</f>
        <v/>
      </c>
      <c r="M16" s="47" t="str">
        <f aca="false">IFERROR(MATCH(10,伝票元!$O$6:$O$511,0),"")</f>
        <v/>
      </c>
    </row>
    <row r="17" customFormat="false" ht="15" hidden="false" customHeight="false" outlineLevel="0" collapsed="false">
      <c r="A17" s="10" t="str">
        <f aca="false">IF($M17="","",INDEX(伝票元!$P$6:$P$511,$M17))</f>
        <v/>
      </c>
      <c r="B17" s="45" t="str">
        <f aca="false">IF($M17="","",INDEX(伝票元!$D$6:$D$511,$M17))</f>
        <v/>
      </c>
      <c r="C17" s="10" t="str">
        <f aca="false">IF($M17="","",INDEX(伝票元!$E$6:$E$511,$M17))</f>
        <v/>
      </c>
      <c r="D17" s="45" t="str">
        <f aca="false">IF($M17="","",INDEX(伝票元!$A$6:$A$511,$M17))</f>
        <v/>
      </c>
      <c r="E17" s="10" t="str">
        <f aca="false">IF(IF($M17="",0,INDEX(伝票元!$N$6:$N$511,$M17))=1,INDEX(伝票元!$I$6:$I$511,$M17),"")</f>
        <v/>
      </c>
      <c r="F17" s="45" t="str">
        <f aca="false">IF(IF($M17="",0,INDEX(伝票元!$N$6:$N$511,$M17))=1,INDEX(伝票元!$J$6:$J$511,$M17),"")</f>
        <v/>
      </c>
      <c r="G17" s="42" t="str">
        <f aca="false">IF(IF($M17="",0,INDEX(伝票元!$N$6:$N$511,$M17))=1,INDEX(伝票元!$Q$6:$Q$511,$M17),"")</f>
        <v/>
      </c>
      <c r="H17" s="45" t="str">
        <f aca="false">IF($M17="","",INDEX(伝票元!$F$6:$F$511,$M17))</f>
        <v/>
      </c>
      <c r="I17" s="45" t="str">
        <f aca="false">IF($M17="","",INDEX(伝票元!$G$6:$G$511,$M17))</f>
        <v/>
      </c>
      <c r="J17" s="42" t="str">
        <f aca="false">IF($M17="","",INDEX(伝票元!$H$6:$H$511,$M17))</f>
        <v/>
      </c>
      <c r="K17" s="46" t="str">
        <f aca="false">IF(IF($M17="",0,INDEX(伝票元!$N$6:$N$511,$M17))=1,INDEX(伝票元!$R$6:$R$511,$M17),"")</f>
        <v/>
      </c>
      <c r="L17" s="47" t="str">
        <f aca="false">IF($M17="","",INDEX(伝票元!$S$6:$S$511,$M17))</f>
        <v/>
      </c>
      <c r="M17" s="47" t="str">
        <f aca="false">IFERROR(MATCH(11,伝票元!$O$6:$O$511,0),"")</f>
        <v/>
      </c>
    </row>
    <row r="18" customFormat="false" ht="15" hidden="false" customHeight="false" outlineLevel="0" collapsed="false">
      <c r="A18" s="10" t="str">
        <f aca="false">IF($M18="","",INDEX(伝票元!$P$6:$P$511,$M18))</f>
        <v/>
      </c>
      <c r="B18" s="45" t="str">
        <f aca="false">IF($M18="","",INDEX(伝票元!$D$6:$D$511,$M18))</f>
        <v/>
      </c>
      <c r="C18" s="10" t="str">
        <f aca="false">IF($M18="","",INDEX(伝票元!$E$6:$E$511,$M18))</f>
        <v/>
      </c>
      <c r="D18" s="45" t="str">
        <f aca="false">IF($M18="","",INDEX(伝票元!$A$6:$A$511,$M18))</f>
        <v/>
      </c>
      <c r="E18" s="10" t="str">
        <f aca="false">IF(IF($M18="",0,INDEX(伝票元!$N$6:$N$511,$M18))=1,INDEX(伝票元!$I$6:$I$511,$M18),"")</f>
        <v/>
      </c>
      <c r="F18" s="45" t="str">
        <f aca="false">IF(IF($M18="",0,INDEX(伝票元!$N$6:$N$511,$M18))=1,INDEX(伝票元!$J$6:$J$511,$M18),"")</f>
        <v/>
      </c>
      <c r="G18" s="42" t="str">
        <f aca="false">IF(IF($M18="",0,INDEX(伝票元!$N$6:$N$511,$M18))=1,INDEX(伝票元!$Q$6:$Q$511,$M18),"")</f>
        <v/>
      </c>
      <c r="H18" s="45" t="str">
        <f aca="false">IF($M18="","",INDEX(伝票元!$F$6:$F$511,$M18))</f>
        <v/>
      </c>
      <c r="I18" s="45" t="str">
        <f aca="false">IF($M18="","",INDEX(伝票元!$G$6:$G$511,$M18))</f>
        <v/>
      </c>
      <c r="J18" s="42" t="str">
        <f aca="false">IF($M18="","",INDEX(伝票元!$H$6:$H$511,$M18))</f>
        <v/>
      </c>
      <c r="K18" s="46" t="str">
        <f aca="false">IF(IF($M18="",0,INDEX(伝票元!$N$6:$N$511,$M18))=1,INDEX(伝票元!$R$6:$R$511,$M18),"")</f>
        <v/>
      </c>
      <c r="L18" s="47" t="str">
        <f aca="false">IF($M18="","",INDEX(伝票元!$S$6:$S$511,$M18))</f>
        <v/>
      </c>
      <c r="M18" s="47" t="str">
        <f aca="false">IFERROR(MATCH(12,伝票元!$O$6:$O$511,0),"")</f>
        <v/>
      </c>
    </row>
    <row r="19" customFormat="false" ht="15" hidden="false" customHeight="false" outlineLevel="0" collapsed="false">
      <c r="A19" s="10" t="str">
        <f aca="false">IF($M19="","",INDEX(伝票元!$P$6:$P$511,$M19))</f>
        <v/>
      </c>
      <c r="B19" s="45" t="str">
        <f aca="false">IF($M19="","",INDEX(伝票元!$D$6:$D$511,$M19))</f>
        <v/>
      </c>
      <c r="C19" s="10" t="str">
        <f aca="false">IF($M19="","",INDEX(伝票元!$E$6:$E$511,$M19))</f>
        <v/>
      </c>
      <c r="D19" s="45" t="str">
        <f aca="false">IF($M19="","",INDEX(伝票元!$A$6:$A$511,$M19))</f>
        <v/>
      </c>
      <c r="E19" s="10" t="str">
        <f aca="false">IF(IF($M19="",0,INDEX(伝票元!$N$6:$N$511,$M19))=1,INDEX(伝票元!$I$6:$I$511,$M19),"")</f>
        <v/>
      </c>
      <c r="F19" s="45" t="str">
        <f aca="false">IF(IF($M19="",0,INDEX(伝票元!$N$6:$N$511,$M19))=1,INDEX(伝票元!$J$6:$J$511,$M19),"")</f>
        <v/>
      </c>
      <c r="G19" s="42" t="str">
        <f aca="false">IF(IF($M19="",0,INDEX(伝票元!$N$6:$N$511,$M19))=1,INDEX(伝票元!$Q$6:$Q$511,$M19),"")</f>
        <v/>
      </c>
      <c r="H19" s="45" t="str">
        <f aca="false">IF($M19="","",INDEX(伝票元!$F$6:$F$511,$M19))</f>
        <v/>
      </c>
      <c r="I19" s="45" t="str">
        <f aca="false">IF($M19="","",INDEX(伝票元!$G$6:$G$511,$M19))</f>
        <v/>
      </c>
      <c r="J19" s="42" t="str">
        <f aca="false">IF($M19="","",INDEX(伝票元!$H$6:$H$511,$M19))</f>
        <v/>
      </c>
      <c r="K19" s="46" t="str">
        <f aca="false">IF(IF($M19="",0,INDEX(伝票元!$N$6:$N$511,$M19))=1,INDEX(伝票元!$R$6:$R$511,$M19),"")</f>
        <v/>
      </c>
      <c r="L19" s="47" t="str">
        <f aca="false">IF($M19="","",INDEX(伝票元!$S$6:$S$511,$M19))</f>
        <v/>
      </c>
      <c r="M19" s="47" t="str">
        <f aca="false">IFERROR(MATCH(13,伝票元!$O$6:$O$511,0),"")</f>
        <v/>
      </c>
    </row>
    <row r="20" customFormat="false" ht="15" hidden="false" customHeight="false" outlineLevel="0" collapsed="false">
      <c r="A20" s="10" t="str">
        <f aca="false">IF($M20="","",INDEX(伝票元!$P$6:$P$511,$M20))</f>
        <v/>
      </c>
      <c r="B20" s="45" t="str">
        <f aca="false">IF($M20="","",INDEX(伝票元!$D$6:$D$511,$M20))</f>
        <v/>
      </c>
      <c r="C20" s="10" t="str">
        <f aca="false">IF($M20="","",INDEX(伝票元!$E$6:$E$511,$M20))</f>
        <v/>
      </c>
      <c r="D20" s="45" t="str">
        <f aca="false">IF($M20="","",INDEX(伝票元!$A$6:$A$511,$M20))</f>
        <v/>
      </c>
      <c r="E20" s="10" t="str">
        <f aca="false">IF(IF($M20="",0,INDEX(伝票元!$N$6:$N$511,$M20))=1,INDEX(伝票元!$I$6:$I$511,$M20),"")</f>
        <v/>
      </c>
      <c r="F20" s="45" t="str">
        <f aca="false">IF(IF($M20="",0,INDEX(伝票元!$N$6:$N$511,$M20))=1,INDEX(伝票元!$J$6:$J$511,$M20),"")</f>
        <v/>
      </c>
      <c r="G20" s="42" t="str">
        <f aca="false">IF(IF($M20="",0,INDEX(伝票元!$N$6:$N$511,$M20))=1,INDEX(伝票元!$Q$6:$Q$511,$M20),"")</f>
        <v/>
      </c>
      <c r="H20" s="45" t="str">
        <f aca="false">IF($M20="","",INDEX(伝票元!$F$6:$F$511,$M20))</f>
        <v/>
      </c>
      <c r="I20" s="45" t="str">
        <f aca="false">IF($M20="","",INDEX(伝票元!$G$6:$G$511,$M20))</f>
        <v/>
      </c>
      <c r="J20" s="42" t="str">
        <f aca="false">IF($M20="","",INDEX(伝票元!$H$6:$H$511,$M20))</f>
        <v/>
      </c>
      <c r="K20" s="46" t="str">
        <f aca="false">IF(IF($M20="",0,INDEX(伝票元!$N$6:$N$511,$M20))=1,INDEX(伝票元!$R$6:$R$511,$M20),"")</f>
        <v/>
      </c>
      <c r="L20" s="47" t="str">
        <f aca="false">IF($M20="","",INDEX(伝票元!$S$6:$S$511,$M20))</f>
        <v/>
      </c>
      <c r="M20" s="47" t="str">
        <f aca="false">IFERROR(MATCH(14,伝票元!$O$6:$O$511,0),"")</f>
        <v/>
      </c>
    </row>
    <row r="21" customFormat="false" ht="15" hidden="false" customHeight="false" outlineLevel="0" collapsed="false">
      <c r="A21" s="10" t="str">
        <f aca="false">IF($M21="","",INDEX(伝票元!$P$6:$P$511,$M21))</f>
        <v/>
      </c>
      <c r="B21" s="45" t="str">
        <f aca="false">IF($M21="","",INDEX(伝票元!$D$6:$D$511,$M21))</f>
        <v/>
      </c>
      <c r="C21" s="10" t="str">
        <f aca="false">IF($M21="","",INDEX(伝票元!$E$6:$E$511,$M21))</f>
        <v/>
      </c>
      <c r="D21" s="45" t="str">
        <f aca="false">IF($M21="","",INDEX(伝票元!$A$6:$A$511,$M21))</f>
        <v/>
      </c>
      <c r="E21" s="10" t="str">
        <f aca="false">IF(IF($M21="",0,INDEX(伝票元!$N$6:$N$511,$M21))=1,INDEX(伝票元!$I$6:$I$511,$M21),"")</f>
        <v/>
      </c>
      <c r="F21" s="45" t="str">
        <f aca="false">IF(IF($M21="",0,INDEX(伝票元!$N$6:$N$511,$M21))=1,INDEX(伝票元!$J$6:$J$511,$M21),"")</f>
        <v/>
      </c>
      <c r="G21" s="42" t="str">
        <f aca="false">IF(IF($M21="",0,INDEX(伝票元!$N$6:$N$511,$M21))=1,INDEX(伝票元!$Q$6:$Q$511,$M21),"")</f>
        <v/>
      </c>
      <c r="H21" s="45" t="str">
        <f aca="false">IF($M21="","",INDEX(伝票元!$F$6:$F$511,$M21))</f>
        <v/>
      </c>
      <c r="I21" s="45" t="str">
        <f aca="false">IF($M21="","",INDEX(伝票元!$G$6:$G$511,$M21))</f>
        <v/>
      </c>
      <c r="J21" s="42" t="str">
        <f aca="false">IF($M21="","",INDEX(伝票元!$H$6:$H$511,$M21))</f>
        <v/>
      </c>
      <c r="K21" s="46" t="str">
        <f aca="false">IF(IF($M21="",0,INDEX(伝票元!$N$6:$N$511,$M21))=1,INDEX(伝票元!$R$6:$R$511,$M21),"")</f>
        <v/>
      </c>
      <c r="L21" s="47" t="str">
        <f aca="false">IF($M21="","",INDEX(伝票元!$S$6:$S$511,$M21))</f>
        <v/>
      </c>
      <c r="M21" s="47" t="str">
        <f aca="false">IFERROR(MATCH(15,伝票元!$O$6:$O$511,0),"")</f>
        <v/>
      </c>
    </row>
    <row r="22" customFormat="false" ht="15" hidden="false" customHeight="false" outlineLevel="0" collapsed="false">
      <c r="A22" s="10" t="str">
        <f aca="false">IF($M22="","",INDEX(伝票元!$P$6:$P$511,$M22))</f>
        <v/>
      </c>
      <c r="B22" s="45" t="str">
        <f aca="false">IF($M22="","",INDEX(伝票元!$D$6:$D$511,$M22))</f>
        <v/>
      </c>
      <c r="C22" s="10" t="str">
        <f aca="false">IF($M22="","",INDEX(伝票元!$E$6:$E$511,$M22))</f>
        <v/>
      </c>
      <c r="D22" s="45" t="str">
        <f aca="false">IF($M22="","",INDEX(伝票元!$A$6:$A$511,$M22))</f>
        <v/>
      </c>
      <c r="E22" s="10" t="str">
        <f aca="false">IF(IF($M22="",0,INDEX(伝票元!$N$6:$N$511,$M22))=1,INDEX(伝票元!$I$6:$I$511,$M22),"")</f>
        <v/>
      </c>
      <c r="F22" s="45" t="str">
        <f aca="false">IF(IF($M22="",0,INDEX(伝票元!$N$6:$N$511,$M22))=1,INDEX(伝票元!$J$6:$J$511,$M22),"")</f>
        <v/>
      </c>
      <c r="G22" s="42" t="str">
        <f aca="false">IF(IF($M22="",0,INDEX(伝票元!$N$6:$N$511,$M22))=1,INDEX(伝票元!$Q$6:$Q$511,$M22),"")</f>
        <v/>
      </c>
      <c r="H22" s="45" t="str">
        <f aca="false">IF($M22="","",INDEX(伝票元!$F$6:$F$511,$M22))</f>
        <v/>
      </c>
      <c r="I22" s="45" t="str">
        <f aca="false">IF($M22="","",INDEX(伝票元!$G$6:$G$511,$M22))</f>
        <v/>
      </c>
      <c r="J22" s="42" t="str">
        <f aca="false">IF($M22="","",INDEX(伝票元!$H$6:$H$511,$M22))</f>
        <v/>
      </c>
      <c r="K22" s="46" t="str">
        <f aca="false">IF(IF($M22="",0,INDEX(伝票元!$N$6:$N$511,$M22))=1,INDEX(伝票元!$R$6:$R$511,$M22),"")</f>
        <v/>
      </c>
      <c r="L22" s="47" t="str">
        <f aca="false">IF($M22="","",INDEX(伝票元!$S$6:$S$511,$M22))</f>
        <v/>
      </c>
      <c r="M22" s="47" t="str">
        <f aca="false">IFERROR(MATCH(16,伝票元!$O$6:$O$511,0),"")</f>
        <v/>
      </c>
    </row>
    <row r="23" customFormat="false" ht="15" hidden="false" customHeight="false" outlineLevel="0" collapsed="false">
      <c r="A23" s="10" t="str">
        <f aca="false">IF($M23="","",INDEX(伝票元!$P$6:$P$511,$M23))</f>
        <v/>
      </c>
      <c r="B23" s="45" t="str">
        <f aca="false">IF($M23="","",INDEX(伝票元!$D$6:$D$511,$M23))</f>
        <v/>
      </c>
      <c r="C23" s="10" t="str">
        <f aca="false">IF($M23="","",INDEX(伝票元!$E$6:$E$511,$M23))</f>
        <v/>
      </c>
      <c r="D23" s="45" t="str">
        <f aca="false">IF($M23="","",INDEX(伝票元!$A$6:$A$511,$M23))</f>
        <v/>
      </c>
      <c r="E23" s="10" t="str">
        <f aca="false">IF(IF($M23="",0,INDEX(伝票元!$N$6:$N$511,$M23))=1,INDEX(伝票元!$I$6:$I$511,$M23),"")</f>
        <v/>
      </c>
      <c r="F23" s="45" t="str">
        <f aca="false">IF(IF($M23="",0,INDEX(伝票元!$N$6:$N$511,$M23))=1,INDEX(伝票元!$J$6:$J$511,$M23),"")</f>
        <v/>
      </c>
      <c r="G23" s="42" t="str">
        <f aca="false">IF(IF($M23="",0,INDEX(伝票元!$N$6:$N$511,$M23))=1,INDEX(伝票元!$Q$6:$Q$511,$M23),"")</f>
        <v/>
      </c>
      <c r="H23" s="45" t="str">
        <f aca="false">IF($M23="","",INDEX(伝票元!$F$6:$F$511,$M23))</f>
        <v/>
      </c>
      <c r="I23" s="45" t="str">
        <f aca="false">IF($M23="","",INDEX(伝票元!$G$6:$G$511,$M23))</f>
        <v/>
      </c>
      <c r="J23" s="42" t="str">
        <f aca="false">IF($M23="","",INDEX(伝票元!$H$6:$H$511,$M23))</f>
        <v/>
      </c>
      <c r="K23" s="46" t="str">
        <f aca="false">IF(IF($M23="",0,INDEX(伝票元!$N$6:$N$511,$M23))=1,INDEX(伝票元!$R$6:$R$511,$M23),"")</f>
        <v/>
      </c>
      <c r="L23" s="47" t="str">
        <f aca="false">IF($M23="","",INDEX(伝票元!$S$6:$S$511,$M23))</f>
        <v/>
      </c>
      <c r="M23" s="47" t="str">
        <f aca="false">IFERROR(MATCH(17,伝票元!$O$6:$O$511,0),"")</f>
        <v/>
      </c>
    </row>
    <row r="24" customFormat="false" ht="15" hidden="false" customHeight="false" outlineLevel="0" collapsed="false">
      <c r="A24" s="10" t="str">
        <f aca="false">IF($M24="","",INDEX(伝票元!$P$6:$P$511,$M24))</f>
        <v/>
      </c>
      <c r="B24" s="45" t="str">
        <f aca="false">IF($M24="","",INDEX(伝票元!$D$6:$D$511,$M24))</f>
        <v/>
      </c>
      <c r="C24" s="10" t="str">
        <f aca="false">IF($M24="","",INDEX(伝票元!$E$6:$E$511,$M24))</f>
        <v/>
      </c>
      <c r="D24" s="45" t="str">
        <f aca="false">IF($M24="","",INDEX(伝票元!$A$6:$A$511,$M24))</f>
        <v/>
      </c>
      <c r="E24" s="10" t="str">
        <f aca="false">IF(IF($M24="",0,INDEX(伝票元!$N$6:$N$511,$M24))=1,INDEX(伝票元!$I$6:$I$511,$M24),"")</f>
        <v/>
      </c>
      <c r="F24" s="45" t="str">
        <f aca="false">IF(IF($M24="",0,INDEX(伝票元!$N$6:$N$511,$M24))=1,INDEX(伝票元!$J$6:$J$511,$M24),"")</f>
        <v/>
      </c>
      <c r="G24" s="42" t="str">
        <f aca="false">IF(IF($M24="",0,INDEX(伝票元!$N$6:$N$511,$M24))=1,INDEX(伝票元!$Q$6:$Q$511,$M24),"")</f>
        <v/>
      </c>
      <c r="H24" s="45" t="str">
        <f aca="false">IF($M24="","",INDEX(伝票元!$F$6:$F$511,$M24))</f>
        <v/>
      </c>
      <c r="I24" s="45" t="str">
        <f aca="false">IF($M24="","",INDEX(伝票元!$G$6:$G$511,$M24))</f>
        <v/>
      </c>
      <c r="J24" s="42" t="str">
        <f aca="false">IF($M24="","",INDEX(伝票元!$H$6:$H$511,$M24))</f>
        <v/>
      </c>
      <c r="K24" s="46" t="str">
        <f aca="false">IF(IF($M24="",0,INDEX(伝票元!$N$6:$N$511,$M24))=1,INDEX(伝票元!$R$6:$R$511,$M24),"")</f>
        <v/>
      </c>
      <c r="L24" s="47" t="str">
        <f aca="false">IF($M24="","",INDEX(伝票元!$S$6:$S$511,$M24))</f>
        <v/>
      </c>
      <c r="M24" s="47" t="str">
        <f aca="false">IFERROR(MATCH(18,伝票元!$O$6:$O$511,0),"")</f>
        <v/>
      </c>
    </row>
    <row r="25" customFormat="false" ht="15" hidden="false" customHeight="false" outlineLevel="0" collapsed="false">
      <c r="A25" s="10" t="str">
        <f aca="false">IF($M25="","",INDEX(伝票元!$P$6:$P$511,$M25))</f>
        <v/>
      </c>
      <c r="B25" s="45" t="str">
        <f aca="false">IF($M25="","",INDEX(伝票元!$D$6:$D$511,$M25))</f>
        <v/>
      </c>
      <c r="C25" s="10" t="str">
        <f aca="false">IF($M25="","",INDEX(伝票元!$E$6:$E$511,$M25))</f>
        <v/>
      </c>
      <c r="D25" s="45" t="str">
        <f aca="false">IF($M25="","",INDEX(伝票元!$A$6:$A$511,$M25))</f>
        <v/>
      </c>
      <c r="E25" s="10" t="str">
        <f aca="false">IF(IF($M25="",0,INDEX(伝票元!$N$6:$N$511,$M25))=1,INDEX(伝票元!$I$6:$I$511,$M25),"")</f>
        <v/>
      </c>
      <c r="F25" s="45" t="str">
        <f aca="false">IF(IF($M25="",0,INDEX(伝票元!$N$6:$N$511,$M25))=1,INDEX(伝票元!$J$6:$J$511,$M25),"")</f>
        <v/>
      </c>
      <c r="G25" s="42" t="str">
        <f aca="false">IF(IF($M25="",0,INDEX(伝票元!$N$6:$N$511,$M25))=1,INDEX(伝票元!$Q$6:$Q$511,$M25),"")</f>
        <v/>
      </c>
      <c r="H25" s="45" t="str">
        <f aca="false">IF($M25="","",INDEX(伝票元!$F$6:$F$511,$M25))</f>
        <v/>
      </c>
      <c r="I25" s="45" t="str">
        <f aca="false">IF($M25="","",INDEX(伝票元!$G$6:$G$511,$M25))</f>
        <v/>
      </c>
      <c r="J25" s="42" t="str">
        <f aca="false">IF($M25="","",INDEX(伝票元!$H$6:$H$511,$M25))</f>
        <v/>
      </c>
      <c r="K25" s="46" t="str">
        <f aca="false">IF(IF($M25="",0,INDEX(伝票元!$N$6:$N$511,$M25))=1,INDEX(伝票元!$R$6:$R$511,$M25),"")</f>
        <v/>
      </c>
      <c r="L25" s="47" t="str">
        <f aca="false">IF($M25="","",INDEX(伝票元!$S$6:$S$511,$M25))</f>
        <v/>
      </c>
      <c r="M25" s="47" t="str">
        <f aca="false">IFERROR(MATCH(19,伝票元!$O$6:$O$511,0),"")</f>
        <v/>
      </c>
    </row>
    <row r="26" customFormat="false" ht="15" hidden="false" customHeight="false" outlineLevel="0" collapsed="false">
      <c r="A26" s="10" t="str">
        <f aca="false">IF($M26="","",INDEX(伝票元!$P$6:$P$511,$M26))</f>
        <v/>
      </c>
      <c r="B26" s="45" t="str">
        <f aca="false">IF($M26="","",INDEX(伝票元!$D$6:$D$511,$M26))</f>
        <v/>
      </c>
      <c r="C26" s="10" t="str">
        <f aca="false">IF($M26="","",INDEX(伝票元!$E$6:$E$511,$M26))</f>
        <v/>
      </c>
      <c r="D26" s="45" t="str">
        <f aca="false">IF($M26="","",INDEX(伝票元!$A$6:$A$511,$M26))</f>
        <v/>
      </c>
      <c r="E26" s="10" t="str">
        <f aca="false">IF(IF($M26="",0,INDEX(伝票元!$N$6:$N$511,$M26))=1,INDEX(伝票元!$I$6:$I$511,$M26),"")</f>
        <v/>
      </c>
      <c r="F26" s="45" t="str">
        <f aca="false">IF(IF($M26="",0,INDEX(伝票元!$N$6:$N$511,$M26))=1,INDEX(伝票元!$J$6:$J$511,$M26),"")</f>
        <v/>
      </c>
      <c r="G26" s="42" t="str">
        <f aca="false">IF(IF($M26="",0,INDEX(伝票元!$N$6:$N$511,$M26))=1,INDEX(伝票元!$Q$6:$Q$511,$M26),"")</f>
        <v/>
      </c>
      <c r="H26" s="45" t="str">
        <f aca="false">IF($M26="","",INDEX(伝票元!$F$6:$F$511,$M26))</f>
        <v/>
      </c>
      <c r="I26" s="45" t="str">
        <f aca="false">IF($M26="","",INDEX(伝票元!$G$6:$G$511,$M26))</f>
        <v/>
      </c>
      <c r="J26" s="42" t="str">
        <f aca="false">IF($M26="","",INDEX(伝票元!$H$6:$H$511,$M26))</f>
        <v/>
      </c>
      <c r="K26" s="46" t="str">
        <f aca="false">IF(IF($M26="",0,INDEX(伝票元!$N$6:$N$511,$M26))=1,INDEX(伝票元!$R$6:$R$511,$M26),"")</f>
        <v/>
      </c>
      <c r="L26" s="47" t="str">
        <f aca="false">IF($M26="","",INDEX(伝票元!$S$6:$S$511,$M26))</f>
        <v/>
      </c>
      <c r="M26" s="47" t="str">
        <f aca="false">IFERROR(MATCH(20,伝票元!$O$6:$O$511,0),"")</f>
        <v/>
      </c>
    </row>
    <row r="27" customFormat="false" ht="15" hidden="false" customHeight="false" outlineLevel="0" collapsed="false">
      <c r="A27" s="10" t="str">
        <f aca="false">IF($M27="","",INDEX(伝票元!$P$6:$P$511,$M27))</f>
        <v/>
      </c>
      <c r="B27" s="45" t="str">
        <f aca="false">IF($M27="","",INDEX(伝票元!$D$6:$D$511,$M27))</f>
        <v/>
      </c>
      <c r="C27" s="10" t="str">
        <f aca="false">IF($M27="","",INDEX(伝票元!$E$6:$E$511,$M27))</f>
        <v/>
      </c>
      <c r="D27" s="45" t="str">
        <f aca="false">IF($M27="","",INDEX(伝票元!$A$6:$A$511,$M27))</f>
        <v/>
      </c>
      <c r="E27" s="10" t="str">
        <f aca="false">IF(IF($M27="",0,INDEX(伝票元!$N$6:$N$511,$M27))=1,INDEX(伝票元!$I$6:$I$511,$M27),"")</f>
        <v/>
      </c>
      <c r="F27" s="45" t="str">
        <f aca="false">IF(IF($M27="",0,INDEX(伝票元!$N$6:$N$511,$M27))=1,INDEX(伝票元!$J$6:$J$511,$M27),"")</f>
        <v/>
      </c>
      <c r="G27" s="42" t="str">
        <f aca="false">IF(IF($M27="",0,INDEX(伝票元!$N$6:$N$511,$M27))=1,INDEX(伝票元!$Q$6:$Q$511,$M27),"")</f>
        <v/>
      </c>
      <c r="H27" s="45" t="str">
        <f aca="false">IF($M27="","",INDEX(伝票元!$F$6:$F$511,$M27))</f>
        <v/>
      </c>
      <c r="I27" s="45" t="str">
        <f aca="false">IF($M27="","",INDEX(伝票元!$G$6:$G$511,$M27))</f>
        <v/>
      </c>
      <c r="J27" s="42" t="str">
        <f aca="false">IF($M27="","",INDEX(伝票元!$H$6:$H$511,$M27))</f>
        <v/>
      </c>
      <c r="K27" s="46" t="str">
        <f aca="false">IF(IF($M27="",0,INDEX(伝票元!$N$6:$N$511,$M27))=1,INDEX(伝票元!$R$6:$R$511,$M27),"")</f>
        <v/>
      </c>
      <c r="L27" s="47" t="str">
        <f aca="false">IF($M27="","",INDEX(伝票元!$S$6:$S$511,$M27))</f>
        <v/>
      </c>
      <c r="M27" s="47" t="str">
        <f aca="false">IFERROR(MATCH(21,伝票元!$O$6:$O$511,0),"")</f>
        <v/>
      </c>
    </row>
    <row r="28" customFormat="false" ht="15" hidden="false" customHeight="false" outlineLevel="0" collapsed="false">
      <c r="A28" s="10" t="str">
        <f aca="false">IF($M28="","",INDEX(伝票元!$P$6:$P$511,$M28))</f>
        <v/>
      </c>
      <c r="B28" s="45" t="str">
        <f aca="false">IF($M28="","",INDEX(伝票元!$D$6:$D$511,$M28))</f>
        <v/>
      </c>
      <c r="C28" s="10" t="str">
        <f aca="false">IF($M28="","",INDEX(伝票元!$E$6:$E$511,$M28))</f>
        <v/>
      </c>
      <c r="D28" s="45" t="str">
        <f aca="false">IF($M28="","",INDEX(伝票元!$A$6:$A$511,$M28))</f>
        <v/>
      </c>
      <c r="E28" s="10" t="str">
        <f aca="false">IF(IF($M28="",0,INDEX(伝票元!$N$6:$N$511,$M28))=1,INDEX(伝票元!$I$6:$I$511,$M28),"")</f>
        <v/>
      </c>
      <c r="F28" s="45" t="str">
        <f aca="false">IF(IF($M28="",0,INDEX(伝票元!$N$6:$N$511,$M28))=1,INDEX(伝票元!$J$6:$J$511,$M28),"")</f>
        <v/>
      </c>
      <c r="G28" s="42" t="str">
        <f aca="false">IF(IF($M28="",0,INDEX(伝票元!$N$6:$N$511,$M28))=1,INDEX(伝票元!$Q$6:$Q$511,$M28),"")</f>
        <v/>
      </c>
      <c r="H28" s="45" t="str">
        <f aca="false">IF($M28="","",INDEX(伝票元!$F$6:$F$511,$M28))</f>
        <v/>
      </c>
      <c r="I28" s="45" t="str">
        <f aca="false">IF($M28="","",INDEX(伝票元!$G$6:$G$511,$M28))</f>
        <v/>
      </c>
      <c r="J28" s="42" t="str">
        <f aca="false">IF($M28="","",INDEX(伝票元!$H$6:$H$511,$M28))</f>
        <v/>
      </c>
      <c r="K28" s="46" t="str">
        <f aca="false">IF(IF($M28="",0,INDEX(伝票元!$N$6:$N$511,$M28))=1,INDEX(伝票元!$R$6:$R$511,$M28),"")</f>
        <v/>
      </c>
      <c r="L28" s="47" t="str">
        <f aca="false">IF($M28="","",INDEX(伝票元!$S$6:$S$511,$M28))</f>
        <v/>
      </c>
      <c r="M28" s="47" t="str">
        <f aca="false">IFERROR(MATCH(22,伝票元!$O$6:$O$511,0),"")</f>
        <v/>
      </c>
    </row>
    <row r="29" customFormat="false" ht="15" hidden="false" customHeight="false" outlineLevel="0" collapsed="false">
      <c r="A29" s="10" t="str">
        <f aca="false">IF($M29="","",INDEX(伝票元!$P$6:$P$511,$M29))</f>
        <v/>
      </c>
      <c r="B29" s="45" t="str">
        <f aca="false">IF($M29="","",INDEX(伝票元!$D$6:$D$511,$M29))</f>
        <v/>
      </c>
      <c r="C29" s="10" t="str">
        <f aca="false">IF($M29="","",INDEX(伝票元!$E$6:$E$511,$M29))</f>
        <v/>
      </c>
      <c r="D29" s="45" t="str">
        <f aca="false">IF($M29="","",INDEX(伝票元!$A$6:$A$511,$M29))</f>
        <v/>
      </c>
      <c r="E29" s="10" t="str">
        <f aca="false">IF(IF($M29="",0,INDEX(伝票元!$N$6:$N$511,$M29))=1,INDEX(伝票元!$I$6:$I$511,$M29),"")</f>
        <v/>
      </c>
      <c r="F29" s="45" t="str">
        <f aca="false">IF(IF($M29="",0,INDEX(伝票元!$N$6:$N$511,$M29))=1,INDEX(伝票元!$J$6:$J$511,$M29),"")</f>
        <v/>
      </c>
      <c r="G29" s="42" t="str">
        <f aca="false">IF(IF($M29="",0,INDEX(伝票元!$N$6:$N$511,$M29))=1,INDEX(伝票元!$Q$6:$Q$511,$M29),"")</f>
        <v/>
      </c>
      <c r="H29" s="45" t="str">
        <f aca="false">IF($M29="","",INDEX(伝票元!$F$6:$F$511,$M29))</f>
        <v/>
      </c>
      <c r="I29" s="45" t="str">
        <f aca="false">IF($M29="","",INDEX(伝票元!$G$6:$G$511,$M29))</f>
        <v/>
      </c>
      <c r="J29" s="42" t="str">
        <f aca="false">IF($M29="","",INDEX(伝票元!$H$6:$H$511,$M29))</f>
        <v/>
      </c>
      <c r="K29" s="46" t="str">
        <f aca="false">IF(IF($M29="",0,INDEX(伝票元!$N$6:$N$511,$M29))=1,INDEX(伝票元!$R$6:$R$511,$M29),"")</f>
        <v/>
      </c>
      <c r="L29" s="47" t="str">
        <f aca="false">IF($M29="","",INDEX(伝票元!$S$6:$S$511,$M29))</f>
        <v/>
      </c>
      <c r="M29" s="47" t="str">
        <f aca="false">IFERROR(MATCH(23,伝票元!$O$6:$O$511,0),"")</f>
        <v/>
      </c>
    </row>
    <row r="30" customFormat="false" ht="15" hidden="false" customHeight="false" outlineLevel="0" collapsed="false">
      <c r="A30" s="10" t="str">
        <f aca="false">IF($M30="","",INDEX(伝票元!$P$6:$P$511,$M30))</f>
        <v/>
      </c>
      <c r="B30" s="45" t="str">
        <f aca="false">IF($M30="","",INDEX(伝票元!$D$6:$D$511,$M30))</f>
        <v/>
      </c>
      <c r="C30" s="10" t="str">
        <f aca="false">IF($M30="","",INDEX(伝票元!$E$6:$E$511,$M30))</f>
        <v/>
      </c>
      <c r="D30" s="45" t="str">
        <f aca="false">IF($M30="","",INDEX(伝票元!$A$6:$A$511,$M30))</f>
        <v/>
      </c>
      <c r="E30" s="10" t="str">
        <f aca="false">IF(IF($M30="",0,INDEX(伝票元!$N$6:$N$511,$M30))=1,INDEX(伝票元!$I$6:$I$511,$M30),"")</f>
        <v/>
      </c>
      <c r="F30" s="45" t="str">
        <f aca="false">IF(IF($M30="",0,INDEX(伝票元!$N$6:$N$511,$M30))=1,INDEX(伝票元!$J$6:$J$511,$M30),"")</f>
        <v/>
      </c>
      <c r="G30" s="42" t="str">
        <f aca="false">IF(IF($M30="",0,INDEX(伝票元!$N$6:$N$511,$M30))=1,INDEX(伝票元!$Q$6:$Q$511,$M30),"")</f>
        <v/>
      </c>
      <c r="H30" s="45" t="str">
        <f aca="false">IF($M30="","",INDEX(伝票元!$F$6:$F$511,$M30))</f>
        <v/>
      </c>
      <c r="I30" s="45" t="str">
        <f aca="false">IF($M30="","",INDEX(伝票元!$G$6:$G$511,$M30))</f>
        <v/>
      </c>
      <c r="J30" s="42" t="str">
        <f aca="false">IF($M30="","",INDEX(伝票元!$H$6:$H$511,$M30))</f>
        <v/>
      </c>
      <c r="K30" s="46" t="str">
        <f aca="false">IF(IF($M30="",0,INDEX(伝票元!$N$6:$N$511,$M30))=1,INDEX(伝票元!$R$6:$R$511,$M30),"")</f>
        <v/>
      </c>
      <c r="L30" s="47" t="str">
        <f aca="false">IF($M30="","",INDEX(伝票元!$S$6:$S$511,$M30))</f>
        <v/>
      </c>
      <c r="M30" s="47" t="str">
        <f aca="false">IFERROR(MATCH(24,伝票元!$O$6:$O$511,0),"")</f>
        <v/>
      </c>
    </row>
    <row r="31" customFormat="false" ht="15" hidden="false" customHeight="false" outlineLevel="0" collapsed="false">
      <c r="A31" s="10" t="str">
        <f aca="false">IF($M31="","",INDEX(伝票元!$P$6:$P$511,$M31))</f>
        <v/>
      </c>
      <c r="B31" s="45" t="str">
        <f aca="false">IF($M31="","",INDEX(伝票元!$D$6:$D$511,$M31))</f>
        <v/>
      </c>
      <c r="C31" s="10" t="str">
        <f aca="false">IF($M31="","",INDEX(伝票元!$E$6:$E$511,$M31))</f>
        <v/>
      </c>
      <c r="D31" s="45" t="str">
        <f aca="false">IF($M31="","",INDEX(伝票元!$A$6:$A$511,$M31))</f>
        <v/>
      </c>
      <c r="E31" s="10" t="str">
        <f aca="false">IF(IF($M31="",0,INDEX(伝票元!$N$6:$N$511,$M31))=1,INDEX(伝票元!$I$6:$I$511,$M31),"")</f>
        <v/>
      </c>
      <c r="F31" s="45" t="str">
        <f aca="false">IF(IF($M31="",0,INDEX(伝票元!$N$6:$N$511,$M31))=1,INDEX(伝票元!$J$6:$J$511,$M31),"")</f>
        <v/>
      </c>
      <c r="G31" s="42" t="str">
        <f aca="false">IF(IF($M31="",0,INDEX(伝票元!$N$6:$N$511,$M31))=1,INDEX(伝票元!$Q$6:$Q$511,$M31),"")</f>
        <v/>
      </c>
      <c r="H31" s="45" t="str">
        <f aca="false">IF($M31="","",INDEX(伝票元!$F$6:$F$511,$M31))</f>
        <v/>
      </c>
      <c r="I31" s="45" t="str">
        <f aca="false">IF($M31="","",INDEX(伝票元!$G$6:$G$511,$M31))</f>
        <v/>
      </c>
      <c r="J31" s="42" t="str">
        <f aca="false">IF($M31="","",INDEX(伝票元!$H$6:$H$511,$M31))</f>
        <v/>
      </c>
      <c r="K31" s="46" t="str">
        <f aca="false">IF(IF($M31="",0,INDEX(伝票元!$N$6:$N$511,$M31))=1,INDEX(伝票元!$R$6:$R$511,$M31),"")</f>
        <v/>
      </c>
      <c r="L31" s="47" t="str">
        <f aca="false">IF($M31="","",INDEX(伝票元!$S$6:$S$511,$M31))</f>
        <v/>
      </c>
      <c r="M31" s="47" t="str">
        <f aca="false">IFERROR(MATCH(25,伝票元!$O$6:$O$511,0),"")</f>
        <v/>
      </c>
    </row>
    <row r="32" customFormat="false" ht="15" hidden="false" customHeight="false" outlineLevel="0" collapsed="false">
      <c r="A32" s="10" t="str">
        <f aca="false">IF($M32="","",INDEX(伝票元!$P$6:$P$511,$M32))</f>
        <v/>
      </c>
      <c r="B32" s="45" t="str">
        <f aca="false">IF($M32="","",INDEX(伝票元!$D$6:$D$511,$M32))</f>
        <v/>
      </c>
      <c r="C32" s="10" t="str">
        <f aca="false">IF($M32="","",INDEX(伝票元!$E$6:$E$511,$M32))</f>
        <v/>
      </c>
      <c r="D32" s="45" t="str">
        <f aca="false">IF($M32="","",INDEX(伝票元!$A$6:$A$511,$M32))</f>
        <v/>
      </c>
      <c r="E32" s="10" t="str">
        <f aca="false">IF(IF($M32="",0,INDEX(伝票元!$N$6:$N$511,$M32))=1,INDEX(伝票元!$I$6:$I$511,$M32),"")</f>
        <v/>
      </c>
      <c r="F32" s="45" t="str">
        <f aca="false">IF(IF($M32="",0,INDEX(伝票元!$N$6:$N$511,$M32))=1,INDEX(伝票元!$J$6:$J$511,$M32),"")</f>
        <v/>
      </c>
      <c r="G32" s="42" t="str">
        <f aca="false">IF(IF($M32="",0,INDEX(伝票元!$N$6:$N$511,$M32))=1,INDEX(伝票元!$Q$6:$Q$511,$M32),"")</f>
        <v/>
      </c>
      <c r="H32" s="45" t="str">
        <f aca="false">IF($M32="","",INDEX(伝票元!$F$6:$F$511,$M32))</f>
        <v/>
      </c>
      <c r="I32" s="45" t="str">
        <f aca="false">IF($M32="","",INDEX(伝票元!$G$6:$G$511,$M32))</f>
        <v/>
      </c>
      <c r="J32" s="42" t="str">
        <f aca="false">IF($M32="","",INDEX(伝票元!$H$6:$H$511,$M32))</f>
        <v/>
      </c>
      <c r="K32" s="46" t="str">
        <f aca="false">IF(IF($M32="",0,INDEX(伝票元!$N$6:$N$511,$M32))=1,INDEX(伝票元!$R$6:$R$511,$M32),"")</f>
        <v/>
      </c>
      <c r="L32" s="47" t="str">
        <f aca="false">IF($M32="","",INDEX(伝票元!$S$6:$S$511,$M32))</f>
        <v/>
      </c>
      <c r="M32" s="47" t="str">
        <f aca="false">IFERROR(MATCH(26,伝票元!$O$6:$O$511,0),"")</f>
        <v/>
      </c>
    </row>
    <row r="33" customFormat="false" ht="15" hidden="false" customHeight="false" outlineLevel="0" collapsed="false">
      <c r="A33" s="10" t="str">
        <f aca="false">IF($M33="","",INDEX(伝票元!$P$6:$P$511,$M33))</f>
        <v/>
      </c>
      <c r="B33" s="45" t="str">
        <f aca="false">IF($M33="","",INDEX(伝票元!$D$6:$D$511,$M33))</f>
        <v/>
      </c>
      <c r="C33" s="10" t="str">
        <f aca="false">IF($M33="","",INDEX(伝票元!$E$6:$E$511,$M33))</f>
        <v/>
      </c>
      <c r="D33" s="45" t="str">
        <f aca="false">IF($M33="","",INDEX(伝票元!$A$6:$A$511,$M33))</f>
        <v/>
      </c>
      <c r="E33" s="10" t="str">
        <f aca="false">IF(IF($M33="",0,INDEX(伝票元!$N$6:$N$511,$M33))=1,INDEX(伝票元!$I$6:$I$511,$M33),"")</f>
        <v/>
      </c>
      <c r="F33" s="45" t="str">
        <f aca="false">IF(IF($M33="",0,INDEX(伝票元!$N$6:$N$511,$M33))=1,INDEX(伝票元!$J$6:$J$511,$M33),"")</f>
        <v/>
      </c>
      <c r="G33" s="42" t="str">
        <f aca="false">IF(IF($M33="",0,INDEX(伝票元!$N$6:$N$511,$M33))=1,INDEX(伝票元!$Q$6:$Q$511,$M33),"")</f>
        <v/>
      </c>
      <c r="H33" s="45" t="str">
        <f aca="false">IF($M33="","",INDEX(伝票元!$F$6:$F$511,$M33))</f>
        <v/>
      </c>
      <c r="I33" s="45" t="str">
        <f aca="false">IF($M33="","",INDEX(伝票元!$G$6:$G$511,$M33))</f>
        <v/>
      </c>
      <c r="J33" s="42" t="str">
        <f aca="false">IF($M33="","",INDEX(伝票元!$H$6:$H$511,$M33))</f>
        <v/>
      </c>
      <c r="K33" s="46" t="str">
        <f aca="false">IF(IF($M33="",0,INDEX(伝票元!$N$6:$N$511,$M33))=1,INDEX(伝票元!$R$6:$R$511,$M33),"")</f>
        <v/>
      </c>
      <c r="L33" s="47" t="str">
        <f aca="false">IF($M33="","",INDEX(伝票元!$S$6:$S$511,$M33))</f>
        <v/>
      </c>
      <c r="M33" s="47" t="str">
        <f aca="false">IFERROR(MATCH(27,伝票元!$O$6:$O$511,0),"")</f>
        <v/>
      </c>
    </row>
    <row r="34" customFormat="false" ht="15" hidden="false" customHeight="false" outlineLevel="0" collapsed="false">
      <c r="A34" s="10" t="str">
        <f aca="false">IF($M34="","",INDEX(伝票元!$P$6:$P$511,$M34))</f>
        <v/>
      </c>
      <c r="B34" s="45" t="str">
        <f aca="false">IF($M34="","",INDEX(伝票元!$D$6:$D$511,$M34))</f>
        <v/>
      </c>
      <c r="C34" s="10" t="str">
        <f aca="false">IF($M34="","",INDEX(伝票元!$E$6:$E$511,$M34))</f>
        <v/>
      </c>
      <c r="D34" s="45" t="str">
        <f aca="false">IF($M34="","",INDEX(伝票元!$A$6:$A$511,$M34))</f>
        <v/>
      </c>
      <c r="E34" s="10" t="str">
        <f aca="false">IF(IF($M34="",0,INDEX(伝票元!$N$6:$N$511,$M34))=1,INDEX(伝票元!$I$6:$I$511,$M34),"")</f>
        <v/>
      </c>
      <c r="F34" s="45" t="str">
        <f aca="false">IF(IF($M34="",0,INDEX(伝票元!$N$6:$N$511,$M34))=1,INDEX(伝票元!$J$6:$J$511,$M34),"")</f>
        <v/>
      </c>
      <c r="G34" s="42" t="str">
        <f aca="false">IF(IF($M34="",0,INDEX(伝票元!$N$6:$N$511,$M34))=1,INDEX(伝票元!$Q$6:$Q$511,$M34),"")</f>
        <v/>
      </c>
      <c r="H34" s="45" t="str">
        <f aca="false">IF($M34="","",INDEX(伝票元!$F$6:$F$511,$M34))</f>
        <v/>
      </c>
      <c r="I34" s="45" t="str">
        <f aca="false">IF($M34="","",INDEX(伝票元!$G$6:$G$511,$M34))</f>
        <v/>
      </c>
      <c r="J34" s="42" t="str">
        <f aca="false">IF($M34="","",INDEX(伝票元!$H$6:$H$511,$M34))</f>
        <v/>
      </c>
      <c r="K34" s="46" t="str">
        <f aca="false">IF(IF($M34="",0,INDEX(伝票元!$N$6:$N$511,$M34))=1,INDEX(伝票元!$R$6:$R$511,$M34),"")</f>
        <v/>
      </c>
      <c r="L34" s="47" t="str">
        <f aca="false">IF($M34="","",INDEX(伝票元!$S$6:$S$511,$M34))</f>
        <v/>
      </c>
      <c r="M34" s="47" t="str">
        <f aca="false">IFERROR(MATCH(28,伝票元!$O$6:$O$511,0),"")</f>
        <v/>
      </c>
    </row>
    <row r="35" customFormat="false" ht="15" hidden="false" customHeight="false" outlineLevel="0" collapsed="false">
      <c r="A35" s="10" t="str">
        <f aca="false">IF($M35="","",INDEX(伝票元!$P$6:$P$511,$M35))</f>
        <v/>
      </c>
      <c r="B35" s="45" t="str">
        <f aca="false">IF($M35="","",INDEX(伝票元!$D$6:$D$511,$M35))</f>
        <v/>
      </c>
      <c r="C35" s="10" t="str">
        <f aca="false">IF($M35="","",INDEX(伝票元!$E$6:$E$511,$M35))</f>
        <v/>
      </c>
      <c r="D35" s="45" t="str">
        <f aca="false">IF($M35="","",INDEX(伝票元!$A$6:$A$511,$M35))</f>
        <v/>
      </c>
      <c r="E35" s="10" t="str">
        <f aca="false">IF(IF($M35="",0,INDEX(伝票元!$N$6:$N$511,$M35))=1,INDEX(伝票元!$I$6:$I$511,$M35),"")</f>
        <v/>
      </c>
      <c r="F35" s="45" t="str">
        <f aca="false">IF(IF($M35="",0,INDEX(伝票元!$N$6:$N$511,$M35))=1,INDEX(伝票元!$J$6:$J$511,$M35),"")</f>
        <v/>
      </c>
      <c r="G35" s="42" t="str">
        <f aca="false">IF(IF($M35="",0,INDEX(伝票元!$N$6:$N$511,$M35))=1,INDEX(伝票元!$Q$6:$Q$511,$M35),"")</f>
        <v/>
      </c>
      <c r="H35" s="45" t="str">
        <f aca="false">IF($M35="","",INDEX(伝票元!$F$6:$F$511,$M35))</f>
        <v/>
      </c>
      <c r="I35" s="45" t="str">
        <f aca="false">IF($M35="","",INDEX(伝票元!$G$6:$G$511,$M35))</f>
        <v/>
      </c>
      <c r="J35" s="42" t="str">
        <f aca="false">IF($M35="","",INDEX(伝票元!$H$6:$H$511,$M35))</f>
        <v/>
      </c>
      <c r="K35" s="46" t="str">
        <f aca="false">IF(IF($M35="",0,INDEX(伝票元!$N$6:$N$511,$M35))=1,INDEX(伝票元!$R$6:$R$511,$M35),"")</f>
        <v/>
      </c>
      <c r="L35" s="47" t="str">
        <f aca="false">IF($M35="","",INDEX(伝票元!$S$6:$S$511,$M35))</f>
        <v/>
      </c>
      <c r="M35" s="47" t="str">
        <f aca="false">IFERROR(MATCH(29,伝票元!$O$6:$O$511,0),"")</f>
        <v/>
      </c>
    </row>
    <row r="36" customFormat="false" ht="15" hidden="false" customHeight="false" outlineLevel="0" collapsed="false">
      <c r="A36" s="10" t="str">
        <f aca="false">IF($M36="","",INDEX(伝票元!$P$6:$P$511,$M36))</f>
        <v/>
      </c>
      <c r="B36" s="45" t="str">
        <f aca="false">IF($M36="","",INDEX(伝票元!$D$6:$D$511,$M36))</f>
        <v/>
      </c>
      <c r="C36" s="10" t="str">
        <f aca="false">IF($M36="","",INDEX(伝票元!$E$6:$E$511,$M36))</f>
        <v/>
      </c>
      <c r="D36" s="45" t="str">
        <f aca="false">IF($M36="","",INDEX(伝票元!$A$6:$A$511,$M36))</f>
        <v/>
      </c>
      <c r="E36" s="10" t="str">
        <f aca="false">IF(IF($M36="",0,INDEX(伝票元!$N$6:$N$511,$M36))=1,INDEX(伝票元!$I$6:$I$511,$M36),"")</f>
        <v/>
      </c>
      <c r="F36" s="45" t="str">
        <f aca="false">IF(IF($M36="",0,INDEX(伝票元!$N$6:$N$511,$M36))=1,INDEX(伝票元!$J$6:$J$511,$M36),"")</f>
        <v/>
      </c>
      <c r="G36" s="42" t="str">
        <f aca="false">IF(IF($M36="",0,INDEX(伝票元!$N$6:$N$511,$M36))=1,INDEX(伝票元!$Q$6:$Q$511,$M36),"")</f>
        <v/>
      </c>
      <c r="H36" s="45" t="str">
        <f aca="false">IF($M36="","",INDEX(伝票元!$F$6:$F$511,$M36))</f>
        <v/>
      </c>
      <c r="I36" s="45" t="str">
        <f aca="false">IF($M36="","",INDEX(伝票元!$G$6:$G$511,$M36))</f>
        <v/>
      </c>
      <c r="J36" s="42" t="str">
        <f aca="false">IF($M36="","",INDEX(伝票元!$H$6:$H$511,$M36))</f>
        <v/>
      </c>
      <c r="K36" s="46" t="str">
        <f aca="false">IF(IF($M36="",0,INDEX(伝票元!$N$6:$N$511,$M36))=1,INDEX(伝票元!$R$6:$R$511,$M36),"")</f>
        <v/>
      </c>
      <c r="L36" s="47" t="str">
        <f aca="false">IF($M36="","",INDEX(伝票元!$S$6:$S$511,$M36))</f>
        <v/>
      </c>
      <c r="M36" s="47" t="str">
        <f aca="false">IFERROR(MATCH(30,伝票元!$O$6:$O$511,0),"")</f>
        <v/>
      </c>
    </row>
    <row r="37" customFormat="false" ht="15" hidden="false" customHeight="false" outlineLevel="0" collapsed="false">
      <c r="A37" s="10" t="str">
        <f aca="false">IF($M37="","",INDEX(伝票元!$P$6:$P$511,$M37))</f>
        <v/>
      </c>
      <c r="B37" s="45" t="str">
        <f aca="false">IF($M37="","",INDEX(伝票元!$D$6:$D$511,$M37))</f>
        <v/>
      </c>
      <c r="C37" s="10" t="str">
        <f aca="false">IF($M37="","",INDEX(伝票元!$E$6:$E$511,$M37))</f>
        <v/>
      </c>
      <c r="D37" s="45" t="str">
        <f aca="false">IF($M37="","",INDEX(伝票元!$A$6:$A$511,$M37))</f>
        <v/>
      </c>
      <c r="E37" s="10" t="str">
        <f aca="false">IF(IF($M37="",0,INDEX(伝票元!$N$6:$N$511,$M37))=1,INDEX(伝票元!$I$6:$I$511,$M37),"")</f>
        <v/>
      </c>
      <c r="F37" s="45" t="str">
        <f aca="false">IF(IF($M37="",0,INDEX(伝票元!$N$6:$N$511,$M37))=1,INDEX(伝票元!$J$6:$J$511,$M37),"")</f>
        <v/>
      </c>
      <c r="G37" s="42" t="str">
        <f aca="false">IF(IF($M37="",0,INDEX(伝票元!$N$6:$N$511,$M37))=1,INDEX(伝票元!$Q$6:$Q$511,$M37),"")</f>
        <v/>
      </c>
      <c r="H37" s="45" t="str">
        <f aca="false">IF($M37="","",INDEX(伝票元!$F$6:$F$511,$M37))</f>
        <v/>
      </c>
      <c r="I37" s="45" t="str">
        <f aca="false">IF($M37="","",INDEX(伝票元!$G$6:$G$511,$M37))</f>
        <v/>
      </c>
      <c r="J37" s="42" t="str">
        <f aca="false">IF($M37="","",INDEX(伝票元!$H$6:$H$511,$M37))</f>
        <v/>
      </c>
      <c r="K37" s="46" t="str">
        <f aca="false">IF(IF($M37="",0,INDEX(伝票元!$N$6:$N$511,$M37))=1,INDEX(伝票元!$R$6:$R$511,$M37),"")</f>
        <v/>
      </c>
      <c r="L37" s="47" t="str">
        <f aca="false">IF($M37="","",INDEX(伝票元!$S$6:$S$511,$M37))</f>
        <v/>
      </c>
      <c r="M37" s="47" t="str">
        <f aca="false">IFERROR(MATCH(31,伝票元!$O$6:$O$511,0),"")</f>
        <v/>
      </c>
    </row>
    <row r="38" customFormat="false" ht="15" hidden="false" customHeight="false" outlineLevel="0" collapsed="false">
      <c r="A38" s="10" t="str">
        <f aca="false">IF($M38="","",INDEX(伝票元!$P$6:$P$511,$M38))</f>
        <v/>
      </c>
      <c r="B38" s="45" t="str">
        <f aca="false">IF($M38="","",INDEX(伝票元!$D$6:$D$511,$M38))</f>
        <v/>
      </c>
      <c r="C38" s="10" t="str">
        <f aca="false">IF($M38="","",INDEX(伝票元!$E$6:$E$511,$M38))</f>
        <v/>
      </c>
      <c r="D38" s="45" t="str">
        <f aca="false">IF($M38="","",INDEX(伝票元!$A$6:$A$511,$M38))</f>
        <v/>
      </c>
      <c r="E38" s="10" t="str">
        <f aca="false">IF(IF($M38="",0,INDEX(伝票元!$N$6:$N$511,$M38))=1,INDEX(伝票元!$I$6:$I$511,$M38),"")</f>
        <v/>
      </c>
      <c r="F38" s="45" t="str">
        <f aca="false">IF(IF($M38="",0,INDEX(伝票元!$N$6:$N$511,$M38))=1,INDEX(伝票元!$J$6:$J$511,$M38),"")</f>
        <v/>
      </c>
      <c r="G38" s="42" t="str">
        <f aca="false">IF(IF($M38="",0,INDEX(伝票元!$N$6:$N$511,$M38))=1,INDEX(伝票元!$Q$6:$Q$511,$M38),"")</f>
        <v/>
      </c>
      <c r="H38" s="45" t="str">
        <f aca="false">IF($M38="","",INDEX(伝票元!$F$6:$F$511,$M38))</f>
        <v/>
      </c>
      <c r="I38" s="45" t="str">
        <f aca="false">IF($M38="","",INDEX(伝票元!$G$6:$G$511,$M38))</f>
        <v/>
      </c>
      <c r="J38" s="42" t="str">
        <f aca="false">IF($M38="","",INDEX(伝票元!$H$6:$H$511,$M38))</f>
        <v/>
      </c>
      <c r="K38" s="46" t="str">
        <f aca="false">IF(IF($M38="",0,INDEX(伝票元!$N$6:$N$511,$M38))=1,INDEX(伝票元!$R$6:$R$511,$M38),"")</f>
        <v/>
      </c>
      <c r="L38" s="47" t="str">
        <f aca="false">IF($M38="","",INDEX(伝票元!$S$6:$S$511,$M38))</f>
        <v/>
      </c>
      <c r="M38" s="47" t="str">
        <f aca="false">IFERROR(MATCH(32,伝票元!$O$6:$O$511,0),"")</f>
        <v/>
      </c>
    </row>
    <row r="39" customFormat="false" ht="15" hidden="false" customHeight="false" outlineLevel="0" collapsed="false">
      <c r="A39" s="10" t="str">
        <f aca="false">IF($M39="","",INDEX(伝票元!$P$6:$P$511,$M39))</f>
        <v/>
      </c>
      <c r="B39" s="45" t="str">
        <f aca="false">IF($M39="","",INDEX(伝票元!$D$6:$D$511,$M39))</f>
        <v/>
      </c>
      <c r="C39" s="10" t="str">
        <f aca="false">IF($M39="","",INDEX(伝票元!$E$6:$E$511,$M39))</f>
        <v/>
      </c>
      <c r="D39" s="45" t="str">
        <f aca="false">IF($M39="","",INDEX(伝票元!$A$6:$A$511,$M39))</f>
        <v/>
      </c>
      <c r="E39" s="10" t="str">
        <f aca="false">IF(IF($M39="",0,INDEX(伝票元!$N$6:$N$511,$M39))=1,INDEX(伝票元!$I$6:$I$511,$M39),"")</f>
        <v/>
      </c>
      <c r="F39" s="45" t="str">
        <f aca="false">IF(IF($M39="",0,INDEX(伝票元!$N$6:$N$511,$M39))=1,INDEX(伝票元!$J$6:$J$511,$M39),"")</f>
        <v/>
      </c>
      <c r="G39" s="42" t="str">
        <f aca="false">IF(IF($M39="",0,INDEX(伝票元!$N$6:$N$511,$M39))=1,INDEX(伝票元!$Q$6:$Q$511,$M39),"")</f>
        <v/>
      </c>
      <c r="H39" s="45" t="str">
        <f aca="false">IF($M39="","",INDEX(伝票元!$F$6:$F$511,$M39))</f>
        <v/>
      </c>
      <c r="I39" s="45" t="str">
        <f aca="false">IF($M39="","",INDEX(伝票元!$G$6:$G$511,$M39))</f>
        <v/>
      </c>
      <c r="J39" s="42" t="str">
        <f aca="false">IF($M39="","",INDEX(伝票元!$H$6:$H$511,$M39))</f>
        <v/>
      </c>
      <c r="K39" s="46" t="str">
        <f aca="false">IF(IF($M39="",0,INDEX(伝票元!$N$6:$N$511,$M39))=1,INDEX(伝票元!$R$6:$R$511,$M39),"")</f>
        <v/>
      </c>
      <c r="L39" s="47" t="str">
        <f aca="false">IF($M39="","",INDEX(伝票元!$S$6:$S$511,$M39))</f>
        <v/>
      </c>
      <c r="M39" s="47" t="str">
        <f aca="false">IFERROR(MATCH(33,伝票元!$O$6:$O$511,0),"")</f>
        <v/>
      </c>
    </row>
    <row r="40" customFormat="false" ht="15" hidden="false" customHeight="false" outlineLevel="0" collapsed="false">
      <c r="A40" s="10" t="str">
        <f aca="false">IF($M40="","",INDEX(伝票元!$P$6:$P$511,$M40))</f>
        <v/>
      </c>
      <c r="B40" s="45" t="str">
        <f aca="false">IF($M40="","",INDEX(伝票元!$D$6:$D$511,$M40))</f>
        <v/>
      </c>
      <c r="C40" s="10" t="str">
        <f aca="false">IF($M40="","",INDEX(伝票元!$E$6:$E$511,$M40))</f>
        <v/>
      </c>
      <c r="D40" s="45" t="str">
        <f aca="false">IF($M40="","",INDEX(伝票元!$A$6:$A$511,$M40))</f>
        <v/>
      </c>
      <c r="E40" s="10" t="str">
        <f aca="false">IF(IF($M40="",0,INDEX(伝票元!$N$6:$N$511,$M40))=1,INDEX(伝票元!$I$6:$I$511,$M40),"")</f>
        <v/>
      </c>
      <c r="F40" s="45" t="str">
        <f aca="false">IF(IF($M40="",0,INDEX(伝票元!$N$6:$N$511,$M40))=1,INDEX(伝票元!$J$6:$J$511,$M40),"")</f>
        <v/>
      </c>
      <c r="G40" s="42" t="str">
        <f aca="false">IF(IF($M40="",0,INDEX(伝票元!$N$6:$N$511,$M40))=1,INDEX(伝票元!$Q$6:$Q$511,$M40),"")</f>
        <v/>
      </c>
      <c r="H40" s="45" t="str">
        <f aca="false">IF($M40="","",INDEX(伝票元!$F$6:$F$511,$M40))</f>
        <v/>
      </c>
      <c r="I40" s="45" t="str">
        <f aca="false">IF($M40="","",INDEX(伝票元!$G$6:$G$511,$M40))</f>
        <v/>
      </c>
      <c r="J40" s="42" t="str">
        <f aca="false">IF($M40="","",INDEX(伝票元!$H$6:$H$511,$M40))</f>
        <v/>
      </c>
      <c r="K40" s="46" t="str">
        <f aca="false">IF(IF($M40="",0,INDEX(伝票元!$N$6:$N$511,$M40))=1,INDEX(伝票元!$R$6:$R$511,$M40),"")</f>
        <v/>
      </c>
      <c r="L40" s="47" t="str">
        <f aca="false">IF($M40="","",INDEX(伝票元!$S$6:$S$511,$M40))</f>
        <v/>
      </c>
      <c r="M40" s="47" t="str">
        <f aca="false">IFERROR(MATCH(34,伝票元!$O$6:$O$511,0),"")</f>
        <v/>
      </c>
    </row>
    <row r="41" customFormat="false" ht="15" hidden="false" customHeight="false" outlineLevel="0" collapsed="false">
      <c r="A41" s="10" t="str">
        <f aca="false">IF($M41="","",INDEX(伝票元!$P$6:$P$511,$M41))</f>
        <v/>
      </c>
      <c r="B41" s="45" t="str">
        <f aca="false">IF($M41="","",INDEX(伝票元!$D$6:$D$511,$M41))</f>
        <v/>
      </c>
      <c r="C41" s="10" t="str">
        <f aca="false">IF($M41="","",INDEX(伝票元!$E$6:$E$511,$M41))</f>
        <v/>
      </c>
      <c r="D41" s="45" t="str">
        <f aca="false">IF($M41="","",INDEX(伝票元!$A$6:$A$511,$M41))</f>
        <v/>
      </c>
      <c r="E41" s="10" t="str">
        <f aca="false">IF(IF($M41="",0,INDEX(伝票元!$N$6:$N$511,$M41))=1,INDEX(伝票元!$I$6:$I$511,$M41),"")</f>
        <v/>
      </c>
      <c r="F41" s="45" t="str">
        <f aca="false">IF(IF($M41="",0,INDEX(伝票元!$N$6:$N$511,$M41))=1,INDEX(伝票元!$J$6:$J$511,$M41),"")</f>
        <v/>
      </c>
      <c r="G41" s="42" t="str">
        <f aca="false">IF(IF($M41="",0,INDEX(伝票元!$N$6:$N$511,$M41))=1,INDEX(伝票元!$Q$6:$Q$511,$M41),"")</f>
        <v/>
      </c>
      <c r="H41" s="45" t="str">
        <f aca="false">IF($M41="","",INDEX(伝票元!$F$6:$F$511,$M41))</f>
        <v/>
      </c>
      <c r="I41" s="45" t="str">
        <f aca="false">IF($M41="","",INDEX(伝票元!$G$6:$G$511,$M41))</f>
        <v/>
      </c>
      <c r="J41" s="42" t="str">
        <f aca="false">IF($M41="","",INDEX(伝票元!$H$6:$H$511,$M41))</f>
        <v/>
      </c>
      <c r="K41" s="46" t="str">
        <f aca="false">IF(IF($M41="",0,INDEX(伝票元!$N$6:$N$511,$M41))=1,INDEX(伝票元!$R$6:$R$511,$M41),"")</f>
        <v/>
      </c>
      <c r="L41" s="47" t="str">
        <f aca="false">IF($M41="","",INDEX(伝票元!$S$6:$S$511,$M41))</f>
        <v/>
      </c>
      <c r="M41" s="47" t="str">
        <f aca="false">IFERROR(MATCH(35,伝票元!$O$6:$O$511,0),"")</f>
        <v/>
      </c>
    </row>
    <row r="42" customFormat="false" ht="15" hidden="false" customHeight="false" outlineLevel="0" collapsed="false">
      <c r="A42" s="10" t="str">
        <f aca="false">IF($M42="","",INDEX(伝票元!$P$6:$P$511,$M42))</f>
        <v/>
      </c>
      <c r="B42" s="45" t="str">
        <f aca="false">IF($M42="","",INDEX(伝票元!$D$6:$D$511,$M42))</f>
        <v/>
      </c>
      <c r="C42" s="10" t="str">
        <f aca="false">IF($M42="","",INDEX(伝票元!$E$6:$E$511,$M42))</f>
        <v/>
      </c>
      <c r="D42" s="45" t="str">
        <f aca="false">IF($M42="","",INDEX(伝票元!$A$6:$A$511,$M42))</f>
        <v/>
      </c>
      <c r="E42" s="10" t="str">
        <f aca="false">IF(IF($M42="",0,INDEX(伝票元!$N$6:$N$511,$M42))=1,INDEX(伝票元!$I$6:$I$511,$M42),"")</f>
        <v/>
      </c>
      <c r="F42" s="45" t="str">
        <f aca="false">IF(IF($M42="",0,INDEX(伝票元!$N$6:$N$511,$M42))=1,INDEX(伝票元!$J$6:$J$511,$M42),"")</f>
        <v/>
      </c>
      <c r="G42" s="42" t="str">
        <f aca="false">IF(IF($M42="",0,INDEX(伝票元!$N$6:$N$511,$M42))=1,INDEX(伝票元!$Q$6:$Q$511,$M42),"")</f>
        <v/>
      </c>
      <c r="H42" s="45" t="str">
        <f aca="false">IF($M42="","",INDEX(伝票元!$F$6:$F$511,$M42))</f>
        <v/>
      </c>
      <c r="I42" s="45" t="str">
        <f aca="false">IF($M42="","",INDEX(伝票元!$G$6:$G$511,$M42))</f>
        <v/>
      </c>
      <c r="J42" s="42" t="str">
        <f aca="false">IF($M42="","",INDEX(伝票元!$H$6:$H$511,$M42))</f>
        <v/>
      </c>
      <c r="K42" s="46" t="str">
        <f aca="false">IF(IF($M42="",0,INDEX(伝票元!$N$6:$N$511,$M42))=1,INDEX(伝票元!$R$6:$R$511,$M42),"")</f>
        <v/>
      </c>
      <c r="L42" s="47" t="str">
        <f aca="false">IF($M42="","",INDEX(伝票元!$S$6:$S$511,$M42))</f>
        <v/>
      </c>
      <c r="M42" s="47" t="str">
        <f aca="false">IFERROR(MATCH(36,伝票元!$O$6:$O$511,0),"")</f>
        <v/>
      </c>
    </row>
    <row r="43" customFormat="false" ht="15" hidden="false" customHeight="false" outlineLevel="0" collapsed="false">
      <c r="A43" s="10" t="str">
        <f aca="false">IF($M43="","",INDEX(伝票元!$P$6:$P$511,$M43))</f>
        <v/>
      </c>
      <c r="B43" s="45" t="str">
        <f aca="false">IF($M43="","",INDEX(伝票元!$D$6:$D$511,$M43))</f>
        <v/>
      </c>
      <c r="C43" s="10" t="str">
        <f aca="false">IF($M43="","",INDEX(伝票元!$E$6:$E$511,$M43))</f>
        <v/>
      </c>
      <c r="D43" s="45" t="str">
        <f aca="false">IF($M43="","",INDEX(伝票元!$A$6:$A$511,$M43))</f>
        <v/>
      </c>
      <c r="E43" s="10" t="str">
        <f aca="false">IF(IF($M43="",0,INDEX(伝票元!$N$6:$N$511,$M43))=1,INDEX(伝票元!$I$6:$I$511,$M43),"")</f>
        <v/>
      </c>
      <c r="F43" s="45" t="str">
        <f aca="false">IF(IF($M43="",0,INDEX(伝票元!$N$6:$N$511,$M43))=1,INDEX(伝票元!$J$6:$J$511,$M43),"")</f>
        <v/>
      </c>
      <c r="G43" s="42" t="str">
        <f aca="false">IF(IF($M43="",0,INDEX(伝票元!$N$6:$N$511,$M43))=1,INDEX(伝票元!$Q$6:$Q$511,$M43),"")</f>
        <v/>
      </c>
      <c r="H43" s="45" t="str">
        <f aca="false">IF($M43="","",INDEX(伝票元!$F$6:$F$511,$M43))</f>
        <v/>
      </c>
      <c r="I43" s="45" t="str">
        <f aca="false">IF($M43="","",INDEX(伝票元!$G$6:$G$511,$M43))</f>
        <v/>
      </c>
      <c r="J43" s="42" t="str">
        <f aca="false">IF($M43="","",INDEX(伝票元!$H$6:$H$511,$M43))</f>
        <v/>
      </c>
      <c r="K43" s="46" t="str">
        <f aca="false">IF(IF($M43="",0,INDEX(伝票元!$N$6:$N$511,$M43))=1,INDEX(伝票元!$R$6:$R$511,$M43),"")</f>
        <v/>
      </c>
      <c r="L43" s="47" t="str">
        <f aca="false">IF($M43="","",INDEX(伝票元!$S$6:$S$511,$M43))</f>
        <v/>
      </c>
      <c r="M43" s="47" t="str">
        <f aca="false">IFERROR(MATCH(37,伝票元!$O$6:$O$511,0),"")</f>
        <v/>
      </c>
    </row>
    <row r="44" customFormat="false" ht="15" hidden="false" customHeight="false" outlineLevel="0" collapsed="false">
      <c r="A44" s="10" t="str">
        <f aca="false">IF($M44="","",INDEX(伝票元!$P$6:$P$511,$M44))</f>
        <v/>
      </c>
      <c r="B44" s="45" t="str">
        <f aca="false">IF($M44="","",INDEX(伝票元!$D$6:$D$511,$M44))</f>
        <v/>
      </c>
      <c r="C44" s="10" t="str">
        <f aca="false">IF($M44="","",INDEX(伝票元!$E$6:$E$511,$M44))</f>
        <v/>
      </c>
      <c r="D44" s="45" t="str">
        <f aca="false">IF($M44="","",INDEX(伝票元!$A$6:$A$511,$M44))</f>
        <v/>
      </c>
      <c r="E44" s="10" t="str">
        <f aca="false">IF(IF($M44="",0,INDEX(伝票元!$N$6:$N$511,$M44))=1,INDEX(伝票元!$I$6:$I$511,$M44),"")</f>
        <v/>
      </c>
      <c r="F44" s="45" t="str">
        <f aca="false">IF(IF($M44="",0,INDEX(伝票元!$N$6:$N$511,$M44))=1,INDEX(伝票元!$J$6:$J$511,$M44),"")</f>
        <v/>
      </c>
      <c r="G44" s="42" t="str">
        <f aca="false">IF(IF($M44="",0,INDEX(伝票元!$N$6:$N$511,$M44))=1,INDEX(伝票元!$Q$6:$Q$511,$M44),"")</f>
        <v/>
      </c>
      <c r="H44" s="45" t="str">
        <f aca="false">IF($M44="","",INDEX(伝票元!$F$6:$F$511,$M44))</f>
        <v/>
      </c>
      <c r="I44" s="45" t="str">
        <f aca="false">IF($M44="","",INDEX(伝票元!$G$6:$G$511,$M44))</f>
        <v/>
      </c>
      <c r="J44" s="42" t="str">
        <f aca="false">IF($M44="","",INDEX(伝票元!$H$6:$H$511,$M44))</f>
        <v/>
      </c>
      <c r="K44" s="46" t="str">
        <f aca="false">IF(IF($M44="",0,INDEX(伝票元!$N$6:$N$511,$M44))=1,INDEX(伝票元!$R$6:$R$511,$M44),"")</f>
        <v/>
      </c>
      <c r="L44" s="47" t="str">
        <f aca="false">IF($M44="","",INDEX(伝票元!$S$6:$S$511,$M44))</f>
        <v/>
      </c>
      <c r="M44" s="47" t="str">
        <f aca="false">IFERROR(MATCH(38,伝票元!$O$6:$O$511,0),"")</f>
        <v/>
      </c>
    </row>
    <row r="45" customFormat="false" ht="15" hidden="false" customHeight="false" outlineLevel="0" collapsed="false">
      <c r="A45" s="10" t="str">
        <f aca="false">IF($M45="","",INDEX(伝票元!$P$6:$P$511,$M45))</f>
        <v/>
      </c>
      <c r="B45" s="45" t="str">
        <f aca="false">IF($M45="","",INDEX(伝票元!$D$6:$D$511,$M45))</f>
        <v/>
      </c>
      <c r="C45" s="10" t="str">
        <f aca="false">IF($M45="","",INDEX(伝票元!$E$6:$E$511,$M45))</f>
        <v/>
      </c>
      <c r="D45" s="45" t="str">
        <f aca="false">IF($M45="","",INDEX(伝票元!$A$6:$A$511,$M45))</f>
        <v/>
      </c>
      <c r="E45" s="10" t="str">
        <f aca="false">IF(IF($M45="",0,INDEX(伝票元!$N$6:$N$511,$M45))=1,INDEX(伝票元!$I$6:$I$511,$M45),"")</f>
        <v/>
      </c>
      <c r="F45" s="45" t="str">
        <f aca="false">IF(IF($M45="",0,INDEX(伝票元!$N$6:$N$511,$M45))=1,INDEX(伝票元!$J$6:$J$511,$M45),"")</f>
        <v/>
      </c>
      <c r="G45" s="42" t="str">
        <f aca="false">IF(IF($M45="",0,INDEX(伝票元!$N$6:$N$511,$M45))=1,INDEX(伝票元!$Q$6:$Q$511,$M45),"")</f>
        <v/>
      </c>
      <c r="H45" s="45" t="str">
        <f aca="false">IF($M45="","",INDEX(伝票元!$F$6:$F$511,$M45))</f>
        <v/>
      </c>
      <c r="I45" s="45" t="str">
        <f aca="false">IF($M45="","",INDEX(伝票元!$G$6:$G$511,$M45))</f>
        <v/>
      </c>
      <c r="J45" s="42" t="str">
        <f aca="false">IF($M45="","",INDEX(伝票元!$H$6:$H$511,$M45))</f>
        <v/>
      </c>
      <c r="K45" s="46" t="str">
        <f aca="false">IF(IF($M45="",0,INDEX(伝票元!$N$6:$N$511,$M45))=1,INDEX(伝票元!$R$6:$R$511,$M45),"")</f>
        <v/>
      </c>
      <c r="L45" s="47" t="str">
        <f aca="false">IF($M45="","",INDEX(伝票元!$S$6:$S$511,$M45))</f>
        <v/>
      </c>
      <c r="M45" s="47" t="str">
        <f aca="false">IFERROR(MATCH(39,伝票元!$O$6:$O$511,0),"")</f>
        <v/>
      </c>
    </row>
    <row r="46" customFormat="false" ht="15" hidden="false" customHeight="false" outlineLevel="0" collapsed="false">
      <c r="A46" s="10" t="str">
        <f aca="false">IF($M46="","",INDEX(伝票元!$P$6:$P$511,$M46))</f>
        <v/>
      </c>
      <c r="B46" s="45" t="str">
        <f aca="false">IF($M46="","",INDEX(伝票元!$D$6:$D$511,$M46))</f>
        <v/>
      </c>
      <c r="C46" s="10" t="str">
        <f aca="false">IF($M46="","",INDEX(伝票元!$E$6:$E$511,$M46))</f>
        <v/>
      </c>
      <c r="D46" s="45" t="str">
        <f aca="false">IF($M46="","",INDEX(伝票元!$A$6:$A$511,$M46))</f>
        <v/>
      </c>
      <c r="E46" s="10" t="str">
        <f aca="false">IF(IF($M46="",0,INDEX(伝票元!$N$6:$N$511,$M46))=1,INDEX(伝票元!$I$6:$I$511,$M46),"")</f>
        <v/>
      </c>
      <c r="F46" s="45" t="str">
        <f aca="false">IF(IF($M46="",0,INDEX(伝票元!$N$6:$N$511,$M46))=1,INDEX(伝票元!$J$6:$J$511,$M46),"")</f>
        <v/>
      </c>
      <c r="G46" s="42" t="str">
        <f aca="false">IF(IF($M46="",0,INDEX(伝票元!$N$6:$N$511,$M46))=1,INDEX(伝票元!$Q$6:$Q$511,$M46),"")</f>
        <v/>
      </c>
      <c r="H46" s="45" t="str">
        <f aca="false">IF($M46="","",INDEX(伝票元!$F$6:$F$511,$M46))</f>
        <v/>
      </c>
      <c r="I46" s="45" t="str">
        <f aca="false">IF($M46="","",INDEX(伝票元!$G$6:$G$511,$M46))</f>
        <v/>
      </c>
      <c r="J46" s="42" t="str">
        <f aca="false">IF($M46="","",INDEX(伝票元!$H$6:$H$511,$M46))</f>
        <v/>
      </c>
      <c r="K46" s="46" t="str">
        <f aca="false">IF(IF($M46="",0,INDEX(伝票元!$N$6:$N$511,$M46))=1,INDEX(伝票元!$R$6:$R$511,$M46),"")</f>
        <v/>
      </c>
      <c r="L46" s="47" t="str">
        <f aca="false">IF($M46="","",INDEX(伝票元!$S$6:$S$511,$M46))</f>
        <v/>
      </c>
      <c r="M46" s="47" t="str">
        <f aca="false">IFERROR(MATCH(40,伝票元!$O$6:$O$511,0),"")</f>
        <v/>
      </c>
    </row>
    <row r="47" customFormat="false" ht="15" hidden="false" customHeight="false" outlineLevel="0" collapsed="false">
      <c r="A47" s="10" t="str">
        <f aca="false">IF($M47="","",INDEX(伝票元!$P$6:$P$511,$M47))</f>
        <v/>
      </c>
      <c r="B47" s="45" t="str">
        <f aca="false">IF($M47="","",INDEX(伝票元!$D$6:$D$511,$M47))</f>
        <v/>
      </c>
      <c r="C47" s="10" t="str">
        <f aca="false">IF($M47="","",INDEX(伝票元!$E$6:$E$511,$M47))</f>
        <v/>
      </c>
      <c r="D47" s="45" t="str">
        <f aca="false">IF($M47="","",INDEX(伝票元!$A$6:$A$511,$M47))</f>
        <v/>
      </c>
      <c r="E47" s="10" t="str">
        <f aca="false">IF(IF($M47="",0,INDEX(伝票元!$N$6:$N$511,$M47))=1,INDEX(伝票元!$I$6:$I$511,$M47),"")</f>
        <v/>
      </c>
      <c r="F47" s="45" t="str">
        <f aca="false">IF(IF($M47="",0,INDEX(伝票元!$N$6:$N$511,$M47))=1,INDEX(伝票元!$J$6:$J$511,$M47),"")</f>
        <v/>
      </c>
      <c r="G47" s="42" t="str">
        <f aca="false">IF(IF($M47="",0,INDEX(伝票元!$N$6:$N$511,$M47))=1,INDEX(伝票元!$Q$6:$Q$511,$M47),"")</f>
        <v/>
      </c>
      <c r="H47" s="45" t="str">
        <f aca="false">IF($M47="","",INDEX(伝票元!$F$6:$F$511,$M47))</f>
        <v/>
      </c>
      <c r="I47" s="45" t="str">
        <f aca="false">IF($M47="","",INDEX(伝票元!$G$6:$G$511,$M47))</f>
        <v/>
      </c>
      <c r="J47" s="42" t="str">
        <f aca="false">IF($M47="","",INDEX(伝票元!$H$6:$H$511,$M47))</f>
        <v/>
      </c>
      <c r="K47" s="46" t="str">
        <f aca="false">IF(IF($M47="",0,INDEX(伝票元!$N$6:$N$511,$M47))=1,INDEX(伝票元!$R$6:$R$511,$M47),"")</f>
        <v/>
      </c>
      <c r="L47" s="47" t="str">
        <f aca="false">IF($M47="","",INDEX(伝票元!$S$6:$S$511,$M47))</f>
        <v/>
      </c>
      <c r="M47" s="47" t="str">
        <f aca="false">IFERROR(MATCH(41,伝票元!$O$6:$O$511,0),"")</f>
        <v/>
      </c>
    </row>
    <row r="48" customFormat="false" ht="15" hidden="false" customHeight="false" outlineLevel="0" collapsed="false">
      <c r="A48" s="10" t="str">
        <f aca="false">IF($M48="","",INDEX(伝票元!$P$6:$P$511,$M48))</f>
        <v/>
      </c>
      <c r="B48" s="45" t="str">
        <f aca="false">IF($M48="","",INDEX(伝票元!$D$6:$D$511,$M48))</f>
        <v/>
      </c>
      <c r="C48" s="10" t="str">
        <f aca="false">IF($M48="","",INDEX(伝票元!$E$6:$E$511,$M48))</f>
        <v/>
      </c>
      <c r="D48" s="45" t="str">
        <f aca="false">IF($M48="","",INDEX(伝票元!$A$6:$A$511,$M48))</f>
        <v/>
      </c>
      <c r="E48" s="10" t="str">
        <f aca="false">IF(IF($M48="",0,INDEX(伝票元!$N$6:$N$511,$M48))=1,INDEX(伝票元!$I$6:$I$511,$M48),"")</f>
        <v/>
      </c>
      <c r="F48" s="45" t="str">
        <f aca="false">IF(IF($M48="",0,INDEX(伝票元!$N$6:$N$511,$M48))=1,INDEX(伝票元!$J$6:$J$511,$M48),"")</f>
        <v/>
      </c>
      <c r="G48" s="42" t="str">
        <f aca="false">IF(IF($M48="",0,INDEX(伝票元!$N$6:$N$511,$M48))=1,INDEX(伝票元!$Q$6:$Q$511,$M48),"")</f>
        <v/>
      </c>
      <c r="H48" s="45" t="str">
        <f aca="false">IF($M48="","",INDEX(伝票元!$F$6:$F$511,$M48))</f>
        <v/>
      </c>
      <c r="I48" s="45" t="str">
        <f aca="false">IF($M48="","",INDEX(伝票元!$G$6:$G$511,$M48))</f>
        <v/>
      </c>
      <c r="J48" s="42" t="str">
        <f aca="false">IF($M48="","",INDEX(伝票元!$H$6:$H$511,$M48))</f>
        <v/>
      </c>
      <c r="K48" s="46" t="str">
        <f aca="false">IF(IF($M48="",0,INDEX(伝票元!$N$6:$N$511,$M48))=1,INDEX(伝票元!$R$6:$R$511,$M48),"")</f>
        <v/>
      </c>
      <c r="L48" s="47" t="str">
        <f aca="false">IF($M48="","",INDEX(伝票元!$S$6:$S$511,$M48))</f>
        <v/>
      </c>
      <c r="M48" s="47" t="str">
        <f aca="false">IFERROR(MATCH(42,伝票元!$O$6:$O$511,0),"")</f>
        <v/>
      </c>
    </row>
    <row r="49" customFormat="false" ht="15" hidden="false" customHeight="false" outlineLevel="0" collapsed="false">
      <c r="A49" s="10" t="str">
        <f aca="false">IF($M49="","",INDEX(伝票元!$P$6:$P$511,$M49))</f>
        <v/>
      </c>
      <c r="B49" s="45" t="str">
        <f aca="false">IF($M49="","",INDEX(伝票元!$D$6:$D$511,$M49))</f>
        <v/>
      </c>
      <c r="C49" s="10" t="str">
        <f aca="false">IF($M49="","",INDEX(伝票元!$E$6:$E$511,$M49))</f>
        <v/>
      </c>
      <c r="D49" s="45" t="str">
        <f aca="false">IF($M49="","",INDEX(伝票元!$A$6:$A$511,$M49))</f>
        <v/>
      </c>
      <c r="E49" s="10" t="str">
        <f aca="false">IF(IF($M49="",0,INDEX(伝票元!$N$6:$N$511,$M49))=1,INDEX(伝票元!$I$6:$I$511,$M49),"")</f>
        <v/>
      </c>
      <c r="F49" s="45" t="str">
        <f aca="false">IF(IF($M49="",0,INDEX(伝票元!$N$6:$N$511,$M49))=1,INDEX(伝票元!$J$6:$J$511,$M49),"")</f>
        <v/>
      </c>
      <c r="G49" s="42" t="str">
        <f aca="false">IF(IF($M49="",0,INDEX(伝票元!$N$6:$N$511,$M49))=1,INDEX(伝票元!$Q$6:$Q$511,$M49),"")</f>
        <v/>
      </c>
      <c r="H49" s="45" t="str">
        <f aca="false">IF($M49="","",INDEX(伝票元!$F$6:$F$511,$M49))</f>
        <v/>
      </c>
      <c r="I49" s="45" t="str">
        <f aca="false">IF($M49="","",INDEX(伝票元!$G$6:$G$511,$M49))</f>
        <v/>
      </c>
      <c r="J49" s="42" t="str">
        <f aca="false">IF($M49="","",INDEX(伝票元!$H$6:$H$511,$M49))</f>
        <v/>
      </c>
      <c r="K49" s="46" t="str">
        <f aca="false">IF(IF($M49="",0,INDEX(伝票元!$N$6:$N$511,$M49))=1,INDEX(伝票元!$R$6:$R$511,$M49),"")</f>
        <v/>
      </c>
      <c r="L49" s="47" t="str">
        <f aca="false">IF($M49="","",INDEX(伝票元!$S$6:$S$511,$M49))</f>
        <v/>
      </c>
      <c r="M49" s="47" t="str">
        <f aca="false">IFERROR(MATCH(43,伝票元!$O$6:$O$511,0),"")</f>
        <v/>
      </c>
    </row>
    <row r="50" customFormat="false" ht="15" hidden="false" customHeight="false" outlineLevel="0" collapsed="false">
      <c r="A50" s="10" t="str">
        <f aca="false">IF($M50="","",INDEX(伝票元!$P$6:$P$511,$M50))</f>
        <v/>
      </c>
      <c r="B50" s="45" t="str">
        <f aca="false">IF($M50="","",INDEX(伝票元!$D$6:$D$511,$M50))</f>
        <v/>
      </c>
      <c r="C50" s="10" t="str">
        <f aca="false">IF($M50="","",INDEX(伝票元!$E$6:$E$511,$M50))</f>
        <v/>
      </c>
      <c r="D50" s="45" t="str">
        <f aca="false">IF($M50="","",INDEX(伝票元!$A$6:$A$511,$M50))</f>
        <v/>
      </c>
      <c r="E50" s="10" t="str">
        <f aca="false">IF(IF($M50="",0,INDEX(伝票元!$N$6:$N$511,$M50))=1,INDEX(伝票元!$I$6:$I$511,$M50),"")</f>
        <v/>
      </c>
      <c r="F50" s="45" t="str">
        <f aca="false">IF(IF($M50="",0,INDEX(伝票元!$N$6:$N$511,$M50))=1,INDEX(伝票元!$J$6:$J$511,$M50),"")</f>
        <v/>
      </c>
      <c r="G50" s="42" t="str">
        <f aca="false">IF(IF($M50="",0,INDEX(伝票元!$N$6:$N$511,$M50))=1,INDEX(伝票元!$Q$6:$Q$511,$M50),"")</f>
        <v/>
      </c>
      <c r="H50" s="45" t="str">
        <f aca="false">IF($M50="","",INDEX(伝票元!$F$6:$F$511,$M50))</f>
        <v/>
      </c>
      <c r="I50" s="45" t="str">
        <f aca="false">IF($M50="","",INDEX(伝票元!$G$6:$G$511,$M50))</f>
        <v/>
      </c>
      <c r="J50" s="42" t="str">
        <f aca="false">IF($M50="","",INDEX(伝票元!$H$6:$H$511,$M50))</f>
        <v/>
      </c>
      <c r="K50" s="46" t="str">
        <f aca="false">IF(IF($M50="",0,INDEX(伝票元!$N$6:$N$511,$M50))=1,INDEX(伝票元!$R$6:$R$511,$M50),"")</f>
        <v/>
      </c>
      <c r="L50" s="47" t="str">
        <f aca="false">IF($M50="","",INDEX(伝票元!$S$6:$S$511,$M50))</f>
        <v/>
      </c>
      <c r="M50" s="47" t="str">
        <f aca="false">IFERROR(MATCH(44,伝票元!$O$6:$O$511,0),"")</f>
        <v/>
      </c>
    </row>
    <row r="51" customFormat="false" ht="15" hidden="false" customHeight="false" outlineLevel="0" collapsed="false">
      <c r="A51" s="10" t="str">
        <f aca="false">IF($M51="","",INDEX(伝票元!$P$6:$P$511,$M51))</f>
        <v/>
      </c>
      <c r="B51" s="45" t="str">
        <f aca="false">IF($M51="","",INDEX(伝票元!$D$6:$D$511,$M51))</f>
        <v/>
      </c>
      <c r="C51" s="10" t="str">
        <f aca="false">IF($M51="","",INDEX(伝票元!$E$6:$E$511,$M51))</f>
        <v/>
      </c>
      <c r="D51" s="45" t="str">
        <f aca="false">IF($M51="","",INDEX(伝票元!$A$6:$A$511,$M51))</f>
        <v/>
      </c>
      <c r="E51" s="10" t="str">
        <f aca="false">IF(IF($M51="",0,INDEX(伝票元!$N$6:$N$511,$M51))=1,INDEX(伝票元!$I$6:$I$511,$M51),"")</f>
        <v/>
      </c>
      <c r="F51" s="45" t="str">
        <f aca="false">IF(IF($M51="",0,INDEX(伝票元!$N$6:$N$511,$M51))=1,INDEX(伝票元!$J$6:$J$511,$M51),"")</f>
        <v/>
      </c>
      <c r="G51" s="42" t="str">
        <f aca="false">IF(IF($M51="",0,INDEX(伝票元!$N$6:$N$511,$M51))=1,INDEX(伝票元!$Q$6:$Q$511,$M51),"")</f>
        <v/>
      </c>
      <c r="H51" s="45" t="str">
        <f aca="false">IF($M51="","",INDEX(伝票元!$F$6:$F$511,$M51))</f>
        <v/>
      </c>
      <c r="I51" s="45" t="str">
        <f aca="false">IF($M51="","",INDEX(伝票元!$G$6:$G$511,$M51))</f>
        <v/>
      </c>
      <c r="J51" s="42" t="str">
        <f aca="false">IF($M51="","",INDEX(伝票元!$H$6:$H$511,$M51))</f>
        <v/>
      </c>
      <c r="K51" s="46" t="str">
        <f aca="false">IF(IF($M51="",0,INDEX(伝票元!$N$6:$N$511,$M51))=1,INDEX(伝票元!$R$6:$R$511,$M51),"")</f>
        <v/>
      </c>
      <c r="L51" s="47" t="str">
        <f aca="false">IF($M51="","",INDEX(伝票元!$S$6:$S$511,$M51))</f>
        <v/>
      </c>
      <c r="M51" s="47" t="str">
        <f aca="false">IFERROR(MATCH(45,伝票元!$O$6:$O$511,0),"")</f>
        <v/>
      </c>
    </row>
    <row r="52" customFormat="false" ht="15" hidden="false" customHeight="false" outlineLevel="0" collapsed="false">
      <c r="A52" s="10" t="str">
        <f aca="false">IF($M52="","",INDEX(伝票元!$P$6:$P$511,$M52))</f>
        <v/>
      </c>
      <c r="B52" s="45" t="str">
        <f aca="false">IF($M52="","",INDEX(伝票元!$D$6:$D$511,$M52))</f>
        <v/>
      </c>
      <c r="C52" s="10" t="str">
        <f aca="false">IF($M52="","",INDEX(伝票元!$E$6:$E$511,$M52))</f>
        <v/>
      </c>
      <c r="D52" s="45" t="str">
        <f aca="false">IF($M52="","",INDEX(伝票元!$A$6:$A$511,$M52))</f>
        <v/>
      </c>
      <c r="E52" s="10" t="str">
        <f aca="false">IF(IF($M52="",0,INDEX(伝票元!$N$6:$N$511,$M52))=1,INDEX(伝票元!$I$6:$I$511,$M52),"")</f>
        <v/>
      </c>
      <c r="F52" s="45" t="str">
        <f aca="false">IF(IF($M52="",0,INDEX(伝票元!$N$6:$N$511,$M52))=1,INDEX(伝票元!$J$6:$J$511,$M52),"")</f>
        <v/>
      </c>
      <c r="G52" s="42" t="str">
        <f aca="false">IF(IF($M52="",0,INDEX(伝票元!$N$6:$N$511,$M52))=1,INDEX(伝票元!$Q$6:$Q$511,$M52),"")</f>
        <v/>
      </c>
      <c r="H52" s="45" t="str">
        <f aca="false">IF($M52="","",INDEX(伝票元!$F$6:$F$511,$M52))</f>
        <v/>
      </c>
      <c r="I52" s="45" t="str">
        <f aca="false">IF($M52="","",INDEX(伝票元!$G$6:$G$511,$M52))</f>
        <v/>
      </c>
      <c r="J52" s="42" t="str">
        <f aca="false">IF($M52="","",INDEX(伝票元!$H$6:$H$511,$M52))</f>
        <v/>
      </c>
      <c r="K52" s="46" t="str">
        <f aca="false">IF(IF($M52="",0,INDEX(伝票元!$N$6:$N$511,$M52))=1,INDEX(伝票元!$R$6:$R$511,$M52),"")</f>
        <v/>
      </c>
      <c r="L52" s="47" t="str">
        <f aca="false">IF($M52="","",INDEX(伝票元!$S$6:$S$511,$M52))</f>
        <v/>
      </c>
      <c r="M52" s="47" t="str">
        <f aca="false">IFERROR(MATCH(46,伝票元!$O$6:$O$511,0),"")</f>
        <v/>
      </c>
    </row>
    <row r="53" customFormat="false" ht="15" hidden="false" customHeight="false" outlineLevel="0" collapsed="false">
      <c r="A53" s="10" t="str">
        <f aca="false">IF($M53="","",INDEX(伝票元!$P$6:$P$511,$M53))</f>
        <v/>
      </c>
      <c r="B53" s="45" t="str">
        <f aca="false">IF($M53="","",INDEX(伝票元!$D$6:$D$511,$M53))</f>
        <v/>
      </c>
      <c r="C53" s="10" t="str">
        <f aca="false">IF($M53="","",INDEX(伝票元!$E$6:$E$511,$M53))</f>
        <v/>
      </c>
      <c r="D53" s="45" t="str">
        <f aca="false">IF($M53="","",INDEX(伝票元!$A$6:$A$511,$M53))</f>
        <v/>
      </c>
      <c r="E53" s="10" t="str">
        <f aca="false">IF(IF($M53="",0,INDEX(伝票元!$N$6:$N$511,$M53))=1,INDEX(伝票元!$I$6:$I$511,$M53),"")</f>
        <v/>
      </c>
      <c r="F53" s="45" t="str">
        <f aca="false">IF(IF($M53="",0,INDEX(伝票元!$N$6:$N$511,$M53))=1,INDEX(伝票元!$J$6:$J$511,$M53),"")</f>
        <v/>
      </c>
      <c r="G53" s="42" t="str">
        <f aca="false">IF(IF($M53="",0,INDEX(伝票元!$N$6:$N$511,$M53))=1,INDEX(伝票元!$Q$6:$Q$511,$M53),"")</f>
        <v/>
      </c>
      <c r="H53" s="45" t="str">
        <f aca="false">IF($M53="","",INDEX(伝票元!$F$6:$F$511,$M53))</f>
        <v/>
      </c>
      <c r="I53" s="45" t="str">
        <f aca="false">IF($M53="","",INDEX(伝票元!$G$6:$G$511,$M53))</f>
        <v/>
      </c>
      <c r="J53" s="42" t="str">
        <f aca="false">IF($M53="","",INDEX(伝票元!$H$6:$H$511,$M53))</f>
        <v/>
      </c>
      <c r="K53" s="46" t="str">
        <f aca="false">IF(IF($M53="",0,INDEX(伝票元!$N$6:$N$511,$M53))=1,INDEX(伝票元!$R$6:$R$511,$M53),"")</f>
        <v/>
      </c>
      <c r="L53" s="47" t="str">
        <f aca="false">IF($M53="","",INDEX(伝票元!$S$6:$S$511,$M53))</f>
        <v/>
      </c>
      <c r="M53" s="47" t="str">
        <f aca="false">IFERROR(MATCH(47,伝票元!$O$6:$O$511,0),"")</f>
        <v/>
      </c>
    </row>
    <row r="54" customFormat="false" ht="15" hidden="false" customHeight="false" outlineLevel="0" collapsed="false">
      <c r="A54" s="10" t="str">
        <f aca="false">IF($M54="","",INDEX(伝票元!$P$6:$P$511,$M54))</f>
        <v/>
      </c>
      <c r="B54" s="45" t="str">
        <f aca="false">IF($M54="","",INDEX(伝票元!$D$6:$D$511,$M54))</f>
        <v/>
      </c>
      <c r="C54" s="10" t="str">
        <f aca="false">IF($M54="","",INDEX(伝票元!$E$6:$E$511,$M54))</f>
        <v/>
      </c>
      <c r="D54" s="45" t="str">
        <f aca="false">IF($M54="","",INDEX(伝票元!$A$6:$A$511,$M54))</f>
        <v/>
      </c>
      <c r="E54" s="10" t="str">
        <f aca="false">IF(IF($M54="",0,INDEX(伝票元!$N$6:$N$511,$M54))=1,INDEX(伝票元!$I$6:$I$511,$M54),"")</f>
        <v/>
      </c>
      <c r="F54" s="45" t="str">
        <f aca="false">IF(IF($M54="",0,INDEX(伝票元!$N$6:$N$511,$M54))=1,INDEX(伝票元!$J$6:$J$511,$M54),"")</f>
        <v/>
      </c>
      <c r="G54" s="42" t="str">
        <f aca="false">IF(IF($M54="",0,INDEX(伝票元!$N$6:$N$511,$M54))=1,INDEX(伝票元!$Q$6:$Q$511,$M54),"")</f>
        <v/>
      </c>
      <c r="H54" s="45" t="str">
        <f aca="false">IF($M54="","",INDEX(伝票元!$F$6:$F$511,$M54))</f>
        <v/>
      </c>
      <c r="I54" s="45" t="str">
        <f aca="false">IF($M54="","",INDEX(伝票元!$G$6:$G$511,$M54))</f>
        <v/>
      </c>
      <c r="J54" s="42" t="str">
        <f aca="false">IF($M54="","",INDEX(伝票元!$H$6:$H$511,$M54))</f>
        <v/>
      </c>
      <c r="K54" s="46" t="str">
        <f aca="false">IF(IF($M54="",0,INDEX(伝票元!$N$6:$N$511,$M54))=1,INDEX(伝票元!$R$6:$R$511,$M54),"")</f>
        <v/>
      </c>
      <c r="L54" s="47" t="str">
        <f aca="false">IF($M54="","",INDEX(伝票元!$S$6:$S$511,$M54))</f>
        <v/>
      </c>
      <c r="M54" s="47" t="str">
        <f aca="false">IFERROR(MATCH(48,伝票元!$O$6:$O$511,0),"")</f>
        <v/>
      </c>
    </row>
    <row r="55" customFormat="false" ht="15" hidden="false" customHeight="false" outlineLevel="0" collapsed="false">
      <c r="A55" s="10" t="str">
        <f aca="false">IF($M55="","",INDEX(伝票元!$P$6:$P$511,$M55))</f>
        <v/>
      </c>
      <c r="B55" s="45" t="str">
        <f aca="false">IF($M55="","",INDEX(伝票元!$D$6:$D$511,$M55))</f>
        <v/>
      </c>
      <c r="C55" s="10" t="str">
        <f aca="false">IF($M55="","",INDEX(伝票元!$E$6:$E$511,$M55))</f>
        <v/>
      </c>
      <c r="D55" s="45" t="str">
        <f aca="false">IF($M55="","",INDEX(伝票元!$A$6:$A$511,$M55))</f>
        <v/>
      </c>
      <c r="E55" s="10" t="str">
        <f aca="false">IF(IF($M55="",0,INDEX(伝票元!$N$6:$N$511,$M55))=1,INDEX(伝票元!$I$6:$I$511,$M55),"")</f>
        <v/>
      </c>
      <c r="F55" s="45" t="str">
        <f aca="false">IF(IF($M55="",0,INDEX(伝票元!$N$6:$N$511,$M55))=1,INDEX(伝票元!$J$6:$J$511,$M55),"")</f>
        <v/>
      </c>
      <c r="G55" s="42" t="str">
        <f aca="false">IF(IF($M55="",0,INDEX(伝票元!$N$6:$N$511,$M55))=1,INDEX(伝票元!$Q$6:$Q$511,$M55),"")</f>
        <v/>
      </c>
      <c r="H55" s="45" t="str">
        <f aca="false">IF($M55="","",INDEX(伝票元!$F$6:$F$511,$M55))</f>
        <v/>
      </c>
      <c r="I55" s="45" t="str">
        <f aca="false">IF($M55="","",INDEX(伝票元!$G$6:$G$511,$M55))</f>
        <v/>
      </c>
      <c r="J55" s="42" t="str">
        <f aca="false">IF($M55="","",INDEX(伝票元!$H$6:$H$511,$M55))</f>
        <v/>
      </c>
      <c r="K55" s="46" t="str">
        <f aca="false">IF(IF($M55="",0,INDEX(伝票元!$N$6:$N$511,$M55))=1,INDEX(伝票元!$R$6:$R$511,$M55),"")</f>
        <v/>
      </c>
      <c r="L55" s="47" t="str">
        <f aca="false">IF($M55="","",INDEX(伝票元!$S$6:$S$511,$M55))</f>
        <v/>
      </c>
      <c r="M55" s="47" t="str">
        <f aca="false">IFERROR(MATCH(49,伝票元!$O$6:$O$511,0),"")</f>
        <v/>
      </c>
    </row>
    <row r="56" customFormat="false" ht="15" hidden="false" customHeight="false" outlineLevel="0" collapsed="false">
      <c r="A56" s="10" t="str">
        <f aca="false">IF($M56="","",INDEX(伝票元!$P$6:$P$511,$M56))</f>
        <v/>
      </c>
      <c r="B56" s="45" t="str">
        <f aca="false">IF($M56="","",INDEX(伝票元!$D$6:$D$511,$M56))</f>
        <v/>
      </c>
      <c r="C56" s="10" t="str">
        <f aca="false">IF($M56="","",INDEX(伝票元!$E$6:$E$511,$M56))</f>
        <v/>
      </c>
      <c r="D56" s="45" t="str">
        <f aca="false">IF($M56="","",INDEX(伝票元!$A$6:$A$511,$M56))</f>
        <v/>
      </c>
      <c r="E56" s="10" t="str">
        <f aca="false">IF(IF($M56="",0,INDEX(伝票元!$N$6:$N$511,$M56))=1,INDEX(伝票元!$I$6:$I$511,$M56),"")</f>
        <v/>
      </c>
      <c r="F56" s="45" t="str">
        <f aca="false">IF(IF($M56="",0,INDEX(伝票元!$N$6:$N$511,$M56))=1,INDEX(伝票元!$J$6:$J$511,$M56),"")</f>
        <v/>
      </c>
      <c r="G56" s="42" t="str">
        <f aca="false">IF(IF($M56="",0,INDEX(伝票元!$N$6:$N$511,$M56))=1,INDEX(伝票元!$Q$6:$Q$511,$M56),"")</f>
        <v/>
      </c>
      <c r="H56" s="45" t="str">
        <f aca="false">IF($M56="","",INDEX(伝票元!$F$6:$F$511,$M56))</f>
        <v/>
      </c>
      <c r="I56" s="45" t="str">
        <f aca="false">IF($M56="","",INDEX(伝票元!$G$6:$G$511,$M56))</f>
        <v/>
      </c>
      <c r="J56" s="42" t="str">
        <f aca="false">IF($M56="","",INDEX(伝票元!$H$6:$H$511,$M56))</f>
        <v/>
      </c>
      <c r="K56" s="46" t="str">
        <f aca="false">IF(IF($M56="",0,INDEX(伝票元!$N$6:$N$511,$M56))=1,INDEX(伝票元!$R$6:$R$511,$M56),"")</f>
        <v/>
      </c>
      <c r="L56" s="47" t="str">
        <f aca="false">IF($M56="","",INDEX(伝票元!$S$6:$S$511,$M56))</f>
        <v/>
      </c>
      <c r="M56" s="47" t="str">
        <f aca="false">IFERROR(MATCH(50,伝票元!$O$6:$O$511,0),"")</f>
        <v/>
      </c>
    </row>
    <row r="57" customFormat="false" ht="15" hidden="false" customHeight="false" outlineLevel="0" collapsed="false">
      <c r="A57" s="10" t="str">
        <f aca="false">IF($M57="","",INDEX(伝票元!$P$6:$P$511,$M57))</f>
        <v/>
      </c>
      <c r="B57" s="45" t="str">
        <f aca="false">IF($M57="","",INDEX(伝票元!$D$6:$D$511,$M57))</f>
        <v/>
      </c>
      <c r="C57" s="10" t="str">
        <f aca="false">IF($M57="","",INDEX(伝票元!$E$6:$E$511,$M57))</f>
        <v/>
      </c>
      <c r="D57" s="45" t="str">
        <f aca="false">IF($M57="","",INDEX(伝票元!$A$6:$A$511,$M57))</f>
        <v/>
      </c>
      <c r="E57" s="10" t="str">
        <f aca="false">IF(IF($M57="",0,INDEX(伝票元!$N$6:$N$511,$M57))=1,INDEX(伝票元!$I$6:$I$511,$M57),"")</f>
        <v/>
      </c>
      <c r="F57" s="45" t="str">
        <f aca="false">IF(IF($M57="",0,INDEX(伝票元!$N$6:$N$511,$M57))=1,INDEX(伝票元!$J$6:$J$511,$M57),"")</f>
        <v/>
      </c>
      <c r="G57" s="42" t="str">
        <f aca="false">IF(IF($M57="",0,INDEX(伝票元!$N$6:$N$511,$M57))=1,INDEX(伝票元!$Q$6:$Q$511,$M57),"")</f>
        <v/>
      </c>
      <c r="H57" s="45" t="str">
        <f aca="false">IF($M57="","",INDEX(伝票元!$F$6:$F$511,$M57))</f>
        <v/>
      </c>
      <c r="I57" s="45" t="str">
        <f aca="false">IF($M57="","",INDEX(伝票元!$G$6:$G$511,$M57))</f>
        <v/>
      </c>
      <c r="J57" s="42" t="str">
        <f aca="false">IF($M57="","",INDEX(伝票元!$H$6:$H$511,$M57))</f>
        <v/>
      </c>
      <c r="K57" s="46" t="str">
        <f aca="false">IF(IF($M57="",0,INDEX(伝票元!$N$6:$N$511,$M57))=1,INDEX(伝票元!$R$6:$R$511,$M57),"")</f>
        <v/>
      </c>
      <c r="L57" s="47" t="str">
        <f aca="false">IF($M57="","",INDEX(伝票元!$S$6:$S$511,$M57))</f>
        <v/>
      </c>
      <c r="M57" s="47" t="str">
        <f aca="false">IFERROR(MATCH(51,伝票元!$O$6:$O$511,0),"")</f>
        <v/>
      </c>
    </row>
    <row r="58" customFormat="false" ht="15" hidden="false" customHeight="false" outlineLevel="0" collapsed="false">
      <c r="A58" s="10" t="str">
        <f aca="false">IF($M58="","",INDEX(伝票元!$P$6:$P$511,$M58))</f>
        <v/>
      </c>
      <c r="B58" s="45" t="str">
        <f aca="false">IF($M58="","",INDEX(伝票元!$D$6:$D$511,$M58))</f>
        <v/>
      </c>
      <c r="C58" s="10" t="str">
        <f aca="false">IF($M58="","",INDEX(伝票元!$E$6:$E$511,$M58))</f>
        <v/>
      </c>
      <c r="D58" s="45" t="str">
        <f aca="false">IF($M58="","",INDEX(伝票元!$A$6:$A$511,$M58))</f>
        <v/>
      </c>
      <c r="E58" s="10" t="str">
        <f aca="false">IF(IF($M58="",0,INDEX(伝票元!$N$6:$N$511,$M58))=1,INDEX(伝票元!$I$6:$I$511,$M58),"")</f>
        <v/>
      </c>
      <c r="F58" s="45" t="str">
        <f aca="false">IF(IF($M58="",0,INDEX(伝票元!$N$6:$N$511,$M58))=1,INDEX(伝票元!$J$6:$J$511,$M58),"")</f>
        <v/>
      </c>
      <c r="G58" s="42" t="str">
        <f aca="false">IF(IF($M58="",0,INDEX(伝票元!$N$6:$N$511,$M58))=1,INDEX(伝票元!$Q$6:$Q$511,$M58),"")</f>
        <v/>
      </c>
      <c r="H58" s="45" t="str">
        <f aca="false">IF($M58="","",INDEX(伝票元!$F$6:$F$511,$M58))</f>
        <v/>
      </c>
      <c r="I58" s="45" t="str">
        <f aca="false">IF($M58="","",INDEX(伝票元!$G$6:$G$511,$M58))</f>
        <v/>
      </c>
      <c r="J58" s="42" t="str">
        <f aca="false">IF($M58="","",INDEX(伝票元!$H$6:$H$511,$M58))</f>
        <v/>
      </c>
      <c r="K58" s="46" t="str">
        <f aca="false">IF(IF($M58="",0,INDEX(伝票元!$N$6:$N$511,$M58))=1,INDEX(伝票元!$R$6:$R$511,$M58),"")</f>
        <v/>
      </c>
      <c r="L58" s="47" t="str">
        <f aca="false">IF($M58="","",INDEX(伝票元!$S$6:$S$511,$M58))</f>
        <v/>
      </c>
      <c r="M58" s="47" t="str">
        <f aca="false">IFERROR(MATCH(52,伝票元!$O$6:$O$511,0),"")</f>
        <v/>
      </c>
    </row>
    <row r="59" customFormat="false" ht="15" hidden="false" customHeight="false" outlineLevel="0" collapsed="false">
      <c r="A59" s="10" t="str">
        <f aca="false">IF($M59="","",INDEX(伝票元!$P$6:$P$511,$M59))</f>
        <v/>
      </c>
      <c r="B59" s="45" t="str">
        <f aca="false">IF($M59="","",INDEX(伝票元!$D$6:$D$511,$M59))</f>
        <v/>
      </c>
      <c r="C59" s="10" t="str">
        <f aca="false">IF($M59="","",INDEX(伝票元!$E$6:$E$511,$M59))</f>
        <v/>
      </c>
      <c r="D59" s="45" t="str">
        <f aca="false">IF($M59="","",INDEX(伝票元!$A$6:$A$511,$M59))</f>
        <v/>
      </c>
      <c r="E59" s="10" t="str">
        <f aca="false">IF(IF($M59="",0,INDEX(伝票元!$N$6:$N$511,$M59))=1,INDEX(伝票元!$I$6:$I$511,$M59),"")</f>
        <v/>
      </c>
      <c r="F59" s="45" t="str">
        <f aca="false">IF(IF($M59="",0,INDEX(伝票元!$N$6:$N$511,$M59))=1,INDEX(伝票元!$J$6:$J$511,$M59),"")</f>
        <v/>
      </c>
      <c r="G59" s="42" t="str">
        <f aca="false">IF(IF($M59="",0,INDEX(伝票元!$N$6:$N$511,$M59))=1,INDEX(伝票元!$Q$6:$Q$511,$M59),"")</f>
        <v/>
      </c>
      <c r="H59" s="45" t="str">
        <f aca="false">IF($M59="","",INDEX(伝票元!$F$6:$F$511,$M59))</f>
        <v/>
      </c>
      <c r="I59" s="45" t="str">
        <f aca="false">IF($M59="","",INDEX(伝票元!$G$6:$G$511,$M59))</f>
        <v/>
      </c>
      <c r="J59" s="42" t="str">
        <f aca="false">IF($M59="","",INDEX(伝票元!$H$6:$H$511,$M59))</f>
        <v/>
      </c>
      <c r="K59" s="46" t="str">
        <f aca="false">IF(IF($M59="",0,INDEX(伝票元!$N$6:$N$511,$M59))=1,INDEX(伝票元!$R$6:$R$511,$M59),"")</f>
        <v/>
      </c>
      <c r="L59" s="47" t="str">
        <f aca="false">IF($M59="","",INDEX(伝票元!$S$6:$S$511,$M59))</f>
        <v/>
      </c>
      <c r="M59" s="47" t="str">
        <f aca="false">IFERROR(MATCH(53,伝票元!$O$6:$O$511,0),"")</f>
        <v/>
      </c>
    </row>
    <row r="60" customFormat="false" ht="15" hidden="false" customHeight="false" outlineLevel="0" collapsed="false">
      <c r="A60" s="10" t="str">
        <f aca="false">IF($M60="","",INDEX(伝票元!$P$6:$P$511,$M60))</f>
        <v/>
      </c>
      <c r="B60" s="45" t="str">
        <f aca="false">IF($M60="","",INDEX(伝票元!$D$6:$D$511,$M60))</f>
        <v/>
      </c>
      <c r="C60" s="10" t="str">
        <f aca="false">IF($M60="","",INDEX(伝票元!$E$6:$E$511,$M60))</f>
        <v/>
      </c>
      <c r="D60" s="45" t="str">
        <f aca="false">IF($M60="","",INDEX(伝票元!$A$6:$A$511,$M60))</f>
        <v/>
      </c>
      <c r="E60" s="10" t="str">
        <f aca="false">IF(IF($M60="",0,INDEX(伝票元!$N$6:$N$511,$M60))=1,INDEX(伝票元!$I$6:$I$511,$M60),"")</f>
        <v/>
      </c>
      <c r="F60" s="45" t="str">
        <f aca="false">IF(IF($M60="",0,INDEX(伝票元!$N$6:$N$511,$M60))=1,INDEX(伝票元!$J$6:$J$511,$M60),"")</f>
        <v/>
      </c>
      <c r="G60" s="42" t="str">
        <f aca="false">IF(IF($M60="",0,INDEX(伝票元!$N$6:$N$511,$M60))=1,INDEX(伝票元!$Q$6:$Q$511,$M60),"")</f>
        <v/>
      </c>
      <c r="H60" s="45" t="str">
        <f aca="false">IF($M60="","",INDEX(伝票元!$F$6:$F$511,$M60))</f>
        <v/>
      </c>
      <c r="I60" s="45" t="str">
        <f aca="false">IF($M60="","",INDEX(伝票元!$G$6:$G$511,$M60))</f>
        <v/>
      </c>
      <c r="J60" s="42" t="str">
        <f aca="false">IF($M60="","",INDEX(伝票元!$H$6:$H$511,$M60))</f>
        <v/>
      </c>
      <c r="K60" s="46" t="str">
        <f aca="false">IF(IF($M60="",0,INDEX(伝票元!$N$6:$N$511,$M60))=1,INDEX(伝票元!$R$6:$R$511,$M60),"")</f>
        <v/>
      </c>
      <c r="L60" s="47" t="str">
        <f aca="false">IF($M60="","",INDEX(伝票元!$S$6:$S$511,$M60))</f>
        <v/>
      </c>
      <c r="M60" s="47" t="str">
        <f aca="false">IFERROR(MATCH(54,伝票元!$O$6:$O$511,0),"")</f>
        <v/>
      </c>
    </row>
    <row r="61" customFormat="false" ht="15" hidden="false" customHeight="false" outlineLevel="0" collapsed="false">
      <c r="A61" s="10" t="str">
        <f aca="false">IF($M61="","",INDEX(伝票元!$P$6:$P$511,$M61))</f>
        <v/>
      </c>
      <c r="B61" s="45" t="str">
        <f aca="false">IF($M61="","",INDEX(伝票元!$D$6:$D$511,$M61))</f>
        <v/>
      </c>
      <c r="C61" s="10" t="str">
        <f aca="false">IF($M61="","",INDEX(伝票元!$E$6:$E$511,$M61))</f>
        <v/>
      </c>
      <c r="D61" s="45" t="str">
        <f aca="false">IF($M61="","",INDEX(伝票元!$A$6:$A$511,$M61))</f>
        <v/>
      </c>
      <c r="E61" s="10" t="str">
        <f aca="false">IF(IF($M61="",0,INDEX(伝票元!$N$6:$N$511,$M61))=1,INDEX(伝票元!$I$6:$I$511,$M61),"")</f>
        <v/>
      </c>
      <c r="F61" s="45" t="str">
        <f aca="false">IF(IF($M61="",0,INDEX(伝票元!$N$6:$N$511,$M61))=1,INDEX(伝票元!$J$6:$J$511,$M61),"")</f>
        <v/>
      </c>
      <c r="G61" s="42" t="str">
        <f aca="false">IF(IF($M61="",0,INDEX(伝票元!$N$6:$N$511,$M61))=1,INDEX(伝票元!$Q$6:$Q$511,$M61),"")</f>
        <v/>
      </c>
      <c r="H61" s="45" t="str">
        <f aca="false">IF($M61="","",INDEX(伝票元!$F$6:$F$511,$M61))</f>
        <v/>
      </c>
      <c r="I61" s="45" t="str">
        <f aca="false">IF($M61="","",INDEX(伝票元!$G$6:$G$511,$M61))</f>
        <v/>
      </c>
      <c r="J61" s="42" t="str">
        <f aca="false">IF($M61="","",INDEX(伝票元!$H$6:$H$511,$M61))</f>
        <v/>
      </c>
      <c r="K61" s="46" t="str">
        <f aca="false">IF(IF($M61="",0,INDEX(伝票元!$N$6:$N$511,$M61))=1,INDEX(伝票元!$R$6:$R$511,$M61),"")</f>
        <v/>
      </c>
      <c r="L61" s="47" t="str">
        <f aca="false">IF($M61="","",INDEX(伝票元!$S$6:$S$511,$M61))</f>
        <v/>
      </c>
      <c r="M61" s="47" t="str">
        <f aca="false">IFERROR(MATCH(55,伝票元!$O$6:$O$511,0),"")</f>
        <v/>
      </c>
    </row>
    <row r="62" customFormat="false" ht="15" hidden="false" customHeight="false" outlineLevel="0" collapsed="false">
      <c r="A62" s="10" t="str">
        <f aca="false">IF($M62="","",INDEX(伝票元!$P$6:$P$511,$M62))</f>
        <v/>
      </c>
      <c r="B62" s="45" t="str">
        <f aca="false">IF($M62="","",INDEX(伝票元!$D$6:$D$511,$M62))</f>
        <v/>
      </c>
      <c r="C62" s="10" t="str">
        <f aca="false">IF($M62="","",INDEX(伝票元!$E$6:$E$511,$M62))</f>
        <v/>
      </c>
      <c r="D62" s="45" t="str">
        <f aca="false">IF($M62="","",INDEX(伝票元!$A$6:$A$511,$M62))</f>
        <v/>
      </c>
      <c r="E62" s="10" t="str">
        <f aca="false">IF(IF($M62="",0,INDEX(伝票元!$N$6:$N$511,$M62))=1,INDEX(伝票元!$I$6:$I$511,$M62),"")</f>
        <v/>
      </c>
      <c r="F62" s="45" t="str">
        <f aca="false">IF(IF($M62="",0,INDEX(伝票元!$N$6:$N$511,$M62))=1,INDEX(伝票元!$J$6:$J$511,$M62),"")</f>
        <v/>
      </c>
      <c r="G62" s="42" t="str">
        <f aca="false">IF(IF($M62="",0,INDEX(伝票元!$N$6:$N$511,$M62))=1,INDEX(伝票元!$Q$6:$Q$511,$M62),"")</f>
        <v/>
      </c>
      <c r="H62" s="45" t="str">
        <f aca="false">IF($M62="","",INDEX(伝票元!$F$6:$F$511,$M62))</f>
        <v/>
      </c>
      <c r="I62" s="45" t="str">
        <f aca="false">IF($M62="","",INDEX(伝票元!$G$6:$G$511,$M62))</f>
        <v/>
      </c>
      <c r="J62" s="42" t="str">
        <f aca="false">IF($M62="","",INDEX(伝票元!$H$6:$H$511,$M62))</f>
        <v/>
      </c>
      <c r="K62" s="46" t="str">
        <f aca="false">IF(IF($M62="",0,INDEX(伝票元!$N$6:$N$511,$M62))=1,INDEX(伝票元!$R$6:$R$511,$M62),"")</f>
        <v/>
      </c>
      <c r="L62" s="47" t="str">
        <f aca="false">IF($M62="","",INDEX(伝票元!$S$6:$S$511,$M62))</f>
        <v/>
      </c>
      <c r="M62" s="47" t="str">
        <f aca="false">IFERROR(MATCH(56,伝票元!$O$6:$O$511,0),"")</f>
        <v/>
      </c>
    </row>
    <row r="63" customFormat="false" ht="15" hidden="false" customHeight="false" outlineLevel="0" collapsed="false">
      <c r="A63" s="10" t="str">
        <f aca="false">IF($M63="","",INDEX(伝票元!$P$6:$P$511,$M63))</f>
        <v/>
      </c>
      <c r="B63" s="45" t="str">
        <f aca="false">IF($M63="","",INDEX(伝票元!$D$6:$D$511,$M63))</f>
        <v/>
      </c>
      <c r="C63" s="10" t="str">
        <f aca="false">IF($M63="","",INDEX(伝票元!$E$6:$E$511,$M63))</f>
        <v/>
      </c>
      <c r="D63" s="45" t="str">
        <f aca="false">IF($M63="","",INDEX(伝票元!$A$6:$A$511,$M63))</f>
        <v/>
      </c>
      <c r="E63" s="10" t="str">
        <f aca="false">IF(IF($M63="",0,INDEX(伝票元!$N$6:$N$511,$M63))=1,INDEX(伝票元!$I$6:$I$511,$M63),"")</f>
        <v/>
      </c>
      <c r="F63" s="45" t="str">
        <f aca="false">IF(IF($M63="",0,INDEX(伝票元!$N$6:$N$511,$M63))=1,INDEX(伝票元!$J$6:$J$511,$M63),"")</f>
        <v/>
      </c>
      <c r="G63" s="42" t="str">
        <f aca="false">IF(IF($M63="",0,INDEX(伝票元!$N$6:$N$511,$M63))=1,INDEX(伝票元!$Q$6:$Q$511,$M63),"")</f>
        <v/>
      </c>
      <c r="H63" s="45" t="str">
        <f aca="false">IF($M63="","",INDEX(伝票元!$F$6:$F$511,$M63))</f>
        <v/>
      </c>
      <c r="I63" s="45" t="str">
        <f aca="false">IF($M63="","",INDEX(伝票元!$G$6:$G$511,$M63))</f>
        <v/>
      </c>
      <c r="J63" s="42" t="str">
        <f aca="false">IF($M63="","",INDEX(伝票元!$H$6:$H$511,$M63))</f>
        <v/>
      </c>
      <c r="K63" s="46" t="str">
        <f aca="false">IF(IF($M63="",0,INDEX(伝票元!$N$6:$N$511,$M63))=1,INDEX(伝票元!$R$6:$R$511,$M63),"")</f>
        <v/>
      </c>
      <c r="L63" s="47" t="str">
        <f aca="false">IF($M63="","",INDEX(伝票元!$S$6:$S$511,$M63))</f>
        <v/>
      </c>
      <c r="M63" s="47" t="str">
        <f aca="false">IFERROR(MATCH(57,伝票元!$O$6:$O$511,0),"")</f>
        <v/>
      </c>
    </row>
    <row r="64" customFormat="false" ht="15" hidden="false" customHeight="false" outlineLevel="0" collapsed="false">
      <c r="A64" s="10" t="str">
        <f aca="false">IF($M64="","",INDEX(伝票元!$P$6:$P$511,$M64))</f>
        <v/>
      </c>
      <c r="B64" s="45" t="str">
        <f aca="false">IF($M64="","",INDEX(伝票元!$D$6:$D$511,$M64))</f>
        <v/>
      </c>
      <c r="C64" s="10" t="str">
        <f aca="false">IF($M64="","",INDEX(伝票元!$E$6:$E$511,$M64))</f>
        <v/>
      </c>
      <c r="D64" s="45" t="str">
        <f aca="false">IF($M64="","",INDEX(伝票元!$A$6:$A$511,$M64))</f>
        <v/>
      </c>
      <c r="E64" s="10" t="str">
        <f aca="false">IF(IF($M64="",0,INDEX(伝票元!$N$6:$N$511,$M64))=1,INDEX(伝票元!$I$6:$I$511,$M64),"")</f>
        <v/>
      </c>
      <c r="F64" s="45" t="str">
        <f aca="false">IF(IF($M64="",0,INDEX(伝票元!$N$6:$N$511,$M64))=1,INDEX(伝票元!$J$6:$J$511,$M64),"")</f>
        <v/>
      </c>
      <c r="G64" s="42" t="str">
        <f aca="false">IF(IF($M64="",0,INDEX(伝票元!$N$6:$N$511,$M64))=1,INDEX(伝票元!$Q$6:$Q$511,$M64),"")</f>
        <v/>
      </c>
      <c r="H64" s="45" t="str">
        <f aca="false">IF($M64="","",INDEX(伝票元!$F$6:$F$511,$M64))</f>
        <v/>
      </c>
      <c r="I64" s="45" t="str">
        <f aca="false">IF($M64="","",INDEX(伝票元!$G$6:$G$511,$M64))</f>
        <v/>
      </c>
      <c r="J64" s="42" t="str">
        <f aca="false">IF($M64="","",INDEX(伝票元!$H$6:$H$511,$M64))</f>
        <v/>
      </c>
      <c r="K64" s="46" t="str">
        <f aca="false">IF(IF($M64="",0,INDEX(伝票元!$N$6:$N$511,$M64))=1,INDEX(伝票元!$R$6:$R$511,$M64),"")</f>
        <v/>
      </c>
      <c r="L64" s="47" t="str">
        <f aca="false">IF($M64="","",INDEX(伝票元!$S$6:$S$511,$M64))</f>
        <v/>
      </c>
      <c r="M64" s="47" t="str">
        <f aca="false">IFERROR(MATCH(58,伝票元!$O$6:$O$511,0),"")</f>
        <v/>
      </c>
    </row>
    <row r="65" customFormat="false" ht="15" hidden="false" customHeight="false" outlineLevel="0" collapsed="false">
      <c r="A65" s="10" t="str">
        <f aca="false">IF($M65="","",INDEX(伝票元!$P$6:$P$511,$M65))</f>
        <v/>
      </c>
      <c r="B65" s="45" t="str">
        <f aca="false">IF($M65="","",INDEX(伝票元!$D$6:$D$511,$M65))</f>
        <v/>
      </c>
      <c r="C65" s="10" t="str">
        <f aca="false">IF($M65="","",INDEX(伝票元!$E$6:$E$511,$M65))</f>
        <v/>
      </c>
      <c r="D65" s="45" t="str">
        <f aca="false">IF($M65="","",INDEX(伝票元!$A$6:$A$511,$M65))</f>
        <v/>
      </c>
      <c r="E65" s="10" t="str">
        <f aca="false">IF(IF($M65="",0,INDEX(伝票元!$N$6:$N$511,$M65))=1,INDEX(伝票元!$I$6:$I$511,$M65),"")</f>
        <v/>
      </c>
      <c r="F65" s="45" t="str">
        <f aca="false">IF(IF($M65="",0,INDEX(伝票元!$N$6:$N$511,$M65))=1,INDEX(伝票元!$J$6:$J$511,$M65),"")</f>
        <v/>
      </c>
      <c r="G65" s="42" t="str">
        <f aca="false">IF(IF($M65="",0,INDEX(伝票元!$N$6:$N$511,$M65))=1,INDEX(伝票元!$Q$6:$Q$511,$M65),"")</f>
        <v/>
      </c>
      <c r="H65" s="45" t="str">
        <f aca="false">IF($M65="","",INDEX(伝票元!$F$6:$F$511,$M65))</f>
        <v/>
      </c>
      <c r="I65" s="45" t="str">
        <f aca="false">IF($M65="","",INDEX(伝票元!$G$6:$G$511,$M65))</f>
        <v/>
      </c>
      <c r="J65" s="42" t="str">
        <f aca="false">IF($M65="","",INDEX(伝票元!$H$6:$H$511,$M65))</f>
        <v/>
      </c>
      <c r="K65" s="46" t="str">
        <f aca="false">IF(IF($M65="",0,INDEX(伝票元!$N$6:$N$511,$M65))=1,INDEX(伝票元!$R$6:$R$511,$M65),"")</f>
        <v/>
      </c>
      <c r="L65" s="47" t="str">
        <f aca="false">IF($M65="","",INDEX(伝票元!$S$6:$S$511,$M65))</f>
        <v/>
      </c>
      <c r="M65" s="47" t="str">
        <f aca="false">IFERROR(MATCH(59,伝票元!$O$6:$O$511,0),"")</f>
        <v/>
      </c>
    </row>
    <row r="66" customFormat="false" ht="15" hidden="false" customHeight="false" outlineLevel="0" collapsed="false">
      <c r="A66" s="10" t="str">
        <f aca="false">IF($M66="","",INDEX(伝票元!$P$6:$P$511,$M66))</f>
        <v/>
      </c>
      <c r="B66" s="45" t="str">
        <f aca="false">IF($M66="","",INDEX(伝票元!$D$6:$D$511,$M66))</f>
        <v/>
      </c>
      <c r="C66" s="10" t="str">
        <f aca="false">IF($M66="","",INDEX(伝票元!$E$6:$E$511,$M66))</f>
        <v/>
      </c>
      <c r="D66" s="45" t="str">
        <f aca="false">IF($M66="","",INDEX(伝票元!$A$6:$A$511,$M66))</f>
        <v/>
      </c>
      <c r="E66" s="10" t="str">
        <f aca="false">IF(IF($M66="",0,INDEX(伝票元!$N$6:$N$511,$M66))=1,INDEX(伝票元!$I$6:$I$511,$M66),"")</f>
        <v/>
      </c>
      <c r="F66" s="45" t="str">
        <f aca="false">IF(IF($M66="",0,INDEX(伝票元!$N$6:$N$511,$M66))=1,INDEX(伝票元!$J$6:$J$511,$M66),"")</f>
        <v/>
      </c>
      <c r="G66" s="42" t="str">
        <f aca="false">IF(IF($M66="",0,INDEX(伝票元!$N$6:$N$511,$M66))=1,INDEX(伝票元!$Q$6:$Q$511,$M66),"")</f>
        <v/>
      </c>
      <c r="H66" s="45" t="str">
        <f aca="false">IF($M66="","",INDEX(伝票元!$F$6:$F$511,$M66))</f>
        <v/>
      </c>
      <c r="I66" s="45" t="str">
        <f aca="false">IF($M66="","",INDEX(伝票元!$G$6:$G$511,$M66))</f>
        <v/>
      </c>
      <c r="J66" s="42" t="str">
        <f aca="false">IF($M66="","",INDEX(伝票元!$H$6:$H$511,$M66))</f>
        <v/>
      </c>
      <c r="K66" s="46" t="str">
        <f aca="false">IF(IF($M66="",0,INDEX(伝票元!$N$6:$N$511,$M66))=1,INDEX(伝票元!$R$6:$R$511,$M66),"")</f>
        <v/>
      </c>
      <c r="L66" s="47" t="str">
        <f aca="false">IF($M66="","",INDEX(伝票元!$S$6:$S$511,$M66))</f>
        <v/>
      </c>
      <c r="M66" s="47" t="str">
        <f aca="false">IFERROR(MATCH(60,伝票元!$O$6:$O$511,0),"")</f>
        <v/>
      </c>
    </row>
    <row r="67" customFormat="false" ht="15" hidden="false" customHeight="false" outlineLevel="0" collapsed="false">
      <c r="A67" s="10" t="str">
        <f aca="false">IF($M67="","",INDEX(伝票元!$P$6:$P$511,$M67))</f>
        <v/>
      </c>
      <c r="B67" s="45" t="str">
        <f aca="false">IF($M67="","",INDEX(伝票元!$D$6:$D$511,$M67))</f>
        <v/>
      </c>
      <c r="C67" s="10" t="str">
        <f aca="false">IF($M67="","",INDEX(伝票元!$E$6:$E$511,$M67))</f>
        <v/>
      </c>
      <c r="D67" s="45" t="str">
        <f aca="false">IF($M67="","",INDEX(伝票元!$A$6:$A$511,$M67))</f>
        <v/>
      </c>
      <c r="E67" s="10" t="str">
        <f aca="false">IF(IF($M67="",0,INDEX(伝票元!$N$6:$N$511,$M67))=1,INDEX(伝票元!$I$6:$I$511,$M67),"")</f>
        <v/>
      </c>
      <c r="F67" s="45" t="str">
        <f aca="false">IF(IF($M67="",0,INDEX(伝票元!$N$6:$N$511,$M67))=1,INDEX(伝票元!$J$6:$J$511,$M67),"")</f>
        <v/>
      </c>
      <c r="G67" s="42" t="str">
        <f aca="false">IF(IF($M67="",0,INDEX(伝票元!$N$6:$N$511,$M67))=1,INDEX(伝票元!$Q$6:$Q$511,$M67),"")</f>
        <v/>
      </c>
      <c r="H67" s="45" t="str">
        <f aca="false">IF($M67="","",INDEX(伝票元!$F$6:$F$511,$M67))</f>
        <v/>
      </c>
      <c r="I67" s="45" t="str">
        <f aca="false">IF($M67="","",INDEX(伝票元!$G$6:$G$511,$M67))</f>
        <v/>
      </c>
      <c r="J67" s="42" t="str">
        <f aca="false">IF($M67="","",INDEX(伝票元!$H$6:$H$511,$M67))</f>
        <v/>
      </c>
      <c r="K67" s="46" t="str">
        <f aca="false">IF(IF($M67="",0,INDEX(伝票元!$N$6:$N$511,$M67))=1,INDEX(伝票元!$R$6:$R$511,$M67),"")</f>
        <v/>
      </c>
      <c r="L67" s="47" t="str">
        <f aca="false">IF($M67="","",INDEX(伝票元!$S$6:$S$511,$M67))</f>
        <v/>
      </c>
      <c r="M67" s="47" t="str">
        <f aca="false">IFERROR(MATCH(61,伝票元!$O$6:$O$511,0),"")</f>
        <v/>
      </c>
    </row>
    <row r="68" customFormat="false" ht="15" hidden="false" customHeight="false" outlineLevel="0" collapsed="false">
      <c r="A68" s="10" t="str">
        <f aca="false">IF($M68="","",INDEX(伝票元!$P$6:$P$511,$M68))</f>
        <v/>
      </c>
      <c r="B68" s="45" t="str">
        <f aca="false">IF($M68="","",INDEX(伝票元!$D$6:$D$511,$M68))</f>
        <v/>
      </c>
      <c r="C68" s="10" t="str">
        <f aca="false">IF($M68="","",INDEX(伝票元!$E$6:$E$511,$M68))</f>
        <v/>
      </c>
      <c r="D68" s="45" t="str">
        <f aca="false">IF($M68="","",INDEX(伝票元!$A$6:$A$511,$M68))</f>
        <v/>
      </c>
      <c r="E68" s="10" t="str">
        <f aca="false">IF(IF($M68="",0,INDEX(伝票元!$N$6:$N$511,$M68))=1,INDEX(伝票元!$I$6:$I$511,$M68),"")</f>
        <v/>
      </c>
      <c r="F68" s="45" t="str">
        <f aca="false">IF(IF($M68="",0,INDEX(伝票元!$N$6:$N$511,$M68))=1,INDEX(伝票元!$J$6:$J$511,$M68),"")</f>
        <v/>
      </c>
      <c r="G68" s="42" t="str">
        <f aca="false">IF(IF($M68="",0,INDEX(伝票元!$N$6:$N$511,$M68))=1,INDEX(伝票元!$Q$6:$Q$511,$M68),"")</f>
        <v/>
      </c>
      <c r="H68" s="45" t="str">
        <f aca="false">IF($M68="","",INDEX(伝票元!$F$6:$F$511,$M68))</f>
        <v/>
      </c>
      <c r="I68" s="45" t="str">
        <f aca="false">IF($M68="","",INDEX(伝票元!$G$6:$G$511,$M68))</f>
        <v/>
      </c>
      <c r="J68" s="42" t="str">
        <f aca="false">IF($M68="","",INDEX(伝票元!$H$6:$H$511,$M68))</f>
        <v/>
      </c>
      <c r="K68" s="46" t="str">
        <f aca="false">IF(IF($M68="",0,INDEX(伝票元!$N$6:$N$511,$M68))=1,INDEX(伝票元!$R$6:$R$511,$M68),"")</f>
        <v/>
      </c>
      <c r="L68" s="47" t="str">
        <f aca="false">IF($M68="","",INDEX(伝票元!$S$6:$S$511,$M68))</f>
        <v/>
      </c>
      <c r="M68" s="47" t="str">
        <f aca="false">IFERROR(MATCH(62,伝票元!$O$6:$O$511,0),"")</f>
        <v/>
      </c>
    </row>
    <row r="69" customFormat="false" ht="15" hidden="false" customHeight="false" outlineLevel="0" collapsed="false">
      <c r="A69" s="10" t="str">
        <f aca="false">IF($M69="","",INDEX(伝票元!$P$6:$P$511,$M69))</f>
        <v/>
      </c>
      <c r="B69" s="45" t="str">
        <f aca="false">IF($M69="","",INDEX(伝票元!$D$6:$D$511,$M69))</f>
        <v/>
      </c>
      <c r="C69" s="10" t="str">
        <f aca="false">IF($M69="","",INDEX(伝票元!$E$6:$E$511,$M69))</f>
        <v/>
      </c>
      <c r="D69" s="45" t="str">
        <f aca="false">IF($M69="","",INDEX(伝票元!$A$6:$A$511,$M69))</f>
        <v/>
      </c>
      <c r="E69" s="10" t="str">
        <f aca="false">IF(IF($M69="",0,INDEX(伝票元!$N$6:$N$511,$M69))=1,INDEX(伝票元!$I$6:$I$511,$M69),"")</f>
        <v/>
      </c>
      <c r="F69" s="45" t="str">
        <f aca="false">IF(IF($M69="",0,INDEX(伝票元!$N$6:$N$511,$M69))=1,INDEX(伝票元!$J$6:$J$511,$M69),"")</f>
        <v/>
      </c>
      <c r="G69" s="42" t="str">
        <f aca="false">IF(IF($M69="",0,INDEX(伝票元!$N$6:$N$511,$M69))=1,INDEX(伝票元!$Q$6:$Q$511,$M69),"")</f>
        <v/>
      </c>
      <c r="H69" s="45" t="str">
        <f aca="false">IF($M69="","",INDEX(伝票元!$F$6:$F$511,$M69))</f>
        <v/>
      </c>
      <c r="I69" s="45" t="str">
        <f aca="false">IF($M69="","",INDEX(伝票元!$G$6:$G$511,$M69))</f>
        <v/>
      </c>
      <c r="J69" s="42" t="str">
        <f aca="false">IF($M69="","",INDEX(伝票元!$H$6:$H$511,$M69))</f>
        <v/>
      </c>
      <c r="K69" s="46" t="str">
        <f aca="false">IF(IF($M69="",0,INDEX(伝票元!$N$6:$N$511,$M69))=1,INDEX(伝票元!$R$6:$R$511,$M69),"")</f>
        <v/>
      </c>
      <c r="L69" s="47" t="str">
        <f aca="false">IF($M69="","",INDEX(伝票元!$S$6:$S$511,$M69))</f>
        <v/>
      </c>
      <c r="M69" s="47" t="str">
        <f aca="false">IFERROR(MATCH(63,伝票元!$O$6:$O$511,0),"")</f>
        <v/>
      </c>
    </row>
    <row r="70" customFormat="false" ht="15" hidden="false" customHeight="false" outlineLevel="0" collapsed="false">
      <c r="A70" s="10" t="str">
        <f aca="false">IF($M70="","",INDEX(伝票元!$P$6:$P$511,$M70))</f>
        <v/>
      </c>
      <c r="B70" s="45" t="str">
        <f aca="false">IF($M70="","",INDEX(伝票元!$D$6:$D$511,$M70))</f>
        <v/>
      </c>
      <c r="C70" s="10" t="str">
        <f aca="false">IF($M70="","",INDEX(伝票元!$E$6:$E$511,$M70))</f>
        <v/>
      </c>
      <c r="D70" s="45" t="str">
        <f aca="false">IF($M70="","",INDEX(伝票元!$A$6:$A$511,$M70))</f>
        <v/>
      </c>
      <c r="E70" s="10" t="str">
        <f aca="false">IF(IF($M70="",0,INDEX(伝票元!$N$6:$N$511,$M70))=1,INDEX(伝票元!$I$6:$I$511,$M70),"")</f>
        <v/>
      </c>
      <c r="F70" s="45" t="str">
        <f aca="false">IF(IF($M70="",0,INDEX(伝票元!$N$6:$N$511,$M70))=1,INDEX(伝票元!$J$6:$J$511,$M70),"")</f>
        <v/>
      </c>
      <c r="G70" s="42" t="str">
        <f aca="false">IF(IF($M70="",0,INDEX(伝票元!$N$6:$N$511,$M70))=1,INDEX(伝票元!$Q$6:$Q$511,$M70),"")</f>
        <v/>
      </c>
      <c r="H70" s="45" t="str">
        <f aca="false">IF($M70="","",INDEX(伝票元!$F$6:$F$511,$M70))</f>
        <v/>
      </c>
      <c r="I70" s="45" t="str">
        <f aca="false">IF($M70="","",INDEX(伝票元!$G$6:$G$511,$M70))</f>
        <v/>
      </c>
      <c r="J70" s="42" t="str">
        <f aca="false">IF($M70="","",INDEX(伝票元!$H$6:$H$511,$M70))</f>
        <v/>
      </c>
      <c r="K70" s="46" t="str">
        <f aca="false">IF(IF($M70="",0,INDEX(伝票元!$N$6:$N$511,$M70))=1,INDEX(伝票元!$R$6:$R$511,$M70),"")</f>
        <v/>
      </c>
      <c r="L70" s="47" t="str">
        <f aca="false">IF($M70="","",INDEX(伝票元!$S$6:$S$511,$M70))</f>
        <v/>
      </c>
      <c r="M70" s="47" t="str">
        <f aca="false">IFERROR(MATCH(64,伝票元!$O$6:$O$511,0),"")</f>
        <v/>
      </c>
    </row>
    <row r="71" customFormat="false" ht="15" hidden="false" customHeight="false" outlineLevel="0" collapsed="false">
      <c r="A71" s="10" t="str">
        <f aca="false">IF($M71="","",INDEX(伝票元!$P$6:$P$511,$M71))</f>
        <v/>
      </c>
      <c r="B71" s="45" t="str">
        <f aca="false">IF($M71="","",INDEX(伝票元!$D$6:$D$511,$M71))</f>
        <v/>
      </c>
      <c r="C71" s="10" t="str">
        <f aca="false">IF($M71="","",INDEX(伝票元!$E$6:$E$511,$M71))</f>
        <v/>
      </c>
      <c r="D71" s="45" t="str">
        <f aca="false">IF($M71="","",INDEX(伝票元!$A$6:$A$511,$M71))</f>
        <v/>
      </c>
      <c r="E71" s="10" t="str">
        <f aca="false">IF(IF($M71="",0,INDEX(伝票元!$N$6:$N$511,$M71))=1,INDEX(伝票元!$I$6:$I$511,$M71),"")</f>
        <v/>
      </c>
      <c r="F71" s="45" t="str">
        <f aca="false">IF(IF($M71="",0,INDEX(伝票元!$N$6:$N$511,$M71))=1,INDEX(伝票元!$J$6:$J$511,$M71),"")</f>
        <v/>
      </c>
      <c r="G71" s="42" t="str">
        <f aca="false">IF(IF($M71="",0,INDEX(伝票元!$N$6:$N$511,$M71))=1,INDEX(伝票元!$Q$6:$Q$511,$M71),"")</f>
        <v/>
      </c>
      <c r="H71" s="45" t="str">
        <f aca="false">IF($M71="","",INDEX(伝票元!$F$6:$F$511,$M71))</f>
        <v/>
      </c>
      <c r="I71" s="45" t="str">
        <f aca="false">IF($M71="","",INDEX(伝票元!$G$6:$G$511,$M71))</f>
        <v/>
      </c>
      <c r="J71" s="42" t="str">
        <f aca="false">IF($M71="","",INDEX(伝票元!$H$6:$H$511,$M71))</f>
        <v/>
      </c>
      <c r="K71" s="46" t="str">
        <f aca="false">IF(IF($M71="",0,INDEX(伝票元!$N$6:$N$511,$M71))=1,INDEX(伝票元!$R$6:$R$511,$M71),"")</f>
        <v/>
      </c>
      <c r="L71" s="47" t="str">
        <f aca="false">IF($M71="","",INDEX(伝票元!$S$6:$S$511,$M71))</f>
        <v/>
      </c>
      <c r="M71" s="47" t="str">
        <f aca="false">IFERROR(MATCH(65,伝票元!$O$6:$O$511,0),"")</f>
        <v/>
      </c>
    </row>
    <row r="72" customFormat="false" ht="15" hidden="false" customHeight="false" outlineLevel="0" collapsed="false">
      <c r="A72" s="10" t="str">
        <f aca="false">IF($M72="","",INDEX(伝票元!$P$6:$P$511,$M72))</f>
        <v/>
      </c>
      <c r="B72" s="45" t="str">
        <f aca="false">IF($M72="","",INDEX(伝票元!$D$6:$D$511,$M72))</f>
        <v/>
      </c>
      <c r="C72" s="10" t="str">
        <f aca="false">IF($M72="","",INDEX(伝票元!$E$6:$E$511,$M72))</f>
        <v/>
      </c>
      <c r="D72" s="45" t="str">
        <f aca="false">IF($M72="","",INDEX(伝票元!$A$6:$A$511,$M72))</f>
        <v/>
      </c>
      <c r="E72" s="10" t="str">
        <f aca="false">IF(IF($M72="",0,INDEX(伝票元!$N$6:$N$511,$M72))=1,INDEX(伝票元!$I$6:$I$511,$M72),"")</f>
        <v/>
      </c>
      <c r="F72" s="45" t="str">
        <f aca="false">IF(IF($M72="",0,INDEX(伝票元!$N$6:$N$511,$M72))=1,INDEX(伝票元!$J$6:$J$511,$M72),"")</f>
        <v/>
      </c>
      <c r="G72" s="42" t="str">
        <f aca="false">IF(IF($M72="",0,INDEX(伝票元!$N$6:$N$511,$M72))=1,INDEX(伝票元!$Q$6:$Q$511,$M72),"")</f>
        <v/>
      </c>
      <c r="H72" s="45" t="str">
        <f aca="false">IF($M72="","",INDEX(伝票元!$F$6:$F$511,$M72))</f>
        <v/>
      </c>
      <c r="I72" s="45" t="str">
        <f aca="false">IF($M72="","",INDEX(伝票元!$G$6:$G$511,$M72))</f>
        <v/>
      </c>
      <c r="J72" s="42" t="str">
        <f aca="false">IF($M72="","",INDEX(伝票元!$H$6:$H$511,$M72))</f>
        <v/>
      </c>
      <c r="K72" s="46" t="str">
        <f aca="false">IF(IF($M72="",0,INDEX(伝票元!$N$6:$N$511,$M72))=1,INDEX(伝票元!$R$6:$R$511,$M72),"")</f>
        <v/>
      </c>
      <c r="L72" s="47" t="str">
        <f aca="false">IF($M72="","",INDEX(伝票元!$S$6:$S$511,$M72))</f>
        <v/>
      </c>
      <c r="M72" s="47" t="str">
        <f aca="false">IFERROR(MATCH(66,伝票元!$O$6:$O$511,0),"")</f>
        <v/>
      </c>
    </row>
    <row r="73" customFormat="false" ht="15" hidden="false" customHeight="false" outlineLevel="0" collapsed="false">
      <c r="A73" s="10" t="str">
        <f aca="false">IF($M73="","",INDEX(伝票元!$P$6:$P$511,$M73))</f>
        <v/>
      </c>
      <c r="B73" s="45" t="str">
        <f aca="false">IF($M73="","",INDEX(伝票元!$D$6:$D$511,$M73))</f>
        <v/>
      </c>
      <c r="C73" s="10" t="str">
        <f aca="false">IF($M73="","",INDEX(伝票元!$E$6:$E$511,$M73))</f>
        <v/>
      </c>
      <c r="D73" s="45" t="str">
        <f aca="false">IF($M73="","",INDEX(伝票元!$A$6:$A$511,$M73))</f>
        <v/>
      </c>
      <c r="E73" s="10" t="str">
        <f aca="false">IF(IF($M73="",0,INDEX(伝票元!$N$6:$N$511,$M73))=1,INDEX(伝票元!$I$6:$I$511,$M73),"")</f>
        <v/>
      </c>
      <c r="F73" s="45" t="str">
        <f aca="false">IF(IF($M73="",0,INDEX(伝票元!$N$6:$N$511,$M73))=1,INDEX(伝票元!$J$6:$J$511,$M73),"")</f>
        <v/>
      </c>
      <c r="G73" s="42" t="str">
        <f aca="false">IF(IF($M73="",0,INDEX(伝票元!$N$6:$N$511,$M73))=1,INDEX(伝票元!$Q$6:$Q$511,$M73),"")</f>
        <v/>
      </c>
      <c r="H73" s="45" t="str">
        <f aca="false">IF($M73="","",INDEX(伝票元!$F$6:$F$511,$M73))</f>
        <v/>
      </c>
      <c r="I73" s="45" t="str">
        <f aca="false">IF($M73="","",INDEX(伝票元!$G$6:$G$511,$M73))</f>
        <v/>
      </c>
      <c r="J73" s="42" t="str">
        <f aca="false">IF($M73="","",INDEX(伝票元!$H$6:$H$511,$M73))</f>
        <v/>
      </c>
      <c r="K73" s="46" t="str">
        <f aca="false">IF(IF($M73="",0,INDEX(伝票元!$N$6:$N$511,$M73))=1,INDEX(伝票元!$R$6:$R$511,$M73),"")</f>
        <v/>
      </c>
      <c r="L73" s="47" t="str">
        <f aca="false">IF($M73="","",INDEX(伝票元!$S$6:$S$511,$M73))</f>
        <v/>
      </c>
      <c r="M73" s="47" t="str">
        <f aca="false">IFERROR(MATCH(67,伝票元!$O$6:$O$511,0),"")</f>
        <v/>
      </c>
    </row>
    <row r="74" customFormat="false" ht="15" hidden="false" customHeight="false" outlineLevel="0" collapsed="false">
      <c r="A74" s="10" t="str">
        <f aca="false">IF($M74="","",INDEX(伝票元!$P$6:$P$511,$M74))</f>
        <v/>
      </c>
      <c r="B74" s="45" t="str">
        <f aca="false">IF($M74="","",INDEX(伝票元!$D$6:$D$511,$M74))</f>
        <v/>
      </c>
      <c r="C74" s="10" t="str">
        <f aca="false">IF($M74="","",INDEX(伝票元!$E$6:$E$511,$M74))</f>
        <v/>
      </c>
      <c r="D74" s="45" t="str">
        <f aca="false">IF($M74="","",INDEX(伝票元!$A$6:$A$511,$M74))</f>
        <v/>
      </c>
      <c r="E74" s="10" t="str">
        <f aca="false">IF(IF($M74="",0,INDEX(伝票元!$N$6:$N$511,$M74))=1,INDEX(伝票元!$I$6:$I$511,$M74),"")</f>
        <v/>
      </c>
      <c r="F74" s="45" t="str">
        <f aca="false">IF(IF($M74="",0,INDEX(伝票元!$N$6:$N$511,$M74))=1,INDEX(伝票元!$J$6:$J$511,$M74),"")</f>
        <v/>
      </c>
      <c r="G74" s="42" t="str">
        <f aca="false">IF(IF($M74="",0,INDEX(伝票元!$N$6:$N$511,$M74))=1,INDEX(伝票元!$Q$6:$Q$511,$M74),"")</f>
        <v/>
      </c>
      <c r="H74" s="45" t="str">
        <f aca="false">IF($M74="","",INDEX(伝票元!$F$6:$F$511,$M74))</f>
        <v/>
      </c>
      <c r="I74" s="45" t="str">
        <f aca="false">IF($M74="","",INDEX(伝票元!$G$6:$G$511,$M74))</f>
        <v/>
      </c>
      <c r="J74" s="42" t="str">
        <f aca="false">IF($M74="","",INDEX(伝票元!$H$6:$H$511,$M74))</f>
        <v/>
      </c>
      <c r="K74" s="46" t="str">
        <f aca="false">IF(IF($M74="",0,INDEX(伝票元!$N$6:$N$511,$M74))=1,INDEX(伝票元!$R$6:$R$511,$M74),"")</f>
        <v/>
      </c>
      <c r="L74" s="47" t="str">
        <f aca="false">IF($M74="","",INDEX(伝票元!$S$6:$S$511,$M74))</f>
        <v/>
      </c>
      <c r="M74" s="47" t="str">
        <f aca="false">IFERROR(MATCH(68,伝票元!$O$6:$O$511,0),"")</f>
        <v/>
      </c>
    </row>
    <row r="75" customFormat="false" ht="15" hidden="false" customHeight="false" outlineLevel="0" collapsed="false">
      <c r="A75" s="10" t="str">
        <f aca="false">IF($M75="","",INDEX(伝票元!$P$6:$P$511,$M75))</f>
        <v/>
      </c>
      <c r="B75" s="45" t="str">
        <f aca="false">IF($M75="","",INDEX(伝票元!$D$6:$D$511,$M75))</f>
        <v/>
      </c>
      <c r="C75" s="10" t="str">
        <f aca="false">IF($M75="","",INDEX(伝票元!$E$6:$E$511,$M75))</f>
        <v/>
      </c>
      <c r="D75" s="45" t="str">
        <f aca="false">IF($M75="","",INDEX(伝票元!$A$6:$A$511,$M75))</f>
        <v/>
      </c>
      <c r="E75" s="10" t="str">
        <f aca="false">IF(IF($M75="",0,INDEX(伝票元!$N$6:$N$511,$M75))=1,INDEX(伝票元!$I$6:$I$511,$M75),"")</f>
        <v/>
      </c>
      <c r="F75" s="45" t="str">
        <f aca="false">IF(IF($M75="",0,INDEX(伝票元!$N$6:$N$511,$M75))=1,INDEX(伝票元!$J$6:$J$511,$M75),"")</f>
        <v/>
      </c>
      <c r="G75" s="42" t="str">
        <f aca="false">IF(IF($M75="",0,INDEX(伝票元!$N$6:$N$511,$M75))=1,INDEX(伝票元!$Q$6:$Q$511,$M75),"")</f>
        <v/>
      </c>
      <c r="H75" s="45" t="str">
        <f aca="false">IF($M75="","",INDEX(伝票元!$F$6:$F$511,$M75))</f>
        <v/>
      </c>
      <c r="I75" s="45" t="str">
        <f aca="false">IF($M75="","",INDEX(伝票元!$G$6:$G$511,$M75))</f>
        <v/>
      </c>
      <c r="J75" s="42" t="str">
        <f aca="false">IF($M75="","",INDEX(伝票元!$H$6:$H$511,$M75))</f>
        <v/>
      </c>
      <c r="K75" s="46" t="str">
        <f aca="false">IF(IF($M75="",0,INDEX(伝票元!$N$6:$N$511,$M75))=1,INDEX(伝票元!$R$6:$R$511,$M75),"")</f>
        <v/>
      </c>
      <c r="L75" s="47" t="str">
        <f aca="false">IF($M75="","",INDEX(伝票元!$S$6:$S$511,$M75))</f>
        <v/>
      </c>
      <c r="M75" s="47" t="str">
        <f aca="false">IFERROR(MATCH(69,伝票元!$O$6:$O$511,0),"")</f>
        <v/>
      </c>
    </row>
    <row r="76" customFormat="false" ht="15" hidden="false" customHeight="false" outlineLevel="0" collapsed="false">
      <c r="A76" s="10" t="str">
        <f aca="false">IF($M76="","",INDEX(伝票元!$P$6:$P$511,$M76))</f>
        <v/>
      </c>
      <c r="B76" s="45" t="str">
        <f aca="false">IF($M76="","",INDEX(伝票元!$D$6:$D$511,$M76))</f>
        <v/>
      </c>
      <c r="C76" s="10" t="str">
        <f aca="false">IF($M76="","",INDEX(伝票元!$E$6:$E$511,$M76))</f>
        <v/>
      </c>
      <c r="D76" s="45" t="str">
        <f aca="false">IF($M76="","",INDEX(伝票元!$A$6:$A$511,$M76))</f>
        <v/>
      </c>
      <c r="E76" s="10" t="str">
        <f aca="false">IF(IF($M76="",0,INDEX(伝票元!$N$6:$N$511,$M76))=1,INDEX(伝票元!$I$6:$I$511,$M76),"")</f>
        <v/>
      </c>
      <c r="F76" s="45" t="str">
        <f aca="false">IF(IF($M76="",0,INDEX(伝票元!$N$6:$N$511,$M76))=1,INDEX(伝票元!$J$6:$J$511,$M76),"")</f>
        <v/>
      </c>
      <c r="G76" s="42" t="str">
        <f aca="false">IF(IF($M76="",0,INDEX(伝票元!$N$6:$N$511,$M76))=1,INDEX(伝票元!$Q$6:$Q$511,$M76),"")</f>
        <v/>
      </c>
      <c r="H76" s="45" t="str">
        <f aca="false">IF($M76="","",INDEX(伝票元!$F$6:$F$511,$M76))</f>
        <v/>
      </c>
      <c r="I76" s="45" t="str">
        <f aca="false">IF($M76="","",INDEX(伝票元!$G$6:$G$511,$M76))</f>
        <v/>
      </c>
      <c r="J76" s="42" t="str">
        <f aca="false">IF($M76="","",INDEX(伝票元!$H$6:$H$511,$M76))</f>
        <v/>
      </c>
      <c r="K76" s="46" t="str">
        <f aca="false">IF(IF($M76="",0,INDEX(伝票元!$N$6:$N$511,$M76))=1,INDEX(伝票元!$R$6:$R$511,$M76),"")</f>
        <v/>
      </c>
      <c r="L76" s="47" t="str">
        <f aca="false">IF($M76="","",INDEX(伝票元!$S$6:$S$511,$M76))</f>
        <v/>
      </c>
      <c r="M76" s="47" t="str">
        <f aca="false">IFERROR(MATCH(70,伝票元!$O$6:$O$511,0),"")</f>
        <v/>
      </c>
    </row>
    <row r="77" customFormat="false" ht="15" hidden="false" customHeight="false" outlineLevel="0" collapsed="false">
      <c r="A77" s="10" t="str">
        <f aca="false">IF($M77="","",INDEX(伝票元!$P$6:$P$511,$M77))</f>
        <v/>
      </c>
      <c r="B77" s="45" t="str">
        <f aca="false">IF($M77="","",INDEX(伝票元!$D$6:$D$511,$M77))</f>
        <v/>
      </c>
      <c r="C77" s="10" t="str">
        <f aca="false">IF($M77="","",INDEX(伝票元!$E$6:$E$511,$M77))</f>
        <v/>
      </c>
      <c r="D77" s="45" t="str">
        <f aca="false">IF($M77="","",INDEX(伝票元!$A$6:$A$511,$M77))</f>
        <v/>
      </c>
      <c r="E77" s="10" t="str">
        <f aca="false">IF(IF($M77="",0,INDEX(伝票元!$N$6:$N$511,$M77))=1,INDEX(伝票元!$I$6:$I$511,$M77),"")</f>
        <v/>
      </c>
      <c r="F77" s="45" t="str">
        <f aca="false">IF(IF($M77="",0,INDEX(伝票元!$N$6:$N$511,$M77))=1,INDEX(伝票元!$J$6:$J$511,$M77),"")</f>
        <v/>
      </c>
      <c r="G77" s="42" t="str">
        <f aca="false">IF(IF($M77="",0,INDEX(伝票元!$N$6:$N$511,$M77))=1,INDEX(伝票元!$Q$6:$Q$511,$M77),"")</f>
        <v/>
      </c>
      <c r="H77" s="45" t="str">
        <f aca="false">IF($M77="","",INDEX(伝票元!$F$6:$F$511,$M77))</f>
        <v/>
      </c>
      <c r="I77" s="45" t="str">
        <f aca="false">IF($M77="","",INDEX(伝票元!$G$6:$G$511,$M77))</f>
        <v/>
      </c>
      <c r="J77" s="42" t="str">
        <f aca="false">IF($M77="","",INDEX(伝票元!$H$6:$H$511,$M77))</f>
        <v/>
      </c>
      <c r="K77" s="46" t="str">
        <f aca="false">IF(IF($M77="",0,INDEX(伝票元!$N$6:$N$511,$M77))=1,INDEX(伝票元!$R$6:$R$511,$M77),"")</f>
        <v/>
      </c>
      <c r="L77" s="47" t="str">
        <f aca="false">IF($M77="","",INDEX(伝票元!$S$6:$S$511,$M77))</f>
        <v/>
      </c>
      <c r="M77" s="47" t="str">
        <f aca="false">IFERROR(MATCH(71,伝票元!$O$6:$O$511,0),"")</f>
        <v/>
      </c>
    </row>
    <row r="78" customFormat="false" ht="15" hidden="false" customHeight="false" outlineLevel="0" collapsed="false">
      <c r="A78" s="10" t="str">
        <f aca="false">IF($M78="","",INDEX(伝票元!$P$6:$P$511,$M78))</f>
        <v/>
      </c>
      <c r="B78" s="45" t="str">
        <f aca="false">IF($M78="","",INDEX(伝票元!$D$6:$D$511,$M78))</f>
        <v/>
      </c>
      <c r="C78" s="10" t="str">
        <f aca="false">IF($M78="","",INDEX(伝票元!$E$6:$E$511,$M78))</f>
        <v/>
      </c>
      <c r="D78" s="45" t="str">
        <f aca="false">IF($M78="","",INDEX(伝票元!$A$6:$A$511,$M78))</f>
        <v/>
      </c>
      <c r="E78" s="10" t="str">
        <f aca="false">IF(IF($M78="",0,INDEX(伝票元!$N$6:$N$511,$M78))=1,INDEX(伝票元!$I$6:$I$511,$M78),"")</f>
        <v/>
      </c>
      <c r="F78" s="45" t="str">
        <f aca="false">IF(IF($M78="",0,INDEX(伝票元!$N$6:$N$511,$M78))=1,INDEX(伝票元!$J$6:$J$511,$M78),"")</f>
        <v/>
      </c>
      <c r="G78" s="42" t="str">
        <f aca="false">IF(IF($M78="",0,INDEX(伝票元!$N$6:$N$511,$M78))=1,INDEX(伝票元!$Q$6:$Q$511,$M78),"")</f>
        <v/>
      </c>
      <c r="H78" s="45" t="str">
        <f aca="false">IF($M78="","",INDEX(伝票元!$F$6:$F$511,$M78))</f>
        <v/>
      </c>
      <c r="I78" s="45" t="str">
        <f aca="false">IF($M78="","",INDEX(伝票元!$G$6:$G$511,$M78))</f>
        <v/>
      </c>
      <c r="J78" s="42" t="str">
        <f aca="false">IF($M78="","",INDEX(伝票元!$H$6:$H$511,$M78))</f>
        <v/>
      </c>
      <c r="K78" s="46" t="str">
        <f aca="false">IF(IF($M78="",0,INDEX(伝票元!$N$6:$N$511,$M78))=1,INDEX(伝票元!$R$6:$R$511,$M78),"")</f>
        <v/>
      </c>
      <c r="L78" s="47" t="str">
        <f aca="false">IF($M78="","",INDEX(伝票元!$S$6:$S$511,$M78))</f>
        <v/>
      </c>
      <c r="M78" s="47" t="str">
        <f aca="false">IFERROR(MATCH(72,伝票元!$O$6:$O$511,0),"")</f>
        <v/>
      </c>
    </row>
    <row r="79" customFormat="false" ht="15" hidden="false" customHeight="false" outlineLevel="0" collapsed="false">
      <c r="A79" s="10" t="str">
        <f aca="false">IF($M79="","",INDEX(伝票元!$P$6:$P$511,$M79))</f>
        <v/>
      </c>
      <c r="B79" s="45" t="str">
        <f aca="false">IF($M79="","",INDEX(伝票元!$D$6:$D$511,$M79))</f>
        <v/>
      </c>
      <c r="C79" s="10" t="str">
        <f aca="false">IF($M79="","",INDEX(伝票元!$E$6:$E$511,$M79))</f>
        <v/>
      </c>
      <c r="D79" s="45" t="str">
        <f aca="false">IF($M79="","",INDEX(伝票元!$A$6:$A$511,$M79))</f>
        <v/>
      </c>
      <c r="E79" s="10" t="str">
        <f aca="false">IF(IF($M79="",0,INDEX(伝票元!$N$6:$N$511,$M79))=1,INDEX(伝票元!$I$6:$I$511,$M79),"")</f>
        <v/>
      </c>
      <c r="F79" s="45" t="str">
        <f aca="false">IF(IF($M79="",0,INDEX(伝票元!$N$6:$N$511,$M79))=1,INDEX(伝票元!$J$6:$J$511,$M79),"")</f>
        <v/>
      </c>
      <c r="G79" s="42" t="str">
        <f aca="false">IF(IF($M79="",0,INDEX(伝票元!$N$6:$N$511,$M79))=1,INDEX(伝票元!$Q$6:$Q$511,$M79),"")</f>
        <v/>
      </c>
      <c r="H79" s="45" t="str">
        <f aca="false">IF($M79="","",INDEX(伝票元!$F$6:$F$511,$M79))</f>
        <v/>
      </c>
      <c r="I79" s="45" t="str">
        <f aca="false">IF($M79="","",INDEX(伝票元!$G$6:$G$511,$M79))</f>
        <v/>
      </c>
      <c r="J79" s="42" t="str">
        <f aca="false">IF($M79="","",INDEX(伝票元!$H$6:$H$511,$M79))</f>
        <v/>
      </c>
      <c r="K79" s="46" t="str">
        <f aca="false">IF(IF($M79="",0,INDEX(伝票元!$N$6:$N$511,$M79))=1,INDEX(伝票元!$R$6:$R$511,$M79),"")</f>
        <v/>
      </c>
      <c r="L79" s="47" t="str">
        <f aca="false">IF($M79="","",INDEX(伝票元!$S$6:$S$511,$M79))</f>
        <v/>
      </c>
      <c r="M79" s="47" t="str">
        <f aca="false">IFERROR(MATCH(73,伝票元!$O$6:$O$511,0),"")</f>
        <v/>
      </c>
    </row>
    <row r="80" customFormat="false" ht="15" hidden="false" customHeight="false" outlineLevel="0" collapsed="false">
      <c r="A80" s="10" t="str">
        <f aca="false">IF($M80="","",INDEX(伝票元!$P$6:$P$511,$M80))</f>
        <v/>
      </c>
      <c r="B80" s="45" t="str">
        <f aca="false">IF($M80="","",INDEX(伝票元!$D$6:$D$511,$M80))</f>
        <v/>
      </c>
      <c r="C80" s="10" t="str">
        <f aca="false">IF($M80="","",INDEX(伝票元!$E$6:$E$511,$M80))</f>
        <v/>
      </c>
      <c r="D80" s="45" t="str">
        <f aca="false">IF($M80="","",INDEX(伝票元!$A$6:$A$511,$M80))</f>
        <v/>
      </c>
      <c r="E80" s="10" t="str">
        <f aca="false">IF(IF($M80="",0,INDEX(伝票元!$N$6:$N$511,$M80))=1,INDEX(伝票元!$I$6:$I$511,$M80),"")</f>
        <v/>
      </c>
      <c r="F80" s="45" t="str">
        <f aca="false">IF(IF($M80="",0,INDEX(伝票元!$N$6:$N$511,$M80))=1,INDEX(伝票元!$J$6:$J$511,$M80),"")</f>
        <v/>
      </c>
      <c r="G80" s="42" t="str">
        <f aca="false">IF(IF($M80="",0,INDEX(伝票元!$N$6:$N$511,$M80))=1,INDEX(伝票元!$Q$6:$Q$511,$M80),"")</f>
        <v/>
      </c>
      <c r="H80" s="45" t="str">
        <f aca="false">IF($M80="","",INDEX(伝票元!$F$6:$F$511,$M80))</f>
        <v/>
      </c>
      <c r="I80" s="45" t="str">
        <f aca="false">IF($M80="","",INDEX(伝票元!$G$6:$G$511,$M80))</f>
        <v/>
      </c>
      <c r="J80" s="42" t="str">
        <f aca="false">IF($M80="","",INDEX(伝票元!$H$6:$H$511,$M80))</f>
        <v/>
      </c>
      <c r="K80" s="46" t="str">
        <f aca="false">IF(IF($M80="",0,INDEX(伝票元!$N$6:$N$511,$M80))=1,INDEX(伝票元!$R$6:$R$511,$M80),"")</f>
        <v/>
      </c>
      <c r="L80" s="47" t="str">
        <f aca="false">IF($M80="","",INDEX(伝票元!$S$6:$S$511,$M80))</f>
        <v/>
      </c>
      <c r="M80" s="47" t="str">
        <f aca="false">IFERROR(MATCH(74,伝票元!$O$6:$O$511,0),"")</f>
        <v/>
      </c>
    </row>
    <row r="81" customFormat="false" ht="15" hidden="false" customHeight="false" outlineLevel="0" collapsed="false">
      <c r="A81" s="10" t="str">
        <f aca="false">IF($M81="","",INDEX(伝票元!$P$6:$P$511,$M81))</f>
        <v/>
      </c>
      <c r="B81" s="45" t="str">
        <f aca="false">IF($M81="","",INDEX(伝票元!$D$6:$D$511,$M81))</f>
        <v/>
      </c>
      <c r="C81" s="10" t="str">
        <f aca="false">IF($M81="","",INDEX(伝票元!$E$6:$E$511,$M81))</f>
        <v/>
      </c>
      <c r="D81" s="45" t="str">
        <f aca="false">IF($M81="","",INDEX(伝票元!$A$6:$A$511,$M81))</f>
        <v/>
      </c>
      <c r="E81" s="10" t="str">
        <f aca="false">IF(IF($M81="",0,INDEX(伝票元!$N$6:$N$511,$M81))=1,INDEX(伝票元!$I$6:$I$511,$M81),"")</f>
        <v/>
      </c>
      <c r="F81" s="45" t="str">
        <f aca="false">IF(IF($M81="",0,INDEX(伝票元!$N$6:$N$511,$M81))=1,INDEX(伝票元!$J$6:$J$511,$M81),"")</f>
        <v/>
      </c>
      <c r="G81" s="42" t="str">
        <f aca="false">IF(IF($M81="",0,INDEX(伝票元!$N$6:$N$511,$M81))=1,INDEX(伝票元!$Q$6:$Q$511,$M81),"")</f>
        <v/>
      </c>
      <c r="H81" s="45" t="str">
        <f aca="false">IF($M81="","",INDEX(伝票元!$F$6:$F$511,$M81))</f>
        <v/>
      </c>
      <c r="I81" s="45" t="str">
        <f aca="false">IF($M81="","",INDEX(伝票元!$G$6:$G$511,$M81))</f>
        <v/>
      </c>
      <c r="J81" s="42" t="str">
        <f aca="false">IF($M81="","",INDEX(伝票元!$H$6:$H$511,$M81))</f>
        <v/>
      </c>
      <c r="K81" s="46" t="str">
        <f aca="false">IF(IF($M81="",0,INDEX(伝票元!$N$6:$N$511,$M81))=1,INDEX(伝票元!$R$6:$R$511,$M81),"")</f>
        <v/>
      </c>
      <c r="L81" s="47" t="str">
        <f aca="false">IF($M81="","",INDEX(伝票元!$S$6:$S$511,$M81))</f>
        <v/>
      </c>
      <c r="M81" s="47" t="str">
        <f aca="false">IFERROR(MATCH(75,伝票元!$O$6:$O$511,0),"")</f>
        <v/>
      </c>
    </row>
    <row r="82" customFormat="false" ht="15" hidden="false" customHeight="false" outlineLevel="0" collapsed="false">
      <c r="A82" s="10" t="str">
        <f aca="false">IF($M82="","",INDEX(伝票元!$P$6:$P$511,$M82))</f>
        <v/>
      </c>
      <c r="B82" s="45" t="str">
        <f aca="false">IF($M82="","",INDEX(伝票元!$D$6:$D$511,$M82))</f>
        <v/>
      </c>
      <c r="C82" s="10" t="str">
        <f aca="false">IF($M82="","",INDEX(伝票元!$E$6:$E$511,$M82))</f>
        <v/>
      </c>
      <c r="D82" s="45" t="str">
        <f aca="false">IF($M82="","",INDEX(伝票元!$A$6:$A$511,$M82))</f>
        <v/>
      </c>
      <c r="E82" s="10" t="str">
        <f aca="false">IF(IF($M82="",0,INDEX(伝票元!$N$6:$N$511,$M82))=1,INDEX(伝票元!$I$6:$I$511,$M82),"")</f>
        <v/>
      </c>
      <c r="F82" s="45" t="str">
        <f aca="false">IF(IF($M82="",0,INDEX(伝票元!$N$6:$N$511,$M82))=1,INDEX(伝票元!$J$6:$J$511,$M82),"")</f>
        <v/>
      </c>
      <c r="G82" s="42" t="str">
        <f aca="false">IF(IF($M82="",0,INDEX(伝票元!$N$6:$N$511,$M82))=1,INDEX(伝票元!$Q$6:$Q$511,$M82),"")</f>
        <v/>
      </c>
      <c r="H82" s="45" t="str">
        <f aca="false">IF($M82="","",INDEX(伝票元!$F$6:$F$511,$M82))</f>
        <v/>
      </c>
      <c r="I82" s="45" t="str">
        <f aca="false">IF($M82="","",INDEX(伝票元!$G$6:$G$511,$M82))</f>
        <v/>
      </c>
      <c r="J82" s="42" t="str">
        <f aca="false">IF($M82="","",INDEX(伝票元!$H$6:$H$511,$M82))</f>
        <v/>
      </c>
      <c r="K82" s="46" t="str">
        <f aca="false">IF(IF($M82="",0,INDEX(伝票元!$N$6:$N$511,$M82))=1,INDEX(伝票元!$R$6:$R$511,$M82),"")</f>
        <v/>
      </c>
      <c r="L82" s="47" t="str">
        <f aca="false">IF($M82="","",INDEX(伝票元!$S$6:$S$511,$M82))</f>
        <v/>
      </c>
      <c r="M82" s="47" t="str">
        <f aca="false">IFERROR(MATCH(76,伝票元!$O$6:$O$511,0),"")</f>
        <v/>
      </c>
    </row>
    <row r="83" customFormat="false" ht="15" hidden="false" customHeight="false" outlineLevel="0" collapsed="false">
      <c r="A83" s="10" t="str">
        <f aca="false">IF($M83="","",INDEX(伝票元!$P$6:$P$511,$M83))</f>
        <v/>
      </c>
      <c r="B83" s="45" t="str">
        <f aca="false">IF($M83="","",INDEX(伝票元!$D$6:$D$511,$M83))</f>
        <v/>
      </c>
      <c r="C83" s="10" t="str">
        <f aca="false">IF($M83="","",INDEX(伝票元!$E$6:$E$511,$M83))</f>
        <v/>
      </c>
      <c r="D83" s="45" t="str">
        <f aca="false">IF($M83="","",INDEX(伝票元!$A$6:$A$511,$M83))</f>
        <v/>
      </c>
      <c r="E83" s="10" t="str">
        <f aca="false">IF(IF($M83="",0,INDEX(伝票元!$N$6:$N$511,$M83))=1,INDEX(伝票元!$I$6:$I$511,$M83),"")</f>
        <v/>
      </c>
      <c r="F83" s="45" t="str">
        <f aca="false">IF(IF($M83="",0,INDEX(伝票元!$N$6:$N$511,$M83))=1,INDEX(伝票元!$J$6:$J$511,$M83),"")</f>
        <v/>
      </c>
      <c r="G83" s="42" t="str">
        <f aca="false">IF(IF($M83="",0,INDEX(伝票元!$N$6:$N$511,$M83))=1,INDEX(伝票元!$Q$6:$Q$511,$M83),"")</f>
        <v/>
      </c>
      <c r="H83" s="45" t="str">
        <f aca="false">IF($M83="","",INDEX(伝票元!$F$6:$F$511,$M83))</f>
        <v/>
      </c>
      <c r="I83" s="45" t="str">
        <f aca="false">IF($M83="","",INDEX(伝票元!$G$6:$G$511,$M83))</f>
        <v/>
      </c>
      <c r="J83" s="42" t="str">
        <f aca="false">IF($M83="","",INDEX(伝票元!$H$6:$H$511,$M83))</f>
        <v/>
      </c>
      <c r="K83" s="46" t="str">
        <f aca="false">IF(IF($M83="",0,INDEX(伝票元!$N$6:$N$511,$M83))=1,INDEX(伝票元!$R$6:$R$511,$M83),"")</f>
        <v/>
      </c>
      <c r="L83" s="47" t="str">
        <f aca="false">IF($M83="","",INDEX(伝票元!$S$6:$S$511,$M83))</f>
        <v/>
      </c>
      <c r="M83" s="47" t="str">
        <f aca="false">IFERROR(MATCH(77,伝票元!$O$6:$O$511,0),"")</f>
        <v/>
      </c>
    </row>
    <row r="84" customFormat="false" ht="15" hidden="false" customHeight="false" outlineLevel="0" collapsed="false">
      <c r="A84" s="10" t="str">
        <f aca="false">IF($M84="","",INDEX(伝票元!$P$6:$P$511,$M84))</f>
        <v/>
      </c>
      <c r="B84" s="45" t="str">
        <f aca="false">IF($M84="","",INDEX(伝票元!$D$6:$D$511,$M84))</f>
        <v/>
      </c>
      <c r="C84" s="10" t="str">
        <f aca="false">IF($M84="","",INDEX(伝票元!$E$6:$E$511,$M84))</f>
        <v/>
      </c>
      <c r="D84" s="45" t="str">
        <f aca="false">IF($M84="","",INDEX(伝票元!$A$6:$A$511,$M84))</f>
        <v/>
      </c>
      <c r="E84" s="10" t="str">
        <f aca="false">IF(IF($M84="",0,INDEX(伝票元!$N$6:$N$511,$M84))=1,INDEX(伝票元!$I$6:$I$511,$M84),"")</f>
        <v/>
      </c>
      <c r="F84" s="45" t="str">
        <f aca="false">IF(IF($M84="",0,INDEX(伝票元!$N$6:$N$511,$M84))=1,INDEX(伝票元!$J$6:$J$511,$M84),"")</f>
        <v/>
      </c>
      <c r="G84" s="42" t="str">
        <f aca="false">IF(IF($M84="",0,INDEX(伝票元!$N$6:$N$511,$M84))=1,INDEX(伝票元!$Q$6:$Q$511,$M84),"")</f>
        <v/>
      </c>
      <c r="H84" s="45" t="str">
        <f aca="false">IF($M84="","",INDEX(伝票元!$F$6:$F$511,$M84))</f>
        <v/>
      </c>
      <c r="I84" s="45" t="str">
        <f aca="false">IF($M84="","",INDEX(伝票元!$G$6:$G$511,$M84))</f>
        <v/>
      </c>
      <c r="J84" s="42" t="str">
        <f aca="false">IF($M84="","",INDEX(伝票元!$H$6:$H$511,$M84))</f>
        <v/>
      </c>
      <c r="K84" s="46" t="str">
        <f aca="false">IF(IF($M84="",0,INDEX(伝票元!$N$6:$N$511,$M84))=1,INDEX(伝票元!$R$6:$R$511,$M84),"")</f>
        <v/>
      </c>
      <c r="L84" s="47" t="str">
        <f aca="false">IF($M84="","",INDEX(伝票元!$S$6:$S$511,$M84))</f>
        <v/>
      </c>
      <c r="M84" s="47" t="str">
        <f aca="false">IFERROR(MATCH(78,伝票元!$O$6:$O$511,0),"")</f>
        <v/>
      </c>
    </row>
    <row r="85" customFormat="false" ht="15" hidden="false" customHeight="false" outlineLevel="0" collapsed="false">
      <c r="A85" s="10" t="str">
        <f aca="false">IF($M85="","",INDEX(伝票元!$P$6:$P$511,$M85))</f>
        <v/>
      </c>
      <c r="B85" s="45" t="str">
        <f aca="false">IF($M85="","",INDEX(伝票元!$D$6:$D$511,$M85))</f>
        <v/>
      </c>
      <c r="C85" s="10" t="str">
        <f aca="false">IF($M85="","",INDEX(伝票元!$E$6:$E$511,$M85))</f>
        <v/>
      </c>
      <c r="D85" s="45" t="str">
        <f aca="false">IF($M85="","",INDEX(伝票元!$A$6:$A$511,$M85))</f>
        <v/>
      </c>
      <c r="E85" s="10" t="str">
        <f aca="false">IF(IF($M85="",0,INDEX(伝票元!$N$6:$N$511,$M85))=1,INDEX(伝票元!$I$6:$I$511,$M85),"")</f>
        <v/>
      </c>
      <c r="F85" s="45" t="str">
        <f aca="false">IF(IF($M85="",0,INDEX(伝票元!$N$6:$N$511,$M85))=1,INDEX(伝票元!$J$6:$J$511,$M85),"")</f>
        <v/>
      </c>
      <c r="G85" s="42" t="str">
        <f aca="false">IF(IF($M85="",0,INDEX(伝票元!$N$6:$N$511,$M85))=1,INDEX(伝票元!$Q$6:$Q$511,$M85),"")</f>
        <v/>
      </c>
      <c r="H85" s="45" t="str">
        <f aca="false">IF($M85="","",INDEX(伝票元!$F$6:$F$511,$M85))</f>
        <v/>
      </c>
      <c r="I85" s="45" t="str">
        <f aca="false">IF($M85="","",INDEX(伝票元!$G$6:$G$511,$M85))</f>
        <v/>
      </c>
      <c r="J85" s="42" t="str">
        <f aca="false">IF($M85="","",INDEX(伝票元!$H$6:$H$511,$M85))</f>
        <v/>
      </c>
      <c r="K85" s="46" t="str">
        <f aca="false">IF(IF($M85="",0,INDEX(伝票元!$N$6:$N$511,$M85))=1,INDEX(伝票元!$R$6:$R$511,$M85),"")</f>
        <v/>
      </c>
      <c r="L85" s="47" t="str">
        <f aca="false">IF($M85="","",INDEX(伝票元!$S$6:$S$511,$M85))</f>
        <v/>
      </c>
      <c r="M85" s="47" t="str">
        <f aca="false">IFERROR(MATCH(79,伝票元!$O$6:$O$511,0),"")</f>
        <v/>
      </c>
    </row>
    <row r="86" customFormat="false" ht="15" hidden="false" customHeight="false" outlineLevel="0" collapsed="false">
      <c r="A86" s="10" t="str">
        <f aca="false">IF($M86="","",INDEX(伝票元!$P$6:$P$511,$M86))</f>
        <v/>
      </c>
      <c r="B86" s="45" t="str">
        <f aca="false">IF($M86="","",INDEX(伝票元!$D$6:$D$511,$M86))</f>
        <v/>
      </c>
      <c r="C86" s="10" t="str">
        <f aca="false">IF($M86="","",INDEX(伝票元!$E$6:$E$511,$M86))</f>
        <v/>
      </c>
      <c r="D86" s="45" t="str">
        <f aca="false">IF($M86="","",INDEX(伝票元!$A$6:$A$511,$M86))</f>
        <v/>
      </c>
      <c r="E86" s="10" t="str">
        <f aca="false">IF(IF($M86="",0,INDEX(伝票元!$N$6:$N$511,$M86))=1,INDEX(伝票元!$I$6:$I$511,$M86),"")</f>
        <v/>
      </c>
      <c r="F86" s="45" t="str">
        <f aca="false">IF(IF($M86="",0,INDEX(伝票元!$N$6:$N$511,$M86))=1,INDEX(伝票元!$J$6:$J$511,$M86),"")</f>
        <v/>
      </c>
      <c r="G86" s="42" t="str">
        <f aca="false">IF(IF($M86="",0,INDEX(伝票元!$N$6:$N$511,$M86))=1,INDEX(伝票元!$Q$6:$Q$511,$M86),"")</f>
        <v/>
      </c>
      <c r="H86" s="45" t="str">
        <f aca="false">IF($M86="","",INDEX(伝票元!$F$6:$F$511,$M86))</f>
        <v/>
      </c>
      <c r="I86" s="45" t="str">
        <f aca="false">IF($M86="","",INDEX(伝票元!$G$6:$G$511,$M86))</f>
        <v/>
      </c>
      <c r="J86" s="42" t="str">
        <f aca="false">IF($M86="","",INDEX(伝票元!$H$6:$H$511,$M86))</f>
        <v/>
      </c>
      <c r="K86" s="46" t="str">
        <f aca="false">IF(IF($M86="",0,INDEX(伝票元!$N$6:$N$511,$M86))=1,INDEX(伝票元!$R$6:$R$511,$M86),"")</f>
        <v/>
      </c>
      <c r="L86" s="47" t="str">
        <f aca="false">IF($M86="","",INDEX(伝票元!$S$6:$S$511,$M86))</f>
        <v/>
      </c>
      <c r="M86" s="47" t="str">
        <f aca="false">IFERROR(MATCH(80,伝票元!$O$6:$O$511,0),"")</f>
        <v/>
      </c>
    </row>
    <row r="87" customFormat="false" ht="15" hidden="false" customHeight="false" outlineLevel="0" collapsed="false">
      <c r="A87" s="10" t="str">
        <f aca="false">IF($M87="","",INDEX(伝票元!$P$6:$P$511,$M87))</f>
        <v/>
      </c>
      <c r="B87" s="45" t="str">
        <f aca="false">IF($M87="","",INDEX(伝票元!$D$6:$D$511,$M87))</f>
        <v/>
      </c>
      <c r="C87" s="10" t="str">
        <f aca="false">IF($M87="","",INDEX(伝票元!$E$6:$E$511,$M87))</f>
        <v/>
      </c>
      <c r="D87" s="45" t="str">
        <f aca="false">IF($M87="","",INDEX(伝票元!$A$6:$A$511,$M87))</f>
        <v/>
      </c>
      <c r="E87" s="10" t="str">
        <f aca="false">IF(IF($M87="",0,INDEX(伝票元!$N$6:$N$511,$M87))=1,INDEX(伝票元!$I$6:$I$511,$M87),"")</f>
        <v/>
      </c>
      <c r="F87" s="45" t="str">
        <f aca="false">IF(IF($M87="",0,INDEX(伝票元!$N$6:$N$511,$M87))=1,INDEX(伝票元!$J$6:$J$511,$M87),"")</f>
        <v/>
      </c>
      <c r="G87" s="42" t="str">
        <f aca="false">IF(IF($M87="",0,INDEX(伝票元!$N$6:$N$511,$M87))=1,INDEX(伝票元!$Q$6:$Q$511,$M87),"")</f>
        <v/>
      </c>
      <c r="H87" s="45" t="str">
        <f aca="false">IF($M87="","",INDEX(伝票元!$F$6:$F$511,$M87))</f>
        <v/>
      </c>
      <c r="I87" s="45" t="str">
        <f aca="false">IF($M87="","",INDEX(伝票元!$G$6:$G$511,$M87))</f>
        <v/>
      </c>
      <c r="J87" s="42" t="str">
        <f aca="false">IF($M87="","",INDEX(伝票元!$H$6:$H$511,$M87))</f>
        <v/>
      </c>
      <c r="K87" s="46" t="str">
        <f aca="false">IF(IF($M87="",0,INDEX(伝票元!$N$6:$N$511,$M87))=1,INDEX(伝票元!$R$6:$R$511,$M87),"")</f>
        <v/>
      </c>
      <c r="L87" s="47" t="str">
        <f aca="false">IF($M87="","",INDEX(伝票元!$S$6:$S$511,$M87))</f>
        <v/>
      </c>
      <c r="M87" s="47" t="str">
        <f aca="false">IFERROR(MATCH(81,伝票元!$O$6:$O$511,0),"")</f>
        <v/>
      </c>
    </row>
    <row r="88" customFormat="false" ht="15" hidden="false" customHeight="false" outlineLevel="0" collapsed="false">
      <c r="A88" s="10" t="str">
        <f aca="false">IF($M88="","",INDEX(伝票元!$P$6:$P$511,$M88))</f>
        <v/>
      </c>
      <c r="B88" s="45" t="str">
        <f aca="false">IF($M88="","",INDEX(伝票元!$D$6:$D$511,$M88))</f>
        <v/>
      </c>
      <c r="C88" s="10" t="str">
        <f aca="false">IF($M88="","",INDEX(伝票元!$E$6:$E$511,$M88))</f>
        <v/>
      </c>
      <c r="D88" s="45" t="str">
        <f aca="false">IF($M88="","",INDEX(伝票元!$A$6:$A$511,$M88))</f>
        <v/>
      </c>
      <c r="E88" s="10" t="str">
        <f aca="false">IF(IF($M88="",0,INDEX(伝票元!$N$6:$N$511,$M88))=1,INDEX(伝票元!$I$6:$I$511,$M88),"")</f>
        <v/>
      </c>
      <c r="F88" s="45" t="str">
        <f aca="false">IF(IF($M88="",0,INDEX(伝票元!$N$6:$N$511,$M88))=1,INDEX(伝票元!$J$6:$J$511,$M88),"")</f>
        <v/>
      </c>
      <c r="G88" s="42" t="str">
        <f aca="false">IF(IF($M88="",0,INDEX(伝票元!$N$6:$N$511,$M88))=1,INDEX(伝票元!$Q$6:$Q$511,$M88),"")</f>
        <v/>
      </c>
      <c r="H88" s="45" t="str">
        <f aca="false">IF($M88="","",INDEX(伝票元!$F$6:$F$511,$M88))</f>
        <v/>
      </c>
      <c r="I88" s="45" t="str">
        <f aca="false">IF($M88="","",INDEX(伝票元!$G$6:$G$511,$M88))</f>
        <v/>
      </c>
      <c r="J88" s="42" t="str">
        <f aca="false">IF($M88="","",INDEX(伝票元!$H$6:$H$511,$M88))</f>
        <v/>
      </c>
      <c r="K88" s="46" t="str">
        <f aca="false">IF(IF($M88="",0,INDEX(伝票元!$N$6:$N$511,$M88))=1,INDEX(伝票元!$R$6:$R$511,$M88),"")</f>
        <v/>
      </c>
      <c r="L88" s="47" t="str">
        <f aca="false">IF($M88="","",INDEX(伝票元!$S$6:$S$511,$M88))</f>
        <v/>
      </c>
      <c r="M88" s="47" t="str">
        <f aca="false">IFERROR(MATCH(82,伝票元!$O$6:$O$511,0),"")</f>
        <v/>
      </c>
    </row>
    <row r="89" customFormat="false" ht="15" hidden="false" customHeight="false" outlineLevel="0" collapsed="false">
      <c r="A89" s="10" t="str">
        <f aca="false">IF($M89="","",INDEX(伝票元!$P$6:$P$511,$M89))</f>
        <v/>
      </c>
      <c r="B89" s="45" t="str">
        <f aca="false">IF($M89="","",INDEX(伝票元!$D$6:$D$511,$M89))</f>
        <v/>
      </c>
      <c r="C89" s="10" t="str">
        <f aca="false">IF($M89="","",INDEX(伝票元!$E$6:$E$511,$M89))</f>
        <v/>
      </c>
      <c r="D89" s="45" t="str">
        <f aca="false">IF($M89="","",INDEX(伝票元!$A$6:$A$511,$M89))</f>
        <v/>
      </c>
      <c r="E89" s="10" t="str">
        <f aca="false">IF(IF($M89="",0,INDEX(伝票元!$N$6:$N$511,$M89))=1,INDEX(伝票元!$I$6:$I$511,$M89),"")</f>
        <v/>
      </c>
      <c r="F89" s="45" t="str">
        <f aca="false">IF(IF($M89="",0,INDEX(伝票元!$N$6:$N$511,$M89))=1,INDEX(伝票元!$J$6:$J$511,$M89),"")</f>
        <v/>
      </c>
      <c r="G89" s="42" t="str">
        <f aca="false">IF(IF($M89="",0,INDEX(伝票元!$N$6:$N$511,$M89))=1,INDEX(伝票元!$Q$6:$Q$511,$M89),"")</f>
        <v/>
      </c>
      <c r="H89" s="45" t="str">
        <f aca="false">IF($M89="","",INDEX(伝票元!$F$6:$F$511,$M89))</f>
        <v/>
      </c>
      <c r="I89" s="45" t="str">
        <f aca="false">IF($M89="","",INDEX(伝票元!$G$6:$G$511,$M89))</f>
        <v/>
      </c>
      <c r="J89" s="42" t="str">
        <f aca="false">IF($M89="","",INDEX(伝票元!$H$6:$H$511,$M89))</f>
        <v/>
      </c>
      <c r="K89" s="46" t="str">
        <f aca="false">IF(IF($M89="",0,INDEX(伝票元!$N$6:$N$511,$M89))=1,INDEX(伝票元!$R$6:$R$511,$M89),"")</f>
        <v/>
      </c>
      <c r="L89" s="47" t="str">
        <f aca="false">IF($M89="","",INDEX(伝票元!$S$6:$S$511,$M89))</f>
        <v/>
      </c>
      <c r="M89" s="47" t="str">
        <f aca="false">IFERROR(MATCH(83,伝票元!$O$6:$O$511,0),"")</f>
        <v/>
      </c>
    </row>
    <row r="90" customFormat="false" ht="15" hidden="false" customHeight="false" outlineLevel="0" collapsed="false">
      <c r="A90" s="10" t="str">
        <f aca="false">IF($M90="","",INDEX(伝票元!$P$6:$P$511,$M90))</f>
        <v/>
      </c>
      <c r="B90" s="45" t="str">
        <f aca="false">IF($M90="","",INDEX(伝票元!$D$6:$D$511,$M90))</f>
        <v/>
      </c>
      <c r="C90" s="10" t="str">
        <f aca="false">IF($M90="","",INDEX(伝票元!$E$6:$E$511,$M90))</f>
        <v/>
      </c>
      <c r="D90" s="45" t="str">
        <f aca="false">IF($M90="","",INDEX(伝票元!$A$6:$A$511,$M90))</f>
        <v/>
      </c>
      <c r="E90" s="10" t="str">
        <f aca="false">IF(IF($M90="",0,INDEX(伝票元!$N$6:$N$511,$M90))=1,INDEX(伝票元!$I$6:$I$511,$M90),"")</f>
        <v/>
      </c>
      <c r="F90" s="45" t="str">
        <f aca="false">IF(IF($M90="",0,INDEX(伝票元!$N$6:$N$511,$M90))=1,INDEX(伝票元!$J$6:$J$511,$M90),"")</f>
        <v/>
      </c>
      <c r="G90" s="42" t="str">
        <f aca="false">IF(IF($M90="",0,INDEX(伝票元!$N$6:$N$511,$M90))=1,INDEX(伝票元!$Q$6:$Q$511,$M90),"")</f>
        <v/>
      </c>
      <c r="H90" s="45" t="str">
        <f aca="false">IF($M90="","",INDEX(伝票元!$F$6:$F$511,$M90))</f>
        <v/>
      </c>
      <c r="I90" s="45" t="str">
        <f aca="false">IF($M90="","",INDEX(伝票元!$G$6:$G$511,$M90))</f>
        <v/>
      </c>
      <c r="J90" s="42" t="str">
        <f aca="false">IF($M90="","",INDEX(伝票元!$H$6:$H$511,$M90))</f>
        <v/>
      </c>
      <c r="K90" s="46" t="str">
        <f aca="false">IF(IF($M90="",0,INDEX(伝票元!$N$6:$N$511,$M90))=1,INDEX(伝票元!$R$6:$R$511,$M90),"")</f>
        <v/>
      </c>
      <c r="L90" s="47" t="str">
        <f aca="false">IF($M90="","",INDEX(伝票元!$S$6:$S$511,$M90))</f>
        <v/>
      </c>
      <c r="M90" s="47" t="str">
        <f aca="false">IFERROR(MATCH(84,伝票元!$O$6:$O$511,0),"")</f>
        <v/>
      </c>
    </row>
    <row r="91" customFormat="false" ht="15" hidden="false" customHeight="false" outlineLevel="0" collapsed="false">
      <c r="A91" s="10" t="str">
        <f aca="false">IF($M91="","",INDEX(伝票元!$P$6:$P$511,$M91))</f>
        <v/>
      </c>
      <c r="B91" s="45" t="str">
        <f aca="false">IF($M91="","",INDEX(伝票元!$D$6:$D$511,$M91))</f>
        <v/>
      </c>
      <c r="C91" s="10" t="str">
        <f aca="false">IF($M91="","",INDEX(伝票元!$E$6:$E$511,$M91))</f>
        <v/>
      </c>
      <c r="D91" s="45" t="str">
        <f aca="false">IF($M91="","",INDEX(伝票元!$A$6:$A$511,$M91))</f>
        <v/>
      </c>
      <c r="E91" s="10" t="str">
        <f aca="false">IF(IF($M91="",0,INDEX(伝票元!$N$6:$N$511,$M91))=1,INDEX(伝票元!$I$6:$I$511,$M91),"")</f>
        <v/>
      </c>
      <c r="F91" s="45" t="str">
        <f aca="false">IF(IF($M91="",0,INDEX(伝票元!$N$6:$N$511,$M91))=1,INDEX(伝票元!$J$6:$J$511,$M91),"")</f>
        <v/>
      </c>
      <c r="G91" s="42" t="str">
        <f aca="false">IF(IF($M91="",0,INDEX(伝票元!$N$6:$N$511,$M91))=1,INDEX(伝票元!$Q$6:$Q$511,$M91),"")</f>
        <v/>
      </c>
      <c r="H91" s="45" t="str">
        <f aca="false">IF($M91="","",INDEX(伝票元!$F$6:$F$511,$M91))</f>
        <v/>
      </c>
      <c r="I91" s="45" t="str">
        <f aca="false">IF($M91="","",INDEX(伝票元!$G$6:$G$511,$M91))</f>
        <v/>
      </c>
      <c r="J91" s="42" t="str">
        <f aca="false">IF($M91="","",INDEX(伝票元!$H$6:$H$511,$M91))</f>
        <v/>
      </c>
      <c r="K91" s="46" t="str">
        <f aca="false">IF(IF($M91="",0,INDEX(伝票元!$N$6:$N$511,$M91))=1,INDEX(伝票元!$R$6:$R$511,$M91),"")</f>
        <v/>
      </c>
      <c r="L91" s="47" t="str">
        <f aca="false">IF($M91="","",INDEX(伝票元!$S$6:$S$511,$M91))</f>
        <v/>
      </c>
      <c r="M91" s="47" t="str">
        <f aca="false">IFERROR(MATCH(85,伝票元!$O$6:$O$511,0),"")</f>
        <v/>
      </c>
    </row>
    <row r="92" customFormat="false" ht="15" hidden="false" customHeight="false" outlineLevel="0" collapsed="false">
      <c r="A92" s="10" t="str">
        <f aca="false">IF($M92="","",INDEX(伝票元!$P$6:$P$511,$M92))</f>
        <v/>
      </c>
      <c r="B92" s="45" t="str">
        <f aca="false">IF($M92="","",INDEX(伝票元!$D$6:$D$511,$M92))</f>
        <v/>
      </c>
      <c r="C92" s="10" t="str">
        <f aca="false">IF($M92="","",INDEX(伝票元!$E$6:$E$511,$M92))</f>
        <v/>
      </c>
      <c r="D92" s="45" t="str">
        <f aca="false">IF($M92="","",INDEX(伝票元!$A$6:$A$511,$M92))</f>
        <v/>
      </c>
      <c r="E92" s="10" t="str">
        <f aca="false">IF(IF($M92="",0,INDEX(伝票元!$N$6:$N$511,$M92))=1,INDEX(伝票元!$I$6:$I$511,$M92),"")</f>
        <v/>
      </c>
      <c r="F92" s="45" t="str">
        <f aca="false">IF(IF($M92="",0,INDEX(伝票元!$N$6:$N$511,$M92))=1,INDEX(伝票元!$J$6:$J$511,$M92),"")</f>
        <v/>
      </c>
      <c r="G92" s="42" t="str">
        <f aca="false">IF(IF($M92="",0,INDEX(伝票元!$N$6:$N$511,$M92))=1,INDEX(伝票元!$Q$6:$Q$511,$M92),"")</f>
        <v/>
      </c>
      <c r="H92" s="45" t="str">
        <f aca="false">IF($M92="","",INDEX(伝票元!$F$6:$F$511,$M92))</f>
        <v/>
      </c>
      <c r="I92" s="45" t="str">
        <f aca="false">IF($M92="","",INDEX(伝票元!$G$6:$G$511,$M92))</f>
        <v/>
      </c>
      <c r="J92" s="42" t="str">
        <f aca="false">IF($M92="","",INDEX(伝票元!$H$6:$H$511,$M92))</f>
        <v/>
      </c>
      <c r="K92" s="46" t="str">
        <f aca="false">IF(IF($M92="",0,INDEX(伝票元!$N$6:$N$511,$M92))=1,INDEX(伝票元!$R$6:$R$511,$M92),"")</f>
        <v/>
      </c>
      <c r="L92" s="47" t="str">
        <f aca="false">IF($M92="","",INDEX(伝票元!$S$6:$S$511,$M92))</f>
        <v/>
      </c>
      <c r="M92" s="47" t="str">
        <f aca="false">IFERROR(MATCH(86,伝票元!$O$6:$O$511,0),"")</f>
        <v/>
      </c>
    </row>
    <row r="93" customFormat="false" ht="15" hidden="false" customHeight="false" outlineLevel="0" collapsed="false">
      <c r="A93" s="10" t="str">
        <f aca="false">IF($M93="","",INDEX(伝票元!$P$6:$P$511,$M93))</f>
        <v/>
      </c>
      <c r="B93" s="45" t="str">
        <f aca="false">IF($M93="","",INDEX(伝票元!$D$6:$D$511,$M93))</f>
        <v/>
      </c>
      <c r="C93" s="10" t="str">
        <f aca="false">IF($M93="","",INDEX(伝票元!$E$6:$E$511,$M93))</f>
        <v/>
      </c>
      <c r="D93" s="45" t="str">
        <f aca="false">IF($M93="","",INDEX(伝票元!$A$6:$A$511,$M93))</f>
        <v/>
      </c>
      <c r="E93" s="10" t="str">
        <f aca="false">IF(IF($M93="",0,INDEX(伝票元!$N$6:$N$511,$M93))=1,INDEX(伝票元!$I$6:$I$511,$M93),"")</f>
        <v/>
      </c>
      <c r="F93" s="45" t="str">
        <f aca="false">IF(IF($M93="",0,INDEX(伝票元!$N$6:$N$511,$M93))=1,INDEX(伝票元!$J$6:$J$511,$M93),"")</f>
        <v/>
      </c>
      <c r="G93" s="42" t="str">
        <f aca="false">IF(IF($M93="",0,INDEX(伝票元!$N$6:$N$511,$M93))=1,INDEX(伝票元!$Q$6:$Q$511,$M93),"")</f>
        <v/>
      </c>
      <c r="H93" s="45" t="str">
        <f aca="false">IF($M93="","",INDEX(伝票元!$F$6:$F$511,$M93))</f>
        <v/>
      </c>
      <c r="I93" s="45" t="str">
        <f aca="false">IF($M93="","",INDEX(伝票元!$G$6:$G$511,$M93))</f>
        <v/>
      </c>
      <c r="J93" s="42" t="str">
        <f aca="false">IF($M93="","",INDEX(伝票元!$H$6:$H$511,$M93))</f>
        <v/>
      </c>
      <c r="K93" s="46" t="str">
        <f aca="false">IF(IF($M93="",0,INDEX(伝票元!$N$6:$N$511,$M93))=1,INDEX(伝票元!$R$6:$R$511,$M93),"")</f>
        <v/>
      </c>
      <c r="L93" s="47" t="str">
        <f aca="false">IF($M93="","",INDEX(伝票元!$S$6:$S$511,$M93))</f>
        <v/>
      </c>
      <c r="M93" s="47" t="str">
        <f aca="false">IFERROR(MATCH(87,伝票元!$O$6:$O$511,0),"")</f>
        <v/>
      </c>
    </row>
    <row r="94" customFormat="false" ht="15" hidden="false" customHeight="false" outlineLevel="0" collapsed="false">
      <c r="A94" s="10" t="str">
        <f aca="false">IF($M94="","",INDEX(伝票元!$P$6:$P$511,$M94))</f>
        <v/>
      </c>
      <c r="B94" s="45" t="str">
        <f aca="false">IF($M94="","",INDEX(伝票元!$D$6:$D$511,$M94))</f>
        <v/>
      </c>
      <c r="C94" s="10" t="str">
        <f aca="false">IF($M94="","",INDEX(伝票元!$E$6:$E$511,$M94))</f>
        <v/>
      </c>
      <c r="D94" s="45" t="str">
        <f aca="false">IF($M94="","",INDEX(伝票元!$A$6:$A$511,$M94))</f>
        <v/>
      </c>
      <c r="E94" s="10" t="str">
        <f aca="false">IF(IF($M94="",0,INDEX(伝票元!$N$6:$N$511,$M94))=1,INDEX(伝票元!$I$6:$I$511,$M94),"")</f>
        <v/>
      </c>
      <c r="F94" s="45" t="str">
        <f aca="false">IF(IF($M94="",0,INDEX(伝票元!$N$6:$N$511,$M94))=1,INDEX(伝票元!$J$6:$J$511,$M94),"")</f>
        <v/>
      </c>
      <c r="G94" s="42" t="str">
        <f aca="false">IF(IF($M94="",0,INDEX(伝票元!$N$6:$N$511,$M94))=1,INDEX(伝票元!$Q$6:$Q$511,$M94),"")</f>
        <v/>
      </c>
      <c r="H94" s="45" t="str">
        <f aca="false">IF($M94="","",INDEX(伝票元!$F$6:$F$511,$M94))</f>
        <v/>
      </c>
      <c r="I94" s="45" t="str">
        <f aca="false">IF($M94="","",INDEX(伝票元!$G$6:$G$511,$M94))</f>
        <v/>
      </c>
      <c r="J94" s="42" t="str">
        <f aca="false">IF($M94="","",INDEX(伝票元!$H$6:$H$511,$M94))</f>
        <v/>
      </c>
      <c r="K94" s="46" t="str">
        <f aca="false">IF(IF($M94="",0,INDEX(伝票元!$N$6:$N$511,$M94))=1,INDEX(伝票元!$R$6:$R$511,$M94),"")</f>
        <v/>
      </c>
      <c r="L94" s="47" t="str">
        <f aca="false">IF($M94="","",INDEX(伝票元!$S$6:$S$511,$M94))</f>
        <v/>
      </c>
      <c r="M94" s="47" t="str">
        <f aca="false">IFERROR(MATCH(88,伝票元!$O$6:$O$511,0),"")</f>
        <v/>
      </c>
    </row>
    <row r="95" customFormat="false" ht="15" hidden="false" customHeight="false" outlineLevel="0" collapsed="false">
      <c r="A95" s="10" t="str">
        <f aca="false">IF($M95="","",INDEX(伝票元!$P$6:$P$511,$M95))</f>
        <v/>
      </c>
      <c r="B95" s="45" t="str">
        <f aca="false">IF($M95="","",INDEX(伝票元!$D$6:$D$511,$M95))</f>
        <v/>
      </c>
      <c r="C95" s="10" t="str">
        <f aca="false">IF($M95="","",INDEX(伝票元!$E$6:$E$511,$M95))</f>
        <v/>
      </c>
      <c r="D95" s="45" t="str">
        <f aca="false">IF($M95="","",INDEX(伝票元!$A$6:$A$511,$M95))</f>
        <v/>
      </c>
      <c r="E95" s="10" t="str">
        <f aca="false">IF(IF($M95="",0,INDEX(伝票元!$N$6:$N$511,$M95))=1,INDEX(伝票元!$I$6:$I$511,$M95),"")</f>
        <v/>
      </c>
      <c r="F95" s="45" t="str">
        <f aca="false">IF(IF($M95="",0,INDEX(伝票元!$N$6:$N$511,$M95))=1,INDEX(伝票元!$J$6:$J$511,$M95),"")</f>
        <v/>
      </c>
      <c r="G95" s="42" t="str">
        <f aca="false">IF(IF($M95="",0,INDEX(伝票元!$N$6:$N$511,$M95))=1,INDEX(伝票元!$Q$6:$Q$511,$M95),"")</f>
        <v/>
      </c>
      <c r="H95" s="45" t="str">
        <f aca="false">IF($M95="","",INDEX(伝票元!$F$6:$F$511,$M95))</f>
        <v/>
      </c>
      <c r="I95" s="45" t="str">
        <f aca="false">IF($M95="","",INDEX(伝票元!$G$6:$G$511,$M95))</f>
        <v/>
      </c>
      <c r="J95" s="42" t="str">
        <f aca="false">IF($M95="","",INDEX(伝票元!$H$6:$H$511,$M95))</f>
        <v/>
      </c>
      <c r="K95" s="46" t="str">
        <f aca="false">IF(IF($M95="",0,INDEX(伝票元!$N$6:$N$511,$M95))=1,INDEX(伝票元!$R$6:$R$511,$M95),"")</f>
        <v/>
      </c>
      <c r="L95" s="47" t="str">
        <f aca="false">IF($M95="","",INDEX(伝票元!$S$6:$S$511,$M95))</f>
        <v/>
      </c>
      <c r="M95" s="47" t="str">
        <f aca="false">IFERROR(MATCH(89,伝票元!$O$6:$O$511,0),"")</f>
        <v/>
      </c>
    </row>
    <row r="96" customFormat="false" ht="15" hidden="false" customHeight="false" outlineLevel="0" collapsed="false">
      <c r="A96" s="10" t="str">
        <f aca="false">IF($M96="","",INDEX(伝票元!$P$6:$P$511,$M96))</f>
        <v/>
      </c>
      <c r="B96" s="45" t="str">
        <f aca="false">IF($M96="","",INDEX(伝票元!$D$6:$D$511,$M96))</f>
        <v/>
      </c>
      <c r="C96" s="10" t="str">
        <f aca="false">IF($M96="","",INDEX(伝票元!$E$6:$E$511,$M96))</f>
        <v/>
      </c>
      <c r="D96" s="45" t="str">
        <f aca="false">IF($M96="","",INDEX(伝票元!$A$6:$A$511,$M96))</f>
        <v/>
      </c>
      <c r="E96" s="10" t="str">
        <f aca="false">IF(IF($M96="",0,INDEX(伝票元!$N$6:$N$511,$M96))=1,INDEX(伝票元!$I$6:$I$511,$M96),"")</f>
        <v/>
      </c>
      <c r="F96" s="45" t="str">
        <f aca="false">IF(IF($M96="",0,INDEX(伝票元!$N$6:$N$511,$M96))=1,INDEX(伝票元!$J$6:$J$511,$M96),"")</f>
        <v/>
      </c>
      <c r="G96" s="42" t="str">
        <f aca="false">IF(IF($M96="",0,INDEX(伝票元!$N$6:$N$511,$M96))=1,INDEX(伝票元!$Q$6:$Q$511,$M96),"")</f>
        <v/>
      </c>
      <c r="H96" s="45" t="str">
        <f aca="false">IF($M96="","",INDEX(伝票元!$F$6:$F$511,$M96))</f>
        <v/>
      </c>
      <c r="I96" s="45" t="str">
        <f aca="false">IF($M96="","",INDEX(伝票元!$G$6:$G$511,$M96))</f>
        <v/>
      </c>
      <c r="J96" s="42" t="str">
        <f aca="false">IF($M96="","",INDEX(伝票元!$H$6:$H$511,$M96))</f>
        <v/>
      </c>
      <c r="K96" s="46" t="str">
        <f aca="false">IF(IF($M96="",0,INDEX(伝票元!$N$6:$N$511,$M96))=1,INDEX(伝票元!$R$6:$R$511,$M96),"")</f>
        <v/>
      </c>
      <c r="L96" s="47" t="str">
        <f aca="false">IF($M96="","",INDEX(伝票元!$S$6:$S$511,$M96))</f>
        <v/>
      </c>
      <c r="M96" s="47" t="str">
        <f aca="false">IFERROR(MATCH(90,伝票元!$O$6:$O$511,0),"")</f>
        <v/>
      </c>
    </row>
    <row r="97" customFormat="false" ht="15" hidden="false" customHeight="false" outlineLevel="0" collapsed="false">
      <c r="A97" s="10" t="str">
        <f aca="false">IF($M97="","",INDEX(伝票元!$P$6:$P$511,$M97))</f>
        <v/>
      </c>
      <c r="B97" s="45" t="str">
        <f aca="false">IF($M97="","",INDEX(伝票元!$D$6:$D$511,$M97))</f>
        <v/>
      </c>
      <c r="C97" s="10" t="str">
        <f aca="false">IF($M97="","",INDEX(伝票元!$E$6:$E$511,$M97))</f>
        <v/>
      </c>
      <c r="D97" s="45" t="str">
        <f aca="false">IF($M97="","",INDEX(伝票元!$A$6:$A$511,$M97))</f>
        <v/>
      </c>
      <c r="E97" s="10" t="str">
        <f aca="false">IF(IF($M97="",0,INDEX(伝票元!$N$6:$N$511,$M97))=1,INDEX(伝票元!$I$6:$I$511,$M97),"")</f>
        <v/>
      </c>
      <c r="F97" s="45" t="str">
        <f aca="false">IF(IF($M97="",0,INDEX(伝票元!$N$6:$N$511,$M97))=1,INDEX(伝票元!$J$6:$J$511,$M97),"")</f>
        <v/>
      </c>
      <c r="G97" s="42" t="str">
        <f aca="false">IF(IF($M97="",0,INDEX(伝票元!$N$6:$N$511,$M97))=1,INDEX(伝票元!$Q$6:$Q$511,$M97),"")</f>
        <v/>
      </c>
      <c r="H97" s="45" t="str">
        <f aca="false">IF($M97="","",INDEX(伝票元!$F$6:$F$511,$M97))</f>
        <v/>
      </c>
      <c r="I97" s="45" t="str">
        <f aca="false">IF($M97="","",INDEX(伝票元!$G$6:$G$511,$M97))</f>
        <v/>
      </c>
      <c r="J97" s="42" t="str">
        <f aca="false">IF($M97="","",INDEX(伝票元!$H$6:$H$511,$M97))</f>
        <v/>
      </c>
      <c r="K97" s="46" t="str">
        <f aca="false">IF(IF($M97="",0,INDEX(伝票元!$N$6:$N$511,$M97))=1,INDEX(伝票元!$R$6:$R$511,$M97),"")</f>
        <v/>
      </c>
      <c r="L97" s="47" t="str">
        <f aca="false">IF($M97="","",INDEX(伝票元!$S$6:$S$511,$M97))</f>
        <v/>
      </c>
      <c r="M97" s="47" t="str">
        <f aca="false">IFERROR(MATCH(91,伝票元!$O$6:$O$511,0),"")</f>
        <v/>
      </c>
    </row>
    <row r="98" customFormat="false" ht="15" hidden="false" customHeight="false" outlineLevel="0" collapsed="false">
      <c r="A98" s="10" t="str">
        <f aca="false">IF($M98="","",INDEX(伝票元!$P$6:$P$511,$M98))</f>
        <v/>
      </c>
      <c r="B98" s="45" t="str">
        <f aca="false">IF($M98="","",INDEX(伝票元!$D$6:$D$511,$M98))</f>
        <v/>
      </c>
      <c r="C98" s="10" t="str">
        <f aca="false">IF($M98="","",INDEX(伝票元!$E$6:$E$511,$M98))</f>
        <v/>
      </c>
      <c r="D98" s="45" t="str">
        <f aca="false">IF($M98="","",INDEX(伝票元!$A$6:$A$511,$M98))</f>
        <v/>
      </c>
      <c r="E98" s="10" t="str">
        <f aca="false">IF(IF($M98="",0,INDEX(伝票元!$N$6:$N$511,$M98))=1,INDEX(伝票元!$I$6:$I$511,$M98),"")</f>
        <v/>
      </c>
      <c r="F98" s="45" t="str">
        <f aca="false">IF(IF($M98="",0,INDEX(伝票元!$N$6:$N$511,$M98))=1,INDEX(伝票元!$J$6:$J$511,$M98),"")</f>
        <v/>
      </c>
      <c r="G98" s="42" t="str">
        <f aca="false">IF(IF($M98="",0,INDEX(伝票元!$N$6:$N$511,$M98))=1,INDEX(伝票元!$Q$6:$Q$511,$M98),"")</f>
        <v/>
      </c>
      <c r="H98" s="45" t="str">
        <f aca="false">IF($M98="","",INDEX(伝票元!$F$6:$F$511,$M98))</f>
        <v/>
      </c>
      <c r="I98" s="45" t="str">
        <f aca="false">IF($M98="","",INDEX(伝票元!$G$6:$G$511,$M98))</f>
        <v/>
      </c>
      <c r="J98" s="42" t="str">
        <f aca="false">IF($M98="","",INDEX(伝票元!$H$6:$H$511,$M98))</f>
        <v/>
      </c>
      <c r="K98" s="46" t="str">
        <f aca="false">IF(IF($M98="",0,INDEX(伝票元!$N$6:$N$511,$M98))=1,INDEX(伝票元!$R$6:$R$511,$M98),"")</f>
        <v/>
      </c>
      <c r="L98" s="47" t="str">
        <f aca="false">IF($M98="","",INDEX(伝票元!$S$6:$S$511,$M98))</f>
        <v/>
      </c>
      <c r="M98" s="47" t="str">
        <f aca="false">IFERROR(MATCH(92,伝票元!$O$6:$O$511,0),"")</f>
        <v/>
      </c>
    </row>
    <row r="99" customFormat="false" ht="15" hidden="false" customHeight="false" outlineLevel="0" collapsed="false">
      <c r="A99" s="10" t="str">
        <f aca="false">IF($M99="","",INDEX(伝票元!$P$6:$P$511,$M99))</f>
        <v/>
      </c>
      <c r="B99" s="45" t="str">
        <f aca="false">IF($M99="","",INDEX(伝票元!$D$6:$D$511,$M99))</f>
        <v/>
      </c>
      <c r="C99" s="10" t="str">
        <f aca="false">IF($M99="","",INDEX(伝票元!$E$6:$E$511,$M99))</f>
        <v/>
      </c>
      <c r="D99" s="45" t="str">
        <f aca="false">IF($M99="","",INDEX(伝票元!$A$6:$A$511,$M99))</f>
        <v/>
      </c>
      <c r="E99" s="10" t="str">
        <f aca="false">IF(IF($M99="",0,INDEX(伝票元!$N$6:$N$511,$M99))=1,INDEX(伝票元!$I$6:$I$511,$M99),"")</f>
        <v/>
      </c>
      <c r="F99" s="45" t="str">
        <f aca="false">IF(IF($M99="",0,INDEX(伝票元!$N$6:$N$511,$M99))=1,INDEX(伝票元!$J$6:$J$511,$M99),"")</f>
        <v/>
      </c>
      <c r="G99" s="42" t="str">
        <f aca="false">IF(IF($M99="",0,INDEX(伝票元!$N$6:$N$511,$M99))=1,INDEX(伝票元!$Q$6:$Q$511,$M99),"")</f>
        <v/>
      </c>
      <c r="H99" s="45" t="str">
        <f aca="false">IF($M99="","",INDEX(伝票元!$F$6:$F$511,$M99))</f>
        <v/>
      </c>
      <c r="I99" s="45" t="str">
        <f aca="false">IF($M99="","",INDEX(伝票元!$G$6:$G$511,$M99))</f>
        <v/>
      </c>
      <c r="J99" s="42" t="str">
        <f aca="false">IF($M99="","",INDEX(伝票元!$H$6:$H$511,$M99))</f>
        <v/>
      </c>
      <c r="K99" s="46" t="str">
        <f aca="false">IF(IF($M99="",0,INDEX(伝票元!$N$6:$N$511,$M99))=1,INDEX(伝票元!$R$6:$R$511,$M99),"")</f>
        <v/>
      </c>
      <c r="L99" s="47" t="str">
        <f aca="false">IF($M99="","",INDEX(伝票元!$S$6:$S$511,$M99))</f>
        <v/>
      </c>
      <c r="M99" s="47" t="str">
        <f aca="false">IFERROR(MATCH(93,伝票元!$O$6:$O$511,0),"")</f>
        <v/>
      </c>
    </row>
    <row r="100" customFormat="false" ht="15" hidden="false" customHeight="false" outlineLevel="0" collapsed="false">
      <c r="A100" s="10" t="str">
        <f aca="false">IF($M100="","",INDEX(伝票元!$P$6:$P$511,$M100))</f>
        <v/>
      </c>
      <c r="B100" s="45" t="str">
        <f aca="false">IF($M100="","",INDEX(伝票元!$D$6:$D$511,$M100))</f>
        <v/>
      </c>
      <c r="C100" s="10" t="str">
        <f aca="false">IF($M100="","",INDEX(伝票元!$E$6:$E$511,$M100))</f>
        <v/>
      </c>
      <c r="D100" s="45" t="str">
        <f aca="false">IF($M100="","",INDEX(伝票元!$A$6:$A$511,$M100))</f>
        <v/>
      </c>
      <c r="E100" s="10" t="str">
        <f aca="false">IF(IF($M100="",0,INDEX(伝票元!$N$6:$N$511,$M100))=1,INDEX(伝票元!$I$6:$I$511,$M100),"")</f>
        <v/>
      </c>
      <c r="F100" s="45" t="str">
        <f aca="false">IF(IF($M100="",0,INDEX(伝票元!$N$6:$N$511,$M100))=1,INDEX(伝票元!$J$6:$J$511,$M100),"")</f>
        <v/>
      </c>
      <c r="G100" s="42" t="str">
        <f aca="false">IF(IF($M100="",0,INDEX(伝票元!$N$6:$N$511,$M100))=1,INDEX(伝票元!$Q$6:$Q$511,$M100),"")</f>
        <v/>
      </c>
      <c r="H100" s="45" t="str">
        <f aca="false">IF($M100="","",INDEX(伝票元!$F$6:$F$511,$M100))</f>
        <v/>
      </c>
      <c r="I100" s="45" t="str">
        <f aca="false">IF($M100="","",INDEX(伝票元!$G$6:$G$511,$M100))</f>
        <v/>
      </c>
      <c r="J100" s="42" t="str">
        <f aca="false">IF($M100="","",INDEX(伝票元!$H$6:$H$511,$M100))</f>
        <v/>
      </c>
      <c r="K100" s="46" t="str">
        <f aca="false">IF(IF($M100="",0,INDEX(伝票元!$N$6:$N$511,$M100))=1,INDEX(伝票元!$R$6:$R$511,$M100),"")</f>
        <v/>
      </c>
      <c r="L100" s="47" t="str">
        <f aca="false">IF($M100="","",INDEX(伝票元!$S$6:$S$511,$M100))</f>
        <v/>
      </c>
      <c r="M100" s="47" t="str">
        <f aca="false">IFERROR(MATCH(94,伝票元!$O$6:$O$511,0),"")</f>
        <v/>
      </c>
    </row>
    <row r="101" customFormat="false" ht="15" hidden="false" customHeight="false" outlineLevel="0" collapsed="false">
      <c r="A101" s="10" t="str">
        <f aca="false">IF($M101="","",INDEX(伝票元!$P$6:$P$511,$M101))</f>
        <v/>
      </c>
      <c r="B101" s="45" t="str">
        <f aca="false">IF($M101="","",INDEX(伝票元!$D$6:$D$511,$M101))</f>
        <v/>
      </c>
      <c r="C101" s="10" t="str">
        <f aca="false">IF($M101="","",INDEX(伝票元!$E$6:$E$511,$M101))</f>
        <v/>
      </c>
      <c r="D101" s="45" t="str">
        <f aca="false">IF($M101="","",INDEX(伝票元!$A$6:$A$511,$M101))</f>
        <v/>
      </c>
      <c r="E101" s="10" t="str">
        <f aca="false">IF(IF($M101="",0,INDEX(伝票元!$N$6:$N$511,$M101))=1,INDEX(伝票元!$I$6:$I$511,$M101),"")</f>
        <v/>
      </c>
      <c r="F101" s="45" t="str">
        <f aca="false">IF(IF($M101="",0,INDEX(伝票元!$N$6:$N$511,$M101))=1,INDEX(伝票元!$J$6:$J$511,$M101),"")</f>
        <v/>
      </c>
      <c r="G101" s="42" t="str">
        <f aca="false">IF(IF($M101="",0,INDEX(伝票元!$N$6:$N$511,$M101))=1,INDEX(伝票元!$Q$6:$Q$511,$M101),"")</f>
        <v/>
      </c>
      <c r="H101" s="45" t="str">
        <f aca="false">IF($M101="","",INDEX(伝票元!$F$6:$F$511,$M101))</f>
        <v/>
      </c>
      <c r="I101" s="45" t="str">
        <f aca="false">IF($M101="","",INDEX(伝票元!$G$6:$G$511,$M101))</f>
        <v/>
      </c>
      <c r="J101" s="42" t="str">
        <f aca="false">IF($M101="","",INDEX(伝票元!$H$6:$H$511,$M101))</f>
        <v/>
      </c>
      <c r="K101" s="46" t="str">
        <f aca="false">IF(IF($M101="",0,INDEX(伝票元!$N$6:$N$511,$M101))=1,INDEX(伝票元!$R$6:$R$511,$M101),"")</f>
        <v/>
      </c>
      <c r="L101" s="47" t="str">
        <f aca="false">IF($M101="","",INDEX(伝票元!$S$6:$S$511,$M101))</f>
        <v/>
      </c>
      <c r="M101" s="47" t="str">
        <f aca="false">IFERROR(MATCH(95,伝票元!$O$6:$O$511,0),"")</f>
        <v/>
      </c>
    </row>
    <row r="102" customFormat="false" ht="15" hidden="false" customHeight="false" outlineLevel="0" collapsed="false">
      <c r="A102" s="10" t="str">
        <f aca="false">IF($M102="","",INDEX(伝票元!$P$6:$P$511,$M102))</f>
        <v/>
      </c>
      <c r="B102" s="45" t="str">
        <f aca="false">IF($M102="","",INDEX(伝票元!$D$6:$D$511,$M102))</f>
        <v/>
      </c>
      <c r="C102" s="10" t="str">
        <f aca="false">IF($M102="","",INDEX(伝票元!$E$6:$E$511,$M102))</f>
        <v/>
      </c>
      <c r="D102" s="45" t="str">
        <f aca="false">IF($M102="","",INDEX(伝票元!$A$6:$A$511,$M102))</f>
        <v/>
      </c>
      <c r="E102" s="10" t="str">
        <f aca="false">IF(IF($M102="",0,INDEX(伝票元!$N$6:$N$511,$M102))=1,INDEX(伝票元!$I$6:$I$511,$M102),"")</f>
        <v/>
      </c>
      <c r="F102" s="45" t="str">
        <f aca="false">IF(IF($M102="",0,INDEX(伝票元!$N$6:$N$511,$M102))=1,INDEX(伝票元!$J$6:$J$511,$M102),"")</f>
        <v/>
      </c>
      <c r="G102" s="42" t="str">
        <f aca="false">IF(IF($M102="",0,INDEX(伝票元!$N$6:$N$511,$M102))=1,INDEX(伝票元!$Q$6:$Q$511,$M102),"")</f>
        <v/>
      </c>
      <c r="H102" s="45" t="str">
        <f aca="false">IF($M102="","",INDEX(伝票元!$F$6:$F$511,$M102))</f>
        <v/>
      </c>
      <c r="I102" s="45" t="str">
        <f aca="false">IF($M102="","",INDEX(伝票元!$G$6:$G$511,$M102))</f>
        <v/>
      </c>
      <c r="J102" s="42" t="str">
        <f aca="false">IF($M102="","",INDEX(伝票元!$H$6:$H$511,$M102))</f>
        <v/>
      </c>
      <c r="K102" s="46" t="str">
        <f aca="false">IF(IF($M102="",0,INDEX(伝票元!$N$6:$N$511,$M102))=1,INDEX(伝票元!$R$6:$R$511,$M102),"")</f>
        <v/>
      </c>
      <c r="L102" s="47" t="str">
        <f aca="false">IF($M102="","",INDEX(伝票元!$S$6:$S$511,$M102))</f>
        <v/>
      </c>
      <c r="M102" s="47" t="str">
        <f aca="false">IFERROR(MATCH(96,伝票元!$O$6:$O$511,0),"")</f>
        <v/>
      </c>
    </row>
    <row r="103" customFormat="false" ht="15" hidden="false" customHeight="false" outlineLevel="0" collapsed="false">
      <c r="A103" s="10" t="str">
        <f aca="false">IF($M103="","",INDEX(伝票元!$P$6:$P$511,$M103))</f>
        <v/>
      </c>
      <c r="B103" s="45" t="str">
        <f aca="false">IF($M103="","",INDEX(伝票元!$D$6:$D$511,$M103))</f>
        <v/>
      </c>
      <c r="C103" s="10" t="str">
        <f aca="false">IF($M103="","",INDEX(伝票元!$E$6:$E$511,$M103))</f>
        <v/>
      </c>
      <c r="D103" s="45" t="str">
        <f aca="false">IF($M103="","",INDEX(伝票元!$A$6:$A$511,$M103))</f>
        <v/>
      </c>
      <c r="E103" s="10" t="str">
        <f aca="false">IF(IF($M103="",0,INDEX(伝票元!$N$6:$N$511,$M103))=1,INDEX(伝票元!$I$6:$I$511,$M103),"")</f>
        <v/>
      </c>
      <c r="F103" s="45" t="str">
        <f aca="false">IF(IF($M103="",0,INDEX(伝票元!$N$6:$N$511,$M103))=1,INDEX(伝票元!$J$6:$J$511,$M103),"")</f>
        <v/>
      </c>
      <c r="G103" s="42" t="str">
        <f aca="false">IF(IF($M103="",0,INDEX(伝票元!$N$6:$N$511,$M103))=1,INDEX(伝票元!$Q$6:$Q$511,$M103),"")</f>
        <v/>
      </c>
      <c r="H103" s="45" t="str">
        <f aca="false">IF($M103="","",INDEX(伝票元!$F$6:$F$511,$M103))</f>
        <v/>
      </c>
      <c r="I103" s="45" t="str">
        <f aca="false">IF($M103="","",INDEX(伝票元!$G$6:$G$511,$M103))</f>
        <v/>
      </c>
      <c r="J103" s="42" t="str">
        <f aca="false">IF($M103="","",INDEX(伝票元!$H$6:$H$511,$M103))</f>
        <v/>
      </c>
      <c r="K103" s="46" t="str">
        <f aca="false">IF(IF($M103="",0,INDEX(伝票元!$N$6:$N$511,$M103))=1,INDEX(伝票元!$R$6:$R$511,$M103),"")</f>
        <v/>
      </c>
      <c r="L103" s="47" t="str">
        <f aca="false">IF($M103="","",INDEX(伝票元!$S$6:$S$511,$M103))</f>
        <v/>
      </c>
      <c r="M103" s="47" t="str">
        <f aca="false">IFERROR(MATCH(97,伝票元!$O$6:$O$511,0),"")</f>
        <v/>
      </c>
    </row>
    <row r="104" customFormat="false" ht="15" hidden="false" customHeight="false" outlineLevel="0" collapsed="false">
      <c r="A104" s="10" t="str">
        <f aca="false">IF($M104="","",INDEX(伝票元!$P$6:$P$511,$M104))</f>
        <v/>
      </c>
      <c r="B104" s="45" t="str">
        <f aca="false">IF($M104="","",INDEX(伝票元!$D$6:$D$511,$M104))</f>
        <v/>
      </c>
      <c r="C104" s="10" t="str">
        <f aca="false">IF($M104="","",INDEX(伝票元!$E$6:$E$511,$M104))</f>
        <v/>
      </c>
      <c r="D104" s="45" t="str">
        <f aca="false">IF($M104="","",INDEX(伝票元!$A$6:$A$511,$M104))</f>
        <v/>
      </c>
      <c r="E104" s="10" t="str">
        <f aca="false">IF(IF($M104="",0,INDEX(伝票元!$N$6:$N$511,$M104))=1,INDEX(伝票元!$I$6:$I$511,$M104),"")</f>
        <v/>
      </c>
      <c r="F104" s="45" t="str">
        <f aca="false">IF(IF($M104="",0,INDEX(伝票元!$N$6:$N$511,$M104))=1,INDEX(伝票元!$J$6:$J$511,$M104),"")</f>
        <v/>
      </c>
      <c r="G104" s="42" t="str">
        <f aca="false">IF(IF($M104="",0,INDEX(伝票元!$N$6:$N$511,$M104))=1,INDEX(伝票元!$Q$6:$Q$511,$M104),"")</f>
        <v/>
      </c>
      <c r="H104" s="45" t="str">
        <f aca="false">IF($M104="","",INDEX(伝票元!$F$6:$F$511,$M104))</f>
        <v/>
      </c>
      <c r="I104" s="45" t="str">
        <f aca="false">IF($M104="","",INDEX(伝票元!$G$6:$G$511,$M104))</f>
        <v/>
      </c>
      <c r="J104" s="42" t="str">
        <f aca="false">IF($M104="","",INDEX(伝票元!$H$6:$H$511,$M104))</f>
        <v/>
      </c>
      <c r="K104" s="46" t="str">
        <f aca="false">IF(IF($M104="",0,INDEX(伝票元!$N$6:$N$511,$M104))=1,INDEX(伝票元!$R$6:$R$511,$M104),"")</f>
        <v/>
      </c>
      <c r="L104" s="47" t="str">
        <f aca="false">IF($M104="","",INDEX(伝票元!$S$6:$S$511,$M104))</f>
        <v/>
      </c>
      <c r="M104" s="47" t="str">
        <f aca="false">IFERROR(MATCH(98,伝票元!$O$6:$O$511,0),"")</f>
        <v/>
      </c>
    </row>
    <row r="105" customFormat="false" ht="15" hidden="false" customHeight="false" outlineLevel="0" collapsed="false">
      <c r="A105" s="10" t="str">
        <f aca="false">IF($M105="","",INDEX(伝票元!$P$6:$P$511,$M105))</f>
        <v/>
      </c>
      <c r="B105" s="45" t="str">
        <f aca="false">IF($M105="","",INDEX(伝票元!$D$6:$D$511,$M105))</f>
        <v/>
      </c>
      <c r="C105" s="10" t="str">
        <f aca="false">IF($M105="","",INDEX(伝票元!$E$6:$E$511,$M105))</f>
        <v/>
      </c>
      <c r="D105" s="45" t="str">
        <f aca="false">IF($M105="","",INDEX(伝票元!$A$6:$A$511,$M105))</f>
        <v/>
      </c>
      <c r="E105" s="10" t="str">
        <f aca="false">IF(IF($M105="",0,INDEX(伝票元!$N$6:$N$511,$M105))=1,INDEX(伝票元!$I$6:$I$511,$M105),"")</f>
        <v/>
      </c>
      <c r="F105" s="45" t="str">
        <f aca="false">IF(IF($M105="",0,INDEX(伝票元!$N$6:$N$511,$M105))=1,INDEX(伝票元!$J$6:$J$511,$M105),"")</f>
        <v/>
      </c>
      <c r="G105" s="42" t="str">
        <f aca="false">IF(IF($M105="",0,INDEX(伝票元!$N$6:$N$511,$M105))=1,INDEX(伝票元!$Q$6:$Q$511,$M105),"")</f>
        <v/>
      </c>
      <c r="H105" s="45" t="str">
        <f aca="false">IF($M105="","",INDEX(伝票元!$F$6:$F$511,$M105))</f>
        <v/>
      </c>
      <c r="I105" s="45" t="str">
        <f aca="false">IF($M105="","",INDEX(伝票元!$G$6:$G$511,$M105))</f>
        <v/>
      </c>
      <c r="J105" s="42" t="str">
        <f aca="false">IF($M105="","",INDEX(伝票元!$H$6:$H$511,$M105))</f>
        <v/>
      </c>
      <c r="K105" s="46" t="str">
        <f aca="false">IF(IF($M105="",0,INDEX(伝票元!$N$6:$N$511,$M105))=1,INDEX(伝票元!$R$6:$R$511,$M105),"")</f>
        <v/>
      </c>
      <c r="L105" s="47" t="str">
        <f aca="false">IF($M105="","",INDEX(伝票元!$S$6:$S$511,$M105))</f>
        <v/>
      </c>
      <c r="M105" s="47" t="str">
        <f aca="false">IFERROR(MATCH(99,伝票元!$O$6:$O$511,0),"")</f>
        <v/>
      </c>
    </row>
    <row r="106" customFormat="false" ht="15" hidden="false" customHeight="false" outlineLevel="0" collapsed="false">
      <c r="A106" s="10" t="str">
        <f aca="false">IF($M106="","",INDEX(伝票元!$P$6:$P$511,$M106))</f>
        <v/>
      </c>
      <c r="B106" s="45" t="str">
        <f aca="false">IF($M106="","",INDEX(伝票元!$D$6:$D$511,$M106))</f>
        <v/>
      </c>
      <c r="C106" s="10" t="str">
        <f aca="false">IF($M106="","",INDEX(伝票元!$E$6:$E$511,$M106))</f>
        <v/>
      </c>
      <c r="D106" s="45" t="str">
        <f aca="false">IF($M106="","",INDEX(伝票元!$A$6:$A$511,$M106))</f>
        <v/>
      </c>
      <c r="E106" s="10" t="str">
        <f aca="false">IF(IF($M106="",0,INDEX(伝票元!$N$6:$N$511,$M106))=1,INDEX(伝票元!$I$6:$I$511,$M106),"")</f>
        <v/>
      </c>
      <c r="F106" s="45" t="str">
        <f aca="false">IF(IF($M106="",0,INDEX(伝票元!$N$6:$N$511,$M106))=1,INDEX(伝票元!$J$6:$J$511,$M106),"")</f>
        <v/>
      </c>
      <c r="G106" s="42" t="str">
        <f aca="false">IF(IF($M106="",0,INDEX(伝票元!$N$6:$N$511,$M106))=1,INDEX(伝票元!$Q$6:$Q$511,$M106),"")</f>
        <v/>
      </c>
      <c r="H106" s="45" t="str">
        <f aca="false">IF($M106="","",INDEX(伝票元!$F$6:$F$511,$M106))</f>
        <v/>
      </c>
      <c r="I106" s="45" t="str">
        <f aca="false">IF($M106="","",INDEX(伝票元!$G$6:$G$511,$M106))</f>
        <v/>
      </c>
      <c r="J106" s="42" t="str">
        <f aca="false">IF($M106="","",INDEX(伝票元!$H$6:$H$511,$M106))</f>
        <v/>
      </c>
      <c r="K106" s="46" t="str">
        <f aca="false">IF(IF($M106="",0,INDEX(伝票元!$N$6:$N$511,$M106))=1,INDEX(伝票元!$R$6:$R$511,$M106),"")</f>
        <v/>
      </c>
      <c r="L106" s="47" t="str">
        <f aca="false">IF($M106="","",INDEX(伝票元!$S$6:$S$511,$M106))</f>
        <v/>
      </c>
      <c r="M106" s="47" t="str">
        <f aca="false">IFERROR(MATCH(100,伝票元!$O$6:$O$511,0),"")</f>
        <v/>
      </c>
    </row>
    <row r="107" customFormat="false" ht="15" hidden="false" customHeight="false" outlineLevel="0" collapsed="false">
      <c r="A107" s="10" t="str">
        <f aca="false">IF($M107="","",INDEX(伝票元!$P$6:$P$511,$M107))</f>
        <v/>
      </c>
      <c r="B107" s="45" t="str">
        <f aca="false">IF($M107="","",INDEX(伝票元!$D$6:$D$511,$M107))</f>
        <v/>
      </c>
      <c r="C107" s="10" t="str">
        <f aca="false">IF($M107="","",INDEX(伝票元!$E$6:$E$511,$M107))</f>
        <v/>
      </c>
      <c r="D107" s="45" t="str">
        <f aca="false">IF($M107="","",INDEX(伝票元!$A$6:$A$511,$M107))</f>
        <v/>
      </c>
      <c r="E107" s="10" t="str">
        <f aca="false">IF(IF($M107="",0,INDEX(伝票元!$N$6:$N$511,$M107))=1,INDEX(伝票元!$I$6:$I$511,$M107),"")</f>
        <v/>
      </c>
      <c r="F107" s="45" t="str">
        <f aca="false">IF(IF($M107="",0,INDEX(伝票元!$N$6:$N$511,$M107))=1,INDEX(伝票元!$J$6:$J$511,$M107),"")</f>
        <v/>
      </c>
      <c r="G107" s="42" t="str">
        <f aca="false">IF(IF($M107="",0,INDEX(伝票元!$N$6:$N$511,$M107))=1,INDEX(伝票元!$Q$6:$Q$511,$M107),"")</f>
        <v/>
      </c>
      <c r="H107" s="45" t="str">
        <f aca="false">IF($M107="","",INDEX(伝票元!$F$6:$F$511,$M107))</f>
        <v/>
      </c>
      <c r="I107" s="45" t="str">
        <f aca="false">IF($M107="","",INDEX(伝票元!$G$6:$G$511,$M107))</f>
        <v/>
      </c>
      <c r="J107" s="42" t="str">
        <f aca="false">IF($M107="","",INDEX(伝票元!$H$6:$H$511,$M107))</f>
        <v/>
      </c>
      <c r="K107" s="46" t="str">
        <f aca="false">IF(IF($M107="",0,INDEX(伝票元!$N$6:$N$511,$M107))=1,INDEX(伝票元!$R$6:$R$511,$M107),"")</f>
        <v/>
      </c>
      <c r="L107" s="47" t="str">
        <f aca="false">IF($M107="","",INDEX(伝票元!$S$6:$S$511,$M107))</f>
        <v/>
      </c>
      <c r="M107" s="47" t="str">
        <f aca="false">IFERROR(MATCH(101,伝票元!$O$6:$O$511,0),"")</f>
        <v/>
      </c>
    </row>
    <row r="108" customFormat="false" ht="15" hidden="false" customHeight="false" outlineLevel="0" collapsed="false">
      <c r="A108" s="10" t="str">
        <f aca="false">IF($M108="","",INDEX(伝票元!$P$6:$P$511,$M108))</f>
        <v/>
      </c>
      <c r="B108" s="45" t="str">
        <f aca="false">IF($M108="","",INDEX(伝票元!$D$6:$D$511,$M108))</f>
        <v/>
      </c>
      <c r="C108" s="10" t="str">
        <f aca="false">IF($M108="","",INDEX(伝票元!$E$6:$E$511,$M108))</f>
        <v/>
      </c>
      <c r="D108" s="45" t="str">
        <f aca="false">IF($M108="","",INDEX(伝票元!$A$6:$A$511,$M108))</f>
        <v/>
      </c>
      <c r="E108" s="10" t="str">
        <f aca="false">IF(IF($M108="",0,INDEX(伝票元!$N$6:$N$511,$M108))=1,INDEX(伝票元!$I$6:$I$511,$M108),"")</f>
        <v/>
      </c>
      <c r="F108" s="45" t="str">
        <f aca="false">IF(IF($M108="",0,INDEX(伝票元!$N$6:$N$511,$M108))=1,INDEX(伝票元!$J$6:$J$511,$M108),"")</f>
        <v/>
      </c>
      <c r="G108" s="42" t="str">
        <f aca="false">IF(IF($M108="",0,INDEX(伝票元!$N$6:$N$511,$M108))=1,INDEX(伝票元!$Q$6:$Q$511,$M108),"")</f>
        <v/>
      </c>
      <c r="H108" s="45" t="str">
        <f aca="false">IF($M108="","",INDEX(伝票元!$F$6:$F$511,$M108))</f>
        <v/>
      </c>
      <c r="I108" s="45" t="str">
        <f aca="false">IF($M108="","",INDEX(伝票元!$G$6:$G$511,$M108))</f>
        <v/>
      </c>
      <c r="J108" s="42" t="str">
        <f aca="false">IF($M108="","",INDEX(伝票元!$H$6:$H$511,$M108))</f>
        <v/>
      </c>
      <c r="K108" s="46" t="str">
        <f aca="false">IF(IF($M108="",0,INDEX(伝票元!$N$6:$N$511,$M108))=1,INDEX(伝票元!$R$6:$R$511,$M108),"")</f>
        <v/>
      </c>
      <c r="L108" s="47" t="str">
        <f aca="false">IF($M108="","",INDEX(伝票元!$S$6:$S$511,$M108))</f>
        <v/>
      </c>
      <c r="M108" s="47" t="str">
        <f aca="false">IFERROR(MATCH(102,伝票元!$O$6:$O$511,0),"")</f>
        <v/>
      </c>
    </row>
    <row r="109" customFormat="false" ht="15" hidden="false" customHeight="false" outlineLevel="0" collapsed="false">
      <c r="A109" s="10" t="str">
        <f aca="false">IF($M109="","",INDEX(伝票元!$P$6:$P$511,$M109))</f>
        <v/>
      </c>
      <c r="B109" s="45" t="str">
        <f aca="false">IF($M109="","",INDEX(伝票元!$D$6:$D$511,$M109))</f>
        <v/>
      </c>
      <c r="C109" s="10" t="str">
        <f aca="false">IF($M109="","",INDEX(伝票元!$E$6:$E$511,$M109))</f>
        <v/>
      </c>
      <c r="D109" s="45" t="str">
        <f aca="false">IF($M109="","",INDEX(伝票元!$A$6:$A$511,$M109))</f>
        <v/>
      </c>
      <c r="E109" s="10" t="str">
        <f aca="false">IF(IF($M109="",0,INDEX(伝票元!$N$6:$N$511,$M109))=1,INDEX(伝票元!$I$6:$I$511,$M109),"")</f>
        <v/>
      </c>
      <c r="F109" s="45" t="str">
        <f aca="false">IF(IF($M109="",0,INDEX(伝票元!$N$6:$N$511,$M109))=1,INDEX(伝票元!$J$6:$J$511,$M109),"")</f>
        <v/>
      </c>
      <c r="G109" s="42" t="str">
        <f aca="false">IF(IF($M109="",0,INDEX(伝票元!$N$6:$N$511,$M109))=1,INDEX(伝票元!$Q$6:$Q$511,$M109),"")</f>
        <v/>
      </c>
      <c r="H109" s="45" t="str">
        <f aca="false">IF($M109="","",INDEX(伝票元!$F$6:$F$511,$M109))</f>
        <v/>
      </c>
      <c r="I109" s="45" t="str">
        <f aca="false">IF($M109="","",INDEX(伝票元!$G$6:$G$511,$M109))</f>
        <v/>
      </c>
      <c r="J109" s="42" t="str">
        <f aca="false">IF($M109="","",INDEX(伝票元!$H$6:$H$511,$M109))</f>
        <v/>
      </c>
      <c r="K109" s="46" t="str">
        <f aca="false">IF(IF($M109="",0,INDEX(伝票元!$N$6:$N$511,$M109))=1,INDEX(伝票元!$R$6:$R$511,$M109),"")</f>
        <v/>
      </c>
      <c r="L109" s="47" t="str">
        <f aca="false">IF($M109="","",INDEX(伝票元!$S$6:$S$511,$M109))</f>
        <v/>
      </c>
      <c r="M109" s="47" t="str">
        <f aca="false">IFERROR(MATCH(103,伝票元!$O$6:$O$511,0),"")</f>
        <v/>
      </c>
    </row>
    <row r="110" customFormat="false" ht="15" hidden="false" customHeight="false" outlineLevel="0" collapsed="false">
      <c r="A110" s="10" t="str">
        <f aca="false">IF($M110="","",INDEX(伝票元!$P$6:$P$511,$M110))</f>
        <v/>
      </c>
      <c r="B110" s="45" t="str">
        <f aca="false">IF($M110="","",INDEX(伝票元!$D$6:$D$511,$M110))</f>
        <v/>
      </c>
      <c r="C110" s="10" t="str">
        <f aca="false">IF($M110="","",INDEX(伝票元!$E$6:$E$511,$M110))</f>
        <v/>
      </c>
      <c r="D110" s="45" t="str">
        <f aca="false">IF($M110="","",INDEX(伝票元!$A$6:$A$511,$M110))</f>
        <v/>
      </c>
      <c r="E110" s="10" t="str">
        <f aca="false">IF(IF($M110="",0,INDEX(伝票元!$N$6:$N$511,$M110))=1,INDEX(伝票元!$I$6:$I$511,$M110),"")</f>
        <v/>
      </c>
      <c r="F110" s="45" t="str">
        <f aca="false">IF(IF($M110="",0,INDEX(伝票元!$N$6:$N$511,$M110))=1,INDEX(伝票元!$J$6:$J$511,$M110),"")</f>
        <v/>
      </c>
      <c r="G110" s="42" t="str">
        <f aca="false">IF(IF($M110="",0,INDEX(伝票元!$N$6:$N$511,$M110))=1,INDEX(伝票元!$Q$6:$Q$511,$M110),"")</f>
        <v/>
      </c>
      <c r="H110" s="45" t="str">
        <f aca="false">IF($M110="","",INDEX(伝票元!$F$6:$F$511,$M110))</f>
        <v/>
      </c>
      <c r="I110" s="45" t="str">
        <f aca="false">IF($M110="","",INDEX(伝票元!$G$6:$G$511,$M110))</f>
        <v/>
      </c>
      <c r="J110" s="42" t="str">
        <f aca="false">IF($M110="","",INDEX(伝票元!$H$6:$H$511,$M110))</f>
        <v/>
      </c>
      <c r="K110" s="46" t="str">
        <f aca="false">IF(IF($M110="",0,INDEX(伝票元!$N$6:$N$511,$M110))=1,INDEX(伝票元!$R$6:$R$511,$M110),"")</f>
        <v/>
      </c>
      <c r="L110" s="47" t="str">
        <f aca="false">IF($M110="","",INDEX(伝票元!$S$6:$S$511,$M110))</f>
        <v/>
      </c>
      <c r="M110" s="47" t="str">
        <f aca="false">IFERROR(MATCH(104,伝票元!$O$6:$O$511,0),"")</f>
        <v/>
      </c>
    </row>
    <row r="111" customFormat="false" ht="15" hidden="false" customHeight="false" outlineLevel="0" collapsed="false">
      <c r="A111" s="10" t="str">
        <f aca="false">IF($M111="","",INDEX(伝票元!$P$6:$P$511,$M111))</f>
        <v/>
      </c>
      <c r="B111" s="45" t="str">
        <f aca="false">IF($M111="","",INDEX(伝票元!$D$6:$D$511,$M111))</f>
        <v/>
      </c>
      <c r="C111" s="10" t="str">
        <f aca="false">IF($M111="","",INDEX(伝票元!$E$6:$E$511,$M111))</f>
        <v/>
      </c>
      <c r="D111" s="45" t="str">
        <f aca="false">IF($M111="","",INDEX(伝票元!$A$6:$A$511,$M111))</f>
        <v/>
      </c>
      <c r="E111" s="10" t="str">
        <f aca="false">IF(IF($M111="",0,INDEX(伝票元!$N$6:$N$511,$M111))=1,INDEX(伝票元!$I$6:$I$511,$M111),"")</f>
        <v/>
      </c>
      <c r="F111" s="45" t="str">
        <f aca="false">IF(IF($M111="",0,INDEX(伝票元!$N$6:$N$511,$M111))=1,INDEX(伝票元!$J$6:$J$511,$M111),"")</f>
        <v/>
      </c>
      <c r="G111" s="42" t="str">
        <f aca="false">IF(IF($M111="",0,INDEX(伝票元!$N$6:$N$511,$M111))=1,INDEX(伝票元!$Q$6:$Q$511,$M111),"")</f>
        <v/>
      </c>
      <c r="H111" s="45" t="str">
        <f aca="false">IF($M111="","",INDEX(伝票元!$F$6:$F$511,$M111))</f>
        <v/>
      </c>
      <c r="I111" s="45" t="str">
        <f aca="false">IF($M111="","",INDEX(伝票元!$G$6:$G$511,$M111))</f>
        <v/>
      </c>
      <c r="J111" s="42" t="str">
        <f aca="false">IF($M111="","",INDEX(伝票元!$H$6:$H$511,$M111))</f>
        <v/>
      </c>
      <c r="K111" s="46" t="str">
        <f aca="false">IF(IF($M111="",0,INDEX(伝票元!$N$6:$N$511,$M111))=1,INDEX(伝票元!$R$6:$R$511,$M111),"")</f>
        <v/>
      </c>
      <c r="L111" s="47" t="str">
        <f aca="false">IF($M111="","",INDEX(伝票元!$S$6:$S$511,$M111))</f>
        <v/>
      </c>
      <c r="M111" s="47" t="str">
        <f aca="false">IFERROR(MATCH(105,伝票元!$O$6:$O$511,0),"")</f>
        <v/>
      </c>
    </row>
    <row r="112" customFormat="false" ht="15" hidden="false" customHeight="false" outlineLevel="0" collapsed="false">
      <c r="A112" s="10" t="str">
        <f aca="false">IF($M112="","",INDEX(伝票元!$P$6:$P$511,$M112))</f>
        <v/>
      </c>
      <c r="B112" s="45" t="str">
        <f aca="false">IF($M112="","",INDEX(伝票元!$D$6:$D$511,$M112))</f>
        <v/>
      </c>
      <c r="C112" s="10" t="str">
        <f aca="false">IF($M112="","",INDEX(伝票元!$E$6:$E$511,$M112))</f>
        <v/>
      </c>
      <c r="D112" s="45" t="str">
        <f aca="false">IF($M112="","",INDEX(伝票元!$A$6:$A$511,$M112))</f>
        <v/>
      </c>
      <c r="E112" s="10" t="str">
        <f aca="false">IF(IF($M112="",0,INDEX(伝票元!$N$6:$N$511,$M112))=1,INDEX(伝票元!$I$6:$I$511,$M112),"")</f>
        <v/>
      </c>
      <c r="F112" s="45" t="str">
        <f aca="false">IF(IF($M112="",0,INDEX(伝票元!$N$6:$N$511,$M112))=1,INDEX(伝票元!$J$6:$J$511,$M112),"")</f>
        <v/>
      </c>
      <c r="G112" s="42" t="str">
        <f aca="false">IF(IF($M112="",0,INDEX(伝票元!$N$6:$N$511,$M112))=1,INDEX(伝票元!$Q$6:$Q$511,$M112),"")</f>
        <v/>
      </c>
      <c r="H112" s="45" t="str">
        <f aca="false">IF($M112="","",INDEX(伝票元!$F$6:$F$511,$M112))</f>
        <v/>
      </c>
      <c r="I112" s="45" t="str">
        <f aca="false">IF($M112="","",INDEX(伝票元!$G$6:$G$511,$M112))</f>
        <v/>
      </c>
      <c r="J112" s="42" t="str">
        <f aca="false">IF($M112="","",INDEX(伝票元!$H$6:$H$511,$M112))</f>
        <v/>
      </c>
      <c r="K112" s="46" t="str">
        <f aca="false">IF(IF($M112="",0,INDEX(伝票元!$N$6:$N$511,$M112))=1,INDEX(伝票元!$R$6:$R$511,$M112),"")</f>
        <v/>
      </c>
      <c r="L112" s="47" t="str">
        <f aca="false">IF($M112="","",INDEX(伝票元!$S$6:$S$511,$M112))</f>
        <v/>
      </c>
      <c r="M112" s="47" t="str">
        <f aca="false">IFERROR(MATCH(106,伝票元!$O$6:$O$511,0),"")</f>
        <v/>
      </c>
    </row>
    <row r="113" customFormat="false" ht="15" hidden="false" customHeight="false" outlineLevel="0" collapsed="false">
      <c r="A113" s="10" t="str">
        <f aca="false">IF($M113="","",INDEX(伝票元!$P$6:$P$511,$M113))</f>
        <v/>
      </c>
      <c r="B113" s="45" t="str">
        <f aca="false">IF($M113="","",INDEX(伝票元!$D$6:$D$511,$M113))</f>
        <v/>
      </c>
      <c r="C113" s="10" t="str">
        <f aca="false">IF($M113="","",INDEX(伝票元!$E$6:$E$511,$M113))</f>
        <v/>
      </c>
      <c r="D113" s="45" t="str">
        <f aca="false">IF($M113="","",INDEX(伝票元!$A$6:$A$511,$M113))</f>
        <v/>
      </c>
      <c r="E113" s="10" t="str">
        <f aca="false">IF(IF($M113="",0,INDEX(伝票元!$N$6:$N$511,$M113))=1,INDEX(伝票元!$I$6:$I$511,$M113),"")</f>
        <v/>
      </c>
      <c r="F113" s="45" t="str">
        <f aca="false">IF(IF($M113="",0,INDEX(伝票元!$N$6:$N$511,$M113))=1,INDEX(伝票元!$J$6:$J$511,$M113),"")</f>
        <v/>
      </c>
      <c r="G113" s="42" t="str">
        <f aca="false">IF(IF($M113="",0,INDEX(伝票元!$N$6:$N$511,$M113))=1,INDEX(伝票元!$Q$6:$Q$511,$M113),"")</f>
        <v/>
      </c>
      <c r="H113" s="45" t="str">
        <f aca="false">IF($M113="","",INDEX(伝票元!$F$6:$F$511,$M113))</f>
        <v/>
      </c>
      <c r="I113" s="45" t="str">
        <f aca="false">IF($M113="","",INDEX(伝票元!$G$6:$G$511,$M113))</f>
        <v/>
      </c>
      <c r="J113" s="42" t="str">
        <f aca="false">IF($M113="","",INDEX(伝票元!$H$6:$H$511,$M113))</f>
        <v/>
      </c>
      <c r="K113" s="46" t="str">
        <f aca="false">IF(IF($M113="",0,INDEX(伝票元!$N$6:$N$511,$M113))=1,INDEX(伝票元!$R$6:$R$511,$M113),"")</f>
        <v/>
      </c>
      <c r="L113" s="47" t="str">
        <f aca="false">IF($M113="","",INDEX(伝票元!$S$6:$S$511,$M113))</f>
        <v/>
      </c>
      <c r="M113" s="47" t="str">
        <f aca="false">IFERROR(MATCH(107,伝票元!$O$6:$O$511,0),"")</f>
        <v/>
      </c>
    </row>
    <row r="114" customFormat="false" ht="15" hidden="false" customHeight="false" outlineLevel="0" collapsed="false">
      <c r="A114" s="10" t="str">
        <f aca="false">IF($M114="","",INDEX(伝票元!$P$6:$P$511,$M114))</f>
        <v/>
      </c>
      <c r="B114" s="45" t="str">
        <f aca="false">IF($M114="","",INDEX(伝票元!$D$6:$D$511,$M114))</f>
        <v/>
      </c>
      <c r="C114" s="10" t="str">
        <f aca="false">IF($M114="","",INDEX(伝票元!$E$6:$E$511,$M114))</f>
        <v/>
      </c>
      <c r="D114" s="45" t="str">
        <f aca="false">IF($M114="","",INDEX(伝票元!$A$6:$A$511,$M114))</f>
        <v/>
      </c>
      <c r="E114" s="10" t="str">
        <f aca="false">IF(IF($M114="",0,INDEX(伝票元!$N$6:$N$511,$M114))=1,INDEX(伝票元!$I$6:$I$511,$M114),"")</f>
        <v/>
      </c>
      <c r="F114" s="45" t="str">
        <f aca="false">IF(IF($M114="",0,INDEX(伝票元!$N$6:$N$511,$M114))=1,INDEX(伝票元!$J$6:$J$511,$M114),"")</f>
        <v/>
      </c>
      <c r="G114" s="42" t="str">
        <f aca="false">IF(IF($M114="",0,INDEX(伝票元!$N$6:$N$511,$M114))=1,INDEX(伝票元!$Q$6:$Q$511,$M114),"")</f>
        <v/>
      </c>
      <c r="H114" s="45" t="str">
        <f aca="false">IF($M114="","",INDEX(伝票元!$F$6:$F$511,$M114))</f>
        <v/>
      </c>
      <c r="I114" s="45" t="str">
        <f aca="false">IF($M114="","",INDEX(伝票元!$G$6:$G$511,$M114))</f>
        <v/>
      </c>
      <c r="J114" s="42" t="str">
        <f aca="false">IF($M114="","",INDEX(伝票元!$H$6:$H$511,$M114))</f>
        <v/>
      </c>
      <c r="K114" s="46" t="str">
        <f aca="false">IF(IF($M114="",0,INDEX(伝票元!$N$6:$N$511,$M114))=1,INDEX(伝票元!$R$6:$R$511,$M114),"")</f>
        <v/>
      </c>
      <c r="L114" s="47" t="str">
        <f aca="false">IF($M114="","",INDEX(伝票元!$S$6:$S$511,$M114))</f>
        <v/>
      </c>
      <c r="M114" s="47" t="str">
        <f aca="false">IFERROR(MATCH(108,伝票元!$O$6:$O$511,0),"")</f>
        <v/>
      </c>
    </row>
    <row r="115" customFormat="false" ht="15" hidden="false" customHeight="false" outlineLevel="0" collapsed="false">
      <c r="A115" s="10" t="str">
        <f aca="false">IF($M115="","",INDEX(伝票元!$P$6:$P$511,$M115))</f>
        <v/>
      </c>
      <c r="B115" s="45" t="str">
        <f aca="false">IF($M115="","",INDEX(伝票元!$D$6:$D$511,$M115))</f>
        <v/>
      </c>
      <c r="C115" s="10" t="str">
        <f aca="false">IF($M115="","",INDEX(伝票元!$E$6:$E$511,$M115))</f>
        <v/>
      </c>
      <c r="D115" s="45" t="str">
        <f aca="false">IF($M115="","",INDEX(伝票元!$A$6:$A$511,$M115))</f>
        <v/>
      </c>
      <c r="E115" s="10" t="str">
        <f aca="false">IF(IF($M115="",0,INDEX(伝票元!$N$6:$N$511,$M115))=1,INDEX(伝票元!$I$6:$I$511,$M115),"")</f>
        <v/>
      </c>
      <c r="F115" s="45" t="str">
        <f aca="false">IF(IF($M115="",0,INDEX(伝票元!$N$6:$N$511,$M115))=1,INDEX(伝票元!$J$6:$J$511,$M115),"")</f>
        <v/>
      </c>
      <c r="G115" s="42" t="str">
        <f aca="false">IF(IF($M115="",0,INDEX(伝票元!$N$6:$N$511,$M115))=1,INDEX(伝票元!$Q$6:$Q$511,$M115),"")</f>
        <v/>
      </c>
      <c r="H115" s="45" t="str">
        <f aca="false">IF($M115="","",INDEX(伝票元!$F$6:$F$511,$M115))</f>
        <v/>
      </c>
      <c r="I115" s="45" t="str">
        <f aca="false">IF($M115="","",INDEX(伝票元!$G$6:$G$511,$M115))</f>
        <v/>
      </c>
      <c r="J115" s="42" t="str">
        <f aca="false">IF($M115="","",INDEX(伝票元!$H$6:$H$511,$M115))</f>
        <v/>
      </c>
      <c r="K115" s="46" t="str">
        <f aca="false">IF(IF($M115="",0,INDEX(伝票元!$N$6:$N$511,$M115))=1,INDEX(伝票元!$R$6:$R$511,$M115),"")</f>
        <v/>
      </c>
      <c r="L115" s="47" t="str">
        <f aca="false">IF($M115="","",INDEX(伝票元!$S$6:$S$511,$M115))</f>
        <v/>
      </c>
      <c r="M115" s="47" t="str">
        <f aca="false">IFERROR(MATCH(109,伝票元!$O$6:$O$511,0),"")</f>
        <v/>
      </c>
    </row>
    <row r="116" customFormat="false" ht="15" hidden="false" customHeight="false" outlineLevel="0" collapsed="false">
      <c r="A116" s="10" t="str">
        <f aca="false">IF($M116="","",INDEX(伝票元!$P$6:$P$511,$M116))</f>
        <v/>
      </c>
      <c r="B116" s="45" t="str">
        <f aca="false">IF($M116="","",INDEX(伝票元!$D$6:$D$511,$M116))</f>
        <v/>
      </c>
      <c r="C116" s="10" t="str">
        <f aca="false">IF($M116="","",INDEX(伝票元!$E$6:$E$511,$M116))</f>
        <v/>
      </c>
      <c r="D116" s="45" t="str">
        <f aca="false">IF($M116="","",INDEX(伝票元!$A$6:$A$511,$M116))</f>
        <v/>
      </c>
      <c r="E116" s="10" t="str">
        <f aca="false">IF(IF($M116="",0,INDEX(伝票元!$N$6:$N$511,$M116))=1,INDEX(伝票元!$I$6:$I$511,$M116),"")</f>
        <v/>
      </c>
      <c r="F116" s="45" t="str">
        <f aca="false">IF(IF($M116="",0,INDEX(伝票元!$N$6:$N$511,$M116))=1,INDEX(伝票元!$J$6:$J$511,$M116),"")</f>
        <v/>
      </c>
      <c r="G116" s="42" t="str">
        <f aca="false">IF(IF($M116="",0,INDEX(伝票元!$N$6:$N$511,$M116))=1,INDEX(伝票元!$Q$6:$Q$511,$M116),"")</f>
        <v/>
      </c>
      <c r="H116" s="45" t="str">
        <f aca="false">IF($M116="","",INDEX(伝票元!$F$6:$F$511,$M116))</f>
        <v/>
      </c>
      <c r="I116" s="45" t="str">
        <f aca="false">IF($M116="","",INDEX(伝票元!$G$6:$G$511,$M116))</f>
        <v/>
      </c>
      <c r="J116" s="42" t="str">
        <f aca="false">IF($M116="","",INDEX(伝票元!$H$6:$H$511,$M116))</f>
        <v/>
      </c>
      <c r="K116" s="46" t="str">
        <f aca="false">IF(IF($M116="",0,INDEX(伝票元!$N$6:$N$511,$M116))=1,INDEX(伝票元!$R$6:$R$511,$M116),"")</f>
        <v/>
      </c>
      <c r="L116" s="47" t="str">
        <f aca="false">IF($M116="","",INDEX(伝票元!$S$6:$S$511,$M116))</f>
        <v/>
      </c>
      <c r="M116" s="47" t="str">
        <f aca="false">IFERROR(MATCH(110,伝票元!$O$6:$O$511,0),"")</f>
        <v/>
      </c>
    </row>
    <row r="117" customFormat="false" ht="15" hidden="false" customHeight="false" outlineLevel="0" collapsed="false">
      <c r="A117" s="10" t="str">
        <f aca="false">IF($M117="","",INDEX(伝票元!$P$6:$P$511,$M117))</f>
        <v/>
      </c>
      <c r="B117" s="45" t="str">
        <f aca="false">IF($M117="","",INDEX(伝票元!$D$6:$D$511,$M117))</f>
        <v/>
      </c>
      <c r="C117" s="10" t="str">
        <f aca="false">IF($M117="","",INDEX(伝票元!$E$6:$E$511,$M117))</f>
        <v/>
      </c>
      <c r="D117" s="45" t="str">
        <f aca="false">IF($M117="","",INDEX(伝票元!$A$6:$A$511,$M117))</f>
        <v/>
      </c>
      <c r="E117" s="10" t="str">
        <f aca="false">IF(IF($M117="",0,INDEX(伝票元!$N$6:$N$511,$M117))=1,INDEX(伝票元!$I$6:$I$511,$M117),"")</f>
        <v/>
      </c>
      <c r="F117" s="45" t="str">
        <f aca="false">IF(IF($M117="",0,INDEX(伝票元!$N$6:$N$511,$M117))=1,INDEX(伝票元!$J$6:$J$511,$M117),"")</f>
        <v/>
      </c>
      <c r="G117" s="42" t="str">
        <f aca="false">IF(IF($M117="",0,INDEX(伝票元!$N$6:$N$511,$M117))=1,INDEX(伝票元!$Q$6:$Q$511,$M117),"")</f>
        <v/>
      </c>
      <c r="H117" s="45" t="str">
        <f aca="false">IF($M117="","",INDEX(伝票元!$F$6:$F$511,$M117))</f>
        <v/>
      </c>
      <c r="I117" s="45" t="str">
        <f aca="false">IF($M117="","",INDEX(伝票元!$G$6:$G$511,$M117))</f>
        <v/>
      </c>
      <c r="J117" s="42" t="str">
        <f aca="false">IF($M117="","",INDEX(伝票元!$H$6:$H$511,$M117))</f>
        <v/>
      </c>
      <c r="K117" s="46" t="str">
        <f aca="false">IF(IF($M117="",0,INDEX(伝票元!$N$6:$N$511,$M117))=1,INDEX(伝票元!$R$6:$R$511,$M117),"")</f>
        <v/>
      </c>
      <c r="L117" s="47" t="str">
        <f aca="false">IF($M117="","",INDEX(伝票元!$S$6:$S$511,$M117))</f>
        <v/>
      </c>
      <c r="M117" s="47" t="str">
        <f aca="false">IFERROR(MATCH(111,伝票元!$O$6:$O$511,0),"")</f>
        <v/>
      </c>
    </row>
    <row r="118" customFormat="false" ht="15" hidden="false" customHeight="false" outlineLevel="0" collapsed="false">
      <c r="A118" s="10" t="str">
        <f aca="false">IF($M118="","",INDEX(伝票元!$P$6:$P$511,$M118))</f>
        <v/>
      </c>
      <c r="B118" s="45" t="str">
        <f aca="false">IF($M118="","",INDEX(伝票元!$D$6:$D$511,$M118))</f>
        <v/>
      </c>
      <c r="C118" s="10" t="str">
        <f aca="false">IF($M118="","",INDEX(伝票元!$E$6:$E$511,$M118))</f>
        <v/>
      </c>
      <c r="D118" s="45" t="str">
        <f aca="false">IF($M118="","",INDEX(伝票元!$A$6:$A$511,$M118))</f>
        <v/>
      </c>
      <c r="E118" s="10" t="str">
        <f aca="false">IF(IF($M118="",0,INDEX(伝票元!$N$6:$N$511,$M118))=1,INDEX(伝票元!$I$6:$I$511,$M118),"")</f>
        <v/>
      </c>
      <c r="F118" s="45" t="str">
        <f aca="false">IF(IF($M118="",0,INDEX(伝票元!$N$6:$N$511,$M118))=1,INDEX(伝票元!$J$6:$J$511,$M118),"")</f>
        <v/>
      </c>
      <c r="G118" s="42" t="str">
        <f aca="false">IF(IF($M118="",0,INDEX(伝票元!$N$6:$N$511,$M118))=1,INDEX(伝票元!$Q$6:$Q$511,$M118),"")</f>
        <v/>
      </c>
      <c r="H118" s="45" t="str">
        <f aca="false">IF($M118="","",INDEX(伝票元!$F$6:$F$511,$M118))</f>
        <v/>
      </c>
      <c r="I118" s="45" t="str">
        <f aca="false">IF($M118="","",INDEX(伝票元!$G$6:$G$511,$M118))</f>
        <v/>
      </c>
      <c r="J118" s="42" t="str">
        <f aca="false">IF($M118="","",INDEX(伝票元!$H$6:$H$511,$M118))</f>
        <v/>
      </c>
      <c r="K118" s="46" t="str">
        <f aca="false">IF(IF($M118="",0,INDEX(伝票元!$N$6:$N$511,$M118))=1,INDEX(伝票元!$R$6:$R$511,$M118),"")</f>
        <v/>
      </c>
      <c r="L118" s="47" t="str">
        <f aca="false">IF($M118="","",INDEX(伝票元!$S$6:$S$511,$M118))</f>
        <v/>
      </c>
      <c r="M118" s="47" t="str">
        <f aca="false">IFERROR(MATCH(112,伝票元!$O$6:$O$511,0),"")</f>
        <v/>
      </c>
    </row>
    <row r="119" customFormat="false" ht="15" hidden="false" customHeight="false" outlineLevel="0" collapsed="false">
      <c r="A119" s="10" t="str">
        <f aca="false">IF($M119="","",INDEX(伝票元!$P$6:$P$511,$M119))</f>
        <v/>
      </c>
      <c r="B119" s="45" t="str">
        <f aca="false">IF($M119="","",INDEX(伝票元!$D$6:$D$511,$M119))</f>
        <v/>
      </c>
      <c r="C119" s="10" t="str">
        <f aca="false">IF($M119="","",INDEX(伝票元!$E$6:$E$511,$M119))</f>
        <v/>
      </c>
      <c r="D119" s="45" t="str">
        <f aca="false">IF($M119="","",INDEX(伝票元!$A$6:$A$511,$M119))</f>
        <v/>
      </c>
      <c r="E119" s="10" t="str">
        <f aca="false">IF(IF($M119="",0,INDEX(伝票元!$N$6:$N$511,$M119))=1,INDEX(伝票元!$I$6:$I$511,$M119),"")</f>
        <v/>
      </c>
      <c r="F119" s="45" t="str">
        <f aca="false">IF(IF($M119="",0,INDEX(伝票元!$N$6:$N$511,$M119))=1,INDEX(伝票元!$J$6:$J$511,$M119),"")</f>
        <v/>
      </c>
      <c r="G119" s="42" t="str">
        <f aca="false">IF(IF($M119="",0,INDEX(伝票元!$N$6:$N$511,$M119))=1,INDEX(伝票元!$Q$6:$Q$511,$M119),"")</f>
        <v/>
      </c>
      <c r="H119" s="45" t="str">
        <f aca="false">IF($M119="","",INDEX(伝票元!$F$6:$F$511,$M119))</f>
        <v/>
      </c>
      <c r="I119" s="45" t="str">
        <f aca="false">IF($M119="","",INDEX(伝票元!$G$6:$G$511,$M119))</f>
        <v/>
      </c>
      <c r="J119" s="42" t="str">
        <f aca="false">IF($M119="","",INDEX(伝票元!$H$6:$H$511,$M119))</f>
        <v/>
      </c>
      <c r="K119" s="46" t="str">
        <f aca="false">IF(IF($M119="",0,INDEX(伝票元!$N$6:$N$511,$M119))=1,INDEX(伝票元!$R$6:$R$511,$M119),"")</f>
        <v/>
      </c>
      <c r="L119" s="47" t="str">
        <f aca="false">IF($M119="","",INDEX(伝票元!$S$6:$S$511,$M119))</f>
        <v/>
      </c>
      <c r="M119" s="47" t="str">
        <f aca="false">IFERROR(MATCH(113,伝票元!$O$6:$O$511,0),"")</f>
        <v/>
      </c>
    </row>
    <row r="120" customFormat="false" ht="15" hidden="false" customHeight="false" outlineLevel="0" collapsed="false">
      <c r="A120" s="10" t="str">
        <f aca="false">IF($M120="","",INDEX(伝票元!$P$6:$P$511,$M120))</f>
        <v/>
      </c>
      <c r="B120" s="45" t="str">
        <f aca="false">IF($M120="","",INDEX(伝票元!$D$6:$D$511,$M120))</f>
        <v/>
      </c>
      <c r="C120" s="10" t="str">
        <f aca="false">IF($M120="","",INDEX(伝票元!$E$6:$E$511,$M120))</f>
        <v/>
      </c>
      <c r="D120" s="45" t="str">
        <f aca="false">IF($M120="","",INDEX(伝票元!$A$6:$A$511,$M120))</f>
        <v/>
      </c>
      <c r="E120" s="10" t="str">
        <f aca="false">IF(IF($M120="",0,INDEX(伝票元!$N$6:$N$511,$M120))=1,INDEX(伝票元!$I$6:$I$511,$M120),"")</f>
        <v/>
      </c>
      <c r="F120" s="45" t="str">
        <f aca="false">IF(IF($M120="",0,INDEX(伝票元!$N$6:$N$511,$M120))=1,INDEX(伝票元!$J$6:$J$511,$M120),"")</f>
        <v/>
      </c>
      <c r="G120" s="42" t="str">
        <f aca="false">IF(IF($M120="",0,INDEX(伝票元!$N$6:$N$511,$M120))=1,INDEX(伝票元!$Q$6:$Q$511,$M120),"")</f>
        <v/>
      </c>
      <c r="H120" s="45" t="str">
        <f aca="false">IF($M120="","",INDEX(伝票元!$F$6:$F$511,$M120))</f>
        <v/>
      </c>
      <c r="I120" s="45" t="str">
        <f aca="false">IF($M120="","",INDEX(伝票元!$G$6:$G$511,$M120))</f>
        <v/>
      </c>
      <c r="J120" s="42" t="str">
        <f aca="false">IF($M120="","",INDEX(伝票元!$H$6:$H$511,$M120))</f>
        <v/>
      </c>
      <c r="K120" s="46" t="str">
        <f aca="false">IF(IF($M120="",0,INDEX(伝票元!$N$6:$N$511,$M120))=1,INDEX(伝票元!$R$6:$R$511,$M120),"")</f>
        <v/>
      </c>
      <c r="L120" s="47" t="str">
        <f aca="false">IF($M120="","",INDEX(伝票元!$S$6:$S$511,$M120))</f>
        <v/>
      </c>
      <c r="M120" s="47" t="str">
        <f aca="false">IFERROR(MATCH(114,伝票元!$O$6:$O$511,0),"")</f>
        <v/>
      </c>
    </row>
    <row r="121" customFormat="false" ht="15" hidden="false" customHeight="false" outlineLevel="0" collapsed="false">
      <c r="A121" s="10" t="str">
        <f aca="false">IF($M121="","",INDEX(伝票元!$P$6:$P$511,$M121))</f>
        <v/>
      </c>
      <c r="B121" s="45" t="str">
        <f aca="false">IF($M121="","",INDEX(伝票元!$D$6:$D$511,$M121))</f>
        <v/>
      </c>
      <c r="C121" s="10" t="str">
        <f aca="false">IF($M121="","",INDEX(伝票元!$E$6:$E$511,$M121))</f>
        <v/>
      </c>
      <c r="D121" s="45" t="str">
        <f aca="false">IF($M121="","",INDEX(伝票元!$A$6:$A$511,$M121))</f>
        <v/>
      </c>
      <c r="E121" s="10" t="str">
        <f aca="false">IF(IF($M121="",0,INDEX(伝票元!$N$6:$N$511,$M121))=1,INDEX(伝票元!$I$6:$I$511,$M121),"")</f>
        <v/>
      </c>
      <c r="F121" s="45" t="str">
        <f aca="false">IF(IF($M121="",0,INDEX(伝票元!$N$6:$N$511,$M121))=1,INDEX(伝票元!$J$6:$J$511,$M121),"")</f>
        <v/>
      </c>
      <c r="G121" s="42" t="str">
        <f aca="false">IF(IF($M121="",0,INDEX(伝票元!$N$6:$N$511,$M121))=1,INDEX(伝票元!$Q$6:$Q$511,$M121),"")</f>
        <v/>
      </c>
      <c r="H121" s="45" t="str">
        <f aca="false">IF($M121="","",INDEX(伝票元!$F$6:$F$511,$M121))</f>
        <v/>
      </c>
      <c r="I121" s="45" t="str">
        <f aca="false">IF($M121="","",INDEX(伝票元!$G$6:$G$511,$M121))</f>
        <v/>
      </c>
      <c r="J121" s="42" t="str">
        <f aca="false">IF($M121="","",INDEX(伝票元!$H$6:$H$511,$M121))</f>
        <v/>
      </c>
      <c r="K121" s="46" t="str">
        <f aca="false">IF(IF($M121="",0,INDEX(伝票元!$N$6:$N$511,$M121))=1,INDEX(伝票元!$R$6:$R$511,$M121),"")</f>
        <v/>
      </c>
      <c r="L121" s="47" t="str">
        <f aca="false">IF($M121="","",INDEX(伝票元!$S$6:$S$511,$M121))</f>
        <v/>
      </c>
      <c r="M121" s="47" t="str">
        <f aca="false">IFERROR(MATCH(115,伝票元!$O$6:$O$511,0),"")</f>
        <v/>
      </c>
    </row>
    <row r="122" customFormat="false" ht="15" hidden="false" customHeight="false" outlineLevel="0" collapsed="false">
      <c r="A122" s="10" t="str">
        <f aca="false">IF($M122="","",INDEX(伝票元!$P$6:$P$511,$M122))</f>
        <v/>
      </c>
      <c r="B122" s="45" t="str">
        <f aca="false">IF($M122="","",INDEX(伝票元!$D$6:$D$511,$M122))</f>
        <v/>
      </c>
      <c r="C122" s="10" t="str">
        <f aca="false">IF($M122="","",INDEX(伝票元!$E$6:$E$511,$M122))</f>
        <v/>
      </c>
      <c r="D122" s="45" t="str">
        <f aca="false">IF($M122="","",INDEX(伝票元!$A$6:$A$511,$M122))</f>
        <v/>
      </c>
      <c r="E122" s="10" t="str">
        <f aca="false">IF(IF($M122="",0,INDEX(伝票元!$N$6:$N$511,$M122))=1,INDEX(伝票元!$I$6:$I$511,$M122),"")</f>
        <v/>
      </c>
      <c r="F122" s="45" t="str">
        <f aca="false">IF(IF($M122="",0,INDEX(伝票元!$N$6:$N$511,$M122))=1,INDEX(伝票元!$J$6:$J$511,$M122),"")</f>
        <v/>
      </c>
      <c r="G122" s="42" t="str">
        <f aca="false">IF(IF($M122="",0,INDEX(伝票元!$N$6:$N$511,$M122))=1,INDEX(伝票元!$Q$6:$Q$511,$M122),"")</f>
        <v/>
      </c>
      <c r="H122" s="45" t="str">
        <f aca="false">IF($M122="","",INDEX(伝票元!$F$6:$F$511,$M122))</f>
        <v/>
      </c>
      <c r="I122" s="45" t="str">
        <f aca="false">IF($M122="","",INDEX(伝票元!$G$6:$G$511,$M122))</f>
        <v/>
      </c>
      <c r="J122" s="42" t="str">
        <f aca="false">IF($M122="","",INDEX(伝票元!$H$6:$H$511,$M122))</f>
        <v/>
      </c>
      <c r="K122" s="46" t="str">
        <f aca="false">IF(IF($M122="",0,INDEX(伝票元!$N$6:$N$511,$M122))=1,INDEX(伝票元!$R$6:$R$511,$M122),"")</f>
        <v/>
      </c>
      <c r="L122" s="47" t="str">
        <f aca="false">IF($M122="","",INDEX(伝票元!$S$6:$S$511,$M122))</f>
        <v/>
      </c>
      <c r="M122" s="47" t="str">
        <f aca="false">IFERROR(MATCH(116,伝票元!$O$6:$O$511,0),"")</f>
        <v/>
      </c>
    </row>
    <row r="123" customFormat="false" ht="15" hidden="false" customHeight="false" outlineLevel="0" collapsed="false">
      <c r="A123" s="10" t="str">
        <f aca="false">IF($M123="","",INDEX(伝票元!$P$6:$P$511,$M123))</f>
        <v/>
      </c>
      <c r="B123" s="45" t="str">
        <f aca="false">IF($M123="","",INDEX(伝票元!$D$6:$D$511,$M123))</f>
        <v/>
      </c>
      <c r="C123" s="10" t="str">
        <f aca="false">IF($M123="","",INDEX(伝票元!$E$6:$E$511,$M123))</f>
        <v/>
      </c>
      <c r="D123" s="45" t="str">
        <f aca="false">IF($M123="","",INDEX(伝票元!$A$6:$A$511,$M123))</f>
        <v/>
      </c>
      <c r="E123" s="10" t="str">
        <f aca="false">IF(IF($M123="",0,INDEX(伝票元!$N$6:$N$511,$M123))=1,INDEX(伝票元!$I$6:$I$511,$M123),"")</f>
        <v/>
      </c>
      <c r="F123" s="45" t="str">
        <f aca="false">IF(IF($M123="",0,INDEX(伝票元!$N$6:$N$511,$M123))=1,INDEX(伝票元!$J$6:$J$511,$M123),"")</f>
        <v/>
      </c>
      <c r="G123" s="42" t="str">
        <f aca="false">IF(IF($M123="",0,INDEX(伝票元!$N$6:$N$511,$M123))=1,INDEX(伝票元!$Q$6:$Q$511,$M123),"")</f>
        <v/>
      </c>
      <c r="H123" s="45" t="str">
        <f aca="false">IF($M123="","",INDEX(伝票元!$F$6:$F$511,$M123))</f>
        <v/>
      </c>
      <c r="I123" s="45" t="str">
        <f aca="false">IF($M123="","",INDEX(伝票元!$G$6:$G$511,$M123))</f>
        <v/>
      </c>
      <c r="J123" s="42" t="str">
        <f aca="false">IF($M123="","",INDEX(伝票元!$H$6:$H$511,$M123))</f>
        <v/>
      </c>
      <c r="K123" s="46" t="str">
        <f aca="false">IF(IF($M123="",0,INDEX(伝票元!$N$6:$N$511,$M123))=1,INDEX(伝票元!$R$6:$R$511,$M123),"")</f>
        <v/>
      </c>
      <c r="L123" s="47" t="str">
        <f aca="false">IF($M123="","",INDEX(伝票元!$S$6:$S$511,$M123))</f>
        <v/>
      </c>
      <c r="M123" s="47" t="str">
        <f aca="false">IFERROR(MATCH(117,伝票元!$O$6:$O$511,0),"")</f>
        <v/>
      </c>
    </row>
    <row r="124" customFormat="false" ht="15" hidden="false" customHeight="false" outlineLevel="0" collapsed="false">
      <c r="A124" s="10" t="str">
        <f aca="false">IF($M124="","",INDEX(伝票元!$P$6:$P$511,$M124))</f>
        <v/>
      </c>
      <c r="B124" s="45" t="str">
        <f aca="false">IF($M124="","",INDEX(伝票元!$D$6:$D$511,$M124))</f>
        <v/>
      </c>
      <c r="C124" s="10" t="str">
        <f aca="false">IF($M124="","",INDEX(伝票元!$E$6:$E$511,$M124))</f>
        <v/>
      </c>
      <c r="D124" s="45" t="str">
        <f aca="false">IF($M124="","",INDEX(伝票元!$A$6:$A$511,$M124))</f>
        <v/>
      </c>
      <c r="E124" s="10" t="str">
        <f aca="false">IF(IF($M124="",0,INDEX(伝票元!$N$6:$N$511,$M124))=1,INDEX(伝票元!$I$6:$I$511,$M124),"")</f>
        <v/>
      </c>
      <c r="F124" s="45" t="str">
        <f aca="false">IF(IF($M124="",0,INDEX(伝票元!$N$6:$N$511,$M124))=1,INDEX(伝票元!$J$6:$J$511,$M124),"")</f>
        <v/>
      </c>
      <c r="G124" s="42" t="str">
        <f aca="false">IF(IF($M124="",0,INDEX(伝票元!$N$6:$N$511,$M124))=1,INDEX(伝票元!$Q$6:$Q$511,$M124),"")</f>
        <v/>
      </c>
      <c r="H124" s="45" t="str">
        <f aca="false">IF($M124="","",INDEX(伝票元!$F$6:$F$511,$M124))</f>
        <v/>
      </c>
      <c r="I124" s="45" t="str">
        <f aca="false">IF($M124="","",INDEX(伝票元!$G$6:$G$511,$M124))</f>
        <v/>
      </c>
      <c r="J124" s="42" t="str">
        <f aca="false">IF($M124="","",INDEX(伝票元!$H$6:$H$511,$M124))</f>
        <v/>
      </c>
      <c r="K124" s="46" t="str">
        <f aca="false">IF(IF($M124="",0,INDEX(伝票元!$N$6:$N$511,$M124))=1,INDEX(伝票元!$R$6:$R$511,$M124),"")</f>
        <v/>
      </c>
      <c r="L124" s="47" t="str">
        <f aca="false">IF($M124="","",INDEX(伝票元!$S$6:$S$511,$M124))</f>
        <v/>
      </c>
      <c r="M124" s="47" t="str">
        <f aca="false">IFERROR(MATCH(118,伝票元!$O$6:$O$511,0),"")</f>
        <v/>
      </c>
    </row>
    <row r="125" customFormat="false" ht="15" hidden="false" customHeight="false" outlineLevel="0" collapsed="false">
      <c r="A125" s="10" t="str">
        <f aca="false">IF($M125="","",INDEX(伝票元!$P$6:$P$511,$M125))</f>
        <v/>
      </c>
      <c r="B125" s="45" t="str">
        <f aca="false">IF($M125="","",INDEX(伝票元!$D$6:$D$511,$M125))</f>
        <v/>
      </c>
      <c r="C125" s="10" t="str">
        <f aca="false">IF($M125="","",INDEX(伝票元!$E$6:$E$511,$M125))</f>
        <v/>
      </c>
      <c r="D125" s="45" t="str">
        <f aca="false">IF($M125="","",INDEX(伝票元!$A$6:$A$511,$M125))</f>
        <v/>
      </c>
      <c r="E125" s="10" t="str">
        <f aca="false">IF(IF($M125="",0,INDEX(伝票元!$N$6:$N$511,$M125))=1,INDEX(伝票元!$I$6:$I$511,$M125),"")</f>
        <v/>
      </c>
      <c r="F125" s="45" t="str">
        <f aca="false">IF(IF($M125="",0,INDEX(伝票元!$N$6:$N$511,$M125))=1,INDEX(伝票元!$J$6:$J$511,$M125),"")</f>
        <v/>
      </c>
      <c r="G125" s="42" t="str">
        <f aca="false">IF(IF($M125="",0,INDEX(伝票元!$N$6:$N$511,$M125))=1,INDEX(伝票元!$Q$6:$Q$511,$M125),"")</f>
        <v/>
      </c>
      <c r="H125" s="45" t="str">
        <f aca="false">IF($M125="","",INDEX(伝票元!$F$6:$F$511,$M125))</f>
        <v/>
      </c>
      <c r="I125" s="45" t="str">
        <f aca="false">IF($M125="","",INDEX(伝票元!$G$6:$G$511,$M125))</f>
        <v/>
      </c>
      <c r="J125" s="42" t="str">
        <f aca="false">IF($M125="","",INDEX(伝票元!$H$6:$H$511,$M125))</f>
        <v/>
      </c>
      <c r="K125" s="46" t="str">
        <f aca="false">IF(IF($M125="",0,INDEX(伝票元!$N$6:$N$511,$M125))=1,INDEX(伝票元!$R$6:$R$511,$M125),"")</f>
        <v/>
      </c>
      <c r="L125" s="47" t="str">
        <f aca="false">IF($M125="","",INDEX(伝票元!$S$6:$S$511,$M125))</f>
        <v/>
      </c>
      <c r="M125" s="47" t="str">
        <f aca="false">IFERROR(MATCH(119,伝票元!$O$6:$O$511,0),"")</f>
        <v/>
      </c>
    </row>
    <row r="126" customFormat="false" ht="15" hidden="false" customHeight="false" outlineLevel="0" collapsed="false">
      <c r="A126" s="10" t="str">
        <f aca="false">IF($M126="","",INDEX(伝票元!$P$6:$P$511,$M126))</f>
        <v/>
      </c>
      <c r="B126" s="45" t="str">
        <f aca="false">IF($M126="","",INDEX(伝票元!$D$6:$D$511,$M126))</f>
        <v/>
      </c>
      <c r="C126" s="10" t="str">
        <f aca="false">IF($M126="","",INDEX(伝票元!$E$6:$E$511,$M126))</f>
        <v/>
      </c>
      <c r="D126" s="45" t="str">
        <f aca="false">IF($M126="","",INDEX(伝票元!$A$6:$A$511,$M126))</f>
        <v/>
      </c>
      <c r="E126" s="10" t="str">
        <f aca="false">IF(IF($M126="",0,INDEX(伝票元!$N$6:$N$511,$M126))=1,INDEX(伝票元!$I$6:$I$511,$M126),"")</f>
        <v/>
      </c>
      <c r="F126" s="45" t="str">
        <f aca="false">IF(IF($M126="",0,INDEX(伝票元!$N$6:$N$511,$M126))=1,INDEX(伝票元!$J$6:$J$511,$M126),"")</f>
        <v/>
      </c>
      <c r="G126" s="42" t="str">
        <f aca="false">IF(IF($M126="",0,INDEX(伝票元!$N$6:$N$511,$M126))=1,INDEX(伝票元!$Q$6:$Q$511,$M126),"")</f>
        <v/>
      </c>
      <c r="H126" s="45" t="str">
        <f aca="false">IF($M126="","",INDEX(伝票元!$F$6:$F$511,$M126))</f>
        <v/>
      </c>
      <c r="I126" s="45" t="str">
        <f aca="false">IF($M126="","",INDEX(伝票元!$G$6:$G$511,$M126))</f>
        <v/>
      </c>
      <c r="J126" s="42" t="str">
        <f aca="false">IF($M126="","",INDEX(伝票元!$H$6:$H$511,$M126))</f>
        <v/>
      </c>
      <c r="K126" s="46" t="str">
        <f aca="false">IF(IF($M126="",0,INDEX(伝票元!$N$6:$N$511,$M126))=1,INDEX(伝票元!$R$6:$R$511,$M126),"")</f>
        <v/>
      </c>
      <c r="L126" s="47" t="str">
        <f aca="false">IF($M126="","",INDEX(伝票元!$S$6:$S$511,$M126))</f>
        <v/>
      </c>
      <c r="M126" s="47" t="str">
        <f aca="false">IFERROR(MATCH(120,伝票元!$O$6:$O$511,0),"")</f>
        <v/>
      </c>
    </row>
    <row r="127" customFormat="false" ht="15" hidden="false" customHeight="false" outlineLevel="0" collapsed="false">
      <c r="A127" s="10" t="str">
        <f aca="false">IF($M127="","",INDEX(伝票元!$P$6:$P$511,$M127))</f>
        <v/>
      </c>
      <c r="B127" s="45" t="str">
        <f aca="false">IF($M127="","",INDEX(伝票元!$D$6:$D$511,$M127))</f>
        <v/>
      </c>
      <c r="C127" s="10" t="str">
        <f aca="false">IF($M127="","",INDEX(伝票元!$E$6:$E$511,$M127))</f>
        <v/>
      </c>
      <c r="D127" s="45" t="str">
        <f aca="false">IF($M127="","",INDEX(伝票元!$A$6:$A$511,$M127))</f>
        <v/>
      </c>
      <c r="E127" s="10" t="str">
        <f aca="false">IF(IF($M127="",0,INDEX(伝票元!$N$6:$N$511,$M127))=1,INDEX(伝票元!$I$6:$I$511,$M127),"")</f>
        <v/>
      </c>
      <c r="F127" s="45" t="str">
        <f aca="false">IF(IF($M127="",0,INDEX(伝票元!$N$6:$N$511,$M127))=1,INDEX(伝票元!$J$6:$J$511,$M127),"")</f>
        <v/>
      </c>
      <c r="G127" s="42" t="str">
        <f aca="false">IF(IF($M127="",0,INDEX(伝票元!$N$6:$N$511,$M127))=1,INDEX(伝票元!$Q$6:$Q$511,$M127),"")</f>
        <v/>
      </c>
      <c r="H127" s="45" t="str">
        <f aca="false">IF($M127="","",INDEX(伝票元!$F$6:$F$511,$M127))</f>
        <v/>
      </c>
      <c r="I127" s="45" t="str">
        <f aca="false">IF($M127="","",INDEX(伝票元!$G$6:$G$511,$M127))</f>
        <v/>
      </c>
      <c r="J127" s="42" t="str">
        <f aca="false">IF($M127="","",INDEX(伝票元!$H$6:$H$511,$M127))</f>
        <v/>
      </c>
      <c r="K127" s="46" t="str">
        <f aca="false">IF(IF($M127="",0,INDEX(伝票元!$N$6:$N$511,$M127))=1,INDEX(伝票元!$R$6:$R$511,$M127),"")</f>
        <v/>
      </c>
      <c r="L127" s="47" t="str">
        <f aca="false">IF($M127="","",INDEX(伝票元!$S$6:$S$511,$M127))</f>
        <v/>
      </c>
      <c r="M127" s="47" t="str">
        <f aca="false">IFERROR(MATCH(121,伝票元!$O$6:$O$511,0),"")</f>
        <v/>
      </c>
    </row>
    <row r="128" customFormat="false" ht="15" hidden="false" customHeight="false" outlineLevel="0" collapsed="false">
      <c r="A128" s="10" t="str">
        <f aca="false">IF($M128="","",INDEX(伝票元!$P$6:$P$511,$M128))</f>
        <v/>
      </c>
      <c r="B128" s="45" t="str">
        <f aca="false">IF($M128="","",INDEX(伝票元!$D$6:$D$511,$M128))</f>
        <v/>
      </c>
      <c r="C128" s="10" t="str">
        <f aca="false">IF($M128="","",INDEX(伝票元!$E$6:$E$511,$M128))</f>
        <v/>
      </c>
      <c r="D128" s="45" t="str">
        <f aca="false">IF($M128="","",INDEX(伝票元!$A$6:$A$511,$M128))</f>
        <v/>
      </c>
      <c r="E128" s="10" t="str">
        <f aca="false">IF(IF($M128="",0,INDEX(伝票元!$N$6:$N$511,$M128))=1,INDEX(伝票元!$I$6:$I$511,$M128),"")</f>
        <v/>
      </c>
      <c r="F128" s="45" t="str">
        <f aca="false">IF(IF($M128="",0,INDEX(伝票元!$N$6:$N$511,$M128))=1,INDEX(伝票元!$J$6:$J$511,$M128),"")</f>
        <v/>
      </c>
      <c r="G128" s="42" t="str">
        <f aca="false">IF(IF($M128="",0,INDEX(伝票元!$N$6:$N$511,$M128))=1,INDEX(伝票元!$Q$6:$Q$511,$M128),"")</f>
        <v/>
      </c>
      <c r="H128" s="45" t="str">
        <f aca="false">IF($M128="","",INDEX(伝票元!$F$6:$F$511,$M128))</f>
        <v/>
      </c>
      <c r="I128" s="45" t="str">
        <f aca="false">IF($M128="","",INDEX(伝票元!$G$6:$G$511,$M128))</f>
        <v/>
      </c>
      <c r="J128" s="42" t="str">
        <f aca="false">IF($M128="","",INDEX(伝票元!$H$6:$H$511,$M128))</f>
        <v/>
      </c>
      <c r="K128" s="46" t="str">
        <f aca="false">IF(IF($M128="",0,INDEX(伝票元!$N$6:$N$511,$M128))=1,INDEX(伝票元!$R$6:$R$511,$M128),"")</f>
        <v/>
      </c>
      <c r="L128" s="47" t="str">
        <f aca="false">IF($M128="","",INDEX(伝票元!$S$6:$S$511,$M128))</f>
        <v/>
      </c>
      <c r="M128" s="47" t="str">
        <f aca="false">IFERROR(MATCH(122,伝票元!$O$6:$O$511,0),"")</f>
        <v/>
      </c>
    </row>
    <row r="129" customFormat="false" ht="15" hidden="false" customHeight="false" outlineLevel="0" collapsed="false">
      <c r="A129" s="10" t="str">
        <f aca="false">IF($M129="","",INDEX(伝票元!$P$6:$P$511,$M129))</f>
        <v/>
      </c>
      <c r="B129" s="45" t="str">
        <f aca="false">IF($M129="","",INDEX(伝票元!$D$6:$D$511,$M129))</f>
        <v/>
      </c>
      <c r="C129" s="10" t="str">
        <f aca="false">IF($M129="","",INDEX(伝票元!$E$6:$E$511,$M129))</f>
        <v/>
      </c>
      <c r="D129" s="45" t="str">
        <f aca="false">IF($M129="","",INDEX(伝票元!$A$6:$A$511,$M129))</f>
        <v/>
      </c>
      <c r="E129" s="10" t="str">
        <f aca="false">IF(IF($M129="",0,INDEX(伝票元!$N$6:$N$511,$M129))=1,INDEX(伝票元!$I$6:$I$511,$M129),"")</f>
        <v/>
      </c>
      <c r="F129" s="45" t="str">
        <f aca="false">IF(IF($M129="",0,INDEX(伝票元!$N$6:$N$511,$M129))=1,INDEX(伝票元!$J$6:$J$511,$M129),"")</f>
        <v/>
      </c>
      <c r="G129" s="42" t="str">
        <f aca="false">IF(IF($M129="",0,INDEX(伝票元!$N$6:$N$511,$M129))=1,INDEX(伝票元!$Q$6:$Q$511,$M129),"")</f>
        <v/>
      </c>
      <c r="H129" s="45" t="str">
        <f aca="false">IF($M129="","",INDEX(伝票元!$F$6:$F$511,$M129))</f>
        <v/>
      </c>
      <c r="I129" s="45" t="str">
        <f aca="false">IF($M129="","",INDEX(伝票元!$G$6:$G$511,$M129))</f>
        <v/>
      </c>
      <c r="J129" s="42" t="str">
        <f aca="false">IF($M129="","",INDEX(伝票元!$H$6:$H$511,$M129))</f>
        <v/>
      </c>
      <c r="K129" s="46" t="str">
        <f aca="false">IF(IF($M129="",0,INDEX(伝票元!$N$6:$N$511,$M129))=1,INDEX(伝票元!$R$6:$R$511,$M129),"")</f>
        <v/>
      </c>
      <c r="L129" s="47" t="str">
        <f aca="false">IF($M129="","",INDEX(伝票元!$S$6:$S$511,$M129))</f>
        <v/>
      </c>
      <c r="M129" s="47" t="str">
        <f aca="false">IFERROR(MATCH(123,伝票元!$O$6:$O$511,0),"")</f>
        <v/>
      </c>
    </row>
    <row r="130" customFormat="false" ht="15" hidden="false" customHeight="false" outlineLevel="0" collapsed="false">
      <c r="A130" s="10" t="str">
        <f aca="false">IF($M130="","",INDEX(伝票元!$P$6:$P$511,$M130))</f>
        <v/>
      </c>
      <c r="B130" s="45" t="str">
        <f aca="false">IF($M130="","",INDEX(伝票元!$D$6:$D$511,$M130))</f>
        <v/>
      </c>
      <c r="C130" s="10" t="str">
        <f aca="false">IF($M130="","",INDEX(伝票元!$E$6:$E$511,$M130))</f>
        <v/>
      </c>
      <c r="D130" s="45" t="str">
        <f aca="false">IF($M130="","",INDEX(伝票元!$A$6:$A$511,$M130))</f>
        <v/>
      </c>
      <c r="E130" s="10" t="str">
        <f aca="false">IF(IF($M130="",0,INDEX(伝票元!$N$6:$N$511,$M130))=1,INDEX(伝票元!$I$6:$I$511,$M130),"")</f>
        <v/>
      </c>
      <c r="F130" s="45" t="str">
        <f aca="false">IF(IF($M130="",0,INDEX(伝票元!$N$6:$N$511,$M130))=1,INDEX(伝票元!$J$6:$J$511,$M130),"")</f>
        <v/>
      </c>
      <c r="G130" s="42" t="str">
        <f aca="false">IF(IF($M130="",0,INDEX(伝票元!$N$6:$N$511,$M130))=1,INDEX(伝票元!$Q$6:$Q$511,$M130),"")</f>
        <v/>
      </c>
      <c r="H130" s="45" t="str">
        <f aca="false">IF($M130="","",INDEX(伝票元!$F$6:$F$511,$M130))</f>
        <v/>
      </c>
      <c r="I130" s="45" t="str">
        <f aca="false">IF($M130="","",INDEX(伝票元!$G$6:$G$511,$M130))</f>
        <v/>
      </c>
      <c r="J130" s="42" t="str">
        <f aca="false">IF($M130="","",INDEX(伝票元!$H$6:$H$511,$M130))</f>
        <v/>
      </c>
      <c r="K130" s="46" t="str">
        <f aca="false">IF(IF($M130="",0,INDEX(伝票元!$N$6:$N$511,$M130))=1,INDEX(伝票元!$R$6:$R$511,$M130),"")</f>
        <v/>
      </c>
      <c r="L130" s="47" t="str">
        <f aca="false">IF($M130="","",INDEX(伝票元!$S$6:$S$511,$M130))</f>
        <v/>
      </c>
      <c r="M130" s="47" t="str">
        <f aca="false">IFERROR(MATCH(124,伝票元!$O$6:$O$511,0),"")</f>
        <v/>
      </c>
    </row>
    <row r="131" customFormat="false" ht="15" hidden="false" customHeight="false" outlineLevel="0" collapsed="false">
      <c r="A131" s="10" t="str">
        <f aca="false">IF($M131="","",INDEX(伝票元!$P$6:$P$511,$M131))</f>
        <v/>
      </c>
      <c r="B131" s="45" t="str">
        <f aca="false">IF($M131="","",INDEX(伝票元!$D$6:$D$511,$M131))</f>
        <v/>
      </c>
      <c r="C131" s="10" t="str">
        <f aca="false">IF($M131="","",INDEX(伝票元!$E$6:$E$511,$M131))</f>
        <v/>
      </c>
      <c r="D131" s="45" t="str">
        <f aca="false">IF($M131="","",INDEX(伝票元!$A$6:$A$511,$M131))</f>
        <v/>
      </c>
      <c r="E131" s="10" t="str">
        <f aca="false">IF(IF($M131="",0,INDEX(伝票元!$N$6:$N$511,$M131))=1,INDEX(伝票元!$I$6:$I$511,$M131),"")</f>
        <v/>
      </c>
      <c r="F131" s="45" t="str">
        <f aca="false">IF(IF($M131="",0,INDEX(伝票元!$N$6:$N$511,$M131))=1,INDEX(伝票元!$J$6:$J$511,$M131),"")</f>
        <v/>
      </c>
      <c r="G131" s="42" t="str">
        <f aca="false">IF(IF($M131="",0,INDEX(伝票元!$N$6:$N$511,$M131))=1,INDEX(伝票元!$Q$6:$Q$511,$M131),"")</f>
        <v/>
      </c>
      <c r="H131" s="45" t="str">
        <f aca="false">IF($M131="","",INDEX(伝票元!$F$6:$F$511,$M131))</f>
        <v/>
      </c>
      <c r="I131" s="45" t="str">
        <f aca="false">IF($M131="","",INDEX(伝票元!$G$6:$G$511,$M131))</f>
        <v/>
      </c>
      <c r="J131" s="42" t="str">
        <f aca="false">IF($M131="","",INDEX(伝票元!$H$6:$H$511,$M131))</f>
        <v/>
      </c>
      <c r="K131" s="46" t="str">
        <f aca="false">IF(IF($M131="",0,INDEX(伝票元!$N$6:$N$511,$M131))=1,INDEX(伝票元!$R$6:$R$511,$M131),"")</f>
        <v/>
      </c>
      <c r="L131" s="47" t="str">
        <f aca="false">IF($M131="","",INDEX(伝票元!$S$6:$S$511,$M131))</f>
        <v/>
      </c>
      <c r="M131" s="47" t="str">
        <f aca="false">IFERROR(MATCH(125,伝票元!$O$6:$O$511,0),"")</f>
        <v/>
      </c>
    </row>
    <row r="132" customFormat="false" ht="15" hidden="false" customHeight="false" outlineLevel="0" collapsed="false">
      <c r="A132" s="10" t="str">
        <f aca="false">IF($M132="","",INDEX(伝票元!$P$6:$P$511,$M132))</f>
        <v/>
      </c>
      <c r="B132" s="45" t="str">
        <f aca="false">IF($M132="","",INDEX(伝票元!$D$6:$D$511,$M132))</f>
        <v/>
      </c>
      <c r="C132" s="10" t="str">
        <f aca="false">IF($M132="","",INDEX(伝票元!$E$6:$E$511,$M132))</f>
        <v/>
      </c>
      <c r="D132" s="45" t="str">
        <f aca="false">IF($M132="","",INDEX(伝票元!$A$6:$A$511,$M132))</f>
        <v/>
      </c>
      <c r="E132" s="10" t="str">
        <f aca="false">IF(IF($M132="",0,INDEX(伝票元!$N$6:$N$511,$M132))=1,INDEX(伝票元!$I$6:$I$511,$M132),"")</f>
        <v/>
      </c>
      <c r="F132" s="45" t="str">
        <f aca="false">IF(IF($M132="",0,INDEX(伝票元!$N$6:$N$511,$M132))=1,INDEX(伝票元!$J$6:$J$511,$M132),"")</f>
        <v/>
      </c>
      <c r="G132" s="42" t="str">
        <f aca="false">IF(IF($M132="",0,INDEX(伝票元!$N$6:$N$511,$M132))=1,INDEX(伝票元!$Q$6:$Q$511,$M132),"")</f>
        <v/>
      </c>
      <c r="H132" s="45" t="str">
        <f aca="false">IF($M132="","",INDEX(伝票元!$F$6:$F$511,$M132))</f>
        <v/>
      </c>
      <c r="I132" s="45" t="str">
        <f aca="false">IF($M132="","",INDEX(伝票元!$G$6:$G$511,$M132))</f>
        <v/>
      </c>
      <c r="J132" s="42" t="str">
        <f aca="false">IF($M132="","",INDEX(伝票元!$H$6:$H$511,$M132))</f>
        <v/>
      </c>
      <c r="K132" s="46" t="str">
        <f aca="false">IF(IF($M132="",0,INDEX(伝票元!$N$6:$N$511,$M132))=1,INDEX(伝票元!$R$6:$R$511,$M132),"")</f>
        <v/>
      </c>
      <c r="L132" s="47" t="str">
        <f aca="false">IF($M132="","",INDEX(伝票元!$S$6:$S$511,$M132))</f>
        <v/>
      </c>
      <c r="M132" s="47" t="str">
        <f aca="false">IFERROR(MATCH(126,伝票元!$O$6:$O$511,0),"")</f>
        <v/>
      </c>
    </row>
    <row r="133" customFormat="false" ht="15" hidden="false" customHeight="false" outlineLevel="0" collapsed="false">
      <c r="A133" s="10" t="str">
        <f aca="false">IF($M133="","",INDEX(伝票元!$P$6:$P$511,$M133))</f>
        <v/>
      </c>
      <c r="B133" s="45" t="str">
        <f aca="false">IF($M133="","",INDEX(伝票元!$D$6:$D$511,$M133))</f>
        <v/>
      </c>
      <c r="C133" s="10" t="str">
        <f aca="false">IF($M133="","",INDEX(伝票元!$E$6:$E$511,$M133))</f>
        <v/>
      </c>
      <c r="D133" s="45" t="str">
        <f aca="false">IF($M133="","",INDEX(伝票元!$A$6:$A$511,$M133))</f>
        <v/>
      </c>
      <c r="E133" s="10" t="str">
        <f aca="false">IF(IF($M133="",0,INDEX(伝票元!$N$6:$N$511,$M133))=1,INDEX(伝票元!$I$6:$I$511,$M133),"")</f>
        <v/>
      </c>
      <c r="F133" s="45" t="str">
        <f aca="false">IF(IF($M133="",0,INDEX(伝票元!$N$6:$N$511,$M133))=1,INDEX(伝票元!$J$6:$J$511,$M133),"")</f>
        <v/>
      </c>
      <c r="G133" s="42" t="str">
        <f aca="false">IF(IF($M133="",0,INDEX(伝票元!$N$6:$N$511,$M133))=1,INDEX(伝票元!$Q$6:$Q$511,$M133),"")</f>
        <v/>
      </c>
      <c r="H133" s="45" t="str">
        <f aca="false">IF($M133="","",INDEX(伝票元!$F$6:$F$511,$M133))</f>
        <v/>
      </c>
      <c r="I133" s="45" t="str">
        <f aca="false">IF($M133="","",INDEX(伝票元!$G$6:$G$511,$M133))</f>
        <v/>
      </c>
      <c r="J133" s="42" t="str">
        <f aca="false">IF($M133="","",INDEX(伝票元!$H$6:$H$511,$M133))</f>
        <v/>
      </c>
      <c r="K133" s="46" t="str">
        <f aca="false">IF(IF($M133="",0,INDEX(伝票元!$N$6:$N$511,$M133))=1,INDEX(伝票元!$R$6:$R$511,$M133),"")</f>
        <v/>
      </c>
      <c r="L133" s="47" t="str">
        <f aca="false">IF($M133="","",INDEX(伝票元!$S$6:$S$511,$M133))</f>
        <v/>
      </c>
      <c r="M133" s="47" t="str">
        <f aca="false">IFERROR(MATCH(127,伝票元!$O$6:$O$511,0),"")</f>
        <v/>
      </c>
    </row>
    <row r="134" customFormat="false" ht="15" hidden="false" customHeight="false" outlineLevel="0" collapsed="false">
      <c r="A134" s="10" t="str">
        <f aca="false">IF($M134="","",INDEX(伝票元!$P$6:$P$511,$M134))</f>
        <v/>
      </c>
      <c r="B134" s="45" t="str">
        <f aca="false">IF($M134="","",INDEX(伝票元!$D$6:$D$511,$M134))</f>
        <v/>
      </c>
      <c r="C134" s="10" t="str">
        <f aca="false">IF($M134="","",INDEX(伝票元!$E$6:$E$511,$M134))</f>
        <v/>
      </c>
      <c r="D134" s="45" t="str">
        <f aca="false">IF($M134="","",INDEX(伝票元!$A$6:$A$511,$M134))</f>
        <v/>
      </c>
      <c r="E134" s="10" t="str">
        <f aca="false">IF(IF($M134="",0,INDEX(伝票元!$N$6:$N$511,$M134))=1,INDEX(伝票元!$I$6:$I$511,$M134),"")</f>
        <v/>
      </c>
      <c r="F134" s="45" t="str">
        <f aca="false">IF(IF($M134="",0,INDEX(伝票元!$N$6:$N$511,$M134))=1,INDEX(伝票元!$J$6:$J$511,$M134),"")</f>
        <v/>
      </c>
      <c r="G134" s="42" t="str">
        <f aca="false">IF(IF($M134="",0,INDEX(伝票元!$N$6:$N$511,$M134))=1,INDEX(伝票元!$Q$6:$Q$511,$M134),"")</f>
        <v/>
      </c>
      <c r="H134" s="45" t="str">
        <f aca="false">IF($M134="","",INDEX(伝票元!$F$6:$F$511,$M134))</f>
        <v/>
      </c>
      <c r="I134" s="45" t="str">
        <f aca="false">IF($M134="","",INDEX(伝票元!$G$6:$G$511,$M134))</f>
        <v/>
      </c>
      <c r="J134" s="42" t="str">
        <f aca="false">IF($M134="","",INDEX(伝票元!$H$6:$H$511,$M134))</f>
        <v/>
      </c>
      <c r="K134" s="46" t="str">
        <f aca="false">IF(IF($M134="",0,INDEX(伝票元!$N$6:$N$511,$M134))=1,INDEX(伝票元!$R$6:$R$511,$M134),"")</f>
        <v/>
      </c>
      <c r="L134" s="47" t="str">
        <f aca="false">IF($M134="","",INDEX(伝票元!$S$6:$S$511,$M134))</f>
        <v/>
      </c>
      <c r="M134" s="47" t="str">
        <f aca="false">IFERROR(MATCH(128,伝票元!$O$6:$O$511,0),"")</f>
        <v/>
      </c>
    </row>
    <row r="135" customFormat="false" ht="15" hidden="false" customHeight="false" outlineLevel="0" collapsed="false">
      <c r="A135" s="10" t="str">
        <f aca="false">IF($M135="","",INDEX(伝票元!$P$6:$P$511,$M135))</f>
        <v/>
      </c>
      <c r="B135" s="45" t="str">
        <f aca="false">IF($M135="","",INDEX(伝票元!$D$6:$D$511,$M135))</f>
        <v/>
      </c>
      <c r="C135" s="10" t="str">
        <f aca="false">IF($M135="","",INDEX(伝票元!$E$6:$E$511,$M135))</f>
        <v/>
      </c>
      <c r="D135" s="45" t="str">
        <f aca="false">IF($M135="","",INDEX(伝票元!$A$6:$A$511,$M135))</f>
        <v/>
      </c>
      <c r="E135" s="10" t="str">
        <f aca="false">IF(IF($M135="",0,INDEX(伝票元!$N$6:$N$511,$M135))=1,INDEX(伝票元!$I$6:$I$511,$M135),"")</f>
        <v/>
      </c>
      <c r="F135" s="45" t="str">
        <f aca="false">IF(IF($M135="",0,INDEX(伝票元!$N$6:$N$511,$M135))=1,INDEX(伝票元!$J$6:$J$511,$M135),"")</f>
        <v/>
      </c>
      <c r="G135" s="42" t="str">
        <f aca="false">IF(IF($M135="",0,INDEX(伝票元!$N$6:$N$511,$M135))=1,INDEX(伝票元!$Q$6:$Q$511,$M135),"")</f>
        <v/>
      </c>
      <c r="H135" s="45" t="str">
        <f aca="false">IF($M135="","",INDEX(伝票元!$F$6:$F$511,$M135))</f>
        <v/>
      </c>
      <c r="I135" s="45" t="str">
        <f aca="false">IF($M135="","",INDEX(伝票元!$G$6:$G$511,$M135))</f>
        <v/>
      </c>
      <c r="J135" s="42" t="str">
        <f aca="false">IF($M135="","",INDEX(伝票元!$H$6:$H$511,$M135))</f>
        <v/>
      </c>
      <c r="K135" s="46" t="str">
        <f aca="false">IF(IF($M135="",0,INDEX(伝票元!$N$6:$N$511,$M135))=1,INDEX(伝票元!$R$6:$R$511,$M135),"")</f>
        <v/>
      </c>
      <c r="L135" s="47" t="str">
        <f aca="false">IF($M135="","",INDEX(伝票元!$S$6:$S$511,$M135))</f>
        <v/>
      </c>
      <c r="M135" s="47" t="str">
        <f aca="false">IFERROR(MATCH(129,伝票元!$O$6:$O$511,0),"")</f>
        <v/>
      </c>
    </row>
    <row r="136" customFormat="false" ht="15" hidden="false" customHeight="false" outlineLevel="0" collapsed="false">
      <c r="A136" s="10" t="str">
        <f aca="false">IF($M136="","",INDEX(伝票元!$P$6:$P$511,$M136))</f>
        <v/>
      </c>
      <c r="B136" s="45" t="str">
        <f aca="false">IF($M136="","",INDEX(伝票元!$D$6:$D$511,$M136))</f>
        <v/>
      </c>
      <c r="C136" s="10" t="str">
        <f aca="false">IF($M136="","",INDEX(伝票元!$E$6:$E$511,$M136))</f>
        <v/>
      </c>
      <c r="D136" s="45" t="str">
        <f aca="false">IF($M136="","",INDEX(伝票元!$A$6:$A$511,$M136))</f>
        <v/>
      </c>
      <c r="E136" s="10" t="str">
        <f aca="false">IF(IF($M136="",0,INDEX(伝票元!$N$6:$N$511,$M136))=1,INDEX(伝票元!$I$6:$I$511,$M136),"")</f>
        <v/>
      </c>
      <c r="F136" s="45" t="str">
        <f aca="false">IF(IF($M136="",0,INDEX(伝票元!$N$6:$N$511,$M136))=1,INDEX(伝票元!$J$6:$J$511,$M136),"")</f>
        <v/>
      </c>
      <c r="G136" s="42" t="str">
        <f aca="false">IF(IF($M136="",0,INDEX(伝票元!$N$6:$N$511,$M136))=1,INDEX(伝票元!$Q$6:$Q$511,$M136),"")</f>
        <v/>
      </c>
      <c r="H136" s="45" t="str">
        <f aca="false">IF($M136="","",INDEX(伝票元!$F$6:$F$511,$M136))</f>
        <v/>
      </c>
      <c r="I136" s="45" t="str">
        <f aca="false">IF($M136="","",INDEX(伝票元!$G$6:$G$511,$M136))</f>
        <v/>
      </c>
      <c r="J136" s="42" t="str">
        <f aca="false">IF($M136="","",INDEX(伝票元!$H$6:$H$511,$M136))</f>
        <v/>
      </c>
      <c r="K136" s="46" t="str">
        <f aca="false">IF(IF($M136="",0,INDEX(伝票元!$N$6:$N$511,$M136))=1,INDEX(伝票元!$R$6:$R$511,$M136),"")</f>
        <v/>
      </c>
      <c r="L136" s="47" t="str">
        <f aca="false">IF($M136="","",INDEX(伝票元!$S$6:$S$511,$M136))</f>
        <v/>
      </c>
      <c r="M136" s="47" t="str">
        <f aca="false">IFERROR(MATCH(130,伝票元!$O$6:$O$511,0),"")</f>
        <v/>
      </c>
    </row>
    <row r="137" customFormat="false" ht="15" hidden="false" customHeight="false" outlineLevel="0" collapsed="false">
      <c r="A137" s="10" t="str">
        <f aca="false">IF($M137="","",INDEX(伝票元!$P$6:$P$511,$M137))</f>
        <v/>
      </c>
      <c r="B137" s="45" t="str">
        <f aca="false">IF($M137="","",INDEX(伝票元!$D$6:$D$511,$M137))</f>
        <v/>
      </c>
      <c r="C137" s="10" t="str">
        <f aca="false">IF($M137="","",INDEX(伝票元!$E$6:$E$511,$M137))</f>
        <v/>
      </c>
      <c r="D137" s="45" t="str">
        <f aca="false">IF($M137="","",INDEX(伝票元!$A$6:$A$511,$M137))</f>
        <v/>
      </c>
      <c r="E137" s="10" t="str">
        <f aca="false">IF(IF($M137="",0,INDEX(伝票元!$N$6:$N$511,$M137))=1,INDEX(伝票元!$I$6:$I$511,$M137),"")</f>
        <v/>
      </c>
      <c r="F137" s="45" t="str">
        <f aca="false">IF(IF($M137="",0,INDEX(伝票元!$N$6:$N$511,$M137))=1,INDEX(伝票元!$J$6:$J$511,$M137),"")</f>
        <v/>
      </c>
      <c r="G137" s="42" t="str">
        <f aca="false">IF(IF($M137="",0,INDEX(伝票元!$N$6:$N$511,$M137))=1,INDEX(伝票元!$Q$6:$Q$511,$M137),"")</f>
        <v/>
      </c>
      <c r="H137" s="45" t="str">
        <f aca="false">IF($M137="","",INDEX(伝票元!$F$6:$F$511,$M137))</f>
        <v/>
      </c>
      <c r="I137" s="45" t="str">
        <f aca="false">IF($M137="","",INDEX(伝票元!$G$6:$G$511,$M137))</f>
        <v/>
      </c>
      <c r="J137" s="42" t="str">
        <f aca="false">IF($M137="","",INDEX(伝票元!$H$6:$H$511,$M137))</f>
        <v/>
      </c>
      <c r="K137" s="46" t="str">
        <f aca="false">IF(IF($M137="",0,INDEX(伝票元!$N$6:$N$511,$M137))=1,INDEX(伝票元!$R$6:$R$511,$M137),"")</f>
        <v/>
      </c>
      <c r="L137" s="47" t="str">
        <f aca="false">IF($M137="","",INDEX(伝票元!$S$6:$S$511,$M137))</f>
        <v/>
      </c>
      <c r="M137" s="47" t="str">
        <f aca="false">IFERROR(MATCH(131,伝票元!$O$6:$O$511,0),"")</f>
        <v/>
      </c>
    </row>
    <row r="138" customFormat="false" ht="15" hidden="false" customHeight="false" outlineLevel="0" collapsed="false">
      <c r="A138" s="10" t="str">
        <f aca="false">IF($M138="","",INDEX(伝票元!$P$6:$P$511,$M138))</f>
        <v/>
      </c>
      <c r="B138" s="45" t="str">
        <f aca="false">IF($M138="","",INDEX(伝票元!$D$6:$D$511,$M138))</f>
        <v/>
      </c>
      <c r="C138" s="10" t="str">
        <f aca="false">IF($M138="","",INDEX(伝票元!$E$6:$E$511,$M138))</f>
        <v/>
      </c>
      <c r="D138" s="45" t="str">
        <f aca="false">IF($M138="","",INDEX(伝票元!$A$6:$A$511,$M138))</f>
        <v/>
      </c>
      <c r="E138" s="10" t="str">
        <f aca="false">IF(IF($M138="",0,INDEX(伝票元!$N$6:$N$511,$M138))=1,INDEX(伝票元!$I$6:$I$511,$M138),"")</f>
        <v/>
      </c>
      <c r="F138" s="45" t="str">
        <f aca="false">IF(IF($M138="",0,INDEX(伝票元!$N$6:$N$511,$M138))=1,INDEX(伝票元!$J$6:$J$511,$M138),"")</f>
        <v/>
      </c>
      <c r="G138" s="42" t="str">
        <f aca="false">IF(IF($M138="",0,INDEX(伝票元!$N$6:$N$511,$M138))=1,INDEX(伝票元!$Q$6:$Q$511,$M138),"")</f>
        <v/>
      </c>
      <c r="H138" s="45" t="str">
        <f aca="false">IF($M138="","",INDEX(伝票元!$F$6:$F$511,$M138))</f>
        <v/>
      </c>
      <c r="I138" s="45" t="str">
        <f aca="false">IF($M138="","",INDEX(伝票元!$G$6:$G$511,$M138))</f>
        <v/>
      </c>
      <c r="J138" s="42" t="str">
        <f aca="false">IF($M138="","",INDEX(伝票元!$H$6:$H$511,$M138))</f>
        <v/>
      </c>
      <c r="K138" s="46" t="str">
        <f aca="false">IF(IF($M138="",0,INDEX(伝票元!$N$6:$N$511,$M138))=1,INDEX(伝票元!$R$6:$R$511,$M138),"")</f>
        <v/>
      </c>
      <c r="L138" s="47" t="str">
        <f aca="false">IF($M138="","",INDEX(伝票元!$S$6:$S$511,$M138))</f>
        <v/>
      </c>
      <c r="M138" s="47" t="str">
        <f aca="false">IFERROR(MATCH(132,伝票元!$O$6:$O$511,0),"")</f>
        <v/>
      </c>
    </row>
    <row r="139" customFormat="false" ht="15" hidden="false" customHeight="false" outlineLevel="0" collapsed="false">
      <c r="A139" s="10" t="str">
        <f aca="false">IF($M139="","",INDEX(伝票元!$P$6:$P$511,$M139))</f>
        <v/>
      </c>
      <c r="B139" s="45" t="str">
        <f aca="false">IF($M139="","",INDEX(伝票元!$D$6:$D$511,$M139))</f>
        <v/>
      </c>
      <c r="C139" s="10" t="str">
        <f aca="false">IF($M139="","",INDEX(伝票元!$E$6:$E$511,$M139))</f>
        <v/>
      </c>
      <c r="D139" s="45" t="str">
        <f aca="false">IF($M139="","",INDEX(伝票元!$A$6:$A$511,$M139))</f>
        <v/>
      </c>
      <c r="E139" s="10" t="str">
        <f aca="false">IF(IF($M139="",0,INDEX(伝票元!$N$6:$N$511,$M139))=1,INDEX(伝票元!$I$6:$I$511,$M139),"")</f>
        <v/>
      </c>
      <c r="F139" s="45" t="str">
        <f aca="false">IF(IF($M139="",0,INDEX(伝票元!$N$6:$N$511,$M139))=1,INDEX(伝票元!$J$6:$J$511,$M139),"")</f>
        <v/>
      </c>
      <c r="G139" s="42" t="str">
        <f aca="false">IF(IF($M139="",0,INDEX(伝票元!$N$6:$N$511,$M139))=1,INDEX(伝票元!$Q$6:$Q$511,$M139),"")</f>
        <v/>
      </c>
      <c r="H139" s="45" t="str">
        <f aca="false">IF($M139="","",INDEX(伝票元!$F$6:$F$511,$M139))</f>
        <v/>
      </c>
      <c r="I139" s="45" t="str">
        <f aca="false">IF($M139="","",INDEX(伝票元!$G$6:$G$511,$M139))</f>
        <v/>
      </c>
      <c r="J139" s="42" t="str">
        <f aca="false">IF($M139="","",INDEX(伝票元!$H$6:$H$511,$M139))</f>
        <v/>
      </c>
      <c r="K139" s="46" t="str">
        <f aca="false">IF(IF($M139="",0,INDEX(伝票元!$N$6:$N$511,$M139))=1,INDEX(伝票元!$R$6:$R$511,$M139),"")</f>
        <v/>
      </c>
      <c r="L139" s="47" t="str">
        <f aca="false">IF($M139="","",INDEX(伝票元!$S$6:$S$511,$M139))</f>
        <v/>
      </c>
      <c r="M139" s="47" t="str">
        <f aca="false">IFERROR(MATCH(133,伝票元!$O$6:$O$511,0),"")</f>
        <v/>
      </c>
    </row>
    <row r="140" customFormat="false" ht="15" hidden="false" customHeight="false" outlineLevel="0" collapsed="false">
      <c r="A140" s="10" t="str">
        <f aca="false">IF($M140="","",INDEX(伝票元!$P$6:$P$511,$M140))</f>
        <v/>
      </c>
      <c r="B140" s="45" t="str">
        <f aca="false">IF($M140="","",INDEX(伝票元!$D$6:$D$511,$M140))</f>
        <v/>
      </c>
      <c r="C140" s="10" t="str">
        <f aca="false">IF($M140="","",INDEX(伝票元!$E$6:$E$511,$M140))</f>
        <v/>
      </c>
      <c r="D140" s="45" t="str">
        <f aca="false">IF($M140="","",INDEX(伝票元!$A$6:$A$511,$M140))</f>
        <v/>
      </c>
      <c r="E140" s="10" t="str">
        <f aca="false">IF(IF($M140="",0,INDEX(伝票元!$N$6:$N$511,$M140))=1,INDEX(伝票元!$I$6:$I$511,$M140),"")</f>
        <v/>
      </c>
      <c r="F140" s="45" t="str">
        <f aca="false">IF(IF($M140="",0,INDEX(伝票元!$N$6:$N$511,$M140))=1,INDEX(伝票元!$J$6:$J$511,$M140),"")</f>
        <v/>
      </c>
      <c r="G140" s="42" t="str">
        <f aca="false">IF(IF($M140="",0,INDEX(伝票元!$N$6:$N$511,$M140))=1,INDEX(伝票元!$Q$6:$Q$511,$M140),"")</f>
        <v/>
      </c>
      <c r="H140" s="45" t="str">
        <f aca="false">IF($M140="","",INDEX(伝票元!$F$6:$F$511,$M140))</f>
        <v/>
      </c>
      <c r="I140" s="45" t="str">
        <f aca="false">IF($M140="","",INDEX(伝票元!$G$6:$G$511,$M140))</f>
        <v/>
      </c>
      <c r="J140" s="42" t="str">
        <f aca="false">IF($M140="","",INDEX(伝票元!$H$6:$H$511,$M140))</f>
        <v/>
      </c>
      <c r="K140" s="46" t="str">
        <f aca="false">IF(IF($M140="",0,INDEX(伝票元!$N$6:$N$511,$M140))=1,INDEX(伝票元!$R$6:$R$511,$M140),"")</f>
        <v/>
      </c>
      <c r="L140" s="47" t="str">
        <f aca="false">IF($M140="","",INDEX(伝票元!$S$6:$S$511,$M140))</f>
        <v/>
      </c>
      <c r="M140" s="47" t="str">
        <f aca="false">IFERROR(MATCH(134,伝票元!$O$6:$O$511,0),"")</f>
        <v/>
      </c>
    </row>
    <row r="141" customFormat="false" ht="15" hidden="false" customHeight="false" outlineLevel="0" collapsed="false">
      <c r="A141" s="10" t="str">
        <f aca="false">IF($M141="","",INDEX(伝票元!$P$6:$P$511,$M141))</f>
        <v/>
      </c>
      <c r="B141" s="45" t="str">
        <f aca="false">IF($M141="","",INDEX(伝票元!$D$6:$D$511,$M141))</f>
        <v/>
      </c>
      <c r="C141" s="10" t="str">
        <f aca="false">IF($M141="","",INDEX(伝票元!$E$6:$E$511,$M141))</f>
        <v/>
      </c>
      <c r="D141" s="45" t="str">
        <f aca="false">IF($M141="","",INDEX(伝票元!$A$6:$A$511,$M141))</f>
        <v/>
      </c>
      <c r="E141" s="10" t="str">
        <f aca="false">IF(IF($M141="",0,INDEX(伝票元!$N$6:$N$511,$M141))=1,INDEX(伝票元!$I$6:$I$511,$M141),"")</f>
        <v/>
      </c>
      <c r="F141" s="45" t="str">
        <f aca="false">IF(IF($M141="",0,INDEX(伝票元!$N$6:$N$511,$M141))=1,INDEX(伝票元!$J$6:$J$511,$M141),"")</f>
        <v/>
      </c>
      <c r="G141" s="42" t="str">
        <f aca="false">IF(IF($M141="",0,INDEX(伝票元!$N$6:$N$511,$M141))=1,INDEX(伝票元!$Q$6:$Q$511,$M141),"")</f>
        <v/>
      </c>
      <c r="H141" s="45" t="str">
        <f aca="false">IF($M141="","",INDEX(伝票元!$F$6:$F$511,$M141))</f>
        <v/>
      </c>
      <c r="I141" s="45" t="str">
        <f aca="false">IF($M141="","",INDEX(伝票元!$G$6:$G$511,$M141))</f>
        <v/>
      </c>
      <c r="J141" s="42" t="str">
        <f aca="false">IF($M141="","",INDEX(伝票元!$H$6:$H$511,$M141))</f>
        <v/>
      </c>
      <c r="K141" s="46" t="str">
        <f aca="false">IF(IF($M141="",0,INDEX(伝票元!$N$6:$N$511,$M141))=1,INDEX(伝票元!$R$6:$R$511,$M141),"")</f>
        <v/>
      </c>
      <c r="L141" s="47" t="str">
        <f aca="false">IF($M141="","",INDEX(伝票元!$S$6:$S$511,$M141))</f>
        <v/>
      </c>
      <c r="M141" s="47" t="str">
        <f aca="false">IFERROR(MATCH(135,伝票元!$O$6:$O$511,0),"")</f>
        <v/>
      </c>
    </row>
    <row r="142" customFormat="false" ht="15" hidden="false" customHeight="false" outlineLevel="0" collapsed="false">
      <c r="A142" s="10" t="str">
        <f aca="false">IF($M142="","",INDEX(伝票元!$P$6:$P$511,$M142))</f>
        <v/>
      </c>
      <c r="B142" s="45" t="str">
        <f aca="false">IF($M142="","",INDEX(伝票元!$D$6:$D$511,$M142))</f>
        <v/>
      </c>
      <c r="C142" s="10" t="str">
        <f aca="false">IF($M142="","",INDEX(伝票元!$E$6:$E$511,$M142))</f>
        <v/>
      </c>
      <c r="D142" s="45" t="str">
        <f aca="false">IF($M142="","",INDEX(伝票元!$A$6:$A$511,$M142))</f>
        <v/>
      </c>
      <c r="E142" s="10" t="str">
        <f aca="false">IF(IF($M142="",0,INDEX(伝票元!$N$6:$N$511,$M142))=1,INDEX(伝票元!$I$6:$I$511,$M142),"")</f>
        <v/>
      </c>
      <c r="F142" s="45" t="str">
        <f aca="false">IF(IF($M142="",0,INDEX(伝票元!$N$6:$N$511,$M142))=1,INDEX(伝票元!$J$6:$J$511,$M142),"")</f>
        <v/>
      </c>
      <c r="G142" s="42" t="str">
        <f aca="false">IF(IF($M142="",0,INDEX(伝票元!$N$6:$N$511,$M142))=1,INDEX(伝票元!$Q$6:$Q$511,$M142),"")</f>
        <v/>
      </c>
      <c r="H142" s="45" t="str">
        <f aca="false">IF($M142="","",INDEX(伝票元!$F$6:$F$511,$M142))</f>
        <v/>
      </c>
      <c r="I142" s="45" t="str">
        <f aca="false">IF($M142="","",INDEX(伝票元!$G$6:$G$511,$M142))</f>
        <v/>
      </c>
      <c r="J142" s="42" t="str">
        <f aca="false">IF($M142="","",INDEX(伝票元!$H$6:$H$511,$M142))</f>
        <v/>
      </c>
      <c r="K142" s="46" t="str">
        <f aca="false">IF(IF($M142="",0,INDEX(伝票元!$N$6:$N$511,$M142))=1,INDEX(伝票元!$R$6:$R$511,$M142),"")</f>
        <v/>
      </c>
      <c r="L142" s="47" t="str">
        <f aca="false">IF($M142="","",INDEX(伝票元!$S$6:$S$511,$M142))</f>
        <v/>
      </c>
      <c r="M142" s="47" t="str">
        <f aca="false">IFERROR(MATCH(136,伝票元!$O$6:$O$511,0),"")</f>
        <v/>
      </c>
    </row>
    <row r="143" customFormat="false" ht="15" hidden="false" customHeight="false" outlineLevel="0" collapsed="false">
      <c r="A143" s="10" t="str">
        <f aca="false">IF($M143="","",INDEX(伝票元!$P$6:$P$511,$M143))</f>
        <v/>
      </c>
      <c r="B143" s="45" t="str">
        <f aca="false">IF($M143="","",INDEX(伝票元!$D$6:$D$511,$M143))</f>
        <v/>
      </c>
      <c r="C143" s="10" t="str">
        <f aca="false">IF($M143="","",INDEX(伝票元!$E$6:$E$511,$M143))</f>
        <v/>
      </c>
      <c r="D143" s="45" t="str">
        <f aca="false">IF($M143="","",INDEX(伝票元!$A$6:$A$511,$M143))</f>
        <v/>
      </c>
      <c r="E143" s="10" t="str">
        <f aca="false">IF(IF($M143="",0,INDEX(伝票元!$N$6:$N$511,$M143))=1,INDEX(伝票元!$I$6:$I$511,$M143),"")</f>
        <v/>
      </c>
      <c r="F143" s="45" t="str">
        <f aca="false">IF(IF($M143="",0,INDEX(伝票元!$N$6:$N$511,$M143))=1,INDEX(伝票元!$J$6:$J$511,$M143),"")</f>
        <v/>
      </c>
      <c r="G143" s="42" t="str">
        <f aca="false">IF(IF($M143="",0,INDEX(伝票元!$N$6:$N$511,$M143))=1,INDEX(伝票元!$Q$6:$Q$511,$M143),"")</f>
        <v/>
      </c>
      <c r="H143" s="45" t="str">
        <f aca="false">IF($M143="","",INDEX(伝票元!$F$6:$F$511,$M143))</f>
        <v/>
      </c>
      <c r="I143" s="45" t="str">
        <f aca="false">IF($M143="","",INDEX(伝票元!$G$6:$G$511,$M143))</f>
        <v/>
      </c>
      <c r="J143" s="42" t="str">
        <f aca="false">IF($M143="","",INDEX(伝票元!$H$6:$H$511,$M143))</f>
        <v/>
      </c>
      <c r="K143" s="46" t="str">
        <f aca="false">IF(IF($M143="",0,INDEX(伝票元!$N$6:$N$511,$M143))=1,INDEX(伝票元!$R$6:$R$511,$M143),"")</f>
        <v/>
      </c>
      <c r="L143" s="47" t="str">
        <f aca="false">IF($M143="","",INDEX(伝票元!$S$6:$S$511,$M143))</f>
        <v/>
      </c>
      <c r="M143" s="47" t="str">
        <f aca="false">IFERROR(MATCH(137,伝票元!$O$6:$O$511,0),"")</f>
        <v/>
      </c>
    </row>
    <row r="144" customFormat="false" ht="15" hidden="false" customHeight="false" outlineLevel="0" collapsed="false">
      <c r="A144" s="10" t="str">
        <f aca="false">IF($M144="","",INDEX(伝票元!$P$6:$P$511,$M144))</f>
        <v/>
      </c>
      <c r="B144" s="45" t="str">
        <f aca="false">IF($M144="","",INDEX(伝票元!$D$6:$D$511,$M144))</f>
        <v/>
      </c>
      <c r="C144" s="10" t="str">
        <f aca="false">IF($M144="","",INDEX(伝票元!$E$6:$E$511,$M144))</f>
        <v/>
      </c>
      <c r="D144" s="45" t="str">
        <f aca="false">IF($M144="","",INDEX(伝票元!$A$6:$A$511,$M144))</f>
        <v/>
      </c>
      <c r="E144" s="10" t="str">
        <f aca="false">IF(IF($M144="",0,INDEX(伝票元!$N$6:$N$511,$M144))=1,INDEX(伝票元!$I$6:$I$511,$M144),"")</f>
        <v/>
      </c>
      <c r="F144" s="45" t="str">
        <f aca="false">IF(IF($M144="",0,INDEX(伝票元!$N$6:$N$511,$M144))=1,INDEX(伝票元!$J$6:$J$511,$M144),"")</f>
        <v/>
      </c>
      <c r="G144" s="42" t="str">
        <f aca="false">IF(IF($M144="",0,INDEX(伝票元!$N$6:$N$511,$M144))=1,INDEX(伝票元!$Q$6:$Q$511,$M144),"")</f>
        <v/>
      </c>
      <c r="H144" s="45" t="str">
        <f aca="false">IF($M144="","",INDEX(伝票元!$F$6:$F$511,$M144))</f>
        <v/>
      </c>
      <c r="I144" s="45" t="str">
        <f aca="false">IF($M144="","",INDEX(伝票元!$G$6:$G$511,$M144))</f>
        <v/>
      </c>
      <c r="J144" s="42" t="str">
        <f aca="false">IF($M144="","",INDEX(伝票元!$H$6:$H$511,$M144))</f>
        <v/>
      </c>
      <c r="K144" s="46" t="str">
        <f aca="false">IF(IF($M144="",0,INDEX(伝票元!$N$6:$N$511,$M144))=1,INDEX(伝票元!$R$6:$R$511,$M144),"")</f>
        <v/>
      </c>
      <c r="L144" s="47" t="str">
        <f aca="false">IF($M144="","",INDEX(伝票元!$S$6:$S$511,$M144))</f>
        <v/>
      </c>
      <c r="M144" s="47" t="str">
        <f aca="false">IFERROR(MATCH(138,伝票元!$O$6:$O$511,0),"")</f>
        <v/>
      </c>
    </row>
    <row r="145" customFormat="false" ht="15" hidden="false" customHeight="false" outlineLevel="0" collapsed="false">
      <c r="A145" s="10" t="str">
        <f aca="false">IF($M145="","",INDEX(伝票元!$P$6:$P$511,$M145))</f>
        <v/>
      </c>
      <c r="B145" s="45" t="str">
        <f aca="false">IF($M145="","",INDEX(伝票元!$D$6:$D$511,$M145))</f>
        <v/>
      </c>
      <c r="C145" s="10" t="str">
        <f aca="false">IF($M145="","",INDEX(伝票元!$E$6:$E$511,$M145))</f>
        <v/>
      </c>
      <c r="D145" s="45" t="str">
        <f aca="false">IF($M145="","",INDEX(伝票元!$A$6:$A$511,$M145))</f>
        <v/>
      </c>
      <c r="E145" s="10" t="str">
        <f aca="false">IF(IF($M145="",0,INDEX(伝票元!$N$6:$N$511,$M145))=1,INDEX(伝票元!$I$6:$I$511,$M145),"")</f>
        <v/>
      </c>
      <c r="F145" s="45" t="str">
        <f aca="false">IF(IF($M145="",0,INDEX(伝票元!$N$6:$N$511,$M145))=1,INDEX(伝票元!$J$6:$J$511,$M145),"")</f>
        <v/>
      </c>
      <c r="G145" s="42" t="str">
        <f aca="false">IF(IF($M145="",0,INDEX(伝票元!$N$6:$N$511,$M145))=1,INDEX(伝票元!$Q$6:$Q$511,$M145),"")</f>
        <v/>
      </c>
      <c r="H145" s="45" t="str">
        <f aca="false">IF($M145="","",INDEX(伝票元!$F$6:$F$511,$M145))</f>
        <v/>
      </c>
      <c r="I145" s="45" t="str">
        <f aca="false">IF($M145="","",INDEX(伝票元!$G$6:$G$511,$M145))</f>
        <v/>
      </c>
      <c r="J145" s="42" t="str">
        <f aca="false">IF($M145="","",INDEX(伝票元!$H$6:$H$511,$M145))</f>
        <v/>
      </c>
      <c r="K145" s="46" t="str">
        <f aca="false">IF(IF($M145="",0,INDEX(伝票元!$N$6:$N$511,$M145))=1,INDEX(伝票元!$R$6:$R$511,$M145),"")</f>
        <v/>
      </c>
      <c r="L145" s="47" t="str">
        <f aca="false">IF($M145="","",INDEX(伝票元!$S$6:$S$511,$M145))</f>
        <v/>
      </c>
      <c r="M145" s="47" t="str">
        <f aca="false">IFERROR(MATCH(139,伝票元!$O$6:$O$511,0),"")</f>
        <v/>
      </c>
    </row>
    <row r="146" customFormat="false" ht="15" hidden="false" customHeight="false" outlineLevel="0" collapsed="false">
      <c r="A146" s="10" t="str">
        <f aca="false">IF($M146="","",INDEX(伝票元!$P$6:$P$511,$M146))</f>
        <v/>
      </c>
      <c r="B146" s="45" t="str">
        <f aca="false">IF($M146="","",INDEX(伝票元!$D$6:$D$511,$M146))</f>
        <v/>
      </c>
      <c r="C146" s="10" t="str">
        <f aca="false">IF($M146="","",INDEX(伝票元!$E$6:$E$511,$M146))</f>
        <v/>
      </c>
      <c r="D146" s="45" t="str">
        <f aca="false">IF($M146="","",INDEX(伝票元!$A$6:$A$511,$M146))</f>
        <v/>
      </c>
      <c r="E146" s="10" t="str">
        <f aca="false">IF(IF($M146="",0,INDEX(伝票元!$N$6:$N$511,$M146))=1,INDEX(伝票元!$I$6:$I$511,$M146),"")</f>
        <v/>
      </c>
      <c r="F146" s="45" t="str">
        <f aca="false">IF(IF($M146="",0,INDEX(伝票元!$N$6:$N$511,$M146))=1,INDEX(伝票元!$J$6:$J$511,$M146),"")</f>
        <v/>
      </c>
      <c r="G146" s="42" t="str">
        <f aca="false">IF(IF($M146="",0,INDEX(伝票元!$N$6:$N$511,$M146))=1,INDEX(伝票元!$Q$6:$Q$511,$M146),"")</f>
        <v/>
      </c>
      <c r="H146" s="45" t="str">
        <f aca="false">IF($M146="","",INDEX(伝票元!$F$6:$F$511,$M146))</f>
        <v/>
      </c>
      <c r="I146" s="45" t="str">
        <f aca="false">IF($M146="","",INDEX(伝票元!$G$6:$G$511,$M146))</f>
        <v/>
      </c>
      <c r="J146" s="42" t="str">
        <f aca="false">IF($M146="","",INDEX(伝票元!$H$6:$H$511,$M146))</f>
        <v/>
      </c>
      <c r="K146" s="46" t="str">
        <f aca="false">IF(IF($M146="",0,INDEX(伝票元!$N$6:$N$511,$M146))=1,INDEX(伝票元!$R$6:$R$511,$M146),"")</f>
        <v/>
      </c>
      <c r="L146" s="47" t="str">
        <f aca="false">IF($M146="","",INDEX(伝票元!$S$6:$S$511,$M146))</f>
        <v/>
      </c>
      <c r="M146" s="47" t="str">
        <f aca="false">IFERROR(MATCH(140,伝票元!$O$6:$O$511,0),"")</f>
        <v/>
      </c>
    </row>
    <row r="147" customFormat="false" ht="15" hidden="false" customHeight="false" outlineLevel="0" collapsed="false">
      <c r="A147" s="10" t="str">
        <f aca="false">IF($M147="","",INDEX(伝票元!$P$6:$P$511,$M147))</f>
        <v/>
      </c>
      <c r="B147" s="45" t="str">
        <f aca="false">IF($M147="","",INDEX(伝票元!$D$6:$D$511,$M147))</f>
        <v/>
      </c>
      <c r="C147" s="10" t="str">
        <f aca="false">IF($M147="","",INDEX(伝票元!$E$6:$E$511,$M147))</f>
        <v/>
      </c>
      <c r="D147" s="45" t="str">
        <f aca="false">IF($M147="","",INDEX(伝票元!$A$6:$A$511,$M147))</f>
        <v/>
      </c>
      <c r="E147" s="10" t="str">
        <f aca="false">IF(IF($M147="",0,INDEX(伝票元!$N$6:$N$511,$M147))=1,INDEX(伝票元!$I$6:$I$511,$M147),"")</f>
        <v/>
      </c>
      <c r="F147" s="45" t="str">
        <f aca="false">IF(IF($M147="",0,INDEX(伝票元!$N$6:$N$511,$M147))=1,INDEX(伝票元!$J$6:$J$511,$M147),"")</f>
        <v/>
      </c>
      <c r="G147" s="42" t="str">
        <f aca="false">IF(IF($M147="",0,INDEX(伝票元!$N$6:$N$511,$M147))=1,INDEX(伝票元!$Q$6:$Q$511,$M147),"")</f>
        <v/>
      </c>
      <c r="H147" s="45" t="str">
        <f aca="false">IF($M147="","",INDEX(伝票元!$F$6:$F$511,$M147))</f>
        <v/>
      </c>
      <c r="I147" s="45" t="str">
        <f aca="false">IF($M147="","",INDEX(伝票元!$G$6:$G$511,$M147))</f>
        <v/>
      </c>
      <c r="J147" s="42" t="str">
        <f aca="false">IF($M147="","",INDEX(伝票元!$H$6:$H$511,$M147))</f>
        <v/>
      </c>
      <c r="K147" s="46" t="str">
        <f aca="false">IF(IF($M147="",0,INDEX(伝票元!$N$6:$N$511,$M147))=1,INDEX(伝票元!$R$6:$R$511,$M147),"")</f>
        <v/>
      </c>
      <c r="L147" s="47" t="str">
        <f aca="false">IF($M147="","",INDEX(伝票元!$S$6:$S$511,$M147))</f>
        <v/>
      </c>
      <c r="M147" s="47" t="str">
        <f aca="false">IFERROR(MATCH(141,伝票元!$O$6:$O$511,0),"")</f>
        <v/>
      </c>
    </row>
    <row r="148" customFormat="false" ht="15" hidden="false" customHeight="false" outlineLevel="0" collapsed="false">
      <c r="A148" s="10" t="str">
        <f aca="false">IF($M148="","",INDEX(伝票元!$P$6:$P$511,$M148))</f>
        <v/>
      </c>
      <c r="B148" s="45" t="str">
        <f aca="false">IF($M148="","",INDEX(伝票元!$D$6:$D$511,$M148))</f>
        <v/>
      </c>
      <c r="C148" s="10" t="str">
        <f aca="false">IF($M148="","",INDEX(伝票元!$E$6:$E$511,$M148))</f>
        <v/>
      </c>
      <c r="D148" s="45" t="str">
        <f aca="false">IF($M148="","",INDEX(伝票元!$A$6:$A$511,$M148))</f>
        <v/>
      </c>
      <c r="E148" s="10" t="str">
        <f aca="false">IF(IF($M148="",0,INDEX(伝票元!$N$6:$N$511,$M148))=1,INDEX(伝票元!$I$6:$I$511,$M148),"")</f>
        <v/>
      </c>
      <c r="F148" s="45" t="str">
        <f aca="false">IF(IF($M148="",0,INDEX(伝票元!$N$6:$N$511,$M148))=1,INDEX(伝票元!$J$6:$J$511,$M148),"")</f>
        <v/>
      </c>
      <c r="G148" s="42" t="str">
        <f aca="false">IF(IF($M148="",0,INDEX(伝票元!$N$6:$N$511,$M148))=1,INDEX(伝票元!$Q$6:$Q$511,$M148),"")</f>
        <v/>
      </c>
      <c r="H148" s="45" t="str">
        <f aca="false">IF($M148="","",INDEX(伝票元!$F$6:$F$511,$M148))</f>
        <v/>
      </c>
      <c r="I148" s="45" t="str">
        <f aca="false">IF($M148="","",INDEX(伝票元!$G$6:$G$511,$M148))</f>
        <v/>
      </c>
      <c r="J148" s="42" t="str">
        <f aca="false">IF($M148="","",INDEX(伝票元!$H$6:$H$511,$M148))</f>
        <v/>
      </c>
      <c r="K148" s="46" t="str">
        <f aca="false">IF(IF($M148="",0,INDEX(伝票元!$N$6:$N$511,$M148))=1,INDEX(伝票元!$R$6:$R$511,$M148),"")</f>
        <v/>
      </c>
      <c r="L148" s="47" t="str">
        <f aca="false">IF($M148="","",INDEX(伝票元!$S$6:$S$511,$M148))</f>
        <v/>
      </c>
      <c r="M148" s="47" t="str">
        <f aca="false">IFERROR(MATCH(142,伝票元!$O$6:$O$511,0),"")</f>
        <v/>
      </c>
    </row>
    <row r="149" customFormat="false" ht="15" hidden="false" customHeight="false" outlineLevel="0" collapsed="false">
      <c r="A149" s="10" t="str">
        <f aca="false">IF($M149="","",INDEX(伝票元!$P$6:$P$511,$M149))</f>
        <v/>
      </c>
      <c r="B149" s="45" t="str">
        <f aca="false">IF($M149="","",INDEX(伝票元!$D$6:$D$511,$M149))</f>
        <v/>
      </c>
      <c r="C149" s="10" t="str">
        <f aca="false">IF($M149="","",INDEX(伝票元!$E$6:$E$511,$M149))</f>
        <v/>
      </c>
      <c r="D149" s="45" t="str">
        <f aca="false">IF($M149="","",INDEX(伝票元!$A$6:$A$511,$M149))</f>
        <v/>
      </c>
      <c r="E149" s="10" t="str">
        <f aca="false">IF(IF($M149="",0,INDEX(伝票元!$N$6:$N$511,$M149))=1,INDEX(伝票元!$I$6:$I$511,$M149),"")</f>
        <v/>
      </c>
      <c r="F149" s="45" t="str">
        <f aca="false">IF(IF($M149="",0,INDEX(伝票元!$N$6:$N$511,$M149))=1,INDEX(伝票元!$J$6:$J$511,$M149),"")</f>
        <v/>
      </c>
      <c r="G149" s="42" t="str">
        <f aca="false">IF(IF($M149="",0,INDEX(伝票元!$N$6:$N$511,$M149))=1,INDEX(伝票元!$Q$6:$Q$511,$M149),"")</f>
        <v/>
      </c>
      <c r="H149" s="45" t="str">
        <f aca="false">IF($M149="","",INDEX(伝票元!$F$6:$F$511,$M149))</f>
        <v/>
      </c>
      <c r="I149" s="45" t="str">
        <f aca="false">IF($M149="","",INDEX(伝票元!$G$6:$G$511,$M149))</f>
        <v/>
      </c>
      <c r="J149" s="42" t="str">
        <f aca="false">IF($M149="","",INDEX(伝票元!$H$6:$H$511,$M149))</f>
        <v/>
      </c>
      <c r="K149" s="46" t="str">
        <f aca="false">IF(IF($M149="",0,INDEX(伝票元!$N$6:$N$511,$M149))=1,INDEX(伝票元!$R$6:$R$511,$M149),"")</f>
        <v/>
      </c>
      <c r="L149" s="47" t="str">
        <f aca="false">IF($M149="","",INDEX(伝票元!$S$6:$S$511,$M149))</f>
        <v/>
      </c>
      <c r="M149" s="47" t="str">
        <f aca="false">IFERROR(MATCH(143,伝票元!$O$6:$O$511,0),"")</f>
        <v/>
      </c>
    </row>
    <row r="150" customFormat="false" ht="15" hidden="false" customHeight="false" outlineLevel="0" collapsed="false">
      <c r="A150" s="10" t="str">
        <f aca="false">IF($M150="","",INDEX(伝票元!$P$6:$P$511,$M150))</f>
        <v/>
      </c>
      <c r="B150" s="45" t="str">
        <f aca="false">IF($M150="","",INDEX(伝票元!$D$6:$D$511,$M150))</f>
        <v/>
      </c>
      <c r="C150" s="10" t="str">
        <f aca="false">IF($M150="","",INDEX(伝票元!$E$6:$E$511,$M150))</f>
        <v/>
      </c>
      <c r="D150" s="45" t="str">
        <f aca="false">IF($M150="","",INDEX(伝票元!$A$6:$A$511,$M150))</f>
        <v/>
      </c>
      <c r="E150" s="10" t="str">
        <f aca="false">IF(IF($M150="",0,INDEX(伝票元!$N$6:$N$511,$M150))=1,INDEX(伝票元!$I$6:$I$511,$M150),"")</f>
        <v/>
      </c>
      <c r="F150" s="45" t="str">
        <f aca="false">IF(IF($M150="",0,INDEX(伝票元!$N$6:$N$511,$M150))=1,INDEX(伝票元!$J$6:$J$511,$M150),"")</f>
        <v/>
      </c>
      <c r="G150" s="42" t="str">
        <f aca="false">IF(IF($M150="",0,INDEX(伝票元!$N$6:$N$511,$M150))=1,INDEX(伝票元!$Q$6:$Q$511,$M150),"")</f>
        <v/>
      </c>
      <c r="H150" s="45" t="str">
        <f aca="false">IF($M150="","",INDEX(伝票元!$F$6:$F$511,$M150))</f>
        <v/>
      </c>
      <c r="I150" s="45" t="str">
        <f aca="false">IF($M150="","",INDEX(伝票元!$G$6:$G$511,$M150))</f>
        <v/>
      </c>
      <c r="J150" s="42" t="str">
        <f aca="false">IF($M150="","",INDEX(伝票元!$H$6:$H$511,$M150))</f>
        <v/>
      </c>
      <c r="K150" s="46" t="str">
        <f aca="false">IF(IF($M150="",0,INDEX(伝票元!$N$6:$N$511,$M150))=1,INDEX(伝票元!$R$6:$R$511,$M150),"")</f>
        <v/>
      </c>
      <c r="L150" s="47" t="str">
        <f aca="false">IF($M150="","",INDEX(伝票元!$S$6:$S$511,$M150))</f>
        <v/>
      </c>
      <c r="M150" s="47" t="str">
        <f aca="false">IFERROR(MATCH(144,伝票元!$O$6:$O$511,0),"")</f>
        <v/>
      </c>
    </row>
    <row r="151" customFormat="false" ht="15" hidden="false" customHeight="false" outlineLevel="0" collapsed="false">
      <c r="A151" s="10" t="str">
        <f aca="false">IF($M151="","",INDEX(伝票元!$P$6:$P$511,$M151))</f>
        <v/>
      </c>
      <c r="B151" s="45" t="str">
        <f aca="false">IF($M151="","",INDEX(伝票元!$D$6:$D$511,$M151))</f>
        <v/>
      </c>
      <c r="C151" s="10" t="str">
        <f aca="false">IF($M151="","",INDEX(伝票元!$E$6:$E$511,$M151))</f>
        <v/>
      </c>
      <c r="D151" s="45" t="str">
        <f aca="false">IF($M151="","",INDEX(伝票元!$A$6:$A$511,$M151))</f>
        <v/>
      </c>
      <c r="E151" s="10" t="str">
        <f aca="false">IF(IF($M151="",0,INDEX(伝票元!$N$6:$N$511,$M151))=1,INDEX(伝票元!$I$6:$I$511,$M151),"")</f>
        <v/>
      </c>
      <c r="F151" s="45" t="str">
        <f aca="false">IF(IF($M151="",0,INDEX(伝票元!$N$6:$N$511,$M151))=1,INDEX(伝票元!$J$6:$J$511,$M151),"")</f>
        <v/>
      </c>
      <c r="G151" s="42" t="str">
        <f aca="false">IF(IF($M151="",0,INDEX(伝票元!$N$6:$N$511,$M151))=1,INDEX(伝票元!$Q$6:$Q$511,$M151),"")</f>
        <v/>
      </c>
      <c r="H151" s="45" t="str">
        <f aca="false">IF($M151="","",INDEX(伝票元!$F$6:$F$511,$M151))</f>
        <v/>
      </c>
      <c r="I151" s="45" t="str">
        <f aca="false">IF($M151="","",INDEX(伝票元!$G$6:$G$511,$M151))</f>
        <v/>
      </c>
      <c r="J151" s="42" t="str">
        <f aca="false">IF($M151="","",INDEX(伝票元!$H$6:$H$511,$M151))</f>
        <v/>
      </c>
      <c r="K151" s="46" t="str">
        <f aca="false">IF(IF($M151="",0,INDEX(伝票元!$N$6:$N$511,$M151))=1,INDEX(伝票元!$R$6:$R$511,$M151),"")</f>
        <v/>
      </c>
      <c r="L151" s="47" t="str">
        <f aca="false">IF($M151="","",INDEX(伝票元!$S$6:$S$511,$M151))</f>
        <v/>
      </c>
      <c r="M151" s="47" t="str">
        <f aca="false">IFERROR(MATCH(145,伝票元!$O$6:$O$511,0),"")</f>
        <v/>
      </c>
    </row>
    <row r="152" customFormat="false" ht="15" hidden="false" customHeight="false" outlineLevel="0" collapsed="false">
      <c r="A152" s="10" t="str">
        <f aca="false">IF($M152="","",INDEX(伝票元!$P$6:$P$511,$M152))</f>
        <v/>
      </c>
      <c r="B152" s="45" t="str">
        <f aca="false">IF($M152="","",INDEX(伝票元!$D$6:$D$511,$M152))</f>
        <v/>
      </c>
      <c r="C152" s="10" t="str">
        <f aca="false">IF($M152="","",INDEX(伝票元!$E$6:$E$511,$M152))</f>
        <v/>
      </c>
      <c r="D152" s="45" t="str">
        <f aca="false">IF($M152="","",INDEX(伝票元!$A$6:$A$511,$M152))</f>
        <v/>
      </c>
      <c r="E152" s="10" t="str">
        <f aca="false">IF(IF($M152="",0,INDEX(伝票元!$N$6:$N$511,$M152))=1,INDEX(伝票元!$I$6:$I$511,$M152),"")</f>
        <v/>
      </c>
      <c r="F152" s="45" t="str">
        <f aca="false">IF(IF($M152="",0,INDEX(伝票元!$N$6:$N$511,$M152))=1,INDEX(伝票元!$J$6:$J$511,$M152),"")</f>
        <v/>
      </c>
      <c r="G152" s="42" t="str">
        <f aca="false">IF(IF($M152="",0,INDEX(伝票元!$N$6:$N$511,$M152))=1,INDEX(伝票元!$Q$6:$Q$511,$M152),"")</f>
        <v/>
      </c>
      <c r="H152" s="45" t="str">
        <f aca="false">IF($M152="","",INDEX(伝票元!$F$6:$F$511,$M152))</f>
        <v/>
      </c>
      <c r="I152" s="45" t="str">
        <f aca="false">IF($M152="","",INDEX(伝票元!$G$6:$G$511,$M152))</f>
        <v/>
      </c>
      <c r="J152" s="42" t="str">
        <f aca="false">IF($M152="","",INDEX(伝票元!$H$6:$H$511,$M152))</f>
        <v/>
      </c>
      <c r="K152" s="46" t="str">
        <f aca="false">IF(IF($M152="",0,INDEX(伝票元!$N$6:$N$511,$M152))=1,INDEX(伝票元!$R$6:$R$511,$M152),"")</f>
        <v/>
      </c>
      <c r="L152" s="47" t="str">
        <f aca="false">IF($M152="","",INDEX(伝票元!$S$6:$S$511,$M152))</f>
        <v/>
      </c>
      <c r="M152" s="47" t="str">
        <f aca="false">IFERROR(MATCH(146,伝票元!$O$6:$O$511,0),"")</f>
        <v/>
      </c>
    </row>
    <row r="153" customFormat="false" ht="15" hidden="false" customHeight="false" outlineLevel="0" collapsed="false">
      <c r="A153" s="10" t="str">
        <f aca="false">IF($M153="","",INDEX(伝票元!$P$6:$P$511,$M153))</f>
        <v/>
      </c>
      <c r="B153" s="45" t="str">
        <f aca="false">IF($M153="","",INDEX(伝票元!$D$6:$D$511,$M153))</f>
        <v/>
      </c>
      <c r="C153" s="10" t="str">
        <f aca="false">IF($M153="","",INDEX(伝票元!$E$6:$E$511,$M153))</f>
        <v/>
      </c>
      <c r="D153" s="45" t="str">
        <f aca="false">IF($M153="","",INDEX(伝票元!$A$6:$A$511,$M153))</f>
        <v/>
      </c>
      <c r="E153" s="10" t="str">
        <f aca="false">IF(IF($M153="",0,INDEX(伝票元!$N$6:$N$511,$M153))=1,INDEX(伝票元!$I$6:$I$511,$M153),"")</f>
        <v/>
      </c>
      <c r="F153" s="45" t="str">
        <f aca="false">IF(IF($M153="",0,INDEX(伝票元!$N$6:$N$511,$M153))=1,INDEX(伝票元!$J$6:$J$511,$M153),"")</f>
        <v/>
      </c>
      <c r="G153" s="42" t="str">
        <f aca="false">IF(IF($M153="",0,INDEX(伝票元!$N$6:$N$511,$M153))=1,INDEX(伝票元!$Q$6:$Q$511,$M153),"")</f>
        <v/>
      </c>
      <c r="H153" s="45" t="str">
        <f aca="false">IF($M153="","",INDEX(伝票元!$F$6:$F$511,$M153))</f>
        <v/>
      </c>
      <c r="I153" s="45" t="str">
        <f aca="false">IF($M153="","",INDEX(伝票元!$G$6:$G$511,$M153))</f>
        <v/>
      </c>
      <c r="J153" s="42" t="str">
        <f aca="false">IF($M153="","",INDEX(伝票元!$H$6:$H$511,$M153))</f>
        <v/>
      </c>
      <c r="K153" s="46" t="str">
        <f aca="false">IF(IF($M153="",0,INDEX(伝票元!$N$6:$N$511,$M153))=1,INDEX(伝票元!$R$6:$R$511,$M153),"")</f>
        <v/>
      </c>
      <c r="L153" s="47" t="str">
        <f aca="false">IF($M153="","",INDEX(伝票元!$S$6:$S$511,$M153))</f>
        <v/>
      </c>
      <c r="M153" s="47" t="str">
        <f aca="false">IFERROR(MATCH(147,伝票元!$O$6:$O$511,0),"")</f>
        <v/>
      </c>
    </row>
    <row r="154" customFormat="false" ht="15" hidden="false" customHeight="false" outlineLevel="0" collapsed="false">
      <c r="A154" s="10" t="str">
        <f aca="false">IF($M154="","",INDEX(伝票元!$P$6:$P$511,$M154))</f>
        <v/>
      </c>
      <c r="B154" s="45" t="str">
        <f aca="false">IF($M154="","",INDEX(伝票元!$D$6:$D$511,$M154))</f>
        <v/>
      </c>
      <c r="C154" s="10" t="str">
        <f aca="false">IF($M154="","",INDEX(伝票元!$E$6:$E$511,$M154))</f>
        <v/>
      </c>
      <c r="D154" s="45" t="str">
        <f aca="false">IF($M154="","",INDEX(伝票元!$A$6:$A$511,$M154))</f>
        <v/>
      </c>
      <c r="E154" s="10" t="str">
        <f aca="false">IF(IF($M154="",0,INDEX(伝票元!$N$6:$N$511,$M154))=1,INDEX(伝票元!$I$6:$I$511,$M154),"")</f>
        <v/>
      </c>
      <c r="F154" s="45" t="str">
        <f aca="false">IF(IF($M154="",0,INDEX(伝票元!$N$6:$N$511,$M154))=1,INDEX(伝票元!$J$6:$J$511,$M154),"")</f>
        <v/>
      </c>
      <c r="G154" s="42" t="str">
        <f aca="false">IF(IF($M154="",0,INDEX(伝票元!$N$6:$N$511,$M154))=1,INDEX(伝票元!$Q$6:$Q$511,$M154),"")</f>
        <v/>
      </c>
      <c r="H154" s="45" t="str">
        <f aca="false">IF($M154="","",INDEX(伝票元!$F$6:$F$511,$M154))</f>
        <v/>
      </c>
      <c r="I154" s="45" t="str">
        <f aca="false">IF($M154="","",INDEX(伝票元!$G$6:$G$511,$M154))</f>
        <v/>
      </c>
      <c r="J154" s="42" t="str">
        <f aca="false">IF($M154="","",INDEX(伝票元!$H$6:$H$511,$M154))</f>
        <v/>
      </c>
      <c r="K154" s="46" t="str">
        <f aca="false">IF(IF($M154="",0,INDEX(伝票元!$N$6:$N$511,$M154))=1,INDEX(伝票元!$R$6:$R$511,$M154),"")</f>
        <v/>
      </c>
      <c r="L154" s="47" t="str">
        <f aca="false">IF($M154="","",INDEX(伝票元!$S$6:$S$511,$M154))</f>
        <v/>
      </c>
      <c r="M154" s="47" t="str">
        <f aca="false">IFERROR(MATCH(148,伝票元!$O$6:$O$511,0),"")</f>
        <v/>
      </c>
    </row>
    <row r="155" customFormat="false" ht="15" hidden="false" customHeight="false" outlineLevel="0" collapsed="false">
      <c r="A155" s="10" t="str">
        <f aca="false">IF($M155="","",INDEX(伝票元!$P$6:$P$511,$M155))</f>
        <v/>
      </c>
      <c r="B155" s="45" t="str">
        <f aca="false">IF($M155="","",INDEX(伝票元!$D$6:$D$511,$M155))</f>
        <v/>
      </c>
      <c r="C155" s="10" t="str">
        <f aca="false">IF($M155="","",INDEX(伝票元!$E$6:$E$511,$M155))</f>
        <v/>
      </c>
      <c r="D155" s="45" t="str">
        <f aca="false">IF($M155="","",INDEX(伝票元!$A$6:$A$511,$M155))</f>
        <v/>
      </c>
      <c r="E155" s="10" t="str">
        <f aca="false">IF(IF($M155="",0,INDEX(伝票元!$N$6:$N$511,$M155))=1,INDEX(伝票元!$I$6:$I$511,$M155),"")</f>
        <v/>
      </c>
      <c r="F155" s="45" t="str">
        <f aca="false">IF(IF($M155="",0,INDEX(伝票元!$N$6:$N$511,$M155))=1,INDEX(伝票元!$J$6:$J$511,$M155),"")</f>
        <v/>
      </c>
      <c r="G155" s="42" t="str">
        <f aca="false">IF(IF($M155="",0,INDEX(伝票元!$N$6:$N$511,$M155))=1,INDEX(伝票元!$Q$6:$Q$511,$M155),"")</f>
        <v/>
      </c>
      <c r="H155" s="45" t="str">
        <f aca="false">IF($M155="","",INDEX(伝票元!$F$6:$F$511,$M155))</f>
        <v/>
      </c>
      <c r="I155" s="45" t="str">
        <f aca="false">IF($M155="","",INDEX(伝票元!$G$6:$G$511,$M155))</f>
        <v/>
      </c>
      <c r="J155" s="42" t="str">
        <f aca="false">IF($M155="","",INDEX(伝票元!$H$6:$H$511,$M155))</f>
        <v/>
      </c>
      <c r="K155" s="46" t="str">
        <f aca="false">IF(IF($M155="",0,INDEX(伝票元!$N$6:$N$511,$M155))=1,INDEX(伝票元!$R$6:$R$511,$M155),"")</f>
        <v/>
      </c>
      <c r="L155" s="47" t="str">
        <f aca="false">IF($M155="","",INDEX(伝票元!$S$6:$S$511,$M155))</f>
        <v/>
      </c>
      <c r="M155" s="47" t="str">
        <f aca="false">IFERROR(MATCH(149,伝票元!$O$6:$O$511,0),"")</f>
        <v/>
      </c>
    </row>
    <row r="156" customFormat="false" ht="15" hidden="false" customHeight="false" outlineLevel="0" collapsed="false">
      <c r="A156" s="10" t="str">
        <f aca="false">IF($M156="","",INDEX(伝票元!$P$6:$P$511,$M156))</f>
        <v/>
      </c>
      <c r="B156" s="45" t="str">
        <f aca="false">IF($M156="","",INDEX(伝票元!$D$6:$D$511,$M156))</f>
        <v/>
      </c>
      <c r="C156" s="10" t="str">
        <f aca="false">IF($M156="","",INDEX(伝票元!$E$6:$E$511,$M156))</f>
        <v/>
      </c>
      <c r="D156" s="45" t="str">
        <f aca="false">IF($M156="","",INDEX(伝票元!$A$6:$A$511,$M156))</f>
        <v/>
      </c>
      <c r="E156" s="10" t="str">
        <f aca="false">IF(IF($M156="",0,INDEX(伝票元!$N$6:$N$511,$M156))=1,INDEX(伝票元!$I$6:$I$511,$M156),"")</f>
        <v/>
      </c>
      <c r="F156" s="45" t="str">
        <f aca="false">IF(IF($M156="",0,INDEX(伝票元!$N$6:$N$511,$M156))=1,INDEX(伝票元!$J$6:$J$511,$M156),"")</f>
        <v/>
      </c>
      <c r="G156" s="42" t="str">
        <f aca="false">IF(IF($M156="",0,INDEX(伝票元!$N$6:$N$511,$M156))=1,INDEX(伝票元!$Q$6:$Q$511,$M156),"")</f>
        <v/>
      </c>
      <c r="H156" s="45" t="str">
        <f aca="false">IF($M156="","",INDEX(伝票元!$F$6:$F$511,$M156))</f>
        <v/>
      </c>
      <c r="I156" s="45" t="str">
        <f aca="false">IF($M156="","",INDEX(伝票元!$G$6:$G$511,$M156))</f>
        <v/>
      </c>
      <c r="J156" s="42" t="str">
        <f aca="false">IF($M156="","",INDEX(伝票元!$H$6:$H$511,$M156))</f>
        <v/>
      </c>
      <c r="K156" s="46" t="str">
        <f aca="false">IF(IF($M156="",0,INDEX(伝票元!$N$6:$N$511,$M156))=1,INDEX(伝票元!$R$6:$R$511,$M156),"")</f>
        <v/>
      </c>
      <c r="L156" s="47" t="str">
        <f aca="false">IF($M156="","",INDEX(伝票元!$S$6:$S$511,$M156))</f>
        <v/>
      </c>
      <c r="M156" s="47" t="str">
        <f aca="false">IFERROR(MATCH(150,伝票元!$O$6:$O$511,0),"")</f>
        <v/>
      </c>
    </row>
    <row r="157" customFormat="false" ht="15" hidden="false" customHeight="false" outlineLevel="0" collapsed="false">
      <c r="A157" s="10" t="str">
        <f aca="false">IF($M157="","",INDEX(伝票元!$P$6:$P$511,$M157))</f>
        <v/>
      </c>
      <c r="B157" s="45" t="str">
        <f aca="false">IF($M157="","",INDEX(伝票元!$D$6:$D$511,$M157))</f>
        <v/>
      </c>
      <c r="C157" s="10" t="str">
        <f aca="false">IF($M157="","",INDEX(伝票元!$E$6:$E$511,$M157))</f>
        <v/>
      </c>
      <c r="D157" s="45" t="str">
        <f aca="false">IF($M157="","",INDEX(伝票元!$A$6:$A$511,$M157))</f>
        <v/>
      </c>
      <c r="E157" s="10" t="str">
        <f aca="false">IF(IF($M157="",0,INDEX(伝票元!$N$6:$N$511,$M157))=1,INDEX(伝票元!$I$6:$I$511,$M157),"")</f>
        <v/>
      </c>
      <c r="F157" s="45" t="str">
        <f aca="false">IF(IF($M157="",0,INDEX(伝票元!$N$6:$N$511,$M157))=1,INDEX(伝票元!$J$6:$J$511,$M157),"")</f>
        <v/>
      </c>
      <c r="G157" s="42" t="str">
        <f aca="false">IF(IF($M157="",0,INDEX(伝票元!$N$6:$N$511,$M157))=1,INDEX(伝票元!$Q$6:$Q$511,$M157),"")</f>
        <v/>
      </c>
      <c r="H157" s="45" t="str">
        <f aca="false">IF($M157="","",INDEX(伝票元!$F$6:$F$511,$M157))</f>
        <v/>
      </c>
      <c r="I157" s="45" t="str">
        <f aca="false">IF($M157="","",INDEX(伝票元!$G$6:$G$511,$M157))</f>
        <v/>
      </c>
      <c r="J157" s="42" t="str">
        <f aca="false">IF($M157="","",INDEX(伝票元!$H$6:$H$511,$M157))</f>
        <v/>
      </c>
      <c r="K157" s="46" t="str">
        <f aca="false">IF(IF($M157="",0,INDEX(伝票元!$N$6:$N$511,$M157))=1,INDEX(伝票元!$R$6:$R$511,$M157),"")</f>
        <v/>
      </c>
      <c r="L157" s="47" t="str">
        <f aca="false">IF($M157="","",INDEX(伝票元!$S$6:$S$511,$M157))</f>
        <v/>
      </c>
      <c r="M157" s="47" t="str">
        <f aca="false">IFERROR(MATCH(151,伝票元!$O$6:$O$511,0),"")</f>
        <v/>
      </c>
    </row>
    <row r="158" customFormat="false" ht="15" hidden="false" customHeight="false" outlineLevel="0" collapsed="false">
      <c r="A158" s="10" t="str">
        <f aca="false">IF($M158="","",INDEX(伝票元!$P$6:$P$511,$M158))</f>
        <v/>
      </c>
      <c r="B158" s="45" t="str">
        <f aca="false">IF($M158="","",INDEX(伝票元!$D$6:$D$511,$M158))</f>
        <v/>
      </c>
      <c r="C158" s="10" t="str">
        <f aca="false">IF($M158="","",INDEX(伝票元!$E$6:$E$511,$M158))</f>
        <v/>
      </c>
      <c r="D158" s="45" t="str">
        <f aca="false">IF($M158="","",INDEX(伝票元!$A$6:$A$511,$M158))</f>
        <v/>
      </c>
      <c r="E158" s="10" t="str">
        <f aca="false">IF(IF($M158="",0,INDEX(伝票元!$N$6:$N$511,$M158))=1,INDEX(伝票元!$I$6:$I$511,$M158),"")</f>
        <v/>
      </c>
      <c r="F158" s="45" t="str">
        <f aca="false">IF(IF($M158="",0,INDEX(伝票元!$N$6:$N$511,$M158))=1,INDEX(伝票元!$J$6:$J$511,$M158),"")</f>
        <v/>
      </c>
      <c r="G158" s="42" t="str">
        <f aca="false">IF(IF($M158="",0,INDEX(伝票元!$N$6:$N$511,$M158))=1,INDEX(伝票元!$Q$6:$Q$511,$M158),"")</f>
        <v/>
      </c>
      <c r="H158" s="45" t="str">
        <f aca="false">IF($M158="","",INDEX(伝票元!$F$6:$F$511,$M158))</f>
        <v/>
      </c>
      <c r="I158" s="45" t="str">
        <f aca="false">IF($M158="","",INDEX(伝票元!$G$6:$G$511,$M158))</f>
        <v/>
      </c>
      <c r="J158" s="42" t="str">
        <f aca="false">IF($M158="","",INDEX(伝票元!$H$6:$H$511,$M158))</f>
        <v/>
      </c>
      <c r="K158" s="46" t="str">
        <f aca="false">IF(IF($M158="",0,INDEX(伝票元!$N$6:$N$511,$M158))=1,INDEX(伝票元!$R$6:$R$511,$M158),"")</f>
        <v/>
      </c>
      <c r="L158" s="47" t="str">
        <f aca="false">IF($M158="","",INDEX(伝票元!$S$6:$S$511,$M158))</f>
        <v/>
      </c>
      <c r="M158" s="47" t="str">
        <f aca="false">IFERROR(MATCH(152,伝票元!$O$6:$O$511,0),"")</f>
        <v/>
      </c>
    </row>
    <row r="159" customFormat="false" ht="15" hidden="false" customHeight="false" outlineLevel="0" collapsed="false">
      <c r="A159" s="10" t="str">
        <f aca="false">IF($M159="","",INDEX(伝票元!$P$6:$P$511,$M159))</f>
        <v/>
      </c>
      <c r="B159" s="45" t="str">
        <f aca="false">IF($M159="","",INDEX(伝票元!$D$6:$D$511,$M159))</f>
        <v/>
      </c>
      <c r="C159" s="10" t="str">
        <f aca="false">IF($M159="","",INDEX(伝票元!$E$6:$E$511,$M159))</f>
        <v/>
      </c>
      <c r="D159" s="45" t="str">
        <f aca="false">IF($M159="","",INDEX(伝票元!$A$6:$A$511,$M159))</f>
        <v/>
      </c>
      <c r="E159" s="10" t="str">
        <f aca="false">IF(IF($M159="",0,INDEX(伝票元!$N$6:$N$511,$M159))=1,INDEX(伝票元!$I$6:$I$511,$M159),"")</f>
        <v/>
      </c>
      <c r="F159" s="45" t="str">
        <f aca="false">IF(IF($M159="",0,INDEX(伝票元!$N$6:$N$511,$M159))=1,INDEX(伝票元!$J$6:$J$511,$M159),"")</f>
        <v/>
      </c>
      <c r="G159" s="42" t="str">
        <f aca="false">IF(IF($M159="",0,INDEX(伝票元!$N$6:$N$511,$M159))=1,INDEX(伝票元!$Q$6:$Q$511,$M159),"")</f>
        <v/>
      </c>
      <c r="H159" s="45" t="str">
        <f aca="false">IF($M159="","",INDEX(伝票元!$F$6:$F$511,$M159))</f>
        <v/>
      </c>
      <c r="I159" s="45" t="str">
        <f aca="false">IF($M159="","",INDEX(伝票元!$G$6:$G$511,$M159))</f>
        <v/>
      </c>
      <c r="J159" s="42" t="str">
        <f aca="false">IF($M159="","",INDEX(伝票元!$H$6:$H$511,$M159))</f>
        <v/>
      </c>
      <c r="K159" s="46" t="str">
        <f aca="false">IF(IF($M159="",0,INDEX(伝票元!$N$6:$N$511,$M159))=1,INDEX(伝票元!$R$6:$R$511,$M159),"")</f>
        <v/>
      </c>
      <c r="L159" s="47" t="str">
        <f aca="false">IF($M159="","",INDEX(伝票元!$S$6:$S$511,$M159))</f>
        <v/>
      </c>
      <c r="M159" s="47" t="str">
        <f aca="false">IFERROR(MATCH(153,伝票元!$O$6:$O$511,0),"")</f>
        <v/>
      </c>
    </row>
    <row r="160" customFormat="false" ht="15" hidden="false" customHeight="false" outlineLevel="0" collapsed="false">
      <c r="A160" s="10" t="str">
        <f aca="false">IF($M160="","",INDEX(伝票元!$P$6:$P$511,$M160))</f>
        <v/>
      </c>
      <c r="B160" s="45" t="str">
        <f aca="false">IF($M160="","",INDEX(伝票元!$D$6:$D$511,$M160))</f>
        <v/>
      </c>
      <c r="C160" s="10" t="str">
        <f aca="false">IF($M160="","",INDEX(伝票元!$E$6:$E$511,$M160))</f>
        <v/>
      </c>
      <c r="D160" s="45" t="str">
        <f aca="false">IF($M160="","",INDEX(伝票元!$A$6:$A$511,$M160))</f>
        <v/>
      </c>
      <c r="E160" s="10" t="str">
        <f aca="false">IF(IF($M160="",0,INDEX(伝票元!$N$6:$N$511,$M160))=1,INDEX(伝票元!$I$6:$I$511,$M160),"")</f>
        <v/>
      </c>
      <c r="F160" s="45" t="str">
        <f aca="false">IF(IF($M160="",0,INDEX(伝票元!$N$6:$N$511,$M160))=1,INDEX(伝票元!$J$6:$J$511,$M160),"")</f>
        <v/>
      </c>
      <c r="G160" s="42" t="str">
        <f aca="false">IF(IF($M160="",0,INDEX(伝票元!$N$6:$N$511,$M160))=1,INDEX(伝票元!$Q$6:$Q$511,$M160),"")</f>
        <v/>
      </c>
      <c r="H160" s="45" t="str">
        <f aca="false">IF($M160="","",INDEX(伝票元!$F$6:$F$511,$M160))</f>
        <v/>
      </c>
      <c r="I160" s="45" t="str">
        <f aca="false">IF($M160="","",INDEX(伝票元!$G$6:$G$511,$M160))</f>
        <v/>
      </c>
      <c r="J160" s="42" t="str">
        <f aca="false">IF($M160="","",INDEX(伝票元!$H$6:$H$511,$M160))</f>
        <v/>
      </c>
      <c r="K160" s="46" t="str">
        <f aca="false">IF(IF($M160="",0,INDEX(伝票元!$N$6:$N$511,$M160))=1,INDEX(伝票元!$R$6:$R$511,$M160),"")</f>
        <v/>
      </c>
      <c r="L160" s="47" t="str">
        <f aca="false">IF($M160="","",INDEX(伝票元!$S$6:$S$511,$M160))</f>
        <v/>
      </c>
      <c r="M160" s="47" t="str">
        <f aca="false">IFERROR(MATCH(154,伝票元!$O$6:$O$511,0),"")</f>
        <v/>
      </c>
    </row>
    <row r="161" customFormat="false" ht="15" hidden="false" customHeight="false" outlineLevel="0" collapsed="false">
      <c r="A161" s="10" t="str">
        <f aca="false">IF($M161="","",INDEX(伝票元!$P$6:$P$511,$M161))</f>
        <v/>
      </c>
      <c r="B161" s="45" t="str">
        <f aca="false">IF($M161="","",INDEX(伝票元!$D$6:$D$511,$M161))</f>
        <v/>
      </c>
      <c r="C161" s="10" t="str">
        <f aca="false">IF($M161="","",INDEX(伝票元!$E$6:$E$511,$M161))</f>
        <v/>
      </c>
      <c r="D161" s="45" t="str">
        <f aca="false">IF($M161="","",INDEX(伝票元!$A$6:$A$511,$M161))</f>
        <v/>
      </c>
      <c r="E161" s="10" t="str">
        <f aca="false">IF(IF($M161="",0,INDEX(伝票元!$N$6:$N$511,$M161))=1,INDEX(伝票元!$I$6:$I$511,$M161),"")</f>
        <v/>
      </c>
      <c r="F161" s="45" t="str">
        <f aca="false">IF(IF($M161="",0,INDEX(伝票元!$N$6:$N$511,$M161))=1,INDEX(伝票元!$J$6:$J$511,$M161),"")</f>
        <v/>
      </c>
      <c r="G161" s="42" t="str">
        <f aca="false">IF(IF($M161="",0,INDEX(伝票元!$N$6:$N$511,$M161))=1,INDEX(伝票元!$Q$6:$Q$511,$M161),"")</f>
        <v/>
      </c>
      <c r="H161" s="45" t="str">
        <f aca="false">IF($M161="","",INDEX(伝票元!$F$6:$F$511,$M161))</f>
        <v/>
      </c>
      <c r="I161" s="45" t="str">
        <f aca="false">IF($M161="","",INDEX(伝票元!$G$6:$G$511,$M161))</f>
        <v/>
      </c>
      <c r="J161" s="42" t="str">
        <f aca="false">IF($M161="","",INDEX(伝票元!$H$6:$H$511,$M161))</f>
        <v/>
      </c>
      <c r="K161" s="46" t="str">
        <f aca="false">IF(IF($M161="",0,INDEX(伝票元!$N$6:$N$511,$M161))=1,INDEX(伝票元!$R$6:$R$511,$M161),"")</f>
        <v/>
      </c>
      <c r="L161" s="47" t="str">
        <f aca="false">IF($M161="","",INDEX(伝票元!$S$6:$S$511,$M161))</f>
        <v/>
      </c>
      <c r="M161" s="47" t="str">
        <f aca="false">IFERROR(MATCH(155,伝票元!$O$6:$O$511,0),"")</f>
        <v/>
      </c>
    </row>
    <row r="162" customFormat="false" ht="15" hidden="false" customHeight="false" outlineLevel="0" collapsed="false">
      <c r="A162" s="10" t="str">
        <f aca="false">IF($M162="","",INDEX(伝票元!$P$6:$P$511,$M162))</f>
        <v/>
      </c>
      <c r="B162" s="45" t="str">
        <f aca="false">IF($M162="","",INDEX(伝票元!$D$6:$D$511,$M162))</f>
        <v/>
      </c>
      <c r="C162" s="10" t="str">
        <f aca="false">IF($M162="","",INDEX(伝票元!$E$6:$E$511,$M162))</f>
        <v/>
      </c>
      <c r="D162" s="45" t="str">
        <f aca="false">IF($M162="","",INDEX(伝票元!$A$6:$A$511,$M162))</f>
        <v/>
      </c>
      <c r="E162" s="10" t="str">
        <f aca="false">IF(IF($M162="",0,INDEX(伝票元!$N$6:$N$511,$M162))=1,INDEX(伝票元!$I$6:$I$511,$M162),"")</f>
        <v/>
      </c>
      <c r="F162" s="45" t="str">
        <f aca="false">IF(IF($M162="",0,INDEX(伝票元!$N$6:$N$511,$M162))=1,INDEX(伝票元!$J$6:$J$511,$M162),"")</f>
        <v/>
      </c>
      <c r="G162" s="42" t="str">
        <f aca="false">IF(IF($M162="",0,INDEX(伝票元!$N$6:$N$511,$M162))=1,INDEX(伝票元!$Q$6:$Q$511,$M162),"")</f>
        <v/>
      </c>
      <c r="H162" s="45" t="str">
        <f aca="false">IF($M162="","",INDEX(伝票元!$F$6:$F$511,$M162))</f>
        <v/>
      </c>
      <c r="I162" s="45" t="str">
        <f aca="false">IF($M162="","",INDEX(伝票元!$G$6:$G$511,$M162))</f>
        <v/>
      </c>
      <c r="J162" s="42" t="str">
        <f aca="false">IF($M162="","",INDEX(伝票元!$H$6:$H$511,$M162))</f>
        <v/>
      </c>
      <c r="K162" s="46" t="str">
        <f aca="false">IF(IF($M162="",0,INDEX(伝票元!$N$6:$N$511,$M162))=1,INDEX(伝票元!$R$6:$R$511,$M162),"")</f>
        <v/>
      </c>
      <c r="L162" s="47" t="str">
        <f aca="false">IF($M162="","",INDEX(伝票元!$S$6:$S$511,$M162))</f>
        <v/>
      </c>
      <c r="M162" s="47" t="str">
        <f aca="false">IFERROR(MATCH(156,伝票元!$O$6:$O$511,0),"")</f>
        <v/>
      </c>
    </row>
    <row r="163" customFormat="false" ht="15" hidden="false" customHeight="false" outlineLevel="0" collapsed="false">
      <c r="A163" s="10" t="str">
        <f aca="false">IF($M163="","",INDEX(伝票元!$P$6:$P$511,$M163))</f>
        <v/>
      </c>
      <c r="B163" s="45" t="str">
        <f aca="false">IF($M163="","",INDEX(伝票元!$D$6:$D$511,$M163))</f>
        <v/>
      </c>
      <c r="C163" s="10" t="str">
        <f aca="false">IF($M163="","",INDEX(伝票元!$E$6:$E$511,$M163))</f>
        <v/>
      </c>
      <c r="D163" s="45" t="str">
        <f aca="false">IF($M163="","",INDEX(伝票元!$A$6:$A$511,$M163))</f>
        <v/>
      </c>
      <c r="E163" s="10" t="str">
        <f aca="false">IF(IF($M163="",0,INDEX(伝票元!$N$6:$N$511,$M163))=1,INDEX(伝票元!$I$6:$I$511,$M163),"")</f>
        <v/>
      </c>
      <c r="F163" s="45" t="str">
        <f aca="false">IF(IF($M163="",0,INDEX(伝票元!$N$6:$N$511,$M163))=1,INDEX(伝票元!$J$6:$J$511,$M163),"")</f>
        <v/>
      </c>
      <c r="G163" s="42" t="str">
        <f aca="false">IF(IF($M163="",0,INDEX(伝票元!$N$6:$N$511,$M163))=1,INDEX(伝票元!$Q$6:$Q$511,$M163),"")</f>
        <v/>
      </c>
      <c r="H163" s="45" t="str">
        <f aca="false">IF($M163="","",INDEX(伝票元!$F$6:$F$511,$M163))</f>
        <v/>
      </c>
      <c r="I163" s="45" t="str">
        <f aca="false">IF($M163="","",INDEX(伝票元!$G$6:$G$511,$M163))</f>
        <v/>
      </c>
      <c r="J163" s="42" t="str">
        <f aca="false">IF($M163="","",INDEX(伝票元!$H$6:$H$511,$M163))</f>
        <v/>
      </c>
      <c r="K163" s="46" t="str">
        <f aca="false">IF(IF($M163="",0,INDEX(伝票元!$N$6:$N$511,$M163))=1,INDEX(伝票元!$R$6:$R$511,$M163),"")</f>
        <v/>
      </c>
      <c r="L163" s="47" t="str">
        <f aca="false">IF($M163="","",INDEX(伝票元!$S$6:$S$511,$M163))</f>
        <v/>
      </c>
      <c r="M163" s="47" t="str">
        <f aca="false">IFERROR(MATCH(157,伝票元!$O$6:$O$511,0),"")</f>
        <v/>
      </c>
    </row>
    <row r="164" customFormat="false" ht="15" hidden="false" customHeight="false" outlineLevel="0" collapsed="false">
      <c r="A164" s="10" t="str">
        <f aca="false">IF($M164="","",INDEX(伝票元!$P$6:$P$511,$M164))</f>
        <v/>
      </c>
      <c r="B164" s="45" t="str">
        <f aca="false">IF($M164="","",INDEX(伝票元!$D$6:$D$511,$M164))</f>
        <v/>
      </c>
      <c r="C164" s="10" t="str">
        <f aca="false">IF($M164="","",INDEX(伝票元!$E$6:$E$511,$M164))</f>
        <v/>
      </c>
      <c r="D164" s="45" t="str">
        <f aca="false">IF($M164="","",INDEX(伝票元!$A$6:$A$511,$M164))</f>
        <v/>
      </c>
      <c r="E164" s="10" t="str">
        <f aca="false">IF(IF($M164="",0,INDEX(伝票元!$N$6:$N$511,$M164))=1,INDEX(伝票元!$I$6:$I$511,$M164),"")</f>
        <v/>
      </c>
      <c r="F164" s="45" t="str">
        <f aca="false">IF(IF($M164="",0,INDEX(伝票元!$N$6:$N$511,$M164))=1,INDEX(伝票元!$J$6:$J$511,$M164),"")</f>
        <v/>
      </c>
      <c r="G164" s="42" t="str">
        <f aca="false">IF(IF($M164="",0,INDEX(伝票元!$N$6:$N$511,$M164))=1,INDEX(伝票元!$Q$6:$Q$511,$M164),"")</f>
        <v/>
      </c>
      <c r="H164" s="45" t="str">
        <f aca="false">IF($M164="","",INDEX(伝票元!$F$6:$F$511,$M164))</f>
        <v/>
      </c>
      <c r="I164" s="45" t="str">
        <f aca="false">IF($M164="","",INDEX(伝票元!$G$6:$G$511,$M164))</f>
        <v/>
      </c>
      <c r="J164" s="42" t="str">
        <f aca="false">IF($M164="","",INDEX(伝票元!$H$6:$H$511,$M164))</f>
        <v/>
      </c>
      <c r="K164" s="46" t="str">
        <f aca="false">IF(IF($M164="",0,INDEX(伝票元!$N$6:$N$511,$M164))=1,INDEX(伝票元!$R$6:$R$511,$M164),"")</f>
        <v/>
      </c>
      <c r="L164" s="47" t="str">
        <f aca="false">IF($M164="","",INDEX(伝票元!$S$6:$S$511,$M164))</f>
        <v/>
      </c>
      <c r="M164" s="47" t="str">
        <f aca="false">IFERROR(MATCH(158,伝票元!$O$6:$O$511,0),"")</f>
        <v/>
      </c>
    </row>
    <row r="165" customFormat="false" ht="15" hidden="false" customHeight="false" outlineLevel="0" collapsed="false">
      <c r="A165" s="10" t="str">
        <f aca="false">IF($M165="","",INDEX(伝票元!$P$6:$P$511,$M165))</f>
        <v/>
      </c>
      <c r="B165" s="45" t="str">
        <f aca="false">IF($M165="","",INDEX(伝票元!$D$6:$D$511,$M165))</f>
        <v/>
      </c>
      <c r="C165" s="10" t="str">
        <f aca="false">IF($M165="","",INDEX(伝票元!$E$6:$E$511,$M165))</f>
        <v/>
      </c>
      <c r="D165" s="45" t="str">
        <f aca="false">IF($M165="","",INDEX(伝票元!$A$6:$A$511,$M165))</f>
        <v/>
      </c>
      <c r="E165" s="10" t="str">
        <f aca="false">IF(IF($M165="",0,INDEX(伝票元!$N$6:$N$511,$M165))=1,INDEX(伝票元!$I$6:$I$511,$M165),"")</f>
        <v/>
      </c>
      <c r="F165" s="45" t="str">
        <f aca="false">IF(IF($M165="",0,INDEX(伝票元!$N$6:$N$511,$M165))=1,INDEX(伝票元!$J$6:$J$511,$M165),"")</f>
        <v/>
      </c>
      <c r="G165" s="42" t="str">
        <f aca="false">IF(IF($M165="",0,INDEX(伝票元!$N$6:$N$511,$M165))=1,INDEX(伝票元!$Q$6:$Q$511,$M165),"")</f>
        <v/>
      </c>
      <c r="H165" s="45" t="str">
        <f aca="false">IF($M165="","",INDEX(伝票元!$F$6:$F$511,$M165))</f>
        <v/>
      </c>
      <c r="I165" s="45" t="str">
        <f aca="false">IF($M165="","",INDEX(伝票元!$G$6:$G$511,$M165))</f>
        <v/>
      </c>
      <c r="J165" s="42" t="str">
        <f aca="false">IF($M165="","",INDEX(伝票元!$H$6:$H$511,$M165))</f>
        <v/>
      </c>
      <c r="K165" s="46" t="str">
        <f aca="false">IF(IF($M165="",0,INDEX(伝票元!$N$6:$N$511,$M165))=1,INDEX(伝票元!$R$6:$R$511,$M165),"")</f>
        <v/>
      </c>
      <c r="L165" s="47" t="str">
        <f aca="false">IF($M165="","",INDEX(伝票元!$S$6:$S$511,$M165))</f>
        <v/>
      </c>
      <c r="M165" s="47" t="str">
        <f aca="false">IFERROR(MATCH(159,伝票元!$O$6:$O$511,0),"")</f>
        <v/>
      </c>
    </row>
    <row r="166" customFormat="false" ht="15" hidden="false" customHeight="false" outlineLevel="0" collapsed="false">
      <c r="A166" s="10" t="str">
        <f aca="false">IF($M166="","",INDEX(伝票元!$P$6:$P$511,$M166))</f>
        <v/>
      </c>
      <c r="B166" s="45" t="str">
        <f aca="false">IF($M166="","",INDEX(伝票元!$D$6:$D$511,$M166))</f>
        <v/>
      </c>
      <c r="C166" s="10" t="str">
        <f aca="false">IF($M166="","",INDEX(伝票元!$E$6:$E$511,$M166))</f>
        <v/>
      </c>
      <c r="D166" s="45" t="str">
        <f aca="false">IF($M166="","",INDEX(伝票元!$A$6:$A$511,$M166))</f>
        <v/>
      </c>
      <c r="E166" s="10" t="str">
        <f aca="false">IF(IF($M166="",0,INDEX(伝票元!$N$6:$N$511,$M166))=1,INDEX(伝票元!$I$6:$I$511,$M166),"")</f>
        <v/>
      </c>
      <c r="F166" s="45" t="str">
        <f aca="false">IF(IF($M166="",0,INDEX(伝票元!$N$6:$N$511,$M166))=1,INDEX(伝票元!$J$6:$J$511,$M166),"")</f>
        <v/>
      </c>
      <c r="G166" s="42" t="str">
        <f aca="false">IF(IF($M166="",0,INDEX(伝票元!$N$6:$N$511,$M166))=1,INDEX(伝票元!$Q$6:$Q$511,$M166),"")</f>
        <v/>
      </c>
      <c r="H166" s="45" t="str">
        <f aca="false">IF($M166="","",INDEX(伝票元!$F$6:$F$511,$M166))</f>
        <v/>
      </c>
      <c r="I166" s="45" t="str">
        <f aca="false">IF($M166="","",INDEX(伝票元!$G$6:$G$511,$M166))</f>
        <v/>
      </c>
      <c r="J166" s="42" t="str">
        <f aca="false">IF($M166="","",INDEX(伝票元!$H$6:$H$511,$M166))</f>
        <v/>
      </c>
      <c r="K166" s="46" t="str">
        <f aca="false">IF(IF($M166="",0,INDEX(伝票元!$N$6:$N$511,$M166))=1,INDEX(伝票元!$R$6:$R$511,$M166),"")</f>
        <v/>
      </c>
      <c r="L166" s="47" t="str">
        <f aca="false">IF($M166="","",INDEX(伝票元!$S$6:$S$511,$M166))</f>
        <v/>
      </c>
      <c r="M166" s="47" t="str">
        <f aca="false">IFERROR(MATCH(160,伝票元!$O$6:$O$511,0),"")</f>
        <v/>
      </c>
    </row>
    <row r="167" customFormat="false" ht="15" hidden="false" customHeight="false" outlineLevel="0" collapsed="false">
      <c r="A167" s="10" t="str">
        <f aca="false">IF($M167="","",INDEX(伝票元!$P$6:$P$511,$M167))</f>
        <v/>
      </c>
      <c r="B167" s="45" t="str">
        <f aca="false">IF($M167="","",INDEX(伝票元!$D$6:$D$511,$M167))</f>
        <v/>
      </c>
      <c r="C167" s="10" t="str">
        <f aca="false">IF($M167="","",INDEX(伝票元!$E$6:$E$511,$M167))</f>
        <v/>
      </c>
      <c r="D167" s="45" t="str">
        <f aca="false">IF($M167="","",INDEX(伝票元!$A$6:$A$511,$M167))</f>
        <v/>
      </c>
      <c r="E167" s="10" t="str">
        <f aca="false">IF(IF($M167="",0,INDEX(伝票元!$N$6:$N$511,$M167))=1,INDEX(伝票元!$I$6:$I$511,$M167),"")</f>
        <v/>
      </c>
      <c r="F167" s="45" t="str">
        <f aca="false">IF(IF($M167="",0,INDEX(伝票元!$N$6:$N$511,$M167))=1,INDEX(伝票元!$J$6:$J$511,$M167),"")</f>
        <v/>
      </c>
      <c r="G167" s="42" t="str">
        <f aca="false">IF(IF($M167="",0,INDEX(伝票元!$N$6:$N$511,$M167))=1,INDEX(伝票元!$Q$6:$Q$511,$M167),"")</f>
        <v/>
      </c>
      <c r="H167" s="45" t="str">
        <f aca="false">IF($M167="","",INDEX(伝票元!$F$6:$F$511,$M167))</f>
        <v/>
      </c>
      <c r="I167" s="45" t="str">
        <f aca="false">IF($M167="","",INDEX(伝票元!$G$6:$G$511,$M167))</f>
        <v/>
      </c>
      <c r="J167" s="42" t="str">
        <f aca="false">IF($M167="","",INDEX(伝票元!$H$6:$H$511,$M167))</f>
        <v/>
      </c>
      <c r="K167" s="46" t="str">
        <f aca="false">IF(IF($M167="",0,INDEX(伝票元!$N$6:$N$511,$M167))=1,INDEX(伝票元!$R$6:$R$511,$M167),"")</f>
        <v/>
      </c>
      <c r="L167" s="47" t="str">
        <f aca="false">IF($M167="","",INDEX(伝票元!$S$6:$S$511,$M167))</f>
        <v/>
      </c>
      <c r="M167" s="47" t="str">
        <f aca="false">IFERROR(MATCH(161,伝票元!$O$6:$O$511,0),"")</f>
        <v/>
      </c>
    </row>
    <row r="168" customFormat="false" ht="15" hidden="false" customHeight="false" outlineLevel="0" collapsed="false">
      <c r="A168" s="10" t="str">
        <f aca="false">IF($M168="","",INDEX(伝票元!$P$6:$P$511,$M168))</f>
        <v/>
      </c>
      <c r="B168" s="45" t="str">
        <f aca="false">IF($M168="","",INDEX(伝票元!$D$6:$D$511,$M168))</f>
        <v/>
      </c>
      <c r="C168" s="10" t="str">
        <f aca="false">IF($M168="","",INDEX(伝票元!$E$6:$E$511,$M168))</f>
        <v/>
      </c>
      <c r="D168" s="45" t="str">
        <f aca="false">IF($M168="","",INDEX(伝票元!$A$6:$A$511,$M168))</f>
        <v/>
      </c>
      <c r="E168" s="10" t="str">
        <f aca="false">IF(IF($M168="",0,INDEX(伝票元!$N$6:$N$511,$M168))=1,INDEX(伝票元!$I$6:$I$511,$M168),"")</f>
        <v/>
      </c>
      <c r="F168" s="45" t="str">
        <f aca="false">IF(IF($M168="",0,INDEX(伝票元!$N$6:$N$511,$M168))=1,INDEX(伝票元!$J$6:$J$511,$M168),"")</f>
        <v/>
      </c>
      <c r="G168" s="42" t="str">
        <f aca="false">IF(IF($M168="",0,INDEX(伝票元!$N$6:$N$511,$M168))=1,INDEX(伝票元!$Q$6:$Q$511,$M168),"")</f>
        <v/>
      </c>
      <c r="H168" s="45" t="str">
        <f aca="false">IF($M168="","",INDEX(伝票元!$F$6:$F$511,$M168))</f>
        <v/>
      </c>
      <c r="I168" s="45" t="str">
        <f aca="false">IF($M168="","",INDEX(伝票元!$G$6:$G$511,$M168))</f>
        <v/>
      </c>
      <c r="J168" s="42" t="str">
        <f aca="false">IF($M168="","",INDEX(伝票元!$H$6:$H$511,$M168))</f>
        <v/>
      </c>
      <c r="K168" s="46" t="str">
        <f aca="false">IF(IF($M168="",0,INDEX(伝票元!$N$6:$N$511,$M168))=1,INDEX(伝票元!$R$6:$R$511,$M168),"")</f>
        <v/>
      </c>
      <c r="L168" s="47" t="str">
        <f aca="false">IF($M168="","",INDEX(伝票元!$S$6:$S$511,$M168))</f>
        <v/>
      </c>
      <c r="M168" s="47" t="str">
        <f aca="false">IFERROR(MATCH(162,伝票元!$O$6:$O$511,0),"")</f>
        <v/>
      </c>
    </row>
    <row r="169" customFormat="false" ht="15" hidden="false" customHeight="false" outlineLevel="0" collapsed="false">
      <c r="A169" s="10" t="str">
        <f aca="false">IF($M169="","",INDEX(伝票元!$P$6:$P$511,$M169))</f>
        <v/>
      </c>
      <c r="B169" s="45" t="str">
        <f aca="false">IF($M169="","",INDEX(伝票元!$D$6:$D$511,$M169))</f>
        <v/>
      </c>
      <c r="C169" s="10" t="str">
        <f aca="false">IF($M169="","",INDEX(伝票元!$E$6:$E$511,$M169))</f>
        <v/>
      </c>
      <c r="D169" s="45" t="str">
        <f aca="false">IF($M169="","",INDEX(伝票元!$A$6:$A$511,$M169))</f>
        <v/>
      </c>
      <c r="E169" s="10" t="str">
        <f aca="false">IF(IF($M169="",0,INDEX(伝票元!$N$6:$N$511,$M169))=1,INDEX(伝票元!$I$6:$I$511,$M169),"")</f>
        <v/>
      </c>
      <c r="F169" s="45" t="str">
        <f aca="false">IF(IF($M169="",0,INDEX(伝票元!$N$6:$N$511,$M169))=1,INDEX(伝票元!$J$6:$J$511,$M169),"")</f>
        <v/>
      </c>
      <c r="G169" s="42" t="str">
        <f aca="false">IF(IF($M169="",0,INDEX(伝票元!$N$6:$N$511,$M169))=1,INDEX(伝票元!$Q$6:$Q$511,$M169),"")</f>
        <v/>
      </c>
      <c r="H169" s="45" t="str">
        <f aca="false">IF($M169="","",INDEX(伝票元!$F$6:$F$511,$M169))</f>
        <v/>
      </c>
      <c r="I169" s="45" t="str">
        <f aca="false">IF($M169="","",INDEX(伝票元!$G$6:$G$511,$M169))</f>
        <v/>
      </c>
      <c r="J169" s="42" t="str">
        <f aca="false">IF($M169="","",INDEX(伝票元!$H$6:$H$511,$M169))</f>
        <v/>
      </c>
      <c r="K169" s="46" t="str">
        <f aca="false">IF(IF($M169="",0,INDEX(伝票元!$N$6:$N$511,$M169))=1,INDEX(伝票元!$R$6:$R$511,$M169),"")</f>
        <v/>
      </c>
      <c r="L169" s="47" t="str">
        <f aca="false">IF($M169="","",INDEX(伝票元!$S$6:$S$511,$M169))</f>
        <v/>
      </c>
      <c r="M169" s="47" t="str">
        <f aca="false">IFERROR(MATCH(163,伝票元!$O$6:$O$511,0),"")</f>
        <v/>
      </c>
    </row>
    <row r="170" customFormat="false" ht="15" hidden="false" customHeight="false" outlineLevel="0" collapsed="false">
      <c r="A170" s="10" t="str">
        <f aca="false">IF($M170="","",INDEX(伝票元!$P$6:$P$511,$M170))</f>
        <v/>
      </c>
      <c r="B170" s="45" t="str">
        <f aca="false">IF($M170="","",INDEX(伝票元!$D$6:$D$511,$M170))</f>
        <v/>
      </c>
      <c r="C170" s="10" t="str">
        <f aca="false">IF($M170="","",INDEX(伝票元!$E$6:$E$511,$M170))</f>
        <v/>
      </c>
      <c r="D170" s="45" t="str">
        <f aca="false">IF($M170="","",INDEX(伝票元!$A$6:$A$511,$M170))</f>
        <v/>
      </c>
      <c r="E170" s="10" t="str">
        <f aca="false">IF(IF($M170="",0,INDEX(伝票元!$N$6:$N$511,$M170))=1,INDEX(伝票元!$I$6:$I$511,$M170),"")</f>
        <v/>
      </c>
      <c r="F170" s="45" t="str">
        <f aca="false">IF(IF($M170="",0,INDEX(伝票元!$N$6:$N$511,$M170))=1,INDEX(伝票元!$J$6:$J$511,$M170),"")</f>
        <v/>
      </c>
      <c r="G170" s="42" t="str">
        <f aca="false">IF(IF($M170="",0,INDEX(伝票元!$N$6:$N$511,$M170))=1,INDEX(伝票元!$Q$6:$Q$511,$M170),"")</f>
        <v/>
      </c>
      <c r="H170" s="45" t="str">
        <f aca="false">IF($M170="","",INDEX(伝票元!$F$6:$F$511,$M170))</f>
        <v/>
      </c>
      <c r="I170" s="45" t="str">
        <f aca="false">IF($M170="","",INDEX(伝票元!$G$6:$G$511,$M170))</f>
        <v/>
      </c>
      <c r="J170" s="42" t="str">
        <f aca="false">IF($M170="","",INDEX(伝票元!$H$6:$H$511,$M170))</f>
        <v/>
      </c>
      <c r="K170" s="46" t="str">
        <f aca="false">IF(IF($M170="",0,INDEX(伝票元!$N$6:$N$511,$M170))=1,INDEX(伝票元!$R$6:$R$511,$M170),"")</f>
        <v/>
      </c>
      <c r="L170" s="47" t="str">
        <f aca="false">IF($M170="","",INDEX(伝票元!$S$6:$S$511,$M170))</f>
        <v/>
      </c>
      <c r="M170" s="47" t="str">
        <f aca="false">IFERROR(MATCH(164,伝票元!$O$6:$O$511,0),"")</f>
        <v/>
      </c>
    </row>
    <row r="171" customFormat="false" ht="15" hidden="false" customHeight="false" outlineLevel="0" collapsed="false">
      <c r="A171" s="10" t="str">
        <f aca="false">IF($M171="","",INDEX(伝票元!$P$6:$P$511,$M171))</f>
        <v/>
      </c>
      <c r="B171" s="45" t="str">
        <f aca="false">IF($M171="","",INDEX(伝票元!$D$6:$D$511,$M171))</f>
        <v/>
      </c>
      <c r="C171" s="10" t="str">
        <f aca="false">IF($M171="","",INDEX(伝票元!$E$6:$E$511,$M171))</f>
        <v/>
      </c>
      <c r="D171" s="45" t="str">
        <f aca="false">IF($M171="","",INDEX(伝票元!$A$6:$A$511,$M171))</f>
        <v/>
      </c>
      <c r="E171" s="10" t="str">
        <f aca="false">IF(IF($M171="",0,INDEX(伝票元!$N$6:$N$511,$M171))=1,INDEX(伝票元!$I$6:$I$511,$M171),"")</f>
        <v/>
      </c>
      <c r="F171" s="45" t="str">
        <f aca="false">IF(IF($M171="",0,INDEX(伝票元!$N$6:$N$511,$M171))=1,INDEX(伝票元!$J$6:$J$511,$M171),"")</f>
        <v/>
      </c>
      <c r="G171" s="42" t="str">
        <f aca="false">IF(IF($M171="",0,INDEX(伝票元!$N$6:$N$511,$M171))=1,INDEX(伝票元!$Q$6:$Q$511,$M171),"")</f>
        <v/>
      </c>
      <c r="H171" s="45" t="str">
        <f aca="false">IF($M171="","",INDEX(伝票元!$F$6:$F$511,$M171))</f>
        <v/>
      </c>
      <c r="I171" s="45" t="str">
        <f aca="false">IF($M171="","",INDEX(伝票元!$G$6:$G$511,$M171))</f>
        <v/>
      </c>
      <c r="J171" s="42" t="str">
        <f aca="false">IF($M171="","",INDEX(伝票元!$H$6:$H$511,$M171))</f>
        <v/>
      </c>
      <c r="K171" s="46" t="str">
        <f aca="false">IF(IF($M171="",0,INDEX(伝票元!$N$6:$N$511,$M171))=1,INDEX(伝票元!$R$6:$R$511,$M171),"")</f>
        <v/>
      </c>
      <c r="L171" s="47" t="str">
        <f aca="false">IF($M171="","",INDEX(伝票元!$S$6:$S$511,$M171))</f>
        <v/>
      </c>
      <c r="M171" s="47" t="str">
        <f aca="false">IFERROR(MATCH(165,伝票元!$O$6:$O$511,0),"")</f>
        <v/>
      </c>
    </row>
    <row r="172" customFormat="false" ht="15" hidden="false" customHeight="false" outlineLevel="0" collapsed="false">
      <c r="A172" s="10" t="str">
        <f aca="false">IF($M172="","",INDEX(伝票元!$P$6:$P$511,$M172))</f>
        <v/>
      </c>
      <c r="B172" s="45" t="str">
        <f aca="false">IF($M172="","",INDEX(伝票元!$D$6:$D$511,$M172))</f>
        <v/>
      </c>
      <c r="C172" s="10" t="str">
        <f aca="false">IF($M172="","",INDEX(伝票元!$E$6:$E$511,$M172))</f>
        <v/>
      </c>
      <c r="D172" s="45" t="str">
        <f aca="false">IF($M172="","",INDEX(伝票元!$A$6:$A$511,$M172))</f>
        <v/>
      </c>
      <c r="E172" s="10" t="str">
        <f aca="false">IF(IF($M172="",0,INDEX(伝票元!$N$6:$N$511,$M172))=1,INDEX(伝票元!$I$6:$I$511,$M172),"")</f>
        <v/>
      </c>
      <c r="F172" s="45" t="str">
        <f aca="false">IF(IF($M172="",0,INDEX(伝票元!$N$6:$N$511,$M172))=1,INDEX(伝票元!$J$6:$J$511,$M172),"")</f>
        <v/>
      </c>
      <c r="G172" s="42" t="str">
        <f aca="false">IF(IF($M172="",0,INDEX(伝票元!$N$6:$N$511,$M172))=1,INDEX(伝票元!$Q$6:$Q$511,$M172),"")</f>
        <v/>
      </c>
      <c r="H172" s="45" t="str">
        <f aca="false">IF($M172="","",INDEX(伝票元!$F$6:$F$511,$M172))</f>
        <v/>
      </c>
      <c r="I172" s="45" t="str">
        <f aca="false">IF($M172="","",INDEX(伝票元!$G$6:$G$511,$M172))</f>
        <v/>
      </c>
      <c r="J172" s="42" t="str">
        <f aca="false">IF($M172="","",INDEX(伝票元!$H$6:$H$511,$M172))</f>
        <v/>
      </c>
      <c r="K172" s="46" t="str">
        <f aca="false">IF(IF($M172="",0,INDEX(伝票元!$N$6:$N$511,$M172))=1,INDEX(伝票元!$R$6:$R$511,$M172),"")</f>
        <v/>
      </c>
      <c r="L172" s="47" t="str">
        <f aca="false">IF($M172="","",INDEX(伝票元!$S$6:$S$511,$M172))</f>
        <v/>
      </c>
      <c r="M172" s="47" t="str">
        <f aca="false">IFERROR(MATCH(166,伝票元!$O$6:$O$511,0),"")</f>
        <v/>
      </c>
    </row>
    <row r="173" customFormat="false" ht="15" hidden="false" customHeight="false" outlineLevel="0" collapsed="false">
      <c r="A173" s="10" t="str">
        <f aca="false">IF($M173="","",INDEX(伝票元!$P$6:$P$511,$M173))</f>
        <v/>
      </c>
      <c r="B173" s="45" t="str">
        <f aca="false">IF($M173="","",INDEX(伝票元!$D$6:$D$511,$M173))</f>
        <v/>
      </c>
      <c r="C173" s="10" t="str">
        <f aca="false">IF($M173="","",INDEX(伝票元!$E$6:$E$511,$M173))</f>
        <v/>
      </c>
      <c r="D173" s="45" t="str">
        <f aca="false">IF($M173="","",INDEX(伝票元!$A$6:$A$511,$M173))</f>
        <v/>
      </c>
      <c r="E173" s="10" t="str">
        <f aca="false">IF(IF($M173="",0,INDEX(伝票元!$N$6:$N$511,$M173))=1,INDEX(伝票元!$I$6:$I$511,$M173),"")</f>
        <v/>
      </c>
      <c r="F173" s="45" t="str">
        <f aca="false">IF(IF($M173="",0,INDEX(伝票元!$N$6:$N$511,$M173))=1,INDEX(伝票元!$J$6:$J$511,$M173),"")</f>
        <v/>
      </c>
      <c r="G173" s="42" t="str">
        <f aca="false">IF(IF($M173="",0,INDEX(伝票元!$N$6:$N$511,$M173))=1,INDEX(伝票元!$Q$6:$Q$511,$M173),"")</f>
        <v/>
      </c>
      <c r="H173" s="45" t="str">
        <f aca="false">IF($M173="","",INDEX(伝票元!$F$6:$F$511,$M173))</f>
        <v/>
      </c>
      <c r="I173" s="45" t="str">
        <f aca="false">IF($M173="","",INDEX(伝票元!$G$6:$G$511,$M173))</f>
        <v/>
      </c>
      <c r="J173" s="42" t="str">
        <f aca="false">IF($M173="","",INDEX(伝票元!$H$6:$H$511,$M173))</f>
        <v/>
      </c>
      <c r="K173" s="46" t="str">
        <f aca="false">IF(IF($M173="",0,INDEX(伝票元!$N$6:$N$511,$M173))=1,INDEX(伝票元!$R$6:$R$511,$M173),"")</f>
        <v/>
      </c>
      <c r="L173" s="47" t="str">
        <f aca="false">IF($M173="","",INDEX(伝票元!$S$6:$S$511,$M173))</f>
        <v/>
      </c>
      <c r="M173" s="47" t="str">
        <f aca="false">IFERROR(MATCH(167,伝票元!$O$6:$O$511,0),"")</f>
        <v/>
      </c>
    </row>
    <row r="174" customFormat="false" ht="15" hidden="false" customHeight="false" outlineLevel="0" collapsed="false">
      <c r="A174" s="10" t="str">
        <f aca="false">IF($M174="","",INDEX(伝票元!$P$6:$P$511,$M174))</f>
        <v/>
      </c>
      <c r="B174" s="45" t="str">
        <f aca="false">IF($M174="","",INDEX(伝票元!$D$6:$D$511,$M174))</f>
        <v/>
      </c>
      <c r="C174" s="10" t="str">
        <f aca="false">IF($M174="","",INDEX(伝票元!$E$6:$E$511,$M174))</f>
        <v/>
      </c>
      <c r="D174" s="45" t="str">
        <f aca="false">IF($M174="","",INDEX(伝票元!$A$6:$A$511,$M174))</f>
        <v/>
      </c>
      <c r="E174" s="10" t="str">
        <f aca="false">IF(IF($M174="",0,INDEX(伝票元!$N$6:$N$511,$M174))=1,INDEX(伝票元!$I$6:$I$511,$M174),"")</f>
        <v/>
      </c>
      <c r="F174" s="45" t="str">
        <f aca="false">IF(IF($M174="",0,INDEX(伝票元!$N$6:$N$511,$M174))=1,INDEX(伝票元!$J$6:$J$511,$M174),"")</f>
        <v/>
      </c>
      <c r="G174" s="42" t="str">
        <f aca="false">IF(IF($M174="",0,INDEX(伝票元!$N$6:$N$511,$M174))=1,INDEX(伝票元!$Q$6:$Q$511,$M174),"")</f>
        <v/>
      </c>
      <c r="H174" s="45" t="str">
        <f aca="false">IF($M174="","",INDEX(伝票元!$F$6:$F$511,$M174))</f>
        <v/>
      </c>
      <c r="I174" s="45" t="str">
        <f aca="false">IF($M174="","",INDEX(伝票元!$G$6:$G$511,$M174))</f>
        <v/>
      </c>
      <c r="J174" s="42" t="str">
        <f aca="false">IF($M174="","",INDEX(伝票元!$H$6:$H$511,$M174))</f>
        <v/>
      </c>
      <c r="K174" s="46" t="str">
        <f aca="false">IF(IF($M174="",0,INDEX(伝票元!$N$6:$N$511,$M174))=1,INDEX(伝票元!$R$6:$R$511,$M174),"")</f>
        <v/>
      </c>
      <c r="L174" s="47" t="str">
        <f aca="false">IF($M174="","",INDEX(伝票元!$S$6:$S$511,$M174))</f>
        <v/>
      </c>
      <c r="M174" s="47" t="str">
        <f aca="false">IFERROR(MATCH(168,伝票元!$O$6:$O$511,0),"")</f>
        <v/>
      </c>
    </row>
    <row r="175" customFormat="false" ht="15" hidden="false" customHeight="false" outlineLevel="0" collapsed="false">
      <c r="A175" s="10" t="str">
        <f aca="false">IF($M175="","",INDEX(伝票元!$P$6:$P$511,$M175))</f>
        <v/>
      </c>
      <c r="B175" s="45" t="str">
        <f aca="false">IF($M175="","",INDEX(伝票元!$D$6:$D$511,$M175))</f>
        <v/>
      </c>
      <c r="C175" s="10" t="str">
        <f aca="false">IF($M175="","",INDEX(伝票元!$E$6:$E$511,$M175))</f>
        <v/>
      </c>
      <c r="D175" s="45" t="str">
        <f aca="false">IF($M175="","",INDEX(伝票元!$A$6:$A$511,$M175))</f>
        <v/>
      </c>
      <c r="E175" s="10" t="str">
        <f aca="false">IF(IF($M175="",0,INDEX(伝票元!$N$6:$N$511,$M175))=1,INDEX(伝票元!$I$6:$I$511,$M175),"")</f>
        <v/>
      </c>
      <c r="F175" s="45" t="str">
        <f aca="false">IF(IF($M175="",0,INDEX(伝票元!$N$6:$N$511,$M175))=1,INDEX(伝票元!$J$6:$J$511,$M175),"")</f>
        <v/>
      </c>
      <c r="G175" s="42" t="str">
        <f aca="false">IF(IF($M175="",0,INDEX(伝票元!$N$6:$N$511,$M175))=1,INDEX(伝票元!$Q$6:$Q$511,$M175),"")</f>
        <v/>
      </c>
      <c r="H175" s="45" t="str">
        <f aca="false">IF($M175="","",INDEX(伝票元!$F$6:$F$511,$M175))</f>
        <v/>
      </c>
      <c r="I175" s="45" t="str">
        <f aca="false">IF($M175="","",INDEX(伝票元!$G$6:$G$511,$M175))</f>
        <v/>
      </c>
      <c r="J175" s="42" t="str">
        <f aca="false">IF($M175="","",INDEX(伝票元!$H$6:$H$511,$M175))</f>
        <v/>
      </c>
      <c r="K175" s="46" t="str">
        <f aca="false">IF(IF($M175="",0,INDEX(伝票元!$N$6:$N$511,$M175))=1,INDEX(伝票元!$R$6:$R$511,$M175),"")</f>
        <v/>
      </c>
      <c r="L175" s="47" t="str">
        <f aca="false">IF($M175="","",INDEX(伝票元!$S$6:$S$511,$M175))</f>
        <v/>
      </c>
      <c r="M175" s="47" t="str">
        <f aca="false">IFERROR(MATCH(169,伝票元!$O$6:$O$511,0),"")</f>
        <v/>
      </c>
    </row>
    <row r="176" customFormat="false" ht="15" hidden="false" customHeight="false" outlineLevel="0" collapsed="false">
      <c r="A176" s="10" t="str">
        <f aca="false">IF($M176="","",INDEX(伝票元!$P$6:$P$511,$M176))</f>
        <v/>
      </c>
      <c r="B176" s="45" t="str">
        <f aca="false">IF($M176="","",INDEX(伝票元!$D$6:$D$511,$M176))</f>
        <v/>
      </c>
      <c r="C176" s="10" t="str">
        <f aca="false">IF($M176="","",INDEX(伝票元!$E$6:$E$511,$M176))</f>
        <v/>
      </c>
      <c r="D176" s="45" t="str">
        <f aca="false">IF($M176="","",INDEX(伝票元!$A$6:$A$511,$M176))</f>
        <v/>
      </c>
      <c r="E176" s="10" t="str">
        <f aca="false">IF(IF($M176="",0,INDEX(伝票元!$N$6:$N$511,$M176))=1,INDEX(伝票元!$I$6:$I$511,$M176),"")</f>
        <v/>
      </c>
      <c r="F176" s="45" t="str">
        <f aca="false">IF(IF($M176="",0,INDEX(伝票元!$N$6:$N$511,$M176))=1,INDEX(伝票元!$J$6:$J$511,$M176),"")</f>
        <v/>
      </c>
      <c r="G176" s="42" t="str">
        <f aca="false">IF(IF($M176="",0,INDEX(伝票元!$N$6:$N$511,$M176))=1,INDEX(伝票元!$Q$6:$Q$511,$M176),"")</f>
        <v/>
      </c>
      <c r="H176" s="45" t="str">
        <f aca="false">IF($M176="","",INDEX(伝票元!$F$6:$F$511,$M176))</f>
        <v/>
      </c>
      <c r="I176" s="45" t="str">
        <f aca="false">IF($M176="","",INDEX(伝票元!$G$6:$G$511,$M176))</f>
        <v/>
      </c>
      <c r="J176" s="42" t="str">
        <f aca="false">IF($M176="","",INDEX(伝票元!$H$6:$H$511,$M176))</f>
        <v/>
      </c>
      <c r="K176" s="46" t="str">
        <f aca="false">IF(IF($M176="",0,INDEX(伝票元!$N$6:$N$511,$M176))=1,INDEX(伝票元!$R$6:$R$511,$M176),"")</f>
        <v/>
      </c>
      <c r="L176" s="47" t="str">
        <f aca="false">IF($M176="","",INDEX(伝票元!$S$6:$S$511,$M176))</f>
        <v/>
      </c>
      <c r="M176" s="47" t="str">
        <f aca="false">IFERROR(MATCH(170,伝票元!$O$6:$O$511,0),"")</f>
        <v/>
      </c>
    </row>
    <row r="177" customFormat="false" ht="15" hidden="false" customHeight="false" outlineLevel="0" collapsed="false">
      <c r="A177" s="10" t="str">
        <f aca="false">IF($M177="","",INDEX(伝票元!$P$6:$P$511,$M177))</f>
        <v/>
      </c>
      <c r="B177" s="45" t="str">
        <f aca="false">IF($M177="","",INDEX(伝票元!$D$6:$D$511,$M177))</f>
        <v/>
      </c>
      <c r="C177" s="10" t="str">
        <f aca="false">IF($M177="","",INDEX(伝票元!$E$6:$E$511,$M177))</f>
        <v/>
      </c>
      <c r="D177" s="45" t="str">
        <f aca="false">IF($M177="","",INDEX(伝票元!$A$6:$A$511,$M177))</f>
        <v/>
      </c>
      <c r="E177" s="10" t="str">
        <f aca="false">IF(IF($M177="",0,INDEX(伝票元!$N$6:$N$511,$M177))=1,INDEX(伝票元!$I$6:$I$511,$M177),"")</f>
        <v/>
      </c>
      <c r="F177" s="45" t="str">
        <f aca="false">IF(IF($M177="",0,INDEX(伝票元!$N$6:$N$511,$M177))=1,INDEX(伝票元!$J$6:$J$511,$M177),"")</f>
        <v/>
      </c>
      <c r="G177" s="42" t="str">
        <f aca="false">IF(IF($M177="",0,INDEX(伝票元!$N$6:$N$511,$M177))=1,INDEX(伝票元!$Q$6:$Q$511,$M177),"")</f>
        <v/>
      </c>
      <c r="H177" s="45" t="str">
        <f aca="false">IF($M177="","",INDEX(伝票元!$F$6:$F$511,$M177))</f>
        <v/>
      </c>
      <c r="I177" s="45" t="str">
        <f aca="false">IF($M177="","",INDEX(伝票元!$G$6:$G$511,$M177))</f>
        <v/>
      </c>
      <c r="J177" s="42" t="str">
        <f aca="false">IF($M177="","",INDEX(伝票元!$H$6:$H$511,$M177))</f>
        <v/>
      </c>
      <c r="K177" s="46" t="str">
        <f aca="false">IF(IF($M177="",0,INDEX(伝票元!$N$6:$N$511,$M177))=1,INDEX(伝票元!$R$6:$R$511,$M177),"")</f>
        <v/>
      </c>
      <c r="L177" s="47" t="str">
        <f aca="false">IF($M177="","",INDEX(伝票元!$S$6:$S$511,$M177))</f>
        <v/>
      </c>
      <c r="M177" s="47" t="str">
        <f aca="false">IFERROR(MATCH(171,伝票元!$O$6:$O$511,0),"")</f>
        <v/>
      </c>
    </row>
    <row r="178" customFormat="false" ht="15" hidden="false" customHeight="false" outlineLevel="0" collapsed="false">
      <c r="A178" s="10" t="str">
        <f aca="false">IF($M178="","",INDEX(伝票元!$P$6:$P$511,$M178))</f>
        <v/>
      </c>
      <c r="B178" s="45" t="str">
        <f aca="false">IF($M178="","",INDEX(伝票元!$D$6:$D$511,$M178))</f>
        <v/>
      </c>
      <c r="C178" s="10" t="str">
        <f aca="false">IF($M178="","",INDEX(伝票元!$E$6:$E$511,$M178))</f>
        <v/>
      </c>
      <c r="D178" s="45" t="str">
        <f aca="false">IF($M178="","",INDEX(伝票元!$A$6:$A$511,$M178))</f>
        <v/>
      </c>
      <c r="E178" s="10" t="str">
        <f aca="false">IF(IF($M178="",0,INDEX(伝票元!$N$6:$N$511,$M178))=1,INDEX(伝票元!$I$6:$I$511,$M178),"")</f>
        <v/>
      </c>
      <c r="F178" s="45" t="str">
        <f aca="false">IF(IF($M178="",0,INDEX(伝票元!$N$6:$N$511,$M178))=1,INDEX(伝票元!$J$6:$J$511,$M178),"")</f>
        <v/>
      </c>
      <c r="G178" s="42" t="str">
        <f aca="false">IF(IF($M178="",0,INDEX(伝票元!$N$6:$N$511,$M178))=1,INDEX(伝票元!$Q$6:$Q$511,$M178),"")</f>
        <v/>
      </c>
      <c r="H178" s="45" t="str">
        <f aca="false">IF($M178="","",INDEX(伝票元!$F$6:$F$511,$M178))</f>
        <v/>
      </c>
      <c r="I178" s="45" t="str">
        <f aca="false">IF($M178="","",INDEX(伝票元!$G$6:$G$511,$M178))</f>
        <v/>
      </c>
      <c r="J178" s="42" t="str">
        <f aca="false">IF($M178="","",INDEX(伝票元!$H$6:$H$511,$M178))</f>
        <v/>
      </c>
      <c r="K178" s="46" t="str">
        <f aca="false">IF(IF($M178="",0,INDEX(伝票元!$N$6:$N$511,$M178))=1,INDEX(伝票元!$R$6:$R$511,$M178),"")</f>
        <v/>
      </c>
      <c r="L178" s="47" t="str">
        <f aca="false">IF($M178="","",INDEX(伝票元!$S$6:$S$511,$M178))</f>
        <v/>
      </c>
      <c r="M178" s="47" t="str">
        <f aca="false">IFERROR(MATCH(172,伝票元!$O$6:$O$511,0),"")</f>
        <v/>
      </c>
    </row>
    <row r="179" customFormat="false" ht="15" hidden="false" customHeight="false" outlineLevel="0" collapsed="false">
      <c r="A179" s="10" t="str">
        <f aca="false">IF($M179="","",INDEX(伝票元!$P$6:$P$511,$M179))</f>
        <v/>
      </c>
      <c r="B179" s="45" t="str">
        <f aca="false">IF($M179="","",INDEX(伝票元!$D$6:$D$511,$M179))</f>
        <v/>
      </c>
      <c r="C179" s="10" t="str">
        <f aca="false">IF($M179="","",INDEX(伝票元!$E$6:$E$511,$M179))</f>
        <v/>
      </c>
      <c r="D179" s="45" t="str">
        <f aca="false">IF($M179="","",INDEX(伝票元!$A$6:$A$511,$M179))</f>
        <v/>
      </c>
      <c r="E179" s="10" t="str">
        <f aca="false">IF(IF($M179="",0,INDEX(伝票元!$N$6:$N$511,$M179))=1,INDEX(伝票元!$I$6:$I$511,$M179),"")</f>
        <v/>
      </c>
      <c r="F179" s="45" t="str">
        <f aca="false">IF(IF($M179="",0,INDEX(伝票元!$N$6:$N$511,$M179))=1,INDEX(伝票元!$J$6:$J$511,$M179),"")</f>
        <v/>
      </c>
      <c r="G179" s="42" t="str">
        <f aca="false">IF(IF($M179="",0,INDEX(伝票元!$N$6:$N$511,$M179))=1,INDEX(伝票元!$Q$6:$Q$511,$M179),"")</f>
        <v/>
      </c>
      <c r="H179" s="45" t="str">
        <f aca="false">IF($M179="","",INDEX(伝票元!$F$6:$F$511,$M179))</f>
        <v/>
      </c>
      <c r="I179" s="45" t="str">
        <f aca="false">IF($M179="","",INDEX(伝票元!$G$6:$G$511,$M179))</f>
        <v/>
      </c>
      <c r="J179" s="42" t="str">
        <f aca="false">IF($M179="","",INDEX(伝票元!$H$6:$H$511,$M179))</f>
        <v/>
      </c>
      <c r="K179" s="46" t="str">
        <f aca="false">IF(IF($M179="",0,INDEX(伝票元!$N$6:$N$511,$M179))=1,INDEX(伝票元!$R$6:$R$511,$M179),"")</f>
        <v/>
      </c>
      <c r="L179" s="47" t="str">
        <f aca="false">IF($M179="","",INDEX(伝票元!$S$6:$S$511,$M179))</f>
        <v/>
      </c>
      <c r="M179" s="47" t="str">
        <f aca="false">IFERROR(MATCH(173,伝票元!$O$6:$O$511,0),"")</f>
        <v/>
      </c>
    </row>
    <row r="180" customFormat="false" ht="15" hidden="false" customHeight="false" outlineLevel="0" collapsed="false">
      <c r="A180" s="10" t="str">
        <f aca="false">IF($M180="","",INDEX(伝票元!$P$6:$P$511,$M180))</f>
        <v/>
      </c>
      <c r="B180" s="45" t="str">
        <f aca="false">IF($M180="","",INDEX(伝票元!$D$6:$D$511,$M180))</f>
        <v/>
      </c>
      <c r="C180" s="10" t="str">
        <f aca="false">IF($M180="","",INDEX(伝票元!$E$6:$E$511,$M180))</f>
        <v/>
      </c>
      <c r="D180" s="45" t="str">
        <f aca="false">IF($M180="","",INDEX(伝票元!$A$6:$A$511,$M180))</f>
        <v/>
      </c>
      <c r="E180" s="10" t="str">
        <f aca="false">IF(IF($M180="",0,INDEX(伝票元!$N$6:$N$511,$M180))=1,INDEX(伝票元!$I$6:$I$511,$M180),"")</f>
        <v/>
      </c>
      <c r="F180" s="45" t="str">
        <f aca="false">IF(IF($M180="",0,INDEX(伝票元!$N$6:$N$511,$M180))=1,INDEX(伝票元!$J$6:$J$511,$M180),"")</f>
        <v/>
      </c>
      <c r="G180" s="42" t="str">
        <f aca="false">IF(IF($M180="",0,INDEX(伝票元!$N$6:$N$511,$M180))=1,INDEX(伝票元!$Q$6:$Q$511,$M180),"")</f>
        <v/>
      </c>
      <c r="H180" s="45" t="str">
        <f aca="false">IF($M180="","",INDEX(伝票元!$F$6:$F$511,$M180))</f>
        <v/>
      </c>
      <c r="I180" s="45" t="str">
        <f aca="false">IF($M180="","",INDEX(伝票元!$G$6:$G$511,$M180))</f>
        <v/>
      </c>
      <c r="J180" s="42" t="str">
        <f aca="false">IF($M180="","",INDEX(伝票元!$H$6:$H$511,$M180))</f>
        <v/>
      </c>
      <c r="K180" s="46" t="str">
        <f aca="false">IF(IF($M180="",0,INDEX(伝票元!$N$6:$N$511,$M180))=1,INDEX(伝票元!$R$6:$R$511,$M180),"")</f>
        <v/>
      </c>
      <c r="L180" s="47" t="str">
        <f aca="false">IF($M180="","",INDEX(伝票元!$S$6:$S$511,$M180))</f>
        <v/>
      </c>
      <c r="M180" s="47" t="str">
        <f aca="false">IFERROR(MATCH(174,伝票元!$O$6:$O$511,0),"")</f>
        <v/>
      </c>
    </row>
    <row r="181" customFormat="false" ht="15" hidden="false" customHeight="false" outlineLevel="0" collapsed="false">
      <c r="A181" s="10" t="str">
        <f aca="false">IF($M181="","",INDEX(伝票元!$P$6:$P$511,$M181))</f>
        <v/>
      </c>
      <c r="B181" s="45" t="str">
        <f aca="false">IF($M181="","",INDEX(伝票元!$D$6:$D$511,$M181))</f>
        <v/>
      </c>
      <c r="C181" s="10" t="str">
        <f aca="false">IF($M181="","",INDEX(伝票元!$E$6:$E$511,$M181))</f>
        <v/>
      </c>
      <c r="D181" s="45" t="str">
        <f aca="false">IF($M181="","",INDEX(伝票元!$A$6:$A$511,$M181))</f>
        <v/>
      </c>
      <c r="E181" s="10" t="str">
        <f aca="false">IF(IF($M181="",0,INDEX(伝票元!$N$6:$N$511,$M181))=1,INDEX(伝票元!$I$6:$I$511,$M181),"")</f>
        <v/>
      </c>
      <c r="F181" s="45" t="str">
        <f aca="false">IF(IF($M181="",0,INDEX(伝票元!$N$6:$N$511,$M181))=1,INDEX(伝票元!$J$6:$J$511,$M181),"")</f>
        <v/>
      </c>
      <c r="G181" s="42" t="str">
        <f aca="false">IF(IF($M181="",0,INDEX(伝票元!$N$6:$N$511,$M181))=1,INDEX(伝票元!$Q$6:$Q$511,$M181),"")</f>
        <v/>
      </c>
      <c r="H181" s="45" t="str">
        <f aca="false">IF($M181="","",INDEX(伝票元!$F$6:$F$511,$M181))</f>
        <v/>
      </c>
      <c r="I181" s="45" t="str">
        <f aca="false">IF($M181="","",INDEX(伝票元!$G$6:$G$511,$M181))</f>
        <v/>
      </c>
      <c r="J181" s="42" t="str">
        <f aca="false">IF($M181="","",INDEX(伝票元!$H$6:$H$511,$M181))</f>
        <v/>
      </c>
      <c r="K181" s="46" t="str">
        <f aca="false">IF(IF($M181="",0,INDEX(伝票元!$N$6:$N$511,$M181))=1,INDEX(伝票元!$R$6:$R$511,$M181),"")</f>
        <v/>
      </c>
      <c r="L181" s="47" t="str">
        <f aca="false">IF($M181="","",INDEX(伝票元!$S$6:$S$511,$M181))</f>
        <v/>
      </c>
      <c r="M181" s="47" t="str">
        <f aca="false">IFERROR(MATCH(175,伝票元!$O$6:$O$511,0),"")</f>
        <v/>
      </c>
    </row>
    <row r="182" customFormat="false" ht="15" hidden="false" customHeight="false" outlineLevel="0" collapsed="false">
      <c r="A182" s="10" t="str">
        <f aca="false">IF($M182="","",INDEX(伝票元!$P$6:$P$511,$M182))</f>
        <v/>
      </c>
      <c r="B182" s="45" t="str">
        <f aca="false">IF($M182="","",INDEX(伝票元!$D$6:$D$511,$M182))</f>
        <v/>
      </c>
      <c r="C182" s="10" t="str">
        <f aca="false">IF($M182="","",INDEX(伝票元!$E$6:$E$511,$M182))</f>
        <v/>
      </c>
      <c r="D182" s="45" t="str">
        <f aca="false">IF($M182="","",INDEX(伝票元!$A$6:$A$511,$M182))</f>
        <v/>
      </c>
      <c r="E182" s="10" t="str">
        <f aca="false">IF(IF($M182="",0,INDEX(伝票元!$N$6:$N$511,$M182))=1,INDEX(伝票元!$I$6:$I$511,$M182),"")</f>
        <v/>
      </c>
      <c r="F182" s="45" t="str">
        <f aca="false">IF(IF($M182="",0,INDEX(伝票元!$N$6:$N$511,$M182))=1,INDEX(伝票元!$J$6:$J$511,$M182),"")</f>
        <v/>
      </c>
      <c r="G182" s="42" t="str">
        <f aca="false">IF(IF($M182="",0,INDEX(伝票元!$N$6:$N$511,$M182))=1,INDEX(伝票元!$Q$6:$Q$511,$M182),"")</f>
        <v/>
      </c>
      <c r="H182" s="45" t="str">
        <f aca="false">IF($M182="","",INDEX(伝票元!$F$6:$F$511,$M182))</f>
        <v/>
      </c>
      <c r="I182" s="45" t="str">
        <f aca="false">IF($M182="","",INDEX(伝票元!$G$6:$G$511,$M182))</f>
        <v/>
      </c>
      <c r="J182" s="42" t="str">
        <f aca="false">IF($M182="","",INDEX(伝票元!$H$6:$H$511,$M182))</f>
        <v/>
      </c>
      <c r="K182" s="46" t="str">
        <f aca="false">IF(IF($M182="",0,INDEX(伝票元!$N$6:$N$511,$M182))=1,INDEX(伝票元!$R$6:$R$511,$M182),"")</f>
        <v/>
      </c>
      <c r="L182" s="47" t="str">
        <f aca="false">IF($M182="","",INDEX(伝票元!$S$6:$S$511,$M182))</f>
        <v/>
      </c>
      <c r="M182" s="47" t="str">
        <f aca="false">IFERROR(MATCH(176,伝票元!$O$6:$O$511,0),"")</f>
        <v/>
      </c>
    </row>
    <row r="183" customFormat="false" ht="15" hidden="false" customHeight="false" outlineLevel="0" collapsed="false">
      <c r="A183" s="10" t="str">
        <f aca="false">IF($M183="","",INDEX(伝票元!$P$6:$P$511,$M183))</f>
        <v/>
      </c>
      <c r="B183" s="45" t="str">
        <f aca="false">IF($M183="","",INDEX(伝票元!$D$6:$D$511,$M183))</f>
        <v/>
      </c>
      <c r="C183" s="10" t="str">
        <f aca="false">IF($M183="","",INDEX(伝票元!$E$6:$E$511,$M183))</f>
        <v/>
      </c>
      <c r="D183" s="45" t="str">
        <f aca="false">IF($M183="","",INDEX(伝票元!$A$6:$A$511,$M183))</f>
        <v/>
      </c>
      <c r="E183" s="10" t="str">
        <f aca="false">IF(IF($M183="",0,INDEX(伝票元!$N$6:$N$511,$M183))=1,INDEX(伝票元!$I$6:$I$511,$M183),"")</f>
        <v/>
      </c>
      <c r="F183" s="45" t="str">
        <f aca="false">IF(IF($M183="",0,INDEX(伝票元!$N$6:$N$511,$M183))=1,INDEX(伝票元!$J$6:$J$511,$M183),"")</f>
        <v/>
      </c>
      <c r="G183" s="42" t="str">
        <f aca="false">IF(IF($M183="",0,INDEX(伝票元!$N$6:$N$511,$M183))=1,INDEX(伝票元!$Q$6:$Q$511,$M183),"")</f>
        <v/>
      </c>
      <c r="H183" s="45" t="str">
        <f aca="false">IF($M183="","",INDEX(伝票元!$F$6:$F$511,$M183))</f>
        <v/>
      </c>
      <c r="I183" s="45" t="str">
        <f aca="false">IF($M183="","",INDEX(伝票元!$G$6:$G$511,$M183))</f>
        <v/>
      </c>
      <c r="J183" s="42" t="str">
        <f aca="false">IF($M183="","",INDEX(伝票元!$H$6:$H$511,$M183))</f>
        <v/>
      </c>
      <c r="K183" s="46" t="str">
        <f aca="false">IF(IF($M183="",0,INDEX(伝票元!$N$6:$N$511,$M183))=1,INDEX(伝票元!$R$6:$R$511,$M183),"")</f>
        <v/>
      </c>
      <c r="L183" s="47" t="str">
        <f aca="false">IF($M183="","",INDEX(伝票元!$S$6:$S$511,$M183))</f>
        <v/>
      </c>
      <c r="M183" s="47" t="str">
        <f aca="false">IFERROR(MATCH(177,伝票元!$O$6:$O$511,0),"")</f>
        <v/>
      </c>
    </row>
    <row r="184" customFormat="false" ht="15" hidden="false" customHeight="false" outlineLevel="0" collapsed="false">
      <c r="A184" s="10" t="str">
        <f aca="false">IF($M184="","",INDEX(伝票元!$P$6:$P$511,$M184))</f>
        <v/>
      </c>
      <c r="B184" s="45" t="str">
        <f aca="false">IF($M184="","",INDEX(伝票元!$D$6:$D$511,$M184))</f>
        <v/>
      </c>
      <c r="C184" s="10" t="str">
        <f aca="false">IF($M184="","",INDEX(伝票元!$E$6:$E$511,$M184))</f>
        <v/>
      </c>
      <c r="D184" s="45" t="str">
        <f aca="false">IF($M184="","",INDEX(伝票元!$A$6:$A$511,$M184))</f>
        <v/>
      </c>
      <c r="E184" s="10" t="str">
        <f aca="false">IF(IF($M184="",0,INDEX(伝票元!$N$6:$N$511,$M184))=1,INDEX(伝票元!$I$6:$I$511,$M184),"")</f>
        <v/>
      </c>
      <c r="F184" s="45" t="str">
        <f aca="false">IF(IF($M184="",0,INDEX(伝票元!$N$6:$N$511,$M184))=1,INDEX(伝票元!$J$6:$J$511,$M184),"")</f>
        <v/>
      </c>
      <c r="G184" s="42" t="str">
        <f aca="false">IF(IF($M184="",0,INDEX(伝票元!$N$6:$N$511,$M184))=1,INDEX(伝票元!$Q$6:$Q$511,$M184),"")</f>
        <v/>
      </c>
      <c r="H184" s="45" t="str">
        <f aca="false">IF($M184="","",INDEX(伝票元!$F$6:$F$511,$M184))</f>
        <v/>
      </c>
      <c r="I184" s="45" t="str">
        <f aca="false">IF($M184="","",INDEX(伝票元!$G$6:$G$511,$M184))</f>
        <v/>
      </c>
      <c r="J184" s="42" t="str">
        <f aca="false">IF($M184="","",INDEX(伝票元!$H$6:$H$511,$M184))</f>
        <v/>
      </c>
      <c r="K184" s="46" t="str">
        <f aca="false">IF(IF($M184="",0,INDEX(伝票元!$N$6:$N$511,$M184))=1,INDEX(伝票元!$R$6:$R$511,$M184),"")</f>
        <v/>
      </c>
      <c r="L184" s="47" t="str">
        <f aca="false">IF($M184="","",INDEX(伝票元!$S$6:$S$511,$M184))</f>
        <v/>
      </c>
      <c r="M184" s="47" t="str">
        <f aca="false">IFERROR(MATCH(178,伝票元!$O$6:$O$511,0),"")</f>
        <v/>
      </c>
    </row>
    <row r="185" customFormat="false" ht="15" hidden="false" customHeight="false" outlineLevel="0" collapsed="false">
      <c r="A185" s="10" t="str">
        <f aca="false">IF($M185="","",INDEX(伝票元!$P$6:$P$511,$M185))</f>
        <v/>
      </c>
      <c r="B185" s="45" t="str">
        <f aca="false">IF($M185="","",INDEX(伝票元!$D$6:$D$511,$M185))</f>
        <v/>
      </c>
      <c r="C185" s="10" t="str">
        <f aca="false">IF($M185="","",INDEX(伝票元!$E$6:$E$511,$M185))</f>
        <v/>
      </c>
      <c r="D185" s="45" t="str">
        <f aca="false">IF($M185="","",INDEX(伝票元!$A$6:$A$511,$M185))</f>
        <v/>
      </c>
      <c r="E185" s="10" t="str">
        <f aca="false">IF(IF($M185="",0,INDEX(伝票元!$N$6:$N$511,$M185))=1,INDEX(伝票元!$I$6:$I$511,$M185),"")</f>
        <v/>
      </c>
      <c r="F185" s="45" t="str">
        <f aca="false">IF(IF($M185="",0,INDEX(伝票元!$N$6:$N$511,$M185))=1,INDEX(伝票元!$J$6:$J$511,$M185),"")</f>
        <v/>
      </c>
      <c r="G185" s="42" t="str">
        <f aca="false">IF(IF($M185="",0,INDEX(伝票元!$N$6:$N$511,$M185))=1,INDEX(伝票元!$Q$6:$Q$511,$M185),"")</f>
        <v/>
      </c>
      <c r="H185" s="45" t="str">
        <f aca="false">IF($M185="","",INDEX(伝票元!$F$6:$F$511,$M185))</f>
        <v/>
      </c>
      <c r="I185" s="45" t="str">
        <f aca="false">IF($M185="","",INDEX(伝票元!$G$6:$G$511,$M185))</f>
        <v/>
      </c>
      <c r="J185" s="42" t="str">
        <f aca="false">IF($M185="","",INDEX(伝票元!$H$6:$H$511,$M185))</f>
        <v/>
      </c>
      <c r="K185" s="46" t="str">
        <f aca="false">IF(IF($M185="",0,INDEX(伝票元!$N$6:$N$511,$M185))=1,INDEX(伝票元!$R$6:$R$511,$M185),"")</f>
        <v/>
      </c>
      <c r="L185" s="47" t="str">
        <f aca="false">IF($M185="","",INDEX(伝票元!$S$6:$S$511,$M185))</f>
        <v/>
      </c>
      <c r="M185" s="47" t="str">
        <f aca="false">IFERROR(MATCH(179,伝票元!$O$6:$O$511,0),"")</f>
        <v/>
      </c>
    </row>
    <row r="186" customFormat="false" ht="15" hidden="false" customHeight="false" outlineLevel="0" collapsed="false">
      <c r="A186" s="10" t="str">
        <f aca="false">IF($M186="","",INDEX(伝票元!$P$6:$P$511,$M186))</f>
        <v/>
      </c>
      <c r="B186" s="45" t="str">
        <f aca="false">IF($M186="","",INDEX(伝票元!$D$6:$D$511,$M186))</f>
        <v/>
      </c>
      <c r="C186" s="10" t="str">
        <f aca="false">IF($M186="","",INDEX(伝票元!$E$6:$E$511,$M186))</f>
        <v/>
      </c>
      <c r="D186" s="45" t="str">
        <f aca="false">IF($M186="","",INDEX(伝票元!$A$6:$A$511,$M186))</f>
        <v/>
      </c>
      <c r="E186" s="10" t="str">
        <f aca="false">IF(IF($M186="",0,INDEX(伝票元!$N$6:$N$511,$M186))=1,INDEX(伝票元!$I$6:$I$511,$M186),"")</f>
        <v/>
      </c>
      <c r="F186" s="45" t="str">
        <f aca="false">IF(IF($M186="",0,INDEX(伝票元!$N$6:$N$511,$M186))=1,INDEX(伝票元!$J$6:$J$511,$M186),"")</f>
        <v/>
      </c>
      <c r="G186" s="42" t="str">
        <f aca="false">IF(IF($M186="",0,INDEX(伝票元!$N$6:$N$511,$M186))=1,INDEX(伝票元!$Q$6:$Q$511,$M186),"")</f>
        <v/>
      </c>
      <c r="H186" s="45" t="str">
        <f aca="false">IF($M186="","",INDEX(伝票元!$F$6:$F$511,$M186))</f>
        <v/>
      </c>
      <c r="I186" s="45" t="str">
        <f aca="false">IF($M186="","",INDEX(伝票元!$G$6:$G$511,$M186))</f>
        <v/>
      </c>
      <c r="J186" s="42" t="str">
        <f aca="false">IF($M186="","",INDEX(伝票元!$H$6:$H$511,$M186))</f>
        <v/>
      </c>
      <c r="K186" s="46" t="str">
        <f aca="false">IF(IF($M186="",0,INDEX(伝票元!$N$6:$N$511,$M186))=1,INDEX(伝票元!$R$6:$R$511,$M186),"")</f>
        <v/>
      </c>
      <c r="L186" s="47" t="str">
        <f aca="false">IF($M186="","",INDEX(伝票元!$S$6:$S$511,$M186))</f>
        <v/>
      </c>
      <c r="M186" s="47" t="str">
        <f aca="false">IFERROR(MATCH(180,伝票元!$O$6:$O$511,0),"")</f>
        <v/>
      </c>
    </row>
    <row r="187" customFormat="false" ht="15" hidden="false" customHeight="false" outlineLevel="0" collapsed="false">
      <c r="A187" s="10" t="str">
        <f aca="false">IF($M187="","",INDEX(伝票元!$P$6:$P$511,$M187))</f>
        <v/>
      </c>
      <c r="B187" s="45" t="str">
        <f aca="false">IF($M187="","",INDEX(伝票元!$D$6:$D$511,$M187))</f>
        <v/>
      </c>
      <c r="C187" s="10" t="str">
        <f aca="false">IF($M187="","",INDEX(伝票元!$E$6:$E$511,$M187))</f>
        <v/>
      </c>
      <c r="D187" s="45" t="str">
        <f aca="false">IF($M187="","",INDEX(伝票元!$A$6:$A$511,$M187))</f>
        <v/>
      </c>
      <c r="E187" s="10" t="str">
        <f aca="false">IF(IF($M187="",0,INDEX(伝票元!$N$6:$N$511,$M187))=1,INDEX(伝票元!$I$6:$I$511,$M187),"")</f>
        <v/>
      </c>
      <c r="F187" s="45" t="str">
        <f aca="false">IF(IF($M187="",0,INDEX(伝票元!$N$6:$N$511,$M187))=1,INDEX(伝票元!$J$6:$J$511,$M187),"")</f>
        <v/>
      </c>
      <c r="G187" s="42" t="str">
        <f aca="false">IF(IF($M187="",0,INDEX(伝票元!$N$6:$N$511,$M187))=1,INDEX(伝票元!$Q$6:$Q$511,$M187),"")</f>
        <v/>
      </c>
      <c r="H187" s="45" t="str">
        <f aca="false">IF($M187="","",INDEX(伝票元!$F$6:$F$511,$M187))</f>
        <v/>
      </c>
      <c r="I187" s="45" t="str">
        <f aca="false">IF($M187="","",INDEX(伝票元!$G$6:$G$511,$M187))</f>
        <v/>
      </c>
      <c r="J187" s="42" t="str">
        <f aca="false">IF($M187="","",INDEX(伝票元!$H$6:$H$511,$M187))</f>
        <v/>
      </c>
      <c r="K187" s="46" t="str">
        <f aca="false">IF(IF($M187="",0,INDEX(伝票元!$N$6:$N$511,$M187))=1,INDEX(伝票元!$R$6:$R$511,$M187),"")</f>
        <v/>
      </c>
      <c r="L187" s="47" t="str">
        <f aca="false">IF($M187="","",INDEX(伝票元!$S$6:$S$511,$M187))</f>
        <v/>
      </c>
      <c r="M187" s="47" t="str">
        <f aca="false">IFERROR(MATCH(181,伝票元!$O$6:$O$511,0),"")</f>
        <v/>
      </c>
    </row>
    <row r="188" customFormat="false" ht="15" hidden="false" customHeight="false" outlineLevel="0" collapsed="false">
      <c r="A188" s="10" t="str">
        <f aca="false">IF($M188="","",INDEX(伝票元!$P$6:$P$511,$M188))</f>
        <v/>
      </c>
      <c r="B188" s="45" t="str">
        <f aca="false">IF($M188="","",INDEX(伝票元!$D$6:$D$511,$M188))</f>
        <v/>
      </c>
      <c r="C188" s="10" t="str">
        <f aca="false">IF($M188="","",INDEX(伝票元!$E$6:$E$511,$M188))</f>
        <v/>
      </c>
      <c r="D188" s="45" t="str">
        <f aca="false">IF($M188="","",INDEX(伝票元!$A$6:$A$511,$M188))</f>
        <v/>
      </c>
      <c r="E188" s="10" t="str">
        <f aca="false">IF(IF($M188="",0,INDEX(伝票元!$N$6:$N$511,$M188))=1,INDEX(伝票元!$I$6:$I$511,$M188),"")</f>
        <v/>
      </c>
      <c r="F188" s="45" t="str">
        <f aca="false">IF(IF($M188="",0,INDEX(伝票元!$N$6:$N$511,$M188))=1,INDEX(伝票元!$J$6:$J$511,$M188),"")</f>
        <v/>
      </c>
      <c r="G188" s="42" t="str">
        <f aca="false">IF(IF($M188="",0,INDEX(伝票元!$N$6:$N$511,$M188))=1,INDEX(伝票元!$Q$6:$Q$511,$M188),"")</f>
        <v/>
      </c>
      <c r="H188" s="45" t="str">
        <f aca="false">IF($M188="","",INDEX(伝票元!$F$6:$F$511,$M188))</f>
        <v/>
      </c>
      <c r="I188" s="45" t="str">
        <f aca="false">IF($M188="","",INDEX(伝票元!$G$6:$G$511,$M188))</f>
        <v/>
      </c>
      <c r="J188" s="42" t="str">
        <f aca="false">IF($M188="","",INDEX(伝票元!$H$6:$H$511,$M188))</f>
        <v/>
      </c>
      <c r="K188" s="46" t="str">
        <f aca="false">IF(IF($M188="",0,INDEX(伝票元!$N$6:$N$511,$M188))=1,INDEX(伝票元!$R$6:$R$511,$M188),"")</f>
        <v/>
      </c>
      <c r="L188" s="47" t="str">
        <f aca="false">IF($M188="","",INDEX(伝票元!$S$6:$S$511,$M188))</f>
        <v/>
      </c>
      <c r="M188" s="47" t="str">
        <f aca="false">IFERROR(MATCH(182,伝票元!$O$6:$O$511,0),"")</f>
        <v/>
      </c>
    </row>
    <row r="189" customFormat="false" ht="15" hidden="false" customHeight="false" outlineLevel="0" collapsed="false">
      <c r="A189" s="10" t="str">
        <f aca="false">IF($M189="","",INDEX(伝票元!$P$6:$P$511,$M189))</f>
        <v/>
      </c>
      <c r="B189" s="45" t="str">
        <f aca="false">IF($M189="","",INDEX(伝票元!$D$6:$D$511,$M189))</f>
        <v/>
      </c>
      <c r="C189" s="10" t="str">
        <f aca="false">IF($M189="","",INDEX(伝票元!$E$6:$E$511,$M189))</f>
        <v/>
      </c>
      <c r="D189" s="45" t="str">
        <f aca="false">IF($M189="","",INDEX(伝票元!$A$6:$A$511,$M189))</f>
        <v/>
      </c>
      <c r="E189" s="10" t="str">
        <f aca="false">IF(IF($M189="",0,INDEX(伝票元!$N$6:$N$511,$M189))=1,INDEX(伝票元!$I$6:$I$511,$M189),"")</f>
        <v/>
      </c>
      <c r="F189" s="45" t="str">
        <f aca="false">IF(IF($M189="",0,INDEX(伝票元!$N$6:$N$511,$M189))=1,INDEX(伝票元!$J$6:$J$511,$M189),"")</f>
        <v/>
      </c>
      <c r="G189" s="42" t="str">
        <f aca="false">IF(IF($M189="",0,INDEX(伝票元!$N$6:$N$511,$M189))=1,INDEX(伝票元!$Q$6:$Q$511,$M189),"")</f>
        <v/>
      </c>
      <c r="H189" s="45" t="str">
        <f aca="false">IF($M189="","",INDEX(伝票元!$F$6:$F$511,$M189))</f>
        <v/>
      </c>
      <c r="I189" s="45" t="str">
        <f aca="false">IF($M189="","",INDEX(伝票元!$G$6:$G$511,$M189))</f>
        <v/>
      </c>
      <c r="J189" s="42" t="str">
        <f aca="false">IF($M189="","",INDEX(伝票元!$H$6:$H$511,$M189))</f>
        <v/>
      </c>
      <c r="K189" s="46" t="str">
        <f aca="false">IF(IF($M189="",0,INDEX(伝票元!$N$6:$N$511,$M189))=1,INDEX(伝票元!$R$6:$R$511,$M189),"")</f>
        <v/>
      </c>
      <c r="L189" s="47" t="str">
        <f aca="false">IF($M189="","",INDEX(伝票元!$S$6:$S$511,$M189))</f>
        <v/>
      </c>
      <c r="M189" s="47" t="str">
        <f aca="false">IFERROR(MATCH(183,伝票元!$O$6:$O$511,0),"")</f>
        <v/>
      </c>
    </row>
    <row r="190" customFormat="false" ht="15" hidden="false" customHeight="false" outlineLevel="0" collapsed="false">
      <c r="A190" s="10" t="str">
        <f aca="false">IF($M190="","",INDEX(伝票元!$P$6:$P$511,$M190))</f>
        <v/>
      </c>
      <c r="B190" s="45" t="str">
        <f aca="false">IF($M190="","",INDEX(伝票元!$D$6:$D$511,$M190))</f>
        <v/>
      </c>
      <c r="C190" s="10" t="str">
        <f aca="false">IF($M190="","",INDEX(伝票元!$E$6:$E$511,$M190))</f>
        <v/>
      </c>
      <c r="D190" s="45" t="str">
        <f aca="false">IF($M190="","",INDEX(伝票元!$A$6:$A$511,$M190))</f>
        <v/>
      </c>
      <c r="E190" s="10" t="str">
        <f aca="false">IF(IF($M190="",0,INDEX(伝票元!$N$6:$N$511,$M190))=1,INDEX(伝票元!$I$6:$I$511,$M190),"")</f>
        <v/>
      </c>
      <c r="F190" s="45" t="str">
        <f aca="false">IF(IF($M190="",0,INDEX(伝票元!$N$6:$N$511,$M190))=1,INDEX(伝票元!$J$6:$J$511,$M190),"")</f>
        <v/>
      </c>
      <c r="G190" s="42" t="str">
        <f aca="false">IF(IF($M190="",0,INDEX(伝票元!$N$6:$N$511,$M190))=1,INDEX(伝票元!$Q$6:$Q$511,$M190),"")</f>
        <v/>
      </c>
      <c r="H190" s="45" t="str">
        <f aca="false">IF($M190="","",INDEX(伝票元!$F$6:$F$511,$M190))</f>
        <v/>
      </c>
      <c r="I190" s="45" t="str">
        <f aca="false">IF($M190="","",INDEX(伝票元!$G$6:$G$511,$M190))</f>
        <v/>
      </c>
      <c r="J190" s="42" t="str">
        <f aca="false">IF($M190="","",INDEX(伝票元!$H$6:$H$511,$M190))</f>
        <v/>
      </c>
      <c r="K190" s="46" t="str">
        <f aca="false">IF(IF($M190="",0,INDEX(伝票元!$N$6:$N$511,$M190))=1,INDEX(伝票元!$R$6:$R$511,$M190),"")</f>
        <v/>
      </c>
      <c r="L190" s="47" t="str">
        <f aca="false">IF($M190="","",INDEX(伝票元!$S$6:$S$511,$M190))</f>
        <v/>
      </c>
      <c r="M190" s="47" t="str">
        <f aca="false">IFERROR(MATCH(184,伝票元!$O$6:$O$511,0),"")</f>
        <v/>
      </c>
    </row>
    <row r="191" customFormat="false" ht="15" hidden="false" customHeight="false" outlineLevel="0" collapsed="false">
      <c r="A191" s="10" t="str">
        <f aca="false">IF($M191="","",INDEX(伝票元!$P$6:$P$511,$M191))</f>
        <v/>
      </c>
      <c r="B191" s="45" t="str">
        <f aca="false">IF($M191="","",INDEX(伝票元!$D$6:$D$511,$M191))</f>
        <v/>
      </c>
      <c r="C191" s="10" t="str">
        <f aca="false">IF($M191="","",INDEX(伝票元!$E$6:$E$511,$M191))</f>
        <v/>
      </c>
      <c r="D191" s="45" t="str">
        <f aca="false">IF($M191="","",INDEX(伝票元!$A$6:$A$511,$M191))</f>
        <v/>
      </c>
      <c r="E191" s="10" t="str">
        <f aca="false">IF(IF($M191="",0,INDEX(伝票元!$N$6:$N$511,$M191))=1,INDEX(伝票元!$I$6:$I$511,$M191),"")</f>
        <v/>
      </c>
      <c r="F191" s="45" t="str">
        <f aca="false">IF(IF($M191="",0,INDEX(伝票元!$N$6:$N$511,$M191))=1,INDEX(伝票元!$J$6:$J$511,$M191),"")</f>
        <v/>
      </c>
      <c r="G191" s="42" t="str">
        <f aca="false">IF(IF($M191="",0,INDEX(伝票元!$N$6:$N$511,$M191))=1,INDEX(伝票元!$Q$6:$Q$511,$M191),"")</f>
        <v/>
      </c>
      <c r="H191" s="45" t="str">
        <f aca="false">IF($M191="","",INDEX(伝票元!$F$6:$F$511,$M191))</f>
        <v/>
      </c>
      <c r="I191" s="45" t="str">
        <f aca="false">IF($M191="","",INDEX(伝票元!$G$6:$G$511,$M191))</f>
        <v/>
      </c>
      <c r="J191" s="42" t="str">
        <f aca="false">IF($M191="","",INDEX(伝票元!$H$6:$H$511,$M191))</f>
        <v/>
      </c>
      <c r="K191" s="46" t="str">
        <f aca="false">IF(IF($M191="",0,INDEX(伝票元!$N$6:$N$511,$M191))=1,INDEX(伝票元!$R$6:$R$511,$M191),"")</f>
        <v/>
      </c>
      <c r="L191" s="47" t="str">
        <f aca="false">IF($M191="","",INDEX(伝票元!$S$6:$S$511,$M191))</f>
        <v/>
      </c>
      <c r="M191" s="47" t="str">
        <f aca="false">IFERROR(MATCH(185,伝票元!$O$6:$O$511,0),"")</f>
        <v/>
      </c>
    </row>
    <row r="192" customFormat="false" ht="15" hidden="false" customHeight="false" outlineLevel="0" collapsed="false">
      <c r="A192" s="10" t="str">
        <f aca="false">IF($M192="","",INDEX(伝票元!$P$6:$P$511,$M192))</f>
        <v/>
      </c>
      <c r="B192" s="45" t="str">
        <f aca="false">IF($M192="","",INDEX(伝票元!$D$6:$D$511,$M192))</f>
        <v/>
      </c>
      <c r="C192" s="10" t="str">
        <f aca="false">IF($M192="","",INDEX(伝票元!$E$6:$E$511,$M192))</f>
        <v/>
      </c>
      <c r="D192" s="45" t="str">
        <f aca="false">IF($M192="","",INDEX(伝票元!$A$6:$A$511,$M192))</f>
        <v/>
      </c>
      <c r="E192" s="10" t="str">
        <f aca="false">IF(IF($M192="",0,INDEX(伝票元!$N$6:$N$511,$M192))=1,INDEX(伝票元!$I$6:$I$511,$M192),"")</f>
        <v/>
      </c>
      <c r="F192" s="45" t="str">
        <f aca="false">IF(IF($M192="",0,INDEX(伝票元!$N$6:$N$511,$M192))=1,INDEX(伝票元!$J$6:$J$511,$M192),"")</f>
        <v/>
      </c>
      <c r="G192" s="42" t="str">
        <f aca="false">IF(IF($M192="",0,INDEX(伝票元!$N$6:$N$511,$M192))=1,INDEX(伝票元!$Q$6:$Q$511,$M192),"")</f>
        <v/>
      </c>
      <c r="H192" s="45" t="str">
        <f aca="false">IF($M192="","",INDEX(伝票元!$F$6:$F$511,$M192))</f>
        <v/>
      </c>
      <c r="I192" s="45" t="str">
        <f aca="false">IF($M192="","",INDEX(伝票元!$G$6:$G$511,$M192))</f>
        <v/>
      </c>
      <c r="J192" s="42" t="str">
        <f aca="false">IF($M192="","",INDEX(伝票元!$H$6:$H$511,$M192))</f>
        <v/>
      </c>
      <c r="K192" s="46" t="str">
        <f aca="false">IF(IF($M192="",0,INDEX(伝票元!$N$6:$N$511,$M192))=1,INDEX(伝票元!$R$6:$R$511,$M192),"")</f>
        <v/>
      </c>
      <c r="L192" s="47" t="str">
        <f aca="false">IF($M192="","",INDEX(伝票元!$S$6:$S$511,$M192))</f>
        <v/>
      </c>
      <c r="M192" s="47" t="str">
        <f aca="false">IFERROR(MATCH(186,伝票元!$O$6:$O$511,0),"")</f>
        <v/>
      </c>
    </row>
    <row r="193" customFormat="false" ht="15" hidden="false" customHeight="false" outlineLevel="0" collapsed="false">
      <c r="A193" s="10" t="str">
        <f aca="false">IF($M193="","",INDEX(伝票元!$P$6:$P$511,$M193))</f>
        <v/>
      </c>
      <c r="B193" s="45" t="str">
        <f aca="false">IF($M193="","",INDEX(伝票元!$D$6:$D$511,$M193))</f>
        <v/>
      </c>
      <c r="C193" s="10" t="str">
        <f aca="false">IF($M193="","",INDEX(伝票元!$E$6:$E$511,$M193))</f>
        <v/>
      </c>
      <c r="D193" s="45" t="str">
        <f aca="false">IF($M193="","",INDEX(伝票元!$A$6:$A$511,$M193))</f>
        <v/>
      </c>
      <c r="E193" s="10" t="str">
        <f aca="false">IF(IF($M193="",0,INDEX(伝票元!$N$6:$N$511,$M193))=1,INDEX(伝票元!$I$6:$I$511,$M193),"")</f>
        <v/>
      </c>
      <c r="F193" s="45" t="str">
        <f aca="false">IF(IF($M193="",0,INDEX(伝票元!$N$6:$N$511,$M193))=1,INDEX(伝票元!$J$6:$J$511,$M193),"")</f>
        <v/>
      </c>
      <c r="G193" s="42" t="str">
        <f aca="false">IF(IF($M193="",0,INDEX(伝票元!$N$6:$N$511,$M193))=1,INDEX(伝票元!$Q$6:$Q$511,$M193),"")</f>
        <v/>
      </c>
      <c r="H193" s="45" t="str">
        <f aca="false">IF($M193="","",INDEX(伝票元!$F$6:$F$511,$M193))</f>
        <v/>
      </c>
      <c r="I193" s="45" t="str">
        <f aca="false">IF($M193="","",INDEX(伝票元!$G$6:$G$511,$M193))</f>
        <v/>
      </c>
      <c r="J193" s="42" t="str">
        <f aca="false">IF($M193="","",INDEX(伝票元!$H$6:$H$511,$M193))</f>
        <v/>
      </c>
      <c r="K193" s="46" t="str">
        <f aca="false">IF(IF($M193="",0,INDEX(伝票元!$N$6:$N$511,$M193))=1,INDEX(伝票元!$R$6:$R$511,$M193),"")</f>
        <v/>
      </c>
      <c r="L193" s="47" t="str">
        <f aca="false">IF($M193="","",INDEX(伝票元!$S$6:$S$511,$M193))</f>
        <v/>
      </c>
      <c r="M193" s="47" t="str">
        <f aca="false">IFERROR(MATCH(187,伝票元!$O$6:$O$511,0),"")</f>
        <v/>
      </c>
    </row>
    <row r="194" customFormat="false" ht="15" hidden="false" customHeight="false" outlineLevel="0" collapsed="false">
      <c r="A194" s="10" t="str">
        <f aca="false">IF($M194="","",INDEX(伝票元!$P$6:$P$511,$M194))</f>
        <v/>
      </c>
      <c r="B194" s="45" t="str">
        <f aca="false">IF($M194="","",INDEX(伝票元!$D$6:$D$511,$M194))</f>
        <v/>
      </c>
      <c r="C194" s="10" t="str">
        <f aca="false">IF($M194="","",INDEX(伝票元!$E$6:$E$511,$M194))</f>
        <v/>
      </c>
      <c r="D194" s="45" t="str">
        <f aca="false">IF($M194="","",INDEX(伝票元!$A$6:$A$511,$M194))</f>
        <v/>
      </c>
      <c r="E194" s="10" t="str">
        <f aca="false">IF(IF($M194="",0,INDEX(伝票元!$N$6:$N$511,$M194))=1,INDEX(伝票元!$I$6:$I$511,$M194),"")</f>
        <v/>
      </c>
      <c r="F194" s="45" t="str">
        <f aca="false">IF(IF($M194="",0,INDEX(伝票元!$N$6:$N$511,$M194))=1,INDEX(伝票元!$J$6:$J$511,$M194),"")</f>
        <v/>
      </c>
      <c r="G194" s="42" t="str">
        <f aca="false">IF(IF($M194="",0,INDEX(伝票元!$N$6:$N$511,$M194))=1,INDEX(伝票元!$Q$6:$Q$511,$M194),"")</f>
        <v/>
      </c>
      <c r="H194" s="45" t="str">
        <f aca="false">IF($M194="","",INDEX(伝票元!$F$6:$F$511,$M194))</f>
        <v/>
      </c>
      <c r="I194" s="45" t="str">
        <f aca="false">IF($M194="","",INDEX(伝票元!$G$6:$G$511,$M194))</f>
        <v/>
      </c>
      <c r="J194" s="42" t="str">
        <f aca="false">IF($M194="","",INDEX(伝票元!$H$6:$H$511,$M194))</f>
        <v/>
      </c>
      <c r="K194" s="46" t="str">
        <f aca="false">IF(IF($M194="",0,INDEX(伝票元!$N$6:$N$511,$M194))=1,INDEX(伝票元!$R$6:$R$511,$M194),"")</f>
        <v/>
      </c>
      <c r="L194" s="47" t="str">
        <f aca="false">IF($M194="","",INDEX(伝票元!$S$6:$S$511,$M194))</f>
        <v/>
      </c>
      <c r="M194" s="47" t="str">
        <f aca="false">IFERROR(MATCH(188,伝票元!$O$6:$O$511,0),"")</f>
        <v/>
      </c>
    </row>
    <row r="195" customFormat="false" ht="15" hidden="false" customHeight="false" outlineLevel="0" collapsed="false">
      <c r="A195" s="10" t="str">
        <f aca="false">IF($M195="","",INDEX(伝票元!$P$6:$P$511,$M195))</f>
        <v/>
      </c>
      <c r="B195" s="45" t="str">
        <f aca="false">IF($M195="","",INDEX(伝票元!$D$6:$D$511,$M195))</f>
        <v/>
      </c>
      <c r="C195" s="10" t="str">
        <f aca="false">IF($M195="","",INDEX(伝票元!$E$6:$E$511,$M195))</f>
        <v/>
      </c>
      <c r="D195" s="45" t="str">
        <f aca="false">IF($M195="","",INDEX(伝票元!$A$6:$A$511,$M195))</f>
        <v/>
      </c>
      <c r="E195" s="10" t="str">
        <f aca="false">IF(IF($M195="",0,INDEX(伝票元!$N$6:$N$511,$M195))=1,INDEX(伝票元!$I$6:$I$511,$M195),"")</f>
        <v/>
      </c>
      <c r="F195" s="45" t="str">
        <f aca="false">IF(IF($M195="",0,INDEX(伝票元!$N$6:$N$511,$M195))=1,INDEX(伝票元!$J$6:$J$511,$M195),"")</f>
        <v/>
      </c>
      <c r="G195" s="42" t="str">
        <f aca="false">IF(IF($M195="",0,INDEX(伝票元!$N$6:$N$511,$M195))=1,INDEX(伝票元!$Q$6:$Q$511,$M195),"")</f>
        <v/>
      </c>
      <c r="H195" s="45" t="str">
        <f aca="false">IF($M195="","",INDEX(伝票元!$F$6:$F$511,$M195))</f>
        <v/>
      </c>
      <c r="I195" s="45" t="str">
        <f aca="false">IF($M195="","",INDEX(伝票元!$G$6:$G$511,$M195))</f>
        <v/>
      </c>
      <c r="J195" s="42" t="str">
        <f aca="false">IF($M195="","",INDEX(伝票元!$H$6:$H$511,$M195))</f>
        <v/>
      </c>
      <c r="K195" s="46" t="str">
        <f aca="false">IF(IF($M195="",0,INDEX(伝票元!$N$6:$N$511,$M195))=1,INDEX(伝票元!$R$6:$R$511,$M195),"")</f>
        <v/>
      </c>
      <c r="L195" s="47" t="str">
        <f aca="false">IF($M195="","",INDEX(伝票元!$S$6:$S$511,$M195))</f>
        <v/>
      </c>
      <c r="M195" s="47" t="str">
        <f aca="false">IFERROR(MATCH(189,伝票元!$O$6:$O$511,0),"")</f>
        <v/>
      </c>
    </row>
    <row r="196" customFormat="false" ht="15" hidden="false" customHeight="false" outlineLevel="0" collapsed="false">
      <c r="A196" s="10" t="str">
        <f aca="false">IF($M196="","",INDEX(伝票元!$P$6:$P$511,$M196))</f>
        <v/>
      </c>
      <c r="B196" s="45" t="str">
        <f aca="false">IF($M196="","",INDEX(伝票元!$D$6:$D$511,$M196))</f>
        <v/>
      </c>
      <c r="C196" s="10" t="str">
        <f aca="false">IF($M196="","",INDEX(伝票元!$E$6:$E$511,$M196))</f>
        <v/>
      </c>
      <c r="D196" s="45" t="str">
        <f aca="false">IF($M196="","",INDEX(伝票元!$A$6:$A$511,$M196))</f>
        <v/>
      </c>
      <c r="E196" s="10" t="str">
        <f aca="false">IF(IF($M196="",0,INDEX(伝票元!$N$6:$N$511,$M196))=1,INDEX(伝票元!$I$6:$I$511,$M196),"")</f>
        <v/>
      </c>
      <c r="F196" s="45" t="str">
        <f aca="false">IF(IF($M196="",0,INDEX(伝票元!$N$6:$N$511,$M196))=1,INDEX(伝票元!$J$6:$J$511,$M196),"")</f>
        <v/>
      </c>
      <c r="G196" s="42" t="str">
        <f aca="false">IF(IF($M196="",0,INDEX(伝票元!$N$6:$N$511,$M196))=1,INDEX(伝票元!$Q$6:$Q$511,$M196),"")</f>
        <v/>
      </c>
      <c r="H196" s="45" t="str">
        <f aca="false">IF($M196="","",INDEX(伝票元!$F$6:$F$511,$M196))</f>
        <v/>
      </c>
      <c r="I196" s="45" t="str">
        <f aca="false">IF($M196="","",INDEX(伝票元!$G$6:$G$511,$M196))</f>
        <v/>
      </c>
      <c r="J196" s="42" t="str">
        <f aca="false">IF($M196="","",INDEX(伝票元!$H$6:$H$511,$M196))</f>
        <v/>
      </c>
      <c r="K196" s="46" t="str">
        <f aca="false">IF(IF($M196="",0,INDEX(伝票元!$N$6:$N$511,$M196))=1,INDEX(伝票元!$R$6:$R$511,$M196),"")</f>
        <v/>
      </c>
      <c r="L196" s="47" t="str">
        <f aca="false">IF($M196="","",INDEX(伝票元!$S$6:$S$511,$M196))</f>
        <v/>
      </c>
      <c r="M196" s="47" t="str">
        <f aca="false">IFERROR(MATCH(190,伝票元!$O$6:$O$511,0),"")</f>
        <v/>
      </c>
    </row>
    <row r="197" customFormat="false" ht="15" hidden="false" customHeight="false" outlineLevel="0" collapsed="false">
      <c r="A197" s="10" t="str">
        <f aca="false">IF($M197="","",INDEX(伝票元!$P$6:$P$511,$M197))</f>
        <v/>
      </c>
      <c r="B197" s="45" t="str">
        <f aca="false">IF($M197="","",INDEX(伝票元!$D$6:$D$511,$M197))</f>
        <v/>
      </c>
      <c r="C197" s="10" t="str">
        <f aca="false">IF($M197="","",INDEX(伝票元!$E$6:$E$511,$M197))</f>
        <v/>
      </c>
      <c r="D197" s="45" t="str">
        <f aca="false">IF($M197="","",INDEX(伝票元!$A$6:$A$511,$M197))</f>
        <v/>
      </c>
      <c r="E197" s="10" t="str">
        <f aca="false">IF(IF($M197="",0,INDEX(伝票元!$N$6:$N$511,$M197))=1,INDEX(伝票元!$I$6:$I$511,$M197),"")</f>
        <v/>
      </c>
      <c r="F197" s="45" t="str">
        <f aca="false">IF(IF($M197="",0,INDEX(伝票元!$N$6:$N$511,$M197))=1,INDEX(伝票元!$J$6:$J$511,$M197),"")</f>
        <v/>
      </c>
      <c r="G197" s="42" t="str">
        <f aca="false">IF(IF($M197="",0,INDEX(伝票元!$N$6:$N$511,$M197))=1,INDEX(伝票元!$Q$6:$Q$511,$M197),"")</f>
        <v/>
      </c>
      <c r="H197" s="45" t="str">
        <f aca="false">IF($M197="","",INDEX(伝票元!$F$6:$F$511,$M197))</f>
        <v/>
      </c>
      <c r="I197" s="45" t="str">
        <f aca="false">IF($M197="","",INDEX(伝票元!$G$6:$G$511,$M197))</f>
        <v/>
      </c>
      <c r="J197" s="42" t="str">
        <f aca="false">IF($M197="","",INDEX(伝票元!$H$6:$H$511,$M197))</f>
        <v/>
      </c>
      <c r="K197" s="46" t="str">
        <f aca="false">IF(IF($M197="",0,INDEX(伝票元!$N$6:$N$511,$M197))=1,INDEX(伝票元!$R$6:$R$511,$M197),"")</f>
        <v/>
      </c>
      <c r="L197" s="47" t="str">
        <f aca="false">IF($M197="","",INDEX(伝票元!$S$6:$S$511,$M197))</f>
        <v/>
      </c>
      <c r="M197" s="47" t="str">
        <f aca="false">IFERROR(MATCH(191,伝票元!$O$6:$O$511,0),"")</f>
        <v/>
      </c>
    </row>
    <row r="198" customFormat="false" ht="15" hidden="false" customHeight="false" outlineLevel="0" collapsed="false">
      <c r="A198" s="10" t="str">
        <f aca="false">IF($M198="","",INDEX(伝票元!$P$6:$P$511,$M198))</f>
        <v/>
      </c>
      <c r="B198" s="45" t="str">
        <f aca="false">IF($M198="","",INDEX(伝票元!$D$6:$D$511,$M198))</f>
        <v/>
      </c>
      <c r="C198" s="10" t="str">
        <f aca="false">IF($M198="","",INDEX(伝票元!$E$6:$E$511,$M198))</f>
        <v/>
      </c>
      <c r="D198" s="45" t="str">
        <f aca="false">IF($M198="","",INDEX(伝票元!$A$6:$A$511,$M198))</f>
        <v/>
      </c>
      <c r="E198" s="10" t="str">
        <f aca="false">IF(IF($M198="",0,INDEX(伝票元!$N$6:$N$511,$M198))=1,INDEX(伝票元!$I$6:$I$511,$M198),"")</f>
        <v/>
      </c>
      <c r="F198" s="45" t="str">
        <f aca="false">IF(IF($M198="",0,INDEX(伝票元!$N$6:$N$511,$M198))=1,INDEX(伝票元!$J$6:$J$511,$M198),"")</f>
        <v/>
      </c>
      <c r="G198" s="42" t="str">
        <f aca="false">IF(IF($M198="",0,INDEX(伝票元!$N$6:$N$511,$M198))=1,INDEX(伝票元!$Q$6:$Q$511,$M198),"")</f>
        <v/>
      </c>
      <c r="H198" s="45" t="str">
        <f aca="false">IF($M198="","",INDEX(伝票元!$F$6:$F$511,$M198))</f>
        <v/>
      </c>
      <c r="I198" s="45" t="str">
        <f aca="false">IF($M198="","",INDEX(伝票元!$G$6:$G$511,$M198))</f>
        <v/>
      </c>
      <c r="J198" s="42" t="str">
        <f aca="false">IF($M198="","",INDEX(伝票元!$H$6:$H$511,$M198))</f>
        <v/>
      </c>
      <c r="K198" s="46" t="str">
        <f aca="false">IF(IF($M198="",0,INDEX(伝票元!$N$6:$N$511,$M198))=1,INDEX(伝票元!$R$6:$R$511,$M198),"")</f>
        <v/>
      </c>
      <c r="L198" s="47" t="str">
        <f aca="false">IF($M198="","",INDEX(伝票元!$S$6:$S$511,$M198))</f>
        <v/>
      </c>
      <c r="M198" s="47" t="str">
        <f aca="false">IFERROR(MATCH(192,伝票元!$O$6:$O$511,0),"")</f>
        <v/>
      </c>
    </row>
    <row r="199" customFormat="false" ht="15" hidden="false" customHeight="false" outlineLevel="0" collapsed="false">
      <c r="A199" s="10" t="str">
        <f aca="false">IF($M199="","",INDEX(伝票元!$P$6:$P$511,$M199))</f>
        <v/>
      </c>
      <c r="B199" s="45" t="str">
        <f aca="false">IF($M199="","",INDEX(伝票元!$D$6:$D$511,$M199))</f>
        <v/>
      </c>
      <c r="C199" s="10" t="str">
        <f aca="false">IF($M199="","",INDEX(伝票元!$E$6:$E$511,$M199))</f>
        <v/>
      </c>
      <c r="D199" s="45" t="str">
        <f aca="false">IF($M199="","",INDEX(伝票元!$A$6:$A$511,$M199))</f>
        <v/>
      </c>
      <c r="E199" s="10" t="str">
        <f aca="false">IF(IF($M199="",0,INDEX(伝票元!$N$6:$N$511,$M199))=1,INDEX(伝票元!$I$6:$I$511,$M199),"")</f>
        <v/>
      </c>
      <c r="F199" s="45" t="str">
        <f aca="false">IF(IF($M199="",0,INDEX(伝票元!$N$6:$N$511,$M199))=1,INDEX(伝票元!$J$6:$J$511,$M199),"")</f>
        <v/>
      </c>
      <c r="G199" s="42" t="str">
        <f aca="false">IF(IF($M199="",0,INDEX(伝票元!$N$6:$N$511,$M199))=1,INDEX(伝票元!$Q$6:$Q$511,$M199),"")</f>
        <v/>
      </c>
      <c r="H199" s="45" t="str">
        <f aca="false">IF($M199="","",INDEX(伝票元!$F$6:$F$511,$M199))</f>
        <v/>
      </c>
      <c r="I199" s="45" t="str">
        <f aca="false">IF($M199="","",INDEX(伝票元!$G$6:$G$511,$M199))</f>
        <v/>
      </c>
      <c r="J199" s="42" t="str">
        <f aca="false">IF($M199="","",INDEX(伝票元!$H$6:$H$511,$M199))</f>
        <v/>
      </c>
      <c r="K199" s="46" t="str">
        <f aca="false">IF(IF($M199="",0,INDEX(伝票元!$N$6:$N$511,$M199))=1,INDEX(伝票元!$R$6:$R$511,$M199),"")</f>
        <v/>
      </c>
      <c r="L199" s="47" t="str">
        <f aca="false">IF($M199="","",INDEX(伝票元!$S$6:$S$511,$M199))</f>
        <v/>
      </c>
      <c r="M199" s="47" t="str">
        <f aca="false">IFERROR(MATCH(193,伝票元!$O$6:$O$511,0),"")</f>
        <v/>
      </c>
    </row>
    <row r="200" customFormat="false" ht="15" hidden="false" customHeight="false" outlineLevel="0" collapsed="false">
      <c r="A200" s="10" t="str">
        <f aca="false">IF($M200="","",INDEX(伝票元!$P$6:$P$511,$M200))</f>
        <v/>
      </c>
      <c r="B200" s="45" t="str">
        <f aca="false">IF($M200="","",INDEX(伝票元!$D$6:$D$511,$M200))</f>
        <v/>
      </c>
      <c r="C200" s="10" t="str">
        <f aca="false">IF($M200="","",INDEX(伝票元!$E$6:$E$511,$M200))</f>
        <v/>
      </c>
      <c r="D200" s="45" t="str">
        <f aca="false">IF($M200="","",INDEX(伝票元!$A$6:$A$511,$M200))</f>
        <v/>
      </c>
      <c r="E200" s="10" t="str">
        <f aca="false">IF(IF($M200="",0,INDEX(伝票元!$N$6:$N$511,$M200))=1,INDEX(伝票元!$I$6:$I$511,$M200),"")</f>
        <v/>
      </c>
      <c r="F200" s="45" t="str">
        <f aca="false">IF(IF($M200="",0,INDEX(伝票元!$N$6:$N$511,$M200))=1,INDEX(伝票元!$J$6:$J$511,$M200),"")</f>
        <v/>
      </c>
      <c r="G200" s="42" t="str">
        <f aca="false">IF(IF($M200="",0,INDEX(伝票元!$N$6:$N$511,$M200))=1,INDEX(伝票元!$Q$6:$Q$511,$M200),"")</f>
        <v/>
      </c>
      <c r="H200" s="45" t="str">
        <f aca="false">IF($M200="","",INDEX(伝票元!$F$6:$F$511,$M200))</f>
        <v/>
      </c>
      <c r="I200" s="45" t="str">
        <f aca="false">IF($M200="","",INDEX(伝票元!$G$6:$G$511,$M200))</f>
        <v/>
      </c>
      <c r="J200" s="42" t="str">
        <f aca="false">IF($M200="","",INDEX(伝票元!$H$6:$H$511,$M200))</f>
        <v/>
      </c>
      <c r="K200" s="46" t="str">
        <f aca="false">IF(IF($M200="",0,INDEX(伝票元!$N$6:$N$511,$M200))=1,INDEX(伝票元!$R$6:$R$511,$M200),"")</f>
        <v/>
      </c>
      <c r="L200" s="47" t="str">
        <f aca="false">IF($M200="","",INDEX(伝票元!$S$6:$S$511,$M200))</f>
        <v/>
      </c>
      <c r="M200" s="47" t="str">
        <f aca="false">IFERROR(MATCH(194,伝票元!$O$6:$O$511,0),"")</f>
        <v/>
      </c>
    </row>
    <row r="201" customFormat="false" ht="15" hidden="false" customHeight="false" outlineLevel="0" collapsed="false">
      <c r="A201" s="10" t="str">
        <f aca="false">IF($M201="","",INDEX(伝票元!$P$6:$P$511,$M201))</f>
        <v/>
      </c>
      <c r="B201" s="45" t="str">
        <f aca="false">IF($M201="","",INDEX(伝票元!$D$6:$D$511,$M201))</f>
        <v/>
      </c>
      <c r="C201" s="10" t="str">
        <f aca="false">IF($M201="","",INDEX(伝票元!$E$6:$E$511,$M201))</f>
        <v/>
      </c>
      <c r="D201" s="45" t="str">
        <f aca="false">IF($M201="","",INDEX(伝票元!$A$6:$A$511,$M201))</f>
        <v/>
      </c>
      <c r="E201" s="10" t="str">
        <f aca="false">IF(IF($M201="",0,INDEX(伝票元!$N$6:$N$511,$M201))=1,INDEX(伝票元!$I$6:$I$511,$M201),"")</f>
        <v/>
      </c>
      <c r="F201" s="45" t="str">
        <f aca="false">IF(IF($M201="",0,INDEX(伝票元!$N$6:$N$511,$M201))=1,INDEX(伝票元!$J$6:$J$511,$M201),"")</f>
        <v/>
      </c>
      <c r="G201" s="42" t="str">
        <f aca="false">IF(IF($M201="",0,INDEX(伝票元!$N$6:$N$511,$M201))=1,INDEX(伝票元!$Q$6:$Q$511,$M201),"")</f>
        <v/>
      </c>
      <c r="H201" s="45" t="str">
        <f aca="false">IF($M201="","",INDEX(伝票元!$F$6:$F$511,$M201))</f>
        <v/>
      </c>
      <c r="I201" s="45" t="str">
        <f aca="false">IF($M201="","",INDEX(伝票元!$G$6:$G$511,$M201))</f>
        <v/>
      </c>
      <c r="J201" s="42" t="str">
        <f aca="false">IF($M201="","",INDEX(伝票元!$H$6:$H$511,$M201))</f>
        <v/>
      </c>
      <c r="K201" s="46" t="str">
        <f aca="false">IF(IF($M201="",0,INDEX(伝票元!$N$6:$N$511,$M201))=1,INDEX(伝票元!$R$6:$R$511,$M201),"")</f>
        <v/>
      </c>
      <c r="L201" s="47" t="str">
        <f aca="false">IF($M201="","",INDEX(伝票元!$S$6:$S$511,$M201))</f>
        <v/>
      </c>
      <c r="M201" s="47" t="str">
        <f aca="false">IFERROR(MATCH(195,伝票元!$O$6:$O$511,0),"")</f>
        <v/>
      </c>
    </row>
    <row r="202" customFormat="false" ht="15" hidden="false" customHeight="false" outlineLevel="0" collapsed="false">
      <c r="A202" s="10" t="str">
        <f aca="false">IF($M202="","",INDEX(伝票元!$P$6:$P$511,$M202))</f>
        <v/>
      </c>
      <c r="B202" s="45" t="str">
        <f aca="false">IF($M202="","",INDEX(伝票元!$D$6:$D$511,$M202))</f>
        <v/>
      </c>
      <c r="C202" s="10" t="str">
        <f aca="false">IF($M202="","",INDEX(伝票元!$E$6:$E$511,$M202))</f>
        <v/>
      </c>
      <c r="D202" s="45" t="str">
        <f aca="false">IF($M202="","",INDEX(伝票元!$A$6:$A$511,$M202))</f>
        <v/>
      </c>
      <c r="E202" s="10" t="str">
        <f aca="false">IF(IF($M202="",0,INDEX(伝票元!$N$6:$N$511,$M202))=1,INDEX(伝票元!$I$6:$I$511,$M202),"")</f>
        <v/>
      </c>
      <c r="F202" s="45" t="str">
        <f aca="false">IF(IF($M202="",0,INDEX(伝票元!$N$6:$N$511,$M202))=1,INDEX(伝票元!$J$6:$J$511,$M202),"")</f>
        <v/>
      </c>
      <c r="G202" s="42" t="str">
        <f aca="false">IF(IF($M202="",0,INDEX(伝票元!$N$6:$N$511,$M202))=1,INDEX(伝票元!$Q$6:$Q$511,$M202),"")</f>
        <v/>
      </c>
      <c r="H202" s="45" t="str">
        <f aca="false">IF($M202="","",INDEX(伝票元!$F$6:$F$511,$M202))</f>
        <v/>
      </c>
      <c r="I202" s="45" t="str">
        <f aca="false">IF($M202="","",INDEX(伝票元!$G$6:$G$511,$M202))</f>
        <v/>
      </c>
      <c r="J202" s="42" t="str">
        <f aca="false">IF($M202="","",INDEX(伝票元!$H$6:$H$511,$M202))</f>
        <v/>
      </c>
      <c r="K202" s="46" t="str">
        <f aca="false">IF(IF($M202="",0,INDEX(伝票元!$N$6:$N$511,$M202))=1,INDEX(伝票元!$R$6:$R$511,$M202),"")</f>
        <v/>
      </c>
      <c r="L202" s="47" t="str">
        <f aca="false">IF($M202="","",INDEX(伝票元!$S$6:$S$511,$M202))</f>
        <v/>
      </c>
      <c r="M202" s="47" t="str">
        <f aca="false">IFERROR(MATCH(196,伝票元!$O$6:$O$511,0),"")</f>
        <v/>
      </c>
    </row>
    <row r="203" customFormat="false" ht="15" hidden="false" customHeight="false" outlineLevel="0" collapsed="false">
      <c r="A203" s="10" t="str">
        <f aca="false">IF($M203="","",INDEX(伝票元!$P$6:$P$511,$M203))</f>
        <v/>
      </c>
      <c r="B203" s="45" t="str">
        <f aca="false">IF($M203="","",INDEX(伝票元!$D$6:$D$511,$M203))</f>
        <v/>
      </c>
      <c r="C203" s="10" t="str">
        <f aca="false">IF($M203="","",INDEX(伝票元!$E$6:$E$511,$M203))</f>
        <v/>
      </c>
      <c r="D203" s="45" t="str">
        <f aca="false">IF($M203="","",INDEX(伝票元!$A$6:$A$511,$M203))</f>
        <v/>
      </c>
      <c r="E203" s="10" t="str">
        <f aca="false">IF(IF($M203="",0,INDEX(伝票元!$N$6:$N$511,$M203))=1,INDEX(伝票元!$I$6:$I$511,$M203),"")</f>
        <v/>
      </c>
      <c r="F203" s="45" t="str">
        <f aca="false">IF(IF($M203="",0,INDEX(伝票元!$N$6:$N$511,$M203))=1,INDEX(伝票元!$J$6:$J$511,$M203),"")</f>
        <v/>
      </c>
      <c r="G203" s="42" t="str">
        <f aca="false">IF(IF($M203="",0,INDEX(伝票元!$N$6:$N$511,$M203))=1,INDEX(伝票元!$Q$6:$Q$511,$M203),"")</f>
        <v/>
      </c>
      <c r="H203" s="45" t="str">
        <f aca="false">IF($M203="","",INDEX(伝票元!$F$6:$F$511,$M203))</f>
        <v/>
      </c>
      <c r="I203" s="45" t="str">
        <f aca="false">IF($M203="","",INDEX(伝票元!$G$6:$G$511,$M203))</f>
        <v/>
      </c>
      <c r="J203" s="42" t="str">
        <f aca="false">IF($M203="","",INDEX(伝票元!$H$6:$H$511,$M203))</f>
        <v/>
      </c>
      <c r="K203" s="46" t="str">
        <f aca="false">IF(IF($M203="",0,INDEX(伝票元!$N$6:$N$511,$M203))=1,INDEX(伝票元!$R$6:$R$511,$M203),"")</f>
        <v/>
      </c>
      <c r="L203" s="47" t="str">
        <f aca="false">IF($M203="","",INDEX(伝票元!$S$6:$S$511,$M203))</f>
        <v/>
      </c>
      <c r="M203" s="47" t="str">
        <f aca="false">IFERROR(MATCH(197,伝票元!$O$6:$O$511,0),"")</f>
        <v/>
      </c>
    </row>
    <row r="204" customFormat="false" ht="15" hidden="false" customHeight="false" outlineLevel="0" collapsed="false">
      <c r="A204" s="10" t="str">
        <f aca="false">IF($M204="","",INDEX(伝票元!$P$6:$P$511,$M204))</f>
        <v/>
      </c>
      <c r="B204" s="45" t="str">
        <f aca="false">IF($M204="","",INDEX(伝票元!$D$6:$D$511,$M204))</f>
        <v/>
      </c>
      <c r="C204" s="10" t="str">
        <f aca="false">IF($M204="","",INDEX(伝票元!$E$6:$E$511,$M204))</f>
        <v/>
      </c>
      <c r="D204" s="45" t="str">
        <f aca="false">IF($M204="","",INDEX(伝票元!$A$6:$A$511,$M204))</f>
        <v/>
      </c>
      <c r="E204" s="10" t="str">
        <f aca="false">IF(IF($M204="",0,INDEX(伝票元!$N$6:$N$511,$M204))=1,INDEX(伝票元!$I$6:$I$511,$M204),"")</f>
        <v/>
      </c>
      <c r="F204" s="45" t="str">
        <f aca="false">IF(IF($M204="",0,INDEX(伝票元!$N$6:$N$511,$M204))=1,INDEX(伝票元!$J$6:$J$511,$M204),"")</f>
        <v/>
      </c>
      <c r="G204" s="42" t="str">
        <f aca="false">IF(IF($M204="",0,INDEX(伝票元!$N$6:$N$511,$M204))=1,INDEX(伝票元!$Q$6:$Q$511,$M204),"")</f>
        <v/>
      </c>
      <c r="H204" s="45" t="str">
        <f aca="false">IF($M204="","",INDEX(伝票元!$F$6:$F$511,$M204))</f>
        <v/>
      </c>
      <c r="I204" s="45" t="str">
        <f aca="false">IF($M204="","",INDEX(伝票元!$G$6:$G$511,$M204))</f>
        <v/>
      </c>
      <c r="J204" s="42" t="str">
        <f aca="false">IF($M204="","",INDEX(伝票元!$H$6:$H$511,$M204))</f>
        <v/>
      </c>
      <c r="K204" s="46" t="str">
        <f aca="false">IF(IF($M204="",0,INDEX(伝票元!$N$6:$N$511,$M204))=1,INDEX(伝票元!$R$6:$R$511,$M204),"")</f>
        <v/>
      </c>
      <c r="L204" s="47" t="str">
        <f aca="false">IF($M204="","",INDEX(伝票元!$S$6:$S$511,$M204))</f>
        <v/>
      </c>
      <c r="M204" s="47" t="str">
        <f aca="false">IFERROR(MATCH(198,伝票元!$O$6:$O$511,0),"")</f>
        <v/>
      </c>
    </row>
    <row r="205" customFormat="false" ht="15" hidden="false" customHeight="false" outlineLevel="0" collapsed="false">
      <c r="A205" s="10" t="str">
        <f aca="false">IF($M205="","",INDEX(伝票元!$P$6:$P$511,$M205))</f>
        <v/>
      </c>
      <c r="B205" s="45" t="str">
        <f aca="false">IF($M205="","",INDEX(伝票元!$D$6:$D$511,$M205))</f>
        <v/>
      </c>
      <c r="C205" s="10" t="str">
        <f aca="false">IF($M205="","",INDEX(伝票元!$E$6:$E$511,$M205))</f>
        <v/>
      </c>
      <c r="D205" s="45" t="str">
        <f aca="false">IF($M205="","",INDEX(伝票元!$A$6:$A$511,$M205))</f>
        <v/>
      </c>
      <c r="E205" s="10" t="str">
        <f aca="false">IF(IF($M205="",0,INDEX(伝票元!$N$6:$N$511,$M205))=1,INDEX(伝票元!$I$6:$I$511,$M205),"")</f>
        <v/>
      </c>
      <c r="F205" s="45" t="str">
        <f aca="false">IF(IF($M205="",0,INDEX(伝票元!$N$6:$N$511,$M205))=1,INDEX(伝票元!$J$6:$J$511,$M205),"")</f>
        <v/>
      </c>
      <c r="G205" s="42" t="str">
        <f aca="false">IF(IF($M205="",0,INDEX(伝票元!$N$6:$N$511,$M205))=1,INDEX(伝票元!$Q$6:$Q$511,$M205),"")</f>
        <v/>
      </c>
      <c r="H205" s="45" t="str">
        <f aca="false">IF($M205="","",INDEX(伝票元!$F$6:$F$511,$M205))</f>
        <v/>
      </c>
      <c r="I205" s="45" t="str">
        <f aca="false">IF($M205="","",INDEX(伝票元!$G$6:$G$511,$M205))</f>
        <v/>
      </c>
      <c r="J205" s="42" t="str">
        <f aca="false">IF($M205="","",INDEX(伝票元!$H$6:$H$511,$M205))</f>
        <v/>
      </c>
      <c r="K205" s="46" t="str">
        <f aca="false">IF(IF($M205="",0,INDEX(伝票元!$N$6:$N$511,$M205))=1,INDEX(伝票元!$R$6:$R$511,$M205),"")</f>
        <v/>
      </c>
      <c r="L205" s="47" t="str">
        <f aca="false">IF($M205="","",INDEX(伝票元!$S$6:$S$511,$M205))</f>
        <v/>
      </c>
      <c r="M205" s="47" t="str">
        <f aca="false">IFERROR(MATCH(199,伝票元!$O$6:$O$511,0),"")</f>
        <v/>
      </c>
    </row>
    <row r="206" customFormat="false" ht="15" hidden="false" customHeight="false" outlineLevel="0" collapsed="false">
      <c r="A206" s="10" t="str">
        <f aca="false">IF($M206="","",INDEX(伝票元!$P$6:$P$511,$M206))</f>
        <v/>
      </c>
      <c r="B206" s="45" t="str">
        <f aca="false">IF($M206="","",INDEX(伝票元!$D$6:$D$511,$M206))</f>
        <v/>
      </c>
      <c r="C206" s="10" t="str">
        <f aca="false">IF($M206="","",INDEX(伝票元!$E$6:$E$511,$M206))</f>
        <v/>
      </c>
      <c r="D206" s="45" t="str">
        <f aca="false">IF($M206="","",INDEX(伝票元!$A$6:$A$511,$M206))</f>
        <v/>
      </c>
      <c r="E206" s="10" t="str">
        <f aca="false">IF(IF($M206="",0,INDEX(伝票元!$N$6:$N$511,$M206))=1,INDEX(伝票元!$I$6:$I$511,$M206),"")</f>
        <v/>
      </c>
      <c r="F206" s="45" t="str">
        <f aca="false">IF(IF($M206="",0,INDEX(伝票元!$N$6:$N$511,$M206))=1,INDEX(伝票元!$J$6:$J$511,$M206),"")</f>
        <v/>
      </c>
      <c r="G206" s="42" t="str">
        <f aca="false">IF(IF($M206="",0,INDEX(伝票元!$N$6:$N$511,$M206))=1,INDEX(伝票元!$Q$6:$Q$511,$M206),"")</f>
        <v/>
      </c>
      <c r="H206" s="45" t="str">
        <f aca="false">IF($M206="","",INDEX(伝票元!$F$6:$F$511,$M206))</f>
        <v/>
      </c>
      <c r="I206" s="45" t="str">
        <f aca="false">IF($M206="","",INDEX(伝票元!$G$6:$G$511,$M206))</f>
        <v/>
      </c>
      <c r="J206" s="42" t="str">
        <f aca="false">IF($M206="","",INDEX(伝票元!$H$6:$H$511,$M206))</f>
        <v/>
      </c>
      <c r="K206" s="46" t="str">
        <f aca="false">IF(IF($M206="",0,INDEX(伝票元!$N$6:$N$511,$M206))=1,INDEX(伝票元!$R$6:$R$511,$M206),"")</f>
        <v/>
      </c>
      <c r="L206" s="47" t="str">
        <f aca="false">IF($M206="","",INDEX(伝票元!$S$6:$S$511,$M206))</f>
        <v/>
      </c>
      <c r="M206" s="47" t="str">
        <f aca="false">IFERROR(MATCH(200,伝票元!$O$6:$O$511,0),"")</f>
        <v/>
      </c>
    </row>
    <row r="207" customFormat="false" ht="15" hidden="false" customHeight="false" outlineLevel="0" collapsed="false">
      <c r="A207" s="10" t="str">
        <f aca="false">IF($M207="","",INDEX(伝票元!$P$6:$P$511,$M207))</f>
        <v/>
      </c>
      <c r="B207" s="45" t="str">
        <f aca="false">IF($M207="","",INDEX(伝票元!$D$6:$D$511,$M207))</f>
        <v/>
      </c>
      <c r="C207" s="10" t="str">
        <f aca="false">IF($M207="","",INDEX(伝票元!$E$6:$E$511,$M207))</f>
        <v/>
      </c>
      <c r="D207" s="45" t="str">
        <f aca="false">IF($M207="","",INDEX(伝票元!$A$6:$A$511,$M207))</f>
        <v/>
      </c>
      <c r="E207" s="10" t="str">
        <f aca="false">IF(IF($M207="",0,INDEX(伝票元!$N$6:$N$511,$M207))=1,INDEX(伝票元!$I$6:$I$511,$M207),"")</f>
        <v/>
      </c>
      <c r="F207" s="45" t="str">
        <f aca="false">IF(IF($M207="",0,INDEX(伝票元!$N$6:$N$511,$M207))=1,INDEX(伝票元!$J$6:$J$511,$M207),"")</f>
        <v/>
      </c>
      <c r="G207" s="42" t="str">
        <f aca="false">IF(IF($M207="",0,INDEX(伝票元!$N$6:$N$511,$M207))=1,INDEX(伝票元!$Q$6:$Q$511,$M207),"")</f>
        <v/>
      </c>
      <c r="H207" s="45" t="str">
        <f aca="false">IF($M207="","",INDEX(伝票元!$F$6:$F$511,$M207))</f>
        <v/>
      </c>
      <c r="I207" s="45" t="str">
        <f aca="false">IF($M207="","",INDEX(伝票元!$G$6:$G$511,$M207))</f>
        <v/>
      </c>
      <c r="J207" s="42" t="str">
        <f aca="false">IF($M207="","",INDEX(伝票元!$H$6:$H$511,$M207))</f>
        <v/>
      </c>
      <c r="K207" s="46" t="str">
        <f aca="false">IF(IF($M207="",0,INDEX(伝票元!$N$6:$N$511,$M207))=1,INDEX(伝票元!$R$6:$R$511,$M207),"")</f>
        <v/>
      </c>
      <c r="L207" s="47" t="str">
        <f aca="false">IF($M207="","",INDEX(伝票元!$S$6:$S$511,$M207))</f>
        <v/>
      </c>
      <c r="M207" s="47" t="str">
        <f aca="false">IFERROR(MATCH(201,伝票元!$O$6:$O$511,0),"")</f>
        <v/>
      </c>
    </row>
    <row r="208" customFormat="false" ht="15" hidden="false" customHeight="false" outlineLevel="0" collapsed="false">
      <c r="A208" s="10" t="str">
        <f aca="false">IF($M208="","",INDEX(伝票元!$P$6:$P$511,$M208))</f>
        <v/>
      </c>
      <c r="B208" s="45" t="str">
        <f aca="false">IF($M208="","",INDEX(伝票元!$D$6:$D$511,$M208))</f>
        <v/>
      </c>
      <c r="C208" s="10" t="str">
        <f aca="false">IF($M208="","",INDEX(伝票元!$E$6:$E$511,$M208))</f>
        <v/>
      </c>
      <c r="D208" s="45" t="str">
        <f aca="false">IF($M208="","",INDEX(伝票元!$A$6:$A$511,$M208))</f>
        <v/>
      </c>
      <c r="E208" s="10" t="str">
        <f aca="false">IF(IF($M208="",0,INDEX(伝票元!$N$6:$N$511,$M208))=1,INDEX(伝票元!$I$6:$I$511,$M208),"")</f>
        <v/>
      </c>
      <c r="F208" s="45" t="str">
        <f aca="false">IF(IF($M208="",0,INDEX(伝票元!$N$6:$N$511,$M208))=1,INDEX(伝票元!$J$6:$J$511,$M208),"")</f>
        <v/>
      </c>
      <c r="G208" s="42" t="str">
        <f aca="false">IF(IF($M208="",0,INDEX(伝票元!$N$6:$N$511,$M208))=1,INDEX(伝票元!$Q$6:$Q$511,$M208),"")</f>
        <v/>
      </c>
      <c r="H208" s="45" t="str">
        <f aca="false">IF($M208="","",INDEX(伝票元!$F$6:$F$511,$M208))</f>
        <v/>
      </c>
      <c r="I208" s="45" t="str">
        <f aca="false">IF($M208="","",INDEX(伝票元!$G$6:$G$511,$M208))</f>
        <v/>
      </c>
      <c r="J208" s="42" t="str">
        <f aca="false">IF($M208="","",INDEX(伝票元!$H$6:$H$511,$M208))</f>
        <v/>
      </c>
      <c r="K208" s="46" t="str">
        <f aca="false">IF(IF($M208="",0,INDEX(伝票元!$N$6:$N$511,$M208))=1,INDEX(伝票元!$R$6:$R$511,$M208),"")</f>
        <v/>
      </c>
      <c r="L208" s="47" t="str">
        <f aca="false">IF($M208="","",INDEX(伝票元!$S$6:$S$511,$M208))</f>
        <v/>
      </c>
      <c r="M208" s="47" t="str">
        <f aca="false">IFERROR(MATCH(202,伝票元!$O$6:$O$511,0),"")</f>
        <v/>
      </c>
    </row>
    <row r="209" customFormat="false" ht="15" hidden="false" customHeight="false" outlineLevel="0" collapsed="false">
      <c r="A209" s="10" t="str">
        <f aca="false">IF($M209="","",INDEX(伝票元!$P$6:$P$511,$M209))</f>
        <v/>
      </c>
      <c r="B209" s="45" t="str">
        <f aca="false">IF($M209="","",INDEX(伝票元!$D$6:$D$511,$M209))</f>
        <v/>
      </c>
      <c r="C209" s="10" t="str">
        <f aca="false">IF($M209="","",INDEX(伝票元!$E$6:$E$511,$M209))</f>
        <v/>
      </c>
      <c r="D209" s="45" t="str">
        <f aca="false">IF($M209="","",INDEX(伝票元!$A$6:$A$511,$M209))</f>
        <v/>
      </c>
      <c r="E209" s="10" t="str">
        <f aca="false">IF(IF($M209="",0,INDEX(伝票元!$N$6:$N$511,$M209))=1,INDEX(伝票元!$I$6:$I$511,$M209),"")</f>
        <v/>
      </c>
      <c r="F209" s="45" t="str">
        <f aca="false">IF(IF($M209="",0,INDEX(伝票元!$N$6:$N$511,$M209))=1,INDEX(伝票元!$J$6:$J$511,$M209),"")</f>
        <v/>
      </c>
      <c r="G209" s="42" t="str">
        <f aca="false">IF(IF($M209="",0,INDEX(伝票元!$N$6:$N$511,$M209))=1,INDEX(伝票元!$Q$6:$Q$511,$M209),"")</f>
        <v/>
      </c>
      <c r="H209" s="45" t="str">
        <f aca="false">IF($M209="","",INDEX(伝票元!$F$6:$F$511,$M209))</f>
        <v/>
      </c>
      <c r="I209" s="45" t="str">
        <f aca="false">IF($M209="","",INDEX(伝票元!$G$6:$G$511,$M209))</f>
        <v/>
      </c>
      <c r="J209" s="42" t="str">
        <f aca="false">IF($M209="","",INDEX(伝票元!$H$6:$H$511,$M209))</f>
        <v/>
      </c>
      <c r="K209" s="46" t="str">
        <f aca="false">IF(IF($M209="",0,INDEX(伝票元!$N$6:$N$511,$M209))=1,INDEX(伝票元!$R$6:$R$511,$M209),"")</f>
        <v/>
      </c>
      <c r="L209" s="47" t="str">
        <f aca="false">IF($M209="","",INDEX(伝票元!$S$6:$S$511,$M209))</f>
        <v/>
      </c>
      <c r="M209" s="47" t="str">
        <f aca="false">IFERROR(MATCH(203,伝票元!$O$6:$O$511,0),"")</f>
        <v/>
      </c>
    </row>
    <row r="210" customFormat="false" ht="15" hidden="false" customHeight="false" outlineLevel="0" collapsed="false">
      <c r="A210" s="10" t="str">
        <f aca="false">IF($M210="","",INDEX(伝票元!$P$6:$P$511,$M210))</f>
        <v/>
      </c>
      <c r="B210" s="45" t="str">
        <f aca="false">IF($M210="","",INDEX(伝票元!$D$6:$D$511,$M210))</f>
        <v/>
      </c>
      <c r="C210" s="10" t="str">
        <f aca="false">IF($M210="","",INDEX(伝票元!$E$6:$E$511,$M210))</f>
        <v/>
      </c>
      <c r="D210" s="45" t="str">
        <f aca="false">IF($M210="","",INDEX(伝票元!$A$6:$A$511,$M210))</f>
        <v/>
      </c>
      <c r="E210" s="10" t="str">
        <f aca="false">IF(IF($M210="",0,INDEX(伝票元!$N$6:$N$511,$M210))=1,INDEX(伝票元!$I$6:$I$511,$M210),"")</f>
        <v/>
      </c>
      <c r="F210" s="45" t="str">
        <f aca="false">IF(IF($M210="",0,INDEX(伝票元!$N$6:$N$511,$M210))=1,INDEX(伝票元!$J$6:$J$511,$M210),"")</f>
        <v/>
      </c>
      <c r="G210" s="42" t="str">
        <f aca="false">IF(IF($M210="",0,INDEX(伝票元!$N$6:$N$511,$M210))=1,INDEX(伝票元!$Q$6:$Q$511,$M210),"")</f>
        <v/>
      </c>
      <c r="H210" s="45" t="str">
        <f aca="false">IF($M210="","",INDEX(伝票元!$F$6:$F$511,$M210))</f>
        <v/>
      </c>
      <c r="I210" s="45" t="str">
        <f aca="false">IF($M210="","",INDEX(伝票元!$G$6:$G$511,$M210))</f>
        <v/>
      </c>
      <c r="J210" s="42" t="str">
        <f aca="false">IF($M210="","",INDEX(伝票元!$H$6:$H$511,$M210))</f>
        <v/>
      </c>
      <c r="K210" s="46" t="str">
        <f aca="false">IF(IF($M210="",0,INDEX(伝票元!$N$6:$N$511,$M210))=1,INDEX(伝票元!$R$6:$R$511,$M210),"")</f>
        <v/>
      </c>
      <c r="L210" s="47" t="str">
        <f aca="false">IF($M210="","",INDEX(伝票元!$S$6:$S$511,$M210))</f>
        <v/>
      </c>
      <c r="M210" s="47" t="str">
        <f aca="false">IFERROR(MATCH(204,伝票元!$O$6:$O$511,0),"")</f>
        <v/>
      </c>
    </row>
    <row r="211" customFormat="false" ht="15" hidden="false" customHeight="false" outlineLevel="0" collapsed="false">
      <c r="A211" s="10" t="str">
        <f aca="false">IF($M211="","",INDEX(伝票元!$P$6:$P$511,$M211))</f>
        <v/>
      </c>
      <c r="B211" s="45" t="str">
        <f aca="false">IF($M211="","",INDEX(伝票元!$D$6:$D$511,$M211))</f>
        <v/>
      </c>
      <c r="C211" s="10" t="str">
        <f aca="false">IF($M211="","",INDEX(伝票元!$E$6:$E$511,$M211))</f>
        <v/>
      </c>
      <c r="D211" s="45" t="str">
        <f aca="false">IF($M211="","",INDEX(伝票元!$A$6:$A$511,$M211))</f>
        <v/>
      </c>
      <c r="E211" s="10" t="str">
        <f aca="false">IF(IF($M211="",0,INDEX(伝票元!$N$6:$N$511,$M211))=1,INDEX(伝票元!$I$6:$I$511,$M211),"")</f>
        <v/>
      </c>
      <c r="F211" s="45" t="str">
        <f aca="false">IF(IF($M211="",0,INDEX(伝票元!$N$6:$N$511,$M211))=1,INDEX(伝票元!$J$6:$J$511,$M211),"")</f>
        <v/>
      </c>
      <c r="G211" s="42" t="str">
        <f aca="false">IF(IF($M211="",0,INDEX(伝票元!$N$6:$N$511,$M211))=1,INDEX(伝票元!$Q$6:$Q$511,$M211),"")</f>
        <v/>
      </c>
      <c r="H211" s="45" t="str">
        <f aca="false">IF($M211="","",INDEX(伝票元!$F$6:$F$511,$M211))</f>
        <v/>
      </c>
      <c r="I211" s="45" t="str">
        <f aca="false">IF($M211="","",INDEX(伝票元!$G$6:$G$511,$M211))</f>
        <v/>
      </c>
      <c r="J211" s="42" t="str">
        <f aca="false">IF($M211="","",INDEX(伝票元!$H$6:$H$511,$M211))</f>
        <v/>
      </c>
      <c r="K211" s="46" t="str">
        <f aca="false">IF(IF($M211="",0,INDEX(伝票元!$N$6:$N$511,$M211))=1,INDEX(伝票元!$R$6:$R$511,$M211),"")</f>
        <v/>
      </c>
      <c r="L211" s="47" t="str">
        <f aca="false">IF($M211="","",INDEX(伝票元!$S$6:$S$511,$M211))</f>
        <v/>
      </c>
      <c r="M211" s="47" t="str">
        <f aca="false">IFERROR(MATCH(205,伝票元!$O$6:$O$511,0),"")</f>
        <v/>
      </c>
    </row>
    <row r="212" customFormat="false" ht="15" hidden="false" customHeight="false" outlineLevel="0" collapsed="false">
      <c r="A212" s="10" t="str">
        <f aca="false">IF($M212="","",INDEX(伝票元!$P$6:$P$511,$M212))</f>
        <v/>
      </c>
      <c r="B212" s="45" t="str">
        <f aca="false">IF($M212="","",INDEX(伝票元!$D$6:$D$511,$M212))</f>
        <v/>
      </c>
      <c r="C212" s="10" t="str">
        <f aca="false">IF($M212="","",INDEX(伝票元!$E$6:$E$511,$M212))</f>
        <v/>
      </c>
      <c r="D212" s="45" t="str">
        <f aca="false">IF($M212="","",INDEX(伝票元!$A$6:$A$511,$M212))</f>
        <v/>
      </c>
      <c r="E212" s="10" t="str">
        <f aca="false">IF(IF($M212="",0,INDEX(伝票元!$N$6:$N$511,$M212))=1,INDEX(伝票元!$I$6:$I$511,$M212),"")</f>
        <v/>
      </c>
      <c r="F212" s="45" t="str">
        <f aca="false">IF(IF($M212="",0,INDEX(伝票元!$N$6:$N$511,$M212))=1,INDEX(伝票元!$J$6:$J$511,$M212),"")</f>
        <v/>
      </c>
      <c r="G212" s="42" t="str">
        <f aca="false">IF(IF($M212="",0,INDEX(伝票元!$N$6:$N$511,$M212))=1,INDEX(伝票元!$Q$6:$Q$511,$M212),"")</f>
        <v/>
      </c>
      <c r="H212" s="45" t="str">
        <f aca="false">IF($M212="","",INDEX(伝票元!$F$6:$F$511,$M212))</f>
        <v/>
      </c>
      <c r="I212" s="45" t="str">
        <f aca="false">IF($M212="","",INDEX(伝票元!$G$6:$G$511,$M212))</f>
        <v/>
      </c>
      <c r="J212" s="42" t="str">
        <f aca="false">IF($M212="","",INDEX(伝票元!$H$6:$H$511,$M212))</f>
        <v/>
      </c>
      <c r="K212" s="46" t="str">
        <f aca="false">IF(IF($M212="",0,INDEX(伝票元!$N$6:$N$511,$M212))=1,INDEX(伝票元!$R$6:$R$511,$M212),"")</f>
        <v/>
      </c>
      <c r="L212" s="47" t="str">
        <f aca="false">IF($M212="","",INDEX(伝票元!$S$6:$S$511,$M212))</f>
        <v/>
      </c>
      <c r="M212" s="47" t="str">
        <f aca="false">IFERROR(MATCH(206,伝票元!$O$6:$O$511,0),"")</f>
        <v/>
      </c>
    </row>
    <row r="213" customFormat="false" ht="15" hidden="false" customHeight="false" outlineLevel="0" collapsed="false">
      <c r="A213" s="10" t="str">
        <f aca="false">IF($M213="","",INDEX(伝票元!$P$6:$P$511,$M213))</f>
        <v/>
      </c>
      <c r="B213" s="45" t="str">
        <f aca="false">IF($M213="","",INDEX(伝票元!$D$6:$D$511,$M213))</f>
        <v/>
      </c>
      <c r="C213" s="10" t="str">
        <f aca="false">IF($M213="","",INDEX(伝票元!$E$6:$E$511,$M213))</f>
        <v/>
      </c>
      <c r="D213" s="45" t="str">
        <f aca="false">IF($M213="","",INDEX(伝票元!$A$6:$A$511,$M213))</f>
        <v/>
      </c>
      <c r="E213" s="10" t="str">
        <f aca="false">IF(IF($M213="",0,INDEX(伝票元!$N$6:$N$511,$M213))=1,INDEX(伝票元!$I$6:$I$511,$M213),"")</f>
        <v/>
      </c>
      <c r="F213" s="45" t="str">
        <f aca="false">IF(IF($M213="",0,INDEX(伝票元!$N$6:$N$511,$M213))=1,INDEX(伝票元!$J$6:$J$511,$M213),"")</f>
        <v/>
      </c>
      <c r="G213" s="42" t="str">
        <f aca="false">IF(IF($M213="",0,INDEX(伝票元!$N$6:$N$511,$M213))=1,INDEX(伝票元!$Q$6:$Q$511,$M213),"")</f>
        <v/>
      </c>
      <c r="H213" s="45" t="str">
        <f aca="false">IF($M213="","",INDEX(伝票元!$F$6:$F$511,$M213))</f>
        <v/>
      </c>
      <c r="I213" s="45" t="str">
        <f aca="false">IF($M213="","",INDEX(伝票元!$G$6:$G$511,$M213))</f>
        <v/>
      </c>
      <c r="J213" s="42" t="str">
        <f aca="false">IF($M213="","",INDEX(伝票元!$H$6:$H$511,$M213))</f>
        <v/>
      </c>
      <c r="K213" s="46" t="str">
        <f aca="false">IF(IF($M213="",0,INDEX(伝票元!$N$6:$N$511,$M213))=1,INDEX(伝票元!$R$6:$R$511,$M213),"")</f>
        <v/>
      </c>
      <c r="L213" s="47" t="str">
        <f aca="false">IF($M213="","",INDEX(伝票元!$S$6:$S$511,$M213))</f>
        <v/>
      </c>
      <c r="M213" s="47" t="str">
        <f aca="false">IFERROR(MATCH(207,伝票元!$O$6:$O$511,0),"")</f>
        <v/>
      </c>
    </row>
    <row r="214" customFormat="false" ht="15" hidden="false" customHeight="false" outlineLevel="0" collapsed="false">
      <c r="A214" s="10" t="str">
        <f aca="false">IF($M214="","",INDEX(伝票元!$P$6:$P$511,$M214))</f>
        <v/>
      </c>
      <c r="B214" s="45" t="str">
        <f aca="false">IF($M214="","",INDEX(伝票元!$D$6:$D$511,$M214))</f>
        <v/>
      </c>
      <c r="C214" s="10" t="str">
        <f aca="false">IF($M214="","",INDEX(伝票元!$E$6:$E$511,$M214))</f>
        <v/>
      </c>
      <c r="D214" s="45" t="str">
        <f aca="false">IF($M214="","",INDEX(伝票元!$A$6:$A$511,$M214))</f>
        <v/>
      </c>
      <c r="E214" s="10" t="str">
        <f aca="false">IF(IF($M214="",0,INDEX(伝票元!$N$6:$N$511,$M214))=1,INDEX(伝票元!$I$6:$I$511,$M214),"")</f>
        <v/>
      </c>
      <c r="F214" s="45" t="str">
        <f aca="false">IF(IF($M214="",0,INDEX(伝票元!$N$6:$N$511,$M214))=1,INDEX(伝票元!$J$6:$J$511,$M214),"")</f>
        <v/>
      </c>
      <c r="G214" s="42" t="str">
        <f aca="false">IF(IF($M214="",0,INDEX(伝票元!$N$6:$N$511,$M214))=1,INDEX(伝票元!$Q$6:$Q$511,$M214),"")</f>
        <v/>
      </c>
      <c r="H214" s="45" t="str">
        <f aca="false">IF($M214="","",INDEX(伝票元!$F$6:$F$511,$M214))</f>
        <v/>
      </c>
      <c r="I214" s="45" t="str">
        <f aca="false">IF($M214="","",INDEX(伝票元!$G$6:$G$511,$M214))</f>
        <v/>
      </c>
      <c r="J214" s="42" t="str">
        <f aca="false">IF($M214="","",INDEX(伝票元!$H$6:$H$511,$M214))</f>
        <v/>
      </c>
      <c r="K214" s="46" t="str">
        <f aca="false">IF(IF($M214="",0,INDEX(伝票元!$N$6:$N$511,$M214))=1,INDEX(伝票元!$R$6:$R$511,$M214),"")</f>
        <v/>
      </c>
      <c r="L214" s="47" t="str">
        <f aca="false">IF($M214="","",INDEX(伝票元!$S$6:$S$511,$M214))</f>
        <v/>
      </c>
      <c r="M214" s="47" t="str">
        <f aca="false">IFERROR(MATCH(208,伝票元!$O$6:$O$511,0),"")</f>
        <v/>
      </c>
    </row>
    <row r="215" customFormat="false" ht="15" hidden="false" customHeight="false" outlineLevel="0" collapsed="false">
      <c r="A215" s="10" t="str">
        <f aca="false">IF($M215="","",INDEX(伝票元!$P$6:$P$511,$M215))</f>
        <v/>
      </c>
      <c r="B215" s="45" t="str">
        <f aca="false">IF($M215="","",INDEX(伝票元!$D$6:$D$511,$M215))</f>
        <v/>
      </c>
      <c r="C215" s="10" t="str">
        <f aca="false">IF($M215="","",INDEX(伝票元!$E$6:$E$511,$M215))</f>
        <v/>
      </c>
      <c r="D215" s="45" t="str">
        <f aca="false">IF($M215="","",INDEX(伝票元!$A$6:$A$511,$M215))</f>
        <v/>
      </c>
      <c r="E215" s="10" t="str">
        <f aca="false">IF(IF($M215="",0,INDEX(伝票元!$N$6:$N$511,$M215))=1,INDEX(伝票元!$I$6:$I$511,$M215),"")</f>
        <v/>
      </c>
      <c r="F215" s="45" t="str">
        <f aca="false">IF(IF($M215="",0,INDEX(伝票元!$N$6:$N$511,$M215))=1,INDEX(伝票元!$J$6:$J$511,$M215),"")</f>
        <v/>
      </c>
      <c r="G215" s="42" t="str">
        <f aca="false">IF(IF($M215="",0,INDEX(伝票元!$N$6:$N$511,$M215))=1,INDEX(伝票元!$Q$6:$Q$511,$M215),"")</f>
        <v/>
      </c>
      <c r="H215" s="45" t="str">
        <f aca="false">IF($M215="","",INDEX(伝票元!$F$6:$F$511,$M215))</f>
        <v/>
      </c>
      <c r="I215" s="45" t="str">
        <f aca="false">IF($M215="","",INDEX(伝票元!$G$6:$G$511,$M215))</f>
        <v/>
      </c>
      <c r="J215" s="42" t="str">
        <f aca="false">IF($M215="","",INDEX(伝票元!$H$6:$H$511,$M215))</f>
        <v/>
      </c>
      <c r="K215" s="46" t="str">
        <f aca="false">IF(IF($M215="",0,INDEX(伝票元!$N$6:$N$511,$M215))=1,INDEX(伝票元!$R$6:$R$511,$M215),"")</f>
        <v/>
      </c>
      <c r="L215" s="47" t="str">
        <f aca="false">IF($M215="","",INDEX(伝票元!$S$6:$S$511,$M215))</f>
        <v/>
      </c>
      <c r="M215" s="47" t="str">
        <f aca="false">IFERROR(MATCH(209,伝票元!$O$6:$O$511,0),"")</f>
        <v/>
      </c>
    </row>
    <row r="216" customFormat="false" ht="15" hidden="false" customHeight="false" outlineLevel="0" collapsed="false">
      <c r="A216" s="10" t="str">
        <f aca="false">IF($M216="","",INDEX(伝票元!$P$6:$P$511,$M216))</f>
        <v/>
      </c>
      <c r="B216" s="45" t="str">
        <f aca="false">IF($M216="","",INDEX(伝票元!$D$6:$D$511,$M216))</f>
        <v/>
      </c>
      <c r="C216" s="10" t="str">
        <f aca="false">IF($M216="","",INDEX(伝票元!$E$6:$E$511,$M216))</f>
        <v/>
      </c>
      <c r="D216" s="45" t="str">
        <f aca="false">IF($M216="","",INDEX(伝票元!$A$6:$A$511,$M216))</f>
        <v/>
      </c>
      <c r="E216" s="10" t="str">
        <f aca="false">IF(IF($M216="",0,INDEX(伝票元!$N$6:$N$511,$M216))=1,INDEX(伝票元!$I$6:$I$511,$M216),"")</f>
        <v/>
      </c>
      <c r="F216" s="45" t="str">
        <f aca="false">IF(IF($M216="",0,INDEX(伝票元!$N$6:$N$511,$M216))=1,INDEX(伝票元!$J$6:$J$511,$M216),"")</f>
        <v/>
      </c>
      <c r="G216" s="42" t="str">
        <f aca="false">IF(IF($M216="",0,INDEX(伝票元!$N$6:$N$511,$M216))=1,INDEX(伝票元!$Q$6:$Q$511,$M216),"")</f>
        <v/>
      </c>
      <c r="H216" s="45" t="str">
        <f aca="false">IF($M216="","",INDEX(伝票元!$F$6:$F$511,$M216))</f>
        <v/>
      </c>
      <c r="I216" s="45" t="str">
        <f aca="false">IF($M216="","",INDEX(伝票元!$G$6:$G$511,$M216))</f>
        <v/>
      </c>
      <c r="J216" s="42" t="str">
        <f aca="false">IF($M216="","",INDEX(伝票元!$H$6:$H$511,$M216))</f>
        <v/>
      </c>
      <c r="K216" s="46" t="str">
        <f aca="false">IF(IF($M216="",0,INDEX(伝票元!$N$6:$N$511,$M216))=1,INDEX(伝票元!$R$6:$R$511,$M216),"")</f>
        <v/>
      </c>
      <c r="L216" s="47" t="str">
        <f aca="false">IF($M216="","",INDEX(伝票元!$S$6:$S$511,$M216))</f>
        <v/>
      </c>
      <c r="M216" s="47" t="str">
        <f aca="false">IFERROR(MATCH(210,伝票元!$O$6:$O$511,0),"")</f>
        <v/>
      </c>
    </row>
    <row r="217" customFormat="false" ht="15" hidden="false" customHeight="false" outlineLevel="0" collapsed="false">
      <c r="A217" s="10" t="str">
        <f aca="false">IF($M217="","",INDEX(伝票元!$P$6:$P$511,$M217))</f>
        <v/>
      </c>
      <c r="B217" s="45" t="str">
        <f aca="false">IF($M217="","",INDEX(伝票元!$D$6:$D$511,$M217))</f>
        <v/>
      </c>
      <c r="C217" s="10" t="str">
        <f aca="false">IF($M217="","",INDEX(伝票元!$E$6:$E$511,$M217))</f>
        <v/>
      </c>
      <c r="D217" s="45" t="str">
        <f aca="false">IF($M217="","",INDEX(伝票元!$A$6:$A$511,$M217))</f>
        <v/>
      </c>
      <c r="E217" s="10" t="str">
        <f aca="false">IF(IF($M217="",0,INDEX(伝票元!$N$6:$N$511,$M217))=1,INDEX(伝票元!$I$6:$I$511,$M217),"")</f>
        <v/>
      </c>
      <c r="F217" s="45" t="str">
        <f aca="false">IF(IF($M217="",0,INDEX(伝票元!$N$6:$N$511,$M217))=1,INDEX(伝票元!$J$6:$J$511,$M217),"")</f>
        <v/>
      </c>
      <c r="G217" s="42" t="str">
        <f aca="false">IF(IF($M217="",0,INDEX(伝票元!$N$6:$N$511,$M217))=1,INDEX(伝票元!$Q$6:$Q$511,$M217),"")</f>
        <v/>
      </c>
      <c r="H217" s="45" t="str">
        <f aca="false">IF($M217="","",INDEX(伝票元!$F$6:$F$511,$M217))</f>
        <v/>
      </c>
      <c r="I217" s="45" t="str">
        <f aca="false">IF($M217="","",INDEX(伝票元!$G$6:$G$511,$M217))</f>
        <v/>
      </c>
      <c r="J217" s="42" t="str">
        <f aca="false">IF($M217="","",INDEX(伝票元!$H$6:$H$511,$M217))</f>
        <v/>
      </c>
      <c r="K217" s="46" t="str">
        <f aca="false">IF(IF($M217="",0,INDEX(伝票元!$N$6:$N$511,$M217))=1,INDEX(伝票元!$R$6:$R$511,$M217),"")</f>
        <v/>
      </c>
      <c r="L217" s="47" t="str">
        <f aca="false">IF($M217="","",INDEX(伝票元!$S$6:$S$511,$M217))</f>
        <v/>
      </c>
      <c r="M217" s="47" t="str">
        <f aca="false">IFERROR(MATCH(211,伝票元!$O$6:$O$511,0),"")</f>
        <v/>
      </c>
    </row>
    <row r="218" customFormat="false" ht="15" hidden="false" customHeight="false" outlineLevel="0" collapsed="false">
      <c r="A218" s="10" t="str">
        <f aca="false">IF($M218="","",INDEX(伝票元!$P$6:$P$511,$M218))</f>
        <v/>
      </c>
      <c r="B218" s="45" t="str">
        <f aca="false">IF($M218="","",INDEX(伝票元!$D$6:$D$511,$M218))</f>
        <v/>
      </c>
      <c r="C218" s="10" t="str">
        <f aca="false">IF($M218="","",INDEX(伝票元!$E$6:$E$511,$M218))</f>
        <v/>
      </c>
      <c r="D218" s="45" t="str">
        <f aca="false">IF($M218="","",INDEX(伝票元!$A$6:$A$511,$M218))</f>
        <v/>
      </c>
      <c r="E218" s="10" t="str">
        <f aca="false">IF(IF($M218="",0,INDEX(伝票元!$N$6:$N$511,$M218))=1,INDEX(伝票元!$I$6:$I$511,$M218),"")</f>
        <v/>
      </c>
      <c r="F218" s="45" t="str">
        <f aca="false">IF(IF($M218="",0,INDEX(伝票元!$N$6:$N$511,$M218))=1,INDEX(伝票元!$J$6:$J$511,$M218),"")</f>
        <v/>
      </c>
      <c r="G218" s="42" t="str">
        <f aca="false">IF(IF($M218="",0,INDEX(伝票元!$N$6:$N$511,$M218))=1,INDEX(伝票元!$Q$6:$Q$511,$M218),"")</f>
        <v/>
      </c>
      <c r="H218" s="45" t="str">
        <f aca="false">IF($M218="","",INDEX(伝票元!$F$6:$F$511,$M218))</f>
        <v/>
      </c>
      <c r="I218" s="45" t="str">
        <f aca="false">IF($M218="","",INDEX(伝票元!$G$6:$G$511,$M218))</f>
        <v/>
      </c>
      <c r="J218" s="42" t="str">
        <f aca="false">IF($M218="","",INDEX(伝票元!$H$6:$H$511,$M218))</f>
        <v/>
      </c>
      <c r="K218" s="46" t="str">
        <f aca="false">IF(IF($M218="",0,INDEX(伝票元!$N$6:$N$511,$M218))=1,INDEX(伝票元!$R$6:$R$511,$M218),"")</f>
        <v/>
      </c>
      <c r="L218" s="47" t="str">
        <f aca="false">IF($M218="","",INDEX(伝票元!$S$6:$S$511,$M218))</f>
        <v/>
      </c>
      <c r="M218" s="47" t="str">
        <f aca="false">IFERROR(MATCH(212,伝票元!$O$6:$O$511,0),"")</f>
        <v/>
      </c>
    </row>
    <row r="219" customFormat="false" ht="15" hidden="false" customHeight="false" outlineLevel="0" collapsed="false">
      <c r="A219" s="10" t="str">
        <f aca="false">IF($M219="","",INDEX(伝票元!$P$6:$P$511,$M219))</f>
        <v/>
      </c>
      <c r="B219" s="45" t="str">
        <f aca="false">IF($M219="","",INDEX(伝票元!$D$6:$D$511,$M219))</f>
        <v/>
      </c>
      <c r="C219" s="10" t="str">
        <f aca="false">IF($M219="","",INDEX(伝票元!$E$6:$E$511,$M219))</f>
        <v/>
      </c>
      <c r="D219" s="45" t="str">
        <f aca="false">IF($M219="","",INDEX(伝票元!$A$6:$A$511,$M219))</f>
        <v/>
      </c>
      <c r="E219" s="10" t="str">
        <f aca="false">IF(IF($M219="",0,INDEX(伝票元!$N$6:$N$511,$M219))=1,INDEX(伝票元!$I$6:$I$511,$M219),"")</f>
        <v/>
      </c>
      <c r="F219" s="45" t="str">
        <f aca="false">IF(IF($M219="",0,INDEX(伝票元!$N$6:$N$511,$M219))=1,INDEX(伝票元!$J$6:$J$511,$M219),"")</f>
        <v/>
      </c>
      <c r="G219" s="42" t="str">
        <f aca="false">IF(IF($M219="",0,INDEX(伝票元!$N$6:$N$511,$M219))=1,INDEX(伝票元!$Q$6:$Q$511,$M219),"")</f>
        <v/>
      </c>
      <c r="H219" s="45" t="str">
        <f aca="false">IF($M219="","",INDEX(伝票元!$F$6:$F$511,$M219))</f>
        <v/>
      </c>
      <c r="I219" s="45" t="str">
        <f aca="false">IF($M219="","",INDEX(伝票元!$G$6:$G$511,$M219))</f>
        <v/>
      </c>
      <c r="J219" s="42" t="str">
        <f aca="false">IF($M219="","",INDEX(伝票元!$H$6:$H$511,$M219))</f>
        <v/>
      </c>
      <c r="K219" s="46" t="str">
        <f aca="false">IF(IF($M219="",0,INDEX(伝票元!$N$6:$N$511,$M219))=1,INDEX(伝票元!$R$6:$R$511,$M219),"")</f>
        <v/>
      </c>
      <c r="L219" s="47" t="str">
        <f aca="false">IF($M219="","",INDEX(伝票元!$S$6:$S$511,$M219))</f>
        <v/>
      </c>
      <c r="M219" s="47" t="str">
        <f aca="false">IFERROR(MATCH(213,伝票元!$O$6:$O$511,0),"")</f>
        <v/>
      </c>
    </row>
    <row r="220" customFormat="false" ht="15" hidden="false" customHeight="false" outlineLevel="0" collapsed="false">
      <c r="A220" s="10" t="str">
        <f aca="false">IF($M220="","",INDEX(伝票元!$P$6:$P$511,$M220))</f>
        <v/>
      </c>
      <c r="B220" s="45" t="str">
        <f aca="false">IF($M220="","",INDEX(伝票元!$D$6:$D$511,$M220))</f>
        <v/>
      </c>
      <c r="C220" s="10" t="str">
        <f aca="false">IF($M220="","",INDEX(伝票元!$E$6:$E$511,$M220))</f>
        <v/>
      </c>
      <c r="D220" s="45" t="str">
        <f aca="false">IF($M220="","",INDEX(伝票元!$A$6:$A$511,$M220))</f>
        <v/>
      </c>
      <c r="E220" s="10" t="str">
        <f aca="false">IF(IF($M220="",0,INDEX(伝票元!$N$6:$N$511,$M220))=1,INDEX(伝票元!$I$6:$I$511,$M220),"")</f>
        <v/>
      </c>
      <c r="F220" s="45" t="str">
        <f aca="false">IF(IF($M220="",0,INDEX(伝票元!$N$6:$N$511,$M220))=1,INDEX(伝票元!$J$6:$J$511,$M220),"")</f>
        <v/>
      </c>
      <c r="G220" s="42" t="str">
        <f aca="false">IF(IF($M220="",0,INDEX(伝票元!$N$6:$N$511,$M220))=1,INDEX(伝票元!$Q$6:$Q$511,$M220),"")</f>
        <v/>
      </c>
      <c r="H220" s="45" t="str">
        <f aca="false">IF($M220="","",INDEX(伝票元!$F$6:$F$511,$M220))</f>
        <v/>
      </c>
      <c r="I220" s="45" t="str">
        <f aca="false">IF($M220="","",INDEX(伝票元!$G$6:$G$511,$M220))</f>
        <v/>
      </c>
      <c r="J220" s="42" t="str">
        <f aca="false">IF($M220="","",INDEX(伝票元!$H$6:$H$511,$M220))</f>
        <v/>
      </c>
      <c r="K220" s="46" t="str">
        <f aca="false">IF(IF($M220="",0,INDEX(伝票元!$N$6:$N$511,$M220))=1,INDEX(伝票元!$R$6:$R$511,$M220),"")</f>
        <v/>
      </c>
      <c r="L220" s="47" t="str">
        <f aca="false">IF($M220="","",INDEX(伝票元!$S$6:$S$511,$M220))</f>
        <v/>
      </c>
      <c r="M220" s="47" t="str">
        <f aca="false">IFERROR(MATCH(214,伝票元!$O$6:$O$511,0),"")</f>
        <v/>
      </c>
    </row>
    <row r="221" customFormat="false" ht="15" hidden="false" customHeight="false" outlineLevel="0" collapsed="false">
      <c r="A221" s="10" t="str">
        <f aca="false">IF($M221="","",INDEX(伝票元!$P$6:$P$511,$M221))</f>
        <v/>
      </c>
      <c r="B221" s="45" t="str">
        <f aca="false">IF($M221="","",INDEX(伝票元!$D$6:$D$511,$M221))</f>
        <v/>
      </c>
      <c r="C221" s="10" t="str">
        <f aca="false">IF($M221="","",INDEX(伝票元!$E$6:$E$511,$M221))</f>
        <v/>
      </c>
      <c r="D221" s="45" t="str">
        <f aca="false">IF($M221="","",INDEX(伝票元!$A$6:$A$511,$M221))</f>
        <v/>
      </c>
      <c r="E221" s="10" t="str">
        <f aca="false">IF(IF($M221="",0,INDEX(伝票元!$N$6:$N$511,$M221))=1,INDEX(伝票元!$I$6:$I$511,$M221),"")</f>
        <v/>
      </c>
      <c r="F221" s="45" t="str">
        <f aca="false">IF(IF($M221="",0,INDEX(伝票元!$N$6:$N$511,$M221))=1,INDEX(伝票元!$J$6:$J$511,$M221),"")</f>
        <v/>
      </c>
      <c r="G221" s="42" t="str">
        <f aca="false">IF(IF($M221="",0,INDEX(伝票元!$N$6:$N$511,$M221))=1,INDEX(伝票元!$Q$6:$Q$511,$M221),"")</f>
        <v/>
      </c>
      <c r="H221" s="45" t="str">
        <f aca="false">IF($M221="","",INDEX(伝票元!$F$6:$F$511,$M221))</f>
        <v/>
      </c>
      <c r="I221" s="45" t="str">
        <f aca="false">IF($M221="","",INDEX(伝票元!$G$6:$G$511,$M221))</f>
        <v/>
      </c>
      <c r="J221" s="42" t="str">
        <f aca="false">IF($M221="","",INDEX(伝票元!$H$6:$H$511,$M221))</f>
        <v/>
      </c>
      <c r="K221" s="46" t="str">
        <f aca="false">IF(IF($M221="",0,INDEX(伝票元!$N$6:$N$511,$M221))=1,INDEX(伝票元!$R$6:$R$511,$M221),"")</f>
        <v/>
      </c>
      <c r="L221" s="47" t="str">
        <f aca="false">IF($M221="","",INDEX(伝票元!$S$6:$S$511,$M221))</f>
        <v/>
      </c>
      <c r="M221" s="47" t="str">
        <f aca="false">IFERROR(MATCH(215,伝票元!$O$6:$O$511,0),"")</f>
        <v/>
      </c>
    </row>
    <row r="222" customFormat="false" ht="15" hidden="false" customHeight="false" outlineLevel="0" collapsed="false">
      <c r="A222" s="10" t="str">
        <f aca="false">IF($M222="","",INDEX(伝票元!$P$6:$P$511,$M222))</f>
        <v/>
      </c>
      <c r="B222" s="45" t="str">
        <f aca="false">IF($M222="","",INDEX(伝票元!$D$6:$D$511,$M222))</f>
        <v/>
      </c>
      <c r="C222" s="10" t="str">
        <f aca="false">IF($M222="","",INDEX(伝票元!$E$6:$E$511,$M222))</f>
        <v/>
      </c>
      <c r="D222" s="45" t="str">
        <f aca="false">IF($M222="","",INDEX(伝票元!$A$6:$A$511,$M222))</f>
        <v/>
      </c>
      <c r="E222" s="10" t="str">
        <f aca="false">IF(IF($M222="",0,INDEX(伝票元!$N$6:$N$511,$M222))=1,INDEX(伝票元!$I$6:$I$511,$M222),"")</f>
        <v/>
      </c>
      <c r="F222" s="45" t="str">
        <f aca="false">IF(IF($M222="",0,INDEX(伝票元!$N$6:$N$511,$M222))=1,INDEX(伝票元!$J$6:$J$511,$M222),"")</f>
        <v/>
      </c>
      <c r="G222" s="42" t="str">
        <f aca="false">IF(IF($M222="",0,INDEX(伝票元!$N$6:$N$511,$M222))=1,INDEX(伝票元!$Q$6:$Q$511,$M222),"")</f>
        <v/>
      </c>
      <c r="H222" s="45" t="str">
        <f aca="false">IF($M222="","",INDEX(伝票元!$F$6:$F$511,$M222))</f>
        <v/>
      </c>
      <c r="I222" s="45" t="str">
        <f aca="false">IF($M222="","",INDEX(伝票元!$G$6:$G$511,$M222))</f>
        <v/>
      </c>
      <c r="J222" s="42" t="str">
        <f aca="false">IF($M222="","",INDEX(伝票元!$H$6:$H$511,$M222))</f>
        <v/>
      </c>
      <c r="K222" s="46" t="str">
        <f aca="false">IF(IF($M222="",0,INDEX(伝票元!$N$6:$N$511,$M222))=1,INDEX(伝票元!$R$6:$R$511,$M222),"")</f>
        <v/>
      </c>
      <c r="L222" s="47" t="str">
        <f aca="false">IF($M222="","",INDEX(伝票元!$S$6:$S$511,$M222))</f>
        <v/>
      </c>
      <c r="M222" s="47" t="str">
        <f aca="false">IFERROR(MATCH(216,伝票元!$O$6:$O$511,0),"")</f>
        <v/>
      </c>
    </row>
    <row r="223" customFormat="false" ht="15" hidden="false" customHeight="false" outlineLevel="0" collapsed="false">
      <c r="A223" s="10" t="str">
        <f aca="false">IF($M223="","",INDEX(伝票元!$P$6:$P$511,$M223))</f>
        <v/>
      </c>
      <c r="B223" s="45" t="str">
        <f aca="false">IF($M223="","",INDEX(伝票元!$D$6:$D$511,$M223))</f>
        <v/>
      </c>
      <c r="C223" s="10" t="str">
        <f aca="false">IF($M223="","",INDEX(伝票元!$E$6:$E$511,$M223))</f>
        <v/>
      </c>
      <c r="D223" s="45" t="str">
        <f aca="false">IF($M223="","",INDEX(伝票元!$A$6:$A$511,$M223))</f>
        <v/>
      </c>
      <c r="E223" s="10" t="str">
        <f aca="false">IF(IF($M223="",0,INDEX(伝票元!$N$6:$N$511,$M223))=1,INDEX(伝票元!$I$6:$I$511,$M223),"")</f>
        <v/>
      </c>
      <c r="F223" s="45" t="str">
        <f aca="false">IF(IF($M223="",0,INDEX(伝票元!$N$6:$N$511,$M223))=1,INDEX(伝票元!$J$6:$J$511,$M223),"")</f>
        <v/>
      </c>
      <c r="G223" s="42" t="str">
        <f aca="false">IF(IF($M223="",0,INDEX(伝票元!$N$6:$N$511,$M223))=1,INDEX(伝票元!$Q$6:$Q$511,$M223),"")</f>
        <v/>
      </c>
      <c r="H223" s="45" t="str">
        <f aca="false">IF($M223="","",INDEX(伝票元!$F$6:$F$511,$M223))</f>
        <v/>
      </c>
      <c r="I223" s="45" t="str">
        <f aca="false">IF($M223="","",INDEX(伝票元!$G$6:$G$511,$M223))</f>
        <v/>
      </c>
      <c r="J223" s="42" t="str">
        <f aca="false">IF($M223="","",INDEX(伝票元!$H$6:$H$511,$M223))</f>
        <v/>
      </c>
      <c r="K223" s="46" t="str">
        <f aca="false">IF(IF($M223="",0,INDEX(伝票元!$N$6:$N$511,$M223))=1,INDEX(伝票元!$R$6:$R$511,$M223),"")</f>
        <v/>
      </c>
      <c r="L223" s="47" t="str">
        <f aca="false">IF($M223="","",INDEX(伝票元!$S$6:$S$511,$M223))</f>
        <v/>
      </c>
      <c r="M223" s="47" t="str">
        <f aca="false">IFERROR(MATCH(217,伝票元!$O$6:$O$511,0),"")</f>
        <v/>
      </c>
    </row>
    <row r="224" customFormat="false" ht="15" hidden="false" customHeight="false" outlineLevel="0" collapsed="false">
      <c r="A224" s="10" t="str">
        <f aca="false">IF($M224="","",INDEX(伝票元!$P$6:$P$511,$M224))</f>
        <v/>
      </c>
      <c r="B224" s="45" t="str">
        <f aca="false">IF($M224="","",INDEX(伝票元!$D$6:$D$511,$M224))</f>
        <v/>
      </c>
      <c r="C224" s="10" t="str">
        <f aca="false">IF($M224="","",INDEX(伝票元!$E$6:$E$511,$M224))</f>
        <v/>
      </c>
      <c r="D224" s="45" t="str">
        <f aca="false">IF($M224="","",INDEX(伝票元!$A$6:$A$511,$M224))</f>
        <v/>
      </c>
      <c r="E224" s="10" t="str">
        <f aca="false">IF(IF($M224="",0,INDEX(伝票元!$N$6:$N$511,$M224))=1,INDEX(伝票元!$I$6:$I$511,$M224),"")</f>
        <v/>
      </c>
      <c r="F224" s="45" t="str">
        <f aca="false">IF(IF($M224="",0,INDEX(伝票元!$N$6:$N$511,$M224))=1,INDEX(伝票元!$J$6:$J$511,$M224),"")</f>
        <v/>
      </c>
      <c r="G224" s="42" t="str">
        <f aca="false">IF(IF($M224="",0,INDEX(伝票元!$N$6:$N$511,$M224))=1,INDEX(伝票元!$Q$6:$Q$511,$M224),"")</f>
        <v/>
      </c>
      <c r="H224" s="45" t="str">
        <f aca="false">IF($M224="","",INDEX(伝票元!$F$6:$F$511,$M224))</f>
        <v/>
      </c>
      <c r="I224" s="45" t="str">
        <f aca="false">IF($M224="","",INDEX(伝票元!$G$6:$G$511,$M224))</f>
        <v/>
      </c>
      <c r="J224" s="42" t="str">
        <f aca="false">IF($M224="","",INDEX(伝票元!$H$6:$H$511,$M224))</f>
        <v/>
      </c>
      <c r="K224" s="46" t="str">
        <f aca="false">IF(IF($M224="",0,INDEX(伝票元!$N$6:$N$511,$M224))=1,INDEX(伝票元!$R$6:$R$511,$M224),"")</f>
        <v/>
      </c>
      <c r="L224" s="47" t="str">
        <f aca="false">IF($M224="","",INDEX(伝票元!$S$6:$S$511,$M224))</f>
        <v/>
      </c>
      <c r="M224" s="47" t="str">
        <f aca="false">IFERROR(MATCH(218,伝票元!$O$6:$O$511,0),"")</f>
        <v/>
      </c>
    </row>
    <row r="225" customFormat="false" ht="15" hidden="false" customHeight="false" outlineLevel="0" collapsed="false">
      <c r="A225" s="10" t="str">
        <f aca="false">IF($M225="","",INDEX(伝票元!$P$6:$P$511,$M225))</f>
        <v/>
      </c>
      <c r="B225" s="45" t="str">
        <f aca="false">IF($M225="","",INDEX(伝票元!$D$6:$D$511,$M225))</f>
        <v/>
      </c>
      <c r="C225" s="10" t="str">
        <f aca="false">IF($M225="","",INDEX(伝票元!$E$6:$E$511,$M225))</f>
        <v/>
      </c>
      <c r="D225" s="45" t="str">
        <f aca="false">IF($M225="","",INDEX(伝票元!$A$6:$A$511,$M225))</f>
        <v/>
      </c>
      <c r="E225" s="10" t="str">
        <f aca="false">IF(IF($M225="",0,INDEX(伝票元!$N$6:$N$511,$M225))=1,INDEX(伝票元!$I$6:$I$511,$M225),"")</f>
        <v/>
      </c>
      <c r="F225" s="45" t="str">
        <f aca="false">IF(IF($M225="",0,INDEX(伝票元!$N$6:$N$511,$M225))=1,INDEX(伝票元!$J$6:$J$511,$M225),"")</f>
        <v/>
      </c>
      <c r="G225" s="42" t="str">
        <f aca="false">IF(IF($M225="",0,INDEX(伝票元!$N$6:$N$511,$M225))=1,INDEX(伝票元!$Q$6:$Q$511,$M225),"")</f>
        <v/>
      </c>
      <c r="H225" s="45" t="str">
        <f aca="false">IF($M225="","",INDEX(伝票元!$F$6:$F$511,$M225))</f>
        <v/>
      </c>
      <c r="I225" s="45" t="str">
        <f aca="false">IF($M225="","",INDEX(伝票元!$G$6:$G$511,$M225))</f>
        <v/>
      </c>
      <c r="J225" s="42" t="str">
        <f aca="false">IF($M225="","",INDEX(伝票元!$H$6:$H$511,$M225))</f>
        <v/>
      </c>
      <c r="K225" s="46" t="str">
        <f aca="false">IF(IF($M225="",0,INDEX(伝票元!$N$6:$N$511,$M225))=1,INDEX(伝票元!$R$6:$R$511,$M225),"")</f>
        <v/>
      </c>
      <c r="L225" s="47" t="str">
        <f aca="false">IF($M225="","",INDEX(伝票元!$S$6:$S$511,$M225))</f>
        <v/>
      </c>
      <c r="M225" s="47" t="str">
        <f aca="false">IFERROR(MATCH(219,伝票元!$O$6:$O$511,0),"")</f>
        <v/>
      </c>
    </row>
    <row r="226" customFormat="false" ht="15" hidden="false" customHeight="false" outlineLevel="0" collapsed="false">
      <c r="A226" s="10" t="str">
        <f aca="false">IF($M226="","",INDEX(伝票元!$P$6:$P$511,$M226))</f>
        <v/>
      </c>
      <c r="B226" s="45" t="str">
        <f aca="false">IF($M226="","",INDEX(伝票元!$D$6:$D$511,$M226))</f>
        <v/>
      </c>
      <c r="C226" s="10" t="str">
        <f aca="false">IF($M226="","",INDEX(伝票元!$E$6:$E$511,$M226))</f>
        <v/>
      </c>
      <c r="D226" s="45" t="str">
        <f aca="false">IF($M226="","",INDEX(伝票元!$A$6:$A$511,$M226))</f>
        <v/>
      </c>
      <c r="E226" s="10" t="str">
        <f aca="false">IF(IF($M226="",0,INDEX(伝票元!$N$6:$N$511,$M226))=1,INDEX(伝票元!$I$6:$I$511,$M226),"")</f>
        <v/>
      </c>
      <c r="F226" s="45" t="str">
        <f aca="false">IF(IF($M226="",0,INDEX(伝票元!$N$6:$N$511,$M226))=1,INDEX(伝票元!$J$6:$J$511,$M226),"")</f>
        <v/>
      </c>
      <c r="G226" s="42" t="str">
        <f aca="false">IF(IF($M226="",0,INDEX(伝票元!$N$6:$N$511,$M226))=1,INDEX(伝票元!$Q$6:$Q$511,$M226),"")</f>
        <v/>
      </c>
      <c r="H226" s="45" t="str">
        <f aca="false">IF($M226="","",INDEX(伝票元!$F$6:$F$511,$M226))</f>
        <v/>
      </c>
      <c r="I226" s="45" t="str">
        <f aca="false">IF($M226="","",INDEX(伝票元!$G$6:$G$511,$M226))</f>
        <v/>
      </c>
      <c r="J226" s="42" t="str">
        <f aca="false">IF($M226="","",INDEX(伝票元!$H$6:$H$511,$M226))</f>
        <v/>
      </c>
      <c r="K226" s="46" t="str">
        <f aca="false">IF(IF($M226="",0,INDEX(伝票元!$N$6:$N$511,$M226))=1,INDEX(伝票元!$R$6:$R$511,$M226),"")</f>
        <v/>
      </c>
      <c r="L226" s="47" t="str">
        <f aca="false">IF($M226="","",INDEX(伝票元!$S$6:$S$511,$M226))</f>
        <v/>
      </c>
      <c r="M226" s="47" t="str">
        <f aca="false">IFERROR(MATCH(220,伝票元!$O$6:$O$511,0),"")</f>
        <v/>
      </c>
    </row>
    <row r="227" customFormat="false" ht="15" hidden="false" customHeight="false" outlineLevel="0" collapsed="false">
      <c r="A227" s="10" t="str">
        <f aca="false">IF($M227="","",INDEX(伝票元!$P$6:$P$511,$M227))</f>
        <v/>
      </c>
      <c r="B227" s="45" t="str">
        <f aca="false">IF($M227="","",INDEX(伝票元!$D$6:$D$511,$M227))</f>
        <v/>
      </c>
      <c r="C227" s="10" t="str">
        <f aca="false">IF($M227="","",INDEX(伝票元!$E$6:$E$511,$M227))</f>
        <v/>
      </c>
      <c r="D227" s="45" t="str">
        <f aca="false">IF($M227="","",INDEX(伝票元!$A$6:$A$511,$M227))</f>
        <v/>
      </c>
      <c r="E227" s="10" t="str">
        <f aca="false">IF(IF($M227="",0,INDEX(伝票元!$N$6:$N$511,$M227))=1,INDEX(伝票元!$I$6:$I$511,$M227),"")</f>
        <v/>
      </c>
      <c r="F227" s="45" t="str">
        <f aca="false">IF(IF($M227="",0,INDEX(伝票元!$N$6:$N$511,$M227))=1,INDEX(伝票元!$J$6:$J$511,$M227),"")</f>
        <v/>
      </c>
      <c r="G227" s="42" t="str">
        <f aca="false">IF(IF($M227="",0,INDEX(伝票元!$N$6:$N$511,$M227))=1,INDEX(伝票元!$Q$6:$Q$511,$M227),"")</f>
        <v/>
      </c>
      <c r="H227" s="45" t="str">
        <f aca="false">IF($M227="","",INDEX(伝票元!$F$6:$F$511,$M227))</f>
        <v/>
      </c>
      <c r="I227" s="45" t="str">
        <f aca="false">IF($M227="","",INDEX(伝票元!$G$6:$G$511,$M227))</f>
        <v/>
      </c>
      <c r="J227" s="42" t="str">
        <f aca="false">IF($M227="","",INDEX(伝票元!$H$6:$H$511,$M227))</f>
        <v/>
      </c>
      <c r="K227" s="46" t="str">
        <f aca="false">IF(IF($M227="",0,INDEX(伝票元!$N$6:$N$511,$M227))=1,INDEX(伝票元!$R$6:$R$511,$M227),"")</f>
        <v/>
      </c>
      <c r="L227" s="47" t="str">
        <f aca="false">IF($M227="","",INDEX(伝票元!$S$6:$S$511,$M227))</f>
        <v/>
      </c>
      <c r="M227" s="47" t="str">
        <f aca="false">IFERROR(MATCH(221,伝票元!$O$6:$O$511,0),"")</f>
        <v/>
      </c>
    </row>
    <row r="228" customFormat="false" ht="15" hidden="false" customHeight="false" outlineLevel="0" collapsed="false">
      <c r="A228" s="10" t="str">
        <f aca="false">IF($M228="","",INDEX(伝票元!$P$6:$P$511,$M228))</f>
        <v/>
      </c>
      <c r="B228" s="45" t="str">
        <f aca="false">IF($M228="","",INDEX(伝票元!$D$6:$D$511,$M228))</f>
        <v/>
      </c>
      <c r="C228" s="10" t="str">
        <f aca="false">IF($M228="","",INDEX(伝票元!$E$6:$E$511,$M228))</f>
        <v/>
      </c>
      <c r="D228" s="45" t="str">
        <f aca="false">IF($M228="","",INDEX(伝票元!$A$6:$A$511,$M228))</f>
        <v/>
      </c>
      <c r="E228" s="10" t="str">
        <f aca="false">IF(IF($M228="",0,INDEX(伝票元!$N$6:$N$511,$M228))=1,INDEX(伝票元!$I$6:$I$511,$M228),"")</f>
        <v/>
      </c>
      <c r="F228" s="45" t="str">
        <f aca="false">IF(IF($M228="",0,INDEX(伝票元!$N$6:$N$511,$M228))=1,INDEX(伝票元!$J$6:$J$511,$M228),"")</f>
        <v/>
      </c>
      <c r="G228" s="42" t="str">
        <f aca="false">IF(IF($M228="",0,INDEX(伝票元!$N$6:$N$511,$M228))=1,INDEX(伝票元!$Q$6:$Q$511,$M228),"")</f>
        <v/>
      </c>
      <c r="H228" s="45" t="str">
        <f aca="false">IF($M228="","",INDEX(伝票元!$F$6:$F$511,$M228))</f>
        <v/>
      </c>
      <c r="I228" s="45" t="str">
        <f aca="false">IF($M228="","",INDEX(伝票元!$G$6:$G$511,$M228))</f>
        <v/>
      </c>
      <c r="J228" s="42" t="str">
        <f aca="false">IF($M228="","",INDEX(伝票元!$H$6:$H$511,$M228))</f>
        <v/>
      </c>
      <c r="K228" s="46" t="str">
        <f aca="false">IF(IF($M228="",0,INDEX(伝票元!$N$6:$N$511,$M228))=1,INDEX(伝票元!$R$6:$R$511,$M228),"")</f>
        <v/>
      </c>
      <c r="L228" s="47" t="str">
        <f aca="false">IF($M228="","",INDEX(伝票元!$S$6:$S$511,$M228))</f>
        <v/>
      </c>
      <c r="M228" s="47" t="str">
        <f aca="false">IFERROR(MATCH(222,伝票元!$O$6:$O$511,0),"")</f>
        <v/>
      </c>
    </row>
    <row r="229" customFormat="false" ht="15" hidden="false" customHeight="false" outlineLevel="0" collapsed="false">
      <c r="A229" s="10" t="str">
        <f aca="false">IF($M229="","",INDEX(伝票元!$P$6:$P$511,$M229))</f>
        <v/>
      </c>
      <c r="B229" s="45" t="str">
        <f aca="false">IF($M229="","",INDEX(伝票元!$D$6:$D$511,$M229))</f>
        <v/>
      </c>
      <c r="C229" s="10" t="str">
        <f aca="false">IF($M229="","",INDEX(伝票元!$E$6:$E$511,$M229))</f>
        <v/>
      </c>
      <c r="D229" s="45" t="str">
        <f aca="false">IF($M229="","",INDEX(伝票元!$A$6:$A$511,$M229))</f>
        <v/>
      </c>
      <c r="E229" s="10" t="str">
        <f aca="false">IF(IF($M229="",0,INDEX(伝票元!$N$6:$N$511,$M229))=1,INDEX(伝票元!$I$6:$I$511,$M229),"")</f>
        <v/>
      </c>
      <c r="F229" s="45" t="str">
        <f aca="false">IF(IF($M229="",0,INDEX(伝票元!$N$6:$N$511,$M229))=1,INDEX(伝票元!$J$6:$J$511,$M229),"")</f>
        <v/>
      </c>
      <c r="G229" s="42" t="str">
        <f aca="false">IF(IF($M229="",0,INDEX(伝票元!$N$6:$N$511,$M229))=1,INDEX(伝票元!$Q$6:$Q$511,$M229),"")</f>
        <v/>
      </c>
      <c r="H229" s="45" t="str">
        <f aca="false">IF($M229="","",INDEX(伝票元!$F$6:$F$511,$M229))</f>
        <v/>
      </c>
      <c r="I229" s="45" t="str">
        <f aca="false">IF($M229="","",INDEX(伝票元!$G$6:$G$511,$M229))</f>
        <v/>
      </c>
      <c r="J229" s="42" t="str">
        <f aca="false">IF($M229="","",INDEX(伝票元!$H$6:$H$511,$M229))</f>
        <v/>
      </c>
      <c r="K229" s="46" t="str">
        <f aca="false">IF(IF($M229="",0,INDEX(伝票元!$N$6:$N$511,$M229))=1,INDEX(伝票元!$R$6:$R$511,$M229),"")</f>
        <v/>
      </c>
      <c r="L229" s="47" t="str">
        <f aca="false">IF($M229="","",INDEX(伝票元!$S$6:$S$511,$M229))</f>
        <v/>
      </c>
      <c r="M229" s="47" t="str">
        <f aca="false">IFERROR(MATCH(223,伝票元!$O$6:$O$511,0),"")</f>
        <v/>
      </c>
    </row>
    <row r="230" customFormat="false" ht="15" hidden="false" customHeight="false" outlineLevel="0" collapsed="false">
      <c r="A230" s="10" t="str">
        <f aca="false">IF($M230="","",INDEX(伝票元!$P$6:$P$511,$M230))</f>
        <v/>
      </c>
      <c r="B230" s="45" t="str">
        <f aca="false">IF($M230="","",INDEX(伝票元!$D$6:$D$511,$M230))</f>
        <v/>
      </c>
      <c r="C230" s="10" t="str">
        <f aca="false">IF($M230="","",INDEX(伝票元!$E$6:$E$511,$M230))</f>
        <v/>
      </c>
      <c r="D230" s="45" t="str">
        <f aca="false">IF($M230="","",INDEX(伝票元!$A$6:$A$511,$M230))</f>
        <v/>
      </c>
      <c r="E230" s="10" t="str">
        <f aca="false">IF(IF($M230="",0,INDEX(伝票元!$N$6:$N$511,$M230))=1,INDEX(伝票元!$I$6:$I$511,$M230),"")</f>
        <v/>
      </c>
      <c r="F230" s="45" t="str">
        <f aca="false">IF(IF($M230="",0,INDEX(伝票元!$N$6:$N$511,$M230))=1,INDEX(伝票元!$J$6:$J$511,$M230),"")</f>
        <v/>
      </c>
      <c r="G230" s="42" t="str">
        <f aca="false">IF(IF($M230="",0,INDEX(伝票元!$N$6:$N$511,$M230))=1,INDEX(伝票元!$Q$6:$Q$511,$M230),"")</f>
        <v/>
      </c>
      <c r="H230" s="45" t="str">
        <f aca="false">IF($M230="","",INDEX(伝票元!$F$6:$F$511,$M230))</f>
        <v/>
      </c>
      <c r="I230" s="45" t="str">
        <f aca="false">IF($M230="","",INDEX(伝票元!$G$6:$G$511,$M230))</f>
        <v/>
      </c>
      <c r="J230" s="42" t="str">
        <f aca="false">IF($M230="","",INDEX(伝票元!$H$6:$H$511,$M230))</f>
        <v/>
      </c>
      <c r="K230" s="46" t="str">
        <f aca="false">IF(IF($M230="",0,INDEX(伝票元!$N$6:$N$511,$M230))=1,INDEX(伝票元!$R$6:$R$511,$M230),"")</f>
        <v/>
      </c>
      <c r="L230" s="47" t="str">
        <f aca="false">IF($M230="","",INDEX(伝票元!$S$6:$S$511,$M230))</f>
        <v/>
      </c>
      <c r="M230" s="47" t="str">
        <f aca="false">IFERROR(MATCH(224,伝票元!$O$6:$O$511,0),"")</f>
        <v/>
      </c>
    </row>
    <row r="231" customFormat="false" ht="15" hidden="false" customHeight="false" outlineLevel="0" collapsed="false">
      <c r="A231" s="10" t="str">
        <f aca="false">IF($M231="","",INDEX(伝票元!$P$6:$P$511,$M231))</f>
        <v/>
      </c>
      <c r="B231" s="45" t="str">
        <f aca="false">IF($M231="","",INDEX(伝票元!$D$6:$D$511,$M231))</f>
        <v/>
      </c>
      <c r="C231" s="10" t="str">
        <f aca="false">IF($M231="","",INDEX(伝票元!$E$6:$E$511,$M231))</f>
        <v/>
      </c>
      <c r="D231" s="45" t="str">
        <f aca="false">IF($M231="","",INDEX(伝票元!$A$6:$A$511,$M231))</f>
        <v/>
      </c>
      <c r="E231" s="10" t="str">
        <f aca="false">IF(IF($M231="",0,INDEX(伝票元!$N$6:$N$511,$M231))=1,INDEX(伝票元!$I$6:$I$511,$M231),"")</f>
        <v/>
      </c>
      <c r="F231" s="45" t="str">
        <f aca="false">IF(IF($M231="",0,INDEX(伝票元!$N$6:$N$511,$M231))=1,INDEX(伝票元!$J$6:$J$511,$M231),"")</f>
        <v/>
      </c>
      <c r="G231" s="42" t="str">
        <f aca="false">IF(IF($M231="",0,INDEX(伝票元!$N$6:$N$511,$M231))=1,INDEX(伝票元!$Q$6:$Q$511,$M231),"")</f>
        <v/>
      </c>
      <c r="H231" s="45" t="str">
        <f aca="false">IF($M231="","",INDEX(伝票元!$F$6:$F$511,$M231))</f>
        <v/>
      </c>
      <c r="I231" s="45" t="str">
        <f aca="false">IF($M231="","",INDEX(伝票元!$G$6:$G$511,$M231))</f>
        <v/>
      </c>
      <c r="J231" s="42" t="str">
        <f aca="false">IF($M231="","",INDEX(伝票元!$H$6:$H$511,$M231))</f>
        <v/>
      </c>
      <c r="K231" s="46" t="str">
        <f aca="false">IF(IF($M231="",0,INDEX(伝票元!$N$6:$N$511,$M231))=1,INDEX(伝票元!$R$6:$R$511,$M231),"")</f>
        <v/>
      </c>
      <c r="L231" s="47" t="str">
        <f aca="false">IF($M231="","",INDEX(伝票元!$S$6:$S$511,$M231))</f>
        <v/>
      </c>
      <c r="M231" s="47" t="str">
        <f aca="false">IFERROR(MATCH(225,伝票元!$O$6:$O$511,0),"")</f>
        <v/>
      </c>
    </row>
    <row r="232" customFormat="false" ht="15" hidden="false" customHeight="false" outlineLevel="0" collapsed="false">
      <c r="A232" s="10" t="str">
        <f aca="false">IF($M232="","",INDEX(伝票元!$P$6:$P$511,$M232))</f>
        <v/>
      </c>
      <c r="B232" s="45" t="str">
        <f aca="false">IF($M232="","",INDEX(伝票元!$D$6:$D$511,$M232))</f>
        <v/>
      </c>
      <c r="C232" s="10" t="str">
        <f aca="false">IF($M232="","",INDEX(伝票元!$E$6:$E$511,$M232))</f>
        <v/>
      </c>
      <c r="D232" s="45" t="str">
        <f aca="false">IF($M232="","",INDEX(伝票元!$A$6:$A$511,$M232))</f>
        <v/>
      </c>
      <c r="E232" s="10" t="str">
        <f aca="false">IF(IF($M232="",0,INDEX(伝票元!$N$6:$N$511,$M232))=1,INDEX(伝票元!$I$6:$I$511,$M232),"")</f>
        <v/>
      </c>
      <c r="F232" s="45" t="str">
        <f aca="false">IF(IF($M232="",0,INDEX(伝票元!$N$6:$N$511,$M232))=1,INDEX(伝票元!$J$6:$J$511,$M232),"")</f>
        <v/>
      </c>
      <c r="G232" s="42" t="str">
        <f aca="false">IF(IF($M232="",0,INDEX(伝票元!$N$6:$N$511,$M232))=1,INDEX(伝票元!$Q$6:$Q$511,$M232),"")</f>
        <v/>
      </c>
      <c r="H232" s="45" t="str">
        <f aca="false">IF($M232="","",INDEX(伝票元!$F$6:$F$511,$M232))</f>
        <v/>
      </c>
      <c r="I232" s="45" t="str">
        <f aca="false">IF($M232="","",INDEX(伝票元!$G$6:$G$511,$M232))</f>
        <v/>
      </c>
      <c r="J232" s="42" t="str">
        <f aca="false">IF($M232="","",INDEX(伝票元!$H$6:$H$511,$M232))</f>
        <v/>
      </c>
      <c r="K232" s="46" t="str">
        <f aca="false">IF(IF($M232="",0,INDEX(伝票元!$N$6:$N$511,$M232))=1,INDEX(伝票元!$R$6:$R$511,$M232),"")</f>
        <v/>
      </c>
      <c r="L232" s="47" t="str">
        <f aca="false">IF($M232="","",INDEX(伝票元!$S$6:$S$511,$M232))</f>
        <v/>
      </c>
      <c r="M232" s="47" t="str">
        <f aca="false">IFERROR(MATCH(226,伝票元!$O$6:$O$511,0),"")</f>
        <v/>
      </c>
    </row>
    <row r="233" customFormat="false" ht="15" hidden="false" customHeight="false" outlineLevel="0" collapsed="false">
      <c r="A233" s="10" t="str">
        <f aca="false">IF($M233="","",INDEX(伝票元!$P$6:$P$511,$M233))</f>
        <v/>
      </c>
      <c r="B233" s="45" t="str">
        <f aca="false">IF($M233="","",INDEX(伝票元!$D$6:$D$511,$M233))</f>
        <v/>
      </c>
      <c r="C233" s="10" t="str">
        <f aca="false">IF($M233="","",INDEX(伝票元!$E$6:$E$511,$M233))</f>
        <v/>
      </c>
      <c r="D233" s="45" t="str">
        <f aca="false">IF($M233="","",INDEX(伝票元!$A$6:$A$511,$M233))</f>
        <v/>
      </c>
      <c r="E233" s="10" t="str">
        <f aca="false">IF(IF($M233="",0,INDEX(伝票元!$N$6:$N$511,$M233))=1,INDEX(伝票元!$I$6:$I$511,$M233),"")</f>
        <v/>
      </c>
      <c r="F233" s="45" t="str">
        <f aca="false">IF(IF($M233="",0,INDEX(伝票元!$N$6:$N$511,$M233))=1,INDEX(伝票元!$J$6:$J$511,$M233),"")</f>
        <v/>
      </c>
      <c r="G233" s="42" t="str">
        <f aca="false">IF(IF($M233="",0,INDEX(伝票元!$N$6:$N$511,$M233))=1,INDEX(伝票元!$Q$6:$Q$511,$M233),"")</f>
        <v/>
      </c>
      <c r="H233" s="45" t="str">
        <f aca="false">IF($M233="","",INDEX(伝票元!$F$6:$F$511,$M233))</f>
        <v/>
      </c>
      <c r="I233" s="45" t="str">
        <f aca="false">IF($M233="","",INDEX(伝票元!$G$6:$G$511,$M233))</f>
        <v/>
      </c>
      <c r="J233" s="42" t="str">
        <f aca="false">IF($M233="","",INDEX(伝票元!$H$6:$H$511,$M233))</f>
        <v/>
      </c>
      <c r="K233" s="46" t="str">
        <f aca="false">IF(IF($M233="",0,INDEX(伝票元!$N$6:$N$511,$M233))=1,INDEX(伝票元!$R$6:$R$511,$M233),"")</f>
        <v/>
      </c>
      <c r="L233" s="47" t="str">
        <f aca="false">IF($M233="","",INDEX(伝票元!$S$6:$S$511,$M233))</f>
        <v/>
      </c>
      <c r="M233" s="47" t="str">
        <f aca="false">IFERROR(MATCH(227,伝票元!$O$6:$O$511,0),"")</f>
        <v/>
      </c>
    </row>
    <row r="234" customFormat="false" ht="15" hidden="false" customHeight="false" outlineLevel="0" collapsed="false">
      <c r="A234" s="10" t="str">
        <f aca="false">IF($M234="","",INDEX(伝票元!$P$6:$P$511,$M234))</f>
        <v/>
      </c>
      <c r="B234" s="45" t="str">
        <f aca="false">IF($M234="","",INDEX(伝票元!$D$6:$D$511,$M234))</f>
        <v/>
      </c>
      <c r="C234" s="10" t="str">
        <f aca="false">IF($M234="","",INDEX(伝票元!$E$6:$E$511,$M234))</f>
        <v/>
      </c>
      <c r="D234" s="45" t="str">
        <f aca="false">IF($M234="","",INDEX(伝票元!$A$6:$A$511,$M234))</f>
        <v/>
      </c>
      <c r="E234" s="10" t="str">
        <f aca="false">IF(IF($M234="",0,INDEX(伝票元!$N$6:$N$511,$M234))=1,INDEX(伝票元!$I$6:$I$511,$M234),"")</f>
        <v/>
      </c>
      <c r="F234" s="45" t="str">
        <f aca="false">IF(IF($M234="",0,INDEX(伝票元!$N$6:$N$511,$M234))=1,INDEX(伝票元!$J$6:$J$511,$M234),"")</f>
        <v/>
      </c>
      <c r="G234" s="42" t="str">
        <f aca="false">IF(IF($M234="",0,INDEX(伝票元!$N$6:$N$511,$M234))=1,INDEX(伝票元!$Q$6:$Q$511,$M234),"")</f>
        <v/>
      </c>
      <c r="H234" s="45" t="str">
        <f aca="false">IF($M234="","",INDEX(伝票元!$F$6:$F$511,$M234))</f>
        <v/>
      </c>
      <c r="I234" s="45" t="str">
        <f aca="false">IF($M234="","",INDEX(伝票元!$G$6:$G$511,$M234))</f>
        <v/>
      </c>
      <c r="J234" s="42" t="str">
        <f aca="false">IF($M234="","",INDEX(伝票元!$H$6:$H$511,$M234))</f>
        <v/>
      </c>
      <c r="K234" s="46" t="str">
        <f aca="false">IF(IF($M234="",0,INDEX(伝票元!$N$6:$N$511,$M234))=1,INDEX(伝票元!$R$6:$R$511,$M234),"")</f>
        <v/>
      </c>
      <c r="L234" s="47" t="str">
        <f aca="false">IF($M234="","",INDEX(伝票元!$S$6:$S$511,$M234))</f>
        <v/>
      </c>
      <c r="M234" s="47" t="str">
        <f aca="false">IFERROR(MATCH(228,伝票元!$O$6:$O$511,0),"")</f>
        <v/>
      </c>
    </row>
    <row r="235" customFormat="false" ht="15" hidden="false" customHeight="false" outlineLevel="0" collapsed="false">
      <c r="A235" s="10" t="str">
        <f aca="false">IF($M235="","",INDEX(伝票元!$P$6:$P$511,$M235))</f>
        <v/>
      </c>
      <c r="B235" s="45" t="str">
        <f aca="false">IF($M235="","",INDEX(伝票元!$D$6:$D$511,$M235))</f>
        <v/>
      </c>
      <c r="C235" s="10" t="str">
        <f aca="false">IF($M235="","",INDEX(伝票元!$E$6:$E$511,$M235))</f>
        <v/>
      </c>
      <c r="D235" s="45" t="str">
        <f aca="false">IF($M235="","",INDEX(伝票元!$A$6:$A$511,$M235))</f>
        <v/>
      </c>
      <c r="E235" s="10" t="str">
        <f aca="false">IF(IF($M235="",0,INDEX(伝票元!$N$6:$N$511,$M235))=1,INDEX(伝票元!$I$6:$I$511,$M235),"")</f>
        <v/>
      </c>
      <c r="F235" s="45" t="str">
        <f aca="false">IF(IF($M235="",0,INDEX(伝票元!$N$6:$N$511,$M235))=1,INDEX(伝票元!$J$6:$J$511,$M235),"")</f>
        <v/>
      </c>
      <c r="G235" s="42" t="str">
        <f aca="false">IF(IF($M235="",0,INDEX(伝票元!$N$6:$N$511,$M235))=1,INDEX(伝票元!$Q$6:$Q$511,$M235),"")</f>
        <v/>
      </c>
      <c r="H235" s="45" t="str">
        <f aca="false">IF($M235="","",INDEX(伝票元!$F$6:$F$511,$M235))</f>
        <v/>
      </c>
      <c r="I235" s="45" t="str">
        <f aca="false">IF($M235="","",INDEX(伝票元!$G$6:$G$511,$M235))</f>
        <v/>
      </c>
      <c r="J235" s="42" t="str">
        <f aca="false">IF($M235="","",INDEX(伝票元!$H$6:$H$511,$M235))</f>
        <v/>
      </c>
      <c r="K235" s="46" t="str">
        <f aca="false">IF(IF($M235="",0,INDEX(伝票元!$N$6:$N$511,$M235))=1,INDEX(伝票元!$R$6:$R$511,$M235),"")</f>
        <v/>
      </c>
      <c r="L235" s="47" t="str">
        <f aca="false">IF($M235="","",INDEX(伝票元!$S$6:$S$511,$M235))</f>
        <v/>
      </c>
      <c r="M235" s="47" t="str">
        <f aca="false">IFERROR(MATCH(229,伝票元!$O$6:$O$511,0),"")</f>
        <v/>
      </c>
    </row>
    <row r="236" customFormat="false" ht="15" hidden="false" customHeight="false" outlineLevel="0" collapsed="false">
      <c r="A236" s="10" t="str">
        <f aca="false">IF($M236="","",INDEX(伝票元!$P$6:$P$511,$M236))</f>
        <v/>
      </c>
      <c r="B236" s="45" t="str">
        <f aca="false">IF($M236="","",INDEX(伝票元!$D$6:$D$511,$M236))</f>
        <v/>
      </c>
      <c r="C236" s="10" t="str">
        <f aca="false">IF($M236="","",INDEX(伝票元!$E$6:$E$511,$M236))</f>
        <v/>
      </c>
      <c r="D236" s="45" t="str">
        <f aca="false">IF($M236="","",INDEX(伝票元!$A$6:$A$511,$M236))</f>
        <v/>
      </c>
      <c r="E236" s="10" t="str">
        <f aca="false">IF(IF($M236="",0,INDEX(伝票元!$N$6:$N$511,$M236))=1,INDEX(伝票元!$I$6:$I$511,$M236),"")</f>
        <v/>
      </c>
      <c r="F236" s="45" t="str">
        <f aca="false">IF(IF($M236="",0,INDEX(伝票元!$N$6:$N$511,$M236))=1,INDEX(伝票元!$J$6:$J$511,$M236),"")</f>
        <v/>
      </c>
      <c r="G236" s="42" t="str">
        <f aca="false">IF(IF($M236="",0,INDEX(伝票元!$N$6:$N$511,$M236))=1,INDEX(伝票元!$Q$6:$Q$511,$M236),"")</f>
        <v/>
      </c>
      <c r="H236" s="45" t="str">
        <f aca="false">IF($M236="","",INDEX(伝票元!$F$6:$F$511,$M236))</f>
        <v/>
      </c>
      <c r="I236" s="45" t="str">
        <f aca="false">IF($M236="","",INDEX(伝票元!$G$6:$G$511,$M236))</f>
        <v/>
      </c>
      <c r="J236" s="42" t="str">
        <f aca="false">IF($M236="","",INDEX(伝票元!$H$6:$H$511,$M236))</f>
        <v/>
      </c>
      <c r="K236" s="46" t="str">
        <f aca="false">IF(IF($M236="",0,INDEX(伝票元!$N$6:$N$511,$M236))=1,INDEX(伝票元!$R$6:$R$511,$M236),"")</f>
        <v/>
      </c>
      <c r="L236" s="47" t="str">
        <f aca="false">IF($M236="","",INDEX(伝票元!$S$6:$S$511,$M236))</f>
        <v/>
      </c>
      <c r="M236" s="47" t="str">
        <f aca="false">IFERROR(MATCH(230,伝票元!$O$6:$O$511,0),"")</f>
        <v/>
      </c>
    </row>
    <row r="237" customFormat="false" ht="15" hidden="false" customHeight="false" outlineLevel="0" collapsed="false">
      <c r="A237" s="10" t="str">
        <f aca="false">IF($M237="","",INDEX(伝票元!$P$6:$P$511,$M237))</f>
        <v/>
      </c>
      <c r="B237" s="45" t="str">
        <f aca="false">IF($M237="","",INDEX(伝票元!$D$6:$D$511,$M237))</f>
        <v/>
      </c>
      <c r="C237" s="10" t="str">
        <f aca="false">IF($M237="","",INDEX(伝票元!$E$6:$E$511,$M237))</f>
        <v/>
      </c>
      <c r="D237" s="45" t="str">
        <f aca="false">IF($M237="","",INDEX(伝票元!$A$6:$A$511,$M237))</f>
        <v/>
      </c>
      <c r="E237" s="10" t="str">
        <f aca="false">IF(IF($M237="",0,INDEX(伝票元!$N$6:$N$511,$M237))=1,INDEX(伝票元!$I$6:$I$511,$M237),"")</f>
        <v/>
      </c>
      <c r="F237" s="45" t="str">
        <f aca="false">IF(IF($M237="",0,INDEX(伝票元!$N$6:$N$511,$M237))=1,INDEX(伝票元!$J$6:$J$511,$M237),"")</f>
        <v/>
      </c>
      <c r="G237" s="42" t="str">
        <f aca="false">IF(IF($M237="",0,INDEX(伝票元!$N$6:$N$511,$M237))=1,INDEX(伝票元!$Q$6:$Q$511,$M237),"")</f>
        <v/>
      </c>
      <c r="H237" s="45" t="str">
        <f aca="false">IF($M237="","",INDEX(伝票元!$F$6:$F$511,$M237))</f>
        <v/>
      </c>
      <c r="I237" s="45" t="str">
        <f aca="false">IF($M237="","",INDEX(伝票元!$G$6:$G$511,$M237))</f>
        <v/>
      </c>
      <c r="J237" s="42" t="str">
        <f aca="false">IF($M237="","",INDEX(伝票元!$H$6:$H$511,$M237))</f>
        <v/>
      </c>
      <c r="K237" s="46" t="str">
        <f aca="false">IF(IF($M237="",0,INDEX(伝票元!$N$6:$N$511,$M237))=1,INDEX(伝票元!$R$6:$R$511,$M237),"")</f>
        <v/>
      </c>
      <c r="L237" s="47" t="str">
        <f aca="false">IF($M237="","",INDEX(伝票元!$S$6:$S$511,$M237))</f>
        <v/>
      </c>
      <c r="M237" s="47" t="str">
        <f aca="false">IFERROR(MATCH(231,伝票元!$O$6:$O$511,0),"")</f>
        <v/>
      </c>
    </row>
    <row r="238" customFormat="false" ht="15" hidden="false" customHeight="false" outlineLevel="0" collapsed="false">
      <c r="A238" s="10" t="str">
        <f aca="false">IF($M238="","",INDEX(伝票元!$P$6:$P$511,$M238))</f>
        <v/>
      </c>
      <c r="B238" s="45" t="str">
        <f aca="false">IF($M238="","",INDEX(伝票元!$D$6:$D$511,$M238))</f>
        <v/>
      </c>
      <c r="C238" s="10" t="str">
        <f aca="false">IF($M238="","",INDEX(伝票元!$E$6:$E$511,$M238))</f>
        <v/>
      </c>
      <c r="D238" s="45" t="str">
        <f aca="false">IF($M238="","",INDEX(伝票元!$A$6:$A$511,$M238))</f>
        <v/>
      </c>
      <c r="E238" s="10" t="str">
        <f aca="false">IF(IF($M238="",0,INDEX(伝票元!$N$6:$N$511,$M238))=1,INDEX(伝票元!$I$6:$I$511,$M238),"")</f>
        <v/>
      </c>
      <c r="F238" s="45" t="str">
        <f aca="false">IF(IF($M238="",0,INDEX(伝票元!$N$6:$N$511,$M238))=1,INDEX(伝票元!$J$6:$J$511,$M238),"")</f>
        <v/>
      </c>
      <c r="G238" s="42" t="str">
        <f aca="false">IF(IF($M238="",0,INDEX(伝票元!$N$6:$N$511,$M238))=1,INDEX(伝票元!$Q$6:$Q$511,$M238),"")</f>
        <v/>
      </c>
      <c r="H238" s="45" t="str">
        <f aca="false">IF($M238="","",INDEX(伝票元!$F$6:$F$511,$M238))</f>
        <v/>
      </c>
      <c r="I238" s="45" t="str">
        <f aca="false">IF($M238="","",INDEX(伝票元!$G$6:$G$511,$M238))</f>
        <v/>
      </c>
      <c r="J238" s="42" t="str">
        <f aca="false">IF($M238="","",INDEX(伝票元!$H$6:$H$511,$M238))</f>
        <v/>
      </c>
      <c r="K238" s="46" t="str">
        <f aca="false">IF(IF($M238="",0,INDEX(伝票元!$N$6:$N$511,$M238))=1,INDEX(伝票元!$R$6:$R$511,$M238),"")</f>
        <v/>
      </c>
      <c r="L238" s="47" t="str">
        <f aca="false">IF($M238="","",INDEX(伝票元!$S$6:$S$511,$M238))</f>
        <v/>
      </c>
      <c r="M238" s="47" t="str">
        <f aca="false">IFERROR(MATCH(232,伝票元!$O$6:$O$511,0),"")</f>
        <v/>
      </c>
    </row>
    <row r="239" customFormat="false" ht="15" hidden="false" customHeight="false" outlineLevel="0" collapsed="false">
      <c r="A239" s="10" t="str">
        <f aca="false">IF($M239="","",INDEX(伝票元!$P$6:$P$511,$M239))</f>
        <v/>
      </c>
      <c r="B239" s="45" t="str">
        <f aca="false">IF($M239="","",INDEX(伝票元!$D$6:$D$511,$M239))</f>
        <v/>
      </c>
      <c r="C239" s="10" t="str">
        <f aca="false">IF($M239="","",INDEX(伝票元!$E$6:$E$511,$M239))</f>
        <v/>
      </c>
      <c r="D239" s="45" t="str">
        <f aca="false">IF($M239="","",INDEX(伝票元!$A$6:$A$511,$M239))</f>
        <v/>
      </c>
      <c r="E239" s="10" t="str">
        <f aca="false">IF(IF($M239="",0,INDEX(伝票元!$N$6:$N$511,$M239))=1,INDEX(伝票元!$I$6:$I$511,$M239),"")</f>
        <v/>
      </c>
      <c r="F239" s="45" t="str">
        <f aca="false">IF(IF($M239="",0,INDEX(伝票元!$N$6:$N$511,$M239))=1,INDEX(伝票元!$J$6:$J$511,$M239),"")</f>
        <v/>
      </c>
      <c r="G239" s="42" t="str">
        <f aca="false">IF(IF($M239="",0,INDEX(伝票元!$N$6:$N$511,$M239))=1,INDEX(伝票元!$Q$6:$Q$511,$M239),"")</f>
        <v/>
      </c>
      <c r="H239" s="45" t="str">
        <f aca="false">IF($M239="","",INDEX(伝票元!$F$6:$F$511,$M239))</f>
        <v/>
      </c>
      <c r="I239" s="45" t="str">
        <f aca="false">IF($M239="","",INDEX(伝票元!$G$6:$G$511,$M239))</f>
        <v/>
      </c>
      <c r="J239" s="42" t="str">
        <f aca="false">IF($M239="","",INDEX(伝票元!$H$6:$H$511,$M239))</f>
        <v/>
      </c>
      <c r="K239" s="46" t="str">
        <f aca="false">IF(IF($M239="",0,INDEX(伝票元!$N$6:$N$511,$M239))=1,INDEX(伝票元!$R$6:$R$511,$M239),"")</f>
        <v/>
      </c>
      <c r="L239" s="47" t="str">
        <f aca="false">IF($M239="","",INDEX(伝票元!$S$6:$S$511,$M239))</f>
        <v/>
      </c>
      <c r="M239" s="47" t="str">
        <f aca="false">IFERROR(MATCH(233,伝票元!$O$6:$O$511,0),"")</f>
        <v/>
      </c>
    </row>
    <row r="240" customFormat="false" ht="15" hidden="false" customHeight="false" outlineLevel="0" collapsed="false">
      <c r="A240" s="10" t="str">
        <f aca="false">IF($M240="","",INDEX(伝票元!$P$6:$P$511,$M240))</f>
        <v/>
      </c>
      <c r="B240" s="45" t="str">
        <f aca="false">IF($M240="","",INDEX(伝票元!$D$6:$D$511,$M240))</f>
        <v/>
      </c>
      <c r="C240" s="10" t="str">
        <f aca="false">IF($M240="","",INDEX(伝票元!$E$6:$E$511,$M240))</f>
        <v/>
      </c>
      <c r="D240" s="45" t="str">
        <f aca="false">IF($M240="","",INDEX(伝票元!$A$6:$A$511,$M240))</f>
        <v/>
      </c>
      <c r="E240" s="10" t="str">
        <f aca="false">IF(IF($M240="",0,INDEX(伝票元!$N$6:$N$511,$M240))=1,INDEX(伝票元!$I$6:$I$511,$M240),"")</f>
        <v/>
      </c>
      <c r="F240" s="45" t="str">
        <f aca="false">IF(IF($M240="",0,INDEX(伝票元!$N$6:$N$511,$M240))=1,INDEX(伝票元!$J$6:$J$511,$M240),"")</f>
        <v/>
      </c>
      <c r="G240" s="42" t="str">
        <f aca="false">IF(IF($M240="",0,INDEX(伝票元!$N$6:$N$511,$M240))=1,INDEX(伝票元!$Q$6:$Q$511,$M240),"")</f>
        <v/>
      </c>
      <c r="H240" s="45" t="str">
        <f aca="false">IF($M240="","",INDEX(伝票元!$F$6:$F$511,$M240))</f>
        <v/>
      </c>
      <c r="I240" s="45" t="str">
        <f aca="false">IF($M240="","",INDEX(伝票元!$G$6:$G$511,$M240))</f>
        <v/>
      </c>
      <c r="J240" s="42" t="str">
        <f aca="false">IF($M240="","",INDEX(伝票元!$H$6:$H$511,$M240))</f>
        <v/>
      </c>
      <c r="K240" s="46" t="str">
        <f aca="false">IF(IF($M240="",0,INDEX(伝票元!$N$6:$N$511,$M240))=1,INDEX(伝票元!$R$6:$R$511,$M240),"")</f>
        <v/>
      </c>
      <c r="L240" s="47" t="str">
        <f aca="false">IF($M240="","",INDEX(伝票元!$S$6:$S$511,$M240))</f>
        <v/>
      </c>
      <c r="M240" s="47" t="str">
        <f aca="false">IFERROR(MATCH(234,伝票元!$O$6:$O$511,0),"")</f>
        <v/>
      </c>
    </row>
    <row r="241" customFormat="false" ht="15" hidden="false" customHeight="false" outlineLevel="0" collapsed="false">
      <c r="A241" s="10" t="str">
        <f aca="false">IF($M241="","",INDEX(伝票元!$P$6:$P$511,$M241))</f>
        <v/>
      </c>
      <c r="B241" s="45" t="str">
        <f aca="false">IF($M241="","",INDEX(伝票元!$D$6:$D$511,$M241))</f>
        <v/>
      </c>
      <c r="C241" s="10" t="str">
        <f aca="false">IF($M241="","",INDEX(伝票元!$E$6:$E$511,$M241))</f>
        <v/>
      </c>
      <c r="D241" s="45" t="str">
        <f aca="false">IF($M241="","",INDEX(伝票元!$A$6:$A$511,$M241))</f>
        <v/>
      </c>
      <c r="E241" s="10" t="str">
        <f aca="false">IF(IF($M241="",0,INDEX(伝票元!$N$6:$N$511,$M241))=1,INDEX(伝票元!$I$6:$I$511,$M241),"")</f>
        <v/>
      </c>
      <c r="F241" s="45" t="str">
        <f aca="false">IF(IF($M241="",0,INDEX(伝票元!$N$6:$N$511,$M241))=1,INDEX(伝票元!$J$6:$J$511,$M241),"")</f>
        <v/>
      </c>
      <c r="G241" s="42" t="str">
        <f aca="false">IF(IF($M241="",0,INDEX(伝票元!$N$6:$N$511,$M241))=1,INDEX(伝票元!$Q$6:$Q$511,$M241),"")</f>
        <v/>
      </c>
      <c r="H241" s="45" t="str">
        <f aca="false">IF($M241="","",INDEX(伝票元!$F$6:$F$511,$M241))</f>
        <v/>
      </c>
      <c r="I241" s="45" t="str">
        <f aca="false">IF($M241="","",INDEX(伝票元!$G$6:$G$511,$M241))</f>
        <v/>
      </c>
      <c r="J241" s="42" t="str">
        <f aca="false">IF($M241="","",INDEX(伝票元!$H$6:$H$511,$M241))</f>
        <v/>
      </c>
      <c r="K241" s="46" t="str">
        <f aca="false">IF(IF($M241="",0,INDEX(伝票元!$N$6:$N$511,$M241))=1,INDEX(伝票元!$R$6:$R$511,$M241),"")</f>
        <v/>
      </c>
      <c r="L241" s="47" t="str">
        <f aca="false">IF($M241="","",INDEX(伝票元!$S$6:$S$511,$M241))</f>
        <v/>
      </c>
      <c r="M241" s="47" t="str">
        <f aca="false">IFERROR(MATCH(235,伝票元!$O$6:$O$511,0),"")</f>
        <v/>
      </c>
    </row>
    <row r="242" customFormat="false" ht="15" hidden="false" customHeight="false" outlineLevel="0" collapsed="false">
      <c r="A242" s="10" t="str">
        <f aca="false">IF($M242="","",INDEX(伝票元!$P$6:$P$511,$M242))</f>
        <v/>
      </c>
      <c r="B242" s="45" t="str">
        <f aca="false">IF($M242="","",INDEX(伝票元!$D$6:$D$511,$M242))</f>
        <v/>
      </c>
      <c r="C242" s="10" t="str">
        <f aca="false">IF($M242="","",INDEX(伝票元!$E$6:$E$511,$M242))</f>
        <v/>
      </c>
      <c r="D242" s="45" t="str">
        <f aca="false">IF($M242="","",INDEX(伝票元!$A$6:$A$511,$M242))</f>
        <v/>
      </c>
      <c r="E242" s="10" t="str">
        <f aca="false">IF(IF($M242="",0,INDEX(伝票元!$N$6:$N$511,$M242))=1,INDEX(伝票元!$I$6:$I$511,$M242),"")</f>
        <v/>
      </c>
      <c r="F242" s="45" t="str">
        <f aca="false">IF(IF($M242="",0,INDEX(伝票元!$N$6:$N$511,$M242))=1,INDEX(伝票元!$J$6:$J$511,$M242),"")</f>
        <v/>
      </c>
      <c r="G242" s="42" t="str">
        <f aca="false">IF(IF($M242="",0,INDEX(伝票元!$N$6:$N$511,$M242))=1,INDEX(伝票元!$Q$6:$Q$511,$M242),"")</f>
        <v/>
      </c>
      <c r="H242" s="45" t="str">
        <f aca="false">IF($M242="","",INDEX(伝票元!$F$6:$F$511,$M242))</f>
        <v/>
      </c>
      <c r="I242" s="45" t="str">
        <f aca="false">IF($M242="","",INDEX(伝票元!$G$6:$G$511,$M242))</f>
        <v/>
      </c>
      <c r="J242" s="42" t="str">
        <f aca="false">IF($M242="","",INDEX(伝票元!$H$6:$H$511,$M242))</f>
        <v/>
      </c>
      <c r="K242" s="46" t="str">
        <f aca="false">IF(IF($M242="",0,INDEX(伝票元!$N$6:$N$511,$M242))=1,INDEX(伝票元!$R$6:$R$511,$M242),"")</f>
        <v/>
      </c>
      <c r="L242" s="47" t="str">
        <f aca="false">IF($M242="","",INDEX(伝票元!$S$6:$S$511,$M242))</f>
        <v/>
      </c>
      <c r="M242" s="47" t="str">
        <f aca="false">IFERROR(MATCH(236,伝票元!$O$6:$O$511,0),"")</f>
        <v/>
      </c>
    </row>
    <row r="243" customFormat="false" ht="15" hidden="false" customHeight="false" outlineLevel="0" collapsed="false">
      <c r="A243" s="10" t="str">
        <f aca="false">IF($M243="","",INDEX(伝票元!$P$6:$P$511,$M243))</f>
        <v/>
      </c>
      <c r="B243" s="45" t="str">
        <f aca="false">IF($M243="","",INDEX(伝票元!$D$6:$D$511,$M243))</f>
        <v/>
      </c>
      <c r="C243" s="10" t="str">
        <f aca="false">IF($M243="","",INDEX(伝票元!$E$6:$E$511,$M243))</f>
        <v/>
      </c>
      <c r="D243" s="45" t="str">
        <f aca="false">IF($M243="","",INDEX(伝票元!$A$6:$A$511,$M243))</f>
        <v/>
      </c>
      <c r="E243" s="10" t="str">
        <f aca="false">IF(IF($M243="",0,INDEX(伝票元!$N$6:$N$511,$M243))=1,INDEX(伝票元!$I$6:$I$511,$M243),"")</f>
        <v/>
      </c>
      <c r="F243" s="45" t="str">
        <f aca="false">IF(IF($M243="",0,INDEX(伝票元!$N$6:$N$511,$M243))=1,INDEX(伝票元!$J$6:$J$511,$M243),"")</f>
        <v/>
      </c>
      <c r="G243" s="42" t="str">
        <f aca="false">IF(IF($M243="",0,INDEX(伝票元!$N$6:$N$511,$M243))=1,INDEX(伝票元!$Q$6:$Q$511,$M243),"")</f>
        <v/>
      </c>
      <c r="H243" s="45" t="str">
        <f aca="false">IF($M243="","",INDEX(伝票元!$F$6:$F$511,$M243))</f>
        <v/>
      </c>
      <c r="I243" s="45" t="str">
        <f aca="false">IF($M243="","",INDEX(伝票元!$G$6:$G$511,$M243))</f>
        <v/>
      </c>
      <c r="J243" s="42" t="str">
        <f aca="false">IF($M243="","",INDEX(伝票元!$H$6:$H$511,$M243))</f>
        <v/>
      </c>
      <c r="K243" s="46" t="str">
        <f aca="false">IF(IF($M243="",0,INDEX(伝票元!$N$6:$N$511,$M243))=1,INDEX(伝票元!$R$6:$R$511,$M243),"")</f>
        <v/>
      </c>
      <c r="L243" s="47" t="str">
        <f aca="false">IF($M243="","",INDEX(伝票元!$S$6:$S$511,$M243))</f>
        <v/>
      </c>
      <c r="M243" s="47" t="str">
        <f aca="false">IFERROR(MATCH(237,伝票元!$O$6:$O$511,0),"")</f>
        <v/>
      </c>
    </row>
    <row r="244" customFormat="false" ht="15" hidden="false" customHeight="false" outlineLevel="0" collapsed="false">
      <c r="A244" s="10" t="str">
        <f aca="false">IF($M244="","",INDEX(伝票元!$P$6:$P$511,$M244))</f>
        <v/>
      </c>
      <c r="B244" s="45" t="str">
        <f aca="false">IF($M244="","",INDEX(伝票元!$D$6:$D$511,$M244))</f>
        <v/>
      </c>
      <c r="C244" s="10" t="str">
        <f aca="false">IF($M244="","",INDEX(伝票元!$E$6:$E$511,$M244))</f>
        <v/>
      </c>
      <c r="D244" s="45" t="str">
        <f aca="false">IF($M244="","",INDEX(伝票元!$A$6:$A$511,$M244))</f>
        <v/>
      </c>
      <c r="E244" s="10" t="str">
        <f aca="false">IF(IF($M244="",0,INDEX(伝票元!$N$6:$N$511,$M244))=1,INDEX(伝票元!$I$6:$I$511,$M244),"")</f>
        <v/>
      </c>
      <c r="F244" s="45" t="str">
        <f aca="false">IF(IF($M244="",0,INDEX(伝票元!$N$6:$N$511,$M244))=1,INDEX(伝票元!$J$6:$J$511,$M244),"")</f>
        <v/>
      </c>
      <c r="G244" s="42" t="str">
        <f aca="false">IF(IF($M244="",0,INDEX(伝票元!$N$6:$N$511,$M244))=1,INDEX(伝票元!$Q$6:$Q$511,$M244),"")</f>
        <v/>
      </c>
      <c r="H244" s="45" t="str">
        <f aca="false">IF($M244="","",INDEX(伝票元!$F$6:$F$511,$M244))</f>
        <v/>
      </c>
      <c r="I244" s="45" t="str">
        <f aca="false">IF($M244="","",INDEX(伝票元!$G$6:$G$511,$M244))</f>
        <v/>
      </c>
      <c r="J244" s="42" t="str">
        <f aca="false">IF($M244="","",INDEX(伝票元!$H$6:$H$511,$M244))</f>
        <v/>
      </c>
      <c r="K244" s="46" t="str">
        <f aca="false">IF(IF($M244="",0,INDEX(伝票元!$N$6:$N$511,$M244))=1,INDEX(伝票元!$R$6:$R$511,$M244),"")</f>
        <v/>
      </c>
      <c r="L244" s="47" t="str">
        <f aca="false">IF($M244="","",INDEX(伝票元!$S$6:$S$511,$M244))</f>
        <v/>
      </c>
      <c r="M244" s="47" t="str">
        <f aca="false">IFERROR(MATCH(238,伝票元!$O$6:$O$511,0),"")</f>
        <v/>
      </c>
    </row>
    <row r="245" customFormat="false" ht="15" hidden="false" customHeight="false" outlineLevel="0" collapsed="false">
      <c r="A245" s="10" t="str">
        <f aca="false">IF($M245="","",INDEX(伝票元!$P$6:$P$511,$M245))</f>
        <v/>
      </c>
      <c r="B245" s="45" t="str">
        <f aca="false">IF($M245="","",INDEX(伝票元!$D$6:$D$511,$M245))</f>
        <v/>
      </c>
      <c r="C245" s="10" t="str">
        <f aca="false">IF($M245="","",INDEX(伝票元!$E$6:$E$511,$M245))</f>
        <v/>
      </c>
      <c r="D245" s="45" t="str">
        <f aca="false">IF($M245="","",INDEX(伝票元!$A$6:$A$511,$M245))</f>
        <v/>
      </c>
      <c r="E245" s="10" t="str">
        <f aca="false">IF(IF($M245="",0,INDEX(伝票元!$N$6:$N$511,$M245))=1,INDEX(伝票元!$I$6:$I$511,$M245),"")</f>
        <v/>
      </c>
      <c r="F245" s="45" t="str">
        <f aca="false">IF(IF($M245="",0,INDEX(伝票元!$N$6:$N$511,$M245))=1,INDEX(伝票元!$J$6:$J$511,$M245),"")</f>
        <v/>
      </c>
      <c r="G245" s="42" t="str">
        <f aca="false">IF(IF($M245="",0,INDEX(伝票元!$N$6:$N$511,$M245))=1,INDEX(伝票元!$Q$6:$Q$511,$M245),"")</f>
        <v/>
      </c>
      <c r="H245" s="45" t="str">
        <f aca="false">IF($M245="","",INDEX(伝票元!$F$6:$F$511,$M245))</f>
        <v/>
      </c>
      <c r="I245" s="45" t="str">
        <f aca="false">IF($M245="","",INDEX(伝票元!$G$6:$G$511,$M245))</f>
        <v/>
      </c>
      <c r="J245" s="42" t="str">
        <f aca="false">IF($M245="","",INDEX(伝票元!$H$6:$H$511,$M245))</f>
        <v/>
      </c>
      <c r="K245" s="46" t="str">
        <f aca="false">IF(IF($M245="",0,INDEX(伝票元!$N$6:$N$511,$M245))=1,INDEX(伝票元!$R$6:$R$511,$M245),"")</f>
        <v/>
      </c>
      <c r="L245" s="47" t="str">
        <f aca="false">IF($M245="","",INDEX(伝票元!$S$6:$S$511,$M245))</f>
        <v/>
      </c>
      <c r="M245" s="47" t="str">
        <f aca="false">IFERROR(MATCH(239,伝票元!$O$6:$O$511,0),"")</f>
        <v/>
      </c>
    </row>
    <row r="246" customFormat="false" ht="15" hidden="false" customHeight="false" outlineLevel="0" collapsed="false">
      <c r="A246" s="10" t="str">
        <f aca="false">IF($M246="","",INDEX(伝票元!$P$6:$P$511,$M246))</f>
        <v/>
      </c>
      <c r="B246" s="45" t="str">
        <f aca="false">IF($M246="","",INDEX(伝票元!$D$6:$D$511,$M246))</f>
        <v/>
      </c>
      <c r="C246" s="10" t="str">
        <f aca="false">IF($M246="","",INDEX(伝票元!$E$6:$E$511,$M246))</f>
        <v/>
      </c>
      <c r="D246" s="45" t="str">
        <f aca="false">IF($M246="","",INDEX(伝票元!$A$6:$A$511,$M246))</f>
        <v/>
      </c>
      <c r="E246" s="10" t="str">
        <f aca="false">IF(IF($M246="",0,INDEX(伝票元!$N$6:$N$511,$M246))=1,INDEX(伝票元!$I$6:$I$511,$M246),"")</f>
        <v/>
      </c>
      <c r="F246" s="45" t="str">
        <f aca="false">IF(IF($M246="",0,INDEX(伝票元!$N$6:$N$511,$M246))=1,INDEX(伝票元!$J$6:$J$511,$M246),"")</f>
        <v/>
      </c>
      <c r="G246" s="42" t="str">
        <f aca="false">IF(IF($M246="",0,INDEX(伝票元!$N$6:$N$511,$M246))=1,INDEX(伝票元!$Q$6:$Q$511,$M246),"")</f>
        <v/>
      </c>
      <c r="H246" s="45" t="str">
        <f aca="false">IF($M246="","",INDEX(伝票元!$F$6:$F$511,$M246))</f>
        <v/>
      </c>
      <c r="I246" s="45" t="str">
        <f aca="false">IF($M246="","",INDEX(伝票元!$G$6:$G$511,$M246))</f>
        <v/>
      </c>
      <c r="J246" s="42" t="str">
        <f aca="false">IF($M246="","",INDEX(伝票元!$H$6:$H$511,$M246))</f>
        <v/>
      </c>
      <c r="K246" s="46" t="str">
        <f aca="false">IF(IF($M246="",0,INDEX(伝票元!$N$6:$N$511,$M246))=1,INDEX(伝票元!$R$6:$R$511,$M246),"")</f>
        <v/>
      </c>
      <c r="L246" s="47" t="str">
        <f aca="false">IF($M246="","",INDEX(伝票元!$S$6:$S$511,$M246))</f>
        <v/>
      </c>
      <c r="M246" s="47" t="str">
        <f aca="false">IFERROR(MATCH(240,伝票元!$O$6:$O$511,0),"")</f>
        <v/>
      </c>
    </row>
    <row r="247" customFormat="false" ht="15" hidden="false" customHeight="false" outlineLevel="0" collapsed="false">
      <c r="A247" s="10" t="str">
        <f aca="false">IF($M247="","",INDEX(伝票元!$P$6:$P$511,$M247))</f>
        <v/>
      </c>
      <c r="B247" s="45" t="str">
        <f aca="false">IF($M247="","",INDEX(伝票元!$D$6:$D$511,$M247))</f>
        <v/>
      </c>
      <c r="C247" s="10" t="str">
        <f aca="false">IF($M247="","",INDEX(伝票元!$E$6:$E$511,$M247))</f>
        <v/>
      </c>
      <c r="D247" s="45" t="str">
        <f aca="false">IF($M247="","",INDEX(伝票元!$A$6:$A$511,$M247))</f>
        <v/>
      </c>
      <c r="E247" s="10" t="str">
        <f aca="false">IF(IF($M247="",0,INDEX(伝票元!$N$6:$N$511,$M247))=1,INDEX(伝票元!$I$6:$I$511,$M247),"")</f>
        <v/>
      </c>
      <c r="F247" s="45" t="str">
        <f aca="false">IF(IF($M247="",0,INDEX(伝票元!$N$6:$N$511,$M247))=1,INDEX(伝票元!$J$6:$J$511,$M247),"")</f>
        <v/>
      </c>
      <c r="G247" s="42" t="str">
        <f aca="false">IF(IF($M247="",0,INDEX(伝票元!$N$6:$N$511,$M247))=1,INDEX(伝票元!$Q$6:$Q$511,$M247),"")</f>
        <v/>
      </c>
      <c r="H247" s="45" t="str">
        <f aca="false">IF($M247="","",INDEX(伝票元!$F$6:$F$511,$M247))</f>
        <v/>
      </c>
      <c r="I247" s="45" t="str">
        <f aca="false">IF($M247="","",INDEX(伝票元!$G$6:$G$511,$M247))</f>
        <v/>
      </c>
      <c r="J247" s="42" t="str">
        <f aca="false">IF($M247="","",INDEX(伝票元!$H$6:$H$511,$M247))</f>
        <v/>
      </c>
      <c r="K247" s="46" t="str">
        <f aca="false">IF(IF($M247="",0,INDEX(伝票元!$N$6:$N$511,$M247))=1,INDEX(伝票元!$R$6:$R$511,$M247),"")</f>
        <v/>
      </c>
      <c r="L247" s="47" t="str">
        <f aca="false">IF($M247="","",INDEX(伝票元!$S$6:$S$511,$M247))</f>
        <v/>
      </c>
      <c r="M247" s="47" t="str">
        <f aca="false">IFERROR(MATCH(241,伝票元!$O$6:$O$511,0),"")</f>
        <v/>
      </c>
    </row>
    <row r="248" customFormat="false" ht="15" hidden="false" customHeight="false" outlineLevel="0" collapsed="false">
      <c r="A248" s="10" t="str">
        <f aca="false">IF($M248="","",INDEX(伝票元!$P$6:$P$511,$M248))</f>
        <v/>
      </c>
      <c r="B248" s="45" t="str">
        <f aca="false">IF($M248="","",INDEX(伝票元!$D$6:$D$511,$M248))</f>
        <v/>
      </c>
      <c r="C248" s="10" t="str">
        <f aca="false">IF($M248="","",INDEX(伝票元!$E$6:$E$511,$M248))</f>
        <v/>
      </c>
      <c r="D248" s="45" t="str">
        <f aca="false">IF($M248="","",INDEX(伝票元!$A$6:$A$511,$M248))</f>
        <v/>
      </c>
      <c r="E248" s="10" t="str">
        <f aca="false">IF(IF($M248="",0,INDEX(伝票元!$N$6:$N$511,$M248))=1,INDEX(伝票元!$I$6:$I$511,$M248),"")</f>
        <v/>
      </c>
      <c r="F248" s="45" t="str">
        <f aca="false">IF(IF($M248="",0,INDEX(伝票元!$N$6:$N$511,$M248))=1,INDEX(伝票元!$J$6:$J$511,$M248),"")</f>
        <v/>
      </c>
      <c r="G248" s="42" t="str">
        <f aca="false">IF(IF($M248="",0,INDEX(伝票元!$N$6:$N$511,$M248))=1,INDEX(伝票元!$Q$6:$Q$511,$M248),"")</f>
        <v/>
      </c>
      <c r="H248" s="45" t="str">
        <f aca="false">IF($M248="","",INDEX(伝票元!$F$6:$F$511,$M248))</f>
        <v/>
      </c>
      <c r="I248" s="45" t="str">
        <f aca="false">IF($M248="","",INDEX(伝票元!$G$6:$G$511,$M248))</f>
        <v/>
      </c>
      <c r="J248" s="42" t="str">
        <f aca="false">IF($M248="","",INDEX(伝票元!$H$6:$H$511,$M248))</f>
        <v/>
      </c>
      <c r="K248" s="46" t="str">
        <f aca="false">IF(IF($M248="",0,INDEX(伝票元!$N$6:$N$511,$M248))=1,INDEX(伝票元!$R$6:$R$511,$M248),"")</f>
        <v/>
      </c>
      <c r="L248" s="47" t="str">
        <f aca="false">IF($M248="","",INDEX(伝票元!$S$6:$S$511,$M248))</f>
        <v/>
      </c>
      <c r="M248" s="47" t="str">
        <f aca="false">IFERROR(MATCH(242,伝票元!$O$6:$O$511,0),"")</f>
        <v/>
      </c>
    </row>
    <row r="249" customFormat="false" ht="15" hidden="false" customHeight="false" outlineLevel="0" collapsed="false">
      <c r="A249" s="10" t="str">
        <f aca="false">IF($M249="","",INDEX(伝票元!$P$6:$P$511,$M249))</f>
        <v/>
      </c>
      <c r="B249" s="45" t="str">
        <f aca="false">IF($M249="","",INDEX(伝票元!$D$6:$D$511,$M249))</f>
        <v/>
      </c>
      <c r="C249" s="10" t="str">
        <f aca="false">IF($M249="","",INDEX(伝票元!$E$6:$E$511,$M249))</f>
        <v/>
      </c>
      <c r="D249" s="45" t="str">
        <f aca="false">IF($M249="","",INDEX(伝票元!$A$6:$A$511,$M249))</f>
        <v/>
      </c>
      <c r="E249" s="10" t="str">
        <f aca="false">IF(IF($M249="",0,INDEX(伝票元!$N$6:$N$511,$M249))=1,INDEX(伝票元!$I$6:$I$511,$M249),"")</f>
        <v/>
      </c>
      <c r="F249" s="45" t="str">
        <f aca="false">IF(IF($M249="",0,INDEX(伝票元!$N$6:$N$511,$M249))=1,INDEX(伝票元!$J$6:$J$511,$M249),"")</f>
        <v/>
      </c>
      <c r="G249" s="42" t="str">
        <f aca="false">IF(IF($M249="",0,INDEX(伝票元!$N$6:$N$511,$M249))=1,INDEX(伝票元!$Q$6:$Q$511,$M249),"")</f>
        <v/>
      </c>
      <c r="H249" s="45" t="str">
        <f aca="false">IF($M249="","",INDEX(伝票元!$F$6:$F$511,$M249))</f>
        <v/>
      </c>
      <c r="I249" s="45" t="str">
        <f aca="false">IF($M249="","",INDEX(伝票元!$G$6:$G$511,$M249))</f>
        <v/>
      </c>
      <c r="J249" s="42" t="str">
        <f aca="false">IF($M249="","",INDEX(伝票元!$H$6:$H$511,$M249))</f>
        <v/>
      </c>
      <c r="K249" s="46" t="str">
        <f aca="false">IF(IF($M249="",0,INDEX(伝票元!$N$6:$N$511,$M249))=1,INDEX(伝票元!$R$6:$R$511,$M249),"")</f>
        <v/>
      </c>
      <c r="L249" s="47" t="str">
        <f aca="false">IF($M249="","",INDEX(伝票元!$S$6:$S$511,$M249))</f>
        <v/>
      </c>
      <c r="M249" s="47" t="str">
        <f aca="false">IFERROR(MATCH(243,伝票元!$O$6:$O$511,0),"")</f>
        <v/>
      </c>
    </row>
    <row r="250" customFormat="false" ht="15" hidden="false" customHeight="false" outlineLevel="0" collapsed="false">
      <c r="A250" s="10" t="str">
        <f aca="false">IF($M250="","",INDEX(伝票元!$P$6:$P$511,$M250))</f>
        <v/>
      </c>
      <c r="B250" s="45" t="str">
        <f aca="false">IF($M250="","",INDEX(伝票元!$D$6:$D$511,$M250))</f>
        <v/>
      </c>
      <c r="C250" s="10" t="str">
        <f aca="false">IF($M250="","",INDEX(伝票元!$E$6:$E$511,$M250))</f>
        <v/>
      </c>
      <c r="D250" s="45" t="str">
        <f aca="false">IF($M250="","",INDEX(伝票元!$A$6:$A$511,$M250))</f>
        <v/>
      </c>
      <c r="E250" s="10" t="str">
        <f aca="false">IF(IF($M250="",0,INDEX(伝票元!$N$6:$N$511,$M250))=1,INDEX(伝票元!$I$6:$I$511,$M250),"")</f>
        <v/>
      </c>
      <c r="F250" s="45" t="str">
        <f aca="false">IF(IF($M250="",0,INDEX(伝票元!$N$6:$N$511,$M250))=1,INDEX(伝票元!$J$6:$J$511,$M250),"")</f>
        <v/>
      </c>
      <c r="G250" s="42" t="str">
        <f aca="false">IF(IF($M250="",0,INDEX(伝票元!$N$6:$N$511,$M250))=1,INDEX(伝票元!$Q$6:$Q$511,$M250),"")</f>
        <v/>
      </c>
      <c r="H250" s="45" t="str">
        <f aca="false">IF($M250="","",INDEX(伝票元!$F$6:$F$511,$M250))</f>
        <v/>
      </c>
      <c r="I250" s="45" t="str">
        <f aca="false">IF($M250="","",INDEX(伝票元!$G$6:$G$511,$M250))</f>
        <v/>
      </c>
      <c r="J250" s="42" t="str">
        <f aca="false">IF($M250="","",INDEX(伝票元!$H$6:$H$511,$M250))</f>
        <v/>
      </c>
      <c r="K250" s="46" t="str">
        <f aca="false">IF(IF($M250="",0,INDEX(伝票元!$N$6:$N$511,$M250))=1,INDEX(伝票元!$R$6:$R$511,$M250),"")</f>
        <v/>
      </c>
      <c r="L250" s="47" t="str">
        <f aca="false">IF($M250="","",INDEX(伝票元!$S$6:$S$511,$M250))</f>
        <v/>
      </c>
      <c r="M250" s="47" t="str">
        <f aca="false">IFERROR(MATCH(244,伝票元!$O$6:$O$511,0),"")</f>
        <v/>
      </c>
    </row>
    <row r="251" customFormat="false" ht="15" hidden="false" customHeight="false" outlineLevel="0" collapsed="false">
      <c r="A251" s="10" t="str">
        <f aca="false">IF($M251="","",INDEX(伝票元!$P$6:$P$511,$M251))</f>
        <v/>
      </c>
      <c r="B251" s="45" t="str">
        <f aca="false">IF($M251="","",INDEX(伝票元!$D$6:$D$511,$M251))</f>
        <v/>
      </c>
      <c r="C251" s="10" t="str">
        <f aca="false">IF($M251="","",INDEX(伝票元!$E$6:$E$511,$M251))</f>
        <v/>
      </c>
      <c r="D251" s="45" t="str">
        <f aca="false">IF($M251="","",INDEX(伝票元!$A$6:$A$511,$M251))</f>
        <v/>
      </c>
      <c r="E251" s="10" t="str">
        <f aca="false">IF(IF($M251="",0,INDEX(伝票元!$N$6:$N$511,$M251))=1,INDEX(伝票元!$I$6:$I$511,$M251),"")</f>
        <v/>
      </c>
      <c r="F251" s="45" t="str">
        <f aca="false">IF(IF($M251="",0,INDEX(伝票元!$N$6:$N$511,$M251))=1,INDEX(伝票元!$J$6:$J$511,$M251),"")</f>
        <v/>
      </c>
      <c r="G251" s="42" t="str">
        <f aca="false">IF(IF($M251="",0,INDEX(伝票元!$N$6:$N$511,$M251))=1,INDEX(伝票元!$Q$6:$Q$511,$M251),"")</f>
        <v/>
      </c>
      <c r="H251" s="45" t="str">
        <f aca="false">IF($M251="","",INDEX(伝票元!$F$6:$F$511,$M251))</f>
        <v/>
      </c>
      <c r="I251" s="45" t="str">
        <f aca="false">IF($M251="","",INDEX(伝票元!$G$6:$G$511,$M251))</f>
        <v/>
      </c>
      <c r="J251" s="42" t="str">
        <f aca="false">IF($M251="","",INDEX(伝票元!$H$6:$H$511,$M251))</f>
        <v/>
      </c>
      <c r="K251" s="46" t="str">
        <f aca="false">IF(IF($M251="",0,INDEX(伝票元!$N$6:$N$511,$M251))=1,INDEX(伝票元!$R$6:$R$511,$M251),"")</f>
        <v/>
      </c>
      <c r="L251" s="47" t="str">
        <f aca="false">IF($M251="","",INDEX(伝票元!$S$6:$S$511,$M251))</f>
        <v/>
      </c>
      <c r="M251" s="47" t="str">
        <f aca="false">IFERROR(MATCH(245,伝票元!$O$6:$O$511,0),"")</f>
        <v/>
      </c>
    </row>
    <row r="252" customFormat="false" ht="15" hidden="false" customHeight="false" outlineLevel="0" collapsed="false">
      <c r="A252" s="10" t="str">
        <f aca="false">IF($M252="","",INDEX(伝票元!$P$6:$P$511,$M252))</f>
        <v/>
      </c>
      <c r="B252" s="45" t="str">
        <f aca="false">IF($M252="","",INDEX(伝票元!$D$6:$D$511,$M252))</f>
        <v/>
      </c>
      <c r="C252" s="10" t="str">
        <f aca="false">IF($M252="","",INDEX(伝票元!$E$6:$E$511,$M252))</f>
        <v/>
      </c>
      <c r="D252" s="45" t="str">
        <f aca="false">IF($M252="","",INDEX(伝票元!$A$6:$A$511,$M252))</f>
        <v/>
      </c>
      <c r="E252" s="10" t="str">
        <f aca="false">IF(IF($M252="",0,INDEX(伝票元!$N$6:$N$511,$M252))=1,INDEX(伝票元!$I$6:$I$511,$M252),"")</f>
        <v/>
      </c>
      <c r="F252" s="45" t="str">
        <f aca="false">IF(IF($M252="",0,INDEX(伝票元!$N$6:$N$511,$M252))=1,INDEX(伝票元!$J$6:$J$511,$M252),"")</f>
        <v/>
      </c>
      <c r="G252" s="42" t="str">
        <f aca="false">IF(IF($M252="",0,INDEX(伝票元!$N$6:$N$511,$M252))=1,INDEX(伝票元!$Q$6:$Q$511,$M252),"")</f>
        <v/>
      </c>
      <c r="H252" s="45" t="str">
        <f aca="false">IF($M252="","",INDEX(伝票元!$F$6:$F$511,$M252))</f>
        <v/>
      </c>
      <c r="I252" s="45" t="str">
        <f aca="false">IF($M252="","",INDEX(伝票元!$G$6:$G$511,$M252))</f>
        <v/>
      </c>
      <c r="J252" s="42" t="str">
        <f aca="false">IF($M252="","",INDEX(伝票元!$H$6:$H$511,$M252))</f>
        <v/>
      </c>
      <c r="K252" s="46" t="str">
        <f aca="false">IF(IF($M252="",0,INDEX(伝票元!$N$6:$N$511,$M252))=1,INDEX(伝票元!$R$6:$R$511,$M252),"")</f>
        <v/>
      </c>
      <c r="L252" s="47" t="str">
        <f aca="false">IF($M252="","",INDEX(伝票元!$S$6:$S$511,$M252))</f>
        <v/>
      </c>
      <c r="M252" s="47" t="str">
        <f aca="false">IFERROR(MATCH(246,伝票元!$O$6:$O$511,0),"")</f>
        <v/>
      </c>
    </row>
    <row r="253" customFormat="false" ht="15" hidden="false" customHeight="false" outlineLevel="0" collapsed="false">
      <c r="A253" s="10" t="str">
        <f aca="false">IF($M253="","",INDEX(伝票元!$P$6:$P$511,$M253))</f>
        <v/>
      </c>
      <c r="B253" s="45" t="str">
        <f aca="false">IF($M253="","",INDEX(伝票元!$D$6:$D$511,$M253))</f>
        <v/>
      </c>
      <c r="C253" s="10" t="str">
        <f aca="false">IF($M253="","",INDEX(伝票元!$E$6:$E$511,$M253))</f>
        <v/>
      </c>
      <c r="D253" s="45" t="str">
        <f aca="false">IF($M253="","",INDEX(伝票元!$A$6:$A$511,$M253))</f>
        <v/>
      </c>
      <c r="E253" s="10" t="str">
        <f aca="false">IF(IF($M253="",0,INDEX(伝票元!$N$6:$N$511,$M253))=1,INDEX(伝票元!$I$6:$I$511,$M253),"")</f>
        <v/>
      </c>
      <c r="F253" s="45" t="str">
        <f aca="false">IF(IF($M253="",0,INDEX(伝票元!$N$6:$N$511,$M253))=1,INDEX(伝票元!$J$6:$J$511,$M253),"")</f>
        <v/>
      </c>
      <c r="G253" s="42" t="str">
        <f aca="false">IF(IF($M253="",0,INDEX(伝票元!$N$6:$N$511,$M253))=1,INDEX(伝票元!$Q$6:$Q$511,$M253),"")</f>
        <v/>
      </c>
      <c r="H253" s="45" t="str">
        <f aca="false">IF($M253="","",INDEX(伝票元!$F$6:$F$511,$M253))</f>
        <v/>
      </c>
      <c r="I253" s="45" t="str">
        <f aca="false">IF($M253="","",INDEX(伝票元!$G$6:$G$511,$M253))</f>
        <v/>
      </c>
      <c r="J253" s="42" t="str">
        <f aca="false">IF($M253="","",INDEX(伝票元!$H$6:$H$511,$M253))</f>
        <v/>
      </c>
      <c r="K253" s="46" t="str">
        <f aca="false">IF(IF($M253="",0,INDEX(伝票元!$N$6:$N$511,$M253))=1,INDEX(伝票元!$R$6:$R$511,$M253),"")</f>
        <v/>
      </c>
      <c r="L253" s="47" t="str">
        <f aca="false">IF($M253="","",INDEX(伝票元!$S$6:$S$511,$M253))</f>
        <v/>
      </c>
      <c r="M253" s="47" t="str">
        <f aca="false">IFERROR(MATCH(247,伝票元!$O$6:$O$511,0),"")</f>
        <v/>
      </c>
    </row>
    <row r="254" customFormat="false" ht="15" hidden="false" customHeight="false" outlineLevel="0" collapsed="false">
      <c r="A254" s="10" t="str">
        <f aca="false">IF($M254="","",INDEX(伝票元!$P$6:$P$511,$M254))</f>
        <v/>
      </c>
      <c r="B254" s="45" t="str">
        <f aca="false">IF($M254="","",INDEX(伝票元!$D$6:$D$511,$M254))</f>
        <v/>
      </c>
      <c r="C254" s="10" t="str">
        <f aca="false">IF($M254="","",INDEX(伝票元!$E$6:$E$511,$M254))</f>
        <v/>
      </c>
      <c r="D254" s="45" t="str">
        <f aca="false">IF($M254="","",INDEX(伝票元!$A$6:$A$511,$M254))</f>
        <v/>
      </c>
      <c r="E254" s="10" t="str">
        <f aca="false">IF(IF($M254="",0,INDEX(伝票元!$N$6:$N$511,$M254))=1,INDEX(伝票元!$I$6:$I$511,$M254),"")</f>
        <v/>
      </c>
      <c r="F254" s="45" t="str">
        <f aca="false">IF(IF($M254="",0,INDEX(伝票元!$N$6:$N$511,$M254))=1,INDEX(伝票元!$J$6:$J$511,$M254),"")</f>
        <v/>
      </c>
      <c r="G254" s="42" t="str">
        <f aca="false">IF(IF($M254="",0,INDEX(伝票元!$N$6:$N$511,$M254))=1,INDEX(伝票元!$Q$6:$Q$511,$M254),"")</f>
        <v/>
      </c>
      <c r="H254" s="45" t="str">
        <f aca="false">IF($M254="","",INDEX(伝票元!$F$6:$F$511,$M254))</f>
        <v/>
      </c>
      <c r="I254" s="45" t="str">
        <f aca="false">IF($M254="","",INDEX(伝票元!$G$6:$G$511,$M254))</f>
        <v/>
      </c>
      <c r="J254" s="42" t="str">
        <f aca="false">IF($M254="","",INDEX(伝票元!$H$6:$H$511,$M254))</f>
        <v/>
      </c>
      <c r="K254" s="46" t="str">
        <f aca="false">IF(IF($M254="",0,INDEX(伝票元!$N$6:$N$511,$M254))=1,INDEX(伝票元!$R$6:$R$511,$M254),"")</f>
        <v/>
      </c>
      <c r="L254" s="47" t="str">
        <f aca="false">IF($M254="","",INDEX(伝票元!$S$6:$S$511,$M254))</f>
        <v/>
      </c>
      <c r="M254" s="47" t="str">
        <f aca="false">IFERROR(MATCH(248,伝票元!$O$6:$O$511,0),"")</f>
        <v/>
      </c>
    </row>
    <row r="255" customFormat="false" ht="15" hidden="false" customHeight="false" outlineLevel="0" collapsed="false">
      <c r="A255" s="10" t="str">
        <f aca="false">IF($M255="","",INDEX(伝票元!$P$6:$P$511,$M255))</f>
        <v/>
      </c>
      <c r="B255" s="45" t="str">
        <f aca="false">IF($M255="","",INDEX(伝票元!$D$6:$D$511,$M255))</f>
        <v/>
      </c>
      <c r="C255" s="10" t="str">
        <f aca="false">IF($M255="","",INDEX(伝票元!$E$6:$E$511,$M255))</f>
        <v/>
      </c>
      <c r="D255" s="45" t="str">
        <f aca="false">IF($M255="","",INDEX(伝票元!$A$6:$A$511,$M255))</f>
        <v/>
      </c>
      <c r="E255" s="10" t="str">
        <f aca="false">IF(IF($M255="",0,INDEX(伝票元!$N$6:$N$511,$M255))=1,INDEX(伝票元!$I$6:$I$511,$M255),"")</f>
        <v/>
      </c>
      <c r="F255" s="45" t="str">
        <f aca="false">IF(IF($M255="",0,INDEX(伝票元!$N$6:$N$511,$M255))=1,INDEX(伝票元!$J$6:$J$511,$M255),"")</f>
        <v/>
      </c>
      <c r="G255" s="42" t="str">
        <f aca="false">IF(IF($M255="",0,INDEX(伝票元!$N$6:$N$511,$M255))=1,INDEX(伝票元!$Q$6:$Q$511,$M255),"")</f>
        <v/>
      </c>
      <c r="H255" s="45" t="str">
        <f aca="false">IF($M255="","",INDEX(伝票元!$F$6:$F$511,$M255))</f>
        <v/>
      </c>
      <c r="I255" s="45" t="str">
        <f aca="false">IF($M255="","",INDEX(伝票元!$G$6:$G$511,$M255))</f>
        <v/>
      </c>
      <c r="J255" s="42" t="str">
        <f aca="false">IF($M255="","",INDEX(伝票元!$H$6:$H$511,$M255))</f>
        <v/>
      </c>
      <c r="K255" s="46" t="str">
        <f aca="false">IF(IF($M255="",0,INDEX(伝票元!$N$6:$N$511,$M255))=1,INDEX(伝票元!$R$6:$R$511,$M255),"")</f>
        <v/>
      </c>
      <c r="L255" s="47" t="str">
        <f aca="false">IF($M255="","",INDEX(伝票元!$S$6:$S$511,$M255))</f>
        <v/>
      </c>
      <c r="M255" s="47" t="str">
        <f aca="false">IFERROR(MATCH(249,伝票元!$O$6:$O$511,0),"")</f>
        <v/>
      </c>
    </row>
    <row r="256" customFormat="false" ht="15" hidden="false" customHeight="false" outlineLevel="0" collapsed="false">
      <c r="A256" s="10" t="str">
        <f aca="false">IF($M256="","",INDEX(伝票元!$P$6:$P$511,$M256))</f>
        <v/>
      </c>
      <c r="B256" s="45" t="str">
        <f aca="false">IF($M256="","",INDEX(伝票元!$D$6:$D$511,$M256))</f>
        <v/>
      </c>
      <c r="C256" s="10" t="str">
        <f aca="false">IF($M256="","",INDEX(伝票元!$E$6:$E$511,$M256))</f>
        <v/>
      </c>
      <c r="D256" s="45" t="str">
        <f aca="false">IF($M256="","",INDEX(伝票元!$A$6:$A$511,$M256))</f>
        <v/>
      </c>
      <c r="E256" s="10" t="str">
        <f aca="false">IF(IF($M256="",0,INDEX(伝票元!$N$6:$N$511,$M256))=1,INDEX(伝票元!$I$6:$I$511,$M256),"")</f>
        <v/>
      </c>
      <c r="F256" s="45" t="str">
        <f aca="false">IF(IF($M256="",0,INDEX(伝票元!$N$6:$N$511,$M256))=1,INDEX(伝票元!$J$6:$J$511,$M256),"")</f>
        <v/>
      </c>
      <c r="G256" s="42" t="str">
        <f aca="false">IF(IF($M256="",0,INDEX(伝票元!$N$6:$N$511,$M256))=1,INDEX(伝票元!$Q$6:$Q$511,$M256),"")</f>
        <v/>
      </c>
      <c r="H256" s="45" t="str">
        <f aca="false">IF($M256="","",INDEX(伝票元!$F$6:$F$511,$M256))</f>
        <v/>
      </c>
      <c r="I256" s="45" t="str">
        <f aca="false">IF($M256="","",INDEX(伝票元!$G$6:$G$511,$M256))</f>
        <v/>
      </c>
      <c r="J256" s="42" t="str">
        <f aca="false">IF($M256="","",INDEX(伝票元!$H$6:$H$511,$M256))</f>
        <v/>
      </c>
      <c r="K256" s="46" t="str">
        <f aca="false">IF(IF($M256="",0,INDEX(伝票元!$N$6:$N$511,$M256))=1,INDEX(伝票元!$R$6:$R$511,$M256),"")</f>
        <v/>
      </c>
      <c r="L256" s="47" t="str">
        <f aca="false">IF($M256="","",INDEX(伝票元!$S$6:$S$511,$M256))</f>
        <v/>
      </c>
      <c r="M256" s="47" t="str">
        <f aca="false">IFERROR(MATCH(250,伝票元!$O$6:$O$511,0),"")</f>
        <v/>
      </c>
    </row>
    <row r="257" customFormat="false" ht="15" hidden="false" customHeight="false" outlineLevel="0" collapsed="false">
      <c r="A257" s="10" t="str">
        <f aca="false">IF($M257="","",INDEX(伝票元!$P$6:$P$511,$M257))</f>
        <v/>
      </c>
      <c r="B257" s="45" t="str">
        <f aca="false">IF($M257="","",INDEX(伝票元!$D$6:$D$511,$M257))</f>
        <v/>
      </c>
      <c r="C257" s="10" t="str">
        <f aca="false">IF($M257="","",INDEX(伝票元!$E$6:$E$511,$M257))</f>
        <v/>
      </c>
      <c r="D257" s="45" t="str">
        <f aca="false">IF($M257="","",INDEX(伝票元!$A$6:$A$511,$M257))</f>
        <v/>
      </c>
      <c r="E257" s="10" t="str">
        <f aca="false">IF(IF($M257="",0,INDEX(伝票元!$N$6:$N$511,$M257))=1,INDEX(伝票元!$I$6:$I$511,$M257),"")</f>
        <v/>
      </c>
      <c r="F257" s="45" t="str">
        <f aca="false">IF(IF($M257="",0,INDEX(伝票元!$N$6:$N$511,$M257))=1,INDEX(伝票元!$J$6:$J$511,$M257),"")</f>
        <v/>
      </c>
      <c r="G257" s="42" t="str">
        <f aca="false">IF(IF($M257="",0,INDEX(伝票元!$N$6:$N$511,$M257))=1,INDEX(伝票元!$Q$6:$Q$511,$M257),"")</f>
        <v/>
      </c>
      <c r="H257" s="45" t="str">
        <f aca="false">IF($M257="","",INDEX(伝票元!$F$6:$F$511,$M257))</f>
        <v/>
      </c>
      <c r="I257" s="45" t="str">
        <f aca="false">IF($M257="","",INDEX(伝票元!$G$6:$G$511,$M257))</f>
        <v/>
      </c>
      <c r="J257" s="42" t="str">
        <f aca="false">IF($M257="","",INDEX(伝票元!$H$6:$H$511,$M257))</f>
        <v/>
      </c>
      <c r="K257" s="46" t="str">
        <f aca="false">IF(IF($M257="",0,INDEX(伝票元!$N$6:$N$511,$M257))=1,INDEX(伝票元!$R$6:$R$511,$M257),"")</f>
        <v/>
      </c>
      <c r="L257" s="47" t="str">
        <f aca="false">IF($M257="","",INDEX(伝票元!$S$6:$S$511,$M257))</f>
        <v/>
      </c>
      <c r="M257" s="47" t="str">
        <f aca="false">IFERROR(MATCH(251,伝票元!$O$6:$O$511,0),"")</f>
        <v/>
      </c>
    </row>
    <row r="258" customFormat="false" ht="15" hidden="false" customHeight="false" outlineLevel="0" collapsed="false">
      <c r="A258" s="10" t="str">
        <f aca="false">IF($M258="","",INDEX(伝票元!$P$6:$P$511,$M258))</f>
        <v/>
      </c>
      <c r="B258" s="45" t="str">
        <f aca="false">IF($M258="","",INDEX(伝票元!$D$6:$D$511,$M258))</f>
        <v/>
      </c>
      <c r="C258" s="10" t="str">
        <f aca="false">IF($M258="","",INDEX(伝票元!$E$6:$E$511,$M258))</f>
        <v/>
      </c>
      <c r="D258" s="45" t="str">
        <f aca="false">IF($M258="","",INDEX(伝票元!$A$6:$A$511,$M258))</f>
        <v/>
      </c>
      <c r="E258" s="10" t="str">
        <f aca="false">IF(IF($M258="",0,INDEX(伝票元!$N$6:$N$511,$M258))=1,INDEX(伝票元!$I$6:$I$511,$M258),"")</f>
        <v/>
      </c>
      <c r="F258" s="45" t="str">
        <f aca="false">IF(IF($M258="",0,INDEX(伝票元!$N$6:$N$511,$M258))=1,INDEX(伝票元!$J$6:$J$511,$M258),"")</f>
        <v/>
      </c>
      <c r="G258" s="42" t="str">
        <f aca="false">IF(IF($M258="",0,INDEX(伝票元!$N$6:$N$511,$M258))=1,INDEX(伝票元!$Q$6:$Q$511,$M258),"")</f>
        <v/>
      </c>
      <c r="H258" s="45" t="str">
        <f aca="false">IF($M258="","",INDEX(伝票元!$F$6:$F$511,$M258))</f>
        <v/>
      </c>
      <c r="I258" s="45" t="str">
        <f aca="false">IF($M258="","",INDEX(伝票元!$G$6:$G$511,$M258))</f>
        <v/>
      </c>
      <c r="J258" s="42" t="str">
        <f aca="false">IF($M258="","",INDEX(伝票元!$H$6:$H$511,$M258))</f>
        <v/>
      </c>
      <c r="K258" s="46" t="str">
        <f aca="false">IF(IF($M258="",0,INDEX(伝票元!$N$6:$N$511,$M258))=1,INDEX(伝票元!$R$6:$R$511,$M258),"")</f>
        <v/>
      </c>
      <c r="L258" s="47" t="str">
        <f aca="false">IF($M258="","",INDEX(伝票元!$S$6:$S$511,$M258))</f>
        <v/>
      </c>
      <c r="M258" s="47" t="str">
        <f aca="false">IFERROR(MATCH(252,伝票元!$O$6:$O$511,0),"")</f>
        <v/>
      </c>
    </row>
    <row r="259" customFormat="false" ht="15" hidden="false" customHeight="false" outlineLevel="0" collapsed="false">
      <c r="A259" s="10" t="str">
        <f aca="false">IF($M259="","",INDEX(伝票元!$P$6:$P$511,$M259))</f>
        <v/>
      </c>
      <c r="B259" s="45" t="str">
        <f aca="false">IF($M259="","",INDEX(伝票元!$D$6:$D$511,$M259))</f>
        <v/>
      </c>
      <c r="C259" s="10" t="str">
        <f aca="false">IF($M259="","",INDEX(伝票元!$E$6:$E$511,$M259))</f>
        <v/>
      </c>
      <c r="D259" s="45" t="str">
        <f aca="false">IF($M259="","",INDEX(伝票元!$A$6:$A$511,$M259))</f>
        <v/>
      </c>
      <c r="E259" s="10" t="str">
        <f aca="false">IF(IF($M259="",0,INDEX(伝票元!$N$6:$N$511,$M259))=1,INDEX(伝票元!$I$6:$I$511,$M259),"")</f>
        <v/>
      </c>
      <c r="F259" s="45" t="str">
        <f aca="false">IF(IF($M259="",0,INDEX(伝票元!$N$6:$N$511,$M259))=1,INDEX(伝票元!$J$6:$J$511,$M259),"")</f>
        <v/>
      </c>
      <c r="G259" s="42" t="str">
        <f aca="false">IF(IF($M259="",0,INDEX(伝票元!$N$6:$N$511,$M259))=1,INDEX(伝票元!$Q$6:$Q$511,$M259),"")</f>
        <v/>
      </c>
      <c r="H259" s="45" t="str">
        <f aca="false">IF($M259="","",INDEX(伝票元!$F$6:$F$511,$M259))</f>
        <v/>
      </c>
      <c r="I259" s="45" t="str">
        <f aca="false">IF($M259="","",INDEX(伝票元!$G$6:$G$511,$M259))</f>
        <v/>
      </c>
      <c r="J259" s="42" t="str">
        <f aca="false">IF($M259="","",INDEX(伝票元!$H$6:$H$511,$M259))</f>
        <v/>
      </c>
      <c r="K259" s="46" t="str">
        <f aca="false">IF(IF($M259="",0,INDEX(伝票元!$N$6:$N$511,$M259))=1,INDEX(伝票元!$R$6:$R$511,$M259),"")</f>
        <v/>
      </c>
      <c r="L259" s="47" t="str">
        <f aca="false">IF($M259="","",INDEX(伝票元!$S$6:$S$511,$M259))</f>
        <v/>
      </c>
      <c r="M259" s="47" t="str">
        <f aca="false">IFERROR(MATCH(253,伝票元!$O$6:$O$511,0),"")</f>
        <v/>
      </c>
    </row>
    <row r="260" customFormat="false" ht="15" hidden="false" customHeight="false" outlineLevel="0" collapsed="false">
      <c r="A260" s="10" t="str">
        <f aca="false">IF($M260="","",INDEX(伝票元!$P$6:$P$511,$M260))</f>
        <v/>
      </c>
      <c r="B260" s="45" t="str">
        <f aca="false">IF($M260="","",INDEX(伝票元!$D$6:$D$511,$M260))</f>
        <v/>
      </c>
      <c r="C260" s="10" t="str">
        <f aca="false">IF($M260="","",INDEX(伝票元!$E$6:$E$511,$M260))</f>
        <v/>
      </c>
      <c r="D260" s="45" t="str">
        <f aca="false">IF($M260="","",INDEX(伝票元!$A$6:$A$511,$M260))</f>
        <v/>
      </c>
      <c r="E260" s="10" t="str">
        <f aca="false">IF(IF($M260="",0,INDEX(伝票元!$N$6:$N$511,$M260))=1,INDEX(伝票元!$I$6:$I$511,$M260),"")</f>
        <v/>
      </c>
      <c r="F260" s="45" t="str">
        <f aca="false">IF(IF($M260="",0,INDEX(伝票元!$N$6:$N$511,$M260))=1,INDEX(伝票元!$J$6:$J$511,$M260),"")</f>
        <v/>
      </c>
      <c r="G260" s="42" t="str">
        <f aca="false">IF(IF($M260="",0,INDEX(伝票元!$N$6:$N$511,$M260))=1,INDEX(伝票元!$Q$6:$Q$511,$M260),"")</f>
        <v/>
      </c>
      <c r="H260" s="45" t="str">
        <f aca="false">IF($M260="","",INDEX(伝票元!$F$6:$F$511,$M260))</f>
        <v/>
      </c>
      <c r="I260" s="45" t="str">
        <f aca="false">IF($M260="","",INDEX(伝票元!$G$6:$G$511,$M260))</f>
        <v/>
      </c>
      <c r="J260" s="42" t="str">
        <f aca="false">IF($M260="","",INDEX(伝票元!$H$6:$H$511,$M260))</f>
        <v/>
      </c>
      <c r="K260" s="46" t="str">
        <f aca="false">IF(IF($M260="",0,INDEX(伝票元!$N$6:$N$511,$M260))=1,INDEX(伝票元!$R$6:$R$511,$M260),"")</f>
        <v/>
      </c>
      <c r="L260" s="47" t="str">
        <f aca="false">IF($M260="","",INDEX(伝票元!$S$6:$S$511,$M260))</f>
        <v/>
      </c>
      <c r="M260" s="47" t="str">
        <f aca="false">IFERROR(MATCH(254,伝票元!$O$6:$O$511,0),"")</f>
        <v/>
      </c>
    </row>
    <row r="261" customFormat="false" ht="15" hidden="false" customHeight="false" outlineLevel="0" collapsed="false">
      <c r="A261" s="10" t="str">
        <f aca="false">IF($M261="","",INDEX(伝票元!$P$6:$P$511,$M261))</f>
        <v/>
      </c>
      <c r="B261" s="45" t="str">
        <f aca="false">IF($M261="","",INDEX(伝票元!$D$6:$D$511,$M261))</f>
        <v/>
      </c>
      <c r="C261" s="10" t="str">
        <f aca="false">IF($M261="","",INDEX(伝票元!$E$6:$E$511,$M261))</f>
        <v/>
      </c>
      <c r="D261" s="45" t="str">
        <f aca="false">IF($M261="","",INDEX(伝票元!$A$6:$A$511,$M261))</f>
        <v/>
      </c>
      <c r="E261" s="10" t="str">
        <f aca="false">IF(IF($M261="",0,INDEX(伝票元!$N$6:$N$511,$M261))=1,INDEX(伝票元!$I$6:$I$511,$M261),"")</f>
        <v/>
      </c>
      <c r="F261" s="45" t="str">
        <f aca="false">IF(IF($M261="",0,INDEX(伝票元!$N$6:$N$511,$M261))=1,INDEX(伝票元!$J$6:$J$511,$M261),"")</f>
        <v/>
      </c>
      <c r="G261" s="42" t="str">
        <f aca="false">IF(IF($M261="",0,INDEX(伝票元!$N$6:$N$511,$M261))=1,INDEX(伝票元!$Q$6:$Q$511,$M261),"")</f>
        <v/>
      </c>
      <c r="H261" s="45" t="str">
        <f aca="false">IF($M261="","",INDEX(伝票元!$F$6:$F$511,$M261))</f>
        <v/>
      </c>
      <c r="I261" s="45" t="str">
        <f aca="false">IF($M261="","",INDEX(伝票元!$G$6:$G$511,$M261))</f>
        <v/>
      </c>
      <c r="J261" s="42" t="str">
        <f aca="false">IF($M261="","",INDEX(伝票元!$H$6:$H$511,$M261))</f>
        <v/>
      </c>
      <c r="K261" s="46" t="str">
        <f aca="false">IF(IF($M261="",0,INDEX(伝票元!$N$6:$N$511,$M261))=1,INDEX(伝票元!$R$6:$R$511,$M261),"")</f>
        <v/>
      </c>
      <c r="L261" s="47" t="str">
        <f aca="false">IF($M261="","",INDEX(伝票元!$S$6:$S$511,$M261))</f>
        <v/>
      </c>
      <c r="M261" s="47" t="str">
        <f aca="false">IFERROR(MATCH(255,伝票元!$O$6:$O$511,0),"")</f>
        <v/>
      </c>
    </row>
    <row r="262" customFormat="false" ht="15" hidden="false" customHeight="false" outlineLevel="0" collapsed="false">
      <c r="A262" s="10" t="str">
        <f aca="false">IF($M262="","",INDEX(伝票元!$P$6:$P$511,$M262))</f>
        <v/>
      </c>
      <c r="B262" s="45" t="str">
        <f aca="false">IF($M262="","",INDEX(伝票元!$D$6:$D$511,$M262))</f>
        <v/>
      </c>
      <c r="C262" s="10" t="str">
        <f aca="false">IF($M262="","",INDEX(伝票元!$E$6:$E$511,$M262))</f>
        <v/>
      </c>
      <c r="D262" s="45" t="str">
        <f aca="false">IF($M262="","",INDEX(伝票元!$A$6:$A$511,$M262))</f>
        <v/>
      </c>
      <c r="E262" s="10" t="str">
        <f aca="false">IF(IF($M262="",0,INDEX(伝票元!$N$6:$N$511,$M262))=1,INDEX(伝票元!$I$6:$I$511,$M262),"")</f>
        <v/>
      </c>
      <c r="F262" s="45" t="str">
        <f aca="false">IF(IF($M262="",0,INDEX(伝票元!$N$6:$N$511,$M262))=1,INDEX(伝票元!$J$6:$J$511,$M262),"")</f>
        <v/>
      </c>
      <c r="G262" s="42" t="str">
        <f aca="false">IF(IF($M262="",0,INDEX(伝票元!$N$6:$N$511,$M262))=1,INDEX(伝票元!$Q$6:$Q$511,$M262),"")</f>
        <v/>
      </c>
      <c r="H262" s="45" t="str">
        <f aca="false">IF($M262="","",INDEX(伝票元!$F$6:$F$511,$M262))</f>
        <v/>
      </c>
      <c r="I262" s="45" t="str">
        <f aca="false">IF($M262="","",INDEX(伝票元!$G$6:$G$511,$M262))</f>
        <v/>
      </c>
      <c r="J262" s="42" t="str">
        <f aca="false">IF($M262="","",INDEX(伝票元!$H$6:$H$511,$M262))</f>
        <v/>
      </c>
      <c r="K262" s="46" t="str">
        <f aca="false">IF(IF($M262="",0,INDEX(伝票元!$N$6:$N$511,$M262))=1,INDEX(伝票元!$R$6:$R$511,$M262),"")</f>
        <v/>
      </c>
      <c r="L262" s="47" t="str">
        <f aca="false">IF($M262="","",INDEX(伝票元!$S$6:$S$511,$M262))</f>
        <v/>
      </c>
      <c r="M262" s="47" t="str">
        <f aca="false">IFERROR(MATCH(256,伝票元!$O$6:$O$511,0),"")</f>
        <v/>
      </c>
    </row>
    <row r="263" customFormat="false" ht="15" hidden="false" customHeight="false" outlineLevel="0" collapsed="false">
      <c r="A263" s="10" t="str">
        <f aca="false">IF($M263="","",INDEX(伝票元!$P$6:$P$511,$M263))</f>
        <v/>
      </c>
      <c r="B263" s="45" t="str">
        <f aca="false">IF($M263="","",INDEX(伝票元!$D$6:$D$511,$M263))</f>
        <v/>
      </c>
      <c r="C263" s="10" t="str">
        <f aca="false">IF($M263="","",INDEX(伝票元!$E$6:$E$511,$M263))</f>
        <v/>
      </c>
      <c r="D263" s="45" t="str">
        <f aca="false">IF($M263="","",INDEX(伝票元!$A$6:$A$511,$M263))</f>
        <v/>
      </c>
      <c r="E263" s="10" t="str">
        <f aca="false">IF(IF($M263="",0,INDEX(伝票元!$N$6:$N$511,$M263))=1,INDEX(伝票元!$I$6:$I$511,$M263),"")</f>
        <v/>
      </c>
      <c r="F263" s="45" t="str">
        <f aca="false">IF(IF($M263="",0,INDEX(伝票元!$N$6:$N$511,$M263))=1,INDEX(伝票元!$J$6:$J$511,$M263),"")</f>
        <v/>
      </c>
      <c r="G263" s="42" t="str">
        <f aca="false">IF(IF($M263="",0,INDEX(伝票元!$N$6:$N$511,$M263))=1,INDEX(伝票元!$Q$6:$Q$511,$M263),"")</f>
        <v/>
      </c>
      <c r="H263" s="45" t="str">
        <f aca="false">IF($M263="","",INDEX(伝票元!$F$6:$F$511,$M263))</f>
        <v/>
      </c>
      <c r="I263" s="45" t="str">
        <f aca="false">IF($M263="","",INDEX(伝票元!$G$6:$G$511,$M263))</f>
        <v/>
      </c>
      <c r="J263" s="42" t="str">
        <f aca="false">IF($M263="","",INDEX(伝票元!$H$6:$H$511,$M263))</f>
        <v/>
      </c>
      <c r="K263" s="46" t="str">
        <f aca="false">IF(IF($M263="",0,INDEX(伝票元!$N$6:$N$511,$M263))=1,INDEX(伝票元!$R$6:$R$511,$M263),"")</f>
        <v/>
      </c>
      <c r="L263" s="47" t="str">
        <f aca="false">IF($M263="","",INDEX(伝票元!$S$6:$S$511,$M263))</f>
        <v/>
      </c>
      <c r="M263" s="47" t="str">
        <f aca="false">IFERROR(MATCH(257,伝票元!$O$6:$O$511,0),"")</f>
        <v/>
      </c>
    </row>
    <row r="264" customFormat="false" ht="15" hidden="false" customHeight="false" outlineLevel="0" collapsed="false">
      <c r="A264" s="10" t="str">
        <f aca="false">IF($M264="","",INDEX(伝票元!$P$6:$P$511,$M264))</f>
        <v/>
      </c>
      <c r="B264" s="45" t="str">
        <f aca="false">IF($M264="","",INDEX(伝票元!$D$6:$D$511,$M264))</f>
        <v/>
      </c>
      <c r="C264" s="10" t="str">
        <f aca="false">IF($M264="","",INDEX(伝票元!$E$6:$E$511,$M264))</f>
        <v/>
      </c>
      <c r="D264" s="45" t="str">
        <f aca="false">IF($M264="","",INDEX(伝票元!$A$6:$A$511,$M264))</f>
        <v/>
      </c>
      <c r="E264" s="10" t="str">
        <f aca="false">IF(IF($M264="",0,INDEX(伝票元!$N$6:$N$511,$M264))=1,INDEX(伝票元!$I$6:$I$511,$M264),"")</f>
        <v/>
      </c>
      <c r="F264" s="45" t="str">
        <f aca="false">IF(IF($M264="",0,INDEX(伝票元!$N$6:$N$511,$M264))=1,INDEX(伝票元!$J$6:$J$511,$M264),"")</f>
        <v/>
      </c>
      <c r="G264" s="42" t="str">
        <f aca="false">IF(IF($M264="",0,INDEX(伝票元!$N$6:$N$511,$M264))=1,INDEX(伝票元!$Q$6:$Q$511,$M264),"")</f>
        <v/>
      </c>
      <c r="H264" s="45" t="str">
        <f aca="false">IF($M264="","",INDEX(伝票元!$F$6:$F$511,$M264))</f>
        <v/>
      </c>
      <c r="I264" s="45" t="str">
        <f aca="false">IF($M264="","",INDEX(伝票元!$G$6:$G$511,$M264))</f>
        <v/>
      </c>
      <c r="J264" s="42" t="str">
        <f aca="false">IF($M264="","",INDEX(伝票元!$H$6:$H$511,$M264))</f>
        <v/>
      </c>
      <c r="K264" s="46" t="str">
        <f aca="false">IF(IF($M264="",0,INDEX(伝票元!$N$6:$N$511,$M264))=1,INDEX(伝票元!$R$6:$R$511,$M264),"")</f>
        <v/>
      </c>
      <c r="L264" s="47" t="str">
        <f aca="false">IF($M264="","",INDEX(伝票元!$S$6:$S$511,$M264))</f>
        <v/>
      </c>
      <c r="M264" s="47" t="str">
        <f aca="false">IFERROR(MATCH(258,伝票元!$O$6:$O$511,0),"")</f>
        <v/>
      </c>
    </row>
    <row r="265" customFormat="false" ht="15" hidden="false" customHeight="false" outlineLevel="0" collapsed="false">
      <c r="A265" s="10" t="str">
        <f aca="false">IF($M265="","",INDEX(伝票元!$P$6:$P$511,$M265))</f>
        <v/>
      </c>
      <c r="B265" s="45" t="str">
        <f aca="false">IF($M265="","",INDEX(伝票元!$D$6:$D$511,$M265))</f>
        <v/>
      </c>
      <c r="C265" s="10" t="str">
        <f aca="false">IF($M265="","",INDEX(伝票元!$E$6:$E$511,$M265))</f>
        <v/>
      </c>
      <c r="D265" s="45" t="str">
        <f aca="false">IF($M265="","",INDEX(伝票元!$A$6:$A$511,$M265))</f>
        <v/>
      </c>
      <c r="E265" s="10" t="str">
        <f aca="false">IF(IF($M265="",0,INDEX(伝票元!$N$6:$N$511,$M265))=1,INDEX(伝票元!$I$6:$I$511,$M265),"")</f>
        <v/>
      </c>
      <c r="F265" s="45" t="str">
        <f aca="false">IF(IF($M265="",0,INDEX(伝票元!$N$6:$N$511,$M265))=1,INDEX(伝票元!$J$6:$J$511,$M265),"")</f>
        <v/>
      </c>
      <c r="G265" s="42" t="str">
        <f aca="false">IF(IF($M265="",0,INDEX(伝票元!$N$6:$N$511,$M265))=1,INDEX(伝票元!$Q$6:$Q$511,$M265),"")</f>
        <v/>
      </c>
      <c r="H265" s="45" t="str">
        <f aca="false">IF($M265="","",INDEX(伝票元!$F$6:$F$511,$M265))</f>
        <v/>
      </c>
      <c r="I265" s="45" t="str">
        <f aca="false">IF($M265="","",INDEX(伝票元!$G$6:$G$511,$M265))</f>
        <v/>
      </c>
      <c r="J265" s="42" t="str">
        <f aca="false">IF($M265="","",INDEX(伝票元!$H$6:$H$511,$M265))</f>
        <v/>
      </c>
      <c r="K265" s="46" t="str">
        <f aca="false">IF(IF($M265="",0,INDEX(伝票元!$N$6:$N$511,$M265))=1,INDEX(伝票元!$R$6:$R$511,$M265),"")</f>
        <v/>
      </c>
      <c r="L265" s="47" t="str">
        <f aca="false">IF($M265="","",INDEX(伝票元!$S$6:$S$511,$M265))</f>
        <v/>
      </c>
      <c r="M265" s="47" t="str">
        <f aca="false">IFERROR(MATCH(259,伝票元!$O$6:$O$511,0),"")</f>
        <v/>
      </c>
    </row>
    <row r="266" customFormat="false" ht="15" hidden="false" customHeight="false" outlineLevel="0" collapsed="false">
      <c r="A266" s="10" t="str">
        <f aca="false">IF($M266="","",INDEX(伝票元!$P$6:$P$511,$M266))</f>
        <v/>
      </c>
      <c r="B266" s="45" t="str">
        <f aca="false">IF($M266="","",INDEX(伝票元!$D$6:$D$511,$M266))</f>
        <v/>
      </c>
      <c r="C266" s="10" t="str">
        <f aca="false">IF($M266="","",INDEX(伝票元!$E$6:$E$511,$M266))</f>
        <v/>
      </c>
      <c r="D266" s="45" t="str">
        <f aca="false">IF($M266="","",INDEX(伝票元!$A$6:$A$511,$M266))</f>
        <v/>
      </c>
      <c r="E266" s="10" t="str">
        <f aca="false">IF(IF($M266="",0,INDEX(伝票元!$N$6:$N$511,$M266))=1,INDEX(伝票元!$I$6:$I$511,$M266),"")</f>
        <v/>
      </c>
      <c r="F266" s="45" t="str">
        <f aca="false">IF(IF($M266="",0,INDEX(伝票元!$N$6:$N$511,$M266))=1,INDEX(伝票元!$J$6:$J$511,$M266),"")</f>
        <v/>
      </c>
      <c r="G266" s="42" t="str">
        <f aca="false">IF(IF($M266="",0,INDEX(伝票元!$N$6:$N$511,$M266))=1,INDEX(伝票元!$Q$6:$Q$511,$M266),"")</f>
        <v/>
      </c>
      <c r="H266" s="45" t="str">
        <f aca="false">IF($M266="","",INDEX(伝票元!$F$6:$F$511,$M266))</f>
        <v/>
      </c>
      <c r="I266" s="45" t="str">
        <f aca="false">IF($M266="","",INDEX(伝票元!$G$6:$G$511,$M266))</f>
        <v/>
      </c>
      <c r="J266" s="42" t="str">
        <f aca="false">IF($M266="","",INDEX(伝票元!$H$6:$H$511,$M266))</f>
        <v/>
      </c>
      <c r="K266" s="46" t="str">
        <f aca="false">IF(IF($M266="",0,INDEX(伝票元!$N$6:$N$511,$M266))=1,INDEX(伝票元!$R$6:$R$511,$M266),"")</f>
        <v/>
      </c>
      <c r="L266" s="47" t="str">
        <f aca="false">IF($M266="","",INDEX(伝票元!$S$6:$S$511,$M266))</f>
        <v/>
      </c>
      <c r="M266" s="47" t="str">
        <f aca="false">IFERROR(MATCH(260,伝票元!$O$6:$O$511,0),"")</f>
        <v/>
      </c>
    </row>
    <row r="267" customFormat="false" ht="15" hidden="false" customHeight="false" outlineLevel="0" collapsed="false">
      <c r="A267" s="10" t="str">
        <f aca="false">IF($M267="","",INDEX(伝票元!$P$6:$P$511,$M267))</f>
        <v/>
      </c>
      <c r="B267" s="45" t="str">
        <f aca="false">IF($M267="","",INDEX(伝票元!$D$6:$D$511,$M267))</f>
        <v/>
      </c>
      <c r="C267" s="10" t="str">
        <f aca="false">IF($M267="","",INDEX(伝票元!$E$6:$E$511,$M267))</f>
        <v/>
      </c>
      <c r="D267" s="45" t="str">
        <f aca="false">IF($M267="","",INDEX(伝票元!$A$6:$A$511,$M267))</f>
        <v/>
      </c>
      <c r="E267" s="10" t="str">
        <f aca="false">IF(IF($M267="",0,INDEX(伝票元!$N$6:$N$511,$M267))=1,INDEX(伝票元!$I$6:$I$511,$M267),"")</f>
        <v/>
      </c>
      <c r="F267" s="45" t="str">
        <f aca="false">IF(IF($M267="",0,INDEX(伝票元!$N$6:$N$511,$M267))=1,INDEX(伝票元!$J$6:$J$511,$M267),"")</f>
        <v/>
      </c>
      <c r="G267" s="42" t="str">
        <f aca="false">IF(IF($M267="",0,INDEX(伝票元!$N$6:$N$511,$M267))=1,INDEX(伝票元!$Q$6:$Q$511,$M267),"")</f>
        <v/>
      </c>
      <c r="H267" s="45" t="str">
        <f aca="false">IF($M267="","",INDEX(伝票元!$F$6:$F$511,$M267))</f>
        <v/>
      </c>
      <c r="I267" s="45" t="str">
        <f aca="false">IF($M267="","",INDEX(伝票元!$G$6:$G$511,$M267))</f>
        <v/>
      </c>
      <c r="J267" s="42" t="str">
        <f aca="false">IF($M267="","",INDEX(伝票元!$H$6:$H$511,$M267))</f>
        <v/>
      </c>
      <c r="K267" s="46" t="str">
        <f aca="false">IF(IF($M267="",0,INDEX(伝票元!$N$6:$N$511,$M267))=1,INDEX(伝票元!$R$6:$R$511,$M267),"")</f>
        <v/>
      </c>
      <c r="L267" s="47" t="str">
        <f aca="false">IF($M267="","",INDEX(伝票元!$S$6:$S$511,$M267))</f>
        <v/>
      </c>
      <c r="M267" s="47" t="str">
        <f aca="false">IFERROR(MATCH(261,伝票元!$O$6:$O$511,0),"")</f>
        <v/>
      </c>
    </row>
    <row r="268" customFormat="false" ht="15" hidden="false" customHeight="false" outlineLevel="0" collapsed="false">
      <c r="A268" s="10" t="str">
        <f aca="false">IF($M268="","",INDEX(伝票元!$P$6:$P$511,$M268))</f>
        <v/>
      </c>
      <c r="B268" s="45" t="str">
        <f aca="false">IF($M268="","",INDEX(伝票元!$D$6:$D$511,$M268))</f>
        <v/>
      </c>
      <c r="C268" s="10" t="str">
        <f aca="false">IF($M268="","",INDEX(伝票元!$E$6:$E$511,$M268))</f>
        <v/>
      </c>
      <c r="D268" s="45" t="str">
        <f aca="false">IF($M268="","",INDEX(伝票元!$A$6:$A$511,$M268))</f>
        <v/>
      </c>
      <c r="E268" s="10" t="str">
        <f aca="false">IF(IF($M268="",0,INDEX(伝票元!$N$6:$N$511,$M268))=1,INDEX(伝票元!$I$6:$I$511,$M268),"")</f>
        <v/>
      </c>
      <c r="F268" s="45" t="str">
        <f aca="false">IF(IF($M268="",0,INDEX(伝票元!$N$6:$N$511,$M268))=1,INDEX(伝票元!$J$6:$J$511,$M268),"")</f>
        <v/>
      </c>
      <c r="G268" s="42" t="str">
        <f aca="false">IF(IF($M268="",0,INDEX(伝票元!$N$6:$N$511,$M268))=1,INDEX(伝票元!$Q$6:$Q$511,$M268),"")</f>
        <v/>
      </c>
      <c r="H268" s="45" t="str">
        <f aca="false">IF($M268="","",INDEX(伝票元!$F$6:$F$511,$M268))</f>
        <v/>
      </c>
      <c r="I268" s="45" t="str">
        <f aca="false">IF($M268="","",INDEX(伝票元!$G$6:$G$511,$M268))</f>
        <v/>
      </c>
      <c r="J268" s="42" t="str">
        <f aca="false">IF($M268="","",INDEX(伝票元!$H$6:$H$511,$M268))</f>
        <v/>
      </c>
      <c r="K268" s="46" t="str">
        <f aca="false">IF(IF($M268="",0,INDEX(伝票元!$N$6:$N$511,$M268))=1,INDEX(伝票元!$R$6:$R$511,$M268),"")</f>
        <v/>
      </c>
      <c r="L268" s="47" t="str">
        <f aca="false">IF($M268="","",INDEX(伝票元!$S$6:$S$511,$M268))</f>
        <v/>
      </c>
      <c r="M268" s="47" t="str">
        <f aca="false">IFERROR(MATCH(262,伝票元!$O$6:$O$511,0),"")</f>
        <v/>
      </c>
    </row>
    <row r="269" customFormat="false" ht="15" hidden="false" customHeight="false" outlineLevel="0" collapsed="false">
      <c r="A269" s="10" t="str">
        <f aca="false">IF($M269="","",INDEX(伝票元!$P$6:$P$511,$M269))</f>
        <v/>
      </c>
      <c r="B269" s="45" t="str">
        <f aca="false">IF($M269="","",INDEX(伝票元!$D$6:$D$511,$M269))</f>
        <v/>
      </c>
      <c r="C269" s="10" t="str">
        <f aca="false">IF($M269="","",INDEX(伝票元!$E$6:$E$511,$M269))</f>
        <v/>
      </c>
      <c r="D269" s="45" t="str">
        <f aca="false">IF($M269="","",INDEX(伝票元!$A$6:$A$511,$M269))</f>
        <v/>
      </c>
      <c r="E269" s="10" t="str">
        <f aca="false">IF(IF($M269="",0,INDEX(伝票元!$N$6:$N$511,$M269))=1,INDEX(伝票元!$I$6:$I$511,$M269),"")</f>
        <v/>
      </c>
      <c r="F269" s="45" t="str">
        <f aca="false">IF(IF($M269="",0,INDEX(伝票元!$N$6:$N$511,$M269))=1,INDEX(伝票元!$J$6:$J$511,$M269),"")</f>
        <v/>
      </c>
      <c r="G269" s="42" t="str">
        <f aca="false">IF(IF($M269="",0,INDEX(伝票元!$N$6:$N$511,$M269))=1,INDEX(伝票元!$Q$6:$Q$511,$M269),"")</f>
        <v/>
      </c>
      <c r="H269" s="45" t="str">
        <f aca="false">IF($M269="","",INDEX(伝票元!$F$6:$F$511,$M269))</f>
        <v/>
      </c>
      <c r="I269" s="45" t="str">
        <f aca="false">IF($M269="","",INDEX(伝票元!$G$6:$G$511,$M269))</f>
        <v/>
      </c>
      <c r="J269" s="42" t="str">
        <f aca="false">IF($M269="","",INDEX(伝票元!$H$6:$H$511,$M269))</f>
        <v/>
      </c>
      <c r="K269" s="46" t="str">
        <f aca="false">IF(IF($M269="",0,INDEX(伝票元!$N$6:$N$511,$M269))=1,INDEX(伝票元!$R$6:$R$511,$M269),"")</f>
        <v/>
      </c>
      <c r="L269" s="47" t="str">
        <f aca="false">IF($M269="","",INDEX(伝票元!$S$6:$S$511,$M269))</f>
        <v/>
      </c>
      <c r="M269" s="47" t="str">
        <f aca="false">IFERROR(MATCH(263,伝票元!$O$6:$O$511,0),"")</f>
        <v/>
      </c>
    </row>
    <row r="270" customFormat="false" ht="15" hidden="false" customHeight="false" outlineLevel="0" collapsed="false">
      <c r="A270" s="10" t="str">
        <f aca="false">IF($M270="","",INDEX(伝票元!$P$6:$P$511,$M270))</f>
        <v/>
      </c>
      <c r="B270" s="45" t="str">
        <f aca="false">IF($M270="","",INDEX(伝票元!$D$6:$D$511,$M270))</f>
        <v/>
      </c>
      <c r="C270" s="10" t="str">
        <f aca="false">IF($M270="","",INDEX(伝票元!$E$6:$E$511,$M270))</f>
        <v/>
      </c>
      <c r="D270" s="45" t="str">
        <f aca="false">IF($M270="","",INDEX(伝票元!$A$6:$A$511,$M270))</f>
        <v/>
      </c>
      <c r="E270" s="10" t="str">
        <f aca="false">IF(IF($M270="",0,INDEX(伝票元!$N$6:$N$511,$M270))=1,INDEX(伝票元!$I$6:$I$511,$M270),"")</f>
        <v/>
      </c>
      <c r="F270" s="45" t="str">
        <f aca="false">IF(IF($M270="",0,INDEX(伝票元!$N$6:$N$511,$M270))=1,INDEX(伝票元!$J$6:$J$511,$M270),"")</f>
        <v/>
      </c>
      <c r="G270" s="42" t="str">
        <f aca="false">IF(IF($M270="",0,INDEX(伝票元!$N$6:$N$511,$M270))=1,INDEX(伝票元!$Q$6:$Q$511,$M270),"")</f>
        <v/>
      </c>
      <c r="H270" s="45" t="str">
        <f aca="false">IF($M270="","",INDEX(伝票元!$F$6:$F$511,$M270))</f>
        <v/>
      </c>
      <c r="I270" s="45" t="str">
        <f aca="false">IF($M270="","",INDEX(伝票元!$G$6:$G$511,$M270))</f>
        <v/>
      </c>
      <c r="J270" s="42" t="str">
        <f aca="false">IF($M270="","",INDEX(伝票元!$H$6:$H$511,$M270))</f>
        <v/>
      </c>
      <c r="K270" s="46" t="str">
        <f aca="false">IF(IF($M270="",0,INDEX(伝票元!$N$6:$N$511,$M270))=1,INDEX(伝票元!$R$6:$R$511,$M270),"")</f>
        <v/>
      </c>
      <c r="L270" s="47" t="str">
        <f aca="false">IF($M270="","",INDEX(伝票元!$S$6:$S$511,$M270))</f>
        <v/>
      </c>
      <c r="M270" s="47" t="str">
        <f aca="false">IFERROR(MATCH(264,伝票元!$O$6:$O$511,0),"")</f>
        <v/>
      </c>
    </row>
    <row r="271" customFormat="false" ht="15" hidden="false" customHeight="false" outlineLevel="0" collapsed="false">
      <c r="A271" s="10" t="str">
        <f aca="false">IF($M271="","",INDEX(伝票元!$P$6:$P$511,$M271))</f>
        <v/>
      </c>
      <c r="B271" s="45" t="str">
        <f aca="false">IF($M271="","",INDEX(伝票元!$D$6:$D$511,$M271))</f>
        <v/>
      </c>
      <c r="C271" s="10" t="str">
        <f aca="false">IF($M271="","",INDEX(伝票元!$E$6:$E$511,$M271))</f>
        <v/>
      </c>
      <c r="D271" s="45" t="str">
        <f aca="false">IF($M271="","",INDEX(伝票元!$A$6:$A$511,$M271))</f>
        <v/>
      </c>
      <c r="E271" s="10" t="str">
        <f aca="false">IF(IF($M271="",0,INDEX(伝票元!$N$6:$N$511,$M271))=1,INDEX(伝票元!$I$6:$I$511,$M271),"")</f>
        <v/>
      </c>
      <c r="F271" s="45" t="str">
        <f aca="false">IF(IF($M271="",0,INDEX(伝票元!$N$6:$N$511,$M271))=1,INDEX(伝票元!$J$6:$J$511,$M271),"")</f>
        <v/>
      </c>
      <c r="G271" s="42" t="str">
        <f aca="false">IF(IF($M271="",0,INDEX(伝票元!$N$6:$N$511,$M271))=1,INDEX(伝票元!$Q$6:$Q$511,$M271),"")</f>
        <v/>
      </c>
      <c r="H271" s="45" t="str">
        <f aca="false">IF($M271="","",INDEX(伝票元!$F$6:$F$511,$M271))</f>
        <v/>
      </c>
      <c r="I271" s="45" t="str">
        <f aca="false">IF($M271="","",INDEX(伝票元!$G$6:$G$511,$M271))</f>
        <v/>
      </c>
      <c r="J271" s="42" t="str">
        <f aca="false">IF($M271="","",INDEX(伝票元!$H$6:$H$511,$M271))</f>
        <v/>
      </c>
      <c r="K271" s="46" t="str">
        <f aca="false">IF(IF($M271="",0,INDEX(伝票元!$N$6:$N$511,$M271))=1,INDEX(伝票元!$R$6:$R$511,$M271),"")</f>
        <v/>
      </c>
      <c r="L271" s="47" t="str">
        <f aca="false">IF($M271="","",INDEX(伝票元!$S$6:$S$511,$M271))</f>
        <v/>
      </c>
      <c r="M271" s="47" t="str">
        <f aca="false">IFERROR(MATCH(265,伝票元!$O$6:$O$511,0),"")</f>
        <v/>
      </c>
    </row>
    <row r="272" customFormat="false" ht="15" hidden="false" customHeight="false" outlineLevel="0" collapsed="false">
      <c r="A272" s="10" t="str">
        <f aca="false">IF($M272="","",INDEX(伝票元!$P$6:$P$511,$M272))</f>
        <v/>
      </c>
      <c r="B272" s="45" t="str">
        <f aca="false">IF($M272="","",INDEX(伝票元!$D$6:$D$511,$M272))</f>
        <v/>
      </c>
      <c r="C272" s="10" t="str">
        <f aca="false">IF($M272="","",INDEX(伝票元!$E$6:$E$511,$M272))</f>
        <v/>
      </c>
      <c r="D272" s="45" t="str">
        <f aca="false">IF($M272="","",INDEX(伝票元!$A$6:$A$511,$M272))</f>
        <v/>
      </c>
      <c r="E272" s="10" t="str">
        <f aca="false">IF(IF($M272="",0,INDEX(伝票元!$N$6:$N$511,$M272))=1,INDEX(伝票元!$I$6:$I$511,$M272),"")</f>
        <v/>
      </c>
      <c r="F272" s="45" t="str">
        <f aca="false">IF(IF($M272="",0,INDEX(伝票元!$N$6:$N$511,$M272))=1,INDEX(伝票元!$J$6:$J$511,$M272),"")</f>
        <v/>
      </c>
      <c r="G272" s="42" t="str">
        <f aca="false">IF(IF($M272="",0,INDEX(伝票元!$N$6:$N$511,$M272))=1,INDEX(伝票元!$Q$6:$Q$511,$M272),"")</f>
        <v/>
      </c>
      <c r="H272" s="45" t="str">
        <f aca="false">IF($M272="","",INDEX(伝票元!$F$6:$F$511,$M272))</f>
        <v/>
      </c>
      <c r="I272" s="45" t="str">
        <f aca="false">IF($M272="","",INDEX(伝票元!$G$6:$G$511,$M272))</f>
        <v/>
      </c>
      <c r="J272" s="42" t="str">
        <f aca="false">IF($M272="","",INDEX(伝票元!$H$6:$H$511,$M272))</f>
        <v/>
      </c>
      <c r="K272" s="46" t="str">
        <f aca="false">IF(IF($M272="",0,INDEX(伝票元!$N$6:$N$511,$M272))=1,INDEX(伝票元!$R$6:$R$511,$M272),"")</f>
        <v/>
      </c>
      <c r="L272" s="47" t="str">
        <f aca="false">IF($M272="","",INDEX(伝票元!$S$6:$S$511,$M272))</f>
        <v/>
      </c>
      <c r="M272" s="47" t="str">
        <f aca="false">IFERROR(MATCH(266,伝票元!$O$6:$O$511,0),"")</f>
        <v/>
      </c>
    </row>
    <row r="273" customFormat="false" ht="15" hidden="false" customHeight="false" outlineLevel="0" collapsed="false">
      <c r="A273" s="10" t="str">
        <f aca="false">IF($M273="","",INDEX(伝票元!$P$6:$P$511,$M273))</f>
        <v/>
      </c>
      <c r="B273" s="45" t="str">
        <f aca="false">IF($M273="","",INDEX(伝票元!$D$6:$D$511,$M273))</f>
        <v/>
      </c>
      <c r="C273" s="10" t="str">
        <f aca="false">IF($M273="","",INDEX(伝票元!$E$6:$E$511,$M273))</f>
        <v/>
      </c>
      <c r="D273" s="45" t="str">
        <f aca="false">IF($M273="","",INDEX(伝票元!$A$6:$A$511,$M273))</f>
        <v/>
      </c>
      <c r="E273" s="10" t="str">
        <f aca="false">IF(IF($M273="",0,INDEX(伝票元!$N$6:$N$511,$M273))=1,INDEX(伝票元!$I$6:$I$511,$M273),"")</f>
        <v/>
      </c>
      <c r="F273" s="45" t="str">
        <f aca="false">IF(IF($M273="",0,INDEX(伝票元!$N$6:$N$511,$M273))=1,INDEX(伝票元!$J$6:$J$511,$M273),"")</f>
        <v/>
      </c>
      <c r="G273" s="42" t="str">
        <f aca="false">IF(IF($M273="",0,INDEX(伝票元!$N$6:$N$511,$M273))=1,INDEX(伝票元!$Q$6:$Q$511,$M273),"")</f>
        <v/>
      </c>
      <c r="H273" s="45" t="str">
        <f aca="false">IF($M273="","",INDEX(伝票元!$F$6:$F$511,$M273))</f>
        <v/>
      </c>
      <c r="I273" s="45" t="str">
        <f aca="false">IF($M273="","",INDEX(伝票元!$G$6:$G$511,$M273))</f>
        <v/>
      </c>
      <c r="J273" s="42" t="str">
        <f aca="false">IF($M273="","",INDEX(伝票元!$H$6:$H$511,$M273))</f>
        <v/>
      </c>
      <c r="K273" s="46" t="str">
        <f aca="false">IF(IF($M273="",0,INDEX(伝票元!$N$6:$N$511,$M273))=1,INDEX(伝票元!$R$6:$R$511,$M273),"")</f>
        <v/>
      </c>
      <c r="L273" s="47" t="str">
        <f aca="false">IF($M273="","",INDEX(伝票元!$S$6:$S$511,$M273))</f>
        <v/>
      </c>
      <c r="M273" s="47" t="str">
        <f aca="false">IFERROR(MATCH(267,伝票元!$O$6:$O$511,0),"")</f>
        <v/>
      </c>
    </row>
    <row r="274" customFormat="false" ht="15" hidden="false" customHeight="false" outlineLevel="0" collapsed="false">
      <c r="A274" s="10" t="str">
        <f aca="false">IF($M274="","",INDEX(伝票元!$P$6:$P$511,$M274))</f>
        <v/>
      </c>
      <c r="B274" s="45" t="str">
        <f aca="false">IF($M274="","",INDEX(伝票元!$D$6:$D$511,$M274))</f>
        <v/>
      </c>
      <c r="C274" s="10" t="str">
        <f aca="false">IF($M274="","",INDEX(伝票元!$E$6:$E$511,$M274))</f>
        <v/>
      </c>
      <c r="D274" s="45" t="str">
        <f aca="false">IF($M274="","",INDEX(伝票元!$A$6:$A$511,$M274))</f>
        <v/>
      </c>
      <c r="E274" s="10" t="str">
        <f aca="false">IF(IF($M274="",0,INDEX(伝票元!$N$6:$N$511,$M274))=1,INDEX(伝票元!$I$6:$I$511,$M274),"")</f>
        <v/>
      </c>
      <c r="F274" s="45" t="str">
        <f aca="false">IF(IF($M274="",0,INDEX(伝票元!$N$6:$N$511,$M274))=1,INDEX(伝票元!$J$6:$J$511,$M274),"")</f>
        <v/>
      </c>
      <c r="G274" s="42" t="str">
        <f aca="false">IF(IF($M274="",0,INDEX(伝票元!$N$6:$N$511,$M274))=1,INDEX(伝票元!$Q$6:$Q$511,$M274),"")</f>
        <v/>
      </c>
      <c r="H274" s="45" t="str">
        <f aca="false">IF($M274="","",INDEX(伝票元!$F$6:$F$511,$M274))</f>
        <v/>
      </c>
      <c r="I274" s="45" t="str">
        <f aca="false">IF($M274="","",INDEX(伝票元!$G$6:$G$511,$M274))</f>
        <v/>
      </c>
      <c r="J274" s="42" t="str">
        <f aca="false">IF($M274="","",INDEX(伝票元!$H$6:$H$511,$M274))</f>
        <v/>
      </c>
      <c r="K274" s="46" t="str">
        <f aca="false">IF(IF($M274="",0,INDEX(伝票元!$N$6:$N$511,$M274))=1,INDEX(伝票元!$R$6:$R$511,$M274),"")</f>
        <v/>
      </c>
      <c r="L274" s="47" t="str">
        <f aca="false">IF($M274="","",INDEX(伝票元!$S$6:$S$511,$M274))</f>
        <v/>
      </c>
      <c r="M274" s="47" t="str">
        <f aca="false">IFERROR(MATCH(268,伝票元!$O$6:$O$511,0),"")</f>
        <v/>
      </c>
    </row>
    <row r="275" customFormat="false" ht="15" hidden="false" customHeight="false" outlineLevel="0" collapsed="false">
      <c r="A275" s="10" t="str">
        <f aca="false">IF($M275="","",INDEX(伝票元!$P$6:$P$511,$M275))</f>
        <v/>
      </c>
      <c r="B275" s="45" t="str">
        <f aca="false">IF($M275="","",INDEX(伝票元!$D$6:$D$511,$M275))</f>
        <v/>
      </c>
      <c r="C275" s="10" t="str">
        <f aca="false">IF($M275="","",INDEX(伝票元!$E$6:$E$511,$M275))</f>
        <v/>
      </c>
      <c r="D275" s="45" t="str">
        <f aca="false">IF($M275="","",INDEX(伝票元!$A$6:$A$511,$M275))</f>
        <v/>
      </c>
      <c r="E275" s="10" t="str">
        <f aca="false">IF(IF($M275="",0,INDEX(伝票元!$N$6:$N$511,$M275))=1,INDEX(伝票元!$I$6:$I$511,$M275),"")</f>
        <v/>
      </c>
      <c r="F275" s="45" t="str">
        <f aca="false">IF(IF($M275="",0,INDEX(伝票元!$N$6:$N$511,$M275))=1,INDEX(伝票元!$J$6:$J$511,$M275),"")</f>
        <v/>
      </c>
      <c r="G275" s="42" t="str">
        <f aca="false">IF(IF($M275="",0,INDEX(伝票元!$N$6:$N$511,$M275))=1,INDEX(伝票元!$Q$6:$Q$511,$M275),"")</f>
        <v/>
      </c>
      <c r="H275" s="45" t="str">
        <f aca="false">IF($M275="","",INDEX(伝票元!$F$6:$F$511,$M275))</f>
        <v/>
      </c>
      <c r="I275" s="45" t="str">
        <f aca="false">IF($M275="","",INDEX(伝票元!$G$6:$G$511,$M275))</f>
        <v/>
      </c>
      <c r="J275" s="42" t="str">
        <f aca="false">IF($M275="","",INDEX(伝票元!$H$6:$H$511,$M275))</f>
        <v/>
      </c>
      <c r="K275" s="46" t="str">
        <f aca="false">IF(IF($M275="",0,INDEX(伝票元!$N$6:$N$511,$M275))=1,INDEX(伝票元!$R$6:$R$511,$M275),"")</f>
        <v/>
      </c>
      <c r="L275" s="47" t="str">
        <f aca="false">IF($M275="","",INDEX(伝票元!$S$6:$S$511,$M275))</f>
        <v/>
      </c>
      <c r="M275" s="47" t="str">
        <f aca="false">IFERROR(MATCH(269,伝票元!$O$6:$O$511,0),"")</f>
        <v/>
      </c>
    </row>
    <row r="276" customFormat="false" ht="15" hidden="false" customHeight="false" outlineLevel="0" collapsed="false">
      <c r="A276" s="10" t="str">
        <f aca="false">IF($M276="","",INDEX(伝票元!$P$6:$P$511,$M276))</f>
        <v/>
      </c>
      <c r="B276" s="45" t="str">
        <f aca="false">IF($M276="","",INDEX(伝票元!$D$6:$D$511,$M276))</f>
        <v/>
      </c>
      <c r="C276" s="10" t="str">
        <f aca="false">IF($M276="","",INDEX(伝票元!$E$6:$E$511,$M276))</f>
        <v/>
      </c>
      <c r="D276" s="45" t="str">
        <f aca="false">IF($M276="","",INDEX(伝票元!$A$6:$A$511,$M276))</f>
        <v/>
      </c>
      <c r="E276" s="10" t="str">
        <f aca="false">IF(IF($M276="",0,INDEX(伝票元!$N$6:$N$511,$M276))=1,INDEX(伝票元!$I$6:$I$511,$M276),"")</f>
        <v/>
      </c>
      <c r="F276" s="45" t="str">
        <f aca="false">IF(IF($M276="",0,INDEX(伝票元!$N$6:$N$511,$M276))=1,INDEX(伝票元!$J$6:$J$511,$M276),"")</f>
        <v/>
      </c>
      <c r="G276" s="42" t="str">
        <f aca="false">IF(IF($M276="",0,INDEX(伝票元!$N$6:$N$511,$M276))=1,INDEX(伝票元!$Q$6:$Q$511,$M276),"")</f>
        <v/>
      </c>
      <c r="H276" s="45" t="str">
        <f aca="false">IF($M276="","",INDEX(伝票元!$F$6:$F$511,$M276))</f>
        <v/>
      </c>
      <c r="I276" s="45" t="str">
        <f aca="false">IF($M276="","",INDEX(伝票元!$G$6:$G$511,$M276))</f>
        <v/>
      </c>
      <c r="J276" s="42" t="str">
        <f aca="false">IF($M276="","",INDEX(伝票元!$H$6:$H$511,$M276))</f>
        <v/>
      </c>
      <c r="K276" s="46" t="str">
        <f aca="false">IF(IF($M276="",0,INDEX(伝票元!$N$6:$N$511,$M276))=1,INDEX(伝票元!$R$6:$R$511,$M276),"")</f>
        <v/>
      </c>
      <c r="L276" s="47" t="str">
        <f aca="false">IF($M276="","",INDEX(伝票元!$S$6:$S$511,$M276))</f>
        <v/>
      </c>
      <c r="M276" s="47" t="str">
        <f aca="false">IFERROR(MATCH(270,伝票元!$O$6:$O$511,0),"")</f>
        <v/>
      </c>
    </row>
    <row r="277" customFormat="false" ht="15" hidden="false" customHeight="false" outlineLevel="0" collapsed="false">
      <c r="A277" s="10" t="str">
        <f aca="false">IF($M277="","",INDEX(伝票元!$P$6:$P$511,$M277))</f>
        <v/>
      </c>
      <c r="B277" s="45" t="str">
        <f aca="false">IF($M277="","",INDEX(伝票元!$D$6:$D$511,$M277))</f>
        <v/>
      </c>
      <c r="C277" s="10" t="str">
        <f aca="false">IF($M277="","",INDEX(伝票元!$E$6:$E$511,$M277))</f>
        <v/>
      </c>
      <c r="D277" s="45" t="str">
        <f aca="false">IF($M277="","",INDEX(伝票元!$A$6:$A$511,$M277))</f>
        <v/>
      </c>
      <c r="E277" s="10" t="str">
        <f aca="false">IF(IF($M277="",0,INDEX(伝票元!$N$6:$N$511,$M277))=1,INDEX(伝票元!$I$6:$I$511,$M277),"")</f>
        <v/>
      </c>
      <c r="F277" s="45" t="str">
        <f aca="false">IF(IF($M277="",0,INDEX(伝票元!$N$6:$N$511,$M277))=1,INDEX(伝票元!$J$6:$J$511,$M277),"")</f>
        <v/>
      </c>
      <c r="G277" s="42" t="str">
        <f aca="false">IF(IF($M277="",0,INDEX(伝票元!$N$6:$N$511,$M277))=1,INDEX(伝票元!$Q$6:$Q$511,$M277),"")</f>
        <v/>
      </c>
      <c r="H277" s="45" t="str">
        <f aca="false">IF($M277="","",INDEX(伝票元!$F$6:$F$511,$M277))</f>
        <v/>
      </c>
      <c r="I277" s="45" t="str">
        <f aca="false">IF($M277="","",INDEX(伝票元!$G$6:$G$511,$M277))</f>
        <v/>
      </c>
      <c r="J277" s="42" t="str">
        <f aca="false">IF($M277="","",INDEX(伝票元!$H$6:$H$511,$M277))</f>
        <v/>
      </c>
      <c r="K277" s="46" t="str">
        <f aca="false">IF(IF($M277="",0,INDEX(伝票元!$N$6:$N$511,$M277))=1,INDEX(伝票元!$R$6:$R$511,$M277),"")</f>
        <v/>
      </c>
      <c r="L277" s="47" t="str">
        <f aca="false">IF($M277="","",INDEX(伝票元!$S$6:$S$511,$M277))</f>
        <v/>
      </c>
      <c r="M277" s="47" t="str">
        <f aca="false">IFERROR(MATCH(271,伝票元!$O$6:$O$511,0),"")</f>
        <v/>
      </c>
    </row>
    <row r="278" customFormat="false" ht="15" hidden="false" customHeight="false" outlineLevel="0" collapsed="false">
      <c r="A278" s="10" t="str">
        <f aca="false">IF($M278="","",INDEX(伝票元!$P$6:$P$511,$M278))</f>
        <v/>
      </c>
      <c r="B278" s="45" t="str">
        <f aca="false">IF($M278="","",INDEX(伝票元!$D$6:$D$511,$M278))</f>
        <v/>
      </c>
      <c r="C278" s="10" t="str">
        <f aca="false">IF($M278="","",INDEX(伝票元!$E$6:$E$511,$M278))</f>
        <v/>
      </c>
      <c r="D278" s="45" t="str">
        <f aca="false">IF($M278="","",INDEX(伝票元!$A$6:$A$511,$M278))</f>
        <v/>
      </c>
      <c r="E278" s="10" t="str">
        <f aca="false">IF(IF($M278="",0,INDEX(伝票元!$N$6:$N$511,$M278))=1,INDEX(伝票元!$I$6:$I$511,$M278),"")</f>
        <v/>
      </c>
      <c r="F278" s="45" t="str">
        <f aca="false">IF(IF($M278="",0,INDEX(伝票元!$N$6:$N$511,$M278))=1,INDEX(伝票元!$J$6:$J$511,$M278),"")</f>
        <v/>
      </c>
      <c r="G278" s="42" t="str">
        <f aca="false">IF(IF($M278="",0,INDEX(伝票元!$N$6:$N$511,$M278))=1,INDEX(伝票元!$Q$6:$Q$511,$M278),"")</f>
        <v/>
      </c>
      <c r="H278" s="45" t="str">
        <f aca="false">IF($M278="","",INDEX(伝票元!$F$6:$F$511,$M278))</f>
        <v/>
      </c>
      <c r="I278" s="45" t="str">
        <f aca="false">IF($M278="","",INDEX(伝票元!$G$6:$G$511,$M278))</f>
        <v/>
      </c>
      <c r="J278" s="42" t="str">
        <f aca="false">IF($M278="","",INDEX(伝票元!$H$6:$H$511,$M278))</f>
        <v/>
      </c>
      <c r="K278" s="46" t="str">
        <f aca="false">IF(IF($M278="",0,INDEX(伝票元!$N$6:$N$511,$M278))=1,INDEX(伝票元!$R$6:$R$511,$M278),"")</f>
        <v/>
      </c>
      <c r="L278" s="47" t="str">
        <f aca="false">IF($M278="","",INDEX(伝票元!$S$6:$S$511,$M278))</f>
        <v/>
      </c>
      <c r="M278" s="47" t="str">
        <f aca="false">IFERROR(MATCH(272,伝票元!$O$6:$O$511,0),"")</f>
        <v/>
      </c>
    </row>
    <row r="279" customFormat="false" ht="15" hidden="false" customHeight="false" outlineLevel="0" collapsed="false">
      <c r="A279" s="10" t="str">
        <f aca="false">IF($M279="","",INDEX(伝票元!$P$6:$P$511,$M279))</f>
        <v/>
      </c>
      <c r="B279" s="45" t="str">
        <f aca="false">IF($M279="","",INDEX(伝票元!$D$6:$D$511,$M279))</f>
        <v/>
      </c>
      <c r="C279" s="10" t="str">
        <f aca="false">IF($M279="","",INDEX(伝票元!$E$6:$E$511,$M279))</f>
        <v/>
      </c>
      <c r="D279" s="45" t="str">
        <f aca="false">IF($M279="","",INDEX(伝票元!$A$6:$A$511,$M279))</f>
        <v/>
      </c>
      <c r="E279" s="10" t="str">
        <f aca="false">IF(IF($M279="",0,INDEX(伝票元!$N$6:$N$511,$M279))=1,INDEX(伝票元!$I$6:$I$511,$M279),"")</f>
        <v/>
      </c>
      <c r="F279" s="45" t="str">
        <f aca="false">IF(IF($M279="",0,INDEX(伝票元!$N$6:$N$511,$M279))=1,INDEX(伝票元!$J$6:$J$511,$M279),"")</f>
        <v/>
      </c>
      <c r="G279" s="42" t="str">
        <f aca="false">IF(IF($M279="",0,INDEX(伝票元!$N$6:$N$511,$M279))=1,INDEX(伝票元!$Q$6:$Q$511,$M279),"")</f>
        <v/>
      </c>
      <c r="H279" s="45" t="str">
        <f aca="false">IF($M279="","",INDEX(伝票元!$F$6:$F$511,$M279))</f>
        <v/>
      </c>
      <c r="I279" s="45" t="str">
        <f aca="false">IF($M279="","",INDEX(伝票元!$G$6:$G$511,$M279))</f>
        <v/>
      </c>
      <c r="J279" s="42" t="str">
        <f aca="false">IF($M279="","",INDEX(伝票元!$H$6:$H$511,$M279))</f>
        <v/>
      </c>
      <c r="K279" s="46" t="str">
        <f aca="false">IF(IF($M279="",0,INDEX(伝票元!$N$6:$N$511,$M279))=1,INDEX(伝票元!$R$6:$R$511,$M279),"")</f>
        <v/>
      </c>
      <c r="L279" s="47" t="str">
        <f aca="false">IF($M279="","",INDEX(伝票元!$S$6:$S$511,$M279))</f>
        <v/>
      </c>
      <c r="M279" s="47" t="str">
        <f aca="false">IFERROR(MATCH(273,伝票元!$O$6:$O$511,0),"")</f>
        <v/>
      </c>
    </row>
    <row r="280" customFormat="false" ht="15" hidden="false" customHeight="false" outlineLevel="0" collapsed="false">
      <c r="A280" s="10" t="str">
        <f aca="false">IF($M280="","",INDEX(伝票元!$P$6:$P$511,$M280))</f>
        <v/>
      </c>
      <c r="B280" s="45" t="str">
        <f aca="false">IF($M280="","",INDEX(伝票元!$D$6:$D$511,$M280))</f>
        <v/>
      </c>
      <c r="C280" s="10" t="str">
        <f aca="false">IF($M280="","",INDEX(伝票元!$E$6:$E$511,$M280))</f>
        <v/>
      </c>
      <c r="D280" s="45" t="str">
        <f aca="false">IF($M280="","",INDEX(伝票元!$A$6:$A$511,$M280))</f>
        <v/>
      </c>
      <c r="E280" s="10" t="str">
        <f aca="false">IF(IF($M280="",0,INDEX(伝票元!$N$6:$N$511,$M280))=1,INDEX(伝票元!$I$6:$I$511,$M280),"")</f>
        <v/>
      </c>
      <c r="F280" s="45" t="str">
        <f aca="false">IF(IF($M280="",0,INDEX(伝票元!$N$6:$N$511,$M280))=1,INDEX(伝票元!$J$6:$J$511,$M280),"")</f>
        <v/>
      </c>
      <c r="G280" s="42" t="str">
        <f aca="false">IF(IF($M280="",0,INDEX(伝票元!$N$6:$N$511,$M280))=1,INDEX(伝票元!$Q$6:$Q$511,$M280),"")</f>
        <v/>
      </c>
      <c r="H280" s="45" t="str">
        <f aca="false">IF($M280="","",INDEX(伝票元!$F$6:$F$511,$M280))</f>
        <v/>
      </c>
      <c r="I280" s="45" t="str">
        <f aca="false">IF($M280="","",INDEX(伝票元!$G$6:$G$511,$M280))</f>
        <v/>
      </c>
      <c r="J280" s="42" t="str">
        <f aca="false">IF($M280="","",INDEX(伝票元!$H$6:$H$511,$M280))</f>
        <v/>
      </c>
      <c r="K280" s="46" t="str">
        <f aca="false">IF(IF($M280="",0,INDEX(伝票元!$N$6:$N$511,$M280))=1,INDEX(伝票元!$R$6:$R$511,$M280),"")</f>
        <v/>
      </c>
      <c r="L280" s="47" t="str">
        <f aca="false">IF($M280="","",INDEX(伝票元!$S$6:$S$511,$M280))</f>
        <v/>
      </c>
      <c r="M280" s="47" t="str">
        <f aca="false">IFERROR(MATCH(274,伝票元!$O$6:$O$511,0),"")</f>
        <v/>
      </c>
    </row>
    <row r="281" customFormat="false" ht="15" hidden="false" customHeight="false" outlineLevel="0" collapsed="false">
      <c r="A281" s="10" t="str">
        <f aca="false">IF($M281="","",INDEX(伝票元!$P$6:$P$511,$M281))</f>
        <v/>
      </c>
      <c r="B281" s="45" t="str">
        <f aca="false">IF($M281="","",INDEX(伝票元!$D$6:$D$511,$M281))</f>
        <v/>
      </c>
      <c r="C281" s="10" t="str">
        <f aca="false">IF($M281="","",INDEX(伝票元!$E$6:$E$511,$M281))</f>
        <v/>
      </c>
      <c r="D281" s="45" t="str">
        <f aca="false">IF($M281="","",INDEX(伝票元!$A$6:$A$511,$M281))</f>
        <v/>
      </c>
      <c r="E281" s="10" t="str">
        <f aca="false">IF(IF($M281="",0,INDEX(伝票元!$N$6:$N$511,$M281))=1,INDEX(伝票元!$I$6:$I$511,$M281),"")</f>
        <v/>
      </c>
      <c r="F281" s="45" t="str">
        <f aca="false">IF(IF($M281="",0,INDEX(伝票元!$N$6:$N$511,$M281))=1,INDEX(伝票元!$J$6:$J$511,$M281),"")</f>
        <v/>
      </c>
      <c r="G281" s="42" t="str">
        <f aca="false">IF(IF($M281="",0,INDEX(伝票元!$N$6:$N$511,$M281))=1,INDEX(伝票元!$Q$6:$Q$511,$M281),"")</f>
        <v/>
      </c>
      <c r="H281" s="45" t="str">
        <f aca="false">IF($M281="","",INDEX(伝票元!$F$6:$F$511,$M281))</f>
        <v/>
      </c>
      <c r="I281" s="45" t="str">
        <f aca="false">IF($M281="","",INDEX(伝票元!$G$6:$G$511,$M281))</f>
        <v/>
      </c>
      <c r="J281" s="42" t="str">
        <f aca="false">IF($M281="","",INDEX(伝票元!$H$6:$H$511,$M281))</f>
        <v/>
      </c>
      <c r="K281" s="46" t="str">
        <f aca="false">IF(IF($M281="",0,INDEX(伝票元!$N$6:$N$511,$M281))=1,INDEX(伝票元!$R$6:$R$511,$M281),"")</f>
        <v/>
      </c>
      <c r="L281" s="47" t="str">
        <f aca="false">IF($M281="","",INDEX(伝票元!$S$6:$S$511,$M281))</f>
        <v/>
      </c>
      <c r="M281" s="47" t="str">
        <f aca="false">IFERROR(MATCH(275,伝票元!$O$6:$O$511,0),"")</f>
        <v/>
      </c>
    </row>
    <row r="282" customFormat="false" ht="15" hidden="false" customHeight="false" outlineLevel="0" collapsed="false">
      <c r="A282" s="10" t="str">
        <f aca="false">IF($M282="","",INDEX(伝票元!$P$6:$P$511,$M282))</f>
        <v/>
      </c>
      <c r="B282" s="45" t="str">
        <f aca="false">IF($M282="","",INDEX(伝票元!$D$6:$D$511,$M282))</f>
        <v/>
      </c>
      <c r="C282" s="10" t="str">
        <f aca="false">IF($M282="","",INDEX(伝票元!$E$6:$E$511,$M282))</f>
        <v/>
      </c>
      <c r="D282" s="45" t="str">
        <f aca="false">IF($M282="","",INDEX(伝票元!$A$6:$A$511,$M282))</f>
        <v/>
      </c>
      <c r="E282" s="10" t="str">
        <f aca="false">IF(IF($M282="",0,INDEX(伝票元!$N$6:$N$511,$M282))=1,INDEX(伝票元!$I$6:$I$511,$M282),"")</f>
        <v/>
      </c>
      <c r="F282" s="45" t="str">
        <f aca="false">IF(IF($M282="",0,INDEX(伝票元!$N$6:$N$511,$M282))=1,INDEX(伝票元!$J$6:$J$511,$M282),"")</f>
        <v/>
      </c>
      <c r="G282" s="42" t="str">
        <f aca="false">IF(IF($M282="",0,INDEX(伝票元!$N$6:$N$511,$M282))=1,INDEX(伝票元!$Q$6:$Q$511,$M282),"")</f>
        <v/>
      </c>
      <c r="H282" s="45" t="str">
        <f aca="false">IF($M282="","",INDEX(伝票元!$F$6:$F$511,$M282))</f>
        <v/>
      </c>
      <c r="I282" s="45" t="str">
        <f aca="false">IF($M282="","",INDEX(伝票元!$G$6:$G$511,$M282))</f>
        <v/>
      </c>
      <c r="J282" s="42" t="str">
        <f aca="false">IF($M282="","",INDEX(伝票元!$H$6:$H$511,$M282))</f>
        <v/>
      </c>
      <c r="K282" s="46" t="str">
        <f aca="false">IF(IF($M282="",0,INDEX(伝票元!$N$6:$N$511,$M282))=1,INDEX(伝票元!$R$6:$R$511,$M282),"")</f>
        <v/>
      </c>
      <c r="L282" s="47" t="str">
        <f aca="false">IF($M282="","",INDEX(伝票元!$S$6:$S$511,$M282))</f>
        <v/>
      </c>
      <c r="M282" s="47" t="str">
        <f aca="false">IFERROR(MATCH(276,伝票元!$O$6:$O$511,0),"")</f>
        <v/>
      </c>
    </row>
    <row r="283" customFormat="false" ht="15" hidden="false" customHeight="false" outlineLevel="0" collapsed="false">
      <c r="A283" s="10" t="str">
        <f aca="false">IF($M283="","",INDEX(伝票元!$P$6:$P$511,$M283))</f>
        <v/>
      </c>
      <c r="B283" s="45" t="str">
        <f aca="false">IF($M283="","",INDEX(伝票元!$D$6:$D$511,$M283))</f>
        <v/>
      </c>
      <c r="C283" s="10" t="str">
        <f aca="false">IF($M283="","",INDEX(伝票元!$E$6:$E$511,$M283))</f>
        <v/>
      </c>
      <c r="D283" s="45" t="str">
        <f aca="false">IF($M283="","",INDEX(伝票元!$A$6:$A$511,$M283))</f>
        <v/>
      </c>
      <c r="E283" s="10" t="str">
        <f aca="false">IF(IF($M283="",0,INDEX(伝票元!$N$6:$N$511,$M283))=1,INDEX(伝票元!$I$6:$I$511,$M283),"")</f>
        <v/>
      </c>
      <c r="F283" s="45" t="str">
        <f aca="false">IF(IF($M283="",0,INDEX(伝票元!$N$6:$N$511,$M283))=1,INDEX(伝票元!$J$6:$J$511,$M283),"")</f>
        <v/>
      </c>
      <c r="G283" s="42" t="str">
        <f aca="false">IF(IF($M283="",0,INDEX(伝票元!$N$6:$N$511,$M283))=1,INDEX(伝票元!$Q$6:$Q$511,$M283),"")</f>
        <v/>
      </c>
      <c r="H283" s="45" t="str">
        <f aca="false">IF($M283="","",INDEX(伝票元!$F$6:$F$511,$M283))</f>
        <v/>
      </c>
      <c r="I283" s="45" t="str">
        <f aca="false">IF($M283="","",INDEX(伝票元!$G$6:$G$511,$M283))</f>
        <v/>
      </c>
      <c r="J283" s="42" t="str">
        <f aca="false">IF($M283="","",INDEX(伝票元!$H$6:$H$511,$M283))</f>
        <v/>
      </c>
      <c r="K283" s="46" t="str">
        <f aca="false">IF(IF($M283="",0,INDEX(伝票元!$N$6:$N$511,$M283))=1,INDEX(伝票元!$R$6:$R$511,$M283),"")</f>
        <v/>
      </c>
      <c r="L283" s="47" t="str">
        <f aca="false">IF($M283="","",INDEX(伝票元!$S$6:$S$511,$M283))</f>
        <v/>
      </c>
      <c r="M283" s="47" t="str">
        <f aca="false">IFERROR(MATCH(277,伝票元!$O$6:$O$511,0),"")</f>
        <v/>
      </c>
    </row>
    <row r="284" customFormat="false" ht="15" hidden="false" customHeight="false" outlineLevel="0" collapsed="false">
      <c r="A284" s="10" t="str">
        <f aca="false">IF($M284="","",INDEX(伝票元!$P$6:$P$511,$M284))</f>
        <v/>
      </c>
      <c r="B284" s="45" t="str">
        <f aca="false">IF($M284="","",INDEX(伝票元!$D$6:$D$511,$M284))</f>
        <v/>
      </c>
      <c r="C284" s="10" t="str">
        <f aca="false">IF($M284="","",INDEX(伝票元!$E$6:$E$511,$M284))</f>
        <v/>
      </c>
      <c r="D284" s="45" t="str">
        <f aca="false">IF($M284="","",INDEX(伝票元!$A$6:$A$511,$M284))</f>
        <v/>
      </c>
      <c r="E284" s="10" t="str">
        <f aca="false">IF(IF($M284="",0,INDEX(伝票元!$N$6:$N$511,$M284))=1,INDEX(伝票元!$I$6:$I$511,$M284),"")</f>
        <v/>
      </c>
      <c r="F284" s="45" t="str">
        <f aca="false">IF(IF($M284="",0,INDEX(伝票元!$N$6:$N$511,$M284))=1,INDEX(伝票元!$J$6:$J$511,$M284),"")</f>
        <v/>
      </c>
      <c r="G284" s="42" t="str">
        <f aca="false">IF(IF($M284="",0,INDEX(伝票元!$N$6:$N$511,$M284))=1,INDEX(伝票元!$Q$6:$Q$511,$M284),"")</f>
        <v/>
      </c>
      <c r="H284" s="45" t="str">
        <f aca="false">IF($M284="","",INDEX(伝票元!$F$6:$F$511,$M284))</f>
        <v/>
      </c>
      <c r="I284" s="45" t="str">
        <f aca="false">IF($M284="","",INDEX(伝票元!$G$6:$G$511,$M284))</f>
        <v/>
      </c>
      <c r="J284" s="42" t="str">
        <f aca="false">IF($M284="","",INDEX(伝票元!$H$6:$H$511,$M284))</f>
        <v/>
      </c>
      <c r="K284" s="46" t="str">
        <f aca="false">IF(IF($M284="",0,INDEX(伝票元!$N$6:$N$511,$M284))=1,INDEX(伝票元!$R$6:$R$511,$M284),"")</f>
        <v/>
      </c>
      <c r="L284" s="47" t="str">
        <f aca="false">IF($M284="","",INDEX(伝票元!$S$6:$S$511,$M284))</f>
        <v/>
      </c>
      <c r="M284" s="47" t="str">
        <f aca="false">IFERROR(MATCH(278,伝票元!$O$6:$O$511,0),"")</f>
        <v/>
      </c>
    </row>
    <row r="285" customFormat="false" ht="15" hidden="false" customHeight="false" outlineLevel="0" collapsed="false">
      <c r="A285" s="10" t="str">
        <f aca="false">IF($M285="","",INDEX(伝票元!$P$6:$P$511,$M285))</f>
        <v/>
      </c>
      <c r="B285" s="45" t="str">
        <f aca="false">IF($M285="","",INDEX(伝票元!$D$6:$D$511,$M285))</f>
        <v/>
      </c>
      <c r="C285" s="10" t="str">
        <f aca="false">IF($M285="","",INDEX(伝票元!$E$6:$E$511,$M285))</f>
        <v/>
      </c>
      <c r="D285" s="45" t="str">
        <f aca="false">IF($M285="","",INDEX(伝票元!$A$6:$A$511,$M285))</f>
        <v/>
      </c>
      <c r="E285" s="10" t="str">
        <f aca="false">IF(IF($M285="",0,INDEX(伝票元!$N$6:$N$511,$M285))=1,INDEX(伝票元!$I$6:$I$511,$M285),"")</f>
        <v/>
      </c>
      <c r="F285" s="45" t="str">
        <f aca="false">IF(IF($M285="",0,INDEX(伝票元!$N$6:$N$511,$M285))=1,INDEX(伝票元!$J$6:$J$511,$M285),"")</f>
        <v/>
      </c>
      <c r="G285" s="42" t="str">
        <f aca="false">IF(IF($M285="",0,INDEX(伝票元!$N$6:$N$511,$M285))=1,INDEX(伝票元!$Q$6:$Q$511,$M285),"")</f>
        <v/>
      </c>
      <c r="H285" s="45" t="str">
        <f aca="false">IF($M285="","",INDEX(伝票元!$F$6:$F$511,$M285))</f>
        <v/>
      </c>
      <c r="I285" s="45" t="str">
        <f aca="false">IF($M285="","",INDEX(伝票元!$G$6:$G$511,$M285))</f>
        <v/>
      </c>
      <c r="J285" s="42" t="str">
        <f aca="false">IF($M285="","",INDEX(伝票元!$H$6:$H$511,$M285))</f>
        <v/>
      </c>
      <c r="K285" s="46" t="str">
        <f aca="false">IF(IF($M285="",0,INDEX(伝票元!$N$6:$N$511,$M285))=1,INDEX(伝票元!$R$6:$R$511,$M285),"")</f>
        <v/>
      </c>
      <c r="L285" s="47" t="str">
        <f aca="false">IF($M285="","",INDEX(伝票元!$S$6:$S$511,$M285))</f>
        <v/>
      </c>
      <c r="M285" s="47" t="str">
        <f aca="false">IFERROR(MATCH(279,伝票元!$O$6:$O$511,0),"")</f>
        <v/>
      </c>
    </row>
    <row r="286" customFormat="false" ht="15" hidden="false" customHeight="false" outlineLevel="0" collapsed="false">
      <c r="A286" s="10" t="str">
        <f aca="false">IF($M286="","",INDEX(伝票元!$P$6:$P$511,$M286))</f>
        <v/>
      </c>
      <c r="B286" s="45" t="str">
        <f aca="false">IF($M286="","",INDEX(伝票元!$D$6:$D$511,$M286))</f>
        <v/>
      </c>
      <c r="C286" s="10" t="str">
        <f aca="false">IF($M286="","",INDEX(伝票元!$E$6:$E$511,$M286))</f>
        <v/>
      </c>
      <c r="D286" s="45" t="str">
        <f aca="false">IF($M286="","",INDEX(伝票元!$A$6:$A$511,$M286))</f>
        <v/>
      </c>
      <c r="E286" s="10" t="str">
        <f aca="false">IF(IF($M286="",0,INDEX(伝票元!$N$6:$N$511,$M286))=1,INDEX(伝票元!$I$6:$I$511,$M286),"")</f>
        <v/>
      </c>
      <c r="F286" s="45" t="str">
        <f aca="false">IF(IF($M286="",0,INDEX(伝票元!$N$6:$N$511,$M286))=1,INDEX(伝票元!$J$6:$J$511,$M286),"")</f>
        <v/>
      </c>
      <c r="G286" s="42" t="str">
        <f aca="false">IF(IF($M286="",0,INDEX(伝票元!$N$6:$N$511,$M286))=1,INDEX(伝票元!$Q$6:$Q$511,$M286),"")</f>
        <v/>
      </c>
      <c r="H286" s="45" t="str">
        <f aca="false">IF($M286="","",INDEX(伝票元!$F$6:$F$511,$M286))</f>
        <v/>
      </c>
      <c r="I286" s="45" t="str">
        <f aca="false">IF($M286="","",INDEX(伝票元!$G$6:$G$511,$M286))</f>
        <v/>
      </c>
      <c r="J286" s="42" t="str">
        <f aca="false">IF($M286="","",INDEX(伝票元!$H$6:$H$511,$M286))</f>
        <v/>
      </c>
      <c r="K286" s="46" t="str">
        <f aca="false">IF(IF($M286="",0,INDEX(伝票元!$N$6:$N$511,$M286))=1,INDEX(伝票元!$R$6:$R$511,$M286),"")</f>
        <v/>
      </c>
      <c r="L286" s="47" t="str">
        <f aca="false">IF($M286="","",INDEX(伝票元!$S$6:$S$511,$M286))</f>
        <v/>
      </c>
      <c r="M286" s="47" t="str">
        <f aca="false">IFERROR(MATCH(280,伝票元!$O$6:$O$511,0),"")</f>
        <v/>
      </c>
    </row>
    <row r="287" customFormat="false" ht="15" hidden="false" customHeight="false" outlineLevel="0" collapsed="false">
      <c r="A287" s="10" t="str">
        <f aca="false">IF($M287="","",INDEX(伝票元!$P$6:$P$511,$M287))</f>
        <v/>
      </c>
      <c r="B287" s="45" t="str">
        <f aca="false">IF($M287="","",INDEX(伝票元!$D$6:$D$511,$M287))</f>
        <v/>
      </c>
      <c r="C287" s="10" t="str">
        <f aca="false">IF($M287="","",INDEX(伝票元!$E$6:$E$511,$M287))</f>
        <v/>
      </c>
      <c r="D287" s="45" t="str">
        <f aca="false">IF($M287="","",INDEX(伝票元!$A$6:$A$511,$M287))</f>
        <v/>
      </c>
      <c r="E287" s="10" t="str">
        <f aca="false">IF(IF($M287="",0,INDEX(伝票元!$N$6:$N$511,$M287))=1,INDEX(伝票元!$I$6:$I$511,$M287),"")</f>
        <v/>
      </c>
      <c r="F287" s="45" t="str">
        <f aca="false">IF(IF($M287="",0,INDEX(伝票元!$N$6:$N$511,$M287))=1,INDEX(伝票元!$J$6:$J$511,$M287),"")</f>
        <v/>
      </c>
      <c r="G287" s="42" t="str">
        <f aca="false">IF(IF($M287="",0,INDEX(伝票元!$N$6:$N$511,$M287))=1,INDEX(伝票元!$Q$6:$Q$511,$M287),"")</f>
        <v/>
      </c>
      <c r="H287" s="45" t="str">
        <f aca="false">IF($M287="","",INDEX(伝票元!$F$6:$F$511,$M287))</f>
        <v/>
      </c>
      <c r="I287" s="45" t="str">
        <f aca="false">IF($M287="","",INDEX(伝票元!$G$6:$G$511,$M287))</f>
        <v/>
      </c>
      <c r="J287" s="42" t="str">
        <f aca="false">IF($M287="","",INDEX(伝票元!$H$6:$H$511,$M287))</f>
        <v/>
      </c>
      <c r="K287" s="46" t="str">
        <f aca="false">IF(IF($M287="",0,INDEX(伝票元!$N$6:$N$511,$M287))=1,INDEX(伝票元!$R$6:$R$511,$M287),"")</f>
        <v/>
      </c>
      <c r="L287" s="47" t="str">
        <f aca="false">IF($M287="","",INDEX(伝票元!$S$6:$S$511,$M287))</f>
        <v/>
      </c>
      <c r="M287" s="47" t="str">
        <f aca="false">IFERROR(MATCH(281,伝票元!$O$6:$O$511,0),"")</f>
        <v/>
      </c>
    </row>
    <row r="288" customFormat="false" ht="15" hidden="false" customHeight="false" outlineLevel="0" collapsed="false">
      <c r="A288" s="10" t="str">
        <f aca="false">IF($M288="","",INDEX(伝票元!$P$6:$P$511,$M288))</f>
        <v/>
      </c>
      <c r="B288" s="45" t="str">
        <f aca="false">IF($M288="","",INDEX(伝票元!$D$6:$D$511,$M288))</f>
        <v/>
      </c>
      <c r="C288" s="10" t="str">
        <f aca="false">IF($M288="","",INDEX(伝票元!$E$6:$E$511,$M288))</f>
        <v/>
      </c>
      <c r="D288" s="45" t="str">
        <f aca="false">IF($M288="","",INDEX(伝票元!$A$6:$A$511,$M288))</f>
        <v/>
      </c>
      <c r="E288" s="10" t="str">
        <f aca="false">IF(IF($M288="",0,INDEX(伝票元!$N$6:$N$511,$M288))=1,INDEX(伝票元!$I$6:$I$511,$M288),"")</f>
        <v/>
      </c>
      <c r="F288" s="45" t="str">
        <f aca="false">IF(IF($M288="",0,INDEX(伝票元!$N$6:$N$511,$M288))=1,INDEX(伝票元!$J$6:$J$511,$M288),"")</f>
        <v/>
      </c>
      <c r="G288" s="42" t="str">
        <f aca="false">IF(IF($M288="",0,INDEX(伝票元!$N$6:$N$511,$M288))=1,INDEX(伝票元!$Q$6:$Q$511,$M288),"")</f>
        <v/>
      </c>
      <c r="H288" s="45" t="str">
        <f aca="false">IF($M288="","",INDEX(伝票元!$F$6:$F$511,$M288))</f>
        <v/>
      </c>
      <c r="I288" s="45" t="str">
        <f aca="false">IF($M288="","",INDEX(伝票元!$G$6:$G$511,$M288))</f>
        <v/>
      </c>
      <c r="J288" s="42" t="str">
        <f aca="false">IF($M288="","",INDEX(伝票元!$H$6:$H$511,$M288))</f>
        <v/>
      </c>
      <c r="K288" s="46" t="str">
        <f aca="false">IF(IF($M288="",0,INDEX(伝票元!$N$6:$N$511,$M288))=1,INDEX(伝票元!$R$6:$R$511,$M288),"")</f>
        <v/>
      </c>
      <c r="L288" s="47" t="str">
        <f aca="false">IF($M288="","",INDEX(伝票元!$S$6:$S$511,$M288))</f>
        <v/>
      </c>
      <c r="M288" s="47" t="str">
        <f aca="false">IFERROR(MATCH(282,伝票元!$O$6:$O$511,0),"")</f>
        <v/>
      </c>
    </row>
    <row r="289" customFormat="false" ht="15" hidden="false" customHeight="false" outlineLevel="0" collapsed="false">
      <c r="A289" s="10" t="str">
        <f aca="false">IF($M289="","",INDEX(伝票元!$P$6:$P$511,$M289))</f>
        <v/>
      </c>
      <c r="B289" s="45" t="str">
        <f aca="false">IF($M289="","",INDEX(伝票元!$D$6:$D$511,$M289))</f>
        <v/>
      </c>
      <c r="C289" s="10" t="str">
        <f aca="false">IF($M289="","",INDEX(伝票元!$E$6:$E$511,$M289))</f>
        <v/>
      </c>
      <c r="D289" s="45" t="str">
        <f aca="false">IF($M289="","",INDEX(伝票元!$A$6:$A$511,$M289))</f>
        <v/>
      </c>
      <c r="E289" s="10" t="str">
        <f aca="false">IF(IF($M289="",0,INDEX(伝票元!$N$6:$N$511,$M289))=1,INDEX(伝票元!$I$6:$I$511,$M289),"")</f>
        <v/>
      </c>
      <c r="F289" s="45" t="str">
        <f aca="false">IF(IF($M289="",0,INDEX(伝票元!$N$6:$N$511,$M289))=1,INDEX(伝票元!$J$6:$J$511,$M289),"")</f>
        <v/>
      </c>
      <c r="G289" s="42" t="str">
        <f aca="false">IF(IF($M289="",0,INDEX(伝票元!$N$6:$N$511,$M289))=1,INDEX(伝票元!$Q$6:$Q$511,$M289),"")</f>
        <v/>
      </c>
      <c r="H289" s="45" t="str">
        <f aca="false">IF($M289="","",INDEX(伝票元!$F$6:$F$511,$M289))</f>
        <v/>
      </c>
      <c r="I289" s="45" t="str">
        <f aca="false">IF($M289="","",INDEX(伝票元!$G$6:$G$511,$M289))</f>
        <v/>
      </c>
      <c r="J289" s="42" t="str">
        <f aca="false">IF($M289="","",INDEX(伝票元!$H$6:$H$511,$M289))</f>
        <v/>
      </c>
      <c r="K289" s="46" t="str">
        <f aca="false">IF(IF($M289="",0,INDEX(伝票元!$N$6:$N$511,$M289))=1,INDEX(伝票元!$R$6:$R$511,$M289),"")</f>
        <v/>
      </c>
      <c r="L289" s="47" t="str">
        <f aca="false">IF($M289="","",INDEX(伝票元!$S$6:$S$511,$M289))</f>
        <v/>
      </c>
      <c r="M289" s="47" t="str">
        <f aca="false">IFERROR(MATCH(283,伝票元!$O$6:$O$511,0),"")</f>
        <v/>
      </c>
    </row>
    <row r="290" customFormat="false" ht="15" hidden="false" customHeight="false" outlineLevel="0" collapsed="false">
      <c r="A290" s="10" t="str">
        <f aca="false">IF($M290="","",INDEX(伝票元!$P$6:$P$511,$M290))</f>
        <v/>
      </c>
      <c r="B290" s="45" t="str">
        <f aca="false">IF($M290="","",INDEX(伝票元!$D$6:$D$511,$M290))</f>
        <v/>
      </c>
      <c r="C290" s="10" t="str">
        <f aca="false">IF($M290="","",INDEX(伝票元!$E$6:$E$511,$M290))</f>
        <v/>
      </c>
      <c r="D290" s="45" t="str">
        <f aca="false">IF($M290="","",INDEX(伝票元!$A$6:$A$511,$M290))</f>
        <v/>
      </c>
      <c r="E290" s="10" t="str">
        <f aca="false">IF(IF($M290="",0,INDEX(伝票元!$N$6:$N$511,$M290))=1,INDEX(伝票元!$I$6:$I$511,$M290),"")</f>
        <v/>
      </c>
      <c r="F290" s="45" t="str">
        <f aca="false">IF(IF($M290="",0,INDEX(伝票元!$N$6:$N$511,$M290))=1,INDEX(伝票元!$J$6:$J$511,$M290),"")</f>
        <v/>
      </c>
      <c r="G290" s="42" t="str">
        <f aca="false">IF(IF($M290="",0,INDEX(伝票元!$N$6:$N$511,$M290))=1,INDEX(伝票元!$Q$6:$Q$511,$M290),"")</f>
        <v/>
      </c>
      <c r="H290" s="45" t="str">
        <f aca="false">IF($M290="","",INDEX(伝票元!$F$6:$F$511,$M290))</f>
        <v/>
      </c>
      <c r="I290" s="45" t="str">
        <f aca="false">IF($M290="","",INDEX(伝票元!$G$6:$G$511,$M290))</f>
        <v/>
      </c>
      <c r="J290" s="42" t="str">
        <f aca="false">IF($M290="","",INDEX(伝票元!$H$6:$H$511,$M290))</f>
        <v/>
      </c>
      <c r="K290" s="46" t="str">
        <f aca="false">IF(IF($M290="",0,INDEX(伝票元!$N$6:$N$511,$M290))=1,INDEX(伝票元!$R$6:$R$511,$M290),"")</f>
        <v/>
      </c>
      <c r="L290" s="47" t="str">
        <f aca="false">IF($M290="","",INDEX(伝票元!$S$6:$S$511,$M290))</f>
        <v/>
      </c>
      <c r="M290" s="47" t="str">
        <f aca="false">IFERROR(MATCH(284,伝票元!$O$6:$O$511,0),"")</f>
        <v/>
      </c>
    </row>
    <row r="291" customFormat="false" ht="15" hidden="false" customHeight="false" outlineLevel="0" collapsed="false">
      <c r="A291" s="10" t="str">
        <f aca="false">IF($M291="","",INDEX(伝票元!$P$6:$P$511,$M291))</f>
        <v/>
      </c>
      <c r="B291" s="45" t="str">
        <f aca="false">IF($M291="","",INDEX(伝票元!$D$6:$D$511,$M291))</f>
        <v/>
      </c>
      <c r="C291" s="10" t="str">
        <f aca="false">IF($M291="","",INDEX(伝票元!$E$6:$E$511,$M291))</f>
        <v/>
      </c>
      <c r="D291" s="45" t="str">
        <f aca="false">IF($M291="","",INDEX(伝票元!$A$6:$A$511,$M291))</f>
        <v/>
      </c>
      <c r="E291" s="10" t="str">
        <f aca="false">IF(IF($M291="",0,INDEX(伝票元!$N$6:$N$511,$M291))=1,INDEX(伝票元!$I$6:$I$511,$M291),"")</f>
        <v/>
      </c>
      <c r="F291" s="45" t="str">
        <f aca="false">IF(IF($M291="",0,INDEX(伝票元!$N$6:$N$511,$M291))=1,INDEX(伝票元!$J$6:$J$511,$M291),"")</f>
        <v/>
      </c>
      <c r="G291" s="42" t="str">
        <f aca="false">IF(IF($M291="",0,INDEX(伝票元!$N$6:$N$511,$M291))=1,INDEX(伝票元!$Q$6:$Q$511,$M291),"")</f>
        <v/>
      </c>
      <c r="H291" s="45" t="str">
        <f aca="false">IF($M291="","",INDEX(伝票元!$F$6:$F$511,$M291))</f>
        <v/>
      </c>
      <c r="I291" s="45" t="str">
        <f aca="false">IF($M291="","",INDEX(伝票元!$G$6:$G$511,$M291))</f>
        <v/>
      </c>
      <c r="J291" s="42" t="str">
        <f aca="false">IF($M291="","",INDEX(伝票元!$H$6:$H$511,$M291))</f>
        <v/>
      </c>
      <c r="K291" s="46" t="str">
        <f aca="false">IF(IF($M291="",0,INDEX(伝票元!$N$6:$N$511,$M291))=1,INDEX(伝票元!$R$6:$R$511,$M291),"")</f>
        <v/>
      </c>
      <c r="L291" s="47" t="str">
        <f aca="false">IF($M291="","",INDEX(伝票元!$S$6:$S$511,$M291))</f>
        <v/>
      </c>
      <c r="M291" s="47" t="str">
        <f aca="false">IFERROR(MATCH(285,伝票元!$O$6:$O$511,0),"")</f>
        <v/>
      </c>
    </row>
    <row r="292" customFormat="false" ht="15" hidden="false" customHeight="false" outlineLevel="0" collapsed="false">
      <c r="A292" s="10" t="str">
        <f aca="false">IF($M292="","",INDEX(伝票元!$P$6:$P$511,$M292))</f>
        <v/>
      </c>
      <c r="B292" s="45" t="str">
        <f aca="false">IF($M292="","",INDEX(伝票元!$D$6:$D$511,$M292))</f>
        <v/>
      </c>
      <c r="C292" s="10" t="str">
        <f aca="false">IF($M292="","",INDEX(伝票元!$E$6:$E$511,$M292))</f>
        <v/>
      </c>
      <c r="D292" s="45" t="str">
        <f aca="false">IF($M292="","",INDEX(伝票元!$A$6:$A$511,$M292))</f>
        <v/>
      </c>
      <c r="E292" s="10" t="str">
        <f aca="false">IF(IF($M292="",0,INDEX(伝票元!$N$6:$N$511,$M292))=1,INDEX(伝票元!$I$6:$I$511,$M292),"")</f>
        <v/>
      </c>
      <c r="F292" s="45" t="str">
        <f aca="false">IF(IF($M292="",0,INDEX(伝票元!$N$6:$N$511,$M292))=1,INDEX(伝票元!$J$6:$J$511,$M292),"")</f>
        <v/>
      </c>
      <c r="G292" s="42" t="str">
        <f aca="false">IF(IF($M292="",0,INDEX(伝票元!$N$6:$N$511,$M292))=1,INDEX(伝票元!$Q$6:$Q$511,$M292),"")</f>
        <v/>
      </c>
      <c r="H292" s="45" t="str">
        <f aca="false">IF($M292="","",INDEX(伝票元!$F$6:$F$511,$M292))</f>
        <v/>
      </c>
      <c r="I292" s="45" t="str">
        <f aca="false">IF($M292="","",INDEX(伝票元!$G$6:$G$511,$M292))</f>
        <v/>
      </c>
      <c r="J292" s="42" t="str">
        <f aca="false">IF($M292="","",INDEX(伝票元!$H$6:$H$511,$M292))</f>
        <v/>
      </c>
      <c r="K292" s="46" t="str">
        <f aca="false">IF(IF($M292="",0,INDEX(伝票元!$N$6:$N$511,$M292))=1,INDEX(伝票元!$R$6:$R$511,$M292),"")</f>
        <v/>
      </c>
      <c r="L292" s="47" t="str">
        <f aca="false">IF($M292="","",INDEX(伝票元!$S$6:$S$511,$M292))</f>
        <v/>
      </c>
      <c r="M292" s="47" t="str">
        <f aca="false">IFERROR(MATCH(286,伝票元!$O$6:$O$511,0),"")</f>
        <v/>
      </c>
    </row>
    <row r="293" customFormat="false" ht="15" hidden="false" customHeight="false" outlineLevel="0" collapsed="false">
      <c r="A293" s="10" t="str">
        <f aca="false">IF($M293="","",INDEX(伝票元!$P$6:$P$511,$M293))</f>
        <v/>
      </c>
      <c r="B293" s="45" t="str">
        <f aca="false">IF($M293="","",INDEX(伝票元!$D$6:$D$511,$M293))</f>
        <v/>
      </c>
      <c r="C293" s="10" t="str">
        <f aca="false">IF($M293="","",INDEX(伝票元!$E$6:$E$511,$M293))</f>
        <v/>
      </c>
      <c r="D293" s="45" t="str">
        <f aca="false">IF($M293="","",INDEX(伝票元!$A$6:$A$511,$M293))</f>
        <v/>
      </c>
      <c r="E293" s="10" t="str">
        <f aca="false">IF(IF($M293="",0,INDEX(伝票元!$N$6:$N$511,$M293))=1,INDEX(伝票元!$I$6:$I$511,$M293),"")</f>
        <v/>
      </c>
      <c r="F293" s="45" t="str">
        <f aca="false">IF(IF($M293="",0,INDEX(伝票元!$N$6:$N$511,$M293))=1,INDEX(伝票元!$J$6:$J$511,$M293),"")</f>
        <v/>
      </c>
      <c r="G293" s="42" t="str">
        <f aca="false">IF(IF($M293="",0,INDEX(伝票元!$N$6:$N$511,$M293))=1,INDEX(伝票元!$Q$6:$Q$511,$M293),"")</f>
        <v/>
      </c>
      <c r="H293" s="45" t="str">
        <f aca="false">IF($M293="","",INDEX(伝票元!$F$6:$F$511,$M293))</f>
        <v/>
      </c>
      <c r="I293" s="45" t="str">
        <f aca="false">IF($M293="","",INDEX(伝票元!$G$6:$G$511,$M293))</f>
        <v/>
      </c>
      <c r="J293" s="42" t="str">
        <f aca="false">IF($M293="","",INDEX(伝票元!$H$6:$H$511,$M293))</f>
        <v/>
      </c>
      <c r="K293" s="46" t="str">
        <f aca="false">IF(IF($M293="",0,INDEX(伝票元!$N$6:$N$511,$M293))=1,INDEX(伝票元!$R$6:$R$511,$M293),"")</f>
        <v/>
      </c>
      <c r="L293" s="47" t="str">
        <f aca="false">IF($M293="","",INDEX(伝票元!$S$6:$S$511,$M293))</f>
        <v/>
      </c>
      <c r="M293" s="47" t="str">
        <f aca="false">IFERROR(MATCH(287,伝票元!$O$6:$O$511,0),"")</f>
        <v/>
      </c>
    </row>
    <row r="294" customFormat="false" ht="15" hidden="false" customHeight="false" outlineLevel="0" collapsed="false">
      <c r="A294" s="10" t="str">
        <f aca="false">IF($M294="","",INDEX(伝票元!$P$6:$P$511,$M294))</f>
        <v/>
      </c>
      <c r="B294" s="45" t="str">
        <f aca="false">IF($M294="","",INDEX(伝票元!$D$6:$D$511,$M294))</f>
        <v/>
      </c>
      <c r="C294" s="10" t="str">
        <f aca="false">IF($M294="","",INDEX(伝票元!$E$6:$E$511,$M294))</f>
        <v/>
      </c>
      <c r="D294" s="45" t="str">
        <f aca="false">IF($M294="","",INDEX(伝票元!$A$6:$A$511,$M294))</f>
        <v/>
      </c>
      <c r="E294" s="10" t="str">
        <f aca="false">IF(IF($M294="",0,INDEX(伝票元!$N$6:$N$511,$M294))=1,INDEX(伝票元!$I$6:$I$511,$M294),"")</f>
        <v/>
      </c>
      <c r="F294" s="45" t="str">
        <f aca="false">IF(IF($M294="",0,INDEX(伝票元!$N$6:$N$511,$M294))=1,INDEX(伝票元!$J$6:$J$511,$M294),"")</f>
        <v/>
      </c>
      <c r="G294" s="42" t="str">
        <f aca="false">IF(IF($M294="",0,INDEX(伝票元!$N$6:$N$511,$M294))=1,INDEX(伝票元!$Q$6:$Q$511,$M294),"")</f>
        <v/>
      </c>
      <c r="H294" s="45" t="str">
        <f aca="false">IF($M294="","",INDEX(伝票元!$F$6:$F$511,$M294))</f>
        <v/>
      </c>
      <c r="I294" s="45" t="str">
        <f aca="false">IF($M294="","",INDEX(伝票元!$G$6:$G$511,$M294))</f>
        <v/>
      </c>
      <c r="J294" s="42" t="str">
        <f aca="false">IF($M294="","",INDEX(伝票元!$H$6:$H$511,$M294))</f>
        <v/>
      </c>
      <c r="K294" s="46" t="str">
        <f aca="false">IF(IF($M294="",0,INDEX(伝票元!$N$6:$N$511,$M294))=1,INDEX(伝票元!$R$6:$R$511,$M294),"")</f>
        <v/>
      </c>
      <c r="L294" s="47" t="str">
        <f aca="false">IF($M294="","",INDEX(伝票元!$S$6:$S$511,$M294))</f>
        <v/>
      </c>
      <c r="M294" s="47" t="str">
        <f aca="false">IFERROR(MATCH(288,伝票元!$O$6:$O$511,0),"")</f>
        <v/>
      </c>
    </row>
    <row r="295" customFormat="false" ht="15" hidden="false" customHeight="false" outlineLevel="0" collapsed="false">
      <c r="A295" s="10" t="str">
        <f aca="false">IF($M295="","",INDEX(伝票元!$P$6:$P$511,$M295))</f>
        <v/>
      </c>
      <c r="B295" s="45" t="str">
        <f aca="false">IF($M295="","",INDEX(伝票元!$D$6:$D$511,$M295))</f>
        <v/>
      </c>
      <c r="C295" s="10" t="str">
        <f aca="false">IF($M295="","",INDEX(伝票元!$E$6:$E$511,$M295))</f>
        <v/>
      </c>
      <c r="D295" s="45" t="str">
        <f aca="false">IF($M295="","",INDEX(伝票元!$A$6:$A$511,$M295))</f>
        <v/>
      </c>
      <c r="E295" s="10" t="str">
        <f aca="false">IF(IF($M295="",0,INDEX(伝票元!$N$6:$N$511,$M295))=1,INDEX(伝票元!$I$6:$I$511,$M295),"")</f>
        <v/>
      </c>
      <c r="F295" s="45" t="str">
        <f aca="false">IF(IF($M295="",0,INDEX(伝票元!$N$6:$N$511,$M295))=1,INDEX(伝票元!$J$6:$J$511,$M295),"")</f>
        <v/>
      </c>
      <c r="G295" s="42" t="str">
        <f aca="false">IF(IF($M295="",0,INDEX(伝票元!$N$6:$N$511,$M295))=1,INDEX(伝票元!$Q$6:$Q$511,$M295),"")</f>
        <v/>
      </c>
      <c r="H295" s="45" t="str">
        <f aca="false">IF($M295="","",INDEX(伝票元!$F$6:$F$511,$M295))</f>
        <v/>
      </c>
      <c r="I295" s="45" t="str">
        <f aca="false">IF($M295="","",INDEX(伝票元!$G$6:$G$511,$M295))</f>
        <v/>
      </c>
      <c r="J295" s="42" t="str">
        <f aca="false">IF($M295="","",INDEX(伝票元!$H$6:$H$511,$M295))</f>
        <v/>
      </c>
      <c r="K295" s="46" t="str">
        <f aca="false">IF(IF($M295="",0,INDEX(伝票元!$N$6:$N$511,$M295))=1,INDEX(伝票元!$R$6:$R$511,$M295),"")</f>
        <v/>
      </c>
      <c r="L295" s="47" t="str">
        <f aca="false">IF($M295="","",INDEX(伝票元!$S$6:$S$511,$M295))</f>
        <v/>
      </c>
      <c r="M295" s="47" t="str">
        <f aca="false">IFERROR(MATCH(289,伝票元!$O$6:$O$511,0),"")</f>
        <v/>
      </c>
    </row>
    <row r="296" customFormat="false" ht="15" hidden="false" customHeight="false" outlineLevel="0" collapsed="false">
      <c r="A296" s="10" t="str">
        <f aca="false">IF($M296="","",INDEX(伝票元!$P$6:$P$511,$M296))</f>
        <v/>
      </c>
      <c r="B296" s="45" t="str">
        <f aca="false">IF($M296="","",INDEX(伝票元!$D$6:$D$511,$M296))</f>
        <v/>
      </c>
      <c r="C296" s="10" t="str">
        <f aca="false">IF($M296="","",INDEX(伝票元!$E$6:$E$511,$M296))</f>
        <v/>
      </c>
      <c r="D296" s="45" t="str">
        <f aca="false">IF($M296="","",INDEX(伝票元!$A$6:$A$511,$M296))</f>
        <v/>
      </c>
      <c r="E296" s="10" t="str">
        <f aca="false">IF(IF($M296="",0,INDEX(伝票元!$N$6:$N$511,$M296))=1,INDEX(伝票元!$I$6:$I$511,$M296),"")</f>
        <v/>
      </c>
      <c r="F296" s="45" t="str">
        <f aca="false">IF(IF($M296="",0,INDEX(伝票元!$N$6:$N$511,$M296))=1,INDEX(伝票元!$J$6:$J$511,$M296),"")</f>
        <v/>
      </c>
      <c r="G296" s="42" t="str">
        <f aca="false">IF(IF($M296="",0,INDEX(伝票元!$N$6:$N$511,$M296))=1,INDEX(伝票元!$Q$6:$Q$511,$M296),"")</f>
        <v/>
      </c>
      <c r="H296" s="45" t="str">
        <f aca="false">IF($M296="","",INDEX(伝票元!$F$6:$F$511,$M296))</f>
        <v/>
      </c>
      <c r="I296" s="45" t="str">
        <f aca="false">IF($M296="","",INDEX(伝票元!$G$6:$G$511,$M296))</f>
        <v/>
      </c>
      <c r="J296" s="42" t="str">
        <f aca="false">IF($M296="","",INDEX(伝票元!$H$6:$H$511,$M296))</f>
        <v/>
      </c>
      <c r="K296" s="46" t="str">
        <f aca="false">IF(IF($M296="",0,INDEX(伝票元!$N$6:$N$511,$M296))=1,INDEX(伝票元!$R$6:$R$511,$M296),"")</f>
        <v/>
      </c>
      <c r="L296" s="47" t="str">
        <f aca="false">IF($M296="","",INDEX(伝票元!$S$6:$S$511,$M296))</f>
        <v/>
      </c>
      <c r="M296" s="47" t="str">
        <f aca="false">IFERROR(MATCH(290,伝票元!$O$6:$O$511,0),"")</f>
        <v/>
      </c>
    </row>
    <row r="297" customFormat="false" ht="15" hidden="false" customHeight="false" outlineLevel="0" collapsed="false">
      <c r="A297" s="10" t="str">
        <f aca="false">IF($M297="","",INDEX(伝票元!$P$6:$P$511,$M297))</f>
        <v/>
      </c>
      <c r="B297" s="45" t="str">
        <f aca="false">IF($M297="","",INDEX(伝票元!$D$6:$D$511,$M297))</f>
        <v/>
      </c>
      <c r="C297" s="10" t="str">
        <f aca="false">IF($M297="","",INDEX(伝票元!$E$6:$E$511,$M297))</f>
        <v/>
      </c>
      <c r="D297" s="45" t="str">
        <f aca="false">IF($M297="","",INDEX(伝票元!$A$6:$A$511,$M297))</f>
        <v/>
      </c>
      <c r="E297" s="10" t="str">
        <f aca="false">IF(IF($M297="",0,INDEX(伝票元!$N$6:$N$511,$M297))=1,INDEX(伝票元!$I$6:$I$511,$M297),"")</f>
        <v/>
      </c>
      <c r="F297" s="45" t="str">
        <f aca="false">IF(IF($M297="",0,INDEX(伝票元!$N$6:$N$511,$M297))=1,INDEX(伝票元!$J$6:$J$511,$M297),"")</f>
        <v/>
      </c>
      <c r="G297" s="42" t="str">
        <f aca="false">IF(IF($M297="",0,INDEX(伝票元!$N$6:$N$511,$M297))=1,INDEX(伝票元!$Q$6:$Q$511,$M297),"")</f>
        <v/>
      </c>
      <c r="H297" s="45" t="str">
        <f aca="false">IF($M297="","",INDEX(伝票元!$F$6:$F$511,$M297))</f>
        <v/>
      </c>
      <c r="I297" s="45" t="str">
        <f aca="false">IF($M297="","",INDEX(伝票元!$G$6:$G$511,$M297))</f>
        <v/>
      </c>
      <c r="J297" s="42" t="str">
        <f aca="false">IF($M297="","",INDEX(伝票元!$H$6:$H$511,$M297))</f>
        <v/>
      </c>
      <c r="K297" s="46" t="str">
        <f aca="false">IF(IF($M297="",0,INDEX(伝票元!$N$6:$N$511,$M297))=1,INDEX(伝票元!$R$6:$R$511,$M297),"")</f>
        <v/>
      </c>
      <c r="L297" s="47" t="str">
        <f aca="false">IF($M297="","",INDEX(伝票元!$S$6:$S$511,$M297))</f>
        <v/>
      </c>
      <c r="M297" s="47" t="str">
        <f aca="false">IFERROR(MATCH(291,伝票元!$O$6:$O$511,0),"")</f>
        <v/>
      </c>
    </row>
    <row r="298" customFormat="false" ht="15" hidden="false" customHeight="false" outlineLevel="0" collapsed="false">
      <c r="A298" s="10" t="str">
        <f aca="false">IF($M298="","",INDEX(伝票元!$P$6:$P$511,$M298))</f>
        <v/>
      </c>
      <c r="B298" s="45" t="str">
        <f aca="false">IF($M298="","",INDEX(伝票元!$D$6:$D$511,$M298))</f>
        <v/>
      </c>
      <c r="C298" s="10" t="str">
        <f aca="false">IF($M298="","",INDEX(伝票元!$E$6:$E$511,$M298))</f>
        <v/>
      </c>
      <c r="D298" s="45" t="str">
        <f aca="false">IF($M298="","",INDEX(伝票元!$A$6:$A$511,$M298))</f>
        <v/>
      </c>
      <c r="E298" s="10" t="str">
        <f aca="false">IF(IF($M298="",0,INDEX(伝票元!$N$6:$N$511,$M298))=1,INDEX(伝票元!$I$6:$I$511,$M298),"")</f>
        <v/>
      </c>
      <c r="F298" s="45" t="str">
        <f aca="false">IF(IF($M298="",0,INDEX(伝票元!$N$6:$N$511,$M298))=1,INDEX(伝票元!$J$6:$J$511,$M298),"")</f>
        <v/>
      </c>
      <c r="G298" s="42" t="str">
        <f aca="false">IF(IF($M298="",0,INDEX(伝票元!$N$6:$N$511,$M298))=1,INDEX(伝票元!$Q$6:$Q$511,$M298),"")</f>
        <v/>
      </c>
      <c r="H298" s="45" t="str">
        <f aca="false">IF($M298="","",INDEX(伝票元!$F$6:$F$511,$M298))</f>
        <v/>
      </c>
      <c r="I298" s="45" t="str">
        <f aca="false">IF($M298="","",INDEX(伝票元!$G$6:$G$511,$M298))</f>
        <v/>
      </c>
      <c r="J298" s="42" t="str">
        <f aca="false">IF($M298="","",INDEX(伝票元!$H$6:$H$511,$M298))</f>
        <v/>
      </c>
      <c r="K298" s="46" t="str">
        <f aca="false">IF(IF($M298="",0,INDEX(伝票元!$N$6:$N$511,$M298))=1,INDEX(伝票元!$R$6:$R$511,$M298),"")</f>
        <v/>
      </c>
      <c r="L298" s="47" t="str">
        <f aca="false">IF($M298="","",INDEX(伝票元!$S$6:$S$511,$M298))</f>
        <v/>
      </c>
      <c r="M298" s="47" t="str">
        <f aca="false">IFERROR(MATCH(292,伝票元!$O$6:$O$511,0),"")</f>
        <v/>
      </c>
    </row>
    <row r="299" customFormat="false" ht="15" hidden="false" customHeight="false" outlineLevel="0" collapsed="false">
      <c r="A299" s="10" t="str">
        <f aca="false">IF($M299="","",INDEX(伝票元!$P$6:$P$511,$M299))</f>
        <v/>
      </c>
      <c r="B299" s="45" t="str">
        <f aca="false">IF($M299="","",INDEX(伝票元!$D$6:$D$511,$M299))</f>
        <v/>
      </c>
      <c r="C299" s="10" t="str">
        <f aca="false">IF($M299="","",INDEX(伝票元!$E$6:$E$511,$M299))</f>
        <v/>
      </c>
      <c r="D299" s="45" t="str">
        <f aca="false">IF($M299="","",INDEX(伝票元!$A$6:$A$511,$M299))</f>
        <v/>
      </c>
      <c r="E299" s="10" t="str">
        <f aca="false">IF(IF($M299="",0,INDEX(伝票元!$N$6:$N$511,$M299))=1,INDEX(伝票元!$I$6:$I$511,$M299),"")</f>
        <v/>
      </c>
      <c r="F299" s="45" t="str">
        <f aca="false">IF(IF($M299="",0,INDEX(伝票元!$N$6:$N$511,$M299))=1,INDEX(伝票元!$J$6:$J$511,$M299),"")</f>
        <v/>
      </c>
      <c r="G299" s="42" t="str">
        <f aca="false">IF(IF($M299="",0,INDEX(伝票元!$N$6:$N$511,$M299))=1,INDEX(伝票元!$Q$6:$Q$511,$M299),"")</f>
        <v/>
      </c>
      <c r="H299" s="45" t="str">
        <f aca="false">IF($M299="","",INDEX(伝票元!$F$6:$F$511,$M299))</f>
        <v/>
      </c>
      <c r="I299" s="45" t="str">
        <f aca="false">IF($M299="","",INDEX(伝票元!$G$6:$G$511,$M299))</f>
        <v/>
      </c>
      <c r="J299" s="42" t="str">
        <f aca="false">IF($M299="","",INDEX(伝票元!$H$6:$H$511,$M299))</f>
        <v/>
      </c>
      <c r="K299" s="46" t="str">
        <f aca="false">IF(IF($M299="",0,INDEX(伝票元!$N$6:$N$511,$M299))=1,INDEX(伝票元!$R$6:$R$511,$M299),"")</f>
        <v/>
      </c>
      <c r="L299" s="47" t="str">
        <f aca="false">IF($M299="","",INDEX(伝票元!$S$6:$S$511,$M299))</f>
        <v/>
      </c>
      <c r="M299" s="47" t="str">
        <f aca="false">IFERROR(MATCH(293,伝票元!$O$6:$O$511,0),"")</f>
        <v/>
      </c>
    </row>
    <row r="300" customFormat="false" ht="15" hidden="false" customHeight="false" outlineLevel="0" collapsed="false">
      <c r="A300" s="10" t="str">
        <f aca="false">IF($M300="","",INDEX(伝票元!$P$6:$P$511,$M300))</f>
        <v/>
      </c>
      <c r="B300" s="45" t="str">
        <f aca="false">IF($M300="","",INDEX(伝票元!$D$6:$D$511,$M300))</f>
        <v/>
      </c>
      <c r="C300" s="10" t="str">
        <f aca="false">IF($M300="","",INDEX(伝票元!$E$6:$E$511,$M300))</f>
        <v/>
      </c>
      <c r="D300" s="45" t="str">
        <f aca="false">IF($M300="","",INDEX(伝票元!$A$6:$A$511,$M300))</f>
        <v/>
      </c>
      <c r="E300" s="10" t="str">
        <f aca="false">IF(IF($M300="",0,INDEX(伝票元!$N$6:$N$511,$M300))=1,INDEX(伝票元!$I$6:$I$511,$M300),"")</f>
        <v/>
      </c>
      <c r="F300" s="45" t="str">
        <f aca="false">IF(IF($M300="",0,INDEX(伝票元!$N$6:$N$511,$M300))=1,INDEX(伝票元!$J$6:$J$511,$M300),"")</f>
        <v/>
      </c>
      <c r="G300" s="42" t="str">
        <f aca="false">IF(IF($M300="",0,INDEX(伝票元!$N$6:$N$511,$M300))=1,INDEX(伝票元!$Q$6:$Q$511,$M300),"")</f>
        <v/>
      </c>
      <c r="H300" s="45" t="str">
        <f aca="false">IF($M300="","",INDEX(伝票元!$F$6:$F$511,$M300))</f>
        <v/>
      </c>
      <c r="I300" s="45" t="str">
        <f aca="false">IF($M300="","",INDEX(伝票元!$G$6:$G$511,$M300))</f>
        <v/>
      </c>
      <c r="J300" s="42" t="str">
        <f aca="false">IF($M300="","",INDEX(伝票元!$H$6:$H$511,$M300))</f>
        <v/>
      </c>
      <c r="K300" s="46" t="str">
        <f aca="false">IF(IF($M300="",0,INDEX(伝票元!$N$6:$N$511,$M300))=1,INDEX(伝票元!$R$6:$R$511,$M300),"")</f>
        <v/>
      </c>
      <c r="L300" s="47" t="str">
        <f aca="false">IF($M300="","",INDEX(伝票元!$S$6:$S$511,$M300))</f>
        <v/>
      </c>
      <c r="M300" s="47" t="str">
        <f aca="false">IFERROR(MATCH(294,伝票元!$O$6:$O$511,0),"")</f>
        <v/>
      </c>
    </row>
    <row r="301" customFormat="false" ht="15" hidden="false" customHeight="false" outlineLevel="0" collapsed="false">
      <c r="A301" s="10" t="str">
        <f aca="false">IF($M301="","",INDEX(伝票元!$P$6:$P$511,$M301))</f>
        <v/>
      </c>
      <c r="B301" s="45" t="str">
        <f aca="false">IF($M301="","",INDEX(伝票元!$D$6:$D$511,$M301))</f>
        <v/>
      </c>
      <c r="C301" s="10" t="str">
        <f aca="false">IF($M301="","",INDEX(伝票元!$E$6:$E$511,$M301))</f>
        <v/>
      </c>
      <c r="D301" s="45" t="str">
        <f aca="false">IF($M301="","",INDEX(伝票元!$A$6:$A$511,$M301))</f>
        <v/>
      </c>
      <c r="E301" s="10" t="str">
        <f aca="false">IF(IF($M301="",0,INDEX(伝票元!$N$6:$N$511,$M301))=1,INDEX(伝票元!$I$6:$I$511,$M301),"")</f>
        <v/>
      </c>
      <c r="F301" s="45" t="str">
        <f aca="false">IF(IF($M301="",0,INDEX(伝票元!$N$6:$N$511,$M301))=1,INDEX(伝票元!$J$6:$J$511,$M301),"")</f>
        <v/>
      </c>
      <c r="G301" s="42" t="str">
        <f aca="false">IF(IF($M301="",0,INDEX(伝票元!$N$6:$N$511,$M301))=1,INDEX(伝票元!$Q$6:$Q$511,$M301),"")</f>
        <v/>
      </c>
      <c r="H301" s="45" t="str">
        <f aca="false">IF($M301="","",INDEX(伝票元!$F$6:$F$511,$M301))</f>
        <v/>
      </c>
      <c r="I301" s="45" t="str">
        <f aca="false">IF($M301="","",INDEX(伝票元!$G$6:$G$511,$M301))</f>
        <v/>
      </c>
      <c r="J301" s="42" t="str">
        <f aca="false">IF($M301="","",INDEX(伝票元!$H$6:$H$511,$M301))</f>
        <v/>
      </c>
      <c r="K301" s="46" t="str">
        <f aca="false">IF(IF($M301="",0,INDEX(伝票元!$N$6:$N$511,$M301))=1,INDEX(伝票元!$R$6:$R$511,$M301),"")</f>
        <v/>
      </c>
      <c r="L301" s="47" t="str">
        <f aca="false">IF($M301="","",INDEX(伝票元!$S$6:$S$511,$M301))</f>
        <v/>
      </c>
      <c r="M301" s="47" t="str">
        <f aca="false">IFERROR(MATCH(295,伝票元!$O$6:$O$511,0),"")</f>
        <v/>
      </c>
    </row>
    <row r="302" customFormat="false" ht="15" hidden="false" customHeight="false" outlineLevel="0" collapsed="false">
      <c r="A302" s="10" t="str">
        <f aca="false">IF($M302="","",INDEX(伝票元!$P$6:$P$511,$M302))</f>
        <v/>
      </c>
      <c r="B302" s="45" t="str">
        <f aca="false">IF($M302="","",INDEX(伝票元!$D$6:$D$511,$M302))</f>
        <v/>
      </c>
      <c r="C302" s="10" t="str">
        <f aca="false">IF($M302="","",INDEX(伝票元!$E$6:$E$511,$M302))</f>
        <v/>
      </c>
      <c r="D302" s="45" t="str">
        <f aca="false">IF($M302="","",INDEX(伝票元!$A$6:$A$511,$M302))</f>
        <v/>
      </c>
      <c r="E302" s="10" t="str">
        <f aca="false">IF(IF($M302="",0,INDEX(伝票元!$N$6:$N$511,$M302))=1,INDEX(伝票元!$I$6:$I$511,$M302),"")</f>
        <v/>
      </c>
      <c r="F302" s="45" t="str">
        <f aca="false">IF(IF($M302="",0,INDEX(伝票元!$N$6:$N$511,$M302))=1,INDEX(伝票元!$J$6:$J$511,$M302),"")</f>
        <v/>
      </c>
      <c r="G302" s="42" t="str">
        <f aca="false">IF(IF($M302="",0,INDEX(伝票元!$N$6:$N$511,$M302))=1,INDEX(伝票元!$Q$6:$Q$511,$M302),"")</f>
        <v/>
      </c>
      <c r="H302" s="45" t="str">
        <f aca="false">IF($M302="","",INDEX(伝票元!$F$6:$F$511,$M302))</f>
        <v/>
      </c>
      <c r="I302" s="45" t="str">
        <f aca="false">IF($M302="","",INDEX(伝票元!$G$6:$G$511,$M302))</f>
        <v/>
      </c>
      <c r="J302" s="42" t="str">
        <f aca="false">IF($M302="","",INDEX(伝票元!$H$6:$H$511,$M302))</f>
        <v/>
      </c>
      <c r="K302" s="46" t="str">
        <f aca="false">IF(IF($M302="",0,INDEX(伝票元!$N$6:$N$511,$M302))=1,INDEX(伝票元!$R$6:$R$511,$M302),"")</f>
        <v/>
      </c>
      <c r="L302" s="47" t="str">
        <f aca="false">IF($M302="","",INDEX(伝票元!$S$6:$S$511,$M302))</f>
        <v/>
      </c>
      <c r="M302" s="47" t="str">
        <f aca="false">IFERROR(MATCH(296,伝票元!$O$6:$O$511,0),"")</f>
        <v/>
      </c>
    </row>
    <row r="303" customFormat="false" ht="15" hidden="false" customHeight="false" outlineLevel="0" collapsed="false">
      <c r="A303" s="10" t="str">
        <f aca="false">IF($M303="","",INDEX(伝票元!$P$6:$P$511,$M303))</f>
        <v/>
      </c>
      <c r="B303" s="45" t="str">
        <f aca="false">IF($M303="","",INDEX(伝票元!$D$6:$D$511,$M303))</f>
        <v/>
      </c>
      <c r="C303" s="10" t="str">
        <f aca="false">IF($M303="","",INDEX(伝票元!$E$6:$E$511,$M303))</f>
        <v/>
      </c>
      <c r="D303" s="45" t="str">
        <f aca="false">IF($M303="","",INDEX(伝票元!$A$6:$A$511,$M303))</f>
        <v/>
      </c>
      <c r="E303" s="10" t="str">
        <f aca="false">IF(IF($M303="",0,INDEX(伝票元!$N$6:$N$511,$M303))=1,INDEX(伝票元!$I$6:$I$511,$M303),"")</f>
        <v/>
      </c>
      <c r="F303" s="45" t="str">
        <f aca="false">IF(IF($M303="",0,INDEX(伝票元!$N$6:$N$511,$M303))=1,INDEX(伝票元!$J$6:$J$511,$M303),"")</f>
        <v/>
      </c>
      <c r="G303" s="42" t="str">
        <f aca="false">IF(IF($M303="",0,INDEX(伝票元!$N$6:$N$511,$M303))=1,INDEX(伝票元!$Q$6:$Q$511,$M303),"")</f>
        <v/>
      </c>
      <c r="H303" s="45" t="str">
        <f aca="false">IF($M303="","",INDEX(伝票元!$F$6:$F$511,$M303))</f>
        <v/>
      </c>
      <c r="I303" s="45" t="str">
        <f aca="false">IF($M303="","",INDEX(伝票元!$G$6:$G$511,$M303))</f>
        <v/>
      </c>
      <c r="J303" s="42" t="str">
        <f aca="false">IF($M303="","",INDEX(伝票元!$H$6:$H$511,$M303))</f>
        <v/>
      </c>
      <c r="K303" s="46" t="str">
        <f aca="false">IF(IF($M303="",0,INDEX(伝票元!$N$6:$N$511,$M303))=1,INDEX(伝票元!$R$6:$R$511,$M303),"")</f>
        <v/>
      </c>
      <c r="L303" s="47" t="str">
        <f aca="false">IF($M303="","",INDEX(伝票元!$S$6:$S$511,$M303))</f>
        <v/>
      </c>
      <c r="M303" s="47" t="str">
        <f aca="false">IFERROR(MATCH(297,伝票元!$O$6:$O$511,0),"")</f>
        <v/>
      </c>
    </row>
    <row r="304" customFormat="false" ht="15" hidden="false" customHeight="false" outlineLevel="0" collapsed="false">
      <c r="A304" s="10" t="str">
        <f aca="false">IF($M304="","",INDEX(伝票元!$P$6:$P$511,$M304))</f>
        <v/>
      </c>
      <c r="B304" s="45" t="str">
        <f aca="false">IF($M304="","",INDEX(伝票元!$D$6:$D$511,$M304))</f>
        <v/>
      </c>
      <c r="C304" s="10" t="str">
        <f aca="false">IF($M304="","",INDEX(伝票元!$E$6:$E$511,$M304))</f>
        <v/>
      </c>
      <c r="D304" s="45" t="str">
        <f aca="false">IF($M304="","",INDEX(伝票元!$A$6:$A$511,$M304))</f>
        <v/>
      </c>
      <c r="E304" s="10" t="str">
        <f aca="false">IF(IF($M304="",0,INDEX(伝票元!$N$6:$N$511,$M304))=1,INDEX(伝票元!$I$6:$I$511,$M304),"")</f>
        <v/>
      </c>
      <c r="F304" s="45" t="str">
        <f aca="false">IF(IF($M304="",0,INDEX(伝票元!$N$6:$N$511,$M304))=1,INDEX(伝票元!$J$6:$J$511,$M304),"")</f>
        <v/>
      </c>
      <c r="G304" s="42" t="str">
        <f aca="false">IF(IF($M304="",0,INDEX(伝票元!$N$6:$N$511,$M304))=1,INDEX(伝票元!$Q$6:$Q$511,$M304),"")</f>
        <v/>
      </c>
      <c r="H304" s="45" t="str">
        <f aca="false">IF($M304="","",INDEX(伝票元!$F$6:$F$511,$M304))</f>
        <v/>
      </c>
      <c r="I304" s="45" t="str">
        <f aca="false">IF($M304="","",INDEX(伝票元!$G$6:$G$511,$M304))</f>
        <v/>
      </c>
      <c r="J304" s="42" t="str">
        <f aca="false">IF($M304="","",INDEX(伝票元!$H$6:$H$511,$M304))</f>
        <v/>
      </c>
      <c r="K304" s="46" t="str">
        <f aca="false">IF(IF($M304="",0,INDEX(伝票元!$N$6:$N$511,$M304))=1,INDEX(伝票元!$R$6:$R$511,$M304),"")</f>
        <v/>
      </c>
      <c r="L304" s="47" t="str">
        <f aca="false">IF($M304="","",INDEX(伝票元!$S$6:$S$511,$M304))</f>
        <v/>
      </c>
      <c r="M304" s="47" t="str">
        <f aca="false">IFERROR(MATCH(298,伝票元!$O$6:$O$511,0),"")</f>
        <v/>
      </c>
    </row>
    <row r="305" customFormat="false" ht="15" hidden="false" customHeight="false" outlineLevel="0" collapsed="false">
      <c r="A305" s="10" t="str">
        <f aca="false">IF($M305="","",INDEX(伝票元!$P$6:$P$511,$M305))</f>
        <v/>
      </c>
      <c r="B305" s="45" t="str">
        <f aca="false">IF($M305="","",INDEX(伝票元!$D$6:$D$511,$M305))</f>
        <v/>
      </c>
      <c r="C305" s="10" t="str">
        <f aca="false">IF($M305="","",INDEX(伝票元!$E$6:$E$511,$M305))</f>
        <v/>
      </c>
      <c r="D305" s="45" t="str">
        <f aca="false">IF($M305="","",INDEX(伝票元!$A$6:$A$511,$M305))</f>
        <v/>
      </c>
      <c r="E305" s="10" t="str">
        <f aca="false">IF(IF($M305="",0,INDEX(伝票元!$N$6:$N$511,$M305))=1,INDEX(伝票元!$I$6:$I$511,$M305),"")</f>
        <v/>
      </c>
      <c r="F305" s="45" t="str">
        <f aca="false">IF(IF($M305="",0,INDEX(伝票元!$N$6:$N$511,$M305))=1,INDEX(伝票元!$J$6:$J$511,$M305),"")</f>
        <v/>
      </c>
      <c r="G305" s="42" t="str">
        <f aca="false">IF(IF($M305="",0,INDEX(伝票元!$N$6:$N$511,$M305))=1,INDEX(伝票元!$Q$6:$Q$511,$M305),"")</f>
        <v/>
      </c>
      <c r="H305" s="45" t="str">
        <f aca="false">IF($M305="","",INDEX(伝票元!$F$6:$F$511,$M305))</f>
        <v/>
      </c>
      <c r="I305" s="45" t="str">
        <f aca="false">IF($M305="","",INDEX(伝票元!$G$6:$G$511,$M305))</f>
        <v/>
      </c>
      <c r="J305" s="42" t="str">
        <f aca="false">IF($M305="","",INDEX(伝票元!$H$6:$H$511,$M305))</f>
        <v/>
      </c>
      <c r="K305" s="46" t="str">
        <f aca="false">IF(IF($M305="",0,INDEX(伝票元!$N$6:$N$511,$M305))=1,INDEX(伝票元!$R$6:$R$511,$M305),"")</f>
        <v/>
      </c>
      <c r="L305" s="47" t="str">
        <f aca="false">IF($M305="","",INDEX(伝票元!$S$6:$S$511,$M305))</f>
        <v/>
      </c>
      <c r="M305" s="47" t="str">
        <f aca="false">IFERROR(MATCH(299,伝票元!$O$6:$O$511,0),"")</f>
        <v/>
      </c>
    </row>
    <row r="306" customFormat="false" ht="15" hidden="false" customHeight="false" outlineLevel="0" collapsed="false">
      <c r="A306" s="10" t="str">
        <f aca="false">IF($M306="","",INDEX(伝票元!$P$6:$P$511,$M306))</f>
        <v/>
      </c>
      <c r="B306" s="45" t="str">
        <f aca="false">IF($M306="","",INDEX(伝票元!$D$6:$D$511,$M306))</f>
        <v/>
      </c>
      <c r="C306" s="10" t="str">
        <f aca="false">IF($M306="","",INDEX(伝票元!$E$6:$E$511,$M306))</f>
        <v/>
      </c>
      <c r="D306" s="45" t="str">
        <f aca="false">IF($M306="","",INDEX(伝票元!$A$6:$A$511,$M306))</f>
        <v/>
      </c>
      <c r="E306" s="10" t="str">
        <f aca="false">IF(IF($M306="",0,INDEX(伝票元!$N$6:$N$511,$M306))=1,INDEX(伝票元!$I$6:$I$511,$M306),"")</f>
        <v/>
      </c>
      <c r="F306" s="45" t="str">
        <f aca="false">IF(IF($M306="",0,INDEX(伝票元!$N$6:$N$511,$M306))=1,INDEX(伝票元!$J$6:$J$511,$M306),"")</f>
        <v/>
      </c>
      <c r="G306" s="42" t="str">
        <f aca="false">IF(IF($M306="",0,INDEX(伝票元!$N$6:$N$511,$M306))=1,INDEX(伝票元!$Q$6:$Q$511,$M306),"")</f>
        <v/>
      </c>
      <c r="H306" s="45" t="str">
        <f aca="false">IF($M306="","",INDEX(伝票元!$F$6:$F$511,$M306))</f>
        <v/>
      </c>
      <c r="I306" s="45" t="str">
        <f aca="false">IF($M306="","",INDEX(伝票元!$G$6:$G$511,$M306))</f>
        <v/>
      </c>
      <c r="J306" s="42" t="str">
        <f aca="false">IF($M306="","",INDEX(伝票元!$H$6:$H$511,$M306))</f>
        <v/>
      </c>
      <c r="K306" s="46" t="str">
        <f aca="false">IF(IF($M306="",0,INDEX(伝票元!$N$6:$N$511,$M306))=1,INDEX(伝票元!$R$6:$R$511,$M306),"")</f>
        <v/>
      </c>
      <c r="L306" s="47" t="str">
        <f aca="false">IF($M306="","",INDEX(伝票元!$S$6:$S$511,$M306))</f>
        <v/>
      </c>
      <c r="M306" s="47" t="str">
        <f aca="false">IFERROR(MATCH(300,伝票元!$O$6:$O$511,0),"")</f>
        <v/>
      </c>
    </row>
    <row r="307" customFormat="false" ht="15" hidden="false" customHeight="false" outlineLevel="0" collapsed="false">
      <c r="A307" s="10" t="str">
        <f aca="false">IF($M307="","",INDEX(伝票元!$P$6:$P$511,$M307))</f>
        <v/>
      </c>
      <c r="B307" s="45" t="str">
        <f aca="false">IF($M307="","",INDEX(伝票元!$D$6:$D$511,$M307))</f>
        <v/>
      </c>
      <c r="C307" s="10" t="str">
        <f aca="false">IF($M307="","",INDEX(伝票元!$E$6:$E$511,$M307))</f>
        <v/>
      </c>
      <c r="D307" s="45" t="str">
        <f aca="false">IF($M307="","",INDEX(伝票元!$A$6:$A$511,$M307))</f>
        <v/>
      </c>
      <c r="E307" s="10" t="str">
        <f aca="false">IF(IF($M307="",0,INDEX(伝票元!$N$6:$N$511,$M307))=1,INDEX(伝票元!$I$6:$I$511,$M307),"")</f>
        <v/>
      </c>
      <c r="F307" s="45" t="str">
        <f aca="false">IF(IF($M307="",0,INDEX(伝票元!$N$6:$N$511,$M307))=1,INDEX(伝票元!$J$6:$J$511,$M307),"")</f>
        <v/>
      </c>
      <c r="G307" s="42" t="str">
        <f aca="false">IF(IF($M307="",0,INDEX(伝票元!$N$6:$N$511,$M307))=1,INDEX(伝票元!$Q$6:$Q$511,$M307),"")</f>
        <v/>
      </c>
      <c r="H307" s="45" t="str">
        <f aca="false">IF($M307="","",INDEX(伝票元!$F$6:$F$511,$M307))</f>
        <v/>
      </c>
      <c r="I307" s="45" t="str">
        <f aca="false">IF($M307="","",INDEX(伝票元!$G$6:$G$511,$M307))</f>
        <v/>
      </c>
      <c r="J307" s="42" t="str">
        <f aca="false">IF($M307="","",INDEX(伝票元!$H$6:$H$511,$M307))</f>
        <v/>
      </c>
      <c r="K307" s="46" t="str">
        <f aca="false">IF(IF($M307="",0,INDEX(伝票元!$N$6:$N$511,$M307))=1,INDEX(伝票元!$R$6:$R$511,$M307),"")</f>
        <v/>
      </c>
      <c r="L307" s="47" t="str">
        <f aca="false">IF($M307="","",INDEX(伝票元!$S$6:$S$511,$M307))</f>
        <v/>
      </c>
      <c r="M307" s="47" t="str">
        <f aca="false">IFERROR(MATCH(301,伝票元!$O$6:$O$511,0),"")</f>
        <v/>
      </c>
    </row>
    <row r="308" customFormat="false" ht="15" hidden="false" customHeight="false" outlineLevel="0" collapsed="false">
      <c r="A308" s="10" t="str">
        <f aca="false">IF($M308="","",INDEX(伝票元!$P$6:$P$511,$M308))</f>
        <v/>
      </c>
      <c r="B308" s="45" t="str">
        <f aca="false">IF($M308="","",INDEX(伝票元!$D$6:$D$511,$M308))</f>
        <v/>
      </c>
      <c r="C308" s="10" t="str">
        <f aca="false">IF($M308="","",INDEX(伝票元!$E$6:$E$511,$M308))</f>
        <v/>
      </c>
      <c r="D308" s="45" t="str">
        <f aca="false">IF($M308="","",INDEX(伝票元!$A$6:$A$511,$M308))</f>
        <v/>
      </c>
      <c r="E308" s="10" t="str">
        <f aca="false">IF(IF($M308="",0,INDEX(伝票元!$N$6:$N$511,$M308))=1,INDEX(伝票元!$I$6:$I$511,$M308),"")</f>
        <v/>
      </c>
      <c r="F308" s="45" t="str">
        <f aca="false">IF(IF($M308="",0,INDEX(伝票元!$N$6:$N$511,$M308))=1,INDEX(伝票元!$J$6:$J$511,$M308),"")</f>
        <v/>
      </c>
      <c r="G308" s="42" t="str">
        <f aca="false">IF(IF($M308="",0,INDEX(伝票元!$N$6:$N$511,$M308))=1,INDEX(伝票元!$Q$6:$Q$511,$M308),"")</f>
        <v/>
      </c>
      <c r="H308" s="45" t="str">
        <f aca="false">IF($M308="","",INDEX(伝票元!$F$6:$F$511,$M308))</f>
        <v/>
      </c>
      <c r="I308" s="45" t="str">
        <f aca="false">IF($M308="","",INDEX(伝票元!$G$6:$G$511,$M308))</f>
        <v/>
      </c>
      <c r="J308" s="42" t="str">
        <f aca="false">IF($M308="","",INDEX(伝票元!$H$6:$H$511,$M308))</f>
        <v/>
      </c>
      <c r="K308" s="46" t="str">
        <f aca="false">IF(IF($M308="",0,INDEX(伝票元!$N$6:$N$511,$M308))=1,INDEX(伝票元!$R$6:$R$511,$M308),"")</f>
        <v/>
      </c>
      <c r="L308" s="47" t="str">
        <f aca="false">IF($M308="","",INDEX(伝票元!$S$6:$S$511,$M308))</f>
        <v/>
      </c>
      <c r="M308" s="47" t="str">
        <f aca="false">IFERROR(MATCH(302,伝票元!$O$6:$O$511,0),"")</f>
        <v/>
      </c>
    </row>
    <row r="309" customFormat="false" ht="15" hidden="false" customHeight="false" outlineLevel="0" collapsed="false">
      <c r="A309" s="10" t="str">
        <f aca="false">IF($M309="","",INDEX(伝票元!$P$6:$P$511,$M309))</f>
        <v/>
      </c>
      <c r="B309" s="45" t="str">
        <f aca="false">IF($M309="","",INDEX(伝票元!$D$6:$D$511,$M309))</f>
        <v/>
      </c>
      <c r="C309" s="10" t="str">
        <f aca="false">IF($M309="","",INDEX(伝票元!$E$6:$E$511,$M309))</f>
        <v/>
      </c>
      <c r="D309" s="45" t="str">
        <f aca="false">IF($M309="","",INDEX(伝票元!$A$6:$A$511,$M309))</f>
        <v/>
      </c>
      <c r="E309" s="10" t="str">
        <f aca="false">IF(IF($M309="",0,INDEX(伝票元!$N$6:$N$511,$M309))=1,INDEX(伝票元!$I$6:$I$511,$M309),"")</f>
        <v/>
      </c>
      <c r="F309" s="45" t="str">
        <f aca="false">IF(IF($M309="",0,INDEX(伝票元!$N$6:$N$511,$M309))=1,INDEX(伝票元!$J$6:$J$511,$M309),"")</f>
        <v/>
      </c>
      <c r="G309" s="42" t="str">
        <f aca="false">IF(IF($M309="",0,INDEX(伝票元!$N$6:$N$511,$M309))=1,INDEX(伝票元!$Q$6:$Q$511,$M309),"")</f>
        <v/>
      </c>
      <c r="H309" s="45" t="str">
        <f aca="false">IF($M309="","",INDEX(伝票元!$F$6:$F$511,$M309))</f>
        <v/>
      </c>
      <c r="I309" s="45" t="str">
        <f aca="false">IF($M309="","",INDEX(伝票元!$G$6:$G$511,$M309))</f>
        <v/>
      </c>
      <c r="J309" s="42" t="str">
        <f aca="false">IF($M309="","",INDEX(伝票元!$H$6:$H$511,$M309))</f>
        <v/>
      </c>
      <c r="K309" s="46" t="str">
        <f aca="false">IF(IF($M309="",0,INDEX(伝票元!$N$6:$N$511,$M309))=1,INDEX(伝票元!$R$6:$R$511,$M309),"")</f>
        <v/>
      </c>
      <c r="L309" s="47" t="str">
        <f aca="false">IF($M309="","",INDEX(伝票元!$S$6:$S$511,$M309))</f>
        <v/>
      </c>
      <c r="M309" s="47" t="str">
        <f aca="false">IFERROR(MATCH(303,伝票元!$O$6:$O$511,0),"")</f>
        <v/>
      </c>
    </row>
    <row r="310" customFormat="false" ht="15" hidden="false" customHeight="false" outlineLevel="0" collapsed="false">
      <c r="A310" s="10" t="str">
        <f aca="false">IF($M310="","",INDEX(伝票元!$P$6:$P$511,$M310))</f>
        <v/>
      </c>
      <c r="B310" s="45" t="str">
        <f aca="false">IF($M310="","",INDEX(伝票元!$D$6:$D$511,$M310))</f>
        <v/>
      </c>
      <c r="C310" s="10" t="str">
        <f aca="false">IF($M310="","",INDEX(伝票元!$E$6:$E$511,$M310))</f>
        <v/>
      </c>
      <c r="D310" s="45" t="str">
        <f aca="false">IF($M310="","",INDEX(伝票元!$A$6:$A$511,$M310))</f>
        <v/>
      </c>
      <c r="E310" s="10" t="str">
        <f aca="false">IF(IF($M310="",0,INDEX(伝票元!$N$6:$N$511,$M310))=1,INDEX(伝票元!$I$6:$I$511,$M310),"")</f>
        <v/>
      </c>
      <c r="F310" s="45" t="str">
        <f aca="false">IF(IF($M310="",0,INDEX(伝票元!$N$6:$N$511,$M310))=1,INDEX(伝票元!$J$6:$J$511,$M310),"")</f>
        <v/>
      </c>
      <c r="G310" s="42" t="str">
        <f aca="false">IF(IF($M310="",0,INDEX(伝票元!$N$6:$N$511,$M310))=1,INDEX(伝票元!$Q$6:$Q$511,$M310),"")</f>
        <v/>
      </c>
      <c r="H310" s="45" t="str">
        <f aca="false">IF($M310="","",INDEX(伝票元!$F$6:$F$511,$M310))</f>
        <v/>
      </c>
      <c r="I310" s="45" t="str">
        <f aca="false">IF($M310="","",INDEX(伝票元!$G$6:$G$511,$M310))</f>
        <v/>
      </c>
      <c r="J310" s="42" t="str">
        <f aca="false">IF($M310="","",INDEX(伝票元!$H$6:$H$511,$M310))</f>
        <v/>
      </c>
      <c r="K310" s="46" t="str">
        <f aca="false">IF(IF($M310="",0,INDEX(伝票元!$N$6:$N$511,$M310))=1,INDEX(伝票元!$R$6:$R$511,$M310),"")</f>
        <v/>
      </c>
      <c r="L310" s="47" t="str">
        <f aca="false">IF($M310="","",INDEX(伝票元!$S$6:$S$511,$M310))</f>
        <v/>
      </c>
      <c r="M310" s="47" t="str">
        <f aca="false">IFERROR(MATCH(304,伝票元!$O$6:$O$511,0),"")</f>
        <v/>
      </c>
    </row>
    <row r="311" customFormat="false" ht="15" hidden="false" customHeight="false" outlineLevel="0" collapsed="false">
      <c r="A311" s="10" t="str">
        <f aca="false">IF($M311="","",INDEX(伝票元!$P$6:$P$511,$M311))</f>
        <v/>
      </c>
      <c r="B311" s="45" t="str">
        <f aca="false">IF($M311="","",INDEX(伝票元!$D$6:$D$511,$M311))</f>
        <v/>
      </c>
      <c r="C311" s="10" t="str">
        <f aca="false">IF($M311="","",INDEX(伝票元!$E$6:$E$511,$M311))</f>
        <v/>
      </c>
      <c r="D311" s="45" t="str">
        <f aca="false">IF($M311="","",INDEX(伝票元!$A$6:$A$511,$M311))</f>
        <v/>
      </c>
      <c r="E311" s="10" t="str">
        <f aca="false">IF(IF($M311="",0,INDEX(伝票元!$N$6:$N$511,$M311))=1,INDEX(伝票元!$I$6:$I$511,$M311),"")</f>
        <v/>
      </c>
      <c r="F311" s="45" t="str">
        <f aca="false">IF(IF($M311="",0,INDEX(伝票元!$N$6:$N$511,$M311))=1,INDEX(伝票元!$J$6:$J$511,$M311),"")</f>
        <v/>
      </c>
      <c r="G311" s="42" t="str">
        <f aca="false">IF(IF($M311="",0,INDEX(伝票元!$N$6:$N$511,$M311))=1,INDEX(伝票元!$Q$6:$Q$511,$M311),"")</f>
        <v/>
      </c>
      <c r="H311" s="45" t="str">
        <f aca="false">IF($M311="","",INDEX(伝票元!$F$6:$F$511,$M311))</f>
        <v/>
      </c>
      <c r="I311" s="45" t="str">
        <f aca="false">IF($M311="","",INDEX(伝票元!$G$6:$G$511,$M311))</f>
        <v/>
      </c>
      <c r="J311" s="42" t="str">
        <f aca="false">IF($M311="","",INDEX(伝票元!$H$6:$H$511,$M311))</f>
        <v/>
      </c>
      <c r="K311" s="46" t="str">
        <f aca="false">IF(IF($M311="",0,INDEX(伝票元!$N$6:$N$511,$M311))=1,INDEX(伝票元!$R$6:$R$511,$M311),"")</f>
        <v/>
      </c>
      <c r="L311" s="47" t="str">
        <f aca="false">IF($M311="","",INDEX(伝票元!$S$6:$S$511,$M311))</f>
        <v/>
      </c>
      <c r="M311" s="47" t="str">
        <f aca="false">IFERROR(MATCH(305,伝票元!$O$6:$O$511,0),"")</f>
        <v/>
      </c>
    </row>
    <row r="312" customFormat="false" ht="15" hidden="false" customHeight="false" outlineLevel="0" collapsed="false">
      <c r="A312" s="10" t="str">
        <f aca="false">IF($M312="","",INDEX(伝票元!$P$6:$P$511,$M312))</f>
        <v/>
      </c>
      <c r="B312" s="45" t="str">
        <f aca="false">IF($M312="","",INDEX(伝票元!$D$6:$D$511,$M312))</f>
        <v/>
      </c>
      <c r="C312" s="10" t="str">
        <f aca="false">IF($M312="","",INDEX(伝票元!$E$6:$E$511,$M312))</f>
        <v/>
      </c>
      <c r="D312" s="45" t="str">
        <f aca="false">IF($M312="","",INDEX(伝票元!$A$6:$A$511,$M312))</f>
        <v/>
      </c>
      <c r="E312" s="10" t="str">
        <f aca="false">IF(IF($M312="",0,INDEX(伝票元!$N$6:$N$511,$M312))=1,INDEX(伝票元!$I$6:$I$511,$M312),"")</f>
        <v/>
      </c>
      <c r="F312" s="45" t="str">
        <f aca="false">IF(IF($M312="",0,INDEX(伝票元!$N$6:$N$511,$M312))=1,INDEX(伝票元!$J$6:$J$511,$M312),"")</f>
        <v/>
      </c>
      <c r="G312" s="42" t="str">
        <f aca="false">IF(IF($M312="",0,INDEX(伝票元!$N$6:$N$511,$M312))=1,INDEX(伝票元!$Q$6:$Q$511,$M312),"")</f>
        <v/>
      </c>
      <c r="H312" s="45" t="str">
        <f aca="false">IF($M312="","",INDEX(伝票元!$F$6:$F$511,$M312))</f>
        <v/>
      </c>
      <c r="I312" s="45" t="str">
        <f aca="false">IF($M312="","",INDEX(伝票元!$G$6:$G$511,$M312))</f>
        <v/>
      </c>
      <c r="J312" s="42" t="str">
        <f aca="false">IF($M312="","",INDEX(伝票元!$H$6:$H$511,$M312))</f>
        <v/>
      </c>
      <c r="K312" s="46" t="str">
        <f aca="false">IF(IF($M312="",0,INDEX(伝票元!$N$6:$N$511,$M312))=1,INDEX(伝票元!$R$6:$R$511,$M312),"")</f>
        <v/>
      </c>
      <c r="L312" s="47" t="str">
        <f aca="false">IF($M312="","",INDEX(伝票元!$S$6:$S$511,$M312))</f>
        <v/>
      </c>
      <c r="M312" s="47" t="str">
        <f aca="false">IFERROR(MATCH(306,伝票元!$O$6:$O$511,0),"")</f>
        <v/>
      </c>
    </row>
    <row r="313" customFormat="false" ht="15" hidden="false" customHeight="false" outlineLevel="0" collapsed="false">
      <c r="A313" s="10" t="str">
        <f aca="false">IF($M313="","",INDEX(伝票元!$P$6:$P$511,$M313))</f>
        <v/>
      </c>
      <c r="B313" s="45" t="str">
        <f aca="false">IF($M313="","",INDEX(伝票元!$D$6:$D$511,$M313))</f>
        <v/>
      </c>
      <c r="C313" s="10" t="str">
        <f aca="false">IF($M313="","",INDEX(伝票元!$E$6:$E$511,$M313))</f>
        <v/>
      </c>
      <c r="D313" s="45" t="str">
        <f aca="false">IF($M313="","",INDEX(伝票元!$A$6:$A$511,$M313))</f>
        <v/>
      </c>
      <c r="E313" s="10" t="str">
        <f aca="false">IF(IF($M313="",0,INDEX(伝票元!$N$6:$N$511,$M313))=1,INDEX(伝票元!$I$6:$I$511,$M313),"")</f>
        <v/>
      </c>
      <c r="F313" s="45" t="str">
        <f aca="false">IF(IF($M313="",0,INDEX(伝票元!$N$6:$N$511,$M313))=1,INDEX(伝票元!$J$6:$J$511,$M313),"")</f>
        <v/>
      </c>
      <c r="G313" s="42" t="str">
        <f aca="false">IF(IF($M313="",0,INDEX(伝票元!$N$6:$N$511,$M313))=1,INDEX(伝票元!$Q$6:$Q$511,$M313),"")</f>
        <v/>
      </c>
      <c r="H313" s="45" t="str">
        <f aca="false">IF($M313="","",INDEX(伝票元!$F$6:$F$511,$M313))</f>
        <v/>
      </c>
      <c r="I313" s="45" t="str">
        <f aca="false">IF($M313="","",INDEX(伝票元!$G$6:$G$511,$M313))</f>
        <v/>
      </c>
      <c r="J313" s="42" t="str">
        <f aca="false">IF($M313="","",INDEX(伝票元!$H$6:$H$511,$M313))</f>
        <v/>
      </c>
      <c r="K313" s="46" t="str">
        <f aca="false">IF(IF($M313="",0,INDEX(伝票元!$N$6:$N$511,$M313))=1,INDEX(伝票元!$R$6:$R$511,$M313),"")</f>
        <v/>
      </c>
      <c r="L313" s="47" t="str">
        <f aca="false">IF($M313="","",INDEX(伝票元!$S$6:$S$511,$M313))</f>
        <v/>
      </c>
      <c r="M313" s="47" t="str">
        <f aca="false">IFERROR(MATCH(307,伝票元!$O$6:$O$511,0),"")</f>
        <v/>
      </c>
    </row>
    <row r="314" customFormat="false" ht="15" hidden="false" customHeight="false" outlineLevel="0" collapsed="false">
      <c r="A314" s="10" t="str">
        <f aca="false">IF($M314="","",INDEX(伝票元!$P$6:$P$511,$M314))</f>
        <v/>
      </c>
      <c r="B314" s="45" t="str">
        <f aca="false">IF($M314="","",INDEX(伝票元!$D$6:$D$511,$M314))</f>
        <v/>
      </c>
      <c r="C314" s="10" t="str">
        <f aca="false">IF($M314="","",INDEX(伝票元!$E$6:$E$511,$M314))</f>
        <v/>
      </c>
      <c r="D314" s="45" t="str">
        <f aca="false">IF($M314="","",INDEX(伝票元!$A$6:$A$511,$M314))</f>
        <v/>
      </c>
      <c r="E314" s="10" t="str">
        <f aca="false">IF(IF($M314="",0,INDEX(伝票元!$N$6:$N$511,$M314))=1,INDEX(伝票元!$I$6:$I$511,$M314),"")</f>
        <v/>
      </c>
      <c r="F314" s="45" t="str">
        <f aca="false">IF(IF($M314="",0,INDEX(伝票元!$N$6:$N$511,$M314))=1,INDEX(伝票元!$J$6:$J$511,$M314),"")</f>
        <v/>
      </c>
      <c r="G314" s="42" t="str">
        <f aca="false">IF(IF($M314="",0,INDEX(伝票元!$N$6:$N$511,$M314))=1,INDEX(伝票元!$Q$6:$Q$511,$M314),"")</f>
        <v/>
      </c>
      <c r="H314" s="45" t="str">
        <f aca="false">IF($M314="","",INDEX(伝票元!$F$6:$F$511,$M314))</f>
        <v/>
      </c>
      <c r="I314" s="45" t="str">
        <f aca="false">IF($M314="","",INDEX(伝票元!$G$6:$G$511,$M314))</f>
        <v/>
      </c>
      <c r="J314" s="42" t="str">
        <f aca="false">IF($M314="","",INDEX(伝票元!$H$6:$H$511,$M314))</f>
        <v/>
      </c>
      <c r="K314" s="46" t="str">
        <f aca="false">IF(IF($M314="",0,INDEX(伝票元!$N$6:$N$511,$M314))=1,INDEX(伝票元!$R$6:$R$511,$M314),"")</f>
        <v/>
      </c>
      <c r="L314" s="47" t="str">
        <f aca="false">IF($M314="","",INDEX(伝票元!$S$6:$S$511,$M314))</f>
        <v/>
      </c>
      <c r="M314" s="47" t="str">
        <f aca="false">IFERROR(MATCH(308,伝票元!$O$6:$O$511,0),"")</f>
        <v/>
      </c>
    </row>
    <row r="315" customFormat="false" ht="15" hidden="false" customHeight="false" outlineLevel="0" collapsed="false">
      <c r="A315" s="10" t="str">
        <f aca="false">IF($M315="","",INDEX(伝票元!$P$6:$P$511,$M315))</f>
        <v/>
      </c>
      <c r="B315" s="45" t="str">
        <f aca="false">IF($M315="","",INDEX(伝票元!$D$6:$D$511,$M315))</f>
        <v/>
      </c>
      <c r="C315" s="10" t="str">
        <f aca="false">IF($M315="","",INDEX(伝票元!$E$6:$E$511,$M315))</f>
        <v/>
      </c>
      <c r="D315" s="45" t="str">
        <f aca="false">IF($M315="","",INDEX(伝票元!$A$6:$A$511,$M315))</f>
        <v/>
      </c>
      <c r="E315" s="10" t="str">
        <f aca="false">IF(IF($M315="",0,INDEX(伝票元!$N$6:$N$511,$M315))=1,INDEX(伝票元!$I$6:$I$511,$M315),"")</f>
        <v/>
      </c>
      <c r="F315" s="45" t="str">
        <f aca="false">IF(IF($M315="",0,INDEX(伝票元!$N$6:$N$511,$M315))=1,INDEX(伝票元!$J$6:$J$511,$M315),"")</f>
        <v/>
      </c>
      <c r="G315" s="42" t="str">
        <f aca="false">IF(IF($M315="",0,INDEX(伝票元!$N$6:$N$511,$M315))=1,INDEX(伝票元!$Q$6:$Q$511,$M315),"")</f>
        <v/>
      </c>
      <c r="H315" s="45" t="str">
        <f aca="false">IF($M315="","",INDEX(伝票元!$F$6:$F$511,$M315))</f>
        <v/>
      </c>
      <c r="I315" s="45" t="str">
        <f aca="false">IF($M315="","",INDEX(伝票元!$G$6:$G$511,$M315))</f>
        <v/>
      </c>
      <c r="J315" s="42" t="str">
        <f aca="false">IF($M315="","",INDEX(伝票元!$H$6:$H$511,$M315))</f>
        <v/>
      </c>
      <c r="K315" s="46" t="str">
        <f aca="false">IF(IF($M315="",0,INDEX(伝票元!$N$6:$N$511,$M315))=1,INDEX(伝票元!$R$6:$R$511,$M315),"")</f>
        <v/>
      </c>
      <c r="L315" s="47" t="str">
        <f aca="false">IF($M315="","",INDEX(伝票元!$S$6:$S$511,$M315))</f>
        <v/>
      </c>
      <c r="M315" s="47" t="str">
        <f aca="false">IFERROR(MATCH(309,伝票元!$O$6:$O$511,0),"")</f>
        <v/>
      </c>
    </row>
    <row r="316" customFormat="false" ht="15" hidden="false" customHeight="false" outlineLevel="0" collapsed="false">
      <c r="A316" s="10" t="str">
        <f aca="false">IF($M316="","",INDEX(伝票元!$P$6:$P$511,$M316))</f>
        <v/>
      </c>
      <c r="B316" s="45" t="str">
        <f aca="false">IF($M316="","",INDEX(伝票元!$D$6:$D$511,$M316))</f>
        <v/>
      </c>
      <c r="C316" s="10" t="str">
        <f aca="false">IF($M316="","",INDEX(伝票元!$E$6:$E$511,$M316))</f>
        <v/>
      </c>
      <c r="D316" s="45" t="str">
        <f aca="false">IF($M316="","",INDEX(伝票元!$A$6:$A$511,$M316))</f>
        <v/>
      </c>
      <c r="E316" s="10" t="str">
        <f aca="false">IF(IF($M316="",0,INDEX(伝票元!$N$6:$N$511,$M316))=1,INDEX(伝票元!$I$6:$I$511,$M316),"")</f>
        <v/>
      </c>
      <c r="F316" s="45" t="str">
        <f aca="false">IF(IF($M316="",0,INDEX(伝票元!$N$6:$N$511,$M316))=1,INDEX(伝票元!$J$6:$J$511,$M316),"")</f>
        <v/>
      </c>
      <c r="G316" s="42" t="str">
        <f aca="false">IF(IF($M316="",0,INDEX(伝票元!$N$6:$N$511,$M316))=1,INDEX(伝票元!$Q$6:$Q$511,$M316),"")</f>
        <v/>
      </c>
      <c r="H316" s="45" t="str">
        <f aca="false">IF($M316="","",INDEX(伝票元!$F$6:$F$511,$M316))</f>
        <v/>
      </c>
      <c r="I316" s="45" t="str">
        <f aca="false">IF($M316="","",INDEX(伝票元!$G$6:$G$511,$M316))</f>
        <v/>
      </c>
      <c r="J316" s="42" t="str">
        <f aca="false">IF($M316="","",INDEX(伝票元!$H$6:$H$511,$M316))</f>
        <v/>
      </c>
      <c r="K316" s="46" t="str">
        <f aca="false">IF(IF($M316="",0,INDEX(伝票元!$N$6:$N$511,$M316))=1,INDEX(伝票元!$R$6:$R$511,$M316),"")</f>
        <v/>
      </c>
      <c r="L316" s="47" t="str">
        <f aca="false">IF($M316="","",INDEX(伝票元!$S$6:$S$511,$M316))</f>
        <v/>
      </c>
      <c r="M316" s="47" t="str">
        <f aca="false">IFERROR(MATCH(310,伝票元!$O$6:$O$511,0),"")</f>
        <v/>
      </c>
    </row>
    <row r="317" customFormat="false" ht="15" hidden="false" customHeight="false" outlineLevel="0" collapsed="false">
      <c r="A317" s="10" t="str">
        <f aca="false">IF($M317="","",INDEX(伝票元!$P$6:$P$511,$M317))</f>
        <v/>
      </c>
      <c r="B317" s="45" t="str">
        <f aca="false">IF($M317="","",INDEX(伝票元!$D$6:$D$511,$M317))</f>
        <v/>
      </c>
      <c r="C317" s="10" t="str">
        <f aca="false">IF($M317="","",INDEX(伝票元!$E$6:$E$511,$M317))</f>
        <v/>
      </c>
      <c r="D317" s="45" t="str">
        <f aca="false">IF($M317="","",INDEX(伝票元!$A$6:$A$511,$M317))</f>
        <v/>
      </c>
      <c r="E317" s="10" t="str">
        <f aca="false">IF(IF($M317="",0,INDEX(伝票元!$N$6:$N$511,$M317))=1,INDEX(伝票元!$I$6:$I$511,$M317),"")</f>
        <v/>
      </c>
      <c r="F317" s="45" t="str">
        <f aca="false">IF(IF($M317="",0,INDEX(伝票元!$N$6:$N$511,$M317))=1,INDEX(伝票元!$J$6:$J$511,$M317),"")</f>
        <v/>
      </c>
      <c r="G317" s="42" t="str">
        <f aca="false">IF(IF($M317="",0,INDEX(伝票元!$N$6:$N$511,$M317))=1,INDEX(伝票元!$Q$6:$Q$511,$M317),"")</f>
        <v/>
      </c>
      <c r="H317" s="45" t="str">
        <f aca="false">IF($M317="","",INDEX(伝票元!$F$6:$F$511,$M317))</f>
        <v/>
      </c>
      <c r="I317" s="45" t="str">
        <f aca="false">IF($M317="","",INDEX(伝票元!$G$6:$G$511,$M317))</f>
        <v/>
      </c>
      <c r="J317" s="42" t="str">
        <f aca="false">IF($M317="","",INDEX(伝票元!$H$6:$H$511,$M317))</f>
        <v/>
      </c>
      <c r="K317" s="46" t="str">
        <f aca="false">IF(IF($M317="",0,INDEX(伝票元!$N$6:$N$511,$M317))=1,INDEX(伝票元!$R$6:$R$511,$M317),"")</f>
        <v/>
      </c>
      <c r="L317" s="47" t="str">
        <f aca="false">IF($M317="","",INDEX(伝票元!$S$6:$S$511,$M317))</f>
        <v/>
      </c>
      <c r="M317" s="47" t="str">
        <f aca="false">IFERROR(MATCH(311,伝票元!$O$6:$O$511,0),"")</f>
        <v/>
      </c>
    </row>
    <row r="318" customFormat="false" ht="15" hidden="false" customHeight="false" outlineLevel="0" collapsed="false">
      <c r="A318" s="10" t="str">
        <f aca="false">IF($M318="","",INDEX(伝票元!$P$6:$P$511,$M318))</f>
        <v/>
      </c>
      <c r="B318" s="45" t="str">
        <f aca="false">IF($M318="","",INDEX(伝票元!$D$6:$D$511,$M318))</f>
        <v/>
      </c>
      <c r="C318" s="10" t="str">
        <f aca="false">IF($M318="","",INDEX(伝票元!$E$6:$E$511,$M318))</f>
        <v/>
      </c>
      <c r="D318" s="45" t="str">
        <f aca="false">IF($M318="","",INDEX(伝票元!$A$6:$A$511,$M318))</f>
        <v/>
      </c>
      <c r="E318" s="10" t="str">
        <f aca="false">IF(IF($M318="",0,INDEX(伝票元!$N$6:$N$511,$M318))=1,INDEX(伝票元!$I$6:$I$511,$M318),"")</f>
        <v/>
      </c>
      <c r="F318" s="45" t="str">
        <f aca="false">IF(IF($M318="",0,INDEX(伝票元!$N$6:$N$511,$M318))=1,INDEX(伝票元!$J$6:$J$511,$M318),"")</f>
        <v/>
      </c>
      <c r="G318" s="42" t="str">
        <f aca="false">IF(IF($M318="",0,INDEX(伝票元!$N$6:$N$511,$M318))=1,INDEX(伝票元!$Q$6:$Q$511,$M318),"")</f>
        <v/>
      </c>
      <c r="H318" s="45" t="str">
        <f aca="false">IF($M318="","",INDEX(伝票元!$F$6:$F$511,$M318))</f>
        <v/>
      </c>
      <c r="I318" s="45" t="str">
        <f aca="false">IF($M318="","",INDEX(伝票元!$G$6:$G$511,$M318))</f>
        <v/>
      </c>
      <c r="J318" s="42" t="str">
        <f aca="false">IF($M318="","",INDEX(伝票元!$H$6:$H$511,$M318))</f>
        <v/>
      </c>
      <c r="K318" s="46" t="str">
        <f aca="false">IF(IF($M318="",0,INDEX(伝票元!$N$6:$N$511,$M318))=1,INDEX(伝票元!$R$6:$R$511,$M318),"")</f>
        <v/>
      </c>
      <c r="L318" s="47" t="str">
        <f aca="false">IF($M318="","",INDEX(伝票元!$S$6:$S$511,$M318))</f>
        <v/>
      </c>
      <c r="M318" s="47" t="str">
        <f aca="false">IFERROR(MATCH(312,伝票元!$O$6:$O$511,0),"")</f>
        <v/>
      </c>
    </row>
    <row r="319" customFormat="false" ht="15" hidden="false" customHeight="false" outlineLevel="0" collapsed="false">
      <c r="A319" s="10" t="str">
        <f aca="false">IF($M319="","",INDEX(伝票元!$P$6:$P$511,$M319))</f>
        <v/>
      </c>
      <c r="B319" s="45" t="str">
        <f aca="false">IF($M319="","",INDEX(伝票元!$D$6:$D$511,$M319))</f>
        <v/>
      </c>
      <c r="C319" s="10" t="str">
        <f aca="false">IF($M319="","",INDEX(伝票元!$E$6:$E$511,$M319))</f>
        <v/>
      </c>
      <c r="D319" s="45" t="str">
        <f aca="false">IF($M319="","",INDEX(伝票元!$A$6:$A$511,$M319))</f>
        <v/>
      </c>
      <c r="E319" s="10" t="str">
        <f aca="false">IF(IF($M319="",0,INDEX(伝票元!$N$6:$N$511,$M319))=1,INDEX(伝票元!$I$6:$I$511,$M319),"")</f>
        <v/>
      </c>
      <c r="F319" s="45" t="str">
        <f aca="false">IF(IF($M319="",0,INDEX(伝票元!$N$6:$N$511,$M319))=1,INDEX(伝票元!$J$6:$J$511,$M319),"")</f>
        <v/>
      </c>
      <c r="G319" s="42" t="str">
        <f aca="false">IF(IF($M319="",0,INDEX(伝票元!$N$6:$N$511,$M319))=1,INDEX(伝票元!$Q$6:$Q$511,$M319),"")</f>
        <v/>
      </c>
      <c r="H319" s="45" t="str">
        <f aca="false">IF($M319="","",INDEX(伝票元!$F$6:$F$511,$M319))</f>
        <v/>
      </c>
      <c r="I319" s="45" t="str">
        <f aca="false">IF($M319="","",INDEX(伝票元!$G$6:$G$511,$M319))</f>
        <v/>
      </c>
      <c r="J319" s="42" t="str">
        <f aca="false">IF($M319="","",INDEX(伝票元!$H$6:$H$511,$M319))</f>
        <v/>
      </c>
      <c r="K319" s="46" t="str">
        <f aca="false">IF(IF($M319="",0,INDEX(伝票元!$N$6:$N$511,$M319))=1,INDEX(伝票元!$R$6:$R$511,$M319),"")</f>
        <v/>
      </c>
      <c r="L319" s="47" t="str">
        <f aca="false">IF($M319="","",INDEX(伝票元!$S$6:$S$511,$M319))</f>
        <v/>
      </c>
      <c r="M319" s="47" t="str">
        <f aca="false">IFERROR(MATCH(313,伝票元!$O$6:$O$511,0),"")</f>
        <v/>
      </c>
    </row>
    <row r="320" customFormat="false" ht="15" hidden="false" customHeight="false" outlineLevel="0" collapsed="false">
      <c r="A320" s="10" t="str">
        <f aca="false">IF($M320="","",INDEX(伝票元!$P$6:$P$511,$M320))</f>
        <v/>
      </c>
      <c r="B320" s="45" t="str">
        <f aca="false">IF($M320="","",INDEX(伝票元!$D$6:$D$511,$M320))</f>
        <v/>
      </c>
      <c r="C320" s="10" t="str">
        <f aca="false">IF($M320="","",INDEX(伝票元!$E$6:$E$511,$M320))</f>
        <v/>
      </c>
      <c r="D320" s="45" t="str">
        <f aca="false">IF($M320="","",INDEX(伝票元!$A$6:$A$511,$M320))</f>
        <v/>
      </c>
      <c r="E320" s="10" t="str">
        <f aca="false">IF(IF($M320="",0,INDEX(伝票元!$N$6:$N$511,$M320))=1,INDEX(伝票元!$I$6:$I$511,$M320),"")</f>
        <v/>
      </c>
      <c r="F320" s="45" t="str">
        <f aca="false">IF(IF($M320="",0,INDEX(伝票元!$N$6:$N$511,$M320))=1,INDEX(伝票元!$J$6:$J$511,$M320),"")</f>
        <v/>
      </c>
      <c r="G320" s="42" t="str">
        <f aca="false">IF(IF($M320="",0,INDEX(伝票元!$N$6:$N$511,$M320))=1,INDEX(伝票元!$Q$6:$Q$511,$M320),"")</f>
        <v/>
      </c>
      <c r="H320" s="45" t="str">
        <f aca="false">IF($M320="","",INDEX(伝票元!$F$6:$F$511,$M320))</f>
        <v/>
      </c>
      <c r="I320" s="45" t="str">
        <f aca="false">IF($M320="","",INDEX(伝票元!$G$6:$G$511,$M320))</f>
        <v/>
      </c>
      <c r="J320" s="42" t="str">
        <f aca="false">IF($M320="","",INDEX(伝票元!$H$6:$H$511,$M320))</f>
        <v/>
      </c>
      <c r="K320" s="46" t="str">
        <f aca="false">IF(IF($M320="",0,INDEX(伝票元!$N$6:$N$511,$M320))=1,INDEX(伝票元!$R$6:$R$511,$M320),"")</f>
        <v/>
      </c>
      <c r="L320" s="47" t="str">
        <f aca="false">IF($M320="","",INDEX(伝票元!$S$6:$S$511,$M320))</f>
        <v/>
      </c>
      <c r="M320" s="47" t="str">
        <f aca="false">IFERROR(MATCH(314,伝票元!$O$6:$O$511,0),"")</f>
        <v/>
      </c>
    </row>
    <row r="321" customFormat="false" ht="15" hidden="false" customHeight="false" outlineLevel="0" collapsed="false">
      <c r="A321" s="10" t="str">
        <f aca="false">IF($M321="","",INDEX(伝票元!$P$6:$P$511,$M321))</f>
        <v/>
      </c>
      <c r="B321" s="45" t="str">
        <f aca="false">IF($M321="","",INDEX(伝票元!$D$6:$D$511,$M321))</f>
        <v/>
      </c>
      <c r="C321" s="10" t="str">
        <f aca="false">IF($M321="","",INDEX(伝票元!$E$6:$E$511,$M321))</f>
        <v/>
      </c>
      <c r="D321" s="45" t="str">
        <f aca="false">IF($M321="","",INDEX(伝票元!$A$6:$A$511,$M321))</f>
        <v/>
      </c>
      <c r="E321" s="10" t="str">
        <f aca="false">IF(IF($M321="",0,INDEX(伝票元!$N$6:$N$511,$M321))=1,INDEX(伝票元!$I$6:$I$511,$M321),"")</f>
        <v/>
      </c>
      <c r="F321" s="45" t="str">
        <f aca="false">IF(IF($M321="",0,INDEX(伝票元!$N$6:$N$511,$M321))=1,INDEX(伝票元!$J$6:$J$511,$M321),"")</f>
        <v/>
      </c>
      <c r="G321" s="42" t="str">
        <f aca="false">IF(IF($M321="",0,INDEX(伝票元!$N$6:$N$511,$M321))=1,INDEX(伝票元!$Q$6:$Q$511,$M321),"")</f>
        <v/>
      </c>
      <c r="H321" s="45" t="str">
        <f aca="false">IF($M321="","",INDEX(伝票元!$F$6:$F$511,$M321))</f>
        <v/>
      </c>
      <c r="I321" s="45" t="str">
        <f aca="false">IF($M321="","",INDEX(伝票元!$G$6:$G$511,$M321))</f>
        <v/>
      </c>
      <c r="J321" s="42" t="str">
        <f aca="false">IF($M321="","",INDEX(伝票元!$H$6:$H$511,$M321))</f>
        <v/>
      </c>
      <c r="K321" s="46" t="str">
        <f aca="false">IF(IF($M321="",0,INDEX(伝票元!$N$6:$N$511,$M321))=1,INDEX(伝票元!$R$6:$R$511,$M321),"")</f>
        <v/>
      </c>
      <c r="L321" s="47" t="str">
        <f aca="false">IF($M321="","",INDEX(伝票元!$S$6:$S$511,$M321))</f>
        <v/>
      </c>
      <c r="M321" s="47" t="str">
        <f aca="false">IFERROR(MATCH(315,伝票元!$O$6:$O$511,0),"")</f>
        <v/>
      </c>
    </row>
    <row r="322" customFormat="false" ht="15" hidden="false" customHeight="false" outlineLevel="0" collapsed="false">
      <c r="A322" s="10" t="str">
        <f aca="false">IF($M322="","",INDEX(伝票元!$P$6:$P$511,$M322))</f>
        <v/>
      </c>
      <c r="B322" s="45" t="str">
        <f aca="false">IF($M322="","",INDEX(伝票元!$D$6:$D$511,$M322))</f>
        <v/>
      </c>
      <c r="C322" s="10" t="str">
        <f aca="false">IF($M322="","",INDEX(伝票元!$E$6:$E$511,$M322))</f>
        <v/>
      </c>
      <c r="D322" s="45" t="str">
        <f aca="false">IF($M322="","",INDEX(伝票元!$A$6:$A$511,$M322))</f>
        <v/>
      </c>
      <c r="E322" s="10" t="str">
        <f aca="false">IF(IF($M322="",0,INDEX(伝票元!$N$6:$N$511,$M322))=1,INDEX(伝票元!$I$6:$I$511,$M322),"")</f>
        <v/>
      </c>
      <c r="F322" s="45" t="str">
        <f aca="false">IF(IF($M322="",0,INDEX(伝票元!$N$6:$N$511,$M322))=1,INDEX(伝票元!$J$6:$J$511,$M322),"")</f>
        <v/>
      </c>
      <c r="G322" s="42" t="str">
        <f aca="false">IF(IF($M322="",0,INDEX(伝票元!$N$6:$N$511,$M322))=1,INDEX(伝票元!$Q$6:$Q$511,$M322),"")</f>
        <v/>
      </c>
      <c r="H322" s="45" t="str">
        <f aca="false">IF($M322="","",INDEX(伝票元!$F$6:$F$511,$M322))</f>
        <v/>
      </c>
      <c r="I322" s="45" t="str">
        <f aca="false">IF($M322="","",INDEX(伝票元!$G$6:$G$511,$M322))</f>
        <v/>
      </c>
      <c r="J322" s="42" t="str">
        <f aca="false">IF($M322="","",INDEX(伝票元!$H$6:$H$511,$M322))</f>
        <v/>
      </c>
      <c r="K322" s="46" t="str">
        <f aca="false">IF(IF($M322="",0,INDEX(伝票元!$N$6:$N$511,$M322))=1,INDEX(伝票元!$R$6:$R$511,$M322),"")</f>
        <v/>
      </c>
      <c r="L322" s="47" t="str">
        <f aca="false">IF($M322="","",INDEX(伝票元!$S$6:$S$511,$M322))</f>
        <v/>
      </c>
      <c r="M322" s="47" t="str">
        <f aca="false">IFERROR(MATCH(316,伝票元!$O$6:$O$511,0),"")</f>
        <v/>
      </c>
    </row>
    <row r="323" customFormat="false" ht="15" hidden="false" customHeight="false" outlineLevel="0" collapsed="false">
      <c r="A323" s="10" t="str">
        <f aca="false">IF($M323="","",INDEX(伝票元!$P$6:$P$511,$M323))</f>
        <v/>
      </c>
      <c r="B323" s="45" t="str">
        <f aca="false">IF($M323="","",INDEX(伝票元!$D$6:$D$511,$M323))</f>
        <v/>
      </c>
      <c r="C323" s="10" t="str">
        <f aca="false">IF($M323="","",INDEX(伝票元!$E$6:$E$511,$M323))</f>
        <v/>
      </c>
      <c r="D323" s="45" t="str">
        <f aca="false">IF($M323="","",INDEX(伝票元!$A$6:$A$511,$M323))</f>
        <v/>
      </c>
      <c r="E323" s="10" t="str">
        <f aca="false">IF(IF($M323="",0,INDEX(伝票元!$N$6:$N$511,$M323))=1,INDEX(伝票元!$I$6:$I$511,$M323),"")</f>
        <v/>
      </c>
      <c r="F323" s="45" t="str">
        <f aca="false">IF(IF($M323="",0,INDEX(伝票元!$N$6:$N$511,$M323))=1,INDEX(伝票元!$J$6:$J$511,$M323),"")</f>
        <v/>
      </c>
      <c r="G323" s="42" t="str">
        <f aca="false">IF(IF($M323="",0,INDEX(伝票元!$N$6:$N$511,$M323))=1,INDEX(伝票元!$Q$6:$Q$511,$M323),"")</f>
        <v/>
      </c>
      <c r="H323" s="45" t="str">
        <f aca="false">IF($M323="","",INDEX(伝票元!$F$6:$F$511,$M323))</f>
        <v/>
      </c>
      <c r="I323" s="45" t="str">
        <f aca="false">IF($M323="","",INDEX(伝票元!$G$6:$G$511,$M323))</f>
        <v/>
      </c>
      <c r="J323" s="42" t="str">
        <f aca="false">IF($M323="","",INDEX(伝票元!$H$6:$H$511,$M323))</f>
        <v/>
      </c>
      <c r="K323" s="46" t="str">
        <f aca="false">IF(IF($M323="",0,INDEX(伝票元!$N$6:$N$511,$M323))=1,INDEX(伝票元!$R$6:$R$511,$M323),"")</f>
        <v/>
      </c>
      <c r="L323" s="47" t="str">
        <f aca="false">IF($M323="","",INDEX(伝票元!$S$6:$S$511,$M323))</f>
        <v/>
      </c>
      <c r="M323" s="47" t="str">
        <f aca="false">IFERROR(MATCH(317,伝票元!$O$6:$O$511,0),"")</f>
        <v/>
      </c>
    </row>
    <row r="324" customFormat="false" ht="15" hidden="false" customHeight="false" outlineLevel="0" collapsed="false">
      <c r="A324" s="10" t="str">
        <f aca="false">IF($M324="","",INDEX(伝票元!$P$6:$P$511,$M324))</f>
        <v/>
      </c>
      <c r="B324" s="45" t="str">
        <f aca="false">IF($M324="","",INDEX(伝票元!$D$6:$D$511,$M324))</f>
        <v/>
      </c>
      <c r="C324" s="10" t="str">
        <f aca="false">IF($M324="","",INDEX(伝票元!$E$6:$E$511,$M324))</f>
        <v/>
      </c>
      <c r="D324" s="45" t="str">
        <f aca="false">IF($M324="","",INDEX(伝票元!$A$6:$A$511,$M324))</f>
        <v/>
      </c>
      <c r="E324" s="10" t="str">
        <f aca="false">IF(IF($M324="",0,INDEX(伝票元!$N$6:$N$511,$M324))=1,INDEX(伝票元!$I$6:$I$511,$M324),"")</f>
        <v/>
      </c>
      <c r="F324" s="45" t="str">
        <f aca="false">IF(IF($M324="",0,INDEX(伝票元!$N$6:$N$511,$M324))=1,INDEX(伝票元!$J$6:$J$511,$M324),"")</f>
        <v/>
      </c>
      <c r="G324" s="42" t="str">
        <f aca="false">IF(IF($M324="",0,INDEX(伝票元!$N$6:$N$511,$M324))=1,INDEX(伝票元!$Q$6:$Q$511,$M324),"")</f>
        <v/>
      </c>
      <c r="H324" s="45" t="str">
        <f aca="false">IF($M324="","",INDEX(伝票元!$F$6:$F$511,$M324))</f>
        <v/>
      </c>
      <c r="I324" s="45" t="str">
        <f aca="false">IF($M324="","",INDEX(伝票元!$G$6:$G$511,$M324))</f>
        <v/>
      </c>
      <c r="J324" s="42" t="str">
        <f aca="false">IF($M324="","",INDEX(伝票元!$H$6:$H$511,$M324))</f>
        <v/>
      </c>
      <c r="K324" s="46" t="str">
        <f aca="false">IF(IF($M324="",0,INDEX(伝票元!$N$6:$N$511,$M324))=1,INDEX(伝票元!$R$6:$R$511,$M324),"")</f>
        <v/>
      </c>
      <c r="L324" s="47" t="str">
        <f aca="false">IF($M324="","",INDEX(伝票元!$S$6:$S$511,$M324))</f>
        <v/>
      </c>
      <c r="M324" s="47" t="str">
        <f aca="false">IFERROR(MATCH(318,伝票元!$O$6:$O$511,0),"")</f>
        <v/>
      </c>
    </row>
    <row r="325" customFormat="false" ht="15" hidden="false" customHeight="false" outlineLevel="0" collapsed="false">
      <c r="A325" s="10" t="str">
        <f aca="false">IF($M325="","",INDEX(伝票元!$P$6:$P$511,$M325))</f>
        <v/>
      </c>
      <c r="B325" s="45" t="str">
        <f aca="false">IF($M325="","",INDEX(伝票元!$D$6:$D$511,$M325))</f>
        <v/>
      </c>
      <c r="C325" s="10" t="str">
        <f aca="false">IF($M325="","",INDEX(伝票元!$E$6:$E$511,$M325))</f>
        <v/>
      </c>
      <c r="D325" s="45" t="str">
        <f aca="false">IF($M325="","",INDEX(伝票元!$A$6:$A$511,$M325))</f>
        <v/>
      </c>
      <c r="E325" s="10" t="str">
        <f aca="false">IF(IF($M325="",0,INDEX(伝票元!$N$6:$N$511,$M325))=1,INDEX(伝票元!$I$6:$I$511,$M325),"")</f>
        <v/>
      </c>
      <c r="F325" s="45" t="str">
        <f aca="false">IF(IF($M325="",0,INDEX(伝票元!$N$6:$N$511,$M325))=1,INDEX(伝票元!$J$6:$J$511,$M325),"")</f>
        <v/>
      </c>
      <c r="G325" s="42" t="str">
        <f aca="false">IF(IF($M325="",0,INDEX(伝票元!$N$6:$N$511,$M325))=1,INDEX(伝票元!$Q$6:$Q$511,$M325),"")</f>
        <v/>
      </c>
      <c r="H325" s="45" t="str">
        <f aca="false">IF($M325="","",INDEX(伝票元!$F$6:$F$511,$M325))</f>
        <v/>
      </c>
      <c r="I325" s="45" t="str">
        <f aca="false">IF($M325="","",INDEX(伝票元!$G$6:$G$511,$M325))</f>
        <v/>
      </c>
      <c r="J325" s="42" t="str">
        <f aca="false">IF($M325="","",INDEX(伝票元!$H$6:$H$511,$M325))</f>
        <v/>
      </c>
      <c r="K325" s="46" t="str">
        <f aca="false">IF(IF($M325="",0,INDEX(伝票元!$N$6:$N$511,$M325))=1,INDEX(伝票元!$R$6:$R$511,$M325),"")</f>
        <v/>
      </c>
      <c r="L325" s="47" t="str">
        <f aca="false">IF($M325="","",INDEX(伝票元!$S$6:$S$511,$M325))</f>
        <v/>
      </c>
      <c r="M325" s="47" t="str">
        <f aca="false">IFERROR(MATCH(319,伝票元!$O$6:$O$511,0),"")</f>
        <v/>
      </c>
    </row>
    <row r="326" customFormat="false" ht="15" hidden="false" customHeight="false" outlineLevel="0" collapsed="false">
      <c r="A326" s="10" t="str">
        <f aca="false">IF($M326="","",INDEX(伝票元!$P$6:$P$511,$M326))</f>
        <v/>
      </c>
      <c r="B326" s="45" t="str">
        <f aca="false">IF($M326="","",INDEX(伝票元!$D$6:$D$511,$M326))</f>
        <v/>
      </c>
      <c r="C326" s="10" t="str">
        <f aca="false">IF($M326="","",INDEX(伝票元!$E$6:$E$511,$M326))</f>
        <v/>
      </c>
      <c r="D326" s="45" t="str">
        <f aca="false">IF($M326="","",INDEX(伝票元!$A$6:$A$511,$M326))</f>
        <v/>
      </c>
      <c r="E326" s="10" t="str">
        <f aca="false">IF(IF($M326="",0,INDEX(伝票元!$N$6:$N$511,$M326))=1,INDEX(伝票元!$I$6:$I$511,$M326),"")</f>
        <v/>
      </c>
      <c r="F326" s="45" t="str">
        <f aca="false">IF(IF($M326="",0,INDEX(伝票元!$N$6:$N$511,$M326))=1,INDEX(伝票元!$J$6:$J$511,$M326),"")</f>
        <v/>
      </c>
      <c r="G326" s="42" t="str">
        <f aca="false">IF(IF($M326="",0,INDEX(伝票元!$N$6:$N$511,$M326))=1,INDEX(伝票元!$Q$6:$Q$511,$M326),"")</f>
        <v/>
      </c>
      <c r="H326" s="45" t="str">
        <f aca="false">IF($M326="","",INDEX(伝票元!$F$6:$F$511,$M326))</f>
        <v/>
      </c>
      <c r="I326" s="45" t="str">
        <f aca="false">IF($M326="","",INDEX(伝票元!$G$6:$G$511,$M326))</f>
        <v/>
      </c>
      <c r="J326" s="42" t="str">
        <f aca="false">IF($M326="","",INDEX(伝票元!$H$6:$H$511,$M326))</f>
        <v/>
      </c>
      <c r="K326" s="46" t="str">
        <f aca="false">IF(IF($M326="",0,INDEX(伝票元!$N$6:$N$511,$M326))=1,INDEX(伝票元!$R$6:$R$511,$M326),"")</f>
        <v/>
      </c>
      <c r="L326" s="47" t="str">
        <f aca="false">IF($M326="","",INDEX(伝票元!$S$6:$S$511,$M326))</f>
        <v/>
      </c>
      <c r="M326" s="47" t="str">
        <f aca="false">IFERROR(MATCH(320,伝票元!$O$6:$O$511,0),"")</f>
        <v/>
      </c>
    </row>
    <row r="327" customFormat="false" ht="15" hidden="false" customHeight="false" outlineLevel="0" collapsed="false">
      <c r="A327" s="10" t="str">
        <f aca="false">IF($M327="","",INDEX(伝票元!$P$6:$P$511,$M327))</f>
        <v/>
      </c>
      <c r="B327" s="45" t="str">
        <f aca="false">IF($M327="","",INDEX(伝票元!$D$6:$D$511,$M327))</f>
        <v/>
      </c>
      <c r="C327" s="10" t="str">
        <f aca="false">IF($M327="","",INDEX(伝票元!$E$6:$E$511,$M327))</f>
        <v/>
      </c>
      <c r="D327" s="45" t="str">
        <f aca="false">IF($M327="","",INDEX(伝票元!$A$6:$A$511,$M327))</f>
        <v/>
      </c>
      <c r="E327" s="10" t="str">
        <f aca="false">IF(IF($M327="",0,INDEX(伝票元!$N$6:$N$511,$M327))=1,INDEX(伝票元!$I$6:$I$511,$M327),"")</f>
        <v/>
      </c>
      <c r="F327" s="45" t="str">
        <f aca="false">IF(IF($M327="",0,INDEX(伝票元!$N$6:$N$511,$M327))=1,INDEX(伝票元!$J$6:$J$511,$M327),"")</f>
        <v/>
      </c>
      <c r="G327" s="42" t="str">
        <f aca="false">IF(IF($M327="",0,INDEX(伝票元!$N$6:$N$511,$M327))=1,INDEX(伝票元!$Q$6:$Q$511,$M327),"")</f>
        <v/>
      </c>
      <c r="H327" s="45" t="str">
        <f aca="false">IF($M327="","",INDEX(伝票元!$F$6:$F$511,$M327))</f>
        <v/>
      </c>
      <c r="I327" s="45" t="str">
        <f aca="false">IF($M327="","",INDEX(伝票元!$G$6:$G$511,$M327))</f>
        <v/>
      </c>
      <c r="J327" s="42" t="str">
        <f aca="false">IF($M327="","",INDEX(伝票元!$H$6:$H$511,$M327))</f>
        <v/>
      </c>
      <c r="K327" s="46" t="str">
        <f aca="false">IF(IF($M327="",0,INDEX(伝票元!$N$6:$N$511,$M327))=1,INDEX(伝票元!$R$6:$R$511,$M327),"")</f>
        <v/>
      </c>
      <c r="L327" s="47" t="str">
        <f aca="false">IF($M327="","",INDEX(伝票元!$S$6:$S$511,$M327))</f>
        <v/>
      </c>
      <c r="M327" s="47" t="str">
        <f aca="false">IFERROR(MATCH(321,伝票元!$O$6:$O$511,0),"")</f>
        <v/>
      </c>
    </row>
    <row r="328" customFormat="false" ht="15" hidden="false" customHeight="false" outlineLevel="0" collapsed="false">
      <c r="A328" s="10" t="str">
        <f aca="false">IF($M328="","",INDEX(伝票元!$P$6:$P$511,$M328))</f>
        <v/>
      </c>
      <c r="B328" s="45" t="str">
        <f aca="false">IF($M328="","",INDEX(伝票元!$D$6:$D$511,$M328))</f>
        <v/>
      </c>
      <c r="C328" s="10" t="str">
        <f aca="false">IF($M328="","",INDEX(伝票元!$E$6:$E$511,$M328))</f>
        <v/>
      </c>
      <c r="D328" s="45" t="str">
        <f aca="false">IF($M328="","",INDEX(伝票元!$A$6:$A$511,$M328))</f>
        <v/>
      </c>
      <c r="E328" s="10" t="str">
        <f aca="false">IF(IF($M328="",0,INDEX(伝票元!$N$6:$N$511,$M328))=1,INDEX(伝票元!$I$6:$I$511,$M328),"")</f>
        <v/>
      </c>
      <c r="F328" s="45" t="str">
        <f aca="false">IF(IF($M328="",0,INDEX(伝票元!$N$6:$N$511,$M328))=1,INDEX(伝票元!$J$6:$J$511,$M328),"")</f>
        <v/>
      </c>
      <c r="G328" s="42" t="str">
        <f aca="false">IF(IF($M328="",0,INDEX(伝票元!$N$6:$N$511,$M328))=1,INDEX(伝票元!$Q$6:$Q$511,$M328),"")</f>
        <v/>
      </c>
      <c r="H328" s="45" t="str">
        <f aca="false">IF($M328="","",INDEX(伝票元!$F$6:$F$511,$M328))</f>
        <v/>
      </c>
      <c r="I328" s="45" t="str">
        <f aca="false">IF($M328="","",INDEX(伝票元!$G$6:$G$511,$M328))</f>
        <v/>
      </c>
      <c r="J328" s="42" t="str">
        <f aca="false">IF($M328="","",INDEX(伝票元!$H$6:$H$511,$M328))</f>
        <v/>
      </c>
      <c r="K328" s="46" t="str">
        <f aca="false">IF(IF($M328="",0,INDEX(伝票元!$N$6:$N$511,$M328))=1,INDEX(伝票元!$R$6:$R$511,$M328),"")</f>
        <v/>
      </c>
      <c r="L328" s="47" t="str">
        <f aca="false">IF($M328="","",INDEX(伝票元!$S$6:$S$511,$M328))</f>
        <v/>
      </c>
      <c r="M328" s="47" t="str">
        <f aca="false">IFERROR(MATCH(322,伝票元!$O$6:$O$511,0),"")</f>
        <v/>
      </c>
    </row>
    <row r="329" customFormat="false" ht="15" hidden="false" customHeight="false" outlineLevel="0" collapsed="false">
      <c r="A329" s="10" t="str">
        <f aca="false">IF($M329="","",INDEX(伝票元!$P$6:$P$511,$M329))</f>
        <v/>
      </c>
      <c r="B329" s="45" t="str">
        <f aca="false">IF($M329="","",INDEX(伝票元!$D$6:$D$511,$M329))</f>
        <v/>
      </c>
      <c r="C329" s="10" t="str">
        <f aca="false">IF($M329="","",INDEX(伝票元!$E$6:$E$511,$M329))</f>
        <v/>
      </c>
      <c r="D329" s="45" t="str">
        <f aca="false">IF($M329="","",INDEX(伝票元!$A$6:$A$511,$M329))</f>
        <v/>
      </c>
      <c r="E329" s="10" t="str">
        <f aca="false">IF(IF($M329="",0,INDEX(伝票元!$N$6:$N$511,$M329))=1,INDEX(伝票元!$I$6:$I$511,$M329),"")</f>
        <v/>
      </c>
      <c r="F329" s="45" t="str">
        <f aca="false">IF(IF($M329="",0,INDEX(伝票元!$N$6:$N$511,$M329))=1,INDEX(伝票元!$J$6:$J$511,$M329),"")</f>
        <v/>
      </c>
      <c r="G329" s="42" t="str">
        <f aca="false">IF(IF($M329="",0,INDEX(伝票元!$N$6:$N$511,$M329))=1,INDEX(伝票元!$Q$6:$Q$511,$M329),"")</f>
        <v/>
      </c>
      <c r="H329" s="45" t="str">
        <f aca="false">IF($M329="","",INDEX(伝票元!$F$6:$F$511,$M329))</f>
        <v/>
      </c>
      <c r="I329" s="45" t="str">
        <f aca="false">IF($M329="","",INDEX(伝票元!$G$6:$G$511,$M329))</f>
        <v/>
      </c>
      <c r="J329" s="42" t="str">
        <f aca="false">IF($M329="","",INDEX(伝票元!$H$6:$H$511,$M329))</f>
        <v/>
      </c>
      <c r="K329" s="46" t="str">
        <f aca="false">IF(IF($M329="",0,INDEX(伝票元!$N$6:$N$511,$M329))=1,INDEX(伝票元!$R$6:$R$511,$M329),"")</f>
        <v/>
      </c>
      <c r="L329" s="47" t="str">
        <f aca="false">IF($M329="","",INDEX(伝票元!$S$6:$S$511,$M329))</f>
        <v/>
      </c>
      <c r="M329" s="47" t="str">
        <f aca="false">IFERROR(MATCH(323,伝票元!$O$6:$O$511,0),"")</f>
        <v/>
      </c>
    </row>
    <row r="330" customFormat="false" ht="15" hidden="false" customHeight="false" outlineLevel="0" collapsed="false">
      <c r="A330" s="10" t="str">
        <f aca="false">IF($M330="","",INDEX(伝票元!$P$6:$P$511,$M330))</f>
        <v/>
      </c>
      <c r="B330" s="45" t="str">
        <f aca="false">IF($M330="","",INDEX(伝票元!$D$6:$D$511,$M330))</f>
        <v/>
      </c>
      <c r="C330" s="10" t="str">
        <f aca="false">IF($M330="","",INDEX(伝票元!$E$6:$E$511,$M330))</f>
        <v/>
      </c>
      <c r="D330" s="45" t="str">
        <f aca="false">IF($M330="","",INDEX(伝票元!$A$6:$A$511,$M330))</f>
        <v/>
      </c>
      <c r="E330" s="10" t="str">
        <f aca="false">IF(IF($M330="",0,INDEX(伝票元!$N$6:$N$511,$M330))=1,INDEX(伝票元!$I$6:$I$511,$M330),"")</f>
        <v/>
      </c>
      <c r="F330" s="45" t="str">
        <f aca="false">IF(IF($M330="",0,INDEX(伝票元!$N$6:$N$511,$M330))=1,INDEX(伝票元!$J$6:$J$511,$M330),"")</f>
        <v/>
      </c>
      <c r="G330" s="42" t="str">
        <f aca="false">IF(IF($M330="",0,INDEX(伝票元!$N$6:$N$511,$M330))=1,INDEX(伝票元!$Q$6:$Q$511,$M330),"")</f>
        <v/>
      </c>
      <c r="H330" s="45" t="str">
        <f aca="false">IF($M330="","",INDEX(伝票元!$F$6:$F$511,$M330))</f>
        <v/>
      </c>
      <c r="I330" s="45" t="str">
        <f aca="false">IF($M330="","",INDEX(伝票元!$G$6:$G$511,$M330))</f>
        <v/>
      </c>
      <c r="J330" s="42" t="str">
        <f aca="false">IF($M330="","",INDEX(伝票元!$H$6:$H$511,$M330))</f>
        <v/>
      </c>
      <c r="K330" s="46" t="str">
        <f aca="false">IF(IF($M330="",0,INDEX(伝票元!$N$6:$N$511,$M330))=1,INDEX(伝票元!$R$6:$R$511,$M330),"")</f>
        <v/>
      </c>
      <c r="L330" s="47" t="str">
        <f aca="false">IF($M330="","",INDEX(伝票元!$S$6:$S$511,$M330))</f>
        <v/>
      </c>
      <c r="M330" s="47" t="str">
        <f aca="false">IFERROR(MATCH(324,伝票元!$O$6:$O$511,0),"")</f>
        <v/>
      </c>
    </row>
    <row r="331" customFormat="false" ht="15" hidden="false" customHeight="false" outlineLevel="0" collapsed="false">
      <c r="A331" s="10" t="str">
        <f aca="false">IF($M331="","",INDEX(伝票元!$P$6:$P$511,$M331))</f>
        <v/>
      </c>
      <c r="B331" s="45" t="str">
        <f aca="false">IF($M331="","",INDEX(伝票元!$D$6:$D$511,$M331))</f>
        <v/>
      </c>
      <c r="C331" s="10" t="str">
        <f aca="false">IF($M331="","",INDEX(伝票元!$E$6:$E$511,$M331))</f>
        <v/>
      </c>
      <c r="D331" s="45" t="str">
        <f aca="false">IF($M331="","",INDEX(伝票元!$A$6:$A$511,$M331))</f>
        <v/>
      </c>
      <c r="E331" s="10" t="str">
        <f aca="false">IF(IF($M331="",0,INDEX(伝票元!$N$6:$N$511,$M331))=1,INDEX(伝票元!$I$6:$I$511,$M331),"")</f>
        <v/>
      </c>
      <c r="F331" s="45" t="str">
        <f aca="false">IF(IF($M331="",0,INDEX(伝票元!$N$6:$N$511,$M331))=1,INDEX(伝票元!$J$6:$J$511,$M331),"")</f>
        <v/>
      </c>
      <c r="G331" s="42" t="str">
        <f aca="false">IF(IF($M331="",0,INDEX(伝票元!$N$6:$N$511,$M331))=1,INDEX(伝票元!$Q$6:$Q$511,$M331),"")</f>
        <v/>
      </c>
      <c r="H331" s="45" t="str">
        <f aca="false">IF($M331="","",INDEX(伝票元!$F$6:$F$511,$M331))</f>
        <v/>
      </c>
      <c r="I331" s="45" t="str">
        <f aca="false">IF($M331="","",INDEX(伝票元!$G$6:$G$511,$M331))</f>
        <v/>
      </c>
      <c r="J331" s="42" t="str">
        <f aca="false">IF($M331="","",INDEX(伝票元!$H$6:$H$511,$M331))</f>
        <v/>
      </c>
      <c r="K331" s="46" t="str">
        <f aca="false">IF(IF($M331="",0,INDEX(伝票元!$N$6:$N$511,$M331))=1,INDEX(伝票元!$R$6:$R$511,$M331),"")</f>
        <v/>
      </c>
      <c r="L331" s="47" t="str">
        <f aca="false">IF($M331="","",INDEX(伝票元!$S$6:$S$511,$M331))</f>
        <v/>
      </c>
      <c r="M331" s="47" t="str">
        <f aca="false">IFERROR(MATCH(325,伝票元!$O$6:$O$511,0),"")</f>
        <v/>
      </c>
    </row>
    <row r="332" customFormat="false" ht="15" hidden="false" customHeight="false" outlineLevel="0" collapsed="false">
      <c r="A332" s="10" t="str">
        <f aca="false">IF($M332="","",INDEX(伝票元!$P$6:$P$511,$M332))</f>
        <v/>
      </c>
      <c r="B332" s="45" t="str">
        <f aca="false">IF($M332="","",INDEX(伝票元!$D$6:$D$511,$M332))</f>
        <v/>
      </c>
      <c r="C332" s="10" t="str">
        <f aca="false">IF($M332="","",INDEX(伝票元!$E$6:$E$511,$M332))</f>
        <v/>
      </c>
      <c r="D332" s="45" t="str">
        <f aca="false">IF($M332="","",INDEX(伝票元!$A$6:$A$511,$M332))</f>
        <v/>
      </c>
      <c r="E332" s="10" t="str">
        <f aca="false">IF(IF($M332="",0,INDEX(伝票元!$N$6:$N$511,$M332))=1,INDEX(伝票元!$I$6:$I$511,$M332),"")</f>
        <v/>
      </c>
      <c r="F332" s="45" t="str">
        <f aca="false">IF(IF($M332="",0,INDEX(伝票元!$N$6:$N$511,$M332))=1,INDEX(伝票元!$J$6:$J$511,$M332),"")</f>
        <v/>
      </c>
      <c r="G332" s="42" t="str">
        <f aca="false">IF(IF($M332="",0,INDEX(伝票元!$N$6:$N$511,$M332))=1,INDEX(伝票元!$Q$6:$Q$511,$M332),"")</f>
        <v/>
      </c>
      <c r="H332" s="45" t="str">
        <f aca="false">IF($M332="","",INDEX(伝票元!$F$6:$F$511,$M332))</f>
        <v/>
      </c>
      <c r="I332" s="45" t="str">
        <f aca="false">IF($M332="","",INDEX(伝票元!$G$6:$G$511,$M332))</f>
        <v/>
      </c>
      <c r="J332" s="42" t="str">
        <f aca="false">IF($M332="","",INDEX(伝票元!$H$6:$H$511,$M332))</f>
        <v/>
      </c>
      <c r="K332" s="46" t="str">
        <f aca="false">IF(IF($M332="",0,INDEX(伝票元!$N$6:$N$511,$M332))=1,INDEX(伝票元!$R$6:$R$511,$M332),"")</f>
        <v/>
      </c>
      <c r="L332" s="47" t="str">
        <f aca="false">IF($M332="","",INDEX(伝票元!$S$6:$S$511,$M332))</f>
        <v/>
      </c>
      <c r="M332" s="47" t="str">
        <f aca="false">IFERROR(MATCH(326,伝票元!$O$6:$O$511,0),"")</f>
        <v/>
      </c>
    </row>
    <row r="333" customFormat="false" ht="15" hidden="false" customHeight="false" outlineLevel="0" collapsed="false">
      <c r="A333" s="10" t="str">
        <f aca="false">IF($M333="","",INDEX(伝票元!$P$6:$P$511,$M333))</f>
        <v/>
      </c>
      <c r="B333" s="45" t="str">
        <f aca="false">IF($M333="","",INDEX(伝票元!$D$6:$D$511,$M333))</f>
        <v/>
      </c>
      <c r="C333" s="10" t="str">
        <f aca="false">IF($M333="","",INDEX(伝票元!$E$6:$E$511,$M333))</f>
        <v/>
      </c>
      <c r="D333" s="45" t="str">
        <f aca="false">IF($M333="","",INDEX(伝票元!$A$6:$A$511,$M333))</f>
        <v/>
      </c>
      <c r="E333" s="10" t="str">
        <f aca="false">IF(IF($M333="",0,INDEX(伝票元!$N$6:$N$511,$M333))=1,INDEX(伝票元!$I$6:$I$511,$M333),"")</f>
        <v/>
      </c>
      <c r="F333" s="45" t="str">
        <f aca="false">IF(IF($M333="",0,INDEX(伝票元!$N$6:$N$511,$M333))=1,INDEX(伝票元!$J$6:$J$511,$M333),"")</f>
        <v/>
      </c>
      <c r="G333" s="42" t="str">
        <f aca="false">IF(IF($M333="",0,INDEX(伝票元!$N$6:$N$511,$M333))=1,INDEX(伝票元!$Q$6:$Q$511,$M333),"")</f>
        <v/>
      </c>
      <c r="H333" s="45" t="str">
        <f aca="false">IF($M333="","",INDEX(伝票元!$F$6:$F$511,$M333))</f>
        <v/>
      </c>
      <c r="I333" s="45" t="str">
        <f aca="false">IF($M333="","",INDEX(伝票元!$G$6:$G$511,$M333))</f>
        <v/>
      </c>
      <c r="J333" s="42" t="str">
        <f aca="false">IF($M333="","",INDEX(伝票元!$H$6:$H$511,$M333))</f>
        <v/>
      </c>
      <c r="K333" s="46" t="str">
        <f aca="false">IF(IF($M333="",0,INDEX(伝票元!$N$6:$N$511,$M333))=1,INDEX(伝票元!$R$6:$R$511,$M333),"")</f>
        <v/>
      </c>
      <c r="L333" s="47" t="str">
        <f aca="false">IF($M333="","",INDEX(伝票元!$S$6:$S$511,$M333))</f>
        <v/>
      </c>
      <c r="M333" s="47" t="str">
        <f aca="false">IFERROR(MATCH(327,伝票元!$O$6:$O$511,0),"")</f>
        <v/>
      </c>
    </row>
    <row r="334" customFormat="false" ht="15" hidden="false" customHeight="false" outlineLevel="0" collapsed="false">
      <c r="A334" s="10" t="str">
        <f aca="false">IF($M334="","",INDEX(伝票元!$P$6:$P$511,$M334))</f>
        <v/>
      </c>
      <c r="B334" s="45" t="str">
        <f aca="false">IF($M334="","",INDEX(伝票元!$D$6:$D$511,$M334))</f>
        <v/>
      </c>
      <c r="C334" s="10" t="str">
        <f aca="false">IF($M334="","",INDEX(伝票元!$E$6:$E$511,$M334))</f>
        <v/>
      </c>
      <c r="D334" s="45" t="str">
        <f aca="false">IF($M334="","",INDEX(伝票元!$A$6:$A$511,$M334))</f>
        <v/>
      </c>
      <c r="E334" s="10" t="str">
        <f aca="false">IF(IF($M334="",0,INDEX(伝票元!$N$6:$N$511,$M334))=1,INDEX(伝票元!$I$6:$I$511,$M334),"")</f>
        <v/>
      </c>
      <c r="F334" s="45" t="str">
        <f aca="false">IF(IF($M334="",0,INDEX(伝票元!$N$6:$N$511,$M334))=1,INDEX(伝票元!$J$6:$J$511,$M334),"")</f>
        <v/>
      </c>
      <c r="G334" s="42" t="str">
        <f aca="false">IF(IF($M334="",0,INDEX(伝票元!$N$6:$N$511,$M334))=1,INDEX(伝票元!$Q$6:$Q$511,$M334),"")</f>
        <v/>
      </c>
      <c r="H334" s="45" t="str">
        <f aca="false">IF($M334="","",INDEX(伝票元!$F$6:$F$511,$M334))</f>
        <v/>
      </c>
      <c r="I334" s="45" t="str">
        <f aca="false">IF($M334="","",INDEX(伝票元!$G$6:$G$511,$M334))</f>
        <v/>
      </c>
      <c r="J334" s="42" t="str">
        <f aca="false">IF($M334="","",INDEX(伝票元!$H$6:$H$511,$M334))</f>
        <v/>
      </c>
      <c r="K334" s="46" t="str">
        <f aca="false">IF(IF($M334="",0,INDEX(伝票元!$N$6:$N$511,$M334))=1,INDEX(伝票元!$R$6:$R$511,$M334),"")</f>
        <v/>
      </c>
      <c r="L334" s="47" t="str">
        <f aca="false">IF($M334="","",INDEX(伝票元!$S$6:$S$511,$M334))</f>
        <v/>
      </c>
      <c r="M334" s="47" t="str">
        <f aca="false">IFERROR(MATCH(328,伝票元!$O$6:$O$511,0),"")</f>
        <v/>
      </c>
    </row>
    <row r="335" customFormat="false" ht="15" hidden="false" customHeight="false" outlineLevel="0" collapsed="false">
      <c r="A335" s="10" t="str">
        <f aca="false">IF($M335="","",INDEX(伝票元!$P$6:$P$511,$M335))</f>
        <v/>
      </c>
      <c r="B335" s="45" t="str">
        <f aca="false">IF($M335="","",INDEX(伝票元!$D$6:$D$511,$M335))</f>
        <v/>
      </c>
      <c r="C335" s="10" t="str">
        <f aca="false">IF($M335="","",INDEX(伝票元!$E$6:$E$511,$M335))</f>
        <v/>
      </c>
      <c r="D335" s="45" t="str">
        <f aca="false">IF($M335="","",INDEX(伝票元!$A$6:$A$511,$M335))</f>
        <v/>
      </c>
      <c r="E335" s="10" t="str">
        <f aca="false">IF(IF($M335="",0,INDEX(伝票元!$N$6:$N$511,$M335))=1,INDEX(伝票元!$I$6:$I$511,$M335),"")</f>
        <v/>
      </c>
      <c r="F335" s="45" t="str">
        <f aca="false">IF(IF($M335="",0,INDEX(伝票元!$N$6:$N$511,$M335))=1,INDEX(伝票元!$J$6:$J$511,$M335),"")</f>
        <v/>
      </c>
      <c r="G335" s="42" t="str">
        <f aca="false">IF(IF($M335="",0,INDEX(伝票元!$N$6:$N$511,$M335))=1,INDEX(伝票元!$Q$6:$Q$511,$M335),"")</f>
        <v/>
      </c>
      <c r="H335" s="45" t="str">
        <f aca="false">IF($M335="","",INDEX(伝票元!$F$6:$F$511,$M335))</f>
        <v/>
      </c>
      <c r="I335" s="45" t="str">
        <f aca="false">IF($M335="","",INDEX(伝票元!$G$6:$G$511,$M335))</f>
        <v/>
      </c>
      <c r="J335" s="42" t="str">
        <f aca="false">IF($M335="","",INDEX(伝票元!$H$6:$H$511,$M335))</f>
        <v/>
      </c>
      <c r="K335" s="46" t="str">
        <f aca="false">IF(IF($M335="",0,INDEX(伝票元!$N$6:$N$511,$M335))=1,INDEX(伝票元!$R$6:$R$511,$M335),"")</f>
        <v/>
      </c>
      <c r="L335" s="47" t="str">
        <f aca="false">IF($M335="","",INDEX(伝票元!$S$6:$S$511,$M335))</f>
        <v/>
      </c>
      <c r="M335" s="47" t="str">
        <f aca="false">IFERROR(MATCH(329,伝票元!$O$6:$O$511,0),"")</f>
        <v/>
      </c>
    </row>
    <row r="336" customFormat="false" ht="15" hidden="false" customHeight="false" outlineLevel="0" collapsed="false">
      <c r="A336" s="10" t="str">
        <f aca="false">IF($M336="","",INDEX(伝票元!$P$6:$P$511,$M336))</f>
        <v/>
      </c>
      <c r="B336" s="45" t="str">
        <f aca="false">IF($M336="","",INDEX(伝票元!$D$6:$D$511,$M336))</f>
        <v/>
      </c>
      <c r="C336" s="10" t="str">
        <f aca="false">IF($M336="","",INDEX(伝票元!$E$6:$E$511,$M336))</f>
        <v/>
      </c>
      <c r="D336" s="45" t="str">
        <f aca="false">IF($M336="","",INDEX(伝票元!$A$6:$A$511,$M336))</f>
        <v/>
      </c>
      <c r="E336" s="10" t="str">
        <f aca="false">IF(IF($M336="",0,INDEX(伝票元!$N$6:$N$511,$M336))=1,INDEX(伝票元!$I$6:$I$511,$M336),"")</f>
        <v/>
      </c>
      <c r="F336" s="45" t="str">
        <f aca="false">IF(IF($M336="",0,INDEX(伝票元!$N$6:$N$511,$M336))=1,INDEX(伝票元!$J$6:$J$511,$M336),"")</f>
        <v/>
      </c>
      <c r="G336" s="42" t="str">
        <f aca="false">IF(IF($M336="",0,INDEX(伝票元!$N$6:$N$511,$M336))=1,INDEX(伝票元!$Q$6:$Q$511,$M336),"")</f>
        <v/>
      </c>
      <c r="H336" s="45" t="str">
        <f aca="false">IF($M336="","",INDEX(伝票元!$F$6:$F$511,$M336))</f>
        <v/>
      </c>
      <c r="I336" s="45" t="str">
        <f aca="false">IF($M336="","",INDEX(伝票元!$G$6:$G$511,$M336))</f>
        <v/>
      </c>
      <c r="J336" s="42" t="str">
        <f aca="false">IF($M336="","",INDEX(伝票元!$H$6:$H$511,$M336))</f>
        <v/>
      </c>
      <c r="K336" s="46" t="str">
        <f aca="false">IF(IF($M336="",0,INDEX(伝票元!$N$6:$N$511,$M336))=1,INDEX(伝票元!$R$6:$R$511,$M336),"")</f>
        <v/>
      </c>
      <c r="L336" s="47" t="str">
        <f aca="false">IF($M336="","",INDEX(伝票元!$S$6:$S$511,$M336))</f>
        <v/>
      </c>
      <c r="M336" s="47" t="str">
        <f aca="false">IFERROR(MATCH(330,伝票元!$O$6:$O$511,0),"")</f>
        <v/>
      </c>
    </row>
    <row r="337" customFormat="false" ht="15" hidden="false" customHeight="false" outlineLevel="0" collapsed="false">
      <c r="A337" s="10" t="str">
        <f aca="false">IF($M337="","",INDEX(伝票元!$P$6:$P$511,$M337))</f>
        <v/>
      </c>
      <c r="B337" s="45" t="str">
        <f aca="false">IF($M337="","",INDEX(伝票元!$D$6:$D$511,$M337))</f>
        <v/>
      </c>
      <c r="C337" s="10" t="str">
        <f aca="false">IF($M337="","",INDEX(伝票元!$E$6:$E$511,$M337))</f>
        <v/>
      </c>
      <c r="D337" s="45" t="str">
        <f aca="false">IF($M337="","",INDEX(伝票元!$A$6:$A$511,$M337))</f>
        <v/>
      </c>
      <c r="E337" s="10" t="str">
        <f aca="false">IF(IF($M337="",0,INDEX(伝票元!$N$6:$N$511,$M337))=1,INDEX(伝票元!$I$6:$I$511,$M337),"")</f>
        <v/>
      </c>
      <c r="F337" s="45" t="str">
        <f aca="false">IF(IF($M337="",0,INDEX(伝票元!$N$6:$N$511,$M337))=1,INDEX(伝票元!$J$6:$J$511,$M337),"")</f>
        <v/>
      </c>
      <c r="G337" s="42" t="str">
        <f aca="false">IF(IF($M337="",0,INDEX(伝票元!$N$6:$N$511,$M337))=1,INDEX(伝票元!$Q$6:$Q$511,$M337),"")</f>
        <v/>
      </c>
      <c r="H337" s="45" t="str">
        <f aca="false">IF($M337="","",INDEX(伝票元!$F$6:$F$511,$M337))</f>
        <v/>
      </c>
      <c r="I337" s="45" t="str">
        <f aca="false">IF($M337="","",INDEX(伝票元!$G$6:$G$511,$M337))</f>
        <v/>
      </c>
      <c r="J337" s="42" t="str">
        <f aca="false">IF($M337="","",INDEX(伝票元!$H$6:$H$511,$M337))</f>
        <v/>
      </c>
      <c r="K337" s="46" t="str">
        <f aca="false">IF(IF($M337="",0,INDEX(伝票元!$N$6:$N$511,$M337))=1,INDEX(伝票元!$R$6:$R$511,$M337),"")</f>
        <v/>
      </c>
      <c r="L337" s="47" t="str">
        <f aca="false">IF($M337="","",INDEX(伝票元!$S$6:$S$511,$M337))</f>
        <v/>
      </c>
      <c r="M337" s="47" t="str">
        <f aca="false">IFERROR(MATCH(331,伝票元!$O$6:$O$511,0),"")</f>
        <v/>
      </c>
    </row>
    <row r="338" customFormat="false" ht="15" hidden="false" customHeight="false" outlineLevel="0" collapsed="false">
      <c r="A338" s="10" t="str">
        <f aca="false">IF($M338="","",INDEX(伝票元!$P$6:$P$511,$M338))</f>
        <v/>
      </c>
      <c r="B338" s="45" t="str">
        <f aca="false">IF($M338="","",INDEX(伝票元!$D$6:$D$511,$M338))</f>
        <v/>
      </c>
      <c r="C338" s="10" t="str">
        <f aca="false">IF($M338="","",INDEX(伝票元!$E$6:$E$511,$M338))</f>
        <v/>
      </c>
      <c r="D338" s="45" t="str">
        <f aca="false">IF($M338="","",INDEX(伝票元!$A$6:$A$511,$M338))</f>
        <v/>
      </c>
      <c r="E338" s="10" t="str">
        <f aca="false">IF(IF($M338="",0,INDEX(伝票元!$N$6:$N$511,$M338))=1,INDEX(伝票元!$I$6:$I$511,$M338),"")</f>
        <v/>
      </c>
      <c r="F338" s="45" t="str">
        <f aca="false">IF(IF($M338="",0,INDEX(伝票元!$N$6:$N$511,$M338))=1,INDEX(伝票元!$J$6:$J$511,$M338),"")</f>
        <v/>
      </c>
      <c r="G338" s="42" t="str">
        <f aca="false">IF(IF($M338="",0,INDEX(伝票元!$N$6:$N$511,$M338))=1,INDEX(伝票元!$Q$6:$Q$511,$M338),"")</f>
        <v/>
      </c>
      <c r="H338" s="45" t="str">
        <f aca="false">IF($M338="","",INDEX(伝票元!$F$6:$F$511,$M338))</f>
        <v/>
      </c>
      <c r="I338" s="45" t="str">
        <f aca="false">IF($M338="","",INDEX(伝票元!$G$6:$G$511,$M338))</f>
        <v/>
      </c>
      <c r="J338" s="42" t="str">
        <f aca="false">IF($M338="","",INDEX(伝票元!$H$6:$H$511,$M338))</f>
        <v/>
      </c>
      <c r="K338" s="46" t="str">
        <f aca="false">IF(IF($M338="",0,INDEX(伝票元!$N$6:$N$511,$M338))=1,INDEX(伝票元!$R$6:$R$511,$M338),"")</f>
        <v/>
      </c>
      <c r="L338" s="47" t="str">
        <f aca="false">IF($M338="","",INDEX(伝票元!$S$6:$S$511,$M338))</f>
        <v/>
      </c>
      <c r="M338" s="47" t="str">
        <f aca="false">IFERROR(MATCH(332,伝票元!$O$6:$O$511,0),"")</f>
        <v/>
      </c>
    </row>
    <row r="339" customFormat="false" ht="15" hidden="false" customHeight="false" outlineLevel="0" collapsed="false">
      <c r="A339" s="10" t="str">
        <f aca="false">IF($M339="","",INDEX(伝票元!$P$6:$P$511,$M339))</f>
        <v/>
      </c>
      <c r="B339" s="45" t="str">
        <f aca="false">IF($M339="","",INDEX(伝票元!$D$6:$D$511,$M339))</f>
        <v/>
      </c>
      <c r="C339" s="10" t="str">
        <f aca="false">IF($M339="","",INDEX(伝票元!$E$6:$E$511,$M339))</f>
        <v/>
      </c>
      <c r="D339" s="45" t="str">
        <f aca="false">IF($M339="","",INDEX(伝票元!$A$6:$A$511,$M339))</f>
        <v/>
      </c>
      <c r="E339" s="10" t="str">
        <f aca="false">IF(IF($M339="",0,INDEX(伝票元!$N$6:$N$511,$M339))=1,INDEX(伝票元!$I$6:$I$511,$M339),"")</f>
        <v/>
      </c>
      <c r="F339" s="45" t="str">
        <f aca="false">IF(IF($M339="",0,INDEX(伝票元!$N$6:$N$511,$M339))=1,INDEX(伝票元!$J$6:$J$511,$M339),"")</f>
        <v/>
      </c>
      <c r="G339" s="42" t="str">
        <f aca="false">IF(IF($M339="",0,INDEX(伝票元!$N$6:$N$511,$M339))=1,INDEX(伝票元!$Q$6:$Q$511,$M339),"")</f>
        <v/>
      </c>
      <c r="H339" s="45" t="str">
        <f aca="false">IF($M339="","",INDEX(伝票元!$F$6:$F$511,$M339))</f>
        <v/>
      </c>
      <c r="I339" s="45" t="str">
        <f aca="false">IF($M339="","",INDEX(伝票元!$G$6:$G$511,$M339))</f>
        <v/>
      </c>
      <c r="J339" s="42" t="str">
        <f aca="false">IF($M339="","",INDEX(伝票元!$H$6:$H$511,$M339))</f>
        <v/>
      </c>
      <c r="K339" s="46" t="str">
        <f aca="false">IF(IF($M339="",0,INDEX(伝票元!$N$6:$N$511,$M339))=1,INDEX(伝票元!$R$6:$R$511,$M339),"")</f>
        <v/>
      </c>
      <c r="L339" s="47" t="str">
        <f aca="false">IF($M339="","",INDEX(伝票元!$S$6:$S$511,$M339))</f>
        <v/>
      </c>
      <c r="M339" s="47" t="str">
        <f aca="false">IFERROR(MATCH(333,伝票元!$O$6:$O$511,0),"")</f>
        <v/>
      </c>
    </row>
    <row r="340" customFormat="false" ht="15" hidden="false" customHeight="false" outlineLevel="0" collapsed="false">
      <c r="A340" s="10" t="str">
        <f aca="false">IF($M340="","",INDEX(伝票元!$P$6:$P$511,$M340))</f>
        <v/>
      </c>
      <c r="B340" s="45" t="str">
        <f aca="false">IF($M340="","",INDEX(伝票元!$D$6:$D$511,$M340))</f>
        <v/>
      </c>
      <c r="C340" s="10" t="str">
        <f aca="false">IF($M340="","",INDEX(伝票元!$E$6:$E$511,$M340))</f>
        <v/>
      </c>
      <c r="D340" s="45" t="str">
        <f aca="false">IF($M340="","",INDEX(伝票元!$A$6:$A$511,$M340))</f>
        <v/>
      </c>
      <c r="E340" s="10" t="str">
        <f aca="false">IF(IF($M340="",0,INDEX(伝票元!$N$6:$N$511,$M340))=1,INDEX(伝票元!$I$6:$I$511,$M340),"")</f>
        <v/>
      </c>
      <c r="F340" s="45" t="str">
        <f aca="false">IF(IF($M340="",0,INDEX(伝票元!$N$6:$N$511,$M340))=1,INDEX(伝票元!$J$6:$J$511,$M340),"")</f>
        <v/>
      </c>
      <c r="G340" s="42" t="str">
        <f aca="false">IF(IF($M340="",0,INDEX(伝票元!$N$6:$N$511,$M340))=1,INDEX(伝票元!$Q$6:$Q$511,$M340),"")</f>
        <v/>
      </c>
      <c r="H340" s="45" t="str">
        <f aca="false">IF($M340="","",INDEX(伝票元!$F$6:$F$511,$M340))</f>
        <v/>
      </c>
      <c r="I340" s="45" t="str">
        <f aca="false">IF($M340="","",INDEX(伝票元!$G$6:$G$511,$M340))</f>
        <v/>
      </c>
      <c r="J340" s="42" t="str">
        <f aca="false">IF($M340="","",INDEX(伝票元!$H$6:$H$511,$M340))</f>
        <v/>
      </c>
      <c r="K340" s="46" t="str">
        <f aca="false">IF(IF($M340="",0,INDEX(伝票元!$N$6:$N$511,$M340))=1,INDEX(伝票元!$R$6:$R$511,$M340),"")</f>
        <v/>
      </c>
      <c r="L340" s="47" t="str">
        <f aca="false">IF($M340="","",INDEX(伝票元!$S$6:$S$511,$M340))</f>
        <v/>
      </c>
      <c r="M340" s="47" t="str">
        <f aca="false">IFERROR(MATCH(334,伝票元!$O$6:$O$511,0),"")</f>
        <v/>
      </c>
    </row>
    <row r="341" customFormat="false" ht="15" hidden="false" customHeight="false" outlineLevel="0" collapsed="false">
      <c r="A341" s="10" t="str">
        <f aca="false">IF($M341="","",INDEX(伝票元!$P$6:$P$511,$M341))</f>
        <v/>
      </c>
      <c r="B341" s="45" t="str">
        <f aca="false">IF($M341="","",INDEX(伝票元!$D$6:$D$511,$M341))</f>
        <v/>
      </c>
      <c r="C341" s="10" t="str">
        <f aca="false">IF($M341="","",INDEX(伝票元!$E$6:$E$511,$M341))</f>
        <v/>
      </c>
      <c r="D341" s="45" t="str">
        <f aca="false">IF($M341="","",INDEX(伝票元!$A$6:$A$511,$M341))</f>
        <v/>
      </c>
      <c r="E341" s="10" t="str">
        <f aca="false">IF(IF($M341="",0,INDEX(伝票元!$N$6:$N$511,$M341))=1,INDEX(伝票元!$I$6:$I$511,$M341),"")</f>
        <v/>
      </c>
      <c r="F341" s="45" t="str">
        <f aca="false">IF(IF($M341="",0,INDEX(伝票元!$N$6:$N$511,$M341))=1,INDEX(伝票元!$J$6:$J$511,$M341),"")</f>
        <v/>
      </c>
      <c r="G341" s="42" t="str">
        <f aca="false">IF(IF($M341="",0,INDEX(伝票元!$N$6:$N$511,$M341))=1,INDEX(伝票元!$Q$6:$Q$511,$M341),"")</f>
        <v/>
      </c>
      <c r="H341" s="45" t="str">
        <f aca="false">IF($M341="","",INDEX(伝票元!$F$6:$F$511,$M341))</f>
        <v/>
      </c>
      <c r="I341" s="45" t="str">
        <f aca="false">IF($M341="","",INDEX(伝票元!$G$6:$G$511,$M341))</f>
        <v/>
      </c>
      <c r="J341" s="42" t="str">
        <f aca="false">IF($M341="","",INDEX(伝票元!$H$6:$H$511,$M341))</f>
        <v/>
      </c>
      <c r="K341" s="46" t="str">
        <f aca="false">IF(IF($M341="",0,INDEX(伝票元!$N$6:$N$511,$M341))=1,INDEX(伝票元!$R$6:$R$511,$M341),"")</f>
        <v/>
      </c>
      <c r="L341" s="47" t="str">
        <f aca="false">IF($M341="","",INDEX(伝票元!$S$6:$S$511,$M341))</f>
        <v/>
      </c>
      <c r="M341" s="47" t="str">
        <f aca="false">IFERROR(MATCH(335,伝票元!$O$6:$O$511,0),"")</f>
        <v/>
      </c>
    </row>
    <row r="342" customFormat="false" ht="15" hidden="false" customHeight="false" outlineLevel="0" collapsed="false">
      <c r="A342" s="10" t="str">
        <f aca="false">IF($M342="","",INDEX(伝票元!$P$6:$P$511,$M342))</f>
        <v/>
      </c>
      <c r="B342" s="45" t="str">
        <f aca="false">IF($M342="","",INDEX(伝票元!$D$6:$D$511,$M342))</f>
        <v/>
      </c>
      <c r="C342" s="10" t="str">
        <f aca="false">IF($M342="","",INDEX(伝票元!$E$6:$E$511,$M342))</f>
        <v/>
      </c>
      <c r="D342" s="45" t="str">
        <f aca="false">IF($M342="","",INDEX(伝票元!$A$6:$A$511,$M342))</f>
        <v/>
      </c>
      <c r="E342" s="10" t="str">
        <f aca="false">IF(IF($M342="",0,INDEX(伝票元!$N$6:$N$511,$M342))=1,INDEX(伝票元!$I$6:$I$511,$M342),"")</f>
        <v/>
      </c>
      <c r="F342" s="45" t="str">
        <f aca="false">IF(IF($M342="",0,INDEX(伝票元!$N$6:$N$511,$M342))=1,INDEX(伝票元!$J$6:$J$511,$M342),"")</f>
        <v/>
      </c>
      <c r="G342" s="42" t="str">
        <f aca="false">IF(IF($M342="",0,INDEX(伝票元!$N$6:$N$511,$M342))=1,INDEX(伝票元!$Q$6:$Q$511,$M342),"")</f>
        <v/>
      </c>
      <c r="H342" s="45" t="str">
        <f aca="false">IF($M342="","",INDEX(伝票元!$F$6:$F$511,$M342))</f>
        <v/>
      </c>
      <c r="I342" s="45" t="str">
        <f aca="false">IF($M342="","",INDEX(伝票元!$G$6:$G$511,$M342))</f>
        <v/>
      </c>
      <c r="J342" s="42" t="str">
        <f aca="false">IF($M342="","",INDEX(伝票元!$H$6:$H$511,$M342))</f>
        <v/>
      </c>
      <c r="K342" s="46" t="str">
        <f aca="false">IF(IF($M342="",0,INDEX(伝票元!$N$6:$N$511,$M342))=1,INDEX(伝票元!$R$6:$R$511,$M342),"")</f>
        <v/>
      </c>
      <c r="L342" s="47" t="str">
        <f aca="false">IF($M342="","",INDEX(伝票元!$S$6:$S$511,$M342))</f>
        <v/>
      </c>
      <c r="M342" s="47" t="str">
        <f aca="false">IFERROR(MATCH(336,伝票元!$O$6:$O$511,0),"")</f>
        <v/>
      </c>
    </row>
    <row r="343" customFormat="false" ht="15" hidden="false" customHeight="false" outlineLevel="0" collapsed="false">
      <c r="A343" s="10" t="str">
        <f aca="false">IF($M343="","",INDEX(伝票元!$P$6:$P$511,$M343))</f>
        <v/>
      </c>
      <c r="B343" s="45" t="str">
        <f aca="false">IF($M343="","",INDEX(伝票元!$D$6:$D$511,$M343))</f>
        <v/>
      </c>
      <c r="C343" s="10" t="str">
        <f aca="false">IF($M343="","",INDEX(伝票元!$E$6:$E$511,$M343))</f>
        <v/>
      </c>
      <c r="D343" s="45" t="str">
        <f aca="false">IF($M343="","",INDEX(伝票元!$A$6:$A$511,$M343))</f>
        <v/>
      </c>
      <c r="E343" s="10" t="str">
        <f aca="false">IF(IF($M343="",0,INDEX(伝票元!$N$6:$N$511,$M343))=1,INDEX(伝票元!$I$6:$I$511,$M343),"")</f>
        <v/>
      </c>
      <c r="F343" s="45" t="str">
        <f aca="false">IF(IF($M343="",0,INDEX(伝票元!$N$6:$N$511,$M343))=1,INDEX(伝票元!$J$6:$J$511,$M343),"")</f>
        <v/>
      </c>
      <c r="G343" s="42" t="str">
        <f aca="false">IF(IF($M343="",0,INDEX(伝票元!$N$6:$N$511,$M343))=1,INDEX(伝票元!$Q$6:$Q$511,$M343),"")</f>
        <v/>
      </c>
      <c r="H343" s="45" t="str">
        <f aca="false">IF($M343="","",INDEX(伝票元!$F$6:$F$511,$M343))</f>
        <v/>
      </c>
      <c r="I343" s="45" t="str">
        <f aca="false">IF($M343="","",INDEX(伝票元!$G$6:$G$511,$M343))</f>
        <v/>
      </c>
      <c r="J343" s="42" t="str">
        <f aca="false">IF($M343="","",INDEX(伝票元!$H$6:$H$511,$M343))</f>
        <v/>
      </c>
      <c r="K343" s="46" t="str">
        <f aca="false">IF(IF($M343="",0,INDEX(伝票元!$N$6:$N$511,$M343))=1,INDEX(伝票元!$R$6:$R$511,$M343),"")</f>
        <v/>
      </c>
      <c r="L343" s="47" t="str">
        <f aca="false">IF($M343="","",INDEX(伝票元!$S$6:$S$511,$M343))</f>
        <v/>
      </c>
      <c r="M343" s="47" t="str">
        <f aca="false">IFERROR(MATCH(337,伝票元!$O$6:$O$511,0),"")</f>
        <v/>
      </c>
    </row>
    <row r="344" customFormat="false" ht="15" hidden="false" customHeight="false" outlineLevel="0" collapsed="false">
      <c r="A344" s="10" t="str">
        <f aca="false">IF($M344="","",INDEX(伝票元!$P$6:$P$511,$M344))</f>
        <v/>
      </c>
      <c r="B344" s="45" t="str">
        <f aca="false">IF($M344="","",INDEX(伝票元!$D$6:$D$511,$M344))</f>
        <v/>
      </c>
      <c r="C344" s="10" t="str">
        <f aca="false">IF($M344="","",INDEX(伝票元!$E$6:$E$511,$M344))</f>
        <v/>
      </c>
      <c r="D344" s="45" t="str">
        <f aca="false">IF($M344="","",INDEX(伝票元!$A$6:$A$511,$M344))</f>
        <v/>
      </c>
      <c r="E344" s="10" t="str">
        <f aca="false">IF(IF($M344="",0,INDEX(伝票元!$N$6:$N$511,$M344))=1,INDEX(伝票元!$I$6:$I$511,$M344),"")</f>
        <v/>
      </c>
      <c r="F344" s="45" t="str">
        <f aca="false">IF(IF($M344="",0,INDEX(伝票元!$N$6:$N$511,$M344))=1,INDEX(伝票元!$J$6:$J$511,$M344),"")</f>
        <v/>
      </c>
      <c r="G344" s="42" t="str">
        <f aca="false">IF(IF($M344="",0,INDEX(伝票元!$N$6:$N$511,$M344))=1,INDEX(伝票元!$Q$6:$Q$511,$M344),"")</f>
        <v/>
      </c>
      <c r="H344" s="45" t="str">
        <f aca="false">IF($M344="","",INDEX(伝票元!$F$6:$F$511,$M344))</f>
        <v/>
      </c>
      <c r="I344" s="45" t="str">
        <f aca="false">IF($M344="","",INDEX(伝票元!$G$6:$G$511,$M344))</f>
        <v/>
      </c>
      <c r="J344" s="42" t="str">
        <f aca="false">IF($M344="","",INDEX(伝票元!$H$6:$H$511,$M344))</f>
        <v/>
      </c>
      <c r="K344" s="46" t="str">
        <f aca="false">IF(IF($M344="",0,INDEX(伝票元!$N$6:$N$511,$M344))=1,INDEX(伝票元!$R$6:$R$511,$M344),"")</f>
        <v/>
      </c>
      <c r="L344" s="47" t="str">
        <f aca="false">IF($M344="","",INDEX(伝票元!$S$6:$S$511,$M344))</f>
        <v/>
      </c>
      <c r="M344" s="47" t="str">
        <f aca="false">IFERROR(MATCH(338,伝票元!$O$6:$O$511,0),"")</f>
        <v/>
      </c>
    </row>
    <row r="345" customFormat="false" ht="15" hidden="false" customHeight="false" outlineLevel="0" collapsed="false">
      <c r="A345" s="10" t="str">
        <f aca="false">IF($M345="","",INDEX(伝票元!$P$6:$P$511,$M345))</f>
        <v/>
      </c>
      <c r="B345" s="45" t="str">
        <f aca="false">IF($M345="","",INDEX(伝票元!$D$6:$D$511,$M345))</f>
        <v/>
      </c>
      <c r="C345" s="10" t="str">
        <f aca="false">IF($M345="","",INDEX(伝票元!$E$6:$E$511,$M345))</f>
        <v/>
      </c>
      <c r="D345" s="45" t="str">
        <f aca="false">IF($M345="","",INDEX(伝票元!$A$6:$A$511,$M345))</f>
        <v/>
      </c>
      <c r="E345" s="10" t="str">
        <f aca="false">IF(IF($M345="",0,INDEX(伝票元!$N$6:$N$511,$M345))=1,INDEX(伝票元!$I$6:$I$511,$M345),"")</f>
        <v/>
      </c>
      <c r="F345" s="45" t="str">
        <f aca="false">IF(IF($M345="",0,INDEX(伝票元!$N$6:$N$511,$M345))=1,INDEX(伝票元!$J$6:$J$511,$M345),"")</f>
        <v/>
      </c>
      <c r="G345" s="42" t="str">
        <f aca="false">IF(IF($M345="",0,INDEX(伝票元!$N$6:$N$511,$M345))=1,INDEX(伝票元!$Q$6:$Q$511,$M345),"")</f>
        <v/>
      </c>
      <c r="H345" s="45" t="str">
        <f aca="false">IF($M345="","",INDEX(伝票元!$F$6:$F$511,$M345))</f>
        <v/>
      </c>
      <c r="I345" s="45" t="str">
        <f aca="false">IF($M345="","",INDEX(伝票元!$G$6:$G$511,$M345))</f>
        <v/>
      </c>
      <c r="J345" s="42" t="str">
        <f aca="false">IF($M345="","",INDEX(伝票元!$H$6:$H$511,$M345))</f>
        <v/>
      </c>
      <c r="K345" s="46" t="str">
        <f aca="false">IF(IF($M345="",0,INDEX(伝票元!$N$6:$N$511,$M345))=1,INDEX(伝票元!$R$6:$R$511,$M345),"")</f>
        <v/>
      </c>
      <c r="L345" s="47" t="str">
        <f aca="false">IF($M345="","",INDEX(伝票元!$S$6:$S$511,$M345))</f>
        <v/>
      </c>
      <c r="M345" s="47" t="str">
        <f aca="false">IFERROR(MATCH(339,伝票元!$O$6:$O$511,0),"")</f>
        <v/>
      </c>
    </row>
    <row r="346" customFormat="false" ht="15" hidden="false" customHeight="false" outlineLevel="0" collapsed="false">
      <c r="A346" s="10" t="str">
        <f aca="false">IF($M346="","",INDEX(伝票元!$P$6:$P$511,$M346))</f>
        <v/>
      </c>
      <c r="B346" s="45" t="str">
        <f aca="false">IF($M346="","",INDEX(伝票元!$D$6:$D$511,$M346))</f>
        <v/>
      </c>
      <c r="C346" s="10" t="str">
        <f aca="false">IF($M346="","",INDEX(伝票元!$E$6:$E$511,$M346))</f>
        <v/>
      </c>
      <c r="D346" s="45" t="str">
        <f aca="false">IF($M346="","",INDEX(伝票元!$A$6:$A$511,$M346))</f>
        <v/>
      </c>
      <c r="E346" s="10" t="str">
        <f aca="false">IF(IF($M346="",0,INDEX(伝票元!$N$6:$N$511,$M346))=1,INDEX(伝票元!$I$6:$I$511,$M346),"")</f>
        <v/>
      </c>
      <c r="F346" s="45" t="str">
        <f aca="false">IF(IF($M346="",0,INDEX(伝票元!$N$6:$N$511,$M346))=1,INDEX(伝票元!$J$6:$J$511,$M346),"")</f>
        <v/>
      </c>
      <c r="G346" s="42" t="str">
        <f aca="false">IF(IF($M346="",0,INDEX(伝票元!$N$6:$N$511,$M346))=1,INDEX(伝票元!$Q$6:$Q$511,$M346),"")</f>
        <v/>
      </c>
      <c r="H346" s="45" t="str">
        <f aca="false">IF($M346="","",INDEX(伝票元!$F$6:$F$511,$M346))</f>
        <v/>
      </c>
      <c r="I346" s="45" t="str">
        <f aca="false">IF($M346="","",INDEX(伝票元!$G$6:$G$511,$M346))</f>
        <v/>
      </c>
      <c r="J346" s="42" t="str">
        <f aca="false">IF($M346="","",INDEX(伝票元!$H$6:$H$511,$M346))</f>
        <v/>
      </c>
      <c r="K346" s="46" t="str">
        <f aca="false">IF(IF($M346="",0,INDEX(伝票元!$N$6:$N$511,$M346))=1,INDEX(伝票元!$R$6:$R$511,$M346),"")</f>
        <v/>
      </c>
      <c r="L346" s="47" t="str">
        <f aca="false">IF($M346="","",INDEX(伝票元!$S$6:$S$511,$M346))</f>
        <v/>
      </c>
      <c r="M346" s="47" t="str">
        <f aca="false">IFERROR(MATCH(340,伝票元!$O$6:$O$511,0),"")</f>
        <v/>
      </c>
    </row>
    <row r="347" customFormat="false" ht="15" hidden="false" customHeight="false" outlineLevel="0" collapsed="false">
      <c r="A347" s="10" t="str">
        <f aca="false">IF($M347="","",INDEX(伝票元!$P$6:$P$511,$M347))</f>
        <v/>
      </c>
      <c r="B347" s="45" t="str">
        <f aca="false">IF($M347="","",INDEX(伝票元!$D$6:$D$511,$M347))</f>
        <v/>
      </c>
      <c r="C347" s="10" t="str">
        <f aca="false">IF($M347="","",INDEX(伝票元!$E$6:$E$511,$M347))</f>
        <v/>
      </c>
      <c r="D347" s="45" t="str">
        <f aca="false">IF($M347="","",INDEX(伝票元!$A$6:$A$511,$M347))</f>
        <v/>
      </c>
      <c r="E347" s="10" t="str">
        <f aca="false">IF(IF($M347="",0,INDEX(伝票元!$N$6:$N$511,$M347))=1,INDEX(伝票元!$I$6:$I$511,$M347),"")</f>
        <v/>
      </c>
      <c r="F347" s="45" t="str">
        <f aca="false">IF(IF($M347="",0,INDEX(伝票元!$N$6:$N$511,$M347))=1,INDEX(伝票元!$J$6:$J$511,$M347),"")</f>
        <v/>
      </c>
      <c r="G347" s="42" t="str">
        <f aca="false">IF(IF($M347="",0,INDEX(伝票元!$N$6:$N$511,$M347))=1,INDEX(伝票元!$Q$6:$Q$511,$M347),"")</f>
        <v/>
      </c>
      <c r="H347" s="45" t="str">
        <f aca="false">IF($M347="","",INDEX(伝票元!$F$6:$F$511,$M347))</f>
        <v/>
      </c>
      <c r="I347" s="45" t="str">
        <f aca="false">IF($M347="","",INDEX(伝票元!$G$6:$G$511,$M347))</f>
        <v/>
      </c>
      <c r="J347" s="42" t="str">
        <f aca="false">IF($M347="","",INDEX(伝票元!$H$6:$H$511,$M347))</f>
        <v/>
      </c>
      <c r="K347" s="46" t="str">
        <f aca="false">IF(IF($M347="",0,INDEX(伝票元!$N$6:$N$511,$M347))=1,INDEX(伝票元!$R$6:$R$511,$M347),"")</f>
        <v/>
      </c>
      <c r="L347" s="47" t="str">
        <f aca="false">IF($M347="","",INDEX(伝票元!$S$6:$S$511,$M347))</f>
        <v/>
      </c>
      <c r="M347" s="47" t="str">
        <f aca="false">IFERROR(MATCH(341,伝票元!$O$6:$O$511,0),"")</f>
        <v/>
      </c>
    </row>
    <row r="348" customFormat="false" ht="15" hidden="false" customHeight="false" outlineLevel="0" collapsed="false">
      <c r="A348" s="10" t="str">
        <f aca="false">IF($M348="","",INDEX(伝票元!$P$6:$P$511,$M348))</f>
        <v/>
      </c>
      <c r="B348" s="45" t="str">
        <f aca="false">IF($M348="","",INDEX(伝票元!$D$6:$D$511,$M348))</f>
        <v/>
      </c>
      <c r="C348" s="10" t="str">
        <f aca="false">IF($M348="","",INDEX(伝票元!$E$6:$E$511,$M348))</f>
        <v/>
      </c>
      <c r="D348" s="45" t="str">
        <f aca="false">IF($M348="","",INDEX(伝票元!$A$6:$A$511,$M348))</f>
        <v/>
      </c>
      <c r="E348" s="10" t="str">
        <f aca="false">IF(IF($M348="",0,INDEX(伝票元!$N$6:$N$511,$M348))=1,INDEX(伝票元!$I$6:$I$511,$M348),"")</f>
        <v/>
      </c>
      <c r="F348" s="45" t="str">
        <f aca="false">IF(IF($M348="",0,INDEX(伝票元!$N$6:$N$511,$M348))=1,INDEX(伝票元!$J$6:$J$511,$M348),"")</f>
        <v/>
      </c>
      <c r="G348" s="42" t="str">
        <f aca="false">IF(IF($M348="",0,INDEX(伝票元!$N$6:$N$511,$M348))=1,INDEX(伝票元!$Q$6:$Q$511,$M348),"")</f>
        <v/>
      </c>
      <c r="H348" s="45" t="str">
        <f aca="false">IF($M348="","",INDEX(伝票元!$F$6:$F$511,$M348))</f>
        <v/>
      </c>
      <c r="I348" s="45" t="str">
        <f aca="false">IF($M348="","",INDEX(伝票元!$G$6:$G$511,$M348))</f>
        <v/>
      </c>
      <c r="J348" s="42" t="str">
        <f aca="false">IF($M348="","",INDEX(伝票元!$H$6:$H$511,$M348))</f>
        <v/>
      </c>
      <c r="K348" s="46" t="str">
        <f aca="false">IF(IF($M348="",0,INDEX(伝票元!$N$6:$N$511,$M348))=1,INDEX(伝票元!$R$6:$R$511,$M348),"")</f>
        <v/>
      </c>
      <c r="L348" s="47" t="str">
        <f aca="false">IF($M348="","",INDEX(伝票元!$S$6:$S$511,$M348))</f>
        <v/>
      </c>
      <c r="M348" s="47" t="str">
        <f aca="false">IFERROR(MATCH(342,伝票元!$O$6:$O$511,0),"")</f>
        <v/>
      </c>
    </row>
    <row r="349" customFormat="false" ht="15" hidden="false" customHeight="false" outlineLevel="0" collapsed="false">
      <c r="A349" s="10" t="str">
        <f aca="false">IF($M349="","",INDEX(伝票元!$P$6:$P$511,$M349))</f>
        <v/>
      </c>
      <c r="B349" s="45" t="str">
        <f aca="false">IF($M349="","",INDEX(伝票元!$D$6:$D$511,$M349))</f>
        <v/>
      </c>
      <c r="C349" s="10" t="str">
        <f aca="false">IF($M349="","",INDEX(伝票元!$E$6:$E$511,$M349))</f>
        <v/>
      </c>
      <c r="D349" s="45" t="str">
        <f aca="false">IF($M349="","",INDEX(伝票元!$A$6:$A$511,$M349))</f>
        <v/>
      </c>
      <c r="E349" s="10" t="str">
        <f aca="false">IF(IF($M349="",0,INDEX(伝票元!$N$6:$N$511,$M349))=1,INDEX(伝票元!$I$6:$I$511,$M349),"")</f>
        <v/>
      </c>
      <c r="F349" s="45" t="str">
        <f aca="false">IF(IF($M349="",0,INDEX(伝票元!$N$6:$N$511,$M349))=1,INDEX(伝票元!$J$6:$J$511,$M349),"")</f>
        <v/>
      </c>
      <c r="G349" s="42" t="str">
        <f aca="false">IF(IF($M349="",0,INDEX(伝票元!$N$6:$N$511,$M349))=1,INDEX(伝票元!$Q$6:$Q$511,$M349),"")</f>
        <v/>
      </c>
      <c r="H349" s="45" t="str">
        <f aca="false">IF($M349="","",INDEX(伝票元!$F$6:$F$511,$M349))</f>
        <v/>
      </c>
      <c r="I349" s="45" t="str">
        <f aca="false">IF($M349="","",INDEX(伝票元!$G$6:$G$511,$M349))</f>
        <v/>
      </c>
      <c r="J349" s="42" t="str">
        <f aca="false">IF($M349="","",INDEX(伝票元!$H$6:$H$511,$M349))</f>
        <v/>
      </c>
      <c r="K349" s="46" t="str">
        <f aca="false">IF(IF($M349="",0,INDEX(伝票元!$N$6:$N$511,$M349))=1,INDEX(伝票元!$R$6:$R$511,$M349),"")</f>
        <v/>
      </c>
      <c r="L349" s="47" t="str">
        <f aca="false">IF($M349="","",INDEX(伝票元!$S$6:$S$511,$M349))</f>
        <v/>
      </c>
      <c r="M349" s="47" t="str">
        <f aca="false">IFERROR(MATCH(343,伝票元!$O$6:$O$511,0),"")</f>
        <v/>
      </c>
    </row>
    <row r="350" customFormat="false" ht="15" hidden="false" customHeight="false" outlineLevel="0" collapsed="false">
      <c r="A350" s="10" t="str">
        <f aca="false">IF($M350="","",INDEX(伝票元!$P$6:$P$511,$M350))</f>
        <v/>
      </c>
      <c r="B350" s="45" t="str">
        <f aca="false">IF($M350="","",INDEX(伝票元!$D$6:$D$511,$M350))</f>
        <v/>
      </c>
      <c r="C350" s="10" t="str">
        <f aca="false">IF($M350="","",INDEX(伝票元!$E$6:$E$511,$M350))</f>
        <v/>
      </c>
      <c r="D350" s="45" t="str">
        <f aca="false">IF($M350="","",INDEX(伝票元!$A$6:$A$511,$M350))</f>
        <v/>
      </c>
      <c r="E350" s="10" t="str">
        <f aca="false">IF(IF($M350="",0,INDEX(伝票元!$N$6:$N$511,$M350))=1,INDEX(伝票元!$I$6:$I$511,$M350),"")</f>
        <v/>
      </c>
      <c r="F350" s="45" t="str">
        <f aca="false">IF(IF($M350="",0,INDEX(伝票元!$N$6:$N$511,$M350))=1,INDEX(伝票元!$J$6:$J$511,$M350),"")</f>
        <v/>
      </c>
      <c r="G350" s="42" t="str">
        <f aca="false">IF(IF($M350="",0,INDEX(伝票元!$N$6:$N$511,$M350))=1,INDEX(伝票元!$Q$6:$Q$511,$M350),"")</f>
        <v/>
      </c>
      <c r="H350" s="45" t="str">
        <f aca="false">IF($M350="","",INDEX(伝票元!$F$6:$F$511,$M350))</f>
        <v/>
      </c>
      <c r="I350" s="45" t="str">
        <f aca="false">IF($M350="","",INDEX(伝票元!$G$6:$G$511,$M350))</f>
        <v/>
      </c>
      <c r="J350" s="42" t="str">
        <f aca="false">IF($M350="","",INDEX(伝票元!$H$6:$H$511,$M350))</f>
        <v/>
      </c>
      <c r="K350" s="46" t="str">
        <f aca="false">IF(IF($M350="",0,INDEX(伝票元!$N$6:$N$511,$M350))=1,INDEX(伝票元!$R$6:$R$511,$M350),"")</f>
        <v/>
      </c>
      <c r="L350" s="47" t="str">
        <f aca="false">IF($M350="","",INDEX(伝票元!$S$6:$S$511,$M350))</f>
        <v/>
      </c>
      <c r="M350" s="47" t="str">
        <f aca="false">IFERROR(MATCH(344,伝票元!$O$6:$O$511,0),"")</f>
        <v/>
      </c>
    </row>
    <row r="351" customFormat="false" ht="15" hidden="false" customHeight="false" outlineLevel="0" collapsed="false">
      <c r="A351" s="10" t="str">
        <f aca="false">IF($M351="","",INDEX(伝票元!$P$6:$P$511,$M351))</f>
        <v/>
      </c>
      <c r="B351" s="45" t="str">
        <f aca="false">IF($M351="","",INDEX(伝票元!$D$6:$D$511,$M351))</f>
        <v/>
      </c>
      <c r="C351" s="10" t="str">
        <f aca="false">IF($M351="","",INDEX(伝票元!$E$6:$E$511,$M351))</f>
        <v/>
      </c>
      <c r="D351" s="45" t="str">
        <f aca="false">IF($M351="","",INDEX(伝票元!$A$6:$A$511,$M351))</f>
        <v/>
      </c>
      <c r="E351" s="10" t="str">
        <f aca="false">IF(IF($M351="",0,INDEX(伝票元!$N$6:$N$511,$M351))=1,INDEX(伝票元!$I$6:$I$511,$M351),"")</f>
        <v/>
      </c>
      <c r="F351" s="45" t="str">
        <f aca="false">IF(IF($M351="",0,INDEX(伝票元!$N$6:$N$511,$M351))=1,INDEX(伝票元!$J$6:$J$511,$M351),"")</f>
        <v/>
      </c>
      <c r="G351" s="42" t="str">
        <f aca="false">IF(IF($M351="",0,INDEX(伝票元!$N$6:$N$511,$M351))=1,INDEX(伝票元!$Q$6:$Q$511,$M351),"")</f>
        <v/>
      </c>
      <c r="H351" s="45" t="str">
        <f aca="false">IF($M351="","",INDEX(伝票元!$F$6:$F$511,$M351))</f>
        <v/>
      </c>
      <c r="I351" s="45" t="str">
        <f aca="false">IF($M351="","",INDEX(伝票元!$G$6:$G$511,$M351))</f>
        <v/>
      </c>
      <c r="J351" s="42" t="str">
        <f aca="false">IF($M351="","",INDEX(伝票元!$H$6:$H$511,$M351))</f>
        <v/>
      </c>
      <c r="K351" s="46" t="str">
        <f aca="false">IF(IF($M351="",0,INDEX(伝票元!$N$6:$N$511,$M351))=1,INDEX(伝票元!$R$6:$R$511,$M351),"")</f>
        <v/>
      </c>
      <c r="L351" s="47" t="str">
        <f aca="false">IF($M351="","",INDEX(伝票元!$S$6:$S$511,$M351))</f>
        <v/>
      </c>
      <c r="M351" s="47" t="str">
        <f aca="false">IFERROR(MATCH(345,伝票元!$O$6:$O$511,0),"")</f>
        <v/>
      </c>
    </row>
    <row r="352" customFormat="false" ht="15" hidden="false" customHeight="false" outlineLevel="0" collapsed="false">
      <c r="A352" s="10" t="str">
        <f aca="false">IF($M352="","",INDEX(伝票元!$P$6:$P$511,$M352))</f>
        <v/>
      </c>
      <c r="B352" s="45" t="str">
        <f aca="false">IF($M352="","",INDEX(伝票元!$D$6:$D$511,$M352))</f>
        <v/>
      </c>
      <c r="C352" s="10" t="str">
        <f aca="false">IF($M352="","",INDEX(伝票元!$E$6:$E$511,$M352))</f>
        <v/>
      </c>
      <c r="D352" s="45" t="str">
        <f aca="false">IF($M352="","",INDEX(伝票元!$A$6:$A$511,$M352))</f>
        <v/>
      </c>
      <c r="E352" s="10" t="str">
        <f aca="false">IF(IF($M352="",0,INDEX(伝票元!$N$6:$N$511,$M352))=1,INDEX(伝票元!$I$6:$I$511,$M352),"")</f>
        <v/>
      </c>
      <c r="F352" s="45" t="str">
        <f aca="false">IF(IF($M352="",0,INDEX(伝票元!$N$6:$N$511,$M352))=1,INDEX(伝票元!$J$6:$J$511,$M352),"")</f>
        <v/>
      </c>
      <c r="G352" s="42" t="str">
        <f aca="false">IF(IF($M352="",0,INDEX(伝票元!$N$6:$N$511,$M352))=1,INDEX(伝票元!$Q$6:$Q$511,$M352),"")</f>
        <v/>
      </c>
      <c r="H352" s="45" t="str">
        <f aca="false">IF($M352="","",INDEX(伝票元!$F$6:$F$511,$M352))</f>
        <v/>
      </c>
      <c r="I352" s="45" t="str">
        <f aca="false">IF($M352="","",INDEX(伝票元!$G$6:$G$511,$M352))</f>
        <v/>
      </c>
      <c r="J352" s="42" t="str">
        <f aca="false">IF($M352="","",INDEX(伝票元!$H$6:$H$511,$M352))</f>
        <v/>
      </c>
      <c r="K352" s="46" t="str">
        <f aca="false">IF(IF($M352="",0,INDEX(伝票元!$N$6:$N$511,$M352))=1,INDEX(伝票元!$R$6:$R$511,$M352),"")</f>
        <v/>
      </c>
      <c r="L352" s="47" t="str">
        <f aca="false">IF($M352="","",INDEX(伝票元!$S$6:$S$511,$M352))</f>
        <v/>
      </c>
      <c r="M352" s="47" t="str">
        <f aca="false">IFERROR(MATCH(346,伝票元!$O$6:$O$511,0),"")</f>
        <v/>
      </c>
    </row>
    <row r="353" customFormat="false" ht="15" hidden="false" customHeight="false" outlineLevel="0" collapsed="false">
      <c r="A353" s="10" t="str">
        <f aca="false">IF($M353="","",INDEX(伝票元!$P$6:$P$511,$M353))</f>
        <v/>
      </c>
      <c r="B353" s="45" t="str">
        <f aca="false">IF($M353="","",INDEX(伝票元!$D$6:$D$511,$M353))</f>
        <v/>
      </c>
      <c r="C353" s="10" t="str">
        <f aca="false">IF($M353="","",INDEX(伝票元!$E$6:$E$511,$M353))</f>
        <v/>
      </c>
      <c r="D353" s="45" t="str">
        <f aca="false">IF($M353="","",INDEX(伝票元!$A$6:$A$511,$M353))</f>
        <v/>
      </c>
      <c r="E353" s="10" t="str">
        <f aca="false">IF(IF($M353="",0,INDEX(伝票元!$N$6:$N$511,$M353))=1,INDEX(伝票元!$I$6:$I$511,$M353),"")</f>
        <v/>
      </c>
      <c r="F353" s="45" t="str">
        <f aca="false">IF(IF($M353="",0,INDEX(伝票元!$N$6:$N$511,$M353))=1,INDEX(伝票元!$J$6:$J$511,$M353),"")</f>
        <v/>
      </c>
      <c r="G353" s="42" t="str">
        <f aca="false">IF(IF($M353="",0,INDEX(伝票元!$N$6:$N$511,$M353))=1,INDEX(伝票元!$Q$6:$Q$511,$M353),"")</f>
        <v/>
      </c>
      <c r="H353" s="45" t="str">
        <f aca="false">IF($M353="","",INDEX(伝票元!$F$6:$F$511,$M353))</f>
        <v/>
      </c>
      <c r="I353" s="45" t="str">
        <f aca="false">IF($M353="","",INDEX(伝票元!$G$6:$G$511,$M353))</f>
        <v/>
      </c>
      <c r="J353" s="42" t="str">
        <f aca="false">IF($M353="","",INDEX(伝票元!$H$6:$H$511,$M353))</f>
        <v/>
      </c>
      <c r="K353" s="46" t="str">
        <f aca="false">IF(IF($M353="",0,INDEX(伝票元!$N$6:$N$511,$M353))=1,INDEX(伝票元!$R$6:$R$511,$M353),"")</f>
        <v/>
      </c>
      <c r="L353" s="47" t="str">
        <f aca="false">IF($M353="","",INDEX(伝票元!$S$6:$S$511,$M353))</f>
        <v/>
      </c>
      <c r="M353" s="47" t="str">
        <f aca="false">IFERROR(MATCH(347,伝票元!$O$6:$O$511,0),"")</f>
        <v/>
      </c>
    </row>
    <row r="354" customFormat="false" ht="15" hidden="false" customHeight="false" outlineLevel="0" collapsed="false">
      <c r="A354" s="10" t="str">
        <f aca="false">IF($M354="","",INDEX(伝票元!$P$6:$P$511,$M354))</f>
        <v/>
      </c>
      <c r="B354" s="45" t="str">
        <f aca="false">IF($M354="","",INDEX(伝票元!$D$6:$D$511,$M354))</f>
        <v/>
      </c>
      <c r="C354" s="10" t="str">
        <f aca="false">IF($M354="","",INDEX(伝票元!$E$6:$E$511,$M354))</f>
        <v/>
      </c>
      <c r="D354" s="45" t="str">
        <f aca="false">IF($M354="","",INDEX(伝票元!$A$6:$A$511,$M354))</f>
        <v/>
      </c>
      <c r="E354" s="10" t="str">
        <f aca="false">IF(IF($M354="",0,INDEX(伝票元!$N$6:$N$511,$M354))=1,INDEX(伝票元!$I$6:$I$511,$M354),"")</f>
        <v/>
      </c>
      <c r="F354" s="45" t="str">
        <f aca="false">IF(IF($M354="",0,INDEX(伝票元!$N$6:$N$511,$M354))=1,INDEX(伝票元!$J$6:$J$511,$M354),"")</f>
        <v/>
      </c>
      <c r="G354" s="42" t="str">
        <f aca="false">IF(IF($M354="",0,INDEX(伝票元!$N$6:$N$511,$M354))=1,INDEX(伝票元!$Q$6:$Q$511,$M354),"")</f>
        <v/>
      </c>
      <c r="H354" s="45" t="str">
        <f aca="false">IF($M354="","",INDEX(伝票元!$F$6:$F$511,$M354))</f>
        <v/>
      </c>
      <c r="I354" s="45" t="str">
        <f aca="false">IF($M354="","",INDEX(伝票元!$G$6:$G$511,$M354))</f>
        <v/>
      </c>
      <c r="J354" s="42" t="str">
        <f aca="false">IF($M354="","",INDEX(伝票元!$H$6:$H$511,$M354))</f>
        <v/>
      </c>
      <c r="K354" s="46" t="str">
        <f aca="false">IF(IF($M354="",0,INDEX(伝票元!$N$6:$N$511,$M354))=1,INDEX(伝票元!$R$6:$R$511,$M354),"")</f>
        <v/>
      </c>
      <c r="L354" s="47" t="str">
        <f aca="false">IF($M354="","",INDEX(伝票元!$S$6:$S$511,$M354))</f>
        <v/>
      </c>
      <c r="M354" s="47" t="str">
        <f aca="false">IFERROR(MATCH(348,伝票元!$O$6:$O$511,0),"")</f>
        <v/>
      </c>
    </row>
    <row r="355" customFormat="false" ht="15" hidden="false" customHeight="false" outlineLevel="0" collapsed="false">
      <c r="A355" s="10" t="str">
        <f aca="false">IF($M355="","",INDEX(伝票元!$P$6:$P$511,$M355))</f>
        <v/>
      </c>
      <c r="B355" s="45" t="str">
        <f aca="false">IF($M355="","",INDEX(伝票元!$D$6:$D$511,$M355))</f>
        <v/>
      </c>
      <c r="C355" s="10" t="str">
        <f aca="false">IF($M355="","",INDEX(伝票元!$E$6:$E$511,$M355))</f>
        <v/>
      </c>
      <c r="D355" s="45" t="str">
        <f aca="false">IF($M355="","",INDEX(伝票元!$A$6:$A$511,$M355))</f>
        <v/>
      </c>
      <c r="E355" s="10" t="str">
        <f aca="false">IF(IF($M355="",0,INDEX(伝票元!$N$6:$N$511,$M355))=1,INDEX(伝票元!$I$6:$I$511,$M355),"")</f>
        <v/>
      </c>
      <c r="F355" s="45" t="str">
        <f aca="false">IF(IF($M355="",0,INDEX(伝票元!$N$6:$N$511,$M355))=1,INDEX(伝票元!$J$6:$J$511,$M355),"")</f>
        <v/>
      </c>
      <c r="G355" s="42" t="str">
        <f aca="false">IF(IF($M355="",0,INDEX(伝票元!$N$6:$N$511,$M355))=1,INDEX(伝票元!$Q$6:$Q$511,$M355),"")</f>
        <v/>
      </c>
      <c r="H355" s="45" t="str">
        <f aca="false">IF($M355="","",INDEX(伝票元!$F$6:$F$511,$M355))</f>
        <v/>
      </c>
      <c r="I355" s="45" t="str">
        <f aca="false">IF($M355="","",INDEX(伝票元!$G$6:$G$511,$M355))</f>
        <v/>
      </c>
      <c r="J355" s="42" t="str">
        <f aca="false">IF($M355="","",INDEX(伝票元!$H$6:$H$511,$M355))</f>
        <v/>
      </c>
      <c r="K355" s="46" t="str">
        <f aca="false">IF(IF($M355="",0,INDEX(伝票元!$N$6:$N$511,$M355))=1,INDEX(伝票元!$R$6:$R$511,$M355),"")</f>
        <v/>
      </c>
      <c r="L355" s="47" t="str">
        <f aca="false">IF($M355="","",INDEX(伝票元!$S$6:$S$511,$M355))</f>
        <v/>
      </c>
      <c r="M355" s="47" t="str">
        <f aca="false">IFERROR(MATCH(349,伝票元!$O$6:$O$511,0),"")</f>
        <v/>
      </c>
    </row>
    <row r="356" customFormat="false" ht="15" hidden="false" customHeight="false" outlineLevel="0" collapsed="false">
      <c r="A356" s="10" t="str">
        <f aca="false">IF($M356="","",INDEX(伝票元!$P$6:$P$511,$M356))</f>
        <v/>
      </c>
      <c r="B356" s="45" t="str">
        <f aca="false">IF($M356="","",INDEX(伝票元!$D$6:$D$511,$M356))</f>
        <v/>
      </c>
      <c r="C356" s="10" t="str">
        <f aca="false">IF($M356="","",INDEX(伝票元!$E$6:$E$511,$M356))</f>
        <v/>
      </c>
      <c r="D356" s="45" t="str">
        <f aca="false">IF($M356="","",INDEX(伝票元!$A$6:$A$511,$M356))</f>
        <v/>
      </c>
      <c r="E356" s="10" t="str">
        <f aca="false">IF(IF($M356="",0,INDEX(伝票元!$N$6:$N$511,$M356))=1,INDEX(伝票元!$I$6:$I$511,$M356),"")</f>
        <v/>
      </c>
      <c r="F356" s="45" t="str">
        <f aca="false">IF(IF($M356="",0,INDEX(伝票元!$N$6:$N$511,$M356))=1,INDEX(伝票元!$J$6:$J$511,$M356),"")</f>
        <v/>
      </c>
      <c r="G356" s="42" t="str">
        <f aca="false">IF(IF($M356="",0,INDEX(伝票元!$N$6:$N$511,$M356))=1,INDEX(伝票元!$Q$6:$Q$511,$M356),"")</f>
        <v/>
      </c>
      <c r="H356" s="45" t="str">
        <f aca="false">IF($M356="","",INDEX(伝票元!$F$6:$F$511,$M356))</f>
        <v/>
      </c>
      <c r="I356" s="45" t="str">
        <f aca="false">IF($M356="","",INDEX(伝票元!$G$6:$G$511,$M356))</f>
        <v/>
      </c>
      <c r="J356" s="42" t="str">
        <f aca="false">IF($M356="","",INDEX(伝票元!$H$6:$H$511,$M356))</f>
        <v/>
      </c>
      <c r="K356" s="46" t="str">
        <f aca="false">IF(IF($M356="",0,INDEX(伝票元!$N$6:$N$511,$M356))=1,INDEX(伝票元!$R$6:$R$511,$M356),"")</f>
        <v/>
      </c>
      <c r="L356" s="47" t="str">
        <f aca="false">IF($M356="","",INDEX(伝票元!$S$6:$S$511,$M356))</f>
        <v/>
      </c>
      <c r="M356" s="47" t="str">
        <f aca="false">IFERROR(MATCH(350,伝票元!$O$6:$O$511,0),"")</f>
        <v/>
      </c>
    </row>
    <row r="357" customFormat="false" ht="15" hidden="false" customHeight="false" outlineLevel="0" collapsed="false">
      <c r="A357" s="10" t="str">
        <f aca="false">IF($M357="","",INDEX(伝票元!$P$6:$P$511,$M357))</f>
        <v/>
      </c>
      <c r="B357" s="45" t="str">
        <f aca="false">IF($M357="","",INDEX(伝票元!$D$6:$D$511,$M357))</f>
        <v/>
      </c>
      <c r="C357" s="10" t="str">
        <f aca="false">IF($M357="","",INDEX(伝票元!$E$6:$E$511,$M357))</f>
        <v/>
      </c>
      <c r="D357" s="45" t="str">
        <f aca="false">IF($M357="","",INDEX(伝票元!$A$6:$A$511,$M357))</f>
        <v/>
      </c>
      <c r="E357" s="10" t="str">
        <f aca="false">IF(IF($M357="",0,INDEX(伝票元!$N$6:$N$511,$M357))=1,INDEX(伝票元!$I$6:$I$511,$M357),"")</f>
        <v/>
      </c>
      <c r="F357" s="45" t="str">
        <f aca="false">IF(IF($M357="",0,INDEX(伝票元!$N$6:$N$511,$M357))=1,INDEX(伝票元!$J$6:$J$511,$M357),"")</f>
        <v/>
      </c>
      <c r="G357" s="42" t="str">
        <f aca="false">IF(IF($M357="",0,INDEX(伝票元!$N$6:$N$511,$M357))=1,INDEX(伝票元!$Q$6:$Q$511,$M357),"")</f>
        <v/>
      </c>
      <c r="H357" s="45" t="str">
        <f aca="false">IF($M357="","",INDEX(伝票元!$F$6:$F$511,$M357))</f>
        <v/>
      </c>
      <c r="I357" s="45" t="str">
        <f aca="false">IF($M357="","",INDEX(伝票元!$G$6:$G$511,$M357))</f>
        <v/>
      </c>
      <c r="J357" s="42" t="str">
        <f aca="false">IF($M357="","",INDEX(伝票元!$H$6:$H$511,$M357))</f>
        <v/>
      </c>
      <c r="K357" s="46" t="str">
        <f aca="false">IF(IF($M357="",0,INDEX(伝票元!$N$6:$N$511,$M357))=1,INDEX(伝票元!$R$6:$R$511,$M357),"")</f>
        <v/>
      </c>
      <c r="L357" s="47" t="str">
        <f aca="false">IF($M357="","",INDEX(伝票元!$S$6:$S$511,$M357))</f>
        <v/>
      </c>
      <c r="M357" s="47" t="str">
        <f aca="false">IFERROR(MATCH(351,伝票元!$O$6:$O$511,0),"")</f>
        <v/>
      </c>
    </row>
    <row r="358" customFormat="false" ht="15" hidden="false" customHeight="false" outlineLevel="0" collapsed="false">
      <c r="A358" s="10" t="str">
        <f aca="false">IF($M358="","",INDEX(伝票元!$P$6:$P$511,$M358))</f>
        <v/>
      </c>
      <c r="B358" s="45" t="str">
        <f aca="false">IF($M358="","",INDEX(伝票元!$D$6:$D$511,$M358))</f>
        <v/>
      </c>
      <c r="C358" s="10" t="str">
        <f aca="false">IF($M358="","",INDEX(伝票元!$E$6:$E$511,$M358))</f>
        <v/>
      </c>
      <c r="D358" s="45" t="str">
        <f aca="false">IF($M358="","",INDEX(伝票元!$A$6:$A$511,$M358))</f>
        <v/>
      </c>
      <c r="E358" s="10" t="str">
        <f aca="false">IF(IF($M358="",0,INDEX(伝票元!$N$6:$N$511,$M358))=1,INDEX(伝票元!$I$6:$I$511,$M358),"")</f>
        <v/>
      </c>
      <c r="F358" s="45" t="str">
        <f aca="false">IF(IF($M358="",0,INDEX(伝票元!$N$6:$N$511,$M358))=1,INDEX(伝票元!$J$6:$J$511,$M358),"")</f>
        <v/>
      </c>
      <c r="G358" s="42" t="str">
        <f aca="false">IF(IF($M358="",0,INDEX(伝票元!$N$6:$N$511,$M358))=1,INDEX(伝票元!$Q$6:$Q$511,$M358),"")</f>
        <v/>
      </c>
      <c r="H358" s="45" t="str">
        <f aca="false">IF($M358="","",INDEX(伝票元!$F$6:$F$511,$M358))</f>
        <v/>
      </c>
      <c r="I358" s="45" t="str">
        <f aca="false">IF($M358="","",INDEX(伝票元!$G$6:$G$511,$M358))</f>
        <v/>
      </c>
      <c r="J358" s="42" t="str">
        <f aca="false">IF($M358="","",INDEX(伝票元!$H$6:$H$511,$M358))</f>
        <v/>
      </c>
      <c r="K358" s="46" t="str">
        <f aca="false">IF(IF($M358="",0,INDEX(伝票元!$N$6:$N$511,$M358))=1,INDEX(伝票元!$R$6:$R$511,$M358),"")</f>
        <v/>
      </c>
      <c r="L358" s="47" t="str">
        <f aca="false">IF($M358="","",INDEX(伝票元!$S$6:$S$511,$M358))</f>
        <v/>
      </c>
      <c r="M358" s="47" t="str">
        <f aca="false">IFERROR(MATCH(352,伝票元!$O$6:$O$511,0),"")</f>
        <v/>
      </c>
    </row>
    <row r="359" customFormat="false" ht="15" hidden="false" customHeight="false" outlineLevel="0" collapsed="false">
      <c r="A359" s="10" t="str">
        <f aca="false">IF($M359="","",INDEX(伝票元!$P$6:$P$511,$M359))</f>
        <v/>
      </c>
      <c r="B359" s="45" t="str">
        <f aca="false">IF($M359="","",INDEX(伝票元!$D$6:$D$511,$M359))</f>
        <v/>
      </c>
      <c r="C359" s="10" t="str">
        <f aca="false">IF($M359="","",INDEX(伝票元!$E$6:$E$511,$M359))</f>
        <v/>
      </c>
      <c r="D359" s="45" t="str">
        <f aca="false">IF($M359="","",INDEX(伝票元!$A$6:$A$511,$M359))</f>
        <v/>
      </c>
      <c r="E359" s="10" t="str">
        <f aca="false">IF(IF($M359="",0,INDEX(伝票元!$N$6:$N$511,$M359))=1,INDEX(伝票元!$I$6:$I$511,$M359),"")</f>
        <v/>
      </c>
      <c r="F359" s="45" t="str">
        <f aca="false">IF(IF($M359="",0,INDEX(伝票元!$N$6:$N$511,$M359))=1,INDEX(伝票元!$J$6:$J$511,$M359),"")</f>
        <v/>
      </c>
      <c r="G359" s="42" t="str">
        <f aca="false">IF(IF($M359="",0,INDEX(伝票元!$N$6:$N$511,$M359))=1,INDEX(伝票元!$Q$6:$Q$511,$M359),"")</f>
        <v/>
      </c>
      <c r="H359" s="45" t="str">
        <f aca="false">IF($M359="","",INDEX(伝票元!$F$6:$F$511,$M359))</f>
        <v/>
      </c>
      <c r="I359" s="45" t="str">
        <f aca="false">IF($M359="","",INDEX(伝票元!$G$6:$G$511,$M359))</f>
        <v/>
      </c>
      <c r="J359" s="42" t="str">
        <f aca="false">IF($M359="","",INDEX(伝票元!$H$6:$H$511,$M359))</f>
        <v/>
      </c>
      <c r="K359" s="46" t="str">
        <f aca="false">IF(IF($M359="",0,INDEX(伝票元!$N$6:$N$511,$M359))=1,INDEX(伝票元!$R$6:$R$511,$M359),"")</f>
        <v/>
      </c>
      <c r="L359" s="47" t="str">
        <f aca="false">IF($M359="","",INDEX(伝票元!$S$6:$S$511,$M359))</f>
        <v/>
      </c>
      <c r="M359" s="47" t="str">
        <f aca="false">IFERROR(MATCH(353,伝票元!$O$6:$O$511,0),"")</f>
        <v/>
      </c>
    </row>
    <row r="360" customFormat="false" ht="15" hidden="false" customHeight="false" outlineLevel="0" collapsed="false">
      <c r="A360" s="10" t="str">
        <f aca="false">IF($M360="","",INDEX(伝票元!$P$6:$P$511,$M360))</f>
        <v/>
      </c>
      <c r="B360" s="45" t="str">
        <f aca="false">IF($M360="","",INDEX(伝票元!$D$6:$D$511,$M360))</f>
        <v/>
      </c>
      <c r="C360" s="10" t="str">
        <f aca="false">IF($M360="","",INDEX(伝票元!$E$6:$E$511,$M360))</f>
        <v/>
      </c>
      <c r="D360" s="45" t="str">
        <f aca="false">IF($M360="","",INDEX(伝票元!$A$6:$A$511,$M360))</f>
        <v/>
      </c>
      <c r="E360" s="10" t="str">
        <f aca="false">IF(IF($M360="",0,INDEX(伝票元!$N$6:$N$511,$M360))=1,INDEX(伝票元!$I$6:$I$511,$M360),"")</f>
        <v/>
      </c>
      <c r="F360" s="45" t="str">
        <f aca="false">IF(IF($M360="",0,INDEX(伝票元!$N$6:$N$511,$M360))=1,INDEX(伝票元!$J$6:$J$511,$M360),"")</f>
        <v/>
      </c>
      <c r="G360" s="42" t="str">
        <f aca="false">IF(IF($M360="",0,INDEX(伝票元!$N$6:$N$511,$M360))=1,INDEX(伝票元!$Q$6:$Q$511,$M360),"")</f>
        <v/>
      </c>
      <c r="H360" s="45" t="str">
        <f aca="false">IF($M360="","",INDEX(伝票元!$F$6:$F$511,$M360))</f>
        <v/>
      </c>
      <c r="I360" s="45" t="str">
        <f aca="false">IF($M360="","",INDEX(伝票元!$G$6:$G$511,$M360))</f>
        <v/>
      </c>
      <c r="J360" s="42" t="str">
        <f aca="false">IF($M360="","",INDEX(伝票元!$H$6:$H$511,$M360))</f>
        <v/>
      </c>
      <c r="K360" s="46" t="str">
        <f aca="false">IF(IF($M360="",0,INDEX(伝票元!$N$6:$N$511,$M360))=1,INDEX(伝票元!$R$6:$R$511,$M360),"")</f>
        <v/>
      </c>
      <c r="L360" s="47" t="str">
        <f aca="false">IF($M360="","",INDEX(伝票元!$S$6:$S$511,$M360))</f>
        <v/>
      </c>
      <c r="M360" s="47" t="str">
        <f aca="false">IFERROR(MATCH(354,伝票元!$O$6:$O$511,0),"")</f>
        <v/>
      </c>
    </row>
    <row r="361" customFormat="false" ht="15" hidden="false" customHeight="false" outlineLevel="0" collapsed="false">
      <c r="A361" s="10" t="str">
        <f aca="false">IF($M361="","",INDEX(伝票元!$P$6:$P$511,$M361))</f>
        <v/>
      </c>
      <c r="B361" s="45" t="str">
        <f aca="false">IF($M361="","",INDEX(伝票元!$D$6:$D$511,$M361))</f>
        <v/>
      </c>
      <c r="C361" s="10" t="str">
        <f aca="false">IF($M361="","",INDEX(伝票元!$E$6:$E$511,$M361))</f>
        <v/>
      </c>
      <c r="D361" s="45" t="str">
        <f aca="false">IF($M361="","",INDEX(伝票元!$A$6:$A$511,$M361))</f>
        <v/>
      </c>
      <c r="E361" s="10" t="str">
        <f aca="false">IF(IF($M361="",0,INDEX(伝票元!$N$6:$N$511,$M361))=1,INDEX(伝票元!$I$6:$I$511,$M361),"")</f>
        <v/>
      </c>
      <c r="F361" s="45" t="str">
        <f aca="false">IF(IF($M361="",0,INDEX(伝票元!$N$6:$N$511,$M361))=1,INDEX(伝票元!$J$6:$J$511,$M361),"")</f>
        <v/>
      </c>
      <c r="G361" s="42" t="str">
        <f aca="false">IF(IF($M361="",0,INDEX(伝票元!$N$6:$N$511,$M361))=1,INDEX(伝票元!$Q$6:$Q$511,$M361),"")</f>
        <v/>
      </c>
      <c r="H361" s="45" t="str">
        <f aca="false">IF($M361="","",INDEX(伝票元!$F$6:$F$511,$M361))</f>
        <v/>
      </c>
      <c r="I361" s="45" t="str">
        <f aca="false">IF($M361="","",INDEX(伝票元!$G$6:$G$511,$M361))</f>
        <v/>
      </c>
      <c r="J361" s="42" t="str">
        <f aca="false">IF($M361="","",INDEX(伝票元!$H$6:$H$511,$M361))</f>
        <v/>
      </c>
      <c r="K361" s="46" t="str">
        <f aca="false">IF(IF($M361="",0,INDEX(伝票元!$N$6:$N$511,$M361))=1,INDEX(伝票元!$R$6:$R$511,$M361),"")</f>
        <v/>
      </c>
      <c r="L361" s="47" t="str">
        <f aca="false">IF($M361="","",INDEX(伝票元!$S$6:$S$511,$M361))</f>
        <v/>
      </c>
      <c r="M361" s="47" t="str">
        <f aca="false">IFERROR(MATCH(355,伝票元!$O$6:$O$511,0),"")</f>
        <v/>
      </c>
    </row>
    <row r="362" customFormat="false" ht="15" hidden="false" customHeight="false" outlineLevel="0" collapsed="false">
      <c r="A362" s="10" t="str">
        <f aca="false">IF($M362="","",INDEX(伝票元!$P$6:$P$511,$M362))</f>
        <v/>
      </c>
      <c r="B362" s="45" t="str">
        <f aca="false">IF($M362="","",INDEX(伝票元!$D$6:$D$511,$M362))</f>
        <v/>
      </c>
      <c r="C362" s="10" t="str">
        <f aca="false">IF($M362="","",INDEX(伝票元!$E$6:$E$511,$M362))</f>
        <v/>
      </c>
      <c r="D362" s="45" t="str">
        <f aca="false">IF($M362="","",INDEX(伝票元!$A$6:$A$511,$M362))</f>
        <v/>
      </c>
      <c r="E362" s="10" t="str">
        <f aca="false">IF(IF($M362="",0,INDEX(伝票元!$N$6:$N$511,$M362))=1,INDEX(伝票元!$I$6:$I$511,$M362),"")</f>
        <v/>
      </c>
      <c r="F362" s="45" t="str">
        <f aca="false">IF(IF($M362="",0,INDEX(伝票元!$N$6:$N$511,$M362))=1,INDEX(伝票元!$J$6:$J$511,$M362),"")</f>
        <v/>
      </c>
      <c r="G362" s="42" t="str">
        <f aca="false">IF(IF($M362="",0,INDEX(伝票元!$N$6:$N$511,$M362))=1,INDEX(伝票元!$Q$6:$Q$511,$M362),"")</f>
        <v/>
      </c>
      <c r="H362" s="45" t="str">
        <f aca="false">IF($M362="","",INDEX(伝票元!$F$6:$F$511,$M362))</f>
        <v/>
      </c>
      <c r="I362" s="45" t="str">
        <f aca="false">IF($M362="","",INDEX(伝票元!$G$6:$G$511,$M362))</f>
        <v/>
      </c>
      <c r="J362" s="42" t="str">
        <f aca="false">IF($M362="","",INDEX(伝票元!$H$6:$H$511,$M362))</f>
        <v/>
      </c>
      <c r="K362" s="46" t="str">
        <f aca="false">IF(IF($M362="",0,INDEX(伝票元!$N$6:$N$511,$M362))=1,INDEX(伝票元!$R$6:$R$511,$M362),"")</f>
        <v/>
      </c>
      <c r="L362" s="47" t="str">
        <f aca="false">IF($M362="","",INDEX(伝票元!$S$6:$S$511,$M362))</f>
        <v/>
      </c>
      <c r="M362" s="47" t="str">
        <f aca="false">IFERROR(MATCH(356,伝票元!$O$6:$O$511,0),"")</f>
        <v/>
      </c>
    </row>
    <row r="363" customFormat="false" ht="15" hidden="false" customHeight="false" outlineLevel="0" collapsed="false">
      <c r="A363" s="10" t="str">
        <f aca="false">IF($M363="","",INDEX(伝票元!$P$6:$P$511,$M363))</f>
        <v/>
      </c>
      <c r="B363" s="45" t="str">
        <f aca="false">IF($M363="","",INDEX(伝票元!$D$6:$D$511,$M363))</f>
        <v/>
      </c>
      <c r="C363" s="10" t="str">
        <f aca="false">IF($M363="","",INDEX(伝票元!$E$6:$E$511,$M363))</f>
        <v/>
      </c>
      <c r="D363" s="45" t="str">
        <f aca="false">IF($M363="","",INDEX(伝票元!$A$6:$A$511,$M363))</f>
        <v/>
      </c>
      <c r="E363" s="10" t="str">
        <f aca="false">IF(IF($M363="",0,INDEX(伝票元!$N$6:$N$511,$M363))=1,INDEX(伝票元!$I$6:$I$511,$M363),"")</f>
        <v/>
      </c>
      <c r="F363" s="45" t="str">
        <f aca="false">IF(IF($M363="",0,INDEX(伝票元!$N$6:$N$511,$M363))=1,INDEX(伝票元!$J$6:$J$511,$M363),"")</f>
        <v/>
      </c>
      <c r="G363" s="42" t="str">
        <f aca="false">IF(IF($M363="",0,INDEX(伝票元!$N$6:$N$511,$M363))=1,INDEX(伝票元!$Q$6:$Q$511,$M363),"")</f>
        <v/>
      </c>
      <c r="H363" s="45" t="str">
        <f aca="false">IF($M363="","",INDEX(伝票元!$F$6:$F$511,$M363))</f>
        <v/>
      </c>
      <c r="I363" s="45" t="str">
        <f aca="false">IF($M363="","",INDEX(伝票元!$G$6:$G$511,$M363))</f>
        <v/>
      </c>
      <c r="J363" s="42" t="str">
        <f aca="false">IF($M363="","",INDEX(伝票元!$H$6:$H$511,$M363))</f>
        <v/>
      </c>
      <c r="K363" s="46" t="str">
        <f aca="false">IF(IF($M363="",0,INDEX(伝票元!$N$6:$N$511,$M363))=1,INDEX(伝票元!$R$6:$R$511,$M363),"")</f>
        <v/>
      </c>
      <c r="L363" s="47" t="str">
        <f aca="false">IF($M363="","",INDEX(伝票元!$S$6:$S$511,$M363))</f>
        <v/>
      </c>
      <c r="M363" s="47" t="str">
        <f aca="false">IFERROR(MATCH(357,伝票元!$O$6:$O$511,0),"")</f>
        <v/>
      </c>
    </row>
    <row r="364" customFormat="false" ht="15" hidden="false" customHeight="false" outlineLevel="0" collapsed="false">
      <c r="A364" s="10" t="str">
        <f aca="false">IF($M364="","",INDEX(伝票元!$P$6:$P$511,$M364))</f>
        <v/>
      </c>
      <c r="B364" s="45" t="str">
        <f aca="false">IF($M364="","",INDEX(伝票元!$D$6:$D$511,$M364))</f>
        <v/>
      </c>
      <c r="C364" s="10" t="str">
        <f aca="false">IF($M364="","",INDEX(伝票元!$E$6:$E$511,$M364))</f>
        <v/>
      </c>
      <c r="D364" s="45" t="str">
        <f aca="false">IF($M364="","",INDEX(伝票元!$A$6:$A$511,$M364))</f>
        <v/>
      </c>
      <c r="E364" s="10" t="str">
        <f aca="false">IF(IF($M364="",0,INDEX(伝票元!$N$6:$N$511,$M364))=1,INDEX(伝票元!$I$6:$I$511,$M364),"")</f>
        <v/>
      </c>
      <c r="F364" s="45" t="str">
        <f aca="false">IF(IF($M364="",0,INDEX(伝票元!$N$6:$N$511,$M364))=1,INDEX(伝票元!$J$6:$J$511,$M364),"")</f>
        <v/>
      </c>
      <c r="G364" s="42" t="str">
        <f aca="false">IF(IF($M364="",0,INDEX(伝票元!$N$6:$N$511,$M364))=1,INDEX(伝票元!$Q$6:$Q$511,$M364),"")</f>
        <v/>
      </c>
      <c r="H364" s="45" t="str">
        <f aca="false">IF($M364="","",INDEX(伝票元!$F$6:$F$511,$M364))</f>
        <v/>
      </c>
      <c r="I364" s="45" t="str">
        <f aca="false">IF($M364="","",INDEX(伝票元!$G$6:$G$511,$M364))</f>
        <v/>
      </c>
      <c r="J364" s="42" t="str">
        <f aca="false">IF($M364="","",INDEX(伝票元!$H$6:$H$511,$M364))</f>
        <v/>
      </c>
      <c r="K364" s="46" t="str">
        <f aca="false">IF(IF($M364="",0,INDEX(伝票元!$N$6:$N$511,$M364))=1,INDEX(伝票元!$R$6:$R$511,$M364),"")</f>
        <v/>
      </c>
      <c r="L364" s="47" t="str">
        <f aca="false">IF($M364="","",INDEX(伝票元!$S$6:$S$511,$M364))</f>
        <v/>
      </c>
      <c r="M364" s="47" t="str">
        <f aca="false">IFERROR(MATCH(358,伝票元!$O$6:$O$511,0),"")</f>
        <v/>
      </c>
    </row>
    <row r="365" customFormat="false" ht="15" hidden="false" customHeight="false" outlineLevel="0" collapsed="false">
      <c r="A365" s="10" t="str">
        <f aca="false">IF($M365="","",INDEX(伝票元!$P$6:$P$511,$M365))</f>
        <v/>
      </c>
      <c r="B365" s="45" t="str">
        <f aca="false">IF($M365="","",INDEX(伝票元!$D$6:$D$511,$M365))</f>
        <v/>
      </c>
      <c r="C365" s="10" t="str">
        <f aca="false">IF($M365="","",INDEX(伝票元!$E$6:$E$511,$M365))</f>
        <v/>
      </c>
      <c r="D365" s="45" t="str">
        <f aca="false">IF($M365="","",INDEX(伝票元!$A$6:$A$511,$M365))</f>
        <v/>
      </c>
      <c r="E365" s="10" t="str">
        <f aca="false">IF(IF($M365="",0,INDEX(伝票元!$N$6:$N$511,$M365))=1,INDEX(伝票元!$I$6:$I$511,$M365),"")</f>
        <v/>
      </c>
      <c r="F365" s="45" t="str">
        <f aca="false">IF(IF($M365="",0,INDEX(伝票元!$N$6:$N$511,$M365))=1,INDEX(伝票元!$J$6:$J$511,$M365),"")</f>
        <v/>
      </c>
      <c r="G365" s="42" t="str">
        <f aca="false">IF(IF($M365="",0,INDEX(伝票元!$N$6:$N$511,$M365))=1,INDEX(伝票元!$Q$6:$Q$511,$M365),"")</f>
        <v/>
      </c>
      <c r="H365" s="45" t="str">
        <f aca="false">IF($M365="","",INDEX(伝票元!$F$6:$F$511,$M365))</f>
        <v/>
      </c>
      <c r="I365" s="45" t="str">
        <f aca="false">IF($M365="","",INDEX(伝票元!$G$6:$G$511,$M365))</f>
        <v/>
      </c>
      <c r="J365" s="42" t="str">
        <f aca="false">IF($M365="","",INDEX(伝票元!$H$6:$H$511,$M365))</f>
        <v/>
      </c>
      <c r="K365" s="46" t="str">
        <f aca="false">IF(IF($M365="",0,INDEX(伝票元!$N$6:$N$511,$M365))=1,INDEX(伝票元!$R$6:$R$511,$M365),"")</f>
        <v/>
      </c>
      <c r="L365" s="47" t="str">
        <f aca="false">IF($M365="","",INDEX(伝票元!$S$6:$S$511,$M365))</f>
        <v/>
      </c>
      <c r="M365" s="47" t="str">
        <f aca="false">IFERROR(MATCH(359,伝票元!$O$6:$O$511,0),"")</f>
        <v/>
      </c>
    </row>
    <row r="366" customFormat="false" ht="15" hidden="false" customHeight="false" outlineLevel="0" collapsed="false">
      <c r="A366" s="10" t="str">
        <f aca="false">IF($M366="","",INDEX(伝票元!$P$6:$P$511,$M366))</f>
        <v/>
      </c>
      <c r="B366" s="45" t="str">
        <f aca="false">IF($M366="","",INDEX(伝票元!$D$6:$D$511,$M366))</f>
        <v/>
      </c>
      <c r="C366" s="10" t="str">
        <f aca="false">IF($M366="","",INDEX(伝票元!$E$6:$E$511,$M366))</f>
        <v/>
      </c>
      <c r="D366" s="45" t="str">
        <f aca="false">IF($M366="","",INDEX(伝票元!$A$6:$A$511,$M366))</f>
        <v/>
      </c>
      <c r="E366" s="10" t="str">
        <f aca="false">IF(IF($M366="",0,INDEX(伝票元!$N$6:$N$511,$M366))=1,INDEX(伝票元!$I$6:$I$511,$M366),"")</f>
        <v/>
      </c>
      <c r="F366" s="45" t="str">
        <f aca="false">IF(IF($M366="",0,INDEX(伝票元!$N$6:$N$511,$M366))=1,INDEX(伝票元!$J$6:$J$511,$M366),"")</f>
        <v/>
      </c>
      <c r="G366" s="42" t="str">
        <f aca="false">IF(IF($M366="",0,INDEX(伝票元!$N$6:$N$511,$M366))=1,INDEX(伝票元!$Q$6:$Q$511,$M366),"")</f>
        <v/>
      </c>
      <c r="H366" s="45" t="str">
        <f aca="false">IF($M366="","",INDEX(伝票元!$F$6:$F$511,$M366))</f>
        <v/>
      </c>
      <c r="I366" s="45" t="str">
        <f aca="false">IF($M366="","",INDEX(伝票元!$G$6:$G$511,$M366))</f>
        <v/>
      </c>
      <c r="J366" s="42" t="str">
        <f aca="false">IF($M366="","",INDEX(伝票元!$H$6:$H$511,$M366))</f>
        <v/>
      </c>
      <c r="K366" s="46" t="str">
        <f aca="false">IF(IF($M366="",0,INDEX(伝票元!$N$6:$N$511,$M366))=1,INDEX(伝票元!$R$6:$R$511,$M366),"")</f>
        <v/>
      </c>
      <c r="L366" s="47" t="str">
        <f aca="false">IF($M366="","",INDEX(伝票元!$S$6:$S$511,$M366))</f>
        <v/>
      </c>
      <c r="M366" s="47" t="str">
        <f aca="false">IFERROR(MATCH(360,伝票元!$O$6:$O$511,0),"")</f>
        <v/>
      </c>
    </row>
    <row r="367" customFormat="false" ht="15" hidden="false" customHeight="false" outlineLevel="0" collapsed="false">
      <c r="A367" s="10" t="str">
        <f aca="false">IF($M367="","",INDEX(伝票元!$P$6:$P$511,$M367))</f>
        <v/>
      </c>
      <c r="B367" s="45" t="str">
        <f aca="false">IF($M367="","",INDEX(伝票元!$D$6:$D$511,$M367))</f>
        <v/>
      </c>
      <c r="C367" s="10" t="str">
        <f aca="false">IF($M367="","",INDEX(伝票元!$E$6:$E$511,$M367))</f>
        <v/>
      </c>
      <c r="D367" s="45" t="str">
        <f aca="false">IF($M367="","",INDEX(伝票元!$A$6:$A$511,$M367))</f>
        <v/>
      </c>
      <c r="E367" s="10" t="str">
        <f aca="false">IF(IF($M367="",0,INDEX(伝票元!$N$6:$N$511,$M367))=1,INDEX(伝票元!$I$6:$I$511,$M367),"")</f>
        <v/>
      </c>
      <c r="F367" s="45" t="str">
        <f aca="false">IF(IF($M367="",0,INDEX(伝票元!$N$6:$N$511,$M367))=1,INDEX(伝票元!$J$6:$J$511,$M367),"")</f>
        <v/>
      </c>
      <c r="G367" s="42" t="str">
        <f aca="false">IF(IF($M367="",0,INDEX(伝票元!$N$6:$N$511,$M367))=1,INDEX(伝票元!$Q$6:$Q$511,$M367),"")</f>
        <v/>
      </c>
      <c r="H367" s="45" t="str">
        <f aca="false">IF($M367="","",INDEX(伝票元!$F$6:$F$511,$M367))</f>
        <v/>
      </c>
      <c r="I367" s="45" t="str">
        <f aca="false">IF($M367="","",INDEX(伝票元!$G$6:$G$511,$M367))</f>
        <v/>
      </c>
      <c r="J367" s="42" t="str">
        <f aca="false">IF($M367="","",INDEX(伝票元!$H$6:$H$511,$M367))</f>
        <v/>
      </c>
      <c r="K367" s="46" t="str">
        <f aca="false">IF(IF($M367="",0,INDEX(伝票元!$N$6:$N$511,$M367))=1,INDEX(伝票元!$R$6:$R$511,$M367),"")</f>
        <v/>
      </c>
      <c r="L367" s="47" t="str">
        <f aca="false">IF($M367="","",INDEX(伝票元!$S$6:$S$511,$M367))</f>
        <v/>
      </c>
      <c r="M367" s="47" t="str">
        <f aca="false">IFERROR(MATCH(361,伝票元!$O$6:$O$511,0),"")</f>
        <v/>
      </c>
    </row>
    <row r="368" customFormat="false" ht="15" hidden="false" customHeight="false" outlineLevel="0" collapsed="false">
      <c r="A368" s="10" t="str">
        <f aca="false">IF($M368="","",INDEX(伝票元!$P$6:$P$511,$M368))</f>
        <v/>
      </c>
      <c r="B368" s="45" t="str">
        <f aca="false">IF($M368="","",INDEX(伝票元!$D$6:$D$511,$M368))</f>
        <v/>
      </c>
      <c r="C368" s="10" t="str">
        <f aca="false">IF($M368="","",INDEX(伝票元!$E$6:$E$511,$M368))</f>
        <v/>
      </c>
      <c r="D368" s="45" t="str">
        <f aca="false">IF($M368="","",INDEX(伝票元!$A$6:$A$511,$M368))</f>
        <v/>
      </c>
      <c r="E368" s="10" t="str">
        <f aca="false">IF(IF($M368="",0,INDEX(伝票元!$N$6:$N$511,$M368))=1,INDEX(伝票元!$I$6:$I$511,$M368),"")</f>
        <v/>
      </c>
      <c r="F368" s="45" t="str">
        <f aca="false">IF(IF($M368="",0,INDEX(伝票元!$N$6:$N$511,$M368))=1,INDEX(伝票元!$J$6:$J$511,$M368),"")</f>
        <v/>
      </c>
      <c r="G368" s="42" t="str">
        <f aca="false">IF(IF($M368="",0,INDEX(伝票元!$N$6:$N$511,$M368))=1,INDEX(伝票元!$Q$6:$Q$511,$M368),"")</f>
        <v/>
      </c>
      <c r="H368" s="45" t="str">
        <f aca="false">IF($M368="","",INDEX(伝票元!$F$6:$F$511,$M368))</f>
        <v/>
      </c>
      <c r="I368" s="45" t="str">
        <f aca="false">IF($M368="","",INDEX(伝票元!$G$6:$G$511,$M368))</f>
        <v/>
      </c>
      <c r="J368" s="42" t="str">
        <f aca="false">IF($M368="","",INDEX(伝票元!$H$6:$H$511,$M368))</f>
        <v/>
      </c>
      <c r="K368" s="46" t="str">
        <f aca="false">IF(IF($M368="",0,INDEX(伝票元!$N$6:$N$511,$M368))=1,INDEX(伝票元!$R$6:$R$511,$M368),"")</f>
        <v/>
      </c>
      <c r="L368" s="47" t="str">
        <f aca="false">IF($M368="","",INDEX(伝票元!$S$6:$S$511,$M368))</f>
        <v/>
      </c>
      <c r="M368" s="47" t="str">
        <f aca="false">IFERROR(MATCH(362,伝票元!$O$6:$O$511,0),"")</f>
        <v/>
      </c>
    </row>
    <row r="369" customFormat="false" ht="15" hidden="false" customHeight="false" outlineLevel="0" collapsed="false">
      <c r="A369" s="10" t="str">
        <f aca="false">IF($M369="","",INDEX(伝票元!$P$6:$P$511,$M369))</f>
        <v/>
      </c>
      <c r="B369" s="45" t="str">
        <f aca="false">IF($M369="","",INDEX(伝票元!$D$6:$D$511,$M369))</f>
        <v/>
      </c>
      <c r="C369" s="10" t="str">
        <f aca="false">IF($M369="","",INDEX(伝票元!$E$6:$E$511,$M369))</f>
        <v/>
      </c>
      <c r="D369" s="45" t="str">
        <f aca="false">IF($M369="","",INDEX(伝票元!$A$6:$A$511,$M369))</f>
        <v/>
      </c>
      <c r="E369" s="10" t="str">
        <f aca="false">IF(IF($M369="",0,INDEX(伝票元!$N$6:$N$511,$M369))=1,INDEX(伝票元!$I$6:$I$511,$M369),"")</f>
        <v/>
      </c>
      <c r="F369" s="45" t="str">
        <f aca="false">IF(IF($M369="",0,INDEX(伝票元!$N$6:$N$511,$M369))=1,INDEX(伝票元!$J$6:$J$511,$M369),"")</f>
        <v/>
      </c>
      <c r="G369" s="42" t="str">
        <f aca="false">IF(IF($M369="",0,INDEX(伝票元!$N$6:$N$511,$M369))=1,INDEX(伝票元!$Q$6:$Q$511,$M369),"")</f>
        <v/>
      </c>
      <c r="H369" s="45" t="str">
        <f aca="false">IF($M369="","",INDEX(伝票元!$F$6:$F$511,$M369))</f>
        <v/>
      </c>
      <c r="I369" s="45" t="str">
        <f aca="false">IF($M369="","",INDEX(伝票元!$G$6:$G$511,$M369))</f>
        <v/>
      </c>
      <c r="J369" s="42" t="str">
        <f aca="false">IF($M369="","",INDEX(伝票元!$H$6:$H$511,$M369))</f>
        <v/>
      </c>
      <c r="K369" s="46" t="str">
        <f aca="false">IF(IF($M369="",0,INDEX(伝票元!$N$6:$N$511,$M369))=1,INDEX(伝票元!$R$6:$R$511,$M369),"")</f>
        <v/>
      </c>
      <c r="L369" s="47" t="str">
        <f aca="false">IF($M369="","",INDEX(伝票元!$S$6:$S$511,$M369))</f>
        <v/>
      </c>
      <c r="M369" s="47" t="str">
        <f aca="false">IFERROR(MATCH(363,伝票元!$O$6:$O$511,0),"")</f>
        <v/>
      </c>
    </row>
    <row r="370" customFormat="false" ht="15" hidden="false" customHeight="false" outlineLevel="0" collapsed="false">
      <c r="A370" s="10" t="str">
        <f aca="false">IF($M370="","",INDEX(伝票元!$P$6:$P$511,$M370))</f>
        <v/>
      </c>
      <c r="B370" s="45" t="str">
        <f aca="false">IF($M370="","",INDEX(伝票元!$D$6:$D$511,$M370))</f>
        <v/>
      </c>
      <c r="C370" s="10" t="str">
        <f aca="false">IF($M370="","",INDEX(伝票元!$E$6:$E$511,$M370))</f>
        <v/>
      </c>
      <c r="D370" s="45" t="str">
        <f aca="false">IF($M370="","",INDEX(伝票元!$A$6:$A$511,$M370))</f>
        <v/>
      </c>
      <c r="E370" s="10" t="str">
        <f aca="false">IF(IF($M370="",0,INDEX(伝票元!$N$6:$N$511,$M370))=1,INDEX(伝票元!$I$6:$I$511,$M370),"")</f>
        <v/>
      </c>
      <c r="F370" s="45" t="str">
        <f aca="false">IF(IF($M370="",0,INDEX(伝票元!$N$6:$N$511,$M370))=1,INDEX(伝票元!$J$6:$J$511,$M370),"")</f>
        <v/>
      </c>
      <c r="G370" s="42" t="str">
        <f aca="false">IF(IF($M370="",0,INDEX(伝票元!$N$6:$N$511,$M370))=1,INDEX(伝票元!$Q$6:$Q$511,$M370),"")</f>
        <v/>
      </c>
      <c r="H370" s="45" t="str">
        <f aca="false">IF($M370="","",INDEX(伝票元!$F$6:$F$511,$M370))</f>
        <v/>
      </c>
      <c r="I370" s="45" t="str">
        <f aca="false">IF($M370="","",INDEX(伝票元!$G$6:$G$511,$M370))</f>
        <v/>
      </c>
      <c r="J370" s="42" t="str">
        <f aca="false">IF($M370="","",INDEX(伝票元!$H$6:$H$511,$M370))</f>
        <v/>
      </c>
      <c r="K370" s="46" t="str">
        <f aca="false">IF(IF($M370="",0,INDEX(伝票元!$N$6:$N$511,$M370))=1,INDEX(伝票元!$R$6:$R$511,$M370),"")</f>
        <v/>
      </c>
      <c r="L370" s="47" t="str">
        <f aca="false">IF($M370="","",INDEX(伝票元!$S$6:$S$511,$M370))</f>
        <v/>
      </c>
      <c r="M370" s="47" t="str">
        <f aca="false">IFERROR(MATCH(364,伝票元!$O$6:$O$511,0),"")</f>
        <v/>
      </c>
    </row>
    <row r="371" customFormat="false" ht="15" hidden="false" customHeight="false" outlineLevel="0" collapsed="false">
      <c r="A371" s="10" t="str">
        <f aca="false">IF($M371="","",INDEX(伝票元!$P$6:$P$511,$M371))</f>
        <v/>
      </c>
      <c r="B371" s="45" t="str">
        <f aca="false">IF($M371="","",INDEX(伝票元!$D$6:$D$511,$M371))</f>
        <v/>
      </c>
      <c r="C371" s="10" t="str">
        <f aca="false">IF($M371="","",INDEX(伝票元!$E$6:$E$511,$M371))</f>
        <v/>
      </c>
      <c r="D371" s="45" t="str">
        <f aca="false">IF($M371="","",INDEX(伝票元!$A$6:$A$511,$M371))</f>
        <v/>
      </c>
      <c r="E371" s="10" t="str">
        <f aca="false">IF(IF($M371="",0,INDEX(伝票元!$N$6:$N$511,$M371))=1,INDEX(伝票元!$I$6:$I$511,$M371),"")</f>
        <v/>
      </c>
      <c r="F371" s="45" t="str">
        <f aca="false">IF(IF($M371="",0,INDEX(伝票元!$N$6:$N$511,$M371))=1,INDEX(伝票元!$J$6:$J$511,$M371),"")</f>
        <v/>
      </c>
      <c r="G371" s="42" t="str">
        <f aca="false">IF(IF($M371="",0,INDEX(伝票元!$N$6:$N$511,$M371))=1,INDEX(伝票元!$Q$6:$Q$511,$M371),"")</f>
        <v/>
      </c>
      <c r="H371" s="45" t="str">
        <f aca="false">IF($M371="","",INDEX(伝票元!$F$6:$F$511,$M371))</f>
        <v/>
      </c>
      <c r="I371" s="45" t="str">
        <f aca="false">IF($M371="","",INDEX(伝票元!$G$6:$G$511,$M371))</f>
        <v/>
      </c>
      <c r="J371" s="42" t="str">
        <f aca="false">IF($M371="","",INDEX(伝票元!$H$6:$H$511,$M371))</f>
        <v/>
      </c>
      <c r="K371" s="46" t="str">
        <f aca="false">IF(IF($M371="",0,INDEX(伝票元!$N$6:$N$511,$M371))=1,INDEX(伝票元!$R$6:$R$511,$M371),"")</f>
        <v/>
      </c>
      <c r="L371" s="47" t="str">
        <f aca="false">IF($M371="","",INDEX(伝票元!$S$6:$S$511,$M371))</f>
        <v/>
      </c>
      <c r="M371" s="47" t="str">
        <f aca="false">IFERROR(MATCH(365,伝票元!$O$6:$O$511,0),"")</f>
        <v/>
      </c>
    </row>
    <row r="372" customFormat="false" ht="15" hidden="false" customHeight="false" outlineLevel="0" collapsed="false">
      <c r="A372" s="10" t="str">
        <f aca="false">IF($M372="","",INDEX(伝票元!$P$6:$P$511,$M372))</f>
        <v/>
      </c>
      <c r="B372" s="45" t="str">
        <f aca="false">IF($M372="","",INDEX(伝票元!$D$6:$D$511,$M372))</f>
        <v/>
      </c>
      <c r="C372" s="10" t="str">
        <f aca="false">IF($M372="","",INDEX(伝票元!$E$6:$E$511,$M372))</f>
        <v/>
      </c>
      <c r="D372" s="45" t="str">
        <f aca="false">IF($M372="","",INDEX(伝票元!$A$6:$A$511,$M372))</f>
        <v/>
      </c>
      <c r="E372" s="10" t="str">
        <f aca="false">IF(IF($M372="",0,INDEX(伝票元!$N$6:$N$511,$M372))=1,INDEX(伝票元!$I$6:$I$511,$M372),"")</f>
        <v/>
      </c>
      <c r="F372" s="45" t="str">
        <f aca="false">IF(IF($M372="",0,INDEX(伝票元!$N$6:$N$511,$M372))=1,INDEX(伝票元!$J$6:$J$511,$M372),"")</f>
        <v/>
      </c>
      <c r="G372" s="42" t="str">
        <f aca="false">IF(IF($M372="",0,INDEX(伝票元!$N$6:$N$511,$M372))=1,INDEX(伝票元!$Q$6:$Q$511,$M372),"")</f>
        <v/>
      </c>
      <c r="H372" s="45" t="str">
        <f aca="false">IF($M372="","",INDEX(伝票元!$F$6:$F$511,$M372))</f>
        <v/>
      </c>
      <c r="I372" s="45" t="str">
        <f aca="false">IF($M372="","",INDEX(伝票元!$G$6:$G$511,$M372))</f>
        <v/>
      </c>
      <c r="J372" s="42" t="str">
        <f aca="false">IF($M372="","",INDEX(伝票元!$H$6:$H$511,$M372))</f>
        <v/>
      </c>
      <c r="K372" s="46" t="str">
        <f aca="false">IF(IF($M372="",0,INDEX(伝票元!$N$6:$N$511,$M372))=1,INDEX(伝票元!$R$6:$R$511,$M372),"")</f>
        <v/>
      </c>
      <c r="L372" s="47" t="str">
        <f aca="false">IF($M372="","",INDEX(伝票元!$S$6:$S$511,$M372))</f>
        <v/>
      </c>
      <c r="M372" s="47" t="str">
        <f aca="false">IFERROR(MATCH(366,伝票元!$O$6:$O$511,0),"")</f>
        <v/>
      </c>
    </row>
    <row r="373" customFormat="false" ht="15" hidden="false" customHeight="false" outlineLevel="0" collapsed="false">
      <c r="A373" s="10" t="str">
        <f aca="false">IF($M373="","",INDEX(伝票元!$P$6:$P$511,$M373))</f>
        <v/>
      </c>
      <c r="B373" s="45" t="str">
        <f aca="false">IF($M373="","",INDEX(伝票元!$D$6:$D$511,$M373))</f>
        <v/>
      </c>
      <c r="C373" s="10" t="str">
        <f aca="false">IF($M373="","",INDEX(伝票元!$E$6:$E$511,$M373))</f>
        <v/>
      </c>
      <c r="D373" s="45" t="str">
        <f aca="false">IF($M373="","",INDEX(伝票元!$A$6:$A$511,$M373))</f>
        <v/>
      </c>
      <c r="E373" s="10" t="str">
        <f aca="false">IF(IF($M373="",0,INDEX(伝票元!$N$6:$N$511,$M373))=1,INDEX(伝票元!$I$6:$I$511,$M373),"")</f>
        <v/>
      </c>
      <c r="F373" s="45" t="str">
        <f aca="false">IF(IF($M373="",0,INDEX(伝票元!$N$6:$N$511,$M373))=1,INDEX(伝票元!$J$6:$J$511,$M373),"")</f>
        <v/>
      </c>
      <c r="G373" s="42" t="str">
        <f aca="false">IF(IF($M373="",0,INDEX(伝票元!$N$6:$N$511,$M373))=1,INDEX(伝票元!$Q$6:$Q$511,$M373),"")</f>
        <v/>
      </c>
      <c r="H373" s="45" t="str">
        <f aca="false">IF($M373="","",INDEX(伝票元!$F$6:$F$511,$M373))</f>
        <v/>
      </c>
      <c r="I373" s="45" t="str">
        <f aca="false">IF($M373="","",INDEX(伝票元!$G$6:$G$511,$M373))</f>
        <v/>
      </c>
      <c r="J373" s="42" t="str">
        <f aca="false">IF($M373="","",INDEX(伝票元!$H$6:$H$511,$M373))</f>
        <v/>
      </c>
      <c r="K373" s="46" t="str">
        <f aca="false">IF(IF($M373="",0,INDEX(伝票元!$N$6:$N$511,$M373))=1,INDEX(伝票元!$R$6:$R$511,$M373),"")</f>
        <v/>
      </c>
      <c r="L373" s="47" t="str">
        <f aca="false">IF($M373="","",INDEX(伝票元!$S$6:$S$511,$M373))</f>
        <v/>
      </c>
      <c r="M373" s="47" t="str">
        <f aca="false">IFERROR(MATCH(367,伝票元!$O$6:$O$511,0),"")</f>
        <v/>
      </c>
    </row>
    <row r="374" customFormat="false" ht="15" hidden="false" customHeight="false" outlineLevel="0" collapsed="false">
      <c r="A374" s="10" t="str">
        <f aca="false">IF($M374="","",INDEX(伝票元!$P$6:$P$511,$M374))</f>
        <v/>
      </c>
      <c r="B374" s="45" t="str">
        <f aca="false">IF($M374="","",INDEX(伝票元!$D$6:$D$511,$M374))</f>
        <v/>
      </c>
      <c r="C374" s="10" t="str">
        <f aca="false">IF($M374="","",INDEX(伝票元!$E$6:$E$511,$M374))</f>
        <v/>
      </c>
      <c r="D374" s="45" t="str">
        <f aca="false">IF($M374="","",INDEX(伝票元!$A$6:$A$511,$M374))</f>
        <v/>
      </c>
      <c r="E374" s="10" t="str">
        <f aca="false">IF(IF($M374="",0,INDEX(伝票元!$N$6:$N$511,$M374))=1,INDEX(伝票元!$I$6:$I$511,$M374),"")</f>
        <v/>
      </c>
      <c r="F374" s="45" t="str">
        <f aca="false">IF(IF($M374="",0,INDEX(伝票元!$N$6:$N$511,$M374))=1,INDEX(伝票元!$J$6:$J$511,$M374),"")</f>
        <v/>
      </c>
      <c r="G374" s="42" t="str">
        <f aca="false">IF(IF($M374="",0,INDEX(伝票元!$N$6:$N$511,$M374))=1,INDEX(伝票元!$Q$6:$Q$511,$M374),"")</f>
        <v/>
      </c>
      <c r="H374" s="45" t="str">
        <f aca="false">IF($M374="","",INDEX(伝票元!$F$6:$F$511,$M374))</f>
        <v/>
      </c>
      <c r="I374" s="45" t="str">
        <f aca="false">IF($M374="","",INDEX(伝票元!$G$6:$G$511,$M374))</f>
        <v/>
      </c>
      <c r="J374" s="42" t="str">
        <f aca="false">IF($M374="","",INDEX(伝票元!$H$6:$H$511,$M374))</f>
        <v/>
      </c>
      <c r="K374" s="46" t="str">
        <f aca="false">IF(IF($M374="",0,INDEX(伝票元!$N$6:$N$511,$M374))=1,INDEX(伝票元!$R$6:$R$511,$M374),"")</f>
        <v/>
      </c>
      <c r="L374" s="47" t="str">
        <f aca="false">IF($M374="","",INDEX(伝票元!$S$6:$S$511,$M374))</f>
        <v/>
      </c>
      <c r="M374" s="47" t="str">
        <f aca="false">IFERROR(MATCH(368,伝票元!$O$6:$O$511,0),"")</f>
        <v/>
      </c>
    </row>
    <row r="375" customFormat="false" ht="15" hidden="false" customHeight="false" outlineLevel="0" collapsed="false">
      <c r="A375" s="10" t="str">
        <f aca="false">IF($M375="","",INDEX(伝票元!$P$6:$P$511,$M375))</f>
        <v/>
      </c>
      <c r="B375" s="45" t="str">
        <f aca="false">IF($M375="","",INDEX(伝票元!$D$6:$D$511,$M375))</f>
        <v/>
      </c>
      <c r="C375" s="10" t="str">
        <f aca="false">IF($M375="","",INDEX(伝票元!$E$6:$E$511,$M375))</f>
        <v/>
      </c>
      <c r="D375" s="45" t="str">
        <f aca="false">IF($M375="","",INDEX(伝票元!$A$6:$A$511,$M375))</f>
        <v/>
      </c>
      <c r="E375" s="10" t="str">
        <f aca="false">IF(IF($M375="",0,INDEX(伝票元!$N$6:$N$511,$M375))=1,INDEX(伝票元!$I$6:$I$511,$M375),"")</f>
        <v/>
      </c>
      <c r="F375" s="45" t="str">
        <f aca="false">IF(IF($M375="",0,INDEX(伝票元!$N$6:$N$511,$M375))=1,INDEX(伝票元!$J$6:$J$511,$M375),"")</f>
        <v/>
      </c>
      <c r="G375" s="42" t="str">
        <f aca="false">IF(IF($M375="",0,INDEX(伝票元!$N$6:$N$511,$M375))=1,INDEX(伝票元!$Q$6:$Q$511,$M375),"")</f>
        <v/>
      </c>
      <c r="H375" s="45" t="str">
        <f aca="false">IF($M375="","",INDEX(伝票元!$F$6:$F$511,$M375))</f>
        <v/>
      </c>
      <c r="I375" s="45" t="str">
        <f aca="false">IF($M375="","",INDEX(伝票元!$G$6:$G$511,$M375))</f>
        <v/>
      </c>
      <c r="J375" s="42" t="str">
        <f aca="false">IF($M375="","",INDEX(伝票元!$H$6:$H$511,$M375))</f>
        <v/>
      </c>
      <c r="K375" s="46" t="str">
        <f aca="false">IF(IF($M375="",0,INDEX(伝票元!$N$6:$N$511,$M375))=1,INDEX(伝票元!$R$6:$R$511,$M375),"")</f>
        <v/>
      </c>
      <c r="L375" s="47" t="str">
        <f aca="false">IF($M375="","",INDEX(伝票元!$S$6:$S$511,$M375))</f>
        <v/>
      </c>
      <c r="M375" s="47" t="str">
        <f aca="false">IFERROR(MATCH(369,伝票元!$O$6:$O$511,0),"")</f>
        <v/>
      </c>
    </row>
    <row r="376" customFormat="false" ht="15" hidden="false" customHeight="false" outlineLevel="0" collapsed="false">
      <c r="A376" s="10" t="str">
        <f aca="false">IF($M376="","",INDEX(伝票元!$P$6:$P$511,$M376))</f>
        <v/>
      </c>
      <c r="B376" s="45" t="str">
        <f aca="false">IF($M376="","",INDEX(伝票元!$D$6:$D$511,$M376))</f>
        <v/>
      </c>
      <c r="C376" s="10" t="str">
        <f aca="false">IF($M376="","",INDEX(伝票元!$E$6:$E$511,$M376))</f>
        <v/>
      </c>
      <c r="D376" s="45" t="str">
        <f aca="false">IF($M376="","",INDEX(伝票元!$A$6:$A$511,$M376))</f>
        <v/>
      </c>
      <c r="E376" s="10" t="str">
        <f aca="false">IF(IF($M376="",0,INDEX(伝票元!$N$6:$N$511,$M376))=1,INDEX(伝票元!$I$6:$I$511,$M376),"")</f>
        <v/>
      </c>
      <c r="F376" s="45" t="str">
        <f aca="false">IF(IF($M376="",0,INDEX(伝票元!$N$6:$N$511,$M376))=1,INDEX(伝票元!$J$6:$J$511,$M376),"")</f>
        <v/>
      </c>
      <c r="G376" s="42" t="str">
        <f aca="false">IF(IF($M376="",0,INDEX(伝票元!$N$6:$N$511,$M376))=1,INDEX(伝票元!$Q$6:$Q$511,$M376),"")</f>
        <v/>
      </c>
      <c r="H376" s="45" t="str">
        <f aca="false">IF($M376="","",INDEX(伝票元!$F$6:$F$511,$M376))</f>
        <v/>
      </c>
      <c r="I376" s="45" t="str">
        <f aca="false">IF($M376="","",INDEX(伝票元!$G$6:$G$511,$M376))</f>
        <v/>
      </c>
      <c r="J376" s="42" t="str">
        <f aca="false">IF($M376="","",INDEX(伝票元!$H$6:$H$511,$M376))</f>
        <v/>
      </c>
      <c r="K376" s="46" t="str">
        <f aca="false">IF(IF($M376="",0,INDEX(伝票元!$N$6:$N$511,$M376))=1,INDEX(伝票元!$R$6:$R$511,$M376),"")</f>
        <v/>
      </c>
      <c r="L376" s="47" t="str">
        <f aca="false">IF($M376="","",INDEX(伝票元!$S$6:$S$511,$M376))</f>
        <v/>
      </c>
      <c r="M376" s="47" t="str">
        <f aca="false">IFERROR(MATCH(370,伝票元!$O$6:$O$511,0),"")</f>
        <v/>
      </c>
    </row>
    <row r="377" customFormat="false" ht="15" hidden="false" customHeight="false" outlineLevel="0" collapsed="false">
      <c r="A377" s="10" t="str">
        <f aca="false">IF($M377="","",INDEX(伝票元!$P$6:$P$511,$M377))</f>
        <v/>
      </c>
      <c r="B377" s="45" t="str">
        <f aca="false">IF($M377="","",INDEX(伝票元!$D$6:$D$511,$M377))</f>
        <v/>
      </c>
      <c r="C377" s="10" t="str">
        <f aca="false">IF($M377="","",INDEX(伝票元!$E$6:$E$511,$M377))</f>
        <v/>
      </c>
      <c r="D377" s="45" t="str">
        <f aca="false">IF($M377="","",INDEX(伝票元!$A$6:$A$511,$M377))</f>
        <v/>
      </c>
      <c r="E377" s="10" t="str">
        <f aca="false">IF(IF($M377="",0,INDEX(伝票元!$N$6:$N$511,$M377))=1,INDEX(伝票元!$I$6:$I$511,$M377),"")</f>
        <v/>
      </c>
      <c r="F377" s="45" t="str">
        <f aca="false">IF(IF($M377="",0,INDEX(伝票元!$N$6:$N$511,$M377))=1,INDEX(伝票元!$J$6:$J$511,$M377),"")</f>
        <v/>
      </c>
      <c r="G377" s="42" t="str">
        <f aca="false">IF(IF($M377="",0,INDEX(伝票元!$N$6:$N$511,$M377))=1,INDEX(伝票元!$Q$6:$Q$511,$M377),"")</f>
        <v/>
      </c>
      <c r="H377" s="45" t="str">
        <f aca="false">IF($M377="","",INDEX(伝票元!$F$6:$F$511,$M377))</f>
        <v/>
      </c>
      <c r="I377" s="45" t="str">
        <f aca="false">IF($M377="","",INDEX(伝票元!$G$6:$G$511,$M377))</f>
        <v/>
      </c>
      <c r="J377" s="42" t="str">
        <f aca="false">IF($M377="","",INDEX(伝票元!$H$6:$H$511,$M377))</f>
        <v/>
      </c>
      <c r="K377" s="46" t="str">
        <f aca="false">IF(IF($M377="",0,INDEX(伝票元!$N$6:$N$511,$M377))=1,INDEX(伝票元!$R$6:$R$511,$M377),"")</f>
        <v/>
      </c>
      <c r="L377" s="47" t="str">
        <f aca="false">IF($M377="","",INDEX(伝票元!$S$6:$S$511,$M377))</f>
        <v/>
      </c>
      <c r="M377" s="47" t="str">
        <f aca="false">IFERROR(MATCH(371,伝票元!$O$6:$O$511,0),"")</f>
        <v/>
      </c>
    </row>
    <row r="378" customFormat="false" ht="15" hidden="false" customHeight="false" outlineLevel="0" collapsed="false">
      <c r="A378" s="10" t="str">
        <f aca="false">IF($M378="","",INDEX(伝票元!$P$6:$P$511,$M378))</f>
        <v/>
      </c>
      <c r="B378" s="45" t="str">
        <f aca="false">IF($M378="","",INDEX(伝票元!$D$6:$D$511,$M378))</f>
        <v/>
      </c>
      <c r="C378" s="10" t="str">
        <f aca="false">IF($M378="","",INDEX(伝票元!$E$6:$E$511,$M378))</f>
        <v/>
      </c>
      <c r="D378" s="45" t="str">
        <f aca="false">IF($M378="","",INDEX(伝票元!$A$6:$A$511,$M378))</f>
        <v/>
      </c>
      <c r="E378" s="10" t="str">
        <f aca="false">IF(IF($M378="",0,INDEX(伝票元!$N$6:$N$511,$M378))=1,INDEX(伝票元!$I$6:$I$511,$M378),"")</f>
        <v/>
      </c>
      <c r="F378" s="45" t="str">
        <f aca="false">IF(IF($M378="",0,INDEX(伝票元!$N$6:$N$511,$M378))=1,INDEX(伝票元!$J$6:$J$511,$M378),"")</f>
        <v/>
      </c>
      <c r="G378" s="42" t="str">
        <f aca="false">IF(IF($M378="",0,INDEX(伝票元!$N$6:$N$511,$M378))=1,INDEX(伝票元!$Q$6:$Q$511,$M378),"")</f>
        <v/>
      </c>
      <c r="H378" s="45" t="str">
        <f aca="false">IF($M378="","",INDEX(伝票元!$F$6:$F$511,$M378))</f>
        <v/>
      </c>
      <c r="I378" s="45" t="str">
        <f aca="false">IF($M378="","",INDEX(伝票元!$G$6:$G$511,$M378))</f>
        <v/>
      </c>
      <c r="J378" s="42" t="str">
        <f aca="false">IF($M378="","",INDEX(伝票元!$H$6:$H$511,$M378))</f>
        <v/>
      </c>
      <c r="K378" s="46" t="str">
        <f aca="false">IF(IF($M378="",0,INDEX(伝票元!$N$6:$N$511,$M378))=1,INDEX(伝票元!$R$6:$R$511,$M378),"")</f>
        <v/>
      </c>
      <c r="L378" s="47" t="str">
        <f aca="false">IF($M378="","",INDEX(伝票元!$S$6:$S$511,$M378))</f>
        <v/>
      </c>
      <c r="M378" s="47" t="str">
        <f aca="false">IFERROR(MATCH(372,伝票元!$O$6:$O$511,0),"")</f>
        <v/>
      </c>
    </row>
    <row r="379" customFormat="false" ht="15" hidden="false" customHeight="false" outlineLevel="0" collapsed="false">
      <c r="A379" s="10" t="str">
        <f aca="false">IF($M379="","",INDEX(伝票元!$P$6:$P$511,$M379))</f>
        <v/>
      </c>
      <c r="B379" s="45" t="str">
        <f aca="false">IF($M379="","",INDEX(伝票元!$D$6:$D$511,$M379))</f>
        <v/>
      </c>
      <c r="C379" s="10" t="str">
        <f aca="false">IF($M379="","",INDEX(伝票元!$E$6:$E$511,$M379))</f>
        <v/>
      </c>
      <c r="D379" s="45" t="str">
        <f aca="false">IF($M379="","",INDEX(伝票元!$A$6:$A$511,$M379))</f>
        <v/>
      </c>
      <c r="E379" s="10" t="str">
        <f aca="false">IF(IF($M379="",0,INDEX(伝票元!$N$6:$N$511,$M379))=1,INDEX(伝票元!$I$6:$I$511,$M379),"")</f>
        <v/>
      </c>
      <c r="F379" s="45" t="str">
        <f aca="false">IF(IF($M379="",0,INDEX(伝票元!$N$6:$N$511,$M379))=1,INDEX(伝票元!$J$6:$J$511,$M379),"")</f>
        <v/>
      </c>
      <c r="G379" s="42" t="str">
        <f aca="false">IF(IF($M379="",0,INDEX(伝票元!$N$6:$N$511,$M379))=1,INDEX(伝票元!$Q$6:$Q$511,$M379),"")</f>
        <v/>
      </c>
      <c r="H379" s="45" t="str">
        <f aca="false">IF($M379="","",INDEX(伝票元!$F$6:$F$511,$M379))</f>
        <v/>
      </c>
      <c r="I379" s="45" t="str">
        <f aca="false">IF($M379="","",INDEX(伝票元!$G$6:$G$511,$M379))</f>
        <v/>
      </c>
      <c r="J379" s="42" t="str">
        <f aca="false">IF($M379="","",INDEX(伝票元!$H$6:$H$511,$M379))</f>
        <v/>
      </c>
      <c r="K379" s="46" t="str">
        <f aca="false">IF(IF($M379="",0,INDEX(伝票元!$N$6:$N$511,$M379))=1,INDEX(伝票元!$R$6:$R$511,$M379),"")</f>
        <v/>
      </c>
      <c r="L379" s="47" t="str">
        <f aca="false">IF($M379="","",INDEX(伝票元!$S$6:$S$511,$M379))</f>
        <v/>
      </c>
      <c r="M379" s="47" t="str">
        <f aca="false">IFERROR(MATCH(373,伝票元!$O$6:$O$511,0),"")</f>
        <v/>
      </c>
    </row>
    <row r="380" customFormat="false" ht="15" hidden="false" customHeight="false" outlineLevel="0" collapsed="false">
      <c r="A380" s="10" t="str">
        <f aca="false">IF($M380="","",INDEX(伝票元!$P$6:$P$511,$M380))</f>
        <v/>
      </c>
      <c r="B380" s="45" t="str">
        <f aca="false">IF($M380="","",INDEX(伝票元!$D$6:$D$511,$M380))</f>
        <v/>
      </c>
      <c r="C380" s="10" t="str">
        <f aca="false">IF($M380="","",INDEX(伝票元!$E$6:$E$511,$M380))</f>
        <v/>
      </c>
      <c r="D380" s="45" t="str">
        <f aca="false">IF($M380="","",INDEX(伝票元!$A$6:$A$511,$M380))</f>
        <v/>
      </c>
      <c r="E380" s="10" t="str">
        <f aca="false">IF(IF($M380="",0,INDEX(伝票元!$N$6:$N$511,$M380))=1,INDEX(伝票元!$I$6:$I$511,$M380),"")</f>
        <v/>
      </c>
      <c r="F380" s="45" t="str">
        <f aca="false">IF(IF($M380="",0,INDEX(伝票元!$N$6:$N$511,$M380))=1,INDEX(伝票元!$J$6:$J$511,$M380),"")</f>
        <v/>
      </c>
      <c r="G380" s="42" t="str">
        <f aca="false">IF(IF($M380="",0,INDEX(伝票元!$N$6:$N$511,$M380))=1,INDEX(伝票元!$Q$6:$Q$511,$M380),"")</f>
        <v/>
      </c>
      <c r="H380" s="45" t="str">
        <f aca="false">IF($M380="","",INDEX(伝票元!$F$6:$F$511,$M380))</f>
        <v/>
      </c>
      <c r="I380" s="45" t="str">
        <f aca="false">IF($M380="","",INDEX(伝票元!$G$6:$G$511,$M380))</f>
        <v/>
      </c>
      <c r="J380" s="42" t="str">
        <f aca="false">IF($M380="","",INDEX(伝票元!$H$6:$H$511,$M380))</f>
        <v/>
      </c>
      <c r="K380" s="46" t="str">
        <f aca="false">IF(IF($M380="",0,INDEX(伝票元!$N$6:$N$511,$M380))=1,INDEX(伝票元!$R$6:$R$511,$M380),"")</f>
        <v/>
      </c>
      <c r="L380" s="47" t="str">
        <f aca="false">IF($M380="","",INDEX(伝票元!$S$6:$S$511,$M380))</f>
        <v/>
      </c>
      <c r="M380" s="47" t="str">
        <f aca="false">IFERROR(MATCH(374,伝票元!$O$6:$O$511,0),"")</f>
        <v/>
      </c>
    </row>
    <row r="381" customFormat="false" ht="15" hidden="false" customHeight="false" outlineLevel="0" collapsed="false">
      <c r="A381" s="10" t="str">
        <f aca="false">IF($M381="","",INDEX(伝票元!$P$6:$P$511,$M381))</f>
        <v/>
      </c>
      <c r="B381" s="45" t="str">
        <f aca="false">IF($M381="","",INDEX(伝票元!$D$6:$D$511,$M381))</f>
        <v/>
      </c>
      <c r="C381" s="10" t="str">
        <f aca="false">IF($M381="","",INDEX(伝票元!$E$6:$E$511,$M381))</f>
        <v/>
      </c>
      <c r="D381" s="45" t="str">
        <f aca="false">IF($M381="","",INDEX(伝票元!$A$6:$A$511,$M381))</f>
        <v/>
      </c>
      <c r="E381" s="10" t="str">
        <f aca="false">IF(IF($M381="",0,INDEX(伝票元!$N$6:$N$511,$M381))=1,INDEX(伝票元!$I$6:$I$511,$M381),"")</f>
        <v/>
      </c>
      <c r="F381" s="45" t="str">
        <f aca="false">IF(IF($M381="",0,INDEX(伝票元!$N$6:$N$511,$M381))=1,INDEX(伝票元!$J$6:$J$511,$M381),"")</f>
        <v/>
      </c>
      <c r="G381" s="42" t="str">
        <f aca="false">IF(IF($M381="",0,INDEX(伝票元!$N$6:$N$511,$M381))=1,INDEX(伝票元!$Q$6:$Q$511,$M381),"")</f>
        <v/>
      </c>
      <c r="H381" s="45" t="str">
        <f aca="false">IF($M381="","",INDEX(伝票元!$F$6:$F$511,$M381))</f>
        <v/>
      </c>
      <c r="I381" s="45" t="str">
        <f aca="false">IF($M381="","",INDEX(伝票元!$G$6:$G$511,$M381))</f>
        <v/>
      </c>
      <c r="J381" s="42" t="str">
        <f aca="false">IF($M381="","",INDEX(伝票元!$H$6:$H$511,$M381))</f>
        <v/>
      </c>
      <c r="K381" s="46" t="str">
        <f aca="false">IF(IF($M381="",0,INDEX(伝票元!$N$6:$N$511,$M381))=1,INDEX(伝票元!$R$6:$R$511,$M381),"")</f>
        <v/>
      </c>
      <c r="L381" s="47" t="str">
        <f aca="false">IF($M381="","",INDEX(伝票元!$S$6:$S$511,$M381))</f>
        <v/>
      </c>
      <c r="M381" s="47" t="str">
        <f aca="false">IFERROR(MATCH(375,伝票元!$O$6:$O$511,0),"")</f>
        <v/>
      </c>
    </row>
    <row r="382" customFormat="false" ht="15" hidden="false" customHeight="false" outlineLevel="0" collapsed="false">
      <c r="A382" s="10" t="str">
        <f aca="false">IF($M382="","",INDEX(伝票元!$P$6:$P$511,$M382))</f>
        <v/>
      </c>
      <c r="B382" s="45" t="str">
        <f aca="false">IF($M382="","",INDEX(伝票元!$D$6:$D$511,$M382))</f>
        <v/>
      </c>
      <c r="C382" s="10" t="str">
        <f aca="false">IF($M382="","",INDEX(伝票元!$E$6:$E$511,$M382))</f>
        <v/>
      </c>
      <c r="D382" s="45" t="str">
        <f aca="false">IF($M382="","",INDEX(伝票元!$A$6:$A$511,$M382))</f>
        <v/>
      </c>
      <c r="E382" s="10" t="str">
        <f aca="false">IF(IF($M382="",0,INDEX(伝票元!$N$6:$N$511,$M382))=1,INDEX(伝票元!$I$6:$I$511,$M382),"")</f>
        <v/>
      </c>
      <c r="F382" s="45" t="str">
        <f aca="false">IF(IF($M382="",0,INDEX(伝票元!$N$6:$N$511,$M382))=1,INDEX(伝票元!$J$6:$J$511,$M382),"")</f>
        <v/>
      </c>
      <c r="G382" s="42" t="str">
        <f aca="false">IF(IF($M382="",0,INDEX(伝票元!$N$6:$N$511,$M382))=1,INDEX(伝票元!$Q$6:$Q$511,$M382),"")</f>
        <v/>
      </c>
      <c r="H382" s="45" t="str">
        <f aca="false">IF($M382="","",INDEX(伝票元!$F$6:$F$511,$M382))</f>
        <v/>
      </c>
      <c r="I382" s="45" t="str">
        <f aca="false">IF($M382="","",INDEX(伝票元!$G$6:$G$511,$M382))</f>
        <v/>
      </c>
      <c r="J382" s="42" t="str">
        <f aca="false">IF($M382="","",INDEX(伝票元!$H$6:$H$511,$M382))</f>
        <v/>
      </c>
      <c r="K382" s="46" t="str">
        <f aca="false">IF(IF($M382="",0,INDEX(伝票元!$N$6:$N$511,$M382))=1,INDEX(伝票元!$R$6:$R$511,$M382),"")</f>
        <v/>
      </c>
      <c r="L382" s="47" t="str">
        <f aca="false">IF($M382="","",INDEX(伝票元!$S$6:$S$511,$M382))</f>
        <v/>
      </c>
      <c r="M382" s="47" t="str">
        <f aca="false">IFERROR(MATCH(376,伝票元!$O$6:$O$511,0),"")</f>
        <v/>
      </c>
    </row>
    <row r="383" customFormat="false" ht="15" hidden="false" customHeight="false" outlineLevel="0" collapsed="false">
      <c r="A383" s="10" t="str">
        <f aca="false">IF($M383="","",INDEX(伝票元!$P$6:$P$511,$M383))</f>
        <v/>
      </c>
      <c r="B383" s="45" t="str">
        <f aca="false">IF($M383="","",INDEX(伝票元!$D$6:$D$511,$M383))</f>
        <v/>
      </c>
      <c r="C383" s="10" t="str">
        <f aca="false">IF($M383="","",INDEX(伝票元!$E$6:$E$511,$M383))</f>
        <v/>
      </c>
      <c r="D383" s="45" t="str">
        <f aca="false">IF($M383="","",INDEX(伝票元!$A$6:$A$511,$M383))</f>
        <v/>
      </c>
      <c r="E383" s="10" t="str">
        <f aca="false">IF(IF($M383="",0,INDEX(伝票元!$N$6:$N$511,$M383))=1,INDEX(伝票元!$I$6:$I$511,$M383),"")</f>
        <v/>
      </c>
      <c r="F383" s="45" t="str">
        <f aca="false">IF(IF($M383="",0,INDEX(伝票元!$N$6:$N$511,$M383))=1,INDEX(伝票元!$J$6:$J$511,$M383),"")</f>
        <v/>
      </c>
      <c r="G383" s="42" t="str">
        <f aca="false">IF(IF($M383="",0,INDEX(伝票元!$N$6:$N$511,$M383))=1,INDEX(伝票元!$Q$6:$Q$511,$M383),"")</f>
        <v/>
      </c>
      <c r="H383" s="45" t="str">
        <f aca="false">IF($M383="","",INDEX(伝票元!$F$6:$F$511,$M383))</f>
        <v/>
      </c>
      <c r="I383" s="45" t="str">
        <f aca="false">IF($M383="","",INDEX(伝票元!$G$6:$G$511,$M383))</f>
        <v/>
      </c>
      <c r="J383" s="42" t="str">
        <f aca="false">IF($M383="","",INDEX(伝票元!$H$6:$H$511,$M383))</f>
        <v/>
      </c>
      <c r="K383" s="46" t="str">
        <f aca="false">IF(IF($M383="",0,INDEX(伝票元!$N$6:$N$511,$M383))=1,INDEX(伝票元!$R$6:$R$511,$M383),"")</f>
        <v/>
      </c>
      <c r="L383" s="47" t="str">
        <f aca="false">IF($M383="","",INDEX(伝票元!$S$6:$S$511,$M383))</f>
        <v/>
      </c>
      <c r="M383" s="47" t="str">
        <f aca="false">IFERROR(MATCH(377,伝票元!$O$6:$O$511,0),"")</f>
        <v/>
      </c>
    </row>
    <row r="384" customFormat="false" ht="15" hidden="false" customHeight="false" outlineLevel="0" collapsed="false">
      <c r="A384" s="10" t="str">
        <f aca="false">IF($M384="","",INDEX(伝票元!$P$6:$P$511,$M384))</f>
        <v/>
      </c>
      <c r="B384" s="45" t="str">
        <f aca="false">IF($M384="","",INDEX(伝票元!$D$6:$D$511,$M384))</f>
        <v/>
      </c>
      <c r="C384" s="10" t="str">
        <f aca="false">IF($M384="","",INDEX(伝票元!$E$6:$E$511,$M384))</f>
        <v/>
      </c>
      <c r="D384" s="45" t="str">
        <f aca="false">IF($M384="","",INDEX(伝票元!$A$6:$A$511,$M384))</f>
        <v/>
      </c>
      <c r="E384" s="10" t="str">
        <f aca="false">IF(IF($M384="",0,INDEX(伝票元!$N$6:$N$511,$M384))=1,INDEX(伝票元!$I$6:$I$511,$M384),"")</f>
        <v/>
      </c>
      <c r="F384" s="45" t="str">
        <f aca="false">IF(IF($M384="",0,INDEX(伝票元!$N$6:$N$511,$M384))=1,INDEX(伝票元!$J$6:$J$511,$M384),"")</f>
        <v/>
      </c>
      <c r="G384" s="42" t="str">
        <f aca="false">IF(IF($M384="",0,INDEX(伝票元!$N$6:$N$511,$M384))=1,INDEX(伝票元!$Q$6:$Q$511,$M384),"")</f>
        <v/>
      </c>
      <c r="H384" s="45" t="str">
        <f aca="false">IF($M384="","",INDEX(伝票元!$F$6:$F$511,$M384))</f>
        <v/>
      </c>
      <c r="I384" s="45" t="str">
        <f aca="false">IF($M384="","",INDEX(伝票元!$G$6:$G$511,$M384))</f>
        <v/>
      </c>
      <c r="J384" s="42" t="str">
        <f aca="false">IF($M384="","",INDEX(伝票元!$H$6:$H$511,$M384))</f>
        <v/>
      </c>
      <c r="K384" s="46" t="str">
        <f aca="false">IF(IF($M384="",0,INDEX(伝票元!$N$6:$N$511,$M384))=1,INDEX(伝票元!$R$6:$R$511,$M384),"")</f>
        <v/>
      </c>
      <c r="L384" s="47" t="str">
        <f aca="false">IF($M384="","",INDEX(伝票元!$S$6:$S$511,$M384))</f>
        <v/>
      </c>
      <c r="M384" s="47" t="str">
        <f aca="false">IFERROR(MATCH(378,伝票元!$O$6:$O$511,0),"")</f>
        <v/>
      </c>
    </row>
    <row r="385" customFormat="false" ht="15" hidden="false" customHeight="false" outlineLevel="0" collapsed="false">
      <c r="A385" s="10" t="str">
        <f aca="false">IF($M385="","",INDEX(伝票元!$P$6:$P$511,$M385))</f>
        <v/>
      </c>
      <c r="B385" s="45" t="str">
        <f aca="false">IF($M385="","",INDEX(伝票元!$D$6:$D$511,$M385))</f>
        <v/>
      </c>
      <c r="C385" s="10" t="str">
        <f aca="false">IF($M385="","",INDEX(伝票元!$E$6:$E$511,$M385))</f>
        <v/>
      </c>
      <c r="D385" s="45" t="str">
        <f aca="false">IF($M385="","",INDEX(伝票元!$A$6:$A$511,$M385))</f>
        <v/>
      </c>
      <c r="E385" s="10" t="str">
        <f aca="false">IF(IF($M385="",0,INDEX(伝票元!$N$6:$N$511,$M385))=1,INDEX(伝票元!$I$6:$I$511,$M385),"")</f>
        <v/>
      </c>
      <c r="F385" s="45" t="str">
        <f aca="false">IF(IF($M385="",0,INDEX(伝票元!$N$6:$N$511,$M385))=1,INDEX(伝票元!$J$6:$J$511,$M385),"")</f>
        <v/>
      </c>
      <c r="G385" s="42" t="str">
        <f aca="false">IF(IF($M385="",0,INDEX(伝票元!$N$6:$N$511,$M385))=1,INDEX(伝票元!$Q$6:$Q$511,$M385),"")</f>
        <v/>
      </c>
      <c r="H385" s="45" t="str">
        <f aca="false">IF($M385="","",INDEX(伝票元!$F$6:$F$511,$M385))</f>
        <v/>
      </c>
      <c r="I385" s="45" t="str">
        <f aca="false">IF($M385="","",INDEX(伝票元!$G$6:$G$511,$M385))</f>
        <v/>
      </c>
      <c r="J385" s="42" t="str">
        <f aca="false">IF($M385="","",INDEX(伝票元!$H$6:$H$511,$M385))</f>
        <v/>
      </c>
      <c r="K385" s="46" t="str">
        <f aca="false">IF(IF($M385="",0,INDEX(伝票元!$N$6:$N$511,$M385))=1,INDEX(伝票元!$R$6:$R$511,$M385),"")</f>
        <v/>
      </c>
      <c r="L385" s="47" t="str">
        <f aca="false">IF($M385="","",INDEX(伝票元!$S$6:$S$511,$M385))</f>
        <v/>
      </c>
      <c r="M385" s="47" t="str">
        <f aca="false">IFERROR(MATCH(379,伝票元!$O$6:$O$511,0),"")</f>
        <v/>
      </c>
    </row>
    <row r="386" customFormat="false" ht="15" hidden="false" customHeight="false" outlineLevel="0" collapsed="false">
      <c r="A386" s="10" t="str">
        <f aca="false">IF($M386="","",INDEX(伝票元!$P$6:$P$511,$M386))</f>
        <v/>
      </c>
      <c r="B386" s="45" t="str">
        <f aca="false">IF($M386="","",INDEX(伝票元!$D$6:$D$511,$M386))</f>
        <v/>
      </c>
      <c r="C386" s="10" t="str">
        <f aca="false">IF($M386="","",INDEX(伝票元!$E$6:$E$511,$M386))</f>
        <v/>
      </c>
      <c r="D386" s="45" t="str">
        <f aca="false">IF($M386="","",INDEX(伝票元!$A$6:$A$511,$M386))</f>
        <v/>
      </c>
      <c r="E386" s="10" t="str">
        <f aca="false">IF(IF($M386="",0,INDEX(伝票元!$N$6:$N$511,$M386))=1,INDEX(伝票元!$I$6:$I$511,$M386),"")</f>
        <v/>
      </c>
      <c r="F386" s="45" t="str">
        <f aca="false">IF(IF($M386="",0,INDEX(伝票元!$N$6:$N$511,$M386))=1,INDEX(伝票元!$J$6:$J$511,$M386),"")</f>
        <v/>
      </c>
      <c r="G386" s="42" t="str">
        <f aca="false">IF(IF($M386="",0,INDEX(伝票元!$N$6:$N$511,$M386))=1,INDEX(伝票元!$Q$6:$Q$511,$M386),"")</f>
        <v/>
      </c>
      <c r="H386" s="45" t="str">
        <f aca="false">IF($M386="","",INDEX(伝票元!$F$6:$F$511,$M386))</f>
        <v/>
      </c>
      <c r="I386" s="45" t="str">
        <f aca="false">IF($M386="","",INDEX(伝票元!$G$6:$G$511,$M386))</f>
        <v/>
      </c>
      <c r="J386" s="42" t="str">
        <f aca="false">IF($M386="","",INDEX(伝票元!$H$6:$H$511,$M386))</f>
        <v/>
      </c>
      <c r="K386" s="46" t="str">
        <f aca="false">IF(IF($M386="",0,INDEX(伝票元!$N$6:$N$511,$M386))=1,INDEX(伝票元!$R$6:$R$511,$M386),"")</f>
        <v/>
      </c>
      <c r="L386" s="47" t="str">
        <f aca="false">IF($M386="","",INDEX(伝票元!$S$6:$S$511,$M386))</f>
        <v/>
      </c>
      <c r="M386" s="47" t="str">
        <f aca="false">IFERROR(MATCH(380,伝票元!$O$6:$O$511,0),"")</f>
        <v/>
      </c>
    </row>
    <row r="387" customFormat="false" ht="15" hidden="false" customHeight="false" outlineLevel="0" collapsed="false">
      <c r="A387" s="10" t="str">
        <f aca="false">IF($M387="","",INDEX(伝票元!$P$6:$P$511,$M387))</f>
        <v/>
      </c>
      <c r="B387" s="45" t="str">
        <f aca="false">IF($M387="","",INDEX(伝票元!$D$6:$D$511,$M387))</f>
        <v/>
      </c>
      <c r="C387" s="10" t="str">
        <f aca="false">IF($M387="","",INDEX(伝票元!$E$6:$E$511,$M387))</f>
        <v/>
      </c>
      <c r="D387" s="45" t="str">
        <f aca="false">IF($M387="","",INDEX(伝票元!$A$6:$A$511,$M387))</f>
        <v/>
      </c>
      <c r="E387" s="10" t="str">
        <f aca="false">IF(IF($M387="",0,INDEX(伝票元!$N$6:$N$511,$M387))=1,INDEX(伝票元!$I$6:$I$511,$M387),"")</f>
        <v/>
      </c>
      <c r="F387" s="45" t="str">
        <f aca="false">IF(IF($M387="",0,INDEX(伝票元!$N$6:$N$511,$M387))=1,INDEX(伝票元!$J$6:$J$511,$M387),"")</f>
        <v/>
      </c>
      <c r="G387" s="42" t="str">
        <f aca="false">IF(IF($M387="",0,INDEX(伝票元!$N$6:$N$511,$M387))=1,INDEX(伝票元!$Q$6:$Q$511,$M387),"")</f>
        <v/>
      </c>
      <c r="H387" s="45" t="str">
        <f aca="false">IF($M387="","",INDEX(伝票元!$F$6:$F$511,$M387))</f>
        <v/>
      </c>
      <c r="I387" s="45" t="str">
        <f aca="false">IF($M387="","",INDEX(伝票元!$G$6:$G$511,$M387))</f>
        <v/>
      </c>
      <c r="J387" s="42" t="str">
        <f aca="false">IF($M387="","",INDEX(伝票元!$H$6:$H$511,$M387))</f>
        <v/>
      </c>
      <c r="K387" s="46" t="str">
        <f aca="false">IF(IF($M387="",0,INDEX(伝票元!$N$6:$N$511,$M387))=1,INDEX(伝票元!$R$6:$R$511,$M387),"")</f>
        <v/>
      </c>
      <c r="L387" s="47" t="str">
        <f aca="false">IF($M387="","",INDEX(伝票元!$S$6:$S$511,$M387))</f>
        <v/>
      </c>
      <c r="M387" s="47" t="str">
        <f aca="false">IFERROR(MATCH(381,伝票元!$O$6:$O$511,0),"")</f>
        <v/>
      </c>
    </row>
    <row r="388" customFormat="false" ht="15" hidden="false" customHeight="false" outlineLevel="0" collapsed="false">
      <c r="A388" s="10" t="str">
        <f aca="false">IF($M388="","",INDEX(伝票元!$P$6:$P$511,$M388))</f>
        <v/>
      </c>
      <c r="B388" s="45" t="str">
        <f aca="false">IF($M388="","",INDEX(伝票元!$D$6:$D$511,$M388))</f>
        <v/>
      </c>
      <c r="C388" s="10" t="str">
        <f aca="false">IF($M388="","",INDEX(伝票元!$E$6:$E$511,$M388))</f>
        <v/>
      </c>
      <c r="D388" s="45" t="str">
        <f aca="false">IF($M388="","",INDEX(伝票元!$A$6:$A$511,$M388))</f>
        <v/>
      </c>
      <c r="E388" s="10" t="str">
        <f aca="false">IF(IF($M388="",0,INDEX(伝票元!$N$6:$N$511,$M388))=1,INDEX(伝票元!$I$6:$I$511,$M388),"")</f>
        <v/>
      </c>
      <c r="F388" s="45" t="str">
        <f aca="false">IF(IF($M388="",0,INDEX(伝票元!$N$6:$N$511,$M388))=1,INDEX(伝票元!$J$6:$J$511,$M388),"")</f>
        <v/>
      </c>
      <c r="G388" s="42" t="str">
        <f aca="false">IF(IF($M388="",0,INDEX(伝票元!$N$6:$N$511,$M388))=1,INDEX(伝票元!$Q$6:$Q$511,$M388),"")</f>
        <v/>
      </c>
      <c r="H388" s="45" t="str">
        <f aca="false">IF($M388="","",INDEX(伝票元!$F$6:$F$511,$M388))</f>
        <v/>
      </c>
      <c r="I388" s="45" t="str">
        <f aca="false">IF($M388="","",INDEX(伝票元!$G$6:$G$511,$M388))</f>
        <v/>
      </c>
      <c r="J388" s="42" t="str">
        <f aca="false">IF($M388="","",INDEX(伝票元!$H$6:$H$511,$M388))</f>
        <v/>
      </c>
      <c r="K388" s="46" t="str">
        <f aca="false">IF(IF($M388="",0,INDEX(伝票元!$N$6:$N$511,$M388))=1,INDEX(伝票元!$R$6:$R$511,$M388),"")</f>
        <v/>
      </c>
      <c r="L388" s="47" t="str">
        <f aca="false">IF($M388="","",INDEX(伝票元!$S$6:$S$511,$M388))</f>
        <v/>
      </c>
      <c r="M388" s="47" t="str">
        <f aca="false">IFERROR(MATCH(382,伝票元!$O$6:$O$511,0),"")</f>
        <v/>
      </c>
    </row>
    <row r="389" customFormat="false" ht="15" hidden="false" customHeight="false" outlineLevel="0" collapsed="false">
      <c r="A389" s="10" t="str">
        <f aca="false">IF($M389="","",INDEX(伝票元!$P$6:$P$511,$M389))</f>
        <v/>
      </c>
      <c r="B389" s="45" t="str">
        <f aca="false">IF($M389="","",INDEX(伝票元!$D$6:$D$511,$M389))</f>
        <v/>
      </c>
      <c r="C389" s="10" t="str">
        <f aca="false">IF($M389="","",INDEX(伝票元!$E$6:$E$511,$M389))</f>
        <v/>
      </c>
      <c r="D389" s="45" t="str">
        <f aca="false">IF($M389="","",INDEX(伝票元!$A$6:$A$511,$M389))</f>
        <v/>
      </c>
      <c r="E389" s="10" t="str">
        <f aca="false">IF(IF($M389="",0,INDEX(伝票元!$N$6:$N$511,$M389))=1,INDEX(伝票元!$I$6:$I$511,$M389),"")</f>
        <v/>
      </c>
      <c r="F389" s="45" t="str">
        <f aca="false">IF(IF($M389="",0,INDEX(伝票元!$N$6:$N$511,$M389))=1,INDEX(伝票元!$J$6:$J$511,$M389),"")</f>
        <v/>
      </c>
      <c r="G389" s="42" t="str">
        <f aca="false">IF(IF($M389="",0,INDEX(伝票元!$N$6:$N$511,$M389))=1,INDEX(伝票元!$Q$6:$Q$511,$M389),"")</f>
        <v/>
      </c>
      <c r="H389" s="45" t="str">
        <f aca="false">IF($M389="","",INDEX(伝票元!$F$6:$F$511,$M389))</f>
        <v/>
      </c>
      <c r="I389" s="45" t="str">
        <f aca="false">IF($M389="","",INDEX(伝票元!$G$6:$G$511,$M389))</f>
        <v/>
      </c>
      <c r="J389" s="42" t="str">
        <f aca="false">IF($M389="","",INDEX(伝票元!$H$6:$H$511,$M389))</f>
        <v/>
      </c>
      <c r="K389" s="46" t="str">
        <f aca="false">IF(IF($M389="",0,INDEX(伝票元!$N$6:$N$511,$M389))=1,INDEX(伝票元!$R$6:$R$511,$M389),"")</f>
        <v/>
      </c>
      <c r="L389" s="47" t="str">
        <f aca="false">IF($M389="","",INDEX(伝票元!$S$6:$S$511,$M389))</f>
        <v/>
      </c>
      <c r="M389" s="47" t="str">
        <f aca="false">IFERROR(MATCH(383,伝票元!$O$6:$O$511,0),"")</f>
        <v/>
      </c>
    </row>
    <row r="390" customFormat="false" ht="15" hidden="false" customHeight="false" outlineLevel="0" collapsed="false">
      <c r="A390" s="10" t="str">
        <f aca="false">IF($M390="","",INDEX(伝票元!$P$6:$P$511,$M390))</f>
        <v/>
      </c>
      <c r="B390" s="45" t="str">
        <f aca="false">IF($M390="","",INDEX(伝票元!$D$6:$D$511,$M390))</f>
        <v/>
      </c>
      <c r="C390" s="10" t="str">
        <f aca="false">IF($M390="","",INDEX(伝票元!$E$6:$E$511,$M390))</f>
        <v/>
      </c>
      <c r="D390" s="45" t="str">
        <f aca="false">IF($M390="","",INDEX(伝票元!$A$6:$A$511,$M390))</f>
        <v/>
      </c>
      <c r="E390" s="10" t="str">
        <f aca="false">IF(IF($M390="",0,INDEX(伝票元!$N$6:$N$511,$M390))=1,INDEX(伝票元!$I$6:$I$511,$M390),"")</f>
        <v/>
      </c>
      <c r="F390" s="45" t="str">
        <f aca="false">IF(IF($M390="",0,INDEX(伝票元!$N$6:$N$511,$M390))=1,INDEX(伝票元!$J$6:$J$511,$M390),"")</f>
        <v/>
      </c>
      <c r="G390" s="42" t="str">
        <f aca="false">IF(IF($M390="",0,INDEX(伝票元!$N$6:$N$511,$M390))=1,INDEX(伝票元!$Q$6:$Q$511,$M390),"")</f>
        <v/>
      </c>
      <c r="H390" s="45" t="str">
        <f aca="false">IF($M390="","",INDEX(伝票元!$F$6:$F$511,$M390))</f>
        <v/>
      </c>
      <c r="I390" s="45" t="str">
        <f aca="false">IF($M390="","",INDEX(伝票元!$G$6:$G$511,$M390))</f>
        <v/>
      </c>
      <c r="J390" s="42" t="str">
        <f aca="false">IF($M390="","",INDEX(伝票元!$H$6:$H$511,$M390))</f>
        <v/>
      </c>
      <c r="K390" s="46" t="str">
        <f aca="false">IF(IF($M390="",0,INDEX(伝票元!$N$6:$N$511,$M390))=1,INDEX(伝票元!$R$6:$R$511,$M390),"")</f>
        <v/>
      </c>
      <c r="L390" s="47" t="str">
        <f aca="false">IF($M390="","",INDEX(伝票元!$S$6:$S$511,$M390))</f>
        <v/>
      </c>
      <c r="M390" s="47" t="str">
        <f aca="false">IFERROR(MATCH(384,伝票元!$O$6:$O$511,0),"")</f>
        <v/>
      </c>
    </row>
    <row r="391" customFormat="false" ht="15" hidden="false" customHeight="false" outlineLevel="0" collapsed="false">
      <c r="A391" s="10" t="str">
        <f aca="false">IF($M391="","",INDEX(伝票元!$P$6:$P$511,$M391))</f>
        <v/>
      </c>
      <c r="B391" s="45" t="str">
        <f aca="false">IF($M391="","",INDEX(伝票元!$D$6:$D$511,$M391))</f>
        <v/>
      </c>
      <c r="C391" s="10" t="str">
        <f aca="false">IF($M391="","",INDEX(伝票元!$E$6:$E$511,$M391))</f>
        <v/>
      </c>
      <c r="D391" s="45" t="str">
        <f aca="false">IF($M391="","",INDEX(伝票元!$A$6:$A$511,$M391))</f>
        <v/>
      </c>
      <c r="E391" s="10" t="str">
        <f aca="false">IF(IF($M391="",0,INDEX(伝票元!$N$6:$N$511,$M391))=1,INDEX(伝票元!$I$6:$I$511,$M391),"")</f>
        <v/>
      </c>
      <c r="F391" s="45" t="str">
        <f aca="false">IF(IF($M391="",0,INDEX(伝票元!$N$6:$N$511,$M391))=1,INDEX(伝票元!$J$6:$J$511,$M391),"")</f>
        <v/>
      </c>
      <c r="G391" s="42" t="str">
        <f aca="false">IF(IF($M391="",0,INDEX(伝票元!$N$6:$N$511,$M391))=1,INDEX(伝票元!$Q$6:$Q$511,$M391),"")</f>
        <v/>
      </c>
      <c r="H391" s="45" t="str">
        <f aca="false">IF($M391="","",INDEX(伝票元!$F$6:$F$511,$M391))</f>
        <v/>
      </c>
      <c r="I391" s="45" t="str">
        <f aca="false">IF($M391="","",INDEX(伝票元!$G$6:$G$511,$M391))</f>
        <v/>
      </c>
      <c r="J391" s="42" t="str">
        <f aca="false">IF($M391="","",INDEX(伝票元!$H$6:$H$511,$M391))</f>
        <v/>
      </c>
      <c r="K391" s="46" t="str">
        <f aca="false">IF(IF($M391="",0,INDEX(伝票元!$N$6:$N$511,$M391))=1,INDEX(伝票元!$R$6:$R$511,$M391),"")</f>
        <v/>
      </c>
      <c r="L391" s="47" t="str">
        <f aca="false">IF($M391="","",INDEX(伝票元!$S$6:$S$511,$M391))</f>
        <v/>
      </c>
      <c r="M391" s="47" t="str">
        <f aca="false">IFERROR(MATCH(385,伝票元!$O$6:$O$511,0),"")</f>
        <v/>
      </c>
    </row>
    <row r="392" customFormat="false" ht="15" hidden="false" customHeight="false" outlineLevel="0" collapsed="false">
      <c r="A392" s="10" t="str">
        <f aca="false">IF($M392="","",INDEX(伝票元!$P$6:$P$511,$M392))</f>
        <v/>
      </c>
      <c r="B392" s="45" t="str">
        <f aca="false">IF($M392="","",INDEX(伝票元!$D$6:$D$511,$M392))</f>
        <v/>
      </c>
      <c r="C392" s="10" t="str">
        <f aca="false">IF($M392="","",INDEX(伝票元!$E$6:$E$511,$M392))</f>
        <v/>
      </c>
      <c r="D392" s="45" t="str">
        <f aca="false">IF($M392="","",INDEX(伝票元!$A$6:$A$511,$M392))</f>
        <v/>
      </c>
      <c r="E392" s="10" t="str">
        <f aca="false">IF(IF($M392="",0,INDEX(伝票元!$N$6:$N$511,$M392))=1,INDEX(伝票元!$I$6:$I$511,$M392),"")</f>
        <v/>
      </c>
      <c r="F392" s="45" t="str">
        <f aca="false">IF(IF($M392="",0,INDEX(伝票元!$N$6:$N$511,$M392))=1,INDEX(伝票元!$J$6:$J$511,$M392),"")</f>
        <v/>
      </c>
      <c r="G392" s="42" t="str">
        <f aca="false">IF(IF($M392="",0,INDEX(伝票元!$N$6:$N$511,$M392))=1,INDEX(伝票元!$Q$6:$Q$511,$M392),"")</f>
        <v/>
      </c>
      <c r="H392" s="45" t="str">
        <f aca="false">IF($M392="","",INDEX(伝票元!$F$6:$F$511,$M392))</f>
        <v/>
      </c>
      <c r="I392" s="45" t="str">
        <f aca="false">IF($M392="","",INDEX(伝票元!$G$6:$G$511,$M392))</f>
        <v/>
      </c>
      <c r="J392" s="42" t="str">
        <f aca="false">IF($M392="","",INDEX(伝票元!$H$6:$H$511,$M392))</f>
        <v/>
      </c>
      <c r="K392" s="46" t="str">
        <f aca="false">IF(IF($M392="",0,INDEX(伝票元!$N$6:$N$511,$M392))=1,INDEX(伝票元!$R$6:$R$511,$M392),"")</f>
        <v/>
      </c>
      <c r="L392" s="47" t="str">
        <f aca="false">IF($M392="","",INDEX(伝票元!$S$6:$S$511,$M392))</f>
        <v/>
      </c>
      <c r="M392" s="47" t="str">
        <f aca="false">IFERROR(MATCH(386,伝票元!$O$6:$O$511,0),"")</f>
        <v/>
      </c>
    </row>
    <row r="393" customFormat="false" ht="15" hidden="false" customHeight="false" outlineLevel="0" collapsed="false">
      <c r="A393" s="10" t="str">
        <f aca="false">IF($M393="","",INDEX(伝票元!$P$6:$P$511,$M393))</f>
        <v/>
      </c>
      <c r="B393" s="45" t="str">
        <f aca="false">IF($M393="","",INDEX(伝票元!$D$6:$D$511,$M393))</f>
        <v/>
      </c>
      <c r="C393" s="10" t="str">
        <f aca="false">IF($M393="","",INDEX(伝票元!$E$6:$E$511,$M393))</f>
        <v/>
      </c>
      <c r="D393" s="45" t="str">
        <f aca="false">IF($M393="","",INDEX(伝票元!$A$6:$A$511,$M393))</f>
        <v/>
      </c>
      <c r="E393" s="10" t="str">
        <f aca="false">IF(IF($M393="",0,INDEX(伝票元!$N$6:$N$511,$M393))=1,INDEX(伝票元!$I$6:$I$511,$M393),"")</f>
        <v/>
      </c>
      <c r="F393" s="45" t="str">
        <f aca="false">IF(IF($M393="",0,INDEX(伝票元!$N$6:$N$511,$M393))=1,INDEX(伝票元!$J$6:$J$511,$M393),"")</f>
        <v/>
      </c>
      <c r="G393" s="42" t="str">
        <f aca="false">IF(IF($M393="",0,INDEX(伝票元!$N$6:$N$511,$M393))=1,INDEX(伝票元!$Q$6:$Q$511,$M393),"")</f>
        <v/>
      </c>
      <c r="H393" s="45" t="str">
        <f aca="false">IF($M393="","",INDEX(伝票元!$F$6:$F$511,$M393))</f>
        <v/>
      </c>
      <c r="I393" s="45" t="str">
        <f aca="false">IF($M393="","",INDEX(伝票元!$G$6:$G$511,$M393))</f>
        <v/>
      </c>
      <c r="J393" s="42" t="str">
        <f aca="false">IF($M393="","",INDEX(伝票元!$H$6:$H$511,$M393))</f>
        <v/>
      </c>
      <c r="K393" s="46" t="str">
        <f aca="false">IF(IF($M393="",0,INDEX(伝票元!$N$6:$N$511,$M393))=1,INDEX(伝票元!$R$6:$R$511,$M393),"")</f>
        <v/>
      </c>
      <c r="L393" s="47" t="str">
        <f aca="false">IF($M393="","",INDEX(伝票元!$S$6:$S$511,$M393))</f>
        <v/>
      </c>
      <c r="M393" s="47" t="str">
        <f aca="false">IFERROR(MATCH(387,伝票元!$O$6:$O$511,0),"")</f>
        <v/>
      </c>
    </row>
    <row r="394" customFormat="false" ht="15" hidden="false" customHeight="false" outlineLevel="0" collapsed="false">
      <c r="A394" s="10" t="str">
        <f aca="false">IF($M394="","",INDEX(伝票元!$P$6:$P$511,$M394))</f>
        <v/>
      </c>
      <c r="B394" s="45" t="str">
        <f aca="false">IF($M394="","",INDEX(伝票元!$D$6:$D$511,$M394))</f>
        <v/>
      </c>
      <c r="C394" s="10" t="str">
        <f aca="false">IF($M394="","",INDEX(伝票元!$E$6:$E$511,$M394))</f>
        <v/>
      </c>
      <c r="D394" s="45" t="str">
        <f aca="false">IF($M394="","",INDEX(伝票元!$A$6:$A$511,$M394))</f>
        <v/>
      </c>
      <c r="E394" s="10" t="str">
        <f aca="false">IF(IF($M394="",0,INDEX(伝票元!$N$6:$N$511,$M394))=1,INDEX(伝票元!$I$6:$I$511,$M394),"")</f>
        <v/>
      </c>
      <c r="F394" s="45" t="str">
        <f aca="false">IF(IF($M394="",0,INDEX(伝票元!$N$6:$N$511,$M394))=1,INDEX(伝票元!$J$6:$J$511,$M394),"")</f>
        <v/>
      </c>
      <c r="G394" s="42" t="str">
        <f aca="false">IF(IF($M394="",0,INDEX(伝票元!$N$6:$N$511,$M394))=1,INDEX(伝票元!$Q$6:$Q$511,$M394),"")</f>
        <v/>
      </c>
      <c r="H394" s="45" t="str">
        <f aca="false">IF($M394="","",INDEX(伝票元!$F$6:$F$511,$M394))</f>
        <v/>
      </c>
      <c r="I394" s="45" t="str">
        <f aca="false">IF($M394="","",INDEX(伝票元!$G$6:$G$511,$M394))</f>
        <v/>
      </c>
      <c r="J394" s="42" t="str">
        <f aca="false">IF($M394="","",INDEX(伝票元!$H$6:$H$511,$M394))</f>
        <v/>
      </c>
      <c r="K394" s="46" t="str">
        <f aca="false">IF(IF($M394="",0,INDEX(伝票元!$N$6:$N$511,$M394))=1,INDEX(伝票元!$R$6:$R$511,$M394),"")</f>
        <v/>
      </c>
      <c r="L394" s="47" t="str">
        <f aca="false">IF($M394="","",INDEX(伝票元!$S$6:$S$511,$M394))</f>
        <v/>
      </c>
      <c r="M394" s="47" t="str">
        <f aca="false">IFERROR(MATCH(388,伝票元!$O$6:$O$511,0),"")</f>
        <v/>
      </c>
    </row>
    <row r="395" customFormat="false" ht="15" hidden="false" customHeight="false" outlineLevel="0" collapsed="false">
      <c r="A395" s="10" t="str">
        <f aca="false">IF($M395="","",INDEX(伝票元!$P$6:$P$511,$M395))</f>
        <v/>
      </c>
      <c r="B395" s="45" t="str">
        <f aca="false">IF($M395="","",INDEX(伝票元!$D$6:$D$511,$M395))</f>
        <v/>
      </c>
      <c r="C395" s="10" t="str">
        <f aca="false">IF($M395="","",INDEX(伝票元!$E$6:$E$511,$M395))</f>
        <v/>
      </c>
      <c r="D395" s="45" t="str">
        <f aca="false">IF($M395="","",INDEX(伝票元!$A$6:$A$511,$M395))</f>
        <v/>
      </c>
      <c r="E395" s="10" t="str">
        <f aca="false">IF(IF($M395="",0,INDEX(伝票元!$N$6:$N$511,$M395))=1,INDEX(伝票元!$I$6:$I$511,$M395),"")</f>
        <v/>
      </c>
      <c r="F395" s="45" t="str">
        <f aca="false">IF(IF($M395="",0,INDEX(伝票元!$N$6:$N$511,$M395))=1,INDEX(伝票元!$J$6:$J$511,$M395),"")</f>
        <v/>
      </c>
      <c r="G395" s="42" t="str">
        <f aca="false">IF(IF($M395="",0,INDEX(伝票元!$N$6:$N$511,$M395))=1,INDEX(伝票元!$Q$6:$Q$511,$M395),"")</f>
        <v/>
      </c>
      <c r="H395" s="45" t="str">
        <f aca="false">IF($M395="","",INDEX(伝票元!$F$6:$F$511,$M395))</f>
        <v/>
      </c>
      <c r="I395" s="45" t="str">
        <f aca="false">IF($M395="","",INDEX(伝票元!$G$6:$G$511,$M395))</f>
        <v/>
      </c>
      <c r="J395" s="42" t="str">
        <f aca="false">IF($M395="","",INDEX(伝票元!$H$6:$H$511,$M395))</f>
        <v/>
      </c>
      <c r="K395" s="46" t="str">
        <f aca="false">IF(IF($M395="",0,INDEX(伝票元!$N$6:$N$511,$M395))=1,INDEX(伝票元!$R$6:$R$511,$M395),"")</f>
        <v/>
      </c>
      <c r="L395" s="47" t="str">
        <f aca="false">IF($M395="","",INDEX(伝票元!$S$6:$S$511,$M395))</f>
        <v/>
      </c>
      <c r="M395" s="47" t="str">
        <f aca="false">IFERROR(MATCH(389,伝票元!$O$6:$O$511,0),"")</f>
        <v/>
      </c>
    </row>
    <row r="396" customFormat="false" ht="15" hidden="false" customHeight="false" outlineLevel="0" collapsed="false">
      <c r="A396" s="10" t="str">
        <f aca="false">IF($M396="","",INDEX(伝票元!$P$6:$P$511,$M396))</f>
        <v/>
      </c>
      <c r="B396" s="45" t="str">
        <f aca="false">IF($M396="","",INDEX(伝票元!$D$6:$D$511,$M396))</f>
        <v/>
      </c>
      <c r="C396" s="10" t="str">
        <f aca="false">IF($M396="","",INDEX(伝票元!$E$6:$E$511,$M396))</f>
        <v/>
      </c>
      <c r="D396" s="45" t="str">
        <f aca="false">IF($M396="","",INDEX(伝票元!$A$6:$A$511,$M396))</f>
        <v/>
      </c>
      <c r="E396" s="10" t="str">
        <f aca="false">IF(IF($M396="",0,INDEX(伝票元!$N$6:$N$511,$M396))=1,INDEX(伝票元!$I$6:$I$511,$M396),"")</f>
        <v/>
      </c>
      <c r="F396" s="45" t="str">
        <f aca="false">IF(IF($M396="",0,INDEX(伝票元!$N$6:$N$511,$M396))=1,INDEX(伝票元!$J$6:$J$511,$M396),"")</f>
        <v/>
      </c>
      <c r="G396" s="42" t="str">
        <f aca="false">IF(IF($M396="",0,INDEX(伝票元!$N$6:$N$511,$M396))=1,INDEX(伝票元!$Q$6:$Q$511,$M396),"")</f>
        <v/>
      </c>
      <c r="H396" s="45" t="str">
        <f aca="false">IF($M396="","",INDEX(伝票元!$F$6:$F$511,$M396))</f>
        <v/>
      </c>
      <c r="I396" s="45" t="str">
        <f aca="false">IF($M396="","",INDEX(伝票元!$G$6:$G$511,$M396))</f>
        <v/>
      </c>
      <c r="J396" s="42" t="str">
        <f aca="false">IF($M396="","",INDEX(伝票元!$H$6:$H$511,$M396))</f>
        <v/>
      </c>
      <c r="K396" s="46" t="str">
        <f aca="false">IF(IF($M396="",0,INDEX(伝票元!$N$6:$N$511,$M396))=1,INDEX(伝票元!$R$6:$R$511,$M396),"")</f>
        <v/>
      </c>
      <c r="L396" s="47" t="str">
        <f aca="false">IF($M396="","",INDEX(伝票元!$S$6:$S$511,$M396))</f>
        <v/>
      </c>
      <c r="M396" s="47" t="str">
        <f aca="false">IFERROR(MATCH(390,伝票元!$O$6:$O$511,0),"")</f>
        <v/>
      </c>
    </row>
    <row r="397" customFormat="false" ht="15" hidden="false" customHeight="false" outlineLevel="0" collapsed="false">
      <c r="A397" s="10" t="str">
        <f aca="false">IF($M397="","",INDEX(伝票元!$P$6:$P$511,$M397))</f>
        <v/>
      </c>
      <c r="B397" s="45" t="str">
        <f aca="false">IF($M397="","",INDEX(伝票元!$D$6:$D$511,$M397))</f>
        <v/>
      </c>
      <c r="C397" s="10" t="str">
        <f aca="false">IF($M397="","",INDEX(伝票元!$E$6:$E$511,$M397))</f>
        <v/>
      </c>
      <c r="D397" s="45" t="str">
        <f aca="false">IF($M397="","",INDEX(伝票元!$A$6:$A$511,$M397))</f>
        <v/>
      </c>
      <c r="E397" s="10" t="str">
        <f aca="false">IF(IF($M397="",0,INDEX(伝票元!$N$6:$N$511,$M397))=1,INDEX(伝票元!$I$6:$I$511,$M397),"")</f>
        <v/>
      </c>
      <c r="F397" s="45" t="str">
        <f aca="false">IF(IF($M397="",0,INDEX(伝票元!$N$6:$N$511,$M397))=1,INDEX(伝票元!$J$6:$J$511,$M397),"")</f>
        <v/>
      </c>
      <c r="G397" s="42" t="str">
        <f aca="false">IF(IF($M397="",0,INDEX(伝票元!$N$6:$N$511,$M397))=1,INDEX(伝票元!$Q$6:$Q$511,$M397),"")</f>
        <v/>
      </c>
      <c r="H397" s="45" t="str">
        <f aca="false">IF($M397="","",INDEX(伝票元!$F$6:$F$511,$M397))</f>
        <v/>
      </c>
      <c r="I397" s="45" t="str">
        <f aca="false">IF($M397="","",INDEX(伝票元!$G$6:$G$511,$M397))</f>
        <v/>
      </c>
      <c r="J397" s="42" t="str">
        <f aca="false">IF($M397="","",INDEX(伝票元!$H$6:$H$511,$M397))</f>
        <v/>
      </c>
      <c r="K397" s="46" t="str">
        <f aca="false">IF(IF($M397="",0,INDEX(伝票元!$N$6:$N$511,$M397))=1,INDEX(伝票元!$R$6:$R$511,$M397),"")</f>
        <v/>
      </c>
      <c r="L397" s="47" t="str">
        <f aca="false">IF($M397="","",INDEX(伝票元!$S$6:$S$511,$M397))</f>
        <v/>
      </c>
      <c r="M397" s="47" t="str">
        <f aca="false">IFERROR(MATCH(391,伝票元!$O$6:$O$511,0),"")</f>
        <v/>
      </c>
    </row>
    <row r="398" customFormat="false" ht="15" hidden="false" customHeight="false" outlineLevel="0" collapsed="false">
      <c r="A398" s="10" t="str">
        <f aca="false">IF($M398="","",INDEX(伝票元!$P$6:$P$511,$M398))</f>
        <v/>
      </c>
      <c r="B398" s="45" t="str">
        <f aca="false">IF($M398="","",INDEX(伝票元!$D$6:$D$511,$M398))</f>
        <v/>
      </c>
      <c r="C398" s="10" t="str">
        <f aca="false">IF($M398="","",INDEX(伝票元!$E$6:$E$511,$M398))</f>
        <v/>
      </c>
      <c r="D398" s="45" t="str">
        <f aca="false">IF($M398="","",INDEX(伝票元!$A$6:$A$511,$M398))</f>
        <v/>
      </c>
      <c r="E398" s="10" t="str">
        <f aca="false">IF(IF($M398="",0,INDEX(伝票元!$N$6:$N$511,$M398))=1,INDEX(伝票元!$I$6:$I$511,$M398),"")</f>
        <v/>
      </c>
      <c r="F398" s="45" t="str">
        <f aca="false">IF(IF($M398="",0,INDEX(伝票元!$N$6:$N$511,$M398))=1,INDEX(伝票元!$J$6:$J$511,$M398),"")</f>
        <v/>
      </c>
      <c r="G398" s="42" t="str">
        <f aca="false">IF(IF($M398="",0,INDEX(伝票元!$N$6:$N$511,$M398))=1,INDEX(伝票元!$Q$6:$Q$511,$M398),"")</f>
        <v/>
      </c>
      <c r="H398" s="45" t="str">
        <f aca="false">IF($M398="","",INDEX(伝票元!$F$6:$F$511,$M398))</f>
        <v/>
      </c>
      <c r="I398" s="45" t="str">
        <f aca="false">IF($M398="","",INDEX(伝票元!$G$6:$G$511,$M398))</f>
        <v/>
      </c>
      <c r="J398" s="42" t="str">
        <f aca="false">IF($M398="","",INDEX(伝票元!$H$6:$H$511,$M398))</f>
        <v/>
      </c>
      <c r="K398" s="46" t="str">
        <f aca="false">IF(IF($M398="",0,INDEX(伝票元!$N$6:$N$511,$M398))=1,INDEX(伝票元!$R$6:$R$511,$M398),"")</f>
        <v/>
      </c>
      <c r="L398" s="47" t="str">
        <f aca="false">IF($M398="","",INDEX(伝票元!$S$6:$S$511,$M398))</f>
        <v/>
      </c>
      <c r="M398" s="47" t="str">
        <f aca="false">IFERROR(MATCH(392,伝票元!$O$6:$O$511,0),"")</f>
        <v/>
      </c>
    </row>
    <row r="399" customFormat="false" ht="15" hidden="false" customHeight="false" outlineLevel="0" collapsed="false">
      <c r="A399" s="10" t="str">
        <f aca="false">IF($M399="","",INDEX(伝票元!$P$6:$P$511,$M399))</f>
        <v/>
      </c>
      <c r="B399" s="45" t="str">
        <f aca="false">IF($M399="","",INDEX(伝票元!$D$6:$D$511,$M399))</f>
        <v/>
      </c>
      <c r="C399" s="10" t="str">
        <f aca="false">IF($M399="","",INDEX(伝票元!$E$6:$E$511,$M399))</f>
        <v/>
      </c>
      <c r="D399" s="45" t="str">
        <f aca="false">IF($M399="","",INDEX(伝票元!$A$6:$A$511,$M399))</f>
        <v/>
      </c>
      <c r="E399" s="10" t="str">
        <f aca="false">IF(IF($M399="",0,INDEX(伝票元!$N$6:$N$511,$M399))=1,INDEX(伝票元!$I$6:$I$511,$M399),"")</f>
        <v/>
      </c>
      <c r="F399" s="45" t="str">
        <f aca="false">IF(IF($M399="",0,INDEX(伝票元!$N$6:$N$511,$M399))=1,INDEX(伝票元!$J$6:$J$511,$M399),"")</f>
        <v/>
      </c>
      <c r="G399" s="42" t="str">
        <f aca="false">IF(IF($M399="",0,INDEX(伝票元!$N$6:$N$511,$M399))=1,INDEX(伝票元!$Q$6:$Q$511,$M399),"")</f>
        <v/>
      </c>
      <c r="H399" s="45" t="str">
        <f aca="false">IF($M399="","",INDEX(伝票元!$F$6:$F$511,$M399))</f>
        <v/>
      </c>
      <c r="I399" s="45" t="str">
        <f aca="false">IF($M399="","",INDEX(伝票元!$G$6:$G$511,$M399))</f>
        <v/>
      </c>
      <c r="J399" s="42" t="str">
        <f aca="false">IF($M399="","",INDEX(伝票元!$H$6:$H$511,$M399))</f>
        <v/>
      </c>
      <c r="K399" s="46" t="str">
        <f aca="false">IF(IF($M399="",0,INDEX(伝票元!$N$6:$N$511,$M399))=1,INDEX(伝票元!$R$6:$R$511,$M399),"")</f>
        <v/>
      </c>
      <c r="L399" s="47" t="str">
        <f aca="false">IF($M399="","",INDEX(伝票元!$S$6:$S$511,$M399))</f>
        <v/>
      </c>
      <c r="M399" s="47" t="str">
        <f aca="false">IFERROR(MATCH(393,伝票元!$O$6:$O$511,0),"")</f>
        <v/>
      </c>
    </row>
    <row r="400" customFormat="false" ht="15" hidden="false" customHeight="false" outlineLevel="0" collapsed="false">
      <c r="A400" s="10" t="str">
        <f aca="false">IF($M400="","",INDEX(伝票元!$P$6:$P$511,$M400))</f>
        <v/>
      </c>
      <c r="B400" s="45" t="str">
        <f aca="false">IF($M400="","",INDEX(伝票元!$D$6:$D$511,$M400))</f>
        <v/>
      </c>
      <c r="C400" s="10" t="str">
        <f aca="false">IF($M400="","",INDEX(伝票元!$E$6:$E$511,$M400))</f>
        <v/>
      </c>
      <c r="D400" s="45" t="str">
        <f aca="false">IF($M400="","",INDEX(伝票元!$A$6:$A$511,$M400))</f>
        <v/>
      </c>
      <c r="E400" s="10" t="str">
        <f aca="false">IF(IF($M400="",0,INDEX(伝票元!$N$6:$N$511,$M400))=1,INDEX(伝票元!$I$6:$I$511,$M400),"")</f>
        <v/>
      </c>
      <c r="F400" s="45" t="str">
        <f aca="false">IF(IF($M400="",0,INDEX(伝票元!$N$6:$N$511,$M400))=1,INDEX(伝票元!$J$6:$J$511,$M400),"")</f>
        <v/>
      </c>
      <c r="G400" s="42" t="str">
        <f aca="false">IF(IF($M400="",0,INDEX(伝票元!$N$6:$N$511,$M400))=1,INDEX(伝票元!$Q$6:$Q$511,$M400),"")</f>
        <v/>
      </c>
      <c r="H400" s="45" t="str">
        <f aca="false">IF($M400="","",INDEX(伝票元!$F$6:$F$511,$M400))</f>
        <v/>
      </c>
      <c r="I400" s="45" t="str">
        <f aca="false">IF($M400="","",INDEX(伝票元!$G$6:$G$511,$M400))</f>
        <v/>
      </c>
      <c r="J400" s="42" t="str">
        <f aca="false">IF($M400="","",INDEX(伝票元!$H$6:$H$511,$M400))</f>
        <v/>
      </c>
      <c r="K400" s="46" t="str">
        <f aca="false">IF(IF($M400="",0,INDEX(伝票元!$N$6:$N$511,$M400))=1,INDEX(伝票元!$R$6:$R$511,$M400),"")</f>
        <v/>
      </c>
      <c r="L400" s="47" t="str">
        <f aca="false">IF($M400="","",INDEX(伝票元!$S$6:$S$511,$M400))</f>
        <v/>
      </c>
      <c r="M400" s="47" t="str">
        <f aca="false">IFERROR(MATCH(394,伝票元!$O$6:$O$511,0),"")</f>
        <v/>
      </c>
    </row>
    <row r="401" customFormat="false" ht="15" hidden="false" customHeight="false" outlineLevel="0" collapsed="false">
      <c r="A401" s="10" t="str">
        <f aca="false">IF($M401="","",INDEX(伝票元!$P$6:$P$511,$M401))</f>
        <v/>
      </c>
      <c r="B401" s="45" t="str">
        <f aca="false">IF($M401="","",INDEX(伝票元!$D$6:$D$511,$M401))</f>
        <v/>
      </c>
      <c r="C401" s="10" t="str">
        <f aca="false">IF($M401="","",INDEX(伝票元!$E$6:$E$511,$M401))</f>
        <v/>
      </c>
      <c r="D401" s="45" t="str">
        <f aca="false">IF($M401="","",INDEX(伝票元!$A$6:$A$511,$M401))</f>
        <v/>
      </c>
      <c r="E401" s="10" t="str">
        <f aca="false">IF(IF($M401="",0,INDEX(伝票元!$N$6:$N$511,$M401))=1,INDEX(伝票元!$I$6:$I$511,$M401),"")</f>
        <v/>
      </c>
      <c r="F401" s="45" t="str">
        <f aca="false">IF(IF($M401="",0,INDEX(伝票元!$N$6:$N$511,$M401))=1,INDEX(伝票元!$J$6:$J$511,$M401),"")</f>
        <v/>
      </c>
      <c r="G401" s="42" t="str">
        <f aca="false">IF(IF($M401="",0,INDEX(伝票元!$N$6:$N$511,$M401))=1,INDEX(伝票元!$Q$6:$Q$511,$M401),"")</f>
        <v/>
      </c>
      <c r="H401" s="45" t="str">
        <f aca="false">IF($M401="","",INDEX(伝票元!$F$6:$F$511,$M401))</f>
        <v/>
      </c>
      <c r="I401" s="45" t="str">
        <f aca="false">IF($M401="","",INDEX(伝票元!$G$6:$G$511,$M401))</f>
        <v/>
      </c>
      <c r="J401" s="42" t="str">
        <f aca="false">IF($M401="","",INDEX(伝票元!$H$6:$H$511,$M401))</f>
        <v/>
      </c>
      <c r="K401" s="46" t="str">
        <f aca="false">IF(IF($M401="",0,INDEX(伝票元!$N$6:$N$511,$M401))=1,INDEX(伝票元!$R$6:$R$511,$M401),"")</f>
        <v/>
      </c>
      <c r="L401" s="47" t="str">
        <f aca="false">IF($M401="","",INDEX(伝票元!$S$6:$S$511,$M401))</f>
        <v/>
      </c>
      <c r="M401" s="47" t="str">
        <f aca="false">IFERROR(MATCH(395,伝票元!$O$6:$O$511,0),"")</f>
        <v/>
      </c>
    </row>
    <row r="402" customFormat="false" ht="15" hidden="false" customHeight="false" outlineLevel="0" collapsed="false">
      <c r="A402" s="10" t="str">
        <f aca="false">IF($M402="","",INDEX(伝票元!$P$6:$P$511,$M402))</f>
        <v/>
      </c>
      <c r="B402" s="45" t="str">
        <f aca="false">IF($M402="","",INDEX(伝票元!$D$6:$D$511,$M402))</f>
        <v/>
      </c>
      <c r="C402" s="10" t="str">
        <f aca="false">IF($M402="","",INDEX(伝票元!$E$6:$E$511,$M402))</f>
        <v/>
      </c>
      <c r="D402" s="45" t="str">
        <f aca="false">IF($M402="","",INDEX(伝票元!$A$6:$A$511,$M402))</f>
        <v/>
      </c>
      <c r="E402" s="10" t="str">
        <f aca="false">IF(IF($M402="",0,INDEX(伝票元!$N$6:$N$511,$M402))=1,INDEX(伝票元!$I$6:$I$511,$M402),"")</f>
        <v/>
      </c>
      <c r="F402" s="45" t="str">
        <f aca="false">IF(IF($M402="",0,INDEX(伝票元!$N$6:$N$511,$M402))=1,INDEX(伝票元!$J$6:$J$511,$M402),"")</f>
        <v/>
      </c>
      <c r="G402" s="42" t="str">
        <f aca="false">IF(IF($M402="",0,INDEX(伝票元!$N$6:$N$511,$M402))=1,INDEX(伝票元!$Q$6:$Q$511,$M402),"")</f>
        <v/>
      </c>
      <c r="H402" s="45" t="str">
        <f aca="false">IF($M402="","",INDEX(伝票元!$F$6:$F$511,$M402))</f>
        <v/>
      </c>
      <c r="I402" s="45" t="str">
        <f aca="false">IF($M402="","",INDEX(伝票元!$G$6:$G$511,$M402))</f>
        <v/>
      </c>
      <c r="J402" s="42" t="str">
        <f aca="false">IF($M402="","",INDEX(伝票元!$H$6:$H$511,$M402))</f>
        <v/>
      </c>
      <c r="K402" s="46" t="str">
        <f aca="false">IF(IF($M402="",0,INDEX(伝票元!$N$6:$N$511,$M402))=1,INDEX(伝票元!$R$6:$R$511,$M402),"")</f>
        <v/>
      </c>
      <c r="L402" s="47" t="str">
        <f aca="false">IF($M402="","",INDEX(伝票元!$S$6:$S$511,$M402))</f>
        <v/>
      </c>
      <c r="M402" s="47" t="str">
        <f aca="false">IFERROR(MATCH(396,伝票元!$O$6:$O$511,0),"")</f>
        <v/>
      </c>
    </row>
    <row r="403" customFormat="false" ht="15" hidden="false" customHeight="false" outlineLevel="0" collapsed="false">
      <c r="A403" s="10" t="str">
        <f aca="false">IF($M403="","",INDEX(伝票元!$P$6:$P$511,$M403))</f>
        <v/>
      </c>
      <c r="B403" s="45" t="str">
        <f aca="false">IF($M403="","",INDEX(伝票元!$D$6:$D$511,$M403))</f>
        <v/>
      </c>
      <c r="C403" s="10" t="str">
        <f aca="false">IF($M403="","",INDEX(伝票元!$E$6:$E$511,$M403))</f>
        <v/>
      </c>
      <c r="D403" s="45" t="str">
        <f aca="false">IF($M403="","",INDEX(伝票元!$A$6:$A$511,$M403))</f>
        <v/>
      </c>
      <c r="E403" s="10" t="str">
        <f aca="false">IF(IF($M403="",0,INDEX(伝票元!$N$6:$N$511,$M403))=1,INDEX(伝票元!$I$6:$I$511,$M403),"")</f>
        <v/>
      </c>
      <c r="F403" s="45" t="str">
        <f aca="false">IF(IF($M403="",0,INDEX(伝票元!$N$6:$N$511,$M403))=1,INDEX(伝票元!$J$6:$J$511,$M403),"")</f>
        <v/>
      </c>
      <c r="G403" s="42" t="str">
        <f aca="false">IF(IF($M403="",0,INDEX(伝票元!$N$6:$N$511,$M403))=1,INDEX(伝票元!$Q$6:$Q$511,$M403),"")</f>
        <v/>
      </c>
      <c r="H403" s="45" t="str">
        <f aca="false">IF($M403="","",INDEX(伝票元!$F$6:$F$511,$M403))</f>
        <v/>
      </c>
      <c r="I403" s="45" t="str">
        <f aca="false">IF($M403="","",INDEX(伝票元!$G$6:$G$511,$M403))</f>
        <v/>
      </c>
      <c r="J403" s="42" t="str">
        <f aca="false">IF($M403="","",INDEX(伝票元!$H$6:$H$511,$M403))</f>
        <v/>
      </c>
      <c r="K403" s="46" t="str">
        <f aca="false">IF(IF($M403="",0,INDEX(伝票元!$N$6:$N$511,$M403))=1,INDEX(伝票元!$R$6:$R$511,$M403),"")</f>
        <v/>
      </c>
      <c r="L403" s="47" t="str">
        <f aca="false">IF($M403="","",INDEX(伝票元!$S$6:$S$511,$M403))</f>
        <v/>
      </c>
      <c r="M403" s="47" t="str">
        <f aca="false">IFERROR(MATCH(397,伝票元!$O$6:$O$511,0),"")</f>
        <v/>
      </c>
    </row>
    <row r="404" customFormat="false" ht="15" hidden="false" customHeight="false" outlineLevel="0" collapsed="false">
      <c r="A404" s="10" t="str">
        <f aca="false">IF($M404="","",INDEX(伝票元!$P$6:$P$511,$M404))</f>
        <v/>
      </c>
      <c r="B404" s="45" t="str">
        <f aca="false">IF($M404="","",INDEX(伝票元!$D$6:$D$511,$M404))</f>
        <v/>
      </c>
      <c r="C404" s="10" t="str">
        <f aca="false">IF($M404="","",INDEX(伝票元!$E$6:$E$511,$M404))</f>
        <v/>
      </c>
      <c r="D404" s="45" t="str">
        <f aca="false">IF($M404="","",INDEX(伝票元!$A$6:$A$511,$M404))</f>
        <v/>
      </c>
      <c r="E404" s="10" t="str">
        <f aca="false">IF(IF($M404="",0,INDEX(伝票元!$N$6:$N$511,$M404))=1,INDEX(伝票元!$I$6:$I$511,$M404),"")</f>
        <v/>
      </c>
      <c r="F404" s="45" t="str">
        <f aca="false">IF(IF($M404="",0,INDEX(伝票元!$N$6:$N$511,$M404))=1,INDEX(伝票元!$J$6:$J$511,$M404),"")</f>
        <v/>
      </c>
      <c r="G404" s="42" t="str">
        <f aca="false">IF(IF($M404="",0,INDEX(伝票元!$N$6:$N$511,$M404))=1,INDEX(伝票元!$Q$6:$Q$511,$M404),"")</f>
        <v/>
      </c>
      <c r="H404" s="45" t="str">
        <f aca="false">IF($M404="","",INDEX(伝票元!$F$6:$F$511,$M404))</f>
        <v/>
      </c>
      <c r="I404" s="45" t="str">
        <f aca="false">IF($M404="","",INDEX(伝票元!$G$6:$G$511,$M404))</f>
        <v/>
      </c>
      <c r="J404" s="42" t="str">
        <f aca="false">IF($M404="","",INDEX(伝票元!$H$6:$H$511,$M404))</f>
        <v/>
      </c>
      <c r="K404" s="46" t="str">
        <f aca="false">IF(IF($M404="",0,INDEX(伝票元!$N$6:$N$511,$M404))=1,INDEX(伝票元!$R$6:$R$511,$M404),"")</f>
        <v/>
      </c>
      <c r="L404" s="47" t="str">
        <f aca="false">IF($M404="","",INDEX(伝票元!$S$6:$S$511,$M404))</f>
        <v/>
      </c>
      <c r="M404" s="47" t="str">
        <f aca="false">IFERROR(MATCH(398,伝票元!$O$6:$O$511,0),"")</f>
        <v/>
      </c>
    </row>
    <row r="405" customFormat="false" ht="15" hidden="false" customHeight="false" outlineLevel="0" collapsed="false">
      <c r="A405" s="10" t="str">
        <f aca="false">IF($M405="","",INDEX(伝票元!$P$6:$P$511,$M405))</f>
        <v/>
      </c>
      <c r="B405" s="45" t="str">
        <f aca="false">IF($M405="","",INDEX(伝票元!$D$6:$D$511,$M405))</f>
        <v/>
      </c>
      <c r="C405" s="10" t="str">
        <f aca="false">IF($M405="","",INDEX(伝票元!$E$6:$E$511,$M405))</f>
        <v/>
      </c>
      <c r="D405" s="45" t="str">
        <f aca="false">IF($M405="","",INDEX(伝票元!$A$6:$A$511,$M405))</f>
        <v/>
      </c>
      <c r="E405" s="10" t="str">
        <f aca="false">IF(IF($M405="",0,INDEX(伝票元!$N$6:$N$511,$M405))=1,INDEX(伝票元!$I$6:$I$511,$M405),"")</f>
        <v/>
      </c>
      <c r="F405" s="45" t="str">
        <f aca="false">IF(IF($M405="",0,INDEX(伝票元!$N$6:$N$511,$M405))=1,INDEX(伝票元!$J$6:$J$511,$M405),"")</f>
        <v/>
      </c>
      <c r="G405" s="42" t="str">
        <f aca="false">IF(IF($M405="",0,INDEX(伝票元!$N$6:$N$511,$M405))=1,INDEX(伝票元!$Q$6:$Q$511,$M405),"")</f>
        <v/>
      </c>
      <c r="H405" s="45" t="str">
        <f aca="false">IF($M405="","",INDEX(伝票元!$F$6:$F$511,$M405))</f>
        <v/>
      </c>
      <c r="I405" s="45" t="str">
        <f aca="false">IF($M405="","",INDEX(伝票元!$G$6:$G$511,$M405))</f>
        <v/>
      </c>
      <c r="J405" s="42" t="str">
        <f aca="false">IF($M405="","",INDEX(伝票元!$H$6:$H$511,$M405))</f>
        <v/>
      </c>
      <c r="K405" s="46" t="str">
        <f aca="false">IF(IF($M405="",0,INDEX(伝票元!$N$6:$N$511,$M405))=1,INDEX(伝票元!$R$6:$R$511,$M405),"")</f>
        <v/>
      </c>
      <c r="L405" s="47" t="str">
        <f aca="false">IF($M405="","",INDEX(伝票元!$S$6:$S$511,$M405))</f>
        <v/>
      </c>
      <c r="M405" s="47" t="str">
        <f aca="false">IFERROR(MATCH(399,伝票元!$O$6:$O$511,0),"")</f>
        <v/>
      </c>
    </row>
    <row r="406" customFormat="false" ht="15" hidden="false" customHeight="false" outlineLevel="0" collapsed="false">
      <c r="A406" s="10" t="str">
        <f aca="false">IF($M406="","",INDEX(伝票元!$P$6:$P$511,$M406))</f>
        <v/>
      </c>
      <c r="B406" s="45" t="str">
        <f aca="false">IF($M406="","",INDEX(伝票元!$D$6:$D$511,$M406))</f>
        <v/>
      </c>
      <c r="C406" s="10" t="str">
        <f aca="false">IF($M406="","",INDEX(伝票元!$E$6:$E$511,$M406))</f>
        <v/>
      </c>
      <c r="D406" s="45" t="str">
        <f aca="false">IF($M406="","",INDEX(伝票元!$A$6:$A$511,$M406))</f>
        <v/>
      </c>
      <c r="E406" s="10" t="str">
        <f aca="false">IF(IF($M406="",0,INDEX(伝票元!$N$6:$N$511,$M406))=1,INDEX(伝票元!$I$6:$I$511,$M406),"")</f>
        <v/>
      </c>
      <c r="F406" s="45" t="str">
        <f aca="false">IF(IF($M406="",0,INDEX(伝票元!$N$6:$N$511,$M406))=1,INDEX(伝票元!$J$6:$J$511,$M406),"")</f>
        <v/>
      </c>
      <c r="G406" s="42" t="str">
        <f aca="false">IF(IF($M406="",0,INDEX(伝票元!$N$6:$N$511,$M406))=1,INDEX(伝票元!$Q$6:$Q$511,$M406),"")</f>
        <v/>
      </c>
      <c r="H406" s="45" t="str">
        <f aca="false">IF($M406="","",INDEX(伝票元!$F$6:$F$511,$M406))</f>
        <v/>
      </c>
      <c r="I406" s="45" t="str">
        <f aca="false">IF($M406="","",INDEX(伝票元!$G$6:$G$511,$M406))</f>
        <v/>
      </c>
      <c r="J406" s="42" t="str">
        <f aca="false">IF($M406="","",INDEX(伝票元!$H$6:$H$511,$M406))</f>
        <v/>
      </c>
      <c r="K406" s="46" t="str">
        <f aca="false">IF(IF($M406="",0,INDEX(伝票元!$N$6:$N$511,$M406))=1,INDEX(伝票元!$R$6:$R$511,$M406),"")</f>
        <v/>
      </c>
      <c r="L406" s="47" t="str">
        <f aca="false">IF($M406="","",INDEX(伝票元!$S$6:$S$511,$M406))</f>
        <v/>
      </c>
      <c r="M406" s="47" t="str">
        <f aca="false">IFERROR(MATCH(400,伝票元!$O$6:$O$511,0),"")</f>
        <v/>
      </c>
    </row>
    <row r="407" customFormat="false" ht="15" hidden="false" customHeight="false" outlineLevel="0" collapsed="false">
      <c r="A407" s="10" t="str">
        <f aca="false">IF($M407="","",INDEX(伝票元!$P$6:$P$511,$M407))</f>
        <v/>
      </c>
      <c r="B407" s="45" t="str">
        <f aca="false">IF($M407="","",INDEX(伝票元!$D$6:$D$511,$M407))</f>
        <v/>
      </c>
      <c r="C407" s="10" t="str">
        <f aca="false">IF($M407="","",INDEX(伝票元!$E$6:$E$511,$M407))</f>
        <v/>
      </c>
      <c r="D407" s="45" t="str">
        <f aca="false">IF($M407="","",INDEX(伝票元!$A$6:$A$511,$M407))</f>
        <v/>
      </c>
      <c r="E407" s="10" t="str">
        <f aca="false">IF(IF($M407="",0,INDEX(伝票元!$N$6:$N$511,$M407))=1,INDEX(伝票元!$I$6:$I$511,$M407),"")</f>
        <v/>
      </c>
      <c r="F407" s="45" t="str">
        <f aca="false">IF(IF($M407="",0,INDEX(伝票元!$N$6:$N$511,$M407))=1,INDEX(伝票元!$J$6:$J$511,$M407),"")</f>
        <v/>
      </c>
      <c r="G407" s="42" t="str">
        <f aca="false">IF(IF($M407="",0,INDEX(伝票元!$N$6:$N$511,$M407))=1,INDEX(伝票元!$Q$6:$Q$511,$M407),"")</f>
        <v/>
      </c>
      <c r="H407" s="45" t="str">
        <f aca="false">IF($M407="","",INDEX(伝票元!$F$6:$F$511,$M407))</f>
        <v/>
      </c>
      <c r="I407" s="45" t="str">
        <f aca="false">IF($M407="","",INDEX(伝票元!$G$6:$G$511,$M407))</f>
        <v/>
      </c>
      <c r="J407" s="42" t="str">
        <f aca="false">IF($M407="","",INDEX(伝票元!$H$6:$H$511,$M407))</f>
        <v/>
      </c>
      <c r="K407" s="46" t="str">
        <f aca="false">IF(IF($M407="",0,INDEX(伝票元!$N$6:$N$511,$M407))=1,INDEX(伝票元!$R$6:$R$511,$M407),"")</f>
        <v/>
      </c>
      <c r="L407" s="47" t="str">
        <f aca="false">IF($M407="","",INDEX(伝票元!$S$6:$S$511,$M407))</f>
        <v/>
      </c>
      <c r="M407" s="47" t="str">
        <f aca="false">IFERROR(MATCH(401,伝票元!$O$6:$O$511,0),"")</f>
        <v/>
      </c>
    </row>
    <row r="408" customFormat="false" ht="15" hidden="false" customHeight="false" outlineLevel="0" collapsed="false">
      <c r="A408" s="10" t="str">
        <f aca="false">IF($M408="","",INDEX(伝票元!$P$6:$P$511,$M408))</f>
        <v/>
      </c>
      <c r="B408" s="45" t="str">
        <f aca="false">IF($M408="","",INDEX(伝票元!$D$6:$D$511,$M408))</f>
        <v/>
      </c>
      <c r="C408" s="10" t="str">
        <f aca="false">IF($M408="","",INDEX(伝票元!$E$6:$E$511,$M408))</f>
        <v/>
      </c>
      <c r="D408" s="45" t="str">
        <f aca="false">IF($M408="","",INDEX(伝票元!$A$6:$A$511,$M408))</f>
        <v/>
      </c>
      <c r="E408" s="10" t="str">
        <f aca="false">IF(IF($M408="",0,INDEX(伝票元!$N$6:$N$511,$M408))=1,INDEX(伝票元!$I$6:$I$511,$M408),"")</f>
        <v/>
      </c>
      <c r="F408" s="45" t="str">
        <f aca="false">IF(IF($M408="",0,INDEX(伝票元!$N$6:$N$511,$M408))=1,INDEX(伝票元!$J$6:$J$511,$M408),"")</f>
        <v/>
      </c>
      <c r="G408" s="42" t="str">
        <f aca="false">IF(IF($M408="",0,INDEX(伝票元!$N$6:$N$511,$M408))=1,INDEX(伝票元!$Q$6:$Q$511,$M408),"")</f>
        <v/>
      </c>
      <c r="H408" s="45" t="str">
        <f aca="false">IF($M408="","",INDEX(伝票元!$F$6:$F$511,$M408))</f>
        <v/>
      </c>
      <c r="I408" s="45" t="str">
        <f aca="false">IF($M408="","",INDEX(伝票元!$G$6:$G$511,$M408))</f>
        <v/>
      </c>
      <c r="J408" s="42" t="str">
        <f aca="false">IF($M408="","",INDEX(伝票元!$H$6:$H$511,$M408))</f>
        <v/>
      </c>
      <c r="K408" s="46" t="str">
        <f aca="false">IF(IF($M408="",0,INDEX(伝票元!$N$6:$N$511,$M408))=1,INDEX(伝票元!$R$6:$R$511,$M408),"")</f>
        <v/>
      </c>
      <c r="L408" s="47" t="str">
        <f aca="false">IF($M408="","",INDEX(伝票元!$S$6:$S$511,$M408))</f>
        <v/>
      </c>
      <c r="M408" s="47" t="str">
        <f aca="false">IFERROR(MATCH(402,伝票元!$O$6:$O$511,0),"")</f>
        <v/>
      </c>
    </row>
    <row r="409" customFormat="false" ht="15" hidden="false" customHeight="false" outlineLevel="0" collapsed="false">
      <c r="A409" s="10" t="str">
        <f aca="false">IF($M409="","",INDEX(伝票元!$P$6:$P$511,$M409))</f>
        <v/>
      </c>
      <c r="B409" s="45" t="str">
        <f aca="false">IF($M409="","",INDEX(伝票元!$D$6:$D$511,$M409))</f>
        <v/>
      </c>
      <c r="C409" s="10" t="str">
        <f aca="false">IF($M409="","",INDEX(伝票元!$E$6:$E$511,$M409))</f>
        <v/>
      </c>
      <c r="D409" s="45" t="str">
        <f aca="false">IF($M409="","",INDEX(伝票元!$A$6:$A$511,$M409))</f>
        <v/>
      </c>
      <c r="E409" s="10" t="str">
        <f aca="false">IF(IF($M409="",0,INDEX(伝票元!$N$6:$N$511,$M409))=1,INDEX(伝票元!$I$6:$I$511,$M409),"")</f>
        <v/>
      </c>
      <c r="F409" s="45" t="str">
        <f aca="false">IF(IF($M409="",0,INDEX(伝票元!$N$6:$N$511,$M409))=1,INDEX(伝票元!$J$6:$J$511,$M409),"")</f>
        <v/>
      </c>
      <c r="G409" s="42" t="str">
        <f aca="false">IF(IF($M409="",0,INDEX(伝票元!$N$6:$N$511,$M409))=1,INDEX(伝票元!$Q$6:$Q$511,$M409),"")</f>
        <v/>
      </c>
      <c r="H409" s="45" t="str">
        <f aca="false">IF($M409="","",INDEX(伝票元!$F$6:$F$511,$M409))</f>
        <v/>
      </c>
      <c r="I409" s="45" t="str">
        <f aca="false">IF($M409="","",INDEX(伝票元!$G$6:$G$511,$M409))</f>
        <v/>
      </c>
      <c r="J409" s="42" t="str">
        <f aca="false">IF($M409="","",INDEX(伝票元!$H$6:$H$511,$M409))</f>
        <v/>
      </c>
      <c r="K409" s="46" t="str">
        <f aca="false">IF(IF($M409="",0,INDEX(伝票元!$N$6:$N$511,$M409))=1,INDEX(伝票元!$R$6:$R$511,$M409),"")</f>
        <v/>
      </c>
      <c r="L409" s="47" t="str">
        <f aca="false">IF($M409="","",INDEX(伝票元!$S$6:$S$511,$M409))</f>
        <v/>
      </c>
      <c r="M409" s="47" t="str">
        <f aca="false">IFERROR(MATCH(403,伝票元!$O$6:$O$511,0),"")</f>
        <v/>
      </c>
    </row>
    <row r="410" customFormat="false" ht="15" hidden="false" customHeight="false" outlineLevel="0" collapsed="false">
      <c r="A410" s="10" t="str">
        <f aca="false">IF($M410="","",INDEX(伝票元!$P$6:$P$511,$M410))</f>
        <v/>
      </c>
      <c r="B410" s="45" t="str">
        <f aca="false">IF($M410="","",INDEX(伝票元!$D$6:$D$511,$M410))</f>
        <v/>
      </c>
      <c r="C410" s="10" t="str">
        <f aca="false">IF($M410="","",INDEX(伝票元!$E$6:$E$511,$M410))</f>
        <v/>
      </c>
      <c r="D410" s="45" t="str">
        <f aca="false">IF($M410="","",INDEX(伝票元!$A$6:$A$511,$M410))</f>
        <v/>
      </c>
      <c r="E410" s="10" t="str">
        <f aca="false">IF(IF($M410="",0,INDEX(伝票元!$N$6:$N$511,$M410))=1,INDEX(伝票元!$I$6:$I$511,$M410),"")</f>
        <v/>
      </c>
      <c r="F410" s="45" t="str">
        <f aca="false">IF(IF($M410="",0,INDEX(伝票元!$N$6:$N$511,$M410))=1,INDEX(伝票元!$J$6:$J$511,$M410),"")</f>
        <v/>
      </c>
      <c r="G410" s="42" t="str">
        <f aca="false">IF(IF($M410="",0,INDEX(伝票元!$N$6:$N$511,$M410))=1,INDEX(伝票元!$Q$6:$Q$511,$M410),"")</f>
        <v/>
      </c>
      <c r="H410" s="45" t="str">
        <f aca="false">IF($M410="","",INDEX(伝票元!$F$6:$F$511,$M410))</f>
        <v/>
      </c>
      <c r="I410" s="45" t="str">
        <f aca="false">IF($M410="","",INDEX(伝票元!$G$6:$G$511,$M410))</f>
        <v/>
      </c>
      <c r="J410" s="42" t="str">
        <f aca="false">IF($M410="","",INDEX(伝票元!$H$6:$H$511,$M410))</f>
        <v/>
      </c>
      <c r="K410" s="46" t="str">
        <f aca="false">IF(IF($M410="",0,INDEX(伝票元!$N$6:$N$511,$M410))=1,INDEX(伝票元!$R$6:$R$511,$M410),"")</f>
        <v/>
      </c>
      <c r="L410" s="47" t="str">
        <f aca="false">IF($M410="","",INDEX(伝票元!$S$6:$S$511,$M410))</f>
        <v/>
      </c>
      <c r="M410" s="47" t="str">
        <f aca="false">IFERROR(MATCH(404,伝票元!$O$6:$O$511,0),"")</f>
        <v/>
      </c>
    </row>
    <row r="411" customFormat="false" ht="15" hidden="false" customHeight="false" outlineLevel="0" collapsed="false">
      <c r="A411" s="10" t="str">
        <f aca="false">IF($M411="","",INDEX(伝票元!$P$6:$P$511,$M411))</f>
        <v/>
      </c>
      <c r="B411" s="45" t="str">
        <f aca="false">IF($M411="","",INDEX(伝票元!$D$6:$D$511,$M411))</f>
        <v/>
      </c>
      <c r="C411" s="10" t="str">
        <f aca="false">IF($M411="","",INDEX(伝票元!$E$6:$E$511,$M411))</f>
        <v/>
      </c>
      <c r="D411" s="45" t="str">
        <f aca="false">IF($M411="","",INDEX(伝票元!$A$6:$A$511,$M411))</f>
        <v/>
      </c>
      <c r="E411" s="10" t="str">
        <f aca="false">IF(IF($M411="",0,INDEX(伝票元!$N$6:$N$511,$M411))=1,INDEX(伝票元!$I$6:$I$511,$M411),"")</f>
        <v/>
      </c>
      <c r="F411" s="45" t="str">
        <f aca="false">IF(IF($M411="",0,INDEX(伝票元!$N$6:$N$511,$M411))=1,INDEX(伝票元!$J$6:$J$511,$M411),"")</f>
        <v/>
      </c>
      <c r="G411" s="42" t="str">
        <f aca="false">IF(IF($M411="",0,INDEX(伝票元!$N$6:$N$511,$M411))=1,INDEX(伝票元!$Q$6:$Q$511,$M411),"")</f>
        <v/>
      </c>
      <c r="H411" s="45" t="str">
        <f aca="false">IF($M411="","",INDEX(伝票元!$F$6:$F$511,$M411))</f>
        <v/>
      </c>
      <c r="I411" s="45" t="str">
        <f aca="false">IF($M411="","",INDEX(伝票元!$G$6:$G$511,$M411))</f>
        <v/>
      </c>
      <c r="J411" s="42" t="str">
        <f aca="false">IF($M411="","",INDEX(伝票元!$H$6:$H$511,$M411))</f>
        <v/>
      </c>
      <c r="K411" s="46" t="str">
        <f aca="false">IF(IF($M411="",0,INDEX(伝票元!$N$6:$N$511,$M411))=1,INDEX(伝票元!$R$6:$R$511,$M411),"")</f>
        <v/>
      </c>
      <c r="L411" s="47" t="str">
        <f aca="false">IF($M411="","",INDEX(伝票元!$S$6:$S$511,$M411))</f>
        <v/>
      </c>
      <c r="M411" s="47" t="str">
        <f aca="false">IFERROR(MATCH(405,伝票元!$O$6:$O$511,0),"")</f>
        <v/>
      </c>
    </row>
    <row r="412" customFormat="false" ht="15" hidden="false" customHeight="false" outlineLevel="0" collapsed="false">
      <c r="A412" s="10" t="str">
        <f aca="false">IF($M412="","",INDEX(伝票元!$P$6:$P$511,$M412))</f>
        <v/>
      </c>
      <c r="B412" s="45" t="str">
        <f aca="false">IF($M412="","",INDEX(伝票元!$D$6:$D$511,$M412))</f>
        <v/>
      </c>
      <c r="C412" s="10" t="str">
        <f aca="false">IF($M412="","",INDEX(伝票元!$E$6:$E$511,$M412))</f>
        <v/>
      </c>
      <c r="D412" s="45" t="str">
        <f aca="false">IF($M412="","",INDEX(伝票元!$A$6:$A$511,$M412))</f>
        <v/>
      </c>
      <c r="E412" s="10" t="str">
        <f aca="false">IF(IF($M412="",0,INDEX(伝票元!$N$6:$N$511,$M412))=1,INDEX(伝票元!$I$6:$I$511,$M412),"")</f>
        <v/>
      </c>
      <c r="F412" s="45" t="str">
        <f aca="false">IF(IF($M412="",0,INDEX(伝票元!$N$6:$N$511,$M412))=1,INDEX(伝票元!$J$6:$J$511,$M412),"")</f>
        <v/>
      </c>
      <c r="G412" s="42" t="str">
        <f aca="false">IF(IF($M412="",0,INDEX(伝票元!$N$6:$N$511,$M412))=1,INDEX(伝票元!$Q$6:$Q$511,$M412),"")</f>
        <v/>
      </c>
      <c r="H412" s="45" t="str">
        <f aca="false">IF($M412="","",INDEX(伝票元!$F$6:$F$511,$M412))</f>
        <v/>
      </c>
      <c r="I412" s="45" t="str">
        <f aca="false">IF($M412="","",INDEX(伝票元!$G$6:$G$511,$M412))</f>
        <v/>
      </c>
      <c r="J412" s="42" t="str">
        <f aca="false">IF($M412="","",INDEX(伝票元!$H$6:$H$511,$M412))</f>
        <v/>
      </c>
      <c r="K412" s="46" t="str">
        <f aca="false">IF(IF($M412="",0,INDEX(伝票元!$N$6:$N$511,$M412))=1,INDEX(伝票元!$R$6:$R$511,$M412),"")</f>
        <v/>
      </c>
      <c r="L412" s="47" t="str">
        <f aca="false">IF($M412="","",INDEX(伝票元!$S$6:$S$511,$M412))</f>
        <v/>
      </c>
      <c r="M412" s="47" t="str">
        <f aca="false">IFERROR(MATCH(406,伝票元!$O$6:$O$511,0),"")</f>
        <v/>
      </c>
    </row>
    <row r="413" customFormat="false" ht="15" hidden="false" customHeight="false" outlineLevel="0" collapsed="false">
      <c r="A413" s="10" t="str">
        <f aca="false">IF($M413="","",INDEX(伝票元!$P$6:$P$511,$M413))</f>
        <v/>
      </c>
      <c r="B413" s="45" t="str">
        <f aca="false">IF($M413="","",INDEX(伝票元!$D$6:$D$511,$M413))</f>
        <v/>
      </c>
      <c r="C413" s="10" t="str">
        <f aca="false">IF($M413="","",INDEX(伝票元!$E$6:$E$511,$M413))</f>
        <v/>
      </c>
      <c r="D413" s="45" t="str">
        <f aca="false">IF($M413="","",INDEX(伝票元!$A$6:$A$511,$M413))</f>
        <v/>
      </c>
      <c r="E413" s="10" t="str">
        <f aca="false">IF(IF($M413="",0,INDEX(伝票元!$N$6:$N$511,$M413))=1,INDEX(伝票元!$I$6:$I$511,$M413),"")</f>
        <v/>
      </c>
      <c r="F413" s="45" t="str">
        <f aca="false">IF(IF($M413="",0,INDEX(伝票元!$N$6:$N$511,$M413))=1,INDEX(伝票元!$J$6:$J$511,$M413),"")</f>
        <v/>
      </c>
      <c r="G413" s="42" t="str">
        <f aca="false">IF(IF($M413="",0,INDEX(伝票元!$N$6:$N$511,$M413))=1,INDEX(伝票元!$Q$6:$Q$511,$M413),"")</f>
        <v/>
      </c>
      <c r="H413" s="45" t="str">
        <f aca="false">IF($M413="","",INDEX(伝票元!$F$6:$F$511,$M413))</f>
        <v/>
      </c>
      <c r="I413" s="45" t="str">
        <f aca="false">IF($M413="","",INDEX(伝票元!$G$6:$G$511,$M413))</f>
        <v/>
      </c>
      <c r="J413" s="42" t="str">
        <f aca="false">IF($M413="","",INDEX(伝票元!$H$6:$H$511,$M413))</f>
        <v/>
      </c>
      <c r="K413" s="46" t="str">
        <f aca="false">IF(IF($M413="",0,INDEX(伝票元!$N$6:$N$511,$M413))=1,INDEX(伝票元!$R$6:$R$511,$M413),"")</f>
        <v/>
      </c>
      <c r="L413" s="47" t="str">
        <f aca="false">IF($M413="","",INDEX(伝票元!$S$6:$S$511,$M413))</f>
        <v/>
      </c>
      <c r="M413" s="47" t="str">
        <f aca="false">IFERROR(MATCH(407,伝票元!$O$6:$O$511,0),"")</f>
        <v/>
      </c>
    </row>
    <row r="414" customFormat="false" ht="15" hidden="false" customHeight="false" outlineLevel="0" collapsed="false">
      <c r="A414" s="10" t="str">
        <f aca="false">IF($M414="","",INDEX(伝票元!$P$6:$P$511,$M414))</f>
        <v/>
      </c>
      <c r="B414" s="45" t="str">
        <f aca="false">IF($M414="","",INDEX(伝票元!$D$6:$D$511,$M414))</f>
        <v/>
      </c>
      <c r="C414" s="10" t="str">
        <f aca="false">IF($M414="","",INDEX(伝票元!$E$6:$E$511,$M414))</f>
        <v/>
      </c>
      <c r="D414" s="45" t="str">
        <f aca="false">IF($M414="","",INDEX(伝票元!$A$6:$A$511,$M414))</f>
        <v/>
      </c>
      <c r="E414" s="10" t="str">
        <f aca="false">IF(IF($M414="",0,INDEX(伝票元!$N$6:$N$511,$M414))=1,INDEX(伝票元!$I$6:$I$511,$M414),"")</f>
        <v/>
      </c>
      <c r="F414" s="45" t="str">
        <f aca="false">IF(IF($M414="",0,INDEX(伝票元!$N$6:$N$511,$M414))=1,INDEX(伝票元!$J$6:$J$511,$M414),"")</f>
        <v/>
      </c>
      <c r="G414" s="42" t="str">
        <f aca="false">IF(IF($M414="",0,INDEX(伝票元!$N$6:$N$511,$M414))=1,INDEX(伝票元!$Q$6:$Q$511,$M414),"")</f>
        <v/>
      </c>
      <c r="H414" s="45" t="str">
        <f aca="false">IF($M414="","",INDEX(伝票元!$F$6:$F$511,$M414))</f>
        <v/>
      </c>
      <c r="I414" s="45" t="str">
        <f aca="false">IF($M414="","",INDEX(伝票元!$G$6:$G$511,$M414))</f>
        <v/>
      </c>
      <c r="J414" s="42" t="str">
        <f aca="false">IF($M414="","",INDEX(伝票元!$H$6:$H$511,$M414))</f>
        <v/>
      </c>
      <c r="K414" s="46" t="str">
        <f aca="false">IF(IF($M414="",0,INDEX(伝票元!$N$6:$N$511,$M414))=1,INDEX(伝票元!$R$6:$R$511,$M414),"")</f>
        <v/>
      </c>
      <c r="L414" s="47" t="str">
        <f aca="false">IF($M414="","",INDEX(伝票元!$S$6:$S$511,$M414))</f>
        <v/>
      </c>
      <c r="M414" s="47" t="str">
        <f aca="false">IFERROR(MATCH(408,伝票元!$O$6:$O$511,0),"")</f>
        <v/>
      </c>
    </row>
    <row r="415" customFormat="false" ht="15" hidden="false" customHeight="false" outlineLevel="0" collapsed="false">
      <c r="A415" s="10" t="str">
        <f aca="false">IF($M415="","",INDEX(伝票元!$P$6:$P$511,$M415))</f>
        <v/>
      </c>
      <c r="B415" s="45" t="str">
        <f aca="false">IF($M415="","",INDEX(伝票元!$D$6:$D$511,$M415))</f>
        <v/>
      </c>
      <c r="C415" s="10" t="str">
        <f aca="false">IF($M415="","",INDEX(伝票元!$E$6:$E$511,$M415))</f>
        <v/>
      </c>
      <c r="D415" s="45" t="str">
        <f aca="false">IF($M415="","",INDEX(伝票元!$A$6:$A$511,$M415))</f>
        <v/>
      </c>
      <c r="E415" s="10" t="str">
        <f aca="false">IF(IF($M415="",0,INDEX(伝票元!$N$6:$N$511,$M415))=1,INDEX(伝票元!$I$6:$I$511,$M415),"")</f>
        <v/>
      </c>
      <c r="F415" s="45" t="str">
        <f aca="false">IF(IF($M415="",0,INDEX(伝票元!$N$6:$N$511,$M415))=1,INDEX(伝票元!$J$6:$J$511,$M415),"")</f>
        <v/>
      </c>
      <c r="G415" s="42" t="str">
        <f aca="false">IF(IF($M415="",0,INDEX(伝票元!$N$6:$N$511,$M415))=1,INDEX(伝票元!$Q$6:$Q$511,$M415),"")</f>
        <v/>
      </c>
      <c r="H415" s="45" t="str">
        <f aca="false">IF($M415="","",INDEX(伝票元!$F$6:$F$511,$M415))</f>
        <v/>
      </c>
      <c r="I415" s="45" t="str">
        <f aca="false">IF($M415="","",INDEX(伝票元!$G$6:$G$511,$M415))</f>
        <v/>
      </c>
      <c r="J415" s="42" t="str">
        <f aca="false">IF($M415="","",INDEX(伝票元!$H$6:$H$511,$M415))</f>
        <v/>
      </c>
      <c r="K415" s="46" t="str">
        <f aca="false">IF(IF($M415="",0,INDEX(伝票元!$N$6:$N$511,$M415))=1,INDEX(伝票元!$R$6:$R$511,$M415),"")</f>
        <v/>
      </c>
      <c r="L415" s="47" t="str">
        <f aca="false">IF($M415="","",INDEX(伝票元!$S$6:$S$511,$M415))</f>
        <v/>
      </c>
      <c r="M415" s="47" t="str">
        <f aca="false">IFERROR(MATCH(409,伝票元!$O$6:$O$511,0),"")</f>
        <v/>
      </c>
    </row>
    <row r="416" customFormat="false" ht="15" hidden="false" customHeight="false" outlineLevel="0" collapsed="false">
      <c r="A416" s="10" t="str">
        <f aca="false">IF($M416="","",INDEX(伝票元!$P$6:$P$511,$M416))</f>
        <v/>
      </c>
      <c r="B416" s="45" t="str">
        <f aca="false">IF($M416="","",INDEX(伝票元!$D$6:$D$511,$M416))</f>
        <v/>
      </c>
      <c r="C416" s="10" t="str">
        <f aca="false">IF($M416="","",INDEX(伝票元!$E$6:$E$511,$M416))</f>
        <v/>
      </c>
      <c r="D416" s="45" t="str">
        <f aca="false">IF($M416="","",INDEX(伝票元!$A$6:$A$511,$M416))</f>
        <v/>
      </c>
      <c r="E416" s="10" t="str">
        <f aca="false">IF(IF($M416="",0,INDEX(伝票元!$N$6:$N$511,$M416))=1,INDEX(伝票元!$I$6:$I$511,$M416),"")</f>
        <v/>
      </c>
      <c r="F416" s="45" t="str">
        <f aca="false">IF(IF($M416="",0,INDEX(伝票元!$N$6:$N$511,$M416))=1,INDEX(伝票元!$J$6:$J$511,$M416),"")</f>
        <v/>
      </c>
      <c r="G416" s="42" t="str">
        <f aca="false">IF(IF($M416="",0,INDEX(伝票元!$N$6:$N$511,$M416))=1,INDEX(伝票元!$Q$6:$Q$511,$M416),"")</f>
        <v/>
      </c>
      <c r="H416" s="45" t="str">
        <f aca="false">IF($M416="","",INDEX(伝票元!$F$6:$F$511,$M416))</f>
        <v/>
      </c>
      <c r="I416" s="45" t="str">
        <f aca="false">IF($M416="","",INDEX(伝票元!$G$6:$G$511,$M416))</f>
        <v/>
      </c>
      <c r="J416" s="42" t="str">
        <f aca="false">IF($M416="","",INDEX(伝票元!$H$6:$H$511,$M416))</f>
        <v/>
      </c>
      <c r="K416" s="46" t="str">
        <f aca="false">IF(IF($M416="",0,INDEX(伝票元!$N$6:$N$511,$M416))=1,INDEX(伝票元!$R$6:$R$511,$M416),"")</f>
        <v/>
      </c>
      <c r="L416" s="47" t="str">
        <f aca="false">IF($M416="","",INDEX(伝票元!$S$6:$S$511,$M416))</f>
        <v/>
      </c>
      <c r="M416" s="47" t="str">
        <f aca="false">IFERROR(MATCH(410,伝票元!$O$6:$O$511,0),"")</f>
        <v/>
      </c>
    </row>
    <row r="417" customFormat="false" ht="15" hidden="false" customHeight="false" outlineLevel="0" collapsed="false">
      <c r="A417" s="10" t="str">
        <f aca="false">IF($M417="","",INDEX(伝票元!$P$6:$P$511,$M417))</f>
        <v/>
      </c>
      <c r="B417" s="45" t="str">
        <f aca="false">IF($M417="","",INDEX(伝票元!$D$6:$D$511,$M417))</f>
        <v/>
      </c>
      <c r="C417" s="10" t="str">
        <f aca="false">IF($M417="","",INDEX(伝票元!$E$6:$E$511,$M417))</f>
        <v/>
      </c>
      <c r="D417" s="45" t="str">
        <f aca="false">IF($M417="","",INDEX(伝票元!$A$6:$A$511,$M417))</f>
        <v/>
      </c>
      <c r="E417" s="10" t="str">
        <f aca="false">IF(IF($M417="",0,INDEX(伝票元!$N$6:$N$511,$M417))=1,INDEX(伝票元!$I$6:$I$511,$M417),"")</f>
        <v/>
      </c>
      <c r="F417" s="45" t="str">
        <f aca="false">IF(IF($M417="",0,INDEX(伝票元!$N$6:$N$511,$M417))=1,INDEX(伝票元!$J$6:$J$511,$M417),"")</f>
        <v/>
      </c>
      <c r="G417" s="42" t="str">
        <f aca="false">IF(IF($M417="",0,INDEX(伝票元!$N$6:$N$511,$M417))=1,INDEX(伝票元!$Q$6:$Q$511,$M417),"")</f>
        <v/>
      </c>
      <c r="H417" s="45" t="str">
        <f aca="false">IF($M417="","",INDEX(伝票元!$F$6:$F$511,$M417))</f>
        <v/>
      </c>
      <c r="I417" s="45" t="str">
        <f aca="false">IF($M417="","",INDEX(伝票元!$G$6:$G$511,$M417))</f>
        <v/>
      </c>
      <c r="J417" s="42" t="str">
        <f aca="false">IF($M417="","",INDEX(伝票元!$H$6:$H$511,$M417))</f>
        <v/>
      </c>
      <c r="K417" s="46" t="str">
        <f aca="false">IF(IF($M417="",0,INDEX(伝票元!$N$6:$N$511,$M417))=1,INDEX(伝票元!$R$6:$R$511,$M417),"")</f>
        <v/>
      </c>
      <c r="L417" s="47" t="str">
        <f aca="false">IF($M417="","",INDEX(伝票元!$S$6:$S$511,$M417))</f>
        <v/>
      </c>
      <c r="M417" s="47" t="str">
        <f aca="false">IFERROR(MATCH(411,伝票元!$O$6:$O$511,0),"")</f>
        <v/>
      </c>
    </row>
    <row r="418" customFormat="false" ht="15" hidden="false" customHeight="false" outlineLevel="0" collapsed="false">
      <c r="A418" s="10" t="str">
        <f aca="false">IF($M418="","",INDEX(伝票元!$P$6:$P$511,$M418))</f>
        <v/>
      </c>
      <c r="B418" s="45" t="str">
        <f aca="false">IF($M418="","",INDEX(伝票元!$D$6:$D$511,$M418))</f>
        <v/>
      </c>
      <c r="C418" s="10" t="str">
        <f aca="false">IF($M418="","",INDEX(伝票元!$E$6:$E$511,$M418))</f>
        <v/>
      </c>
      <c r="D418" s="45" t="str">
        <f aca="false">IF($M418="","",INDEX(伝票元!$A$6:$A$511,$M418))</f>
        <v/>
      </c>
      <c r="E418" s="10" t="str">
        <f aca="false">IF(IF($M418="",0,INDEX(伝票元!$N$6:$N$511,$M418))=1,INDEX(伝票元!$I$6:$I$511,$M418),"")</f>
        <v/>
      </c>
      <c r="F418" s="45" t="str">
        <f aca="false">IF(IF($M418="",0,INDEX(伝票元!$N$6:$N$511,$M418))=1,INDEX(伝票元!$J$6:$J$511,$M418),"")</f>
        <v/>
      </c>
      <c r="G418" s="42" t="str">
        <f aca="false">IF(IF($M418="",0,INDEX(伝票元!$N$6:$N$511,$M418))=1,INDEX(伝票元!$Q$6:$Q$511,$M418),"")</f>
        <v/>
      </c>
      <c r="H418" s="45" t="str">
        <f aca="false">IF($M418="","",INDEX(伝票元!$F$6:$F$511,$M418))</f>
        <v/>
      </c>
      <c r="I418" s="45" t="str">
        <f aca="false">IF($M418="","",INDEX(伝票元!$G$6:$G$511,$M418))</f>
        <v/>
      </c>
      <c r="J418" s="42" t="str">
        <f aca="false">IF($M418="","",INDEX(伝票元!$H$6:$H$511,$M418))</f>
        <v/>
      </c>
      <c r="K418" s="46" t="str">
        <f aca="false">IF(IF($M418="",0,INDEX(伝票元!$N$6:$N$511,$M418))=1,INDEX(伝票元!$R$6:$R$511,$M418),"")</f>
        <v/>
      </c>
      <c r="L418" s="47" t="str">
        <f aca="false">IF($M418="","",INDEX(伝票元!$S$6:$S$511,$M418))</f>
        <v/>
      </c>
      <c r="M418" s="47" t="str">
        <f aca="false">IFERROR(MATCH(412,伝票元!$O$6:$O$511,0),"")</f>
        <v/>
      </c>
    </row>
    <row r="419" customFormat="false" ht="15" hidden="false" customHeight="false" outlineLevel="0" collapsed="false">
      <c r="A419" s="10" t="str">
        <f aca="false">IF($M419="","",INDEX(伝票元!$P$6:$P$511,$M419))</f>
        <v/>
      </c>
      <c r="B419" s="45" t="str">
        <f aca="false">IF($M419="","",INDEX(伝票元!$D$6:$D$511,$M419))</f>
        <v/>
      </c>
      <c r="C419" s="10" t="str">
        <f aca="false">IF($M419="","",INDEX(伝票元!$E$6:$E$511,$M419))</f>
        <v/>
      </c>
      <c r="D419" s="45" t="str">
        <f aca="false">IF($M419="","",INDEX(伝票元!$A$6:$A$511,$M419))</f>
        <v/>
      </c>
      <c r="E419" s="10" t="str">
        <f aca="false">IF(IF($M419="",0,INDEX(伝票元!$N$6:$N$511,$M419))=1,INDEX(伝票元!$I$6:$I$511,$M419),"")</f>
        <v/>
      </c>
      <c r="F419" s="45" t="str">
        <f aca="false">IF(IF($M419="",0,INDEX(伝票元!$N$6:$N$511,$M419))=1,INDEX(伝票元!$J$6:$J$511,$M419),"")</f>
        <v/>
      </c>
      <c r="G419" s="42" t="str">
        <f aca="false">IF(IF($M419="",0,INDEX(伝票元!$N$6:$N$511,$M419))=1,INDEX(伝票元!$Q$6:$Q$511,$M419),"")</f>
        <v/>
      </c>
      <c r="H419" s="45" t="str">
        <f aca="false">IF($M419="","",INDEX(伝票元!$F$6:$F$511,$M419))</f>
        <v/>
      </c>
      <c r="I419" s="45" t="str">
        <f aca="false">IF($M419="","",INDEX(伝票元!$G$6:$G$511,$M419))</f>
        <v/>
      </c>
      <c r="J419" s="42" t="str">
        <f aca="false">IF($M419="","",INDEX(伝票元!$H$6:$H$511,$M419))</f>
        <v/>
      </c>
      <c r="K419" s="46" t="str">
        <f aca="false">IF(IF($M419="",0,INDEX(伝票元!$N$6:$N$511,$M419))=1,INDEX(伝票元!$R$6:$R$511,$M419),"")</f>
        <v/>
      </c>
      <c r="L419" s="47" t="str">
        <f aca="false">IF($M419="","",INDEX(伝票元!$S$6:$S$511,$M419))</f>
        <v/>
      </c>
      <c r="M419" s="47" t="str">
        <f aca="false">IFERROR(MATCH(413,伝票元!$O$6:$O$511,0),"")</f>
        <v/>
      </c>
    </row>
    <row r="420" customFormat="false" ht="15" hidden="false" customHeight="false" outlineLevel="0" collapsed="false">
      <c r="A420" s="10" t="str">
        <f aca="false">IF($M420="","",INDEX(伝票元!$P$6:$P$511,$M420))</f>
        <v/>
      </c>
      <c r="B420" s="45" t="str">
        <f aca="false">IF($M420="","",INDEX(伝票元!$D$6:$D$511,$M420))</f>
        <v/>
      </c>
      <c r="C420" s="10" t="str">
        <f aca="false">IF($M420="","",INDEX(伝票元!$E$6:$E$511,$M420))</f>
        <v/>
      </c>
      <c r="D420" s="45" t="str">
        <f aca="false">IF($M420="","",INDEX(伝票元!$A$6:$A$511,$M420))</f>
        <v/>
      </c>
      <c r="E420" s="10" t="str">
        <f aca="false">IF(IF($M420="",0,INDEX(伝票元!$N$6:$N$511,$M420))=1,INDEX(伝票元!$I$6:$I$511,$M420),"")</f>
        <v/>
      </c>
      <c r="F420" s="45" t="str">
        <f aca="false">IF(IF($M420="",0,INDEX(伝票元!$N$6:$N$511,$M420))=1,INDEX(伝票元!$J$6:$J$511,$M420),"")</f>
        <v/>
      </c>
      <c r="G420" s="42" t="str">
        <f aca="false">IF(IF($M420="",0,INDEX(伝票元!$N$6:$N$511,$M420))=1,INDEX(伝票元!$Q$6:$Q$511,$M420),"")</f>
        <v/>
      </c>
      <c r="H420" s="45" t="str">
        <f aca="false">IF($M420="","",INDEX(伝票元!$F$6:$F$511,$M420))</f>
        <v/>
      </c>
      <c r="I420" s="45" t="str">
        <f aca="false">IF($M420="","",INDEX(伝票元!$G$6:$G$511,$M420))</f>
        <v/>
      </c>
      <c r="J420" s="42" t="str">
        <f aca="false">IF($M420="","",INDEX(伝票元!$H$6:$H$511,$M420))</f>
        <v/>
      </c>
      <c r="K420" s="46" t="str">
        <f aca="false">IF(IF($M420="",0,INDEX(伝票元!$N$6:$N$511,$M420))=1,INDEX(伝票元!$R$6:$R$511,$M420),"")</f>
        <v/>
      </c>
      <c r="L420" s="47" t="str">
        <f aca="false">IF($M420="","",INDEX(伝票元!$S$6:$S$511,$M420))</f>
        <v/>
      </c>
      <c r="M420" s="47" t="str">
        <f aca="false">IFERROR(MATCH(414,伝票元!$O$6:$O$511,0),"")</f>
        <v/>
      </c>
    </row>
    <row r="421" customFormat="false" ht="15" hidden="false" customHeight="false" outlineLevel="0" collapsed="false">
      <c r="A421" s="10" t="str">
        <f aca="false">IF($M421="","",INDEX(伝票元!$P$6:$P$511,$M421))</f>
        <v/>
      </c>
      <c r="B421" s="45" t="str">
        <f aca="false">IF($M421="","",INDEX(伝票元!$D$6:$D$511,$M421))</f>
        <v/>
      </c>
      <c r="C421" s="10" t="str">
        <f aca="false">IF($M421="","",INDEX(伝票元!$E$6:$E$511,$M421))</f>
        <v/>
      </c>
      <c r="D421" s="45" t="str">
        <f aca="false">IF($M421="","",INDEX(伝票元!$A$6:$A$511,$M421))</f>
        <v/>
      </c>
      <c r="E421" s="10" t="str">
        <f aca="false">IF(IF($M421="",0,INDEX(伝票元!$N$6:$N$511,$M421))=1,INDEX(伝票元!$I$6:$I$511,$M421),"")</f>
        <v/>
      </c>
      <c r="F421" s="45" t="str">
        <f aca="false">IF(IF($M421="",0,INDEX(伝票元!$N$6:$N$511,$M421))=1,INDEX(伝票元!$J$6:$J$511,$M421),"")</f>
        <v/>
      </c>
      <c r="G421" s="42" t="str">
        <f aca="false">IF(IF($M421="",0,INDEX(伝票元!$N$6:$N$511,$M421))=1,INDEX(伝票元!$Q$6:$Q$511,$M421),"")</f>
        <v/>
      </c>
      <c r="H421" s="45" t="str">
        <f aca="false">IF($M421="","",INDEX(伝票元!$F$6:$F$511,$M421))</f>
        <v/>
      </c>
      <c r="I421" s="45" t="str">
        <f aca="false">IF($M421="","",INDEX(伝票元!$G$6:$G$511,$M421))</f>
        <v/>
      </c>
      <c r="J421" s="42" t="str">
        <f aca="false">IF($M421="","",INDEX(伝票元!$H$6:$H$511,$M421))</f>
        <v/>
      </c>
      <c r="K421" s="46" t="str">
        <f aca="false">IF(IF($M421="",0,INDEX(伝票元!$N$6:$N$511,$M421))=1,INDEX(伝票元!$R$6:$R$511,$M421),"")</f>
        <v/>
      </c>
      <c r="L421" s="47" t="str">
        <f aca="false">IF($M421="","",INDEX(伝票元!$S$6:$S$511,$M421))</f>
        <v/>
      </c>
      <c r="M421" s="47" t="str">
        <f aca="false">IFERROR(MATCH(415,伝票元!$O$6:$O$511,0),"")</f>
        <v/>
      </c>
    </row>
    <row r="422" customFormat="false" ht="15" hidden="false" customHeight="false" outlineLevel="0" collapsed="false">
      <c r="A422" s="10" t="str">
        <f aca="false">IF($M422="","",INDEX(伝票元!$P$6:$P$511,$M422))</f>
        <v/>
      </c>
      <c r="B422" s="45" t="str">
        <f aca="false">IF($M422="","",INDEX(伝票元!$D$6:$D$511,$M422))</f>
        <v/>
      </c>
      <c r="C422" s="10" t="str">
        <f aca="false">IF($M422="","",INDEX(伝票元!$E$6:$E$511,$M422))</f>
        <v/>
      </c>
      <c r="D422" s="45" t="str">
        <f aca="false">IF($M422="","",INDEX(伝票元!$A$6:$A$511,$M422))</f>
        <v/>
      </c>
      <c r="E422" s="10" t="str">
        <f aca="false">IF(IF($M422="",0,INDEX(伝票元!$N$6:$N$511,$M422))=1,INDEX(伝票元!$I$6:$I$511,$M422),"")</f>
        <v/>
      </c>
      <c r="F422" s="45" t="str">
        <f aca="false">IF(IF($M422="",0,INDEX(伝票元!$N$6:$N$511,$M422))=1,INDEX(伝票元!$J$6:$J$511,$M422),"")</f>
        <v/>
      </c>
      <c r="G422" s="42" t="str">
        <f aca="false">IF(IF($M422="",0,INDEX(伝票元!$N$6:$N$511,$M422))=1,INDEX(伝票元!$Q$6:$Q$511,$M422),"")</f>
        <v/>
      </c>
      <c r="H422" s="45" t="str">
        <f aca="false">IF($M422="","",INDEX(伝票元!$F$6:$F$511,$M422))</f>
        <v/>
      </c>
      <c r="I422" s="45" t="str">
        <f aca="false">IF($M422="","",INDEX(伝票元!$G$6:$G$511,$M422))</f>
        <v/>
      </c>
      <c r="J422" s="42" t="str">
        <f aca="false">IF($M422="","",INDEX(伝票元!$H$6:$H$511,$M422))</f>
        <v/>
      </c>
      <c r="K422" s="46" t="str">
        <f aca="false">IF(IF($M422="",0,INDEX(伝票元!$N$6:$N$511,$M422))=1,INDEX(伝票元!$R$6:$R$511,$M422),"")</f>
        <v/>
      </c>
      <c r="L422" s="47" t="str">
        <f aca="false">IF($M422="","",INDEX(伝票元!$S$6:$S$511,$M422))</f>
        <v/>
      </c>
      <c r="M422" s="47" t="str">
        <f aca="false">IFERROR(MATCH(416,伝票元!$O$6:$O$511,0),"")</f>
        <v/>
      </c>
    </row>
    <row r="423" customFormat="false" ht="15" hidden="false" customHeight="false" outlineLevel="0" collapsed="false">
      <c r="A423" s="10" t="str">
        <f aca="false">IF($M423="","",INDEX(伝票元!$P$6:$P$511,$M423))</f>
        <v/>
      </c>
      <c r="B423" s="45" t="str">
        <f aca="false">IF($M423="","",INDEX(伝票元!$D$6:$D$511,$M423))</f>
        <v/>
      </c>
      <c r="C423" s="10" t="str">
        <f aca="false">IF($M423="","",INDEX(伝票元!$E$6:$E$511,$M423))</f>
        <v/>
      </c>
      <c r="D423" s="45" t="str">
        <f aca="false">IF($M423="","",INDEX(伝票元!$A$6:$A$511,$M423))</f>
        <v/>
      </c>
      <c r="E423" s="10" t="str">
        <f aca="false">IF(IF($M423="",0,INDEX(伝票元!$N$6:$N$511,$M423))=1,INDEX(伝票元!$I$6:$I$511,$M423),"")</f>
        <v/>
      </c>
      <c r="F423" s="45" t="str">
        <f aca="false">IF(IF($M423="",0,INDEX(伝票元!$N$6:$N$511,$M423))=1,INDEX(伝票元!$J$6:$J$511,$M423),"")</f>
        <v/>
      </c>
      <c r="G423" s="42" t="str">
        <f aca="false">IF(IF($M423="",0,INDEX(伝票元!$N$6:$N$511,$M423))=1,INDEX(伝票元!$Q$6:$Q$511,$M423),"")</f>
        <v/>
      </c>
      <c r="H423" s="45" t="str">
        <f aca="false">IF($M423="","",INDEX(伝票元!$F$6:$F$511,$M423))</f>
        <v/>
      </c>
      <c r="I423" s="45" t="str">
        <f aca="false">IF($M423="","",INDEX(伝票元!$G$6:$G$511,$M423))</f>
        <v/>
      </c>
      <c r="J423" s="42" t="str">
        <f aca="false">IF($M423="","",INDEX(伝票元!$H$6:$H$511,$M423))</f>
        <v/>
      </c>
      <c r="K423" s="46" t="str">
        <f aca="false">IF(IF($M423="",0,INDEX(伝票元!$N$6:$N$511,$M423))=1,INDEX(伝票元!$R$6:$R$511,$M423),"")</f>
        <v/>
      </c>
      <c r="L423" s="47" t="str">
        <f aca="false">IF($M423="","",INDEX(伝票元!$S$6:$S$511,$M423))</f>
        <v/>
      </c>
      <c r="M423" s="47" t="str">
        <f aca="false">IFERROR(MATCH(417,伝票元!$O$6:$O$511,0),"")</f>
        <v/>
      </c>
    </row>
    <row r="424" customFormat="false" ht="15" hidden="false" customHeight="false" outlineLevel="0" collapsed="false">
      <c r="A424" s="10" t="str">
        <f aca="false">IF($M424="","",INDEX(伝票元!$P$6:$P$511,$M424))</f>
        <v/>
      </c>
      <c r="B424" s="45" t="str">
        <f aca="false">IF($M424="","",INDEX(伝票元!$D$6:$D$511,$M424))</f>
        <v/>
      </c>
      <c r="C424" s="10" t="str">
        <f aca="false">IF($M424="","",INDEX(伝票元!$E$6:$E$511,$M424))</f>
        <v/>
      </c>
      <c r="D424" s="45" t="str">
        <f aca="false">IF($M424="","",INDEX(伝票元!$A$6:$A$511,$M424))</f>
        <v/>
      </c>
      <c r="E424" s="10" t="str">
        <f aca="false">IF(IF($M424="",0,INDEX(伝票元!$N$6:$N$511,$M424))=1,INDEX(伝票元!$I$6:$I$511,$M424),"")</f>
        <v/>
      </c>
      <c r="F424" s="45" t="str">
        <f aca="false">IF(IF($M424="",0,INDEX(伝票元!$N$6:$N$511,$M424))=1,INDEX(伝票元!$J$6:$J$511,$M424),"")</f>
        <v/>
      </c>
      <c r="G424" s="42" t="str">
        <f aca="false">IF(IF($M424="",0,INDEX(伝票元!$N$6:$N$511,$M424))=1,INDEX(伝票元!$Q$6:$Q$511,$M424),"")</f>
        <v/>
      </c>
      <c r="H424" s="45" t="str">
        <f aca="false">IF($M424="","",INDEX(伝票元!$F$6:$F$511,$M424))</f>
        <v/>
      </c>
      <c r="I424" s="45" t="str">
        <f aca="false">IF($M424="","",INDEX(伝票元!$G$6:$G$511,$M424))</f>
        <v/>
      </c>
      <c r="J424" s="42" t="str">
        <f aca="false">IF($M424="","",INDEX(伝票元!$H$6:$H$511,$M424))</f>
        <v/>
      </c>
      <c r="K424" s="46" t="str">
        <f aca="false">IF(IF($M424="",0,INDEX(伝票元!$N$6:$N$511,$M424))=1,INDEX(伝票元!$R$6:$R$511,$M424),"")</f>
        <v/>
      </c>
      <c r="L424" s="47" t="str">
        <f aca="false">IF($M424="","",INDEX(伝票元!$S$6:$S$511,$M424))</f>
        <v/>
      </c>
      <c r="M424" s="47" t="str">
        <f aca="false">IFERROR(MATCH(418,伝票元!$O$6:$O$511,0),"")</f>
        <v/>
      </c>
    </row>
    <row r="425" customFormat="false" ht="15" hidden="false" customHeight="false" outlineLevel="0" collapsed="false">
      <c r="A425" s="10" t="str">
        <f aca="false">IF($M425="","",INDEX(伝票元!$P$6:$P$511,$M425))</f>
        <v/>
      </c>
      <c r="B425" s="45" t="str">
        <f aca="false">IF($M425="","",INDEX(伝票元!$D$6:$D$511,$M425))</f>
        <v/>
      </c>
      <c r="C425" s="10" t="str">
        <f aca="false">IF($M425="","",INDEX(伝票元!$E$6:$E$511,$M425))</f>
        <v/>
      </c>
      <c r="D425" s="45" t="str">
        <f aca="false">IF($M425="","",INDEX(伝票元!$A$6:$A$511,$M425))</f>
        <v/>
      </c>
      <c r="E425" s="10" t="str">
        <f aca="false">IF(IF($M425="",0,INDEX(伝票元!$N$6:$N$511,$M425))=1,INDEX(伝票元!$I$6:$I$511,$M425),"")</f>
        <v/>
      </c>
      <c r="F425" s="45" t="str">
        <f aca="false">IF(IF($M425="",0,INDEX(伝票元!$N$6:$N$511,$M425))=1,INDEX(伝票元!$J$6:$J$511,$M425),"")</f>
        <v/>
      </c>
      <c r="G425" s="42" t="str">
        <f aca="false">IF(IF($M425="",0,INDEX(伝票元!$N$6:$N$511,$M425))=1,INDEX(伝票元!$Q$6:$Q$511,$M425),"")</f>
        <v/>
      </c>
      <c r="H425" s="45" t="str">
        <f aca="false">IF($M425="","",INDEX(伝票元!$F$6:$F$511,$M425))</f>
        <v/>
      </c>
      <c r="I425" s="45" t="str">
        <f aca="false">IF($M425="","",INDEX(伝票元!$G$6:$G$511,$M425))</f>
        <v/>
      </c>
      <c r="J425" s="42" t="str">
        <f aca="false">IF($M425="","",INDEX(伝票元!$H$6:$H$511,$M425))</f>
        <v/>
      </c>
      <c r="K425" s="46" t="str">
        <f aca="false">IF(IF($M425="",0,INDEX(伝票元!$N$6:$N$511,$M425))=1,INDEX(伝票元!$R$6:$R$511,$M425),"")</f>
        <v/>
      </c>
      <c r="L425" s="47" t="str">
        <f aca="false">IF($M425="","",INDEX(伝票元!$S$6:$S$511,$M425))</f>
        <v/>
      </c>
      <c r="M425" s="47" t="str">
        <f aca="false">IFERROR(MATCH(419,伝票元!$O$6:$O$511,0),"")</f>
        <v/>
      </c>
    </row>
    <row r="426" customFormat="false" ht="15" hidden="false" customHeight="false" outlineLevel="0" collapsed="false">
      <c r="A426" s="10" t="str">
        <f aca="false">IF($M426="","",INDEX(伝票元!$P$6:$P$511,$M426))</f>
        <v/>
      </c>
      <c r="B426" s="45" t="str">
        <f aca="false">IF($M426="","",INDEX(伝票元!$D$6:$D$511,$M426))</f>
        <v/>
      </c>
      <c r="C426" s="10" t="str">
        <f aca="false">IF($M426="","",INDEX(伝票元!$E$6:$E$511,$M426))</f>
        <v/>
      </c>
      <c r="D426" s="45" t="str">
        <f aca="false">IF($M426="","",INDEX(伝票元!$A$6:$A$511,$M426))</f>
        <v/>
      </c>
      <c r="E426" s="10" t="str">
        <f aca="false">IF(IF($M426="",0,INDEX(伝票元!$N$6:$N$511,$M426))=1,INDEX(伝票元!$I$6:$I$511,$M426),"")</f>
        <v/>
      </c>
      <c r="F426" s="45" t="str">
        <f aca="false">IF(IF($M426="",0,INDEX(伝票元!$N$6:$N$511,$M426))=1,INDEX(伝票元!$J$6:$J$511,$M426),"")</f>
        <v/>
      </c>
      <c r="G426" s="42" t="str">
        <f aca="false">IF(IF($M426="",0,INDEX(伝票元!$N$6:$N$511,$M426))=1,INDEX(伝票元!$Q$6:$Q$511,$M426),"")</f>
        <v/>
      </c>
      <c r="H426" s="45" t="str">
        <f aca="false">IF($M426="","",INDEX(伝票元!$F$6:$F$511,$M426))</f>
        <v/>
      </c>
      <c r="I426" s="45" t="str">
        <f aca="false">IF($M426="","",INDEX(伝票元!$G$6:$G$511,$M426))</f>
        <v/>
      </c>
      <c r="J426" s="42" t="str">
        <f aca="false">IF($M426="","",INDEX(伝票元!$H$6:$H$511,$M426))</f>
        <v/>
      </c>
      <c r="K426" s="46" t="str">
        <f aca="false">IF(IF($M426="",0,INDEX(伝票元!$N$6:$N$511,$M426))=1,INDEX(伝票元!$R$6:$R$511,$M426),"")</f>
        <v/>
      </c>
      <c r="L426" s="47" t="str">
        <f aca="false">IF($M426="","",INDEX(伝票元!$S$6:$S$511,$M426))</f>
        <v/>
      </c>
      <c r="M426" s="47" t="str">
        <f aca="false">IFERROR(MATCH(420,伝票元!$O$6:$O$511,0),"")</f>
        <v/>
      </c>
    </row>
    <row r="427" customFormat="false" ht="15" hidden="false" customHeight="false" outlineLevel="0" collapsed="false">
      <c r="A427" s="10" t="str">
        <f aca="false">IF($M427="","",INDEX(伝票元!$P$6:$P$511,$M427))</f>
        <v/>
      </c>
      <c r="B427" s="45" t="str">
        <f aca="false">IF($M427="","",INDEX(伝票元!$D$6:$D$511,$M427))</f>
        <v/>
      </c>
      <c r="C427" s="10" t="str">
        <f aca="false">IF($M427="","",INDEX(伝票元!$E$6:$E$511,$M427))</f>
        <v/>
      </c>
      <c r="D427" s="45" t="str">
        <f aca="false">IF($M427="","",INDEX(伝票元!$A$6:$A$511,$M427))</f>
        <v/>
      </c>
      <c r="E427" s="10" t="str">
        <f aca="false">IF(IF($M427="",0,INDEX(伝票元!$N$6:$N$511,$M427))=1,INDEX(伝票元!$I$6:$I$511,$M427),"")</f>
        <v/>
      </c>
      <c r="F427" s="45" t="str">
        <f aca="false">IF(IF($M427="",0,INDEX(伝票元!$N$6:$N$511,$M427))=1,INDEX(伝票元!$J$6:$J$511,$M427),"")</f>
        <v/>
      </c>
      <c r="G427" s="42" t="str">
        <f aca="false">IF(IF($M427="",0,INDEX(伝票元!$N$6:$N$511,$M427))=1,INDEX(伝票元!$Q$6:$Q$511,$M427),"")</f>
        <v/>
      </c>
      <c r="H427" s="45" t="str">
        <f aca="false">IF($M427="","",INDEX(伝票元!$F$6:$F$511,$M427))</f>
        <v/>
      </c>
      <c r="I427" s="45" t="str">
        <f aca="false">IF($M427="","",INDEX(伝票元!$G$6:$G$511,$M427))</f>
        <v/>
      </c>
      <c r="J427" s="42" t="str">
        <f aca="false">IF($M427="","",INDEX(伝票元!$H$6:$H$511,$M427))</f>
        <v/>
      </c>
      <c r="K427" s="46" t="str">
        <f aca="false">IF(IF($M427="",0,INDEX(伝票元!$N$6:$N$511,$M427))=1,INDEX(伝票元!$R$6:$R$511,$M427),"")</f>
        <v/>
      </c>
      <c r="L427" s="47" t="str">
        <f aca="false">IF($M427="","",INDEX(伝票元!$S$6:$S$511,$M427))</f>
        <v/>
      </c>
      <c r="M427" s="47" t="str">
        <f aca="false">IFERROR(MATCH(421,伝票元!$O$6:$O$511,0),"")</f>
        <v/>
      </c>
    </row>
    <row r="428" customFormat="false" ht="15" hidden="false" customHeight="false" outlineLevel="0" collapsed="false">
      <c r="A428" s="10" t="str">
        <f aca="false">IF($M428="","",INDEX(伝票元!$P$6:$P$511,$M428))</f>
        <v/>
      </c>
      <c r="B428" s="45" t="str">
        <f aca="false">IF($M428="","",INDEX(伝票元!$D$6:$D$511,$M428))</f>
        <v/>
      </c>
      <c r="C428" s="10" t="str">
        <f aca="false">IF($M428="","",INDEX(伝票元!$E$6:$E$511,$M428))</f>
        <v/>
      </c>
      <c r="D428" s="45" t="str">
        <f aca="false">IF($M428="","",INDEX(伝票元!$A$6:$A$511,$M428))</f>
        <v/>
      </c>
      <c r="E428" s="10" t="str">
        <f aca="false">IF(IF($M428="",0,INDEX(伝票元!$N$6:$N$511,$M428))=1,INDEX(伝票元!$I$6:$I$511,$M428),"")</f>
        <v/>
      </c>
      <c r="F428" s="45" t="str">
        <f aca="false">IF(IF($M428="",0,INDEX(伝票元!$N$6:$N$511,$M428))=1,INDEX(伝票元!$J$6:$J$511,$M428),"")</f>
        <v/>
      </c>
      <c r="G428" s="42" t="str">
        <f aca="false">IF(IF($M428="",0,INDEX(伝票元!$N$6:$N$511,$M428))=1,INDEX(伝票元!$Q$6:$Q$511,$M428),"")</f>
        <v/>
      </c>
      <c r="H428" s="45" t="str">
        <f aca="false">IF($M428="","",INDEX(伝票元!$F$6:$F$511,$M428))</f>
        <v/>
      </c>
      <c r="I428" s="45" t="str">
        <f aca="false">IF($M428="","",INDEX(伝票元!$G$6:$G$511,$M428))</f>
        <v/>
      </c>
      <c r="J428" s="42" t="str">
        <f aca="false">IF($M428="","",INDEX(伝票元!$H$6:$H$511,$M428))</f>
        <v/>
      </c>
      <c r="K428" s="46" t="str">
        <f aca="false">IF(IF($M428="",0,INDEX(伝票元!$N$6:$N$511,$M428))=1,INDEX(伝票元!$R$6:$R$511,$M428),"")</f>
        <v/>
      </c>
      <c r="L428" s="47" t="str">
        <f aca="false">IF($M428="","",INDEX(伝票元!$S$6:$S$511,$M428))</f>
        <v/>
      </c>
      <c r="M428" s="47" t="str">
        <f aca="false">IFERROR(MATCH(422,伝票元!$O$6:$O$511,0),"")</f>
        <v/>
      </c>
    </row>
    <row r="429" customFormat="false" ht="15" hidden="false" customHeight="false" outlineLevel="0" collapsed="false">
      <c r="A429" s="10" t="str">
        <f aca="false">IF($M429="","",INDEX(伝票元!$P$6:$P$511,$M429))</f>
        <v/>
      </c>
      <c r="B429" s="45" t="str">
        <f aca="false">IF($M429="","",INDEX(伝票元!$D$6:$D$511,$M429))</f>
        <v/>
      </c>
      <c r="C429" s="10" t="str">
        <f aca="false">IF($M429="","",INDEX(伝票元!$E$6:$E$511,$M429))</f>
        <v/>
      </c>
      <c r="D429" s="45" t="str">
        <f aca="false">IF($M429="","",INDEX(伝票元!$A$6:$A$511,$M429))</f>
        <v/>
      </c>
      <c r="E429" s="10" t="str">
        <f aca="false">IF(IF($M429="",0,INDEX(伝票元!$N$6:$N$511,$M429))=1,INDEX(伝票元!$I$6:$I$511,$M429),"")</f>
        <v/>
      </c>
      <c r="F429" s="45" t="str">
        <f aca="false">IF(IF($M429="",0,INDEX(伝票元!$N$6:$N$511,$M429))=1,INDEX(伝票元!$J$6:$J$511,$M429),"")</f>
        <v/>
      </c>
      <c r="G429" s="42" t="str">
        <f aca="false">IF(IF($M429="",0,INDEX(伝票元!$N$6:$N$511,$M429))=1,INDEX(伝票元!$Q$6:$Q$511,$M429),"")</f>
        <v/>
      </c>
      <c r="H429" s="45" t="str">
        <f aca="false">IF($M429="","",INDEX(伝票元!$F$6:$F$511,$M429))</f>
        <v/>
      </c>
      <c r="I429" s="45" t="str">
        <f aca="false">IF($M429="","",INDEX(伝票元!$G$6:$G$511,$M429))</f>
        <v/>
      </c>
      <c r="J429" s="42" t="str">
        <f aca="false">IF($M429="","",INDEX(伝票元!$H$6:$H$511,$M429))</f>
        <v/>
      </c>
      <c r="K429" s="46" t="str">
        <f aca="false">IF(IF($M429="",0,INDEX(伝票元!$N$6:$N$511,$M429))=1,INDEX(伝票元!$R$6:$R$511,$M429),"")</f>
        <v/>
      </c>
      <c r="L429" s="47" t="str">
        <f aca="false">IF($M429="","",INDEX(伝票元!$S$6:$S$511,$M429))</f>
        <v/>
      </c>
      <c r="M429" s="47" t="str">
        <f aca="false">IFERROR(MATCH(423,伝票元!$O$6:$O$511,0),"")</f>
        <v/>
      </c>
    </row>
    <row r="430" customFormat="false" ht="15" hidden="false" customHeight="false" outlineLevel="0" collapsed="false">
      <c r="A430" s="10" t="str">
        <f aca="false">IF($M430="","",INDEX(伝票元!$P$6:$P$511,$M430))</f>
        <v/>
      </c>
      <c r="B430" s="45" t="str">
        <f aca="false">IF($M430="","",INDEX(伝票元!$D$6:$D$511,$M430))</f>
        <v/>
      </c>
      <c r="C430" s="10" t="str">
        <f aca="false">IF($M430="","",INDEX(伝票元!$E$6:$E$511,$M430))</f>
        <v/>
      </c>
      <c r="D430" s="45" t="str">
        <f aca="false">IF($M430="","",INDEX(伝票元!$A$6:$A$511,$M430))</f>
        <v/>
      </c>
      <c r="E430" s="10" t="str">
        <f aca="false">IF(IF($M430="",0,INDEX(伝票元!$N$6:$N$511,$M430))=1,INDEX(伝票元!$I$6:$I$511,$M430),"")</f>
        <v/>
      </c>
      <c r="F430" s="45" t="str">
        <f aca="false">IF(IF($M430="",0,INDEX(伝票元!$N$6:$N$511,$M430))=1,INDEX(伝票元!$J$6:$J$511,$M430),"")</f>
        <v/>
      </c>
      <c r="G430" s="42" t="str">
        <f aca="false">IF(IF($M430="",0,INDEX(伝票元!$N$6:$N$511,$M430))=1,INDEX(伝票元!$Q$6:$Q$511,$M430),"")</f>
        <v/>
      </c>
      <c r="H430" s="45" t="str">
        <f aca="false">IF($M430="","",INDEX(伝票元!$F$6:$F$511,$M430))</f>
        <v/>
      </c>
      <c r="I430" s="45" t="str">
        <f aca="false">IF($M430="","",INDEX(伝票元!$G$6:$G$511,$M430))</f>
        <v/>
      </c>
      <c r="J430" s="42" t="str">
        <f aca="false">IF($M430="","",INDEX(伝票元!$H$6:$H$511,$M430))</f>
        <v/>
      </c>
      <c r="K430" s="46" t="str">
        <f aca="false">IF(IF($M430="",0,INDEX(伝票元!$N$6:$N$511,$M430))=1,INDEX(伝票元!$R$6:$R$511,$M430),"")</f>
        <v/>
      </c>
      <c r="L430" s="47" t="str">
        <f aca="false">IF($M430="","",INDEX(伝票元!$S$6:$S$511,$M430))</f>
        <v/>
      </c>
      <c r="M430" s="47" t="str">
        <f aca="false">IFERROR(MATCH(424,伝票元!$O$6:$O$511,0),"")</f>
        <v/>
      </c>
    </row>
    <row r="431" customFormat="false" ht="15" hidden="false" customHeight="false" outlineLevel="0" collapsed="false">
      <c r="A431" s="10" t="str">
        <f aca="false">IF($M431="","",INDEX(伝票元!$P$6:$P$511,$M431))</f>
        <v/>
      </c>
      <c r="B431" s="45" t="str">
        <f aca="false">IF($M431="","",INDEX(伝票元!$D$6:$D$511,$M431))</f>
        <v/>
      </c>
      <c r="C431" s="10" t="str">
        <f aca="false">IF($M431="","",INDEX(伝票元!$E$6:$E$511,$M431))</f>
        <v/>
      </c>
      <c r="D431" s="45" t="str">
        <f aca="false">IF($M431="","",INDEX(伝票元!$A$6:$A$511,$M431))</f>
        <v/>
      </c>
      <c r="E431" s="10" t="str">
        <f aca="false">IF(IF($M431="",0,INDEX(伝票元!$N$6:$N$511,$M431))=1,INDEX(伝票元!$I$6:$I$511,$M431),"")</f>
        <v/>
      </c>
      <c r="F431" s="45" t="str">
        <f aca="false">IF(IF($M431="",0,INDEX(伝票元!$N$6:$N$511,$M431))=1,INDEX(伝票元!$J$6:$J$511,$M431),"")</f>
        <v/>
      </c>
      <c r="G431" s="42" t="str">
        <f aca="false">IF(IF($M431="",0,INDEX(伝票元!$N$6:$N$511,$M431))=1,INDEX(伝票元!$Q$6:$Q$511,$M431),"")</f>
        <v/>
      </c>
      <c r="H431" s="45" t="str">
        <f aca="false">IF($M431="","",INDEX(伝票元!$F$6:$F$511,$M431))</f>
        <v/>
      </c>
      <c r="I431" s="45" t="str">
        <f aca="false">IF($M431="","",INDEX(伝票元!$G$6:$G$511,$M431))</f>
        <v/>
      </c>
      <c r="J431" s="42" t="str">
        <f aca="false">IF($M431="","",INDEX(伝票元!$H$6:$H$511,$M431))</f>
        <v/>
      </c>
      <c r="K431" s="46" t="str">
        <f aca="false">IF(IF($M431="",0,INDEX(伝票元!$N$6:$N$511,$M431))=1,INDEX(伝票元!$R$6:$R$511,$M431),"")</f>
        <v/>
      </c>
      <c r="L431" s="47" t="str">
        <f aca="false">IF($M431="","",INDEX(伝票元!$S$6:$S$511,$M431))</f>
        <v/>
      </c>
      <c r="M431" s="47" t="str">
        <f aca="false">IFERROR(MATCH(425,伝票元!$O$6:$O$511,0),"")</f>
        <v/>
      </c>
    </row>
    <row r="432" customFormat="false" ht="15" hidden="false" customHeight="false" outlineLevel="0" collapsed="false">
      <c r="A432" s="10" t="str">
        <f aca="false">IF($M432="","",INDEX(伝票元!$P$6:$P$511,$M432))</f>
        <v/>
      </c>
      <c r="B432" s="45" t="str">
        <f aca="false">IF($M432="","",INDEX(伝票元!$D$6:$D$511,$M432))</f>
        <v/>
      </c>
      <c r="C432" s="10" t="str">
        <f aca="false">IF($M432="","",INDEX(伝票元!$E$6:$E$511,$M432))</f>
        <v/>
      </c>
      <c r="D432" s="45" t="str">
        <f aca="false">IF($M432="","",INDEX(伝票元!$A$6:$A$511,$M432))</f>
        <v/>
      </c>
      <c r="E432" s="10" t="str">
        <f aca="false">IF(IF($M432="",0,INDEX(伝票元!$N$6:$N$511,$M432))=1,INDEX(伝票元!$I$6:$I$511,$M432),"")</f>
        <v/>
      </c>
      <c r="F432" s="45" t="str">
        <f aca="false">IF(IF($M432="",0,INDEX(伝票元!$N$6:$N$511,$M432))=1,INDEX(伝票元!$J$6:$J$511,$M432),"")</f>
        <v/>
      </c>
      <c r="G432" s="42" t="str">
        <f aca="false">IF(IF($M432="",0,INDEX(伝票元!$N$6:$N$511,$M432))=1,INDEX(伝票元!$Q$6:$Q$511,$M432),"")</f>
        <v/>
      </c>
      <c r="H432" s="45" t="str">
        <f aca="false">IF($M432="","",INDEX(伝票元!$F$6:$F$511,$M432))</f>
        <v/>
      </c>
      <c r="I432" s="45" t="str">
        <f aca="false">IF($M432="","",INDEX(伝票元!$G$6:$G$511,$M432))</f>
        <v/>
      </c>
      <c r="J432" s="42" t="str">
        <f aca="false">IF($M432="","",INDEX(伝票元!$H$6:$H$511,$M432))</f>
        <v/>
      </c>
      <c r="K432" s="46" t="str">
        <f aca="false">IF(IF($M432="",0,INDEX(伝票元!$N$6:$N$511,$M432))=1,INDEX(伝票元!$R$6:$R$511,$M432),"")</f>
        <v/>
      </c>
      <c r="L432" s="47" t="str">
        <f aca="false">IF($M432="","",INDEX(伝票元!$S$6:$S$511,$M432))</f>
        <v/>
      </c>
      <c r="M432" s="47" t="str">
        <f aca="false">IFERROR(MATCH(426,伝票元!$O$6:$O$511,0),"")</f>
        <v/>
      </c>
    </row>
    <row r="433" customFormat="false" ht="15" hidden="false" customHeight="false" outlineLevel="0" collapsed="false">
      <c r="A433" s="10" t="str">
        <f aca="false">IF($M433="","",INDEX(伝票元!$P$6:$P$511,$M433))</f>
        <v/>
      </c>
      <c r="B433" s="45" t="str">
        <f aca="false">IF($M433="","",INDEX(伝票元!$D$6:$D$511,$M433))</f>
        <v/>
      </c>
      <c r="C433" s="10" t="str">
        <f aca="false">IF($M433="","",INDEX(伝票元!$E$6:$E$511,$M433))</f>
        <v/>
      </c>
      <c r="D433" s="45" t="str">
        <f aca="false">IF($M433="","",INDEX(伝票元!$A$6:$A$511,$M433))</f>
        <v/>
      </c>
      <c r="E433" s="10" t="str">
        <f aca="false">IF(IF($M433="",0,INDEX(伝票元!$N$6:$N$511,$M433))=1,INDEX(伝票元!$I$6:$I$511,$M433),"")</f>
        <v/>
      </c>
      <c r="F433" s="45" t="str">
        <f aca="false">IF(IF($M433="",0,INDEX(伝票元!$N$6:$N$511,$M433))=1,INDEX(伝票元!$J$6:$J$511,$M433),"")</f>
        <v/>
      </c>
      <c r="G433" s="42" t="str">
        <f aca="false">IF(IF($M433="",0,INDEX(伝票元!$N$6:$N$511,$M433))=1,INDEX(伝票元!$Q$6:$Q$511,$M433),"")</f>
        <v/>
      </c>
      <c r="H433" s="45" t="str">
        <f aca="false">IF($M433="","",INDEX(伝票元!$F$6:$F$511,$M433))</f>
        <v/>
      </c>
      <c r="I433" s="45" t="str">
        <f aca="false">IF($M433="","",INDEX(伝票元!$G$6:$G$511,$M433))</f>
        <v/>
      </c>
      <c r="J433" s="42" t="str">
        <f aca="false">IF($M433="","",INDEX(伝票元!$H$6:$H$511,$M433))</f>
        <v/>
      </c>
      <c r="K433" s="46" t="str">
        <f aca="false">IF(IF($M433="",0,INDEX(伝票元!$N$6:$N$511,$M433))=1,INDEX(伝票元!$R$6:$R$511,$M433),"")</f>
        <v/>
      </c>
      <c r="L433" s="47" t="str">
        <f aca="false">IF($M433="","",INDEX(伝票元!$S$6:$S$511,$M433))</f>
        <v/>
      </c>
      <c r="M433" s="47" t="str">
        <f aca="false">IFERROR(MATCH(427,伝票元!$O$6:$O$511,0),"")</f>
        <v/>
      </c>
    </row>
    <row r="434" customFormat="false" ht="15" hidden="false" customHeight="false" outlineLevel="0" collapsed="false">
      <c r="A434" s="10" t="str">
        <f aca="false">IF($M434="","",INDEX(伝票元!$P$6:$P$511,$M434))</f>
        <v/>
      </c>
      <c r="B434" s="45" t="str">
        <f aca="false">IF($M434="","",INDEX(伝票元!$D$6:$D$511,$M434))</f>
        <v/>
      </c>
      <c r="C434" s="10" t="str">
        <f aca="false">IF($M434="","",INDEX(伝票元!$E$6:$E$511,$M434))</f>
        <v/>
      </c>
      <c r="D434" s="45" t="str">
        <f aca="false">IF($M434="","",INDEX(伝票元!$A$6:$A$511,$M434))</f>
        <v/>
      </c>
      <c r="E434" s="10" t="str">
        <f aca="false">IF(IF($M434="",0,INDEX(伝票元!$N$6:$N$511,$M434))=1,INDEX(伝票元!$I$6:$I$511,$M434),"")</f>
        <v/>
      </c>
      <c r="F434" s="45" t="str">
        <f aca="false">IF(IF($M434="",0,INDEX(伝票元!$N$6:$N$511,$M434))=1,INDEX(伝票元!$J$6:$J$511,$M434),"")</f>
        <v/>
      </c>
      <c r="G434" s="42" t="str">
        <f aca="false">IF(IF($M434="",0,INDEX(伝票元!$N$6:$N$511,$M434))=1,INDEX(伝票元!$Q$6:$Q$511,$M434),"")</f>
        <v/>
      </c>
      <c r="H434" s="45" t="str">
        <f aca="false">IF($M434="","",INDEX(伝票元!$F$6:$F$511,$M434))</f>
        <v/>
      </c>
      <c r="I434" s="45" t="str">
        <f aca="false">IF($M434="","",INDEX(伝票元!$G$6:$G$511,$M434))</f>
        <v/>
      </c>
      <c r="J434" s="42" t="str">
        <f aca="false">IF($M434="","",INDEX(伝票元!$H$6:$H$511,$M434))</f>
        <v/>
      </c>
      <c r="K434" s="46" t="str">
        <f aca="false">IF(IF($M434="",0,INDEX(伝票元!$N$6:$N$511,$M434))=1,INDEX(伝票元!$R$6:$R$511,$M434),"")</f>
        <v/>
      </c>
      <c r="L434" s="47" t="str">
        <f aca="false">IF($M434="","",INDEX(伝票元!$S$6:$S$511,$M434))</f>
        <v/>
      </c>
      <c r="M434" s="47" t="str">
        <f aca="false">IFERROR(MATCH(428,伝票元!$O$6:$O$511,0),"")</f>
        <v/>
      </c>
    </row>
    <row r="435" customFormat="false" ht="15" hidden="false" customHeight="false" outlineLevel="0" collapsed="false">
      <c r="A435" s="10" t="str">
        <f aca="false">IF($M435="","",INDEX(伝票元!$P$6:$P$511,$M435))</f>
        <v/>
      </c>
      <c r="B435" s="45" t="str">
        <f aca="false">IF($M435="","",INDEX(伝票元!$D$6:$D$511,$M435))</f>
        <v/>
      </c>
      <c r="C435" s="10" t="str">
        <f aca="false">IF($M435="","",INDEX(伝票元!$E$6:$E$511,$M435))</f>
        <v/>
      </c>
      <c r="D435" s="45" t="str">
        <f aca="false">IF($M435="","",INDEX(伝票元!$A$6:$A$511,$M435))</f>
        <v/>
      </c>
      <c r="E435" s="10" t="str">
        <f aca="false">IF(IF($M435="",0,INDEX(伝票元!$N$6:$N$511,$M435))=1,INDEX(伝票元!$I$6:$I$511,$M435),"")</f>
        <v/>
      </c>
      <c r="F435" s="45" t="str">
        <f aca="false">IF(IF($M435="",0,INDEX(伝票元!$N$6:$N$511,$M435))=1,INDEX(伝票元!$J$6:$J$511,$M435),"")</f>
        <v/>
      </c>
      <c r="G435" s="42" t="str">
        <f aca="false">IF(IF($M435="",0,INDEX(伝票元!$N$6:$N$511,$M435))=1,INDEX(伝票元!$Q$6:$Q$511,$M435),"")</f>
        <v/>
      </c>
      <c r="H435" s="45" t="str">
        <f aca="false">IF($M435="","",INDEX(伝票元!$F$6:$F$511,$M435))</f>
        <v/>
      </c>
      <c r="I435" s="45" t="str">
        <f aca="false">IF($M435="","",INDEX(伝票元!$G$6:$G$511,$M435))</f>
        <v/>
      </c>
      <c r="J435" s="42" t="str">
        <f aca="false">IF($M435="","",INDEX(伝票元!$H$6:$H$511,$M435))</f>
        <v/>
      </c>
      <c r="K435" s="46" t="str">
        <f aca="false">IF(IF($M435="",0,INDEX(伝票元!$N$6:$N$511,$M435))=1,INDEX(伝票元!$R$6:$R$511,$M435),"")</f>
        <v/>
      </c>
      <c r="L435" s="47" t="str">
        <f aca="false">IF($M435="","",INDEX(伝票元!$S$6:$S$511,$M435))</f>
        <v/>
      </c>
      <c r="M435" s="47" t="str">
        <f aca="false">IFERROR(MATCH(429,伝票元!$O$6:$O$511,0),"")</f>
        <v/>
      </c>
    </row>
    <row r="436" customFormat="false" ht="15" hidden="false" customHeight="false" outlineLevel="0" collapsed="false">
      <c r="A436" s="10" t="str">
        <f aca="false">IF($M436="","",INDEX(伝票元!$P$6:$P$511,$M436))</f>
        <v/>
      </c>
      <c r="B436" s="45" t="str">
        <f aca="false">IF($M436="","",INDEX(伝票元!$D$6:$D$511,$M436))</f>
        <v/>
      </c>
      <c r="C436" s="10" t="str">
        <f aca="false">IF($M436="","",INDEX(伝票元!$E$6:$E$511,$M436))</f>
        <v/>
      </c>
      <c r="D436" s="45" t="str">
        <f aca="false">IF($M436="","",INDEX(伝票元!$A$6:$A$511,$M436))</f>
        <v/>
      </c>
      <c r="E436" s="10" t="str">
        <f aca="false">IF(IF($M436="",0,INDEX(伝票元!$N$6:$N$511,$M436))=1,INDEX(伝票元!$I$6:$I$511,$M436),"")</f>
        <v/>
      </c>
      <c r="F436" s="45" t="str">
        <f aca="false">IF(IF($M436="",0,INDEX(伝票元!$N$6:$N$511,$M436))=1,INDEX(伝票元!$J$6:$J$511,$M436),"")</f>
        <v/>
      </c>
      <c r="G436" s="42" t="str">
        <f aca="false">IF(IF($M436="",0,INDEX(伝票元!$N$6:$N$511,$M436))=1,INDEX(伝票元!$Q$6:$Q$511,$M436),"")</f>
        <v/>
      </c>
      <c r="H436" s="45" t="str">
        <f aca="false">IF($M436="","",INDEX(伝票元!$F$6:$F$511,$M436))</f>
        <v/>
      </c>
      <c r="I436" s="45" t="str">
        <f aca="false">IF($M436="","",INDEX(伝票元!$G$6:$G$511,$M436))</f>
        <v/>
      </c>
      <c r="J436" s="42" t="str">
        <f aca="false">IF($M436="","",INDEX(伝票元!$H$6:$H$511,$M436))</f>
        <v/>
      </c>
      <c r="K436" s="46" t="str">
        <f aca="false">IF(IF($M436="",0,INDEX(伝票元!$N$6:$N$511,$M436))=1,INDEX(伝票元!$R$6:$R$511,$M436),"")</f>
        <v/>
      </c>
      <c r="L436" s="47" t="str">
        <f aca="false">IF($M436="","",INDEX(伝票元!$S$6:$S$511,$M436))</f>
        <v/>
      </c>
      <c r="M436" s="47" t="str">
        <f aca="false">IFERROR(MATCH(430,伝票元!$O$6:$O$511,0),"")</f>
        <v/>
      </c>
    </row>
    <row r="437" customFormat="false" ht="15" hidden="false" customHeight="false" outlineLevel="0" collapsed="false">
      <c r="A437" s="10" t="str">
        <f aca="false">IF($M437="","",INDEX(伝票元!$P$6:$P$511,$M437))</f>
        <v/>
      </c>
      <c r="B437" s="45" t="str">
        <f aca="false">IF($M437="","",INDEX(伝票元!$D$6:$D$511,$M437))</f>
        <v/>
      </c>
      <c r="C437" s="10" t="str">
        <f aca="false">IF($M437="","",INDEX(伝票元!$E$6:$E$511,$M437))</f>
        <v/>
      </c>
      <c r="D437" s="45" t="str">
        <f aca="false">IF($M437="","",INDEX(伝票元!$A$6:$A$511,$M437))</f>
        <v/>
      </c>
      <c r="E437" s="10" t="str">
        <f aca="false">IF(IF($M437="",0,INDEX(伝票元!$N$6:$N$511,$M437))=1,INDEX(伝票元!$I$6:$I$511,$M437),"")</f>
        <v/>
      </c>
      <c r="F437" s="45" t="str">
        <f aca="false">IF(IF($M437="",0,INDEX(伝票元!$N$6:$N$511,$M437))=1,INDEX(伝票元!$J$6:$J$511,$M437),"")</f>
        <v/>
      </c>
      <c r="G437" s="42" t="str">
        <f aca="false">IF(IF($M437="",0,INDEX(伝票元!$N$6:$N$511,$M437))=1,INDEX(伝票元!$Q$6:$Q$511,$M437),"")</f>
        <v/>
      </c>
      <c r="H437" s="45" t="str">
        <f aca="false">IF($M437="","",INDEX(伝票元!$F$6:$F$511,$M437))</f>
        <v/>
      </c>
      <c r="I437" s="45" t="str">
        <f aca="false">IF($M437="","",INDEX(伝票元!$G$6:$G$511,$M437))</f>
        <v/>
      </c>
      <c r="J437" s="42" t="str">
        <f aca="false">IF($M437="","",INDEX(伝票元!$H$6:$H$511,$M437))</f>
        <v/>
      </c>
      <c r="K437" s="46" t="str">
        <f aca="false">IF(IF($M437="",0,INDEX(伝票元!$N$6:$N$511,$M437))=1,INDEX(伝票元!$R$6:$R$511,$M437),"")</f>
        <v/>
      </c>
      <c r="L437" s="47" t="str">
        <f aca="false">IF($M437="","",INDEX(伝票元!$S$6:$S$511,$M437))</f>
        <v/>
      </c>
      <c r="M437" s="47" t="str">
        <f aca="false">IFERROR(MATCH(431,伝票元!$O$6:$O$511,0),"")</f>
        <v/>
      </c>
    </row>
    <row r="438" customFormat="false" ht="15" hidden="false" customHeight="false" outlineLevel="0" collapsed="false">
      <c r="A438" s="10" t="str">
        <f aca="false">IF($M438="","",INDEX(伝票元!$P$6:$P$511,$M438))</f>
        <v/>
      </c>
      <c r="B438" s="45" t="str">
        <f aca="false">IF($M438="","",INDEX(伝票元!$D$6:$D$511,$M438))</f>
        <v/>
      </c>
      <c r="C438" s="10" t="str">
        <f aca="false">IF($M438="","",INDEX(伝票元!$E$6:$E$511,$M438))</f>
        <v/>
      </c>
      <c r="D438" s="45" t="str">
        <f aca="false">IF($M438="","",INDEX(伝票元!$A$6:$A$511,$M438))</f>
        <v/>
      </c>
      <c r="E438" s="10" t="str">
        <f aca="false">IF(IF($M438="",0,INDEX(伝票元!$N$6:$N$511,$M438))=1,INDEX(伝票元!$I$6:$I$511,$M438),"")</f>
        <v/>
      </c>
      <c r="F438" s="45" t="str">
        <f aca="false">IF(IF($M438="",0,INDEX(伝票元!$N$6:$N$511,$M438))=1,INDEX(伝票元!$J$6:$J$511,$M438),"")</f>
        <v/>
      </c>
      <c r="G438" s="42" t="str">
        <f aca="false">IF(IF($M438="",0,INDEX(伝票元!$N$6:$N$511,$M438))=1,INDEX(伝票元!$Q$6:$Q$511,$M438),"")</f>
        <v/>
      </c>
      <c r="H438" s="45" t="str">
        <f aca="false">IF($M438="","",INDEX(伝票元!$F$6:$F$511,$M438))</f>
        <v/>
      </c>
      <c r="I438" s="45" t="str">
        <f aca="false">IF($M438="","",INDEX(伝票元!$G$6:$G$511,$M438))</f>
        <v/>
      </c>
      <c r="J438" s="42" t="str">
        <f aca="false">IF($M438="","",INDEX(伝票元!$H$6:$H$511,$M438))</f>
        <v/>
      </c>
      <c r="K438" s="46" t="str">
        <f aca="false">IF(IF($M438="",0,INDEX(伝票元!$N$6:$N$511,$M438))=1,INDEX(伝票元!$R$6:$R$511,$M438),"")</f>
        <v/>
      </c>
      <c r="L438" s="47" t="str">
        <f aca="false">IF($M438="","",INDEX(伝票元!$S$6:$S$511,$M438))</f>
        <v/>
      </c>
      <c r="M438" s="47" t="str">
        <f aca="false">IFERROR(MATCH(432,伝票元!$O$6:$O$511,0),"")</f>
        <v/>
      </c>
    </row>
    <row r="439" customFormat="false" ht="15" hidden="false" customHeight="false" outlineLevel="0" collapsed="false">
      <c r="A439" s="10" t="str">
        <f aca="false">IF($M439="","",INDEX(伝票元!$P$6:$P$511,$M439))</f>
        <v/>
      </c>
      <c r="B439" s="45" t="str">
        <f aca="false">IF($M439="","",INDEX(伝票元!$D$6:$D$511,$M439))</f>
        <v/>
      </c>
      <c r="C439" s="10" t="str">
        <f aca="false">IF($M439="","",INDEX(伝票元!$E$6:$E$511,$M439))</f>
        <v/>
      </c>
      <c r="D439" s="45" t="str">
        <f aca="false">IF($M439="","",INDEX(伝票元!$A$6:$A$511,$M439))</f>
        <v/>
      </c>
      <c r="E439" s="10" t="str">
        <f aca="false">IF(IF($M439="",0,INDEX(伝票元!$N$6:$N$511,$M439))=1,INDEX(伝票元!$I$6:$I$511,$M439),"")</f>
        <v/>
      </c>
      <c r="F439" s="45" t="str">
        <f aca="false">IF(IF($M439="",0,INDEX(伝票元!$N$6:$N$511,$M439))=1,INDEX(伝票元!$J$6:$J$511,$M439),"")</f>
        <v/>
      </c>
      <c r="G439" s="42" t="str">
        <f aca="false">IF(IF($M439="",0,INDEX(伝票元!$N$6:$N$511,$M439))=1,INDEX(伝票元!$Q$6:$Q$511,$M439),"")</f>
        <v/>
      </c>
      <c r="H439" s="45" t="str">
        <f aca="false">IF($M439="","",INDEX(伝票元!$F$6:$F$511,$M439))</f>
        <v/>
      </c>
      <c r="I439" s="45" t="str">
        <f aca="false">IF($M439="","",INDEX(伝票元!$G$6:$G$511,$M439))</f>
        <v/>
      </c>
      <c r="J439" s="42" t="str">
        <f aca="false">IF($M439="","",INDEX(伝票元!$H$6:$H$511,$M439))</f>
        <v/>
      </c>
      <c r="K439" s="46" t="str">
        <f aca="false">IF(IF($M439="",0,INDEX(伝票元!$N$6:$N$511,$M439))=1,INDEX(伝票元!$R$6:$R$511,$M439),"")</f>
        <v/>
      </c>
      <c r="L439" s="47" t="str">
        <f aca="false">IF($M439="","",INDEX(伝票元!$S$6:$S$511,$M439))</f>
        <v/>
      </c>
      <c r="M439" s="47" t="str">
        <f aca="false">IFERROR(MATCH(433,伝票元!$O$6:$O$511,0),"")</f>
        <v/>
      </c>
    </row>
    <row r="440" customFormat="false" ht="15" hidden="false" customHeight="false" outlineLevel="0" collapsed="false">
      <c r="A440" s="10" t="str">
        <f aca="false">IF($M440="","",INDEX(伝票元!$P$6:$P$511,$M440))</f>
        <v/>
      </c>
      <c r="B440" s="45" t="str">
        <f aca="false">IF($M440="","",INDEX(伝票元!$D$6:$D$511,$M440))</f>
        <v/>
      </c>
      <c r="C440" s="10" t="str">
        <f aca="false">IF($M440="","",INDEX(伝票元!$E$6:$E$511,$M440))</f>
        <v/>
      </c>
      <c r="D440" s="45" t="str">
        <f aca="false">IF($M440="","",INDEX(伝票元!$A$6:$A$511,$M440))</f>
        <v/>
      </c>
      <c r="E440" s="10" t="str">
        <f aca="false">IF(IF($M440="",0,INDEX(伝票元!$N$6:$N$511,$M440))=1,INDEX(伝票元!$I$6:$I$511,$M440),"")</f>
        <v/>
      </c>
      <c r="F440" s="45" t="str">
        <f aca="false">IF(IF($M440="",0,INDEX(伝票元!$N$6:$N$511,$M440))=1,INDEX(伝票元!$J$6:$J$511,$M440),"")</f>
        <v/>
      </c>
      <c r="G440" s="42" t="str">
        <f aca="false">IF(IF($M440="",0,INDEX(伝票元!$N$6:$N$511,$M440))=1,INDEX(伝票元!$Q$6:$Q$511,$M440),"")</f>
        <v/>
      </c>
      <c r="H440" s="45" t="str">
        <f aca="false">IF($M440="","",INDEX(伝票元!$F$6:$F$511,$M440))</f>
        <v/>
      </c>
      <c r="I440" s="45" t="str">
        <f aca="false">IF($M440="","",INDEX(伝票元!$G$6:$G$511,$M440))</f>
        <v/>
      </c>
      <c r="J440" s="42" t="str">
        <f aca="false">IF($M440="","",INDEX(伝票元!$H$6:$H$511,$M440))</f>
        <v/>
      </c>
      <c r="K440" s="46" t="str">
        <f aca="false">IF(IF($M440="",0,INDEX(伝票元!$N$6:$N$511,$M440))=1,INDEX(伝票元!$R$6:$R$511,$M440),"")</f>
        <v/>
      </c>
      <c r="L440" s="47" t="str">
        <f aca="false">IF($M440="","",INDEX(伝票元!$S$6:$S$511,$M440))</f>
        <v/>
      </c>
      <c r="M440" s="47" t="str">
        <f aca="false">IFERROR(MATCH(434,伝票元!$O$6:$O$511,0),"")</f>
        <v/>
      </c>
    </row>
    <row r="441" customFormat="false" ht="15" hidden="false" customHeight="false" outlineLevel="0" collapsed="false">
      <c r="A441" s="10" t="str">
        <f aca="false">IF($M441="","",INDEX(伝票元!$P$6:$P$511,$M441))</f>
        <v/>
      </c>
      <c r="B441" s="45" t="str">
        <f aca="false">IF($M441="","",INDEX(伝票元!$D$6:$D$511,$M441))</f>
        <v/>
      </c>
      <c r="C441" s="10" t="str">
        <f aca="false">IF($M441="","",INDEX(伝票元!$E$6:$E$511,$M441))</f>
        <v/>
      </c>
      <c r="D441" s="45" t="str">
        <f aca="false">IF($M441="","",INDEX(伝票元!$A$6:$A$511,$M441))</f>
        <v/>
      </c>
      <c r="E441" s="10" t="str">
        <f aca="false">IF(IF($M441="",0,INDEX(伝票元!$N$6:$N$511,$M441))=1,INDEX(伝票元!$I$6:$I$511,$M441),"")</f>
        <v/>
      </c>
      <c r="F441" s="45" t="str">
        <f aca="false">IF(IF($M441="",0,INDEX(伝票元!$N$6:$N$511,$M441))=1,INDEX(伝票元!$J$6:$J$511,$M441),"")</f>
        <v/>
      </c>
      <c r="G441" s="42" t="str">
        <f aca="false">IF(IF($M441="",0,INDEX(伝票元!$N$6:$N$511,$M441))=1,INDEX(伝票元!$Q$6:$Q$511,$M441),"")</f>
        <v/>
      </c>
      <c r="H441" s="45" t="str">
        <f aca="false">IF($M441="","",INDEX(伝票元!$F$6:$F$511,$M441))</f>
        <v/>
      </c>
      <c r="I441" s="45" t="str">
        <f aca="false">IF($M441="","",INDEX(伝票元!$G$6:$G$511,$M441))</f>
        <v/>
      </c>
      <c r="J441" s="42" t="str">
        <f aca="false">IF($M441="","",INDEX(伝票元!$H$6:$H$511,$M441))</f>
        <v/>
      </c>
      <c r="K441" s="46" t="str">
        <f aca="false">IF(IF($M441="",0,INDEX(伝票元!$N$6:$N$511,$M441))=1,INDEX(伝票元!$R$6:$R$511,$M441),"")</f>
        <v/>
      </c>
      <c r="L441" s="47" t="str">
        <f aca="false">IF($M441="","",INDEX(伝票元!$S$6:$S$511,$M441))</f>
        <v/>
      </c>
      <c r="M441" s="47" t="str">
        <f aca="false">IFERROR(MATCH(435,伝票元!$O$6:$O$511,0),"")</f>
        <v/>
      </c>
    </row>
    <row r="442" customFormat="false" ht="15" hidden="false" customHeight="false" outlineLevel="0" collapsed="false">
      <c r="A442" s="10" t="str">
        <f aca="false">IF($M442="","",INDEX(伝票元!$P$6:$P$511,$M442))</f>
        <v/>
      </c>
      <c r="B442" s="45" t="str">
        <f aca="false">IF($M442="","",INDEX(伝票元!$D$6:$D$511,$M442))</f>
        <v/>
      </c>
      <c r="C442" s="10" t="str">
        <f aca="false">IF($M442="","",INDEX(伝票元!$E$6:$E$511,$M442))</f>
        <v/>
      </c>
      <c r="D442" s="45" t="str">
        <f aca="false">IF($M442="","",INDEX(伝票元!$A$6:$A$511,$M442))</f>
        <v/>
      </c>
      <c r="E442" s="10" t="str">
        <f aca="false">IF(IF($M442="",0,INDEX(伝票元!$N$6:$N$511,$M442))=1,INDEX(伝票元!$I$6:$I$511,$M442),"")</f>
        <v/>
      </c>
      <c r="F442" s="45" t="str">
        <f aca="false">IF(IF($M442="",0,INDEX(伝票元!$N$6:$N$511,$M442))=1,INDEX(伝票元!$J$6:$J$511,$M442),"")</f>
        <v/>
      </c>
      <c r="G442" s="42" t="str">
        <f aca="false">IF(IF($M442="",0,INDEX(伝票元!$N$6:$N$511,$M442))=1,INDEX(伝票元!$Q$6:$Q$511,$M442),"")</f>
        <v/>
      </c>
      <c r="H442" s="45" t="str">
        <f aca="false">IF($M442="","",INDEX(伝票元!$F$6:$F$511,$M442))</f>
        <v/>
      </c>
      <c r="I442" s="45" t="str">
        <f aca="false">IF($M442="","",INDEX(伝票元!$G$6:$G$511,$M442))</f>
        <v/>
      </c>
      <c r="J442" s="42" t="str">
        <f aca="false">IF($M442="","",INDEX(伝票元!$H$6:$H$511,$M442))</f>
        <v/>
      </c>
      <c r="K442" s="46" t="str">
        <f aca="false">IF(IF($M442="",0,INDEX(伝票元!$N$6:$N$511,$M442))=1,INDEX(伝票元!$R$6:$R$511,$M442),"")</f>
        <v/>
      </c>
      <c r="L442" s="47" t="str">
        <f aca="false">IF($M442="","",INDEX(伝票元!$S$6:$S$511,$M442))</f>
        <v/>
      </c>
      <c r="M442" s="47" t="str">
        <f aca="false">IFERROR(MATCH(436,伝票元!$O$6:$O$511,0),"")</f>
        <v/>
      </c>
    </row>
    <row r="443" customFormat="false" ht="15" hidden="false" customHeight="false" outlineLevel="0" collapsed="false">
      <c r="A443" s="10" t="str">
        <f aca="false">IF($M443="","",INDEX(伝票元!$P$6:$P$511,$M443))</f>
        <v/>
      </c>
      <c r="B443" s="45" t="str">
        <f aca="false">IF($M443="","",INDEX(伝票元!$D$6:$D$511,$M443))</f>
        <v/>
      </c>
      <c r="C443" s="10" t="str">
        <f aca="false">IF($M443="","",INDEX(伝票元!$E$6:$E$511,$M443))</f>
        <v/>
      </c>
      <c r="D443" s="45" t="str">
        <f aca="false">IF($M443="","",INDEX(伝票元!$A$6:$A$511,$M443))</f>
        <v/>
      </c>
      <c r="E443" s="10" t="str">
        <f aca="false">IF(IF($M443="",0,INDEX(伝票元!$N$6:$N$511,$M443))=1,INDEX(伝票元!$I$6:$I$511,$M443),"")</f>
        <v/>
      </c>
      <c r="F443" s="45" t="str">
        <f aca="false">IF(IF($M443="",0,INDEX(伝票元!$N$6:$N$511,$M443))=1,INDEX(伝票元!$J$6:$J$511,$M443),"")</f>
        <v/>
      </c>
      <c r="G443" s="42" t="str">
        <f aca="false">IF(IF($M443="",0,INDEX(伝票元!$N$6:$N$511,$M443))=1,INDEX(伝票元!$Q$6:$Q$511,$M443),"")</f>
        <v/>
      </c>
      <c r="H443" s="45" t="str">
        <f aca="false">IF($M443="","",INDEX(伝票元!$F$6:$F$511,$M443))</f>
        <v/>
      </c>
      <c r="I443" s="45" t="str">
        <f aca="false">IF($M443="","",INDEX(伝票元!$G$6:$G$511,$M443))</f>
        <v/>
      </c>
      <c r="J443" s="42" t="str">
        <f aca="false">IF($M443="","",INDEX(伝票元!$H$6:$H$511,$M443))</f>
        <v/>
      </c>
      <c r="K443" s="46" t="str">
        <f aca="false">IF(IF($M443="",0,INDEX(伝票元!$N$6:$N$511,$M443))=1,INDEX(伝票元!$R$6:$R$511,$M443),"")</f>
        <v/>
      </c>
      <c r="L443" s="47" t="str">
        <f aca="false">IF($M443="","",INDEX(伝票元!$S$6:$S$511,$M443))</f>
        <v/>
      </c>
      <c r="M443" s="47" t="str">
        <f aca="false">IFERROR(MATCH(437,伝票元!$O$6:$O$511,0),"")</f>
        <v/>
      </c>
    </row>
    <row r="444" customFormat="false" ht="15" hidden="false" customHeight="false" outlineLevel="0" collapsed="false">
      <c r="A444" s="10" t="str">
        <f aca="false">IF($M444="","",INDEX(伝票元!$P$6:$P$511,$M444))</f>
        <v/>
      </c>
      <c r="B444" s="45" t="str">
        <f aca="false">IF($M444="","",INDEX(伝票元!$D$6:$D$511,$M444))</f>
        <v/>
      </c>
      <c r="C444" s="10" t="str">
        <f aca="false">IF($M444="","",INDEX(伝票元!$E$6:$E$511,$M444))</f>
        <v/>
      </c>
      <c r="D444" s="45" t="str">
        <f aca="false">IF($M444="","",INDEX(伝票元!$A$6:$A$511,$M444))</f>
        <v/>
      </c>
      <c r="E444" s="10" t="str">
        <f aca="false">IF(IF($M444="",0,INDEX(伝票元!$N$6:$N$511,$M444))=1,INDEX(伝票元!$I$6:$I$511,$M444),"")</f>
        <v/>
      </c>
      <c r="F444" s="45" t="str">
        <f aca="false">IF(IF($M444="",0,INDEX(伝票元!$N$6:$N$511,$M444))=1,INDEX(伝票元!$J$6:$J$511,$M444),"")</f>
        <v/>
      </c>
      <c r="G444" s="42" t="str">
        <f aca="false">IF(IF($M444="",0,INDEX(伝票元!$N$6:$N$511,$M444))=1,INDEX(伝票元!$Q$6:$Q$511,$M444),"")</f>
        <v/>
      </c>
      <c r="H444" s="45" t="str">
        <f aca="false">IF($M444="","",INDEX(伝票元!$F$6:$F$511,$M444))</f>
        <v/>
      </c>
      <c r="I444" s="45" t="str">
        <f aca="false">IF($M444="","",INDEX(伝票元!$G$6:$G$511,$M444))</f>
        <v/>
      </c>
      <c r="J444" s="42" t="str">
        <f aca="false">IF($M444="","",INDEX(伝票元!$H$6:$H$511,$M444))</f>
        <v/>
      </c>
      <c r="K444" s="46" t="str">
        <f aca="false">IF(IF($M444="",0,INDEX(伝票元!$N$6:$N$511,$M444))=1,INDEX(伝票元!$R$6:$R$511,$M444),"")</f>
        <v/>
      </c>
      <c r="L444" s="47" t="str">
        <f aca="false">IF($M444="","",INDEX(伝票元!$S$6:$S$511,$M444))</f>
        <v/>
      </c>
      <c r="M444" s="47" t="str">
        <f aca="false">IFERROR(MATCH(438,伝票元!$O$6:$O$511,0),"")</f>
        <v/>
      </c>
    </row>
    <row r="445" customFormat="false" ht="15" hidden="false" customHeight="false" outlineLevel="0" collapsed="false">
      <c r="A445" s="10" t="str">
        <f aca="false">IF($M445="","",INDEX(伝票元!$P$6:$P$511,$M445))</f>
        <v/>
      </c>
      <c r="B445" s="45" t="str">
        <f aca="false">IF($M445="","",INDEX(伝票元!$D$6:$D$511,$M445))</f>
        <v/>
      </c>
      <c r="C445" s="10" t="str">
        <f aca="false">IF($M445="","",INDEX(伝票元!$E$6:$E$511,$M445))</f>
        <v/>
      </c>
      <c r="D445" s="45" t="str">
        <f aca="false">IF($M445="","",INDEX(伝票元!$A$6:$A$511,$M445))</f>
        <v/>
      </c>
      <c r="E445" s="10" t="str">
        <f aca="false">IF(IF($M445="",0,INDEX(伝票元!$N$6:$N$511,$M445))=1,INDEX(伝票元!$I$6:$I$511,$M445),"")</f>
        <v/>
      </c>
      <c r="F445" s="45" t="str">
        <f aca="false">IF(IF($M445="",0,INDEX(伝票元!$N$6:$N$511,$M445))=1,INDEX(伝票元!$J$6:$J$511,$M445),"")</f>
        <v/>
      </c>
      <c r="G445" s="42" t="str">
        <f aca="false">IF(IF($M445="",0,INDEX(伝票元!$N$6:$N$511,$M445))=1,INDEX(伝票元!$Q$6:$Q$511,$M445),"")</f>
        <v/>
      </c>
      <c r="H445" s="45" t="str">
        <f aca="false">IF($M445="","",INDEX(伝票元!$F$6:$F$511,$M445))</f>
        <v/>
      </c>
      <c r="I445" s="45" t="str">
        <f aca="false">IF($M445="","",INDEX(伝票元!$G$6:$G$511,$M445))</f>
        <v/>
      </c>
      <c r="J445" s="42" t="str">
        <f aca="false">IF($M445="","",INDEX(伝票元!$H$6:$H$511,$M445))</f>
        <v/>
      </c>
      <c r="K445" s="46" t="str">
        <f aca="false">IF(IF($M445="",0,INDEX(伝票元!$N$6:$N$511,$M445))=1,INDEX(伝票元!$R$6:$R$511,$M445),"")</f>
        <v/>
      </c>
      <c r="L445" s="47" t="str">
        <f aca="false">IF($M445="","",INDEX(伝票元!$S$6:$S$511,$M445))</f>
        <v/>
      </c>
      <c r="M445" s="47" t="str">
        <f aca="false">IFERROR(MATCH(439,伝票元!$O$6:$O$511,0),"")</f>
        <v/>
      </c>
    </row>
    <row r="446" customFormat="false" ht="15" hidden="false" customHeight="false" outlineLevel="0" collapsed="false">
      <c r="A446" s="10" t="str">
        <f aca="false">IF($M446="","",INDEX(伝票元!$P$6:$P$511,$M446))</f>
        <v/>
      </c>
      <c r="B446" s="45" t="str">
        <f aca="false">IF($M446="","",INDEX(伝票元!$D$6:$D$511,$M446))</f>
        <v/>
      </c>
      <c r="C446" s="10" t="str">
        <f aca="false">IF($M446="","",INDEX(伝票元!$E$6:$E$511,$M446))</f>
        <v/>
      </c>
      <c r="D446" s="45" t="str">
        <f aca="false">IF($M446="","",INDEX(伝票元!$A$6:$A$511,$M446))</f>
        <v/>
      </c>
      <c r="E446" s="10" t="str">
        <f aca="false">IF(IF($M446="",0,INDEX(伝票元!$N$6:$N$511,$M446))=1,INDEX(伝票元!$I$6:$I$511,$M446),"")</f>
        <v/>
      </c>
      <c r="F446" s="45" t="str">
        <f aca="false">IF(IF($M446="",0,INDEX(伝票元!$N$6:$N$511,$M446))=1,INDEX(伝票元!$J$6:$J$511,$M446),"")</f>
        <v/>
      </c>
      <c r="G446" s="42" t="str">
        <f aca="false">IF(IF($M446="",0,INDEX(伝票元!$N$6:$N$511,$M446))=1,INDEX(伝票元!$Q$6:$Q$511,$M446),"")</f>
        <v/>
      </c>
      <c r="H446" s="45" t="str">
        <f aca="false">IF($M446="","",INDEX(伝票元!$F$6:$F$511,$M446))</f>
        <v/>
      </c>
      <c r="I446" s="45" t="str">
        <f aca="false">IF($M446="","",INDEX(伝票元!$G$6:$G$511,$M446))</f>
        <v/>
      </c>
      <c r="J446" s="42" t="str">
        <f aca="false">IF($M446="","",INDEX(伝票元!$H$6:$H$511,$M446))</f>
        <v/>
      </c>
      <c r="K446" s="46" t="str">
        <f aca="false">IF(IF($M446="",0,INDEX(伝票元!$N$6:$N$511,$M446))=1,INDEX(伝票元!$R$6:$R$511,$M446),"")</f>
        <v/>
      </c>
      <c r="L446" s="47" t="str">
        <f aca="false">IF($M446="","",INDEX(伝票元!$S$6:$S$511,$M446))</f>
        <v/>
      </c>
      <c r="M446" s="47" t="str">
        <f aca="false">IFERROR(MATCH(440,伝票元!$O$6:$O$511,0),"")</f>
        <v/>
      </c>
    </row>
    <row r="447" customFormat="false" ht="15" hidden="false" customHeight="false" outlineLevel="0" collapsed="false">
      <c r="A447" s="10" t="str">
        <f aca="false">IF($M447="","",INDEX(伝票元!$P$6:$P$511,$M447))</f>
        <v/>
      </c>
      <c r="B447" s="45" t="str">
        <f aca="false">IF($M447="","",INDEX(伝票元!$D$6:$D$511,$M447))</f>
        <v/>
      </c>
      <c r="C447" s="10" t="str">
        <f aca="false">IF($M447="","",INDEX(伝票元!$E$6:$E$511,$M447))</f>
        <v/>
      </c>
      <c r="D447" s="45" t="str">
        <f aca="false">IF($M447="","",INDEX(伝票元!$A$6:$A$511,$M447))</f>
        <v/>
      </c>
      <c r="E447" s="10" t="str">
        <f aca="false">IF(IF($M447="",0,INDEX(伝票元!$N$6:$N$511,$M447))=1,INDEX(伝票元!$I$6:$I$511,$M447),"")</f>
        <v/>
      </c>
      <c r="F447" s="45" t="str">
        <f aca="false">IF(IF($M447="",0,INDEX(伝票元!$N$6:$N$511,$M447))=1,INDEX(伝票元!$J$6:$J$511,$M447),"")</f>
        <v/>
      </c>
      <c r="G447" s="42" t="str">
        <f aca="false">IF(IF($M447="",0,INDEX(伝票元!$N$6:$N$511,$M447))=1,INDEX(伝票元!$Q$6:$Q$511,$M447),"")</f>
        <v/>
      </c>
      <c r="H447" s="45" t="str">
        <f aca="false">IF($M447="","",INDEX(伝票元!$F$6:$F$511,$M447))</f>
        <v/>
      </c>
      <c r="I447" s="45" t="str">
        <f aca="false">IF($M447="","",INDEX(伝票元!$G$6:$G$511,$M447))</f>
        <v/>
      </c>
      <c r="J447" s="42" t="str">
        <f aca="false">IF($M447="","",INDEX(伝票元!$H$6:$H$511,$M447))</f>
        <v/>
      </c>
      <c r="K447" s="46" t="str">
        <f aca="false">IF(IF($M447="",0,INDEX(伝票元!$N$6:$N$511,$M447))=1,INDEX(伝票元!$R$6:$R$511,$M447),"")</f>
        <v/>
      </c>
      <c r="L447" s="47" t="str">
        <f aca="false">IF($M447="","",INDEX(伝票元!$S$6:$S$511,$M447))</f>
        <v/>
      </c>
      <c r="M447" s="47" t="str">
        <f aca="false">IFERROR(MATCH(441,伝票元!$O$6:$O$511,0),"")</f>
        <v/>
      </c>
    </row>
    <row r="448" customFormat="false" ht="15" hidden="false" customHeight="false" outlineLevel="0" collapsed="false">
      <c r="A448" s="10" t="str">
        <f aca="false">IF($M448="","",INDEX(伝票元!$P$6:$P$511,$M448))</f>
        <v/>
      </c>
      <c r="B448" s="45" t="str">
        <f aca="false">IF($M448="","",INDEX(伝票元!$D$6:$D$511,$M448))</f>
        <v/>
      </c>
      <c r="C448" s="10" t="str">
        <f aca="false">IF($M448="","",INDEX(伝票元!$E$6:$E$511,$M448))</f>
        <v/>
      </c>
      <c r="D448" s="45" t="str">
        <f aca="false">IF($M448="","",INDEX(伝票元!$A$6:$A$511,$M448))</f>
        <v/>
      </c>
      <c r="E448" s="10" t="str">
        <f aca="false">IF(IF($M448="",0,INDEX(伝票元!$N$6:$N$511,$M448))=1,INDEX(伝票元!$I$6:$I$511,$M448),"")</f>
        <v/>
      </c>
      <c r="F448" s="45" t="str">
        <f aca="false">IF(IF($M448="",0,INDEX(伝票元!$N$6:$N$511,$M448))=1,INDEX(伝票元!$J$6:$J$511,$M448),"")</f>
        <v/>
      </c>
      <c r="G448" s="42" t="str">
        <f aca="false">IF(IF($M448="",0,INDEX(伝票元!$N$6:$N$511,$M448))=1,INDEX(伝票元!$Q$6:$Q$511,$M448),"")</f>
        <v/>
      </c>
      <c r="H448" s="45" t="str">
        <f aca="false">IF($M448="","",INDEX(伝票元!$F$6:$F$511,$M448))</f>
        <v/>
      </c>
      <c r="I448" s="45" t="str">
        <f aca="false">IF($M448="","",INDEX(伝票元!$G$6:$G$511,$M448))</f>
        <v/>
      </c>
      <c r="J448" s="42" t="str">
        <f aca="false">IF($M448="","",INDEX(伝票元!$H$6:$H$511,$M448))</f>
        <v/>
      </c>
      <c r="K448" s="46" t="str">
        <f aca="false">IF(IF($M448="",0,INDEX(伝票元!$N$6:$N$511,$M448))=1,INDEX(伝票元!$R$6:$R$511,$M448),"")</f>
        <v/>
      </c>
      <c r="L448" s="47" t="str">
        <f aca="false">IF($M448="","",INDEX(伝票元!$S$6:$S$511,$M448))</f>
        <v/>
      </c>
      <c r="M448" s="47" t="str">
        <f aca="false">IFERROR(MATCH(442,伝票元!$O$6:$O$511,0),"")</f>
        <v/>
      </c>
    </row>
    <row r="449" customFormat="false" ht="15" hidden="false" customHeight="false" outlineLevel="0" collapsed="false">
      <c r="A449" s="10" t="str">
        <f aca="false">IF($M449="","",INDEX(伝票元!$P$6:$P$511,$M449))</f>
        <v/>
      </c>
      <c r="B449" s="45" t="str">
        <f aca="false">IF($M449="","",INDEX(伝票元!$D$6:$D$511,$M449))</f>
        <v/>
      </c>
      <c r="C449" s="10" t="str">
        <f aca="false">IF($M449="","",INDEX(伝票元!$E$6:$E$511,$M449))</f>
        <v/>
      </c>
      <c r="D449" s="45" t="str">
        <f aca="false">IF($M449="","",INDEX(伝票元!$A$6:$A$511,$M449))</f>
        <v/>
      </c>
      <c r="E449" s="10" t="str">
        <f aca="false">IF(IF($M449="",0,INDEX(伝票元!$N$6:$N$511,$M449))=1,INDEX(伝票元!$I$6:$I$511,$M449),"")</f>
        <v/>
      </c>
      <c r="F449" s="45" t="str">
        <f aca="false">IF(IF($M449="",0,INDEX(伝票元!$N$6:$N$511,$M449))=1,INDEX(伝票元!$J$6:$J$511,$M449),"")</f>
        <v/>
      </c>
      <c r="G449" s="42" t="str">
        <f aca="false">IF(IF($M449="",0,INDEX(伝票元!$N$6:$N$511,$M449))=1,INDEX(伝票元!$Q$6:$Q$511,$M449),"")</f>
        <v/>
      </c>
      <c r="H449" s="45" t="str">
        <f aca="false">IF($M449="","",INDEX(伝票元!$F$6:$F$511,$M449))</f>
        <v/>
      </c>
      <c r="I449" s="45" t="str">
        <f aca="false">IF($M449="","",INDEX(伝票元!$G$6:$G$511,$M449))</f>
        <v/>
      </c>
      <c r="J449" s="42" t="str">
        <f aca="false">IF($M449="","",INDEX(伝票元!$H$6:$H$511,$M449))</f>
        <v/>
      </c>
      <c r="K449" s="46" t="str">
        <f aca="false">IF(IF($M449="",0,INDEX(伝票元!$N$6:$N$511,$M449))=1,INDEX(伝票元!$R$6:$R$511,$M449),"")</f>
        <v/>
      </c>
      <c r="L449" s="47" t="str">
        <f aca="false">IF($M449="","",INDEX(伝票元!$S$6:$S$511,$M449))</f>
        <v/>
      </c>
      <c r="M449" s="47" t="str">
        <f aca="false">IFERROR(MATCH(443,伝票元!$O$6:$O$511,0),"")</f>
        <v/>
      </c>
    </row>
    <row r="450" customFormat="false" ht="15" hidden="false" customHeight="false" outlineLevel="0" collapsed="false">
      <c r="A450" s="10" t="str">
        <f aca="false">IF($M450="","",INDEX(伝票元!$P$6:$P$511,$M450))</f>
        <v/>
      </c>
      <c r="B450" s="45" t="str">
        <f aca="false">IF($M450="","",INDEX(伝票元!$D$6:$D$511,$M450))</f>
        <v/>
      </c>
      <c r="C450" s="10" t="str">
        <f aca="false">IF($M450="","",INDEX(伝票元!$E$6:$E$511,$M450))</f>
        <v/>
      </c>
      <c r="D450" s="45" t="str">
        <f aca="false">IF($M450="","",INDEX(伝票元!$A$6:$A$511,$M450))</f>
        <v/>
      </c>
      <c r="E450" s="10" t="str">
        <f aca="false">IF(IF($M450="",0,INDEX(伝票元!$N$6:$N$511,$M450))=1,INDEX(伝票元!$I$6:$I$511,$M450),"")</f>
        <v/>
      </c>
      <c r="F450" s="45" t="str">
        <f aca="false">IF(IF($M450="",0,INDEX(伝票元!$N$6:$N$511,$M450))=1,INDEX(伝票元!$J$6:$J$511,$M450),"")</f>
        <v/>
      </c>
      <c r="G450" s="42" t="str">
        <f aca="false">IF(IF($M450="",0,INDEX(伝票元!$N$6:$N$511,$M450))=1,INDEX(伝票元!$Q$6:$Q$511,$M450),"")</f>
        <v/>
      </c>
      <c r="H450" s="45" t="str">
        <f aca="false">IF($M450="","",INDEX(伝票元!$F$6:$F$511,$M450))</f>
        <v/>
      </c>
      <c r="I450" s="45" t="str">
        <f aca="false">IF($M450="","",INDEX(伝票元!$G$6:$G$511,$M450))</f>
        <v/>
      </c>
      <c r="J450" s="42" t="str">
        <f aca="false">IF($M450="","",INDEX(伝票元!$H$6:$H$511,$M450))</f>
        <v/>
      </c>
      <c r="K450" s="46" t="str">
        <f aca="false">IF(IF($M450="",0,INDEX(伝票元!$N$6:$N$511,$M450))=1,INDEX(伝票元!$R$6:$R$511,$M450),"")</f>
        <v/>
      </c>
      <c r="L450" s="47" t="str">
        <f aca="false">IF($M450="","",INDEX(伝票元!$S$6:$S$511,$M450))</f>
        <v/>
      </c>
      <c r="M450" s="47" t="str">
        <f aca="false">IFERROR(MATCH(444,伝票元!$O$6:$O$511,0),"")</f>
        <v/>
      </c>
    </row>
    <row r="451" customFormat="false" ht="15" hidden="false" customHeight="false" outlineLevel="0" collapsed="false">
      <c r="A451" s="10" t="str">
        <f aca="false">IF($M451="","",INDEX(伝票元!$P$6:$P$511,$M451))</f>
        <v/>
      </c>
      <c r="B451" s="45" t="str">
        <f aca="false">IF($M451="","",INDEX(伝票元!$D$6:$D$511,$M451))</f>
        <v/>
      </c>
      <c r="C451" s="10" t="str">
        <f aca="false">IF($M451="","",INDEX(伝票元!$E$6:$E$511,$M451))</f>
        <v/>
      </c>
      <c r="D451" s="45" t="str">
        <f aca="false">IF($M451="","",INDEX(伝票元!$A$6:$A$511,$M451))</f>
        <v/>
      </c>
      <c r="E451" s="10" t="str">
        <f aca="false">IF(IF($M451="",0,INDEX(伝票元!$N$6:$N$511,$M451))=1,INDEX(伝票元!$I$6:$I$511,$M451),"")</f>
        <v/>
      </c>
      <c r="F451" s="45" t="str">
        <f aca="false">IF(IF($M451="",0,INDEX(伝票元!$N$6:$N$511,$M451))=1,INDEX(伝票元!$J$6:$J$511,$M451),"")</f>
        <v/>
      </c>
      <c r="G451" s="42" t="str">
        <f aca="false">IF(IF($M451="",0,INDEX(伝票元!$N$6:$N$511,$M451))=1,INDEX(伝票元!$Q$6:$Q$511,$M451),"")</f>
        <v/>
      </c>
      <c r="H451" s="45" t="str">
        <f aca="false">IF($M451="","",INDEX(伝票元!$F$6:$F$511,$M451))</f>
        <v/>
      </c>
      <c r="I451" s="45" t="str">
        <f aca="false">IF($M451="","",INDEX(伝票元!$G$6:$G$511,$M451))</f>
        <v/>
      </c>
      <c r="J451" s="42" t="str">
        <f aca="false">IF($M451="","",INDEX(伝票元!$H$6:$H$511,$M451))</f>
        <v/>
      </c>
      <c r="K451" s="46" t="str">
        <f aca="false">IF(IF($M451="",0,INDEX(伝票元!$N$6:$N$511,$M451))=1,INDEX(伝票元!$R$6:$R$511,$M451),"")</f>
        <v/>
      </c>
      <c r="L451" s="47" t="str">
        <f aca="false">IF($M451="","",INDEX(伝票元!$S$6:$S$511,$M451))</f>
        <v/>
      </c>
      <c r="M451" s="47" t="str">
        <f aca="false">IFERROR(MATCH(445,伝票元!$O$6:$O$511,0),"")</f>
        <v/>
      </c>
    </row>
    <row r="452" customFormat="false" ht="15" hidden="false" customHeight="false" outlineLevel="0" collapsed="false">
      <c r="A452" s="10" t="str">
        <f aca="false">IF($M452="","",INDEX(伝票元!$P$6:$P$511,$M452))</f>
        <v/>
      </c>
      <c r="B452" s="45" t="str">
        <f aca="false">IF($M452="","",INDEX(伝票元!$D$6:$D$511,$M452))</f>
        <v/>
      </c>
      <c r="C452" s="10" t="str">
        <f aca="false">IF($M452="","",INDEX(伝票元!$E$6:$E$511,$M452))</f>
        <v/>
      </c>
      <c r="D452" s="45" t="str">
        <f aca="false">IF($M452="","",INDEX(伝票元!$A$6:$A$511,$M452))</f>
        <v/>
      </c>
      <c r="E452" s="10" t="str">
        <f aca="false">IF(IF($M452="",0,INDEX(伝票元!$N$6:$N$511,$M452))=1,INDEX(伝票元!$I$6:$I$511,$M452),"")</f>
        <v/>
      </c>
      <c r="F452" s="45" t="str">
        <f aca="false">IF(IF($M452="",0,INDEX(伝票元!$N$6:$N$511,$M452))=1,INDEX(伝票元!$J$6:$J$511,$M452),"")</f>
        <v/>
      </c>
      <c r="G452" s="42" t="str">
        <f aca="false">IF(IF($M452="",0,INDEX(伝票元!$N$6:$N$511,$M452))=1,INDEX(伝票元!$Q$6:$Q$511,$M452),"")</f>
        <v/>
      </c>
      <c r="H452" s="45" t="str">
        <f aca="false">IF($M452="","",INDEX(伝票元!$F$6:$F$511,$M452))</f>
        <v/>
      </c>
      <c r="I452" s="45" t="str">
        <f aca="false">IF($M452="","",INDEX(伝票元!$G$6:$G$511,$M452))</f>
        <v/>
      </c>
      <c r="J452" s="42" t="str">
        <f aca="false">IF($M452="","",INDEX(伝票元!$H$6:$H$511,$M452))</f>
        <v/>
      </c>
      <c r="K452" s="46" t="str">
        <f aca="false">IF(IF($M452="",0,INDEX(伝票元!$N$6:$N$511,$M452))=1,INDEX(伝票元!$R$6:$R$511,$M452),"")</f>
        <v/>
      </c>
      <c r="L452" s="47" t="str">
        <f aca="false">IF($M452="","",INDEX(伝票元!$S$6:$S$511,$M452))</f>
        <v/>
      </c>
      <c r="M452" s="47" t="str">
        <f aca="false">IFERROR(MATCH(446,伝票元!$O$6:$O$511,0),"")</f>
        <v/>
      </c>
    </row>
    <row r="453" customFormat="false" ht="15" hidden="false" customHeight="false" outlineLevel="0" collapsed="false">
      <c r="A453" s="10" t="str">
        <f aca="false">IF($M453="","",INDEX(伝票元!$P$6:$P$511,$M453))</f>
        <v/>
      </c>
      <c r="B453" s="45" t="str">
        <f aca="false">IF($M453="","",INDEX(伝票元!$D$6:$D$511,$M453))</f>
        <v/>
      </c>
      <c r="C453" s="10" t="str">
        <f aca="false">IF($M453="","",INDEX(伝票元!$E$6:$E$511,$M453))</f>
        <v/>
      </c>
      <c r="D453" s="45" t="str">
        <f aca="false">IF($M453="","",INDEX(伝票元!$A$6:$A$511,$M453))</f>
        <v/>
      </c>
      <c r="E453" s="10" t="str">
        <f aca="false">IF(IF($M453="",0,INDEX(伝票元!$N$6:$N$511,$M453))=1,INDEX(伝票元!$I$6:$I$511,$M453),"")</f>
        <v/>
      </c>
      <c r="F453" s="45" t="str">
        <f aca="false">IF(IF($M453="",0,INDEX(伝票元!$N$6:$N$511,$M453))=1,INDEX(伝票元!$J$6:$J$511,$M453),"")</f>
        <v/>
      </c>
      <c r="G453" s="42" t="str">
        <f aca="false">IF(IF($M453="",0,INDEX(伝票元!$N$6:$N$511,$M453))=1,INDEX(伝票元!$Q$6:$Q$511,$M453),"")</f>
        <v/>
      </c>
      <c r="H453" s="45" t="str">
        <f aca="false">IF($M453="","",INDEX(伝票元!$F$6:$F$511,$M453))</f>
        <v/>
      </c>
      <c r="I453" s="45" t="str">
        <f aca="false">IF($M453="","",INDEX(伝票元!$G$6:$G$511,$M453))</f>
        <v/>
      </c>
      <c r="J453" s="42" t="str">
        <f aca="false">IF($M453="","",INDEX(伝票元!$H$6:$H$511,$M453))</f>
        <v/>
      </c>
      <c r="K453" s="46" t="str">
        <f aca="false">IF(IF($M453="",0,INDEX(伝票元!$N$6:$N$511,$M453))=1,INDEX(伝票元!$R$6:$R$511,$M453),"")</f>
        <v/>
      </c>
      <c r="L453" s="47" t="str">
        <f aca="false">IF($M453="","",INDEX(伝票元!$S$6:$S$511,$M453))</f>
        <v/>
      </c>
      <c r="M453" s="47" t="str">
        <f aca="false">IFERROR(MATCH(447,伝票元!$O$6:$O$511,0),"")</f>
        <v/>
      </c>
    </row>
    <row r="454" customFormat="false" ht="15" hidden="false" customHeight="false" outlineLevel="0" collapsed="false">
      <c r="A454" s="10" t="str">
        <f aca="false">IF($M454="","",INDEX(伝票元!$P$6:$P$511,$M454))</f>
        <v/>
      </c>
      <c r="B454" s="45" t="str">
        <f aca="false">IF($M454="","",INDEX(伝票元!$D$6:$D$511,$M454))</f>
        <v/>
      </c>
      <c r="C454" s="10" t="str">
        <f aca="false">IF($M454="","",INDEX(伝票元!$E$6:$E$511,$M454))</f>
        <v/>
      </c>
      <c r="D454" s="45" t="str">
        <f aca="false">IF($M454="","",INDEX(伝票元!$A$6:$A$511,$M454))</f>
        <v/>
      </c>
      <c r="E454" s="10" t="str">
        <f aca="false">IF(IF($M454="",0,INDEX(伝票元!$N$6:$N$511,$M454))=1,INDEX(伝票元!$I$6:$I$511,$M454),"")</f>
        <v/>
      </c>
      <c r="F454" s="45" t="str">
        <f aca="false">IF(IF($M454="",0,INDEX(伝票元!$N$6:$N$511,$M454))=1,INDEX(伝票元!$J$6:$J$511,$M454),"")</f>
        <v/>
      </c>
      <c r="G454" s="42" t="str">
        <f aca="false">IF(IF($M454="",0,INDEX(伝票元!$N$6:$N$511,$M454))=1,INDEX(伝票元!$Q$6:$Q$511,$M454),"")</f>
        <v/>
      </c>
      <c r="H454" s="45" t="str">
        <f aca="false">IF($M454="","",INDEX(伝票元!$F$6:$F$511,$M454))</f>
        <v/>
      </c>
      <c r="I454" s="45" t="str">
        <f aca="false">IF($M454="","",INDEX(伝票元!$G$6:$G$511,$M454))</f>
        <v/>
      </c>
      <c r="J454" s="42" t="str">
        <f aca="false">IF($M454="","",INDEX(伝票元!$H$6:$H$511,$M454))</f>
        <v/>
      </c>
      <c r="K454" s="46" t="str">
        <f aca="false">IF(IF($M454="",0,INDEX(伝票元!$N$6:$N$511,$M454))=1,INDEX(伝票元!$R$6:$R$511,$M454),"")</f>
        <v/>
      </c>
      <c r="L454" s="47" t="str">
        <f aca="false">IF($M454="","",INDEX(伝票元!$S$6:$S$511,$M454))</f>
        <v/>
      </c>
      <c r="M454" s="47" t="str">
        <f aca="false">IFERROR(MATCH(448,伝票元!$O$6:$O$511,0),"")</f>
        <v/>
      </c>
    </row>
    <row r="455" customFormat="false" ht="15" hidden="false" customHeight="false" outlineLevel="0" collapsed="false">
      <c r="A455" s="10" t="str">
        <f aca="false">IF($M455="","",INDEX(伝票元!$P$6:$P$511,$M455))</f>
        <v/>
      </c>
      <c r="B455" s="45" t="str">
        <f aca="false">IF($M455="","",INDEX(伝票元!$D$6:$D$511,$M455))</f>
        <v/>
      </c>
      <c r="C455" s="10" t="str">
        <f aca="false">IF($M455="","",INDEX(伝票元!$E$6:$E$511,$M455))</f>
        <v/>
      </c>
      <c r="D455" s="45" t="str">
        <f aca="false">IF($M455="","",INDEX(伝票元!$A$6:$A$511,$M455))</f>
        <v/>
      </c>
      <c r="E455" s="10" t="str">
        <f aca="false">IF(IF($M455="",0,INDEX(伝票元!$N$6:$N$511,$M455))=1,INDEX(伝票元!$I$6:$I$511,$M455),"")</f>
        <v/>
      </c>
      <c r="F455" s="45" t="str">
        <f aca="false">IF(IF($M455="",0,INDEX(伝票元!$N$6:$N$511,$M455))=1,INDEX(伝票元!$J$6:$J$511,$M455),"")</f>
        <v/>
      </c>
      <c r="G455" s="42" t="str">
        <f aca="false">IF(IF($M455="",0,INDEX(伝票元!$N$6:$N$511,$M455))=1,INDEX(伝票元!$Q$6:$Q$511,$M455),"")</f>
        <v/>
      </c>
      <c r="H455" s="45" t="str">
        <f aca="false">IF($M455="","",INDEX(伝票元!$F$6:$F$511,$M455))</f>
        <v/>
      </c>
      <c r="I455" s="45" t="str">
        <f aca="false">IF($M455="","",INDEX(伝票元!$G$6:$G$511,$M455))</f>
        <v/>
      </c>
      <c r="J455" s="42" t="str">
        <f aca="false">IF($M455="","",INDEX(伝票元!$H$6:$H$511,$M455))</f>
        <v/>
      </c>
      <c r="K455" s="46" t="str">
        <f aca="false">IF(IF($M455="",0,INDEX(伝票元!$N$6:$N$511,$M455))=1,INDEX(伝票元!$R$6:$R$511,$M455),"")</f>
        <v/>
      </c>
      <c r="L455" s="47" t="str">
        <f aca="false">IF($M455="","",INDEX(伝票元!$S$6:$S$511,$M455))</f>
        <v/>
      </c>
      <c r="M455" s="47" t="str">
        <f aca="false">IFERROR(MATCH(449,伝票元!$O$6:$O$511,0),"")</f>
        <v/>
      </c>
    </row>
    <row r="456" customFormat="false" ht="15" hidden="false" customHeight="false" outlineLevel="0" collapsed="false">
      <c r="A456" s="10" t="str">
        <f aca="false">IF($M456="","",INDEX(伝票元!$P$6:$P$511,$M456))</f>
        <v/>
      </c>
      <c r="B456" s="45" t="str">
        <f aca="false">IF($M456="","",INDEX(伝票元!$D$6:$D$511,$M456))</f>
        <v/>
      </c>
      <c r="C456" s="10" t="str">
        <f aca="false">IF($M456="","",INDEX(伝票元!$E$6:$E$511,$M456))</f>
        <v/>
      </c>
      <c r="D456" s="45" t="str">
        <f aca="false">IF($M456="","",INDEX(伝票元!$A$6:$A$511,$M456))</f>
        <v/>
      </c>
      <c r="E456" s="10" t="str">
        <f aca="false">IF(IF($M456="",0,INDEX(伝票元!$N$6:$N$511,$M456))=1,INDEX(伝票元!$I$6:$I$511,$M456),"")</f>
        <v/>
      </c>
      <c r="F456" s="45" t="str">
        <f aca="false">IF(IF($M456="",0,INDEX(伝票元!$N$6:$N$511,$M456))=1,INDEX(伝票元!$J$6:$J$511,$M456),"")</f>
        <v/>
      </c>
      <c r="G456" s="42" t="str">
        <f aca="false">IF(IF($M456="",0,INDEX(伝票元!$N$6:$N$511,$M456))=1,INDEX(伝票元!$Q$6:$Q$511,$M456),"")</f>
        <v/>
      </c>
      <c r="H456" s="45" t="str">
        <f aca="false">IF($M456="","",INDEX(伝票元!$F$6:$F$511,$M456))</f>
        <v/>
      </c>
      <c r="I456" s="45" t="str">
        <f aca="false">IF($M456="","",INDEX(伝票元!$G$6:$G$511,$M456))</f>
        <v/>
      </c>
      <c r="J456" s="42" t="str">
        <f aca="false">IF($M456="","",INDEX(伝票元!$H$6:$H$511,$M456))</f>
        <v/>
      </c>
      <c r="K456" s="46" t="str">
        <f aca="false">IF(IF($M456="",0,INDEX(伝票元!$N$6:$N$511,$M456))=1,INDEX(伝票元!$R$6:$R$511,$M456),"")</f>
        <v/>
      </c>
      <c r="L456" s="47" t="str">
        <f aca="false">IF($M456="","",INDEX(伝票元!$S$6:$S$511,$M456))</f>
        <v/>
      </c>
      <c r="M456" s="47" t="str">
        <f aca="false">IFERROR(MATCH(450,伝票元!$O$6:$O$511,0),"")</f>
        <v/>
      </c>
    </row>
    <row r="457" customFormat="false" ht="15" hidden="false" customHeight="false" outlineLevel="0" collapsed="false">
      <c r="A457" s="10" t="str">
        <f aca="false">IF($M457="","",INDEX(伝票元!$P$6:$P$511,$M457))</f>
        <v/>
      </c>
      <c r="B457" s="45" t="str">
        <f aca="false">IF($M457="","",INDEX(伝票元!$D$6:$D$511,$M457))</f>
        <v/>
      </c>
      <c r="C457" s="10" t="str">
        <f aca="false">IF($M457="","",INDEX(伝票元!$E$6:$E$511,$M457))</f>
        <v/>
      </c>
      <c r="D457" s="45" t="str">
        <f aca="false">IF($M457="","",INDEX(伝票元!$A$6:$A$511,$M457))</f>
        <v/>
      </c>
      <c r="E457" s="10" t="str">
        <f aca="false">IF(IF($M457="",0,INDEX(伝票元!$N$6:$N$511,$M457))=1,INDEX(伝票元!$I$6:$I$511,$M457),"")</f>
        <v/>
      </c>
      <c r="F457" s="45" t="str">
        <f aca="false">IF(IF($M457="",0,INDEX(伝票元!$N$6:$N$511,$M457))=1,INDEX(伝票元!$J$6:$J$511,$M457),"")</f>
        <v/>
      </c>
      <c r="G457" s="42" t="str">
        <f aca="false">IF(IF($M457="",0,INDEX(伝票元!$N$6:$N$511,$M457))=1,INDEX(伝票元!$Q$6:$Q$511,$M457),"")</f>
        <v/>
      </c>
      <c r="H457" s="45" t="str">
        <f aca="false">IF($M457="","",INDEX(伝票元!$F$6:$F$511,$M457))</f>
        <v/>
      </c>
      <c r="I457" s="45" t="str">
        <f aca="false">IF($M457="","",INDEX(伝票元!$G$6:$G$511,$M457))</f>
        <v/>
      </c>
      <c r="J457" s="42" t="str">
        <f aca="false">IF($M457="","",INDEX(伝票元!$H$6:$H$511,$M457))</f>
        <v/>
      </c>
      <c r="K457" s="46" t="str">
        <f aca="false">IF(IF($M457="",0,INDEX(伝票元!$N$6:$N$511,$M457))=1,INDEX(伝票元!$R$6:$R$511,$M457),"")</f>
        <v/>
      </c>
      <c r="L457" s="47" t="str">
        <f aca="false">IF($M457="","",INDEX(伝票元!$S$6:$S$511,$M457))</f>
        <v/>
      </c>
      <c r="M457" s="47" t="str">
        <f aca="false">IFERROR(MATCH(451,伝票元!$O$6:$O$511,0),"")</f>
        <v/>
      </c>
    </row>
    <row r="458" customFormat="false" ht="15" hidden="false" customHeight="false" outlineLevel="0" collapsed="false">
      <c r="A458" s="10" t="str">
        <f aca="false">IF($M458="","",INDEX(伝票元!$P$6:$P$511,$M458))</f>
        <v/>
      </c>
      <c r="B458" s="45" t="str">
        <f aca="false">IF($M458="","",INDEX(伝票元!$D$6:$D$511,$M458))</f>
        <v/>
      </c>
      <c r="C458" s="10" t="str">
        <f aca="false">IF($M458="","",INDEX(伝票元!$E$6:$E$511,$M458))</f>
        <v/>
      </c>
      <c r="D458" s="45" t="str">
        <f aca="false">IF($M458="","",INDEX(伝票元!$A$6:$A$511,$M458))</f>
        <v/>
      </c>
      <c r="E458" s="10" t="str">
        <f aca="false">IF(IF($M458="",0,INDEX(伝票元!$N$6:$N$511,$M458))=1,INDEX(伝票元!$I$6:$I$511,$M458),"")</f>
        <v/>
      </c>
      <c r="F458" s="45" t="str">
        <f aca="false">IF(IF($M458="",0,INDEX(伝票元!$N$6:$N$511,$M458))=1,INDEX(伝票元!$J$6:$J$511,$M458),"")</f>
        <v/>
      </c>
      <c r="G458" s="42" t="str">
        <f aca="false">IF(IF($M458="",0,INDEX(伝票元!$N$6:$N$511,$M458))=1,INDEX(伝票元!$Q$6:$Q$511,$M458),"")</f>
        <v/>
      </c>
      <c r="H458" s="45" t="str">
        <f aca="false">IF($M458="","",INDEX(伝票元!$F$6:$F$511,$M458))</f>
        <v/>
      </c>
      <c r="I458" s="45" t="str">
        <f aca="false">IF($M458="","",INDEX(伝票元!$G$6:$G$511,$M458))</f>
        <v/>
      </c>
      <c r="J458" s="42" t="str">
        <f aca="false">IF($M458="","",INDEX(伝票元!$H$6:$H$511,$M458))</f>
        <v/>
      </c>
      <c r="K458" s="46" t="str">
        <f aca="false">IF(IF($M458="",0,INDEX(伝票元!$N$6:$N$511,$M458))=1,INDEX(伝票元!$R$6:$R$511,$M458),"")</f>
        <v/>
      </c>
      <c r="L458" s="47" t="str">
        <f aca="false">IF($M458="","",INDEX(伝票元!$S$6:$S$511,$M458))</f>
        <v/>
      </c>
      <c r="M458" s="47" t="str">
        <f aca="false">IFERROR(MATCH(452,伝票元!$O$6:$O$511,0),"")</f>
        <v/>
      </c>
    </row>
    <row r="459" customFormat="false" ht="15" hidden="false" customHeight="false" outlineLevel="0" collapsed="false">
      <c r="A459" s="10" t="str">
        <f aca="false">IF($M459="","",INDEX(伝票元!$P$6:$P$511,$M459))</f>
        <v/>
      </c>
      <c r="B459" s="45" t="str">
        <f aca="false">IF($M459="","",INDEX(伝票元!$D$6:$D$511,$M459))</f>
        <v/>
      </c>
      <c r="C459" s="10" t="str">
        <f aca="false">IF($M459="","",INDEX(伝票元!$E$6:$E$511,$M459))</f>
        <v/>
      </c>
      <c r="D459" s="45" t="str">
        <f aca="false">IF($M459="","",INDEX(伝票元!$A$6:$A$511,$M459))</f>
        <v/>
      </c>
      <c r="E459" s="10" t="str">
        <f aca="false">IF(IF($M459="",0,INDEX(伝票元!$N$6:$N$511,$M459))=1,INDEX(伝票元!$I$6:$I$511,$M459),"")</f>
        <v/>
      </c>
      <c r="F459" s="45" t="str">
        <f aca="false">IF(IF($M459="",0,INDEX(伝票元!$N$6:$N$511,$M459))=1,INDEX(伝票元!$J$6:$J$511,$M459),"")</f>
        <v/>
      </c>
      <c r="G459" s="42" t="str">
        <f aca="false">IF(IF($M459="",0,INDEX(伝票元!$N$6:$N$511,$M459))=1,INDEX(伝票元!$Q$6:$Q$511,$M459),"")</f>
        <v/>
      </c>
      <c r="H459" s="45" t="str">
        <f aca="false">IF($M459="","",INDEX(伝票元!$F$6:$F$511,$M459))</f>
        <v/>
      </c>
      <c r="I459" s="45" t="str">
        <f aca="false">IF($M459="","",INDEX(伝票元!$G$6:$G$511,$M459))</f>
        <v/>
      </c>
      <c r="J459" s="42" t="str">
        <f aca="false">IF($M459="","",INDEX(伝票元!$H$6:$H$511,$M459))</f>
        <v/>
      </c>
      <c r="K459" s="46" t="str">
        <f aca="false">IF(IF($M459="",0,INDEX(伝票元!$N$6:$N$511,$M459))=1,INDEX(伝票元!$R$6:$R$511,$M459),"")</f>
        <v/>
      </c>
      <c r="L459" s="47" t="str">
        <f aca="false">IF($M459="","",INDEX(伝票元!$S$6:$S$511,$M459))</f>
        <v/>
      </c>
      <c r="M459" s="47" t="str">
        <f aca="false">IFERROR(MATCH(453,伝票元!$O$6:$O$511,0),"")</f>
        <v/>
      </c>
    </row>
    <row r="460" customFormat="false" ht="15" hidden="false" customHeight="false" outlineLevel="0" collapsed="false">
      <c r="A460" s="10" t="str">
        <f aca="false">IF($M460="","",INDEX(伝票元!$P$6:$P$511,$M460))</f>
        <v/>
      </c>
      <c r="B460" s="45" t="str">
        <f aca="false">IF($M460="","",INDEX(伝票元!$D$6:$D$511,$M460))</f>
        <v/>
      </c>
      <c r="C460" s="10" t="str">
        <f aca="false">IF($M460="","",INDEX(伝票元!$E$6:$E$511,$M460))</f>
        <v/>
      </c>
      <c r="D460" s="45" t="str">
        <f aca="false">IF($M460="","",INDEX(伝票元!$A$6:$A$511,$M460))</f>
        <v/>
      </c>
      <c r="E460" s="10" t="str">
        <f aca="false">IF(IF($M460="",0,INDEX(伝票元!$N$6:$N$511,$M460))=1,INDEX(伝票元!$I$6:$I$511,$M460),"")</f>
        <v/>
      </c>
      <c r="F460" s="45" t="str">
        <f aca="false">IF(IF($M460="",0,INDEX(伝票元!$N$6:$N$511,$M460))=1,INDEX(伝票元!$J$6:$J$511,$M460),"")</f>
        <v/>
      </c>
      <c r="G460" s="42" t="str">
        <f aca="false">IF(IF($M460="",0,INDEX(伝票元!$N$6:$N$511,$M460))=1,INDEX(伝票元!$Q$6:$Q$511,$M460),"")</f>
        <v/>
      </c>
      <c r="H460" s="45" t="str">
        <f aca="false">IF($M460="","",INDEX(伝票元!$F$6:$F$511,$M460))</f>
        <v/>
      </c>
      <c r="I460" s="45" t="str">
        <f aca="false">IF($M460="","",INDEX(伝票元!$G$6:$G$511,$M460))</f>
        <v/>
      </c>
      <c r="J460" s="42" t="str">
        <f aca="false">IF($M460="","",INDEX(伝票元!$H$6:$H$511,$M460))</f>
        <v/>
      </c>
      <c r="K460" s="46" t="str">
        <f aca="false">IF(IF($M460="",0,INDEX(伝票元!$N$6:$N$511,$M460))=1,INDEX(伝票元!$R$6:$R$511,$M460),"")</f>
        <v/>
      </c>
      <c r="L460" s="47" t="str">
        <f aca="false">IF($M460="","",INDEX(伝票元!$S$6:$S$511,$M460))</f>
        <v/>
      </c>
      <c r="M460" s="47" t="str">
        <f aca="false">IFERROR(MATCH(454,伝票元!$O$6:$O$511,0),"")</f>
        <v/>
      </c>
    </row>
    <row r="461" customFormat="false" ht="15" hidden="false" customHeight="false" outlineLevel="0" collapsed="false">
      <c r="A461" s="10" t="str">
        <f aca="false">IF($M461="","",INDEX(伝票元!$P$6:$P$511,$M461))</f>
        <v/>
      </c>
      <c r="B461" s="45" t="str">
        <f aca="false">IF($M461="","",INDEX(伝票元!$D$6:$D$511,$M461))</f>
        <v/>
      </c>
      <c r="C461" s="10" t="str">
        <f aca="false">IF($M461="","",INDEX(伝票元!$E$6:$E$511,$M461))</f>
        <v/>
      </c>
      <c r="D461" s="45" t="str">
        <f aca="false">IF($M461="","",INDEX(伝票元!$A$6:$A$511,$M461))</f>
        <v/>
      </c>
      <c r="E461" s="10" t="str">
        <f aca="false">IF(IF($M461="",0,INDEX(伝票元!$N$6:$N$511,$M461))=1,INDEX(伝票元!$I$6:$I$511,$M461),"")</f>
        <v/>
      </c>
      <c r="F461" s="45" t="str">
        <f aca="false">IF(IF($M461="",0,INDEX(伝票元!$N$6:$N$511,$M461))=1,INDEX(伝票元!$J$6:$J$511,$M461),"")</f>
        <v/>
      </c>
      <c r="G461" s="42" t="str">
        <f aca="false">IF(IF($M461="",0,INDEX(伝票元!$N$6:$N$511,$M461))=1,INDEX(伝票元!$Q$6:$Q$511,$M461),"")</f>
        <v/>
      </c>
      <c r="H461" s="45" t="str">
        <f aca="false">IF($M461="","",INDEX(伝票元!$F$6:$F$511,$M461))</f>
        <v/>
      </c>
      <c r="I461" s="45" t="str">
        <f aca="false">IF($M461="","",INDEX(伝票元!$G$6:$G$511,$M461))</f>
        <v/>
      </c>
      <c r="J461" s="42" t="str">
        <f aca="false">IF($M461="","",INDEX(伝票元!$H$6:$H$511,$M461))</f>
        <v/>
      </c>
      <c r="K461" s="46" t="str">
        <f aca="false">IF(IF($M461="",0,INDEX(伝票元!$N$6:$N$511,$M461))=1,INDEX(伝票元!$R$6:$R$511,$M461),"")</f>
        <v/>
      </c>
      <c r="L461" s="47" t="str">
        <f aca="false">IF($M461="","",INDEX(伝票元!$S$6:$S$511,$M461))</f>
        <v/>
      </c>
      <c r="M461" s="47" t="str">
        <f aca="false">IFERROR(MATCH(455,伝票元!$O$6:$O$511,0),"")</f>
        <v/>
      </c>
    </row>
    <row r="462" customFormat="false" ht="15" hidden="false" customHeight="false" outlineLevel="0" collapsed="false">
      <c r="A462" s="10" t="str">
        <f aca="false">IF($M462="","",INDEX(伝票元!$P$6:$P$511,$M462))</f>
        <v/>
      </c>
      <c r="B462" s="45" t="str">
        <f aca="false">IF($M462="","",INDEX(伝票元!$D$6:$D$511,$M462))</f>
        <v/>
      </c>
      <c r="C462" s="10" t="str">
        <f aca="false">IF($M462="","",INDEX(伝票元!$E$6:$E$511,$M462))</f>
        <v/>
      </c>
      <c r="D462" s="45" t="str">
        <f aca="false">IF($M462="","",INDEX(伝票元!$A$6:$A$511,$M462))</f>
        <v/>
      </c>
      <c r="E462" s="10" t="str">
        <f aca="false">IF(IF($M462="",0,INDEX(伝票元!$N$6:$N$511,$M462))=1,INDEX(伝票元!$I$6:$I$511,$M462),"")</f>
        <v/>
      </c>
      <c r="F462" s="45" t="str">
        <f aca="false">IF(IF($M462="",0,INDEX(伝票元!$N$6:$N$511,$M462))=1,INDEX(伝票元!$J$6:$J$511,$M462),"")</f>
        <v/>
      </c>
      <c r="G462" s="42" t="str">
        <f aca="false">IF(IF($M462="",0,INDEX(伝票元!$N$6:$N$511,$M462))=1,INDEX(伝票元!$Q$6:$Q$511,$M462),"")</f>
        <v/>
      </c>
      <c r="H462" s="45" t="str">
        <f aca="false">IF($M462="","",INDEX(伝票元!$F$6:$F$511,$M462))</f>
        <v/>
      </c>
      <c r="I462" s="45" t="str">
        <f aca="false">IF($M462="","",INDEX(伝票元!$G$6:$G$511,$M462))</f>
        <v/>
      </c>
      <c r="J462" s="42" t="str">
        <f aca="false">IF($M462="","",INDEX(伝票元!$H$6:$H$511,$M462))</f>
        <v/>
      </c>
      <c r="K462" s="46" t="str">
        <f aca="false">IF(IF($M462="",0,INDEX(伝票元!$N$6:$N$511,$M462))=1,INDEX(伝票元!$R$6:$R$511,$M462),"")</f>
        <v/>
      </c>
      <c r="L462" s="47" t="str">
        <f aca="false">IF($M462="","",INDEX(伝票元!$S$6:$S$511,$M462))</f>
        <v/>
      </c>
      <c r="M462" s="47" t="str">
        <f aca="false">IFERROR(MATCH(456,伝票元!$O$6:$O$511,0),"")</f>
        <v/>
      </c>
    </row>
    <row r="463" customFormat="false" ht="15" hidden="false" customHeight="false" outlineLevel="0" collapsed="false">
      <c r="A463" s="10" t="str">
        <f aca="false">IF($M463="","",INDEX(伝票元!$P$6:$P$511,$M463))</f>
        <v/>
      </c>
      <c r="B463" s="45" t="str">
        <f aca="false">IF($M463="","",INDEX(伝票元!$D$6:$D$511,$M463))</f>
        <v/>
      </c>
      <c r="C463" s="10" t="str">
        <f aca="false">IF($M463="","",INDEX(伝票元!$E$6:$E$511,$M463))</f>
        <v/>
      </c>
      <c r="D463" s="45" t="str">
        <f aca="false">IF($M463="","",INDEX(伝票元!$A$6:$A$511,$M463))</f>
        <v/>
      </c>
      <c r="E463" s="10" t="str">
        <f aca="false">IF(IF($M463="",0,INDEX(伝票元!$N$6:$N$511,$M463))=1,INDEX(伝票元!$I$6:$I$511,$M463),"")</f>
        <v/>
      </c>
      <c r="F463" s="45" t="str">
        <f aca="false">IF(IF($M463="",0,INDEX(伝票元!$N$6:$N$511,$M463))=1,INDEX(伝票元!$J$6:$J$511,$M463),"")</f>
        <v/>
      </c>
      <c r="G463" s="42" t="str">
        <f aca="false">IF(IF($M463="",0,INDEX(伝票元!$N$6:$N$511,$M463))=1,INDEX(伝票元!$Q$6:$Q$511,$M463),"")</f>
        <v/>
      </c>
      <c r="H463" s="45" t="str">
        <f aca="false">IF($M463="","",INDEX(伝票元!$F$6:$F$511,$M463))</f>
        <v/>
      </c>
      <c r="I463" s="45" t="str">
        <f aca="false">IF($M463="","",INDEX(伝票元!$G$6:$G$511,$M463))</f>
        <v/>
      </c>
      <c r="J463" s="42" t="str">
        <f aca="false">IF($M463="","",INDEX(伝票元!$H$6:$H$511,$M463))</f>
        <v/>
      </c>
      <c r="K463" s="46" t="str">
        <f aca="false">IF(IF($M463="",0,INDEX(伝票元!$N$6:$N$511,$M463))=1,INDEX(伝票元!$R$6:$R$511,$M463),"")</f>
        <v/>
      </c>
      <c r="L463" s="47" t="str">
        <f aca="false">IF($M463="","",INDEX(伝票元!$S$6:$S$511,$M463))</f>
        <v/>
      </c>
      <c r="M463" s="47" t="str">
        <f aca="false">IFERROR(MATCH(457,伝票元!$O$6:$O$511,0),"")</f>
        <v/>
      </c>
    </row>
    <row r="464" customFormat="false" ht="15" hidden="false" customHeight="false" outlineLevel="0" collapsed="false">
      <c r="A464" s="10" t="str">
        <f aca="false">IF($M464="","",INDEX(伝票元!$P$6:$P$511,$M464))</f>
        <v/>
      </c>
      <c r="B464" s="45" t="str">
        <f aca="false">IF($M464="","",INDEX(伝票元!$D$6:$D$511,$M464))</f>
        <v/>
      </c>
      <c r="C464" s="10" t="str">
        <f aca="false">IF($M464="","",INDEX(伝票元!$E$6:$E$511,$M464))</f>
        <v/>
      </c>
      <c r="D464" s="45" t="str">
        <f aca="false">IF($M464="","",INDEX(伝票元!$A$6:$A$511,$M464))</f>
        <v/>
      </c>
      <c r="E464" s="10" t="str">
        <f aca="false">IF(IF($M464="",0,INDEX(伝票元!$N$6:$N$511,$M464))=1,INDEX(伝票元!$I$6:$I$511,$M464),"")</f>
        <v/>
      </c>
      <c r="F464" s="45" t="str">
        <f aca="false">IF(IF($M464="",0,INDEX(伝票元!$N$6:$N$511,$M464))=1,INDEX(伝票元!$J$6:$J$511,$M464),"")</f>
        <v/>
      </c>
      <c r="G464" s="42" t="str">
        <f aca="false">IF(IF($M464="",0,INDEX(伝票元!$N$6:$N$511,$M464))=1,INDEX(伝票元!$Q$6:$Q$511,$M464),"")</f>
        <v/>
      </c>
      <c r="H464" s="45" t="str">
        <f aca="false">IF($M464="","",INDEX(伝票元!$F$6:$F$511,$M464))</f>
        <v/>
      </c>
      <c r="I464" s="45" t="str">
        <f aca="false">IF($M464="","",INDEX(伝票元!$G$6:$G$511,$M464))</f>
        <v/>
      </c>
      <c r="J464" s="42" t="str">
        <f aca="false">IF($M464="","",INDEX(伝票元!$H$6:$H$511,$M464))</f>
        <v/>
      </c>
      <c r="K464" s="46" t="str">
        <f aca="false">IF(IF($M464="",0,INDEX(伝票元!$N$6:$N$511,$M464))=1,INDEX(伝票元!$R$6:$R$511,$M464),"")</f>
        <v/>
      </c>
      <c r="L464" s="47" t="str">
        <f aca="false">IF($M464="","",INDEX(伝票元!$S$6:$S$511,$M464))</f>
        <v/>
      </c>
      <c r="M464" s="47" t="str">
        <f aca="false">IFERROR(MATCH(458,伝票元!$O$6:$O$511,0),"")</f>
        <v/>
      </c>
    </row>
    <row r="465" customFormat="false" ht="15" hidden="false" customHeight="false" outlineLevel="0" collapsed="false">
      <c r="A465" s="10" t="str">
        <f aca="false">IF($M465="","",INDEX(伝票元!$P$6:$P$511,$M465))</f>
        <v/>
      </c>
      <c r="B465" s="45" t="str">
        <f aca="false">IF($M465="","",INDEX(伝票元!$D$6:$D$511,$M465))</f>
        <v/>
      </c>
      <c r="C465" s="10" t="str">
        <f aca="false">IF($M465="","",INDEX(伝票元!$E$6:$E$511,$M465))</f>
        <v/>
      </c>
      <c r="D465" s="45" t="str">
        <f aca="false">IF($M465="","",INDEX(伝票元!$A$6:$A$511,$M465))</f>
        <v/>
      </c>
      <c r="E465" s="10" t="str">
        <f aca="false">IF(IF($M465="",0,INDEX(伝票元!$N$6:$N$511,$M465))=1,INDEX(伝票元!$I$6:$I$511,$M465),"")</f>
        <v/>
      </c>
      <c r="F465" s="45" t="str">
        <f aca="false">IF(IF($M465="",0,INDEX(伝票元!$N$6:$N$511,$M465))=1,INDEX(伝票元!$J$6:$J$511,$M465),"")</f>
        <v/>
      </c>
      <c r="G465" s="42" t="str">
        <f aca="false">IF(IF($M465="",0,INDEX(伝票元!$N$6:$N$511,$M465))=1,INDEX(伝票元!$Q$6:$Q$511,$M465),"")</f>
        <v/>
      </c>
      <c r="H465" s="45" t="str">
        <f aca="false">IF($M465="","",INDEX(伝票元!$F$6:$F$511,$M465))</f>
        <v/>
      </c>
      <c r="I465" s="45" t="str">
        <f aca="false">IF($M465="","",INDEX(伝票元!$G$6:$G$511,$M465))</f>
        <v/>
      </c>
      <c r="J465" s="42" t="str">
        <f aca="false">IF($M465="","",INDEX(伝票元!$H$6:$H$511,$M465))</f>
        <v/>
      </c>
      <c r="K465" s="46" t="str">
        <f aca="false">IF(IF($M465="",0,INDEX(伝票元!$N$6:$N$511,$M465))=1,INDEX(伝票元!$R$6:$R$511,$M465),"")</f>
        <v/>
      </c>
      <c r="L465" s="47" t="str">
        <f aca="false">IF($M465="","",INDEX(伝票元!$S$6:$S$511,$M465))</f>
        <v/>
      </c>
      <c r="M465" s="47" t="str">
        <f aca="false">IFERROR(MATCH(459,伝票元!$O$6:$O$511,0),"")</f>
        <v/>
      </c>
    </row>
    <row r="466" customFormat="false" ht="15" hidden="false" customHeight="false" outlineLevel="0" collapsed="false">
      <c r="A466" s="10" t="str">
        <f aca="false">IF($M466="","",INDEX(伝票元!$P$6:$P$511,$M466))</f>
        <v/>
      </c>
      <c r="B466" s="45" t="str">
        <f aca="false">IF($M466="","",INDEX(伝票元!$D$6:$D$511,$M466))</f>
        <v/>
      </c>
      <c r="C466" s="10" t="str">
        <f aca="false">IF($M466="","",INDEX(伝票元!$E$6:$E$511,$M466))</f>
        <v/>
      </c>
      <c r="D466" s="45" t="str">
        <f aca="false">IF($M466="","",INDEX(伝票元!$A$6:$A$511,$M466))</f>
        <v/>
      </c>
      <c r="E466" s="10" t="str">
        <f aca="false">IF(IF($M466="",0,INDEX(伝票元!$N$6:$N$511,$M466))=1,INDEX(伝票元!$I$6:$I$511,$M466),"")</f>
        <v/>
      </c>
      <c r="F466" s="45" t="str">
        <f aca="false">IF(IF($M466="",0,INDEX(伝票元!$N$6:$N$511,$M466))=1,INDEX(伝票元!$J$6:$J$511,$M466),"")</f>
        <v/>
      </c>
      <c r="G466" s="42" t="str">
        <f aca="false">IF(IF($M466="",0,INDEX(伝票元!$N$6:$N$511,$M466))=1,INDEX(伝票元!$Q$6:$Q$511,$M466),"")</f>
        <v/>
      </c>
      <c r="H466" s="45" t="str">
        <f aca="false">IF($M466="","",INDEX(伝票元!$F$6:$F$511,$M466))</f>
        <v/>
      </c>
      <c r="I466" s="45" t="str">
        <f aca="false">IF($M466="","",INDEX(伝票元!$G$6:$G$511,$M466))</f>
        <v/>
      </c>
      <c r="J466" s="42" t="str">
        <f aca="false">IF($M466="","",INDEX(伝票元!$H$6:$H$511,$M466))</f>
        <v/>
      </c>
      <c r="K466" s="46" t="str">
        <f aca="false">IF(IF($M466="",0,INDEX(伝票元!$N$6:$N$511,$M466))=1,INDEX(伝票元!$R$6:$R$511,$M466),"")</f>
        <v/>
      </c>
      <c r="L466" s="47" t="str">
        <f aca="false">IF($M466="","",INDEX(伝票元!$S$6:$S$511,$M466))</f>
        <v/>
      </c>
      <c r="M466" s="47" t="str">
        <f aca="false">IFERROR(MATCH(460,伝票元!$O$6:$O$511,0),"")</f>
        <v/>
      </c>
    </row>
    <row r="467" customFormat="false" ht="15" hidden="false" customHeight="false" outlineLevel="0" collapsed="false">
      <c r="A467" s="10" t="str">
        <f aca="false">IF($M467="","",INDEX(伝票元!$P$6:$P$511,$M467))</f>
        <v/>
      </c>
      <c r="B467" s="45" t="str">
        <f aca="false">IF($M467="","",INDEX(伝票元!$D$6:$D$511,$M467))</f>
        <v/>
      </c>
      <c r="C467" s="10" t="str">
        <f aca="false">IF($M467="","",INDEX(伝票元!$E$6:$E$511,$M467))</f>
        <v/>
      </c>
      <c r="D467" s="45" t="str">
        <f aca="false">IF($M467="","",INDEX(伝票元!$A$6:$A$511,$M467))</f>
        <v/>
      </c>
      <c r="E467" s="10" t="str">
        <f aca="false">IF(IF($M467="",0,INDEX(伝票元!$N$6:$N$511,$M467))=1,INDEX(伝票元!$I$6:$I$511,$M467),"")</f>
        <v/>
      </c>
      <c r="F467" s="45" t="str">
        <f aca="false">IF(IF($M467="",0,INDEX(伝票元!$N$6:$N$511,$M467))=1,INDEX(伝票元!$J$6:$J$511,$M467),"")</f>
        <v/>
      </c>
      <c r="G467" s="42" t="str">
        <f aca="false">IF(IF($M467="",0,INDEX(伝票元!$N$6:$N$511,$M467))=1,INDEX(伝票元!$Q$6:$Q$511,$M467),"")</f>
        <v/>
      </c>
      <c r="H467" s="45" t="str">
        <f aca="false">IF($M467="","",INDEX(伝票元!$F$6:$F$511,$M467))</f>
        <v/>
      </c>
      <c r="I467" s="45" t="str">
        <f aca="false">IF($M467="","",INDEX(伝票元!$G$6:$G$511,$M467))</f>
        <v/>
      </c>
      <c r="J467" s="42" t="str">
        <f aca="false">IF($M467="","",INDEX(伝票元!$H$6:$H$511,$M467))</f>
        <v/>
      </c>
      <c r="K467" s="46" t="str">
        <f aca="false">IF(IF($M467="",0,INDEX(伝票元!$N$6:$N$511,$M467))=1,INDEX(伝票元!$R$6:$R$511,$M467),"")</f>
        <v/>
      </c>
      <c r="L467" s="47" t="str">
        <f aca="false">IF($M467="","",INDEX(伝票元!$S$6:$S$511,$M467))</f>
        <v/>
      </c>
      <c r="M467" s="47" t="str">
        <f aca="false">IFERROR(MATCH(461,伝票元!$O$6:$O$511,0),"")</f>
        <v/>
      </c>
    </row>
    <row r="468" customFormat="false" ht="15" hidden="false" customHeight="false" outlineLevel="0" collapsed="false">
      <c r="A468" s="10" t="str">
        <f aca="false">IF($M468="","",INDEX(伝票元!$P$6:$P$511,$M468))</f>
        <v/>
      </c>
      <c r="B468" s="45" t="str">
        <f aca="false">IF($M468="","",INDEX(伝票元!$D$6:$D$511,$M468))</f>
        <v/>
      </c>
      <c r="C468" s="10" t="str">
        <f aca="false">IF($M468="","",INDEX(伝票元!$E$6:$E$511,$M468))</f>
        <v/>
      </c>
      <c r="D468" s="45" t="str">
        <f aca="false">IF($M468="","",INDEX(伝票元!$A$6:$A$511,$M468))</f>
        <v/>
      </c>
      <c r="E468" s="10" t="str">
        <f aca="false">IF(IF($M468="",0,INDEX(伝票元!$N$6:$N$511,$M468))=1,INDEX(伝票元!$I$6:$I$511,$M468),"")</f>
        <v/>
      </c>
      <c r="F468" s="45" t="str">
        <f aca="false">IF(IF($M468="",0,INDEX(伝票元!$N$6:$N$511,$M468))=1,INDEX(伝票元!$J$6:$J$511,$M468),"")</f>
        <v/>
      </c>
      <c r="G468" s="42" t="str">
        <f aca="false">IF(IF($M468="",0,INDEX(伝票元!$N$6:$N$511,$M468))=1,INDEX(伝票元!$Q$6:$Q$511,$M468),"")</f>
        <v/>
      </c>
      <c r="H468" s="45" t="str">
        <f aca="false">IF($M468="","",INDEX(伝票元!$F$6:$F$511,$M468))</f>
        <v/>
      </c>
      <c r="I468" s="45" t="str">
        <f aca="false">IF($M468="","",INDEX(伝票元!$G$6:$G$511,$M468))</f>
        <v/>
      </c>
      <c r="J468" s="42" t="str">
        <f aca="false">IF($M468="","",INDEX(伝票元!$H$6:$H$511,$M468))</f>
        <v/>
      </c>
      <c r="K468" s="46" t="str">
        <f aca="false">IF(IF($M468="",0,INDEX(伝票元!$N$6:$N$511,$M468))=1,INDEX(伝票元!$R$6:$R$511,$M468),"")</f>
        <v/>
      </c>
      <c r="L468" s="47" t="str">
        <f aca="false">IF($M468="","",INDEX(伝票元!$S$6:$S$511,$M468))</f>
        <v/>
      </c>
      <c r="M468" s="47" t="str">
        <f aca="false">IFERROR(MATCH(462,伝票元!$O$6:$O$511,0),"")</f>
        <v/>
      </c>
    </row>
    <row r="469" customFormat="false" ht="15" hidden="false" customHeight="false" outlineLevel="0" collapsed="false">
      <c r="A469" s="10" t="str">
        <f aca="false">IF($M469="","",INDEX(伝票元!$P$6:$P$511,$M469))</f>
        <v/>
      </c>
      <c r="B469" s="45" t="str">
        <f aca="false">IF($M469="","",INDEX(伝票元!$D$6:$D$511,$M469))</f>
        <v/>
      </c>
      <c r="C469" s="10" t="str">
        <f aca="false">IF($M469="","",INDEX(伝票元!$E$6:$E$511,$M469))</f>
        <v/>
      </c>
      <c r="D469" s="45" t="str">
        <f aca="false">IF($M469="","",INDEX(伝票元!$A$6:$A$511,$M469))</f>
        <v/>
      </c>
      <c r="E469" s="10" t="str">
        <f aca="false">IF(IF($M469="",0,INDEX(伝票元!$N$6:$N$511,$M469))=1,INDEX(伝票元!$I$6:$I$511,$M469),"")</f>
        <v/>
      </c>
      <c r="F469" s="45" t="str">
        <f aca="false">IF(IF($M469="",0,INDEX(伝票元!$N$6:$N$511,$M469))=1,INDEX(伝票元!$J$6:$J$511,$M469),"")</f>
        <v/>
      </c>
      <c r="G469" s="42" t="str">
        <f aca="false">IF(IF($M469="",0,INDEX(伝票元!$N$6:$N$511,$M469))=1,INDEX(伝票元!$Q$6:$Q$511,$M469),"")</f>
        <v/>
      </c>
      <c r="H469" s="45" t="str">
        <f aca="false">IF($M469="","",INDEX(伝票元!$F$6:$F$511,$M469))</f>
        <v/>
      </c>
      <c r="I469" s="45" t="str">
        <f aca="false">IF($M469="","",INDEX(伝票元!$G$6:$G$511,$M469))</f>
        <v/>
      </c>
      <c r="J469" s="42" t="str">
        <f aca="false">IF($M469="","",INDEX(伝票元!$H$6:$H$511,$M469))</f>
        <v/>
      </c>
      <c r="K469" s="46" t="str">
        <f aca="false">IF(IF($M469="",0,INDEX(伝票元!$N$6:$N$511,$M469))=1,INDEX(伝票元!$R$6:$R$511,$M469),"")</f>
        <v/>
      </c>
      <c r="L469" s="47" t="str">
        <f aca="false">IF($M469="","",INDEX(伝票元!$S$6:$S$511,$M469))</f>
        <v/>
      </c>
      <c r="M469" s="47" t="str">
        <f aca="false">IFERROR(MATCH(463,伝票元!$O$6:$O$511,0),"")</f>
        <v/>
      </c>
    </row>
    <row r="470" customFormat="false" ht="15" hidden="false" customHeight="false" outlineLevel="0" collapsed="false">
      <c r="A470" s="10" t="str">
        <f aca="false">IF($M470="","",INDEX(伝票元!$P$6:$P$511,$M470))</f>
        <v/>
      </c>
      <c r="B470" s="45" t="str">
        <f aca="false">IF($M470="","",INDEX(伝票元!$D$6:$D$511,$M470))</f>
        <v/>
      </c>
      <c r="C470" s="10" t="str">
        <f aca="false">IF($M470="","",INDEX(伝票元!$E$6:$E$511,$M470))</f>
        <v/>
      </c>
      <c r="D470" s="45" t="str">
        <f aca="false">IF($M470="","",INDEX(伝票元!$A$6:$A$511,$M470))</f>
        <v/>
      </c>
      <c r="E470" s="10" t="str">
        <f aca="false">IF(IF($M470="",0,INDEX(伝票元!$N$6:$N$511,$M470))=1,INDEX(伝票元!$I$6:$I$511,$M470),"")</f>
        <v/>
      </c>
      <c r="F470" s="45" t="str">
        <f aca="false">IF(IF($M470="",0,INDEX(伝票元!$N$6:$N$511,$M470))=1,INDEX(伝票元!$J$6:$J$511,$M470),"")</f>
        <v/>
      </c>
      <c r="G470" s="42" t="str">
        <f aca="false">IF(IF($M470="",0,INDEX(伝票元!$N$6:$N$511,$M470))=1,INDEX(伝票元!$Q$6:$Q$511,$M470),"")</f>
        <v/>
      </c>
      <c r="H470" s="45" t="str">
        <f aca="false">IF($M470="","",INDEX(伝票元!$F$6:$F$511,$M470))</f>
        <v/>
      </c>
      <c r="I470" s="45" t="str">
        <f aca="false">IF($M470="","",INDEX(伝票元!$G$6:$G$511,$M470))</f>
        <v/>
      </c>
      <c r="J470" s="42" t="str">
        <f aca="false">IF($M470="","",INDEX(伝票元!$H$6:$H$511,$M470))</f>
        <v/>
      </c>
      <c r="K470" s="46" t="str">
        <f aca="false">IF(IF($M470="",0,INDEX(伝票元!$N$6:$N$511,$M470))=1,INDEX(伝票元!$R$6:$R$511,$M470),"")</f>
        <v/>
      </c>
      <c r="L470" s="47" t="str">
        <f aca="false">IF($M470="","",INDEX(伝票元!$S$6:$S$511,$M470))</f>
        <v/>
      </c>
      <c r="M470" s="47" t="str">
        <f aca="false">IFERROR(MATCH(464,伝票元!$O$6:$O$511,0),"")</f>
        <v/>
      </c>
    </row>
    <row r="471" customFormat="false" ht="15" hidden="false" customHeight="false" outlineLevel="0" collapsed="false">
      <c r="A471" s="10" t="str">
        <f aca="false">IF($M471="","",INDEX(伝票元!$P$6:$P$511,$M471))</f>
        <v/>
      </c>
      <c r="B471" s="45" t="str">
        <f aca="false">IF($M471="","",INDEX(伝票元!$D$6:$D$511,$M471))</f>
        <v/>
      </c>
      <c r="C471" s="10" t="str">
        <f aca="false">IF($M471="","",INDEX(伝票元!$E$6:$E$511,$M471))</f>
        <v/>
      </c>
      <c r="D471" s="45" t="str">
        <f aca="false">IF($M471="","",INDEX(伝票元!$A$6:$A$511,$M471))</f>
        <v/>
      </c>
      <c r="E471" s="10" t="str">
        <f aca="false">IF(IF($M471="",0,INDEX(伝票元!$N$6:$N$511,$M471))=1,INDEX(伝票元!$I$6:$I$511,$M471),"")</f>
        <v/>
      </c>
      <c r="F471" s="45" t="str">
        <f aca="false">IF(IF($M471="",0,INDEX(伝票元!$N$6:$N$511,$M471))=1,INDEX(伝票元!$J$6:$J$511,$M471),"")</f>
        <v/>
      </c>
      <c r="G471" s="42" t="str">
        <f aca="false">IF(IF($M471="",0,INDEX(伝票元!$N$6:$N$511,$M471))=1,INDEX(伝票元!$Q$6:$Q$511,$M471),"")</f>
        <v/>
      </c>
      <c r="H471" s="45" t="str">
        <f aca="false">IF($M471="","",INDEX(伝票元!$F$6:$F$511,$M471))</f>
        <v/>
      </c>
      <c r="I471" s="45" t="str">
        <f aca="false">IF($M471="","",INDEX(伝票元!$G$6:$G$511,$M471))</f>
        <v/>
      </c>
      <c r="J471" s="42" t="str">
        <f aca="false">IF($M471="","",INDEX(伝票元!$H$6:$H$511,$M471))</f>
        <v/>
      </c>
      <c r="K471" s="46" t="str">
        <f aca="false">IF(IF($M471="",0,INDEX(伝票元!$N$6:$N$511,$M471))=1,INDEX(伝票元!$R$6:$R$511,$M471),"")</f>
        <v/>
      </c>
      <c r="L471" s="47" t="str">
        <f aca="false">IF($M471="","",INDEX(伝票元!$S$6:$S$511,$M471))</f>
        <v/>
      </c>
      <c r="M471" s="47" t="str">
        <f aca="false">IFERROR(MATCH(465,伝票元!$O$6:$O$511,0),"")</f>
        <v/>
      </c>
    </row>
    <row r="472" customFormat="false" ht="15" hidden="false" customHeight="false" outlineLevel="0" collapsed="false">
      <c r="A472" s="10" t="str">
        <f aca="false">IF($M472="","",INDEX(伝票元!$P$6:$P$511,$M472))</f>
        <v/>
      </c>
      <c r="B472" s="45" t="str">
        <f aca="false">IF($M472="","",INDEX(伝票元!$D$6:$D$511,$M472))</f>
        <v/>
      </c>
      <c r="C472" s="10" t="str">
        <f aca="false">IF($M472="","",INDEX(伝票元!$E$6:$E$511,$M472))</f>
        <v/>
      </c>
      <c r="D472" s="45" t="str">
        <f aca="false">IF($M472="","",INDEX(伝票元!$A$6:$A$511,$M472))</f>
        <v/>
      </c>
      <c r="E472" s="10" t="str">
        <f aca="false">IF(IF($M472="",0,INDEX(伝票元!$N$6:$N$511,$M472))=1,INDEX(伝票元!$I$6:$I$511,$M472),"")</f>
        <v/>
      </c>
      <c r="F472" s="45" t="str">
        <f aca="false">IF(IF($M472="",0,INDEX(伝票元!$N$6:$N$511,$M472))=1,INDEX(伝票元!$J$6:$J$511,$M472),"")</f>
        <v/>
      </c>
      <c r="G472" s="42" t="str">
        <f aca="false">IF(IF($M472="",0,INDEX(伝票元!$N$6:$N$511,$M472))=1,INDEX(伝票元!$Q$6:$Q$511,$M472),"")</f>
        <v/>
      </c>
      <c r="H472" s="45" t="str">
        <f aca="false">IF($M472="","",INDEX(伝票元!$F$6:$F$511,$M472))</f>
        <v/>
      </c>
      <c r="I472" s="45" t="str">
        <f aca="false">IF($M472="","",INDEX(伝票元!$G$6:$G$511,$M472))</f>
        <v/>
      </c>
      <c r="J472" s="42" t="str">
        <f aca="false">IF($M472="","",INDEX(伝票元!$H$6:$H$511,$M472))</f>
        <v/>
      </c>
      <c r="K472" s="46" t="str">
        <f aca="false">IF(IF($M472="",0,INDEX(伝票元!$N$6:$N$511,$M472))=1,INDEX(伝票元!$R$6:$R$511,$M472),"")</f>
        <v/>
      </c>
      <c r="L472" s="47" t="str">
        <f aca="false">IF($M472="","",INDEX(伝票元!$S$6:$S$511,$M472))</f>
        <v/>
      </c>
      <c r="M472" s="47" t="str">
        <f aca="false">IFERROR(MATCH(466,伝票元!$O$6:$O$511,0),"")</f>
        <v/>
      </c>
    </row>
    <row r="473" customFormat="false" ht="15" hidden="false" customHeight="false" outlineLevel="0" collapsed="false">
      <c r="A473" s="10" t="str">
        <f aca="false">IF($M473="","",INDEX(伝票元!$P$6:$P$511,$M473))</f>
        <v/>
      </c>
      <c r="B473" s="45" t="str">
        <f aca="false">IF($M473="","",INDEX(伝票元!$D$6:$D$511,$M473))</f>
        <v/>
      </c>
      <c r="C473" s="10" t="str">
        <f aca="false">IF($M473="","",INDEX(伝票元!$E$6:$E$511,$M473))</f>
        <v/>
      </c>
      <c r="D473" s="45" t="str">
        <f aca="false">IF($M473="","",INDEX(伝票元!$A$6:$A$511,$M473))</f>
        <v/>
      </c>
      <c r="E473" s="10" t="str">
        <f aca="false">IF(IF($M473="",0,INDEX(伝票元!$N$6:$N$511,$M473))=1,INDEX(伝票元!$I$6:$I$511,$M473),"")</f>
        <v/>
      </c>
      <c r="F473" s="45" t="str">
        <f aca="false">IF(IF($M473="",0,INDEX(伝票元!$N$6:$N$511,$M473))=1,INDEX(伝票元!$J$6:$J$511,$M473),"")</f>
        <v/>
      </c>
      <c r="G473" s="42" t="str">
        <f aca="false">IF(IF($M473="",0,INDEX(伝票元!$N$6:$N$511,$M473))=1,INDEX(伝票元!$Q$6:$Q$511,$M473),"")</f>
        <v/>
      </c>
      <c r="H473" s="45" t="str">
        <f aca="false">IF($M473="","",INDEX(伝票元!$F$6:$F$511,$M473))</f>
        <v/>
      </c>
      <c r="I473" s="45" t="str">
        <f aca="false">IF($M473="","",INDEX(伝票元!$G$6:$G$511,$M473))</f>
        <v/>
      </c>
      <c r="J473" s="42" t="str">
        <f aca="false">IF($M473="","",INDEX(伝票元!$H$6:$H$511,$M473))</f>
        <v/>
      </c>
      <c r="K473" s="46" t="str">
        <f aca="false">IF(IF($M473="",0,INDEX(伝票元!$N$6:$N$511,$M473))=1,INDEX(伝票元!$R$6:$R$511,$M473),"")</f>
        <v/>
      </c>
      <c r="L473" s="47" t="str">
        <f aca="false">IF($M473="","",INDEX(伝票元!$S$6:$S$511,$M473))</f>
        <v/>
      </c>
      <c r="M473" s="47" t="str">
        <f aca="false">IFERROR(MATCH(467,伝票元!$O$6:$O$511,0),"")</f>
        <v/>
      </c>
    </row>
    <row r="474" customFormat="false" ht="15" hidden="false" customHeight="false" outlineLevel="0" collapsed="false">
      <c r="A474" s="10" t="str">
        <f aca="false">IF($M474="","",INDEX(伝票元!$P$6:$P$511,$M474))</f>
        <v/>
      </c>
      <c r="B474" s="45" t="str">
        <f aca="false">IF($M474="","",INDEX(伝票元!$D$6:$D$511,$M474))</f>
        <v/>
      </c>
      <c r="C474" s="10" t="str">
        <f aca="false">IF($M474="","",INDEX(伝票元!$E$6:$E$511,$M474))</f>
        <v/>
      </c>
      <c r="D474" s="45" t="str">
        <f aca="false">IF($M474="","",INDEX(伝票元!$A$6:$A$511,$M474))</f>
        <v/>
      </c>
      <c r="E474" s="10" t="str">
        <f aca="false">IF(IF($M474="",0,INDEX(伝票元!$N$6:$N$511,$M474))=1,INDEX(伝票元!$I$6:$I$511,$M474),"")</f>
        <v/>
      </c>
      <c r="F474" s="45" t="str">
        <f aca="false">IF(IF($M474="",0,INDEX(伝票元!$N$6:$N$511,$M474))=1,INDEX(伝票元!$J$6:$J$511,$M474),"")</f>
        <v/>
      </c>
      <c r="G474" s="42" t="str">
        <f aca="false">IF(IF($M474="",0,INDEX(伝票元!$N$6:$N$511,$M474))=1,INDEX(伝票元!$Q$6:$Q$511,$M474),"")</f>
        <v/>
      </c>
      <c r="H474" s="45" t="str">
        <f aca="false">IF($M474="","",INDEX(伝票元!$F$6:$F$511,$M474))</f>
        <v/>
      </c>
      <c r="I474" s="45" t="str">
        <f aca="false">IF($M474="","",INDEX(伝票元!$G$6:$G$511,$M474))</f>
        <v/>
      </c>
      <c r="J474" s="42" t="str">
        <f aca="false">IF($M474="","",INDEX(伝票元!$H$6:$H$511,$M474))</f>
        <v/>
      </c>
      <c r="K474" s="46" t="str">
        <f aca="false">IF(IF($M474="",0,INDEX(伝票元!$N$6:$N$511,$M474))=1,INDEX(伝票元!$R$6:$R$511,$M474),"")</f>
        <v/>
      </c>
      <c r="L474" s="47" t="str">
        <f aca="false">IF($M474="","",INDEX(伝票元!$S$6:$S$511,$M474))</f>
        <v/>
      </c>
      <c r="M474" s="47" t="str">
        <f aca="false">IFERROR(MATCH(468,伝票元!$O$6:$O$511,0),"")</f>
        <v/>
      </c>
    </row>
    <row r="475" customFormat="false" ht="15" hidden="false" customHeight="false" outlineLevel="0" collapsed="false">
      <c r="A475" s="10" t="str">
        <f aca="false">IF($M475="","",INDEX(伝票元!$P$6:$P$511,$M475))</f>
        <v/>
      </c>
      <c r="B475" s="45" t="str">
        <f aca="false">IF($M475="","",INDEX(伝票元!$D$6:$D$511,$M475))</f>
        <v/>
      </c>
      <c r="C475" s="10" t="str">
        <f aca="false">IF($M475="","",INDEX(伝票元!$E$6:$E$511,$M475))</f>
        <v/>
      </c>
      <c r="D475" s="45" t="str">
        <f aca="false">IF($M475="","",INDEX(伝票元!$A$6:$A$511,$M475))</f>
        <v/>
      </c>
      <c r="E475" s="10" t="str">
        <f aca="false">IF(IF($M475="",0,INDEX(伝票元!$N$6:$N$511,$M475))=1,INDEX(伝票元!$I$6:$I$511,$M475),"")</f>
        <v/>
      </c>
      <c r="F475" s="45" t="str">
        <f aca="false">IF(IF($M475="",0,INDEX(伝票元!$N$6:$N$511,$M475))=1,INDEX(伝票元!$J$6:$J$511,$M475),"")</f>
        <v/>
      </c>
      <c r="G475" s="42" t="str">
        <f aca="false">IF(IF($M475="",0,INDEX(伝票元!$N$6:$N$511,$M475))=1,INDEX(伝票元!$Q$6:$Q$511,$M475),"")</f>
        <v/>
      </c>
      <c r="H475" s="45" t="str">
        <f aca="false">IF($M475="","",INDEX(伝票元!$F$6:$F$511,$M475))</f>
        <v/>
      </c>
      <c r="I475" s="45" t="str">
        <f aca="false">IF($M475="","",INDEX(伝票元!$G$6:$G$511,$M475))</f>
        <v/>
      </c>
      <c r="J475" s="42" t="str">
        <f aca="false">IF($M475="","",INDEX(伝票元!$H$6:$H$511,$M475))</f>
        <v/>
      </c>
      <c r="K475" s="46" t="str">
        <f aca="false">IF(IF($M475="",0,INDEX(伝票元!$N$6:$N$511,$M475))=1,INDEX(伝票元!$R$6:$R$511,$M475),"")</f>
        <v/>
      </c>
      <c r="L475" s="47" t="str">
        <f aca="false">IF($M475="","",INDEX(伝票元!$S$6:$S$511,$M475))</f>
        <v/>
      </c>
      <c r="M475" s="47" t="str">
        <f aca="false">IFERROR(MATCH(469,伝票元!$O$6:$O$511,0),"")</f>
        <v/>
      </c>
    </row>
    <row r="476" customFormat="false" ht="15" hidden="false" customHeight="false" outlineLevel="0" collapsed="false">
      <c r="A476" s="10" t="str">
        <f aca="false">IF($M476="","",INDEX(伝票元!$P$6:$P$511,$M476))</f>
        <v/>
      </c>
      <c r="B476" s="45" t="str">
        <f aca="false">IF($M476="","",INDEX(伝票元!$D$6:$D$511,$M476))</f>
        <v/>
      </c>
      <c r="C476" s="10" t="str">
        <f aca="false">IF($M476="","",INDEX(伝票元!$E$6:$E$511,$M476))</f>
        <v/>
      </c>
      <c r="D476" s="45" t="str">
        <f aca="false">IF($M476="","",INDEX(伝票元!$A$6:$A$511,$M476))</f>
        <v/>
      </c>
      <c r="E476" s="10" t="str">
        <f aca="false">IF(IF($M476="",0,INDEX(伝票元!$N$6:$N$511,$M476))=1,INDEX(伝票元!$I$6:$I$511,$M476),"")</f>
        <v/>
      </c>
      <c r="F476" s="45" t="str">
        <f aca="false">IF(IF($M476="",0,INDEX(伝票元!$N$6:$N$511,$M476))=1,INDEX(伝票元!$J$6:$J$511,$M476),"")</f>
        <v/>
      </c>
      <c r="G476" s="42" t="str">
        <f aca="false">IF(IF($M476="",0,INDEX(伝票元!$N$6:$N$511,$M476))=1,INDEX(伝票元!$Q$6:$Q$511,$M476),"")</f>
        <v/>
      </c>
      <c r="H476" s="45" t="str">
        <f aca="false">IF($M476="","",INDEX(伝票元!$F$6:$F$511,$M476))</f>
        <v/>
      </c>
      <c r="I476" s="45" t="str">
        <f aca="false">IF($M476="","",INDEX(伝票元!$G$6:$G$511,$M476))</f>
        <v/>
      </c>
      <c r="J476" s="42" t="str">
        <f aca="false">IF($M476="","",INDEX(伝票元!$H$6:$H$511,$M476))</f>
        <v/>
      </c>
      <c r="K476" s="46" t="str">
        <f aca="false">IF(IF($M476="",0,INDEX(伝票元!$N$6:$N$511,$M476))=1,INDEX(伝票元!$R$6:$R$511,$M476),"")</f>
        <v/>
      </c>
      <c r="L476" s="47" t="str">
        <f aca="false">IF($M476="","",INDEX(伝票元!$S$6:$S$511,$M476))</f>
        <v/>
      </c>
      <c r="M476" s="47" t="str">
        <f aca="false">IFERROR(MATCH(470,伝票元!$O$6:$O$511,0),"")</f>
        <v/>
      </c>
    </row>
    <row r="477" customFormat="false" ht="15" hidden="false" customHeight="false" outlineLevel="0" collapsed="false">
      <c r="A477" s="10" t="str">
        <f aca="false">IF($M477="","",INDEX(伝票元!$P$6:$P$511,$M477))</f>
        <v/>
      </c>
      <c r="B477" s="45" t="str">
        <f aca="false">IF($M477="","",INDEX(伝票元!$D$6:$D$511,$M477))</f>
        <v/>
      </c>
      <c r="C477" s="10" t="str">
        <f aca="false">IF($M477="","",INDEX(伝票元!$E$6:$E$511,$M477))</f>
        <v/>
      </c>
      <c r="D477" s="45" t="str">
        <f aca="false">IF($M477="","",INDEX(伝票元!$A$6:$A$511,$M477))</f>
        <v/>
      </c>
      <c r="E477" s="10" t="str">
        <f aca="false">IF(IF($M477="",0,INDEX(伝票元!$N$6:$N$511,$M477))=1,INDEX(伝票元!$I$6:$I$511,$M477),"")</f>
        <v/>
      </c>
      <c r="F477" s="45" t="str">
        <f aca="false">IF(IF($M477="",0,INDEX(伝票元!$N$6:$N$511,$M477))=1,INDEX(伝票元!$J$6:$J$511,$M477),"")</f>
        <v/>
      </c>
      <c r="G477" s="42" t="str">
        <f aca="false">IF(IF($M477="",0,INDEX(伝票元!$N$6:$N$511,$M477))=1,INDEX(伝票元!$Q$6:$Q$511,$M477),"")</f>
        <v/>
      </c>
      <c r="H477" s="45" t="str">
        <f aca="false">IF($M477="","",INDEX(伝票元!$F$6:$F$511,$M477))</f>
        <v/>
      </c>
      <c r="I477" s="45" t="str">
        <f aca="false">IF($M477="","",INDEX(伝票元!$G$6:$G$511,$M477))</f>
        <v/>
      </c>
      <c r="J477" s="42" t="str">
        <f aca="false">IF($M477="","",INDEX(伝票元!$H$6:$H$511,$M477))</f>
        <v/>
      </c>
      <c r="K477" s="46" t="str">
        <f aca="false">IF(IF($M477="",0,INDEX(伝票元!$N$6:$N$511,$M477))=1,INDEX(伝票元!$R$6:$R$511,$M477),"")</f>
        <v/>
      </c>
      <c r="L477" s="47" t="str">
        <f aca="false">IF($M477="","",INDEX(伝票元!$S$6:$S$511,$M477))</f>
        <v/>
      </c>
      <c r="M477" s="47" t="str">
        <f aca="false">IFERROR(MATCH(471,伝票元!$O$6:$O$511,0),"")</f>
        <v/>
      </c>
    </row>
    <row r="478" customFormat="false" ht="15" hidden="false" customHeight="false" outlineLevel="0" collapsed="false">
      <c r="A478" s="10" t="str">
        <f aca="false">IF($M478="","",INDEX(伝票元!$P$6:$P$511,$M478))</f>
        <v/>
      </c>
      <c r="B478" s="45" t="str">
        <f aca="false">IF($M478="","",INDEX(伝票元!$D$6:$D$511,$M478))</f>
        <v/>
      </c>
      <c r="C478" s="10" t="str">
        <f aca="false">IF($M478="","",INDEX(伝票元!$E$6:$E$511,$M478))</f>
        <v/>
      </c>
      <c r="D478" s="45" t="str">
        <f aca="false">IF($M478="","",INDEX(伝票元!$A$6:$A$511,$M478))</f>
        <v/>
      </c>
      <c r="E478" s="10" t="str">
        <f aca="false">IF(IF($M478="",0,INDEX(伝票元!$N$6:$N$511,$M478))=1,INDEX(伝票元!$I$6:$I$511,$M478),"")</f>
        <v/>
      </c>
      <c r="F478" s="45" t="str">
        <f aca="false">IF(IF($M478="",0,INDEX(伝票元!$N$6:$N$511,$M478))=1,INDEX(伝票元!$J$6:$J$511,$M478),"")</f>
        <v/>
      </c>
      <c r="G478" s="42" t="str">
        <f aca="false">IF(IF($M478="",0,INDEX(伝票元!$N$6:$N$511,$M478))=1,INDEX(伝票元!$Q$6:$Q$511,$M478),"")</f>
        <v/>
      </c>
      <c r="H478" s="45" t="str">
        <f aca="false">IF($M478="","",INDEX(伝票元!$F$6:$F$511,$M478))</f>
        <v/>
      </c>
      <c r="I478" s="45" t="str">
        <f aca="false">IF($M478="","",INDEX(伝票元!$G$6:$G$511,$M478))</f>
        <v/>
      </c>
      <c r="J478" s="42" t="str">
        <f aca="false">IF($M478="","",INDEX(伝票元!$H$6:$H$511,$M478))</f>
        <v/>
      </c>
      <c r="K478" s="46" t="str">
        <f aca="false">IF(IF($M478="",0,INDEX(伝票元!$N$6:$N$511,$M478))=1,INDEX(伝票元!$R$6:$R$511,$M478),"")</f>
        <v/>
      </c>
      <c r="L478" s="47" t="str">
        <f aca="false">IF($M478="","",INDEX(伝票元!$S$6:$S$511,$M478))</f>
        <v/>
      </c>
      <c r="M478" s="47" t="str">
        <f aca="false">IFERROR(MATCH(472,伝票元!$O$6:$O$511,0),"")</f>
        <v/>
      </c>
    </row>
    <row r="479" customFormat="false" ht="15" hidden="false" customHeight="false" outlineLevel="0" collapsed="false">
      <c r="A479" s="10" t="str">
        <f aca="false">IF($M479="","",INDEX(伝票元!$P$6:$P$511,$M479))</f>
        <v/>
      </c>
      <c r="B479" s="45" t="str">
        <f aca="false">IF($M479="","",INDEX(伝票元!$D$6:$D$511,$M479))</f>
        <v/>
      </c>
      <c r="C479" s="10" t="str">
        <f aca="false">IF($M479="","",INDEX(伝票元!$E$6:$E$511,$M479))</f>
        <v/>
      </c>
      <c r="D479" s="45" t="str">
        <f aca="false">IF($M479="","",INDEX(伝票元!$A$6:$A$511,$M479))</f>
        <v/>
      </c>
      <c r="E479" s="10" t="str">
        <f aca="false">IF(IF($M479="",0,INDEX(伝票元!$N$6:$N$511,$M479))=1,INDEX(伝票元!$I$6:$I$511,$M479),"")</f>
        <v/>
      </c>
      <c r="F479" s="45" t="str">
        <f aca="false">IF(IF($M479="",0,INDEX(伝票元!$N$6:$N$511,$M479))=1,INDEX(伝票元!$J$6:$J$511,$M479),"")</f>
        <v/>
      </c>
      <c r="G479" s="42" t="str">
        <f aca="false">IF(IF($M479="",0,INDEX(伝票元!$N$6:$N$511,$M479))=1,INDEX(伝票元!$Q$6:$Q$511,$M479),"")</f>
        <v/>
      </c>
      <c r="H479" s="45" t="str">
        <f aca="false">IF($M479="","",INDEX(伝票元!$F$6:$F$511,$M479))</f>
        <v/>
      </c>
      <c r="I479" s="45" t="str">
        <f aca="false">IF($M479="","",INDEX(伝票元!$G$6:$G$511,$M479))</f>
        <v/>
      </c>
      <c r="J479" s="42" t="str">
        <f aca="false">IF($M479="","",INDEX(伝票元!$H$6:$H$511,$M479))</f>
        <v/>
      </c>
      <c r="K479" s="46" t="str">
        <f aca="false">IF(IF($M479="",0,INDEX(伝票元!$N$6:$N$511,$M479))=1,INDEX(伝票元!$R$6:$R$511,$M479),"")</f>
        <v/>
      </c>
      <c r="L479" s="47" t="str">
        <f aca="false">IF($M479="","",INDEX(伝票元!$S$6:$S$511,$M479))</f>
        <v/>
      </c>
      <c r="M479" s="47" t="str">
        <f aca="false">IFERROR(MATCH(473,伝票元!$O$6:$O$511,0),"")</f>
        <v/>
      </c>
    </row>
    <row r="480" customFormat="false" ht="15" hidden="false" customHeight="false" outlineLevel="0" collapsed="false">
      <c r="A480" s="10" t="str">
        <f aca="false">IF($M480="","",INDEX(伝票元!$P$6:$P$511,$M480))</f>
        <v/>
      </c>
      <c r="B480" s="45" t="str">
        <f aca="false">IF($M480="","",INDEX(伝票元!$D$6:$D$511,$M480))</f>
        <v/>
      </c>
      <c r="C480" s="10" t="str">
        <f aca="false">IF($M480="","",INDEX(伝票元!$E$6:$E$511,$M480))</f>
        <v/>
      </c>
      <c r="D480" s="45" t="str">
        <f aca="false">IF($M480="","",INDEX(伝票元!$A$6:$A$511,$M480))</f>
        <v/>
      </c>
      <c r="E480" s="10" t="str">
        <f aca="false">IF(IF($M480="",0,INDEX(伝票元!$N$6:$N$511,$M480))=1,INDEX(伝票元!$I$6:$I$511,$M480),"")</f>
        <v/>
      </c>
      <c r="F480" s="45" t="str">
        <f aca="false">IF(IF($M480="",0,INDEX(伝票元!$N$6:$N$511,$M480))=1,INDEX(伝票元!$J$6:$J$511,$M480),"")</f>
        <v/>
      </c>
      <c r="G480" s="42" t="str">
        <f aca="false">IF(IF($M480="",0,INDEX(伝票元!$N$6:$N$511,$M480))=1,INDEX(伝票元!$Q$6:$Q$511,$M480),"")</f>
        <v/>
      </c>
      <c r="H480" s="45" t="str">
        <f aca="false">IF($M480="","",INDEX(伝票元!$F$6:$F$511,$M480))</f>
        <v/>
      </c>
      <c r="I480" s="45" t="str">
        <f aca="false">IF($M480="","",INDEX(伝票元!$G$6:$G$511,$M480))</f>
        <v/>
      </c>
      <c r="J480" s="42" t="str">
        <f aca="false">IF($M480="","",INDEX(伝票元!$H$6:$H$511,$M480))</f>
        <v/>
      </c>
      <c r="K480" s="46" t="str">
        <f aca="false">IF(IF($M480="",0,INDEX(伝票元!$N$6:$N$511,$M480))=1,INDEX(伝票元!$R$6:$R$511,$M480),"")</f>
        <v/>
      </c>
      <c r="L480" s="47" t="str">
        <f aca="false">IF($M480="","",INDEX(伝票元!$S$6:$S$511,$M480))</f>
        <v/>
      </c>
      <c r="M480" s="47" t="str">
        <f aca="false">IFERROR(MATCH(474,伝票元!$O$6:$O$511,0),"")</f>
        <v/>
      </c>
    </row>
    <row r="481" customFormat="false" ht="15" hidden="false" customHeight="false" outlineLevel="0" collapsed="false">
      <c r="A481" s="10" t="str">
        <f aca="false">IF($M481="","",INDEX(伝票元!$P$6:$P$511,$M481))</f>
        <v/>
      </c>
      <c r="B481" s="45" t="str">
        <f aca="false">IF($M481="","",INDEX(伝票元!$D$6:$D$511,$M481))</f>
        <v/>
      </c>
      <c r="C481" s="10" t="str">
        <f aca="false">IF($M481="","",INDEX(伝票元!$E$6:$E$511,$M481))</f>
        <v/>
      </c>
      <c r="D481" s="45" t="str">
        <f aca="false">IF($M481="","",INDEX(伝票元!$A$6:$A$511,$M481))</f>
        <v/>
      </c>
      <c r="E481" s="10" t="str">
        <f aca="false">IF(IF($M481="",0,INDEX(伝票元!$N$6:$N$511,$M481))=1,INDEX(伝票元!$I$6:$I$511,$M481),"")</f>
        <v/>
      </c>
      <c r="F481" s="45" t="str">
        <f aca="false">IF(IF($M481="",0,INDEX(伝票元!$N$6:$N$511,$M481))=1,INDEX(伝票元!$J$6:$J$511,$M481),"")</f>
        <v/>
      </c>
      <c r="G481" s="42" t="str">
        <f aca="false">IF(IF($M481="",0,INDEX(伝票元!$N$6:$N$511,$M481))=1,INDEX(伝票元!$Q$6:$Q$511,$M481),"")</f>
        <v/>
      </c>
      <c r="H481" s="45" t="str">
        <f aca="false">IF($M481="","",INDEX(伝票元!$F$6:$F$511,$M481))</f>
        <v/>
      </c>
      <c r="I481" s="45" t="str">
        <f aca="false">IF($M481="","",INDEX(伝票元!$G$6:$G$511,$M481))</f>
        <v/>
      </c>
      <c r="J481" s="42" t="str">
        <f aca="false">IF($M481="","",INDEX(伝票元!$H$6:$H$511,$M481))</f>
        <v/>
      </c>
      <c r="K481" s="46" t="str">
        <f aca="false">IF(IF($M481="",0,INDEX(伝票元!$N$6:$N$511,$M481))=1,INDEX(伝票元!$R$6:$R$511,$M481),"")</f>
        <v/>
      </c>
      <c r="L481" s="47" t="str">
        <f aca="false">IF($M481="","",INDEX(伝票元!$S$6:$S$511,$M481))</f>
        <v/>
      </c>
      <c r="M481" s="47" t="str">
        <f aca="false">IFERROR(MATCH(475,伝票元!$O$6:$O$511,0),"")</f>
        <v/>
      </c>
    </row>
    <row r="482" customFormat="false" ht="15" hidden="false" customHeight="false" outlineLevel="0" collapsed="false">
      <c r="A482" s="10" t="str">
        <f aca="false">IF($M482="","",INDEX(伝票元!$P$6:$P$511,$M482))</f>
        <v/>
      </c>
      <c r="B482" s="45" t="str">
        <f aca="false">IF($M482="","",INDEX(伝票元!$D$6:$D$511,$M482))</f>
        <v/>
      </c>
      <c r="C482" s="10" t="str">
        <f aca="false">IF($M482="","",INDEX(伝票元!$E$6:$E$511,$M482))</f>
        <v/>
      </c>
      <c r="D482" s="45" t="str">
        <f aca="false">IF($M482="","",INDEX(伝票元!$A$6:$A$511,$M482))</f>
        <v/>
      </c>
      <c r="E482" s="10" t="str">
        <f aca="false">IF(IF($M482="",0,INDEX(伝票元!$N$6:$N$511,$M482))=1,INDEX(伝票元!$I$6:$I$511,$M482),"")</f>
        <v/>
      </c>
      <c r="F482" s="45" t="str">
        <f aca="false">IF(IF($M482="",0,INDEX(伝票元!$N$6:$N$511,$M482))=1,INDEX(伝票元!$J$6:$J$511,$M482),"")</f>
        <v/>
      </c>
      <c r="G482" s="42" t="str">
        <f aca="false">IF(IF($M482="",0,INDEX(伝票元!$N$6:$N$511,$M482))=1,INDEX(伝票元!$Q$6:$Q$511,$M482),"")</f>
        <v/>
      </c>
      <c r="H482" s="45" t="str">
        <f aca="false">IF($M482="","",INDEX(伝票元!$F$6:$F$511,$M482))</f>
        <v/>
      </c>
      <c r="I482" s="45" t="str">
        <f aca="false">IF($M482="","",INDEX(伝票元!$G$6:$G$511,$M482))</f>
        <v/>
      </c>
      <c r="J482" s="42" t="str">
        <f aca="false">IF($M482="","",INDEX(伝票元!$H$6:$H$511,$M482))</f>
        <v/>
      </c>
      <c r="K482" s="46" t="str">
        <f aca="false">IF(IF($M482="",0,INDEX(伝票元!$N$6:$N$511,$M482))=1,INDEX(伝票元!$R$6:$R$511,$M482),"")</f>
        <v/>
      </c>
      <c r="L482" s="47" t="str">
        <f aca="false">IF($M482="","",INDEX(伝票元!$S$6:$S$511,$M482))</f>
        <v/>
      </c>
      <c r="M482" s="47" t="str">
        <f aca="false">IFERROR(MATCH(476,伝票元!$O$6:$O$511,0),"")</f>
        <v/>
      </c>
    </row>
    <row r="483" customFormat="false" ht="15" hidden="false" customHeight="false" outlineLevel="0" collapsed="false">
      <c r="A483" s="10" t="str">
        <f aca="false">IF($M483="","",INDEX(伝票元!$P$6:$P$511,$M483))</f>
        <v/>
      </c>
      <c r="B483" s="45" t="str">
        <f aca="false">IF($M483="","",INDEX(伝票元!$D$6:$D$511,$M483))</f>
        <v/>
      </c>
      <c r="C483" s="10" t="str">
        <f aca="false">IF($M483="","",INDEX(伝票元!$E$6:$E$511,$M483))</f>
        <v/>
      </c>
      <c r="D483" s="45" t="str">
        <f aca="false">IF($M483="","",INDEX(伝票元!$A$6:$A$511,$M483))</f>
        <v/>
      </c>
      <c r="E483" s="10" t="str">
        <f aca="false">IF(IF($M483="",0,INDEX(伝票元!$N$6:$N$511,$M483))=1,INDEX(伝票元!$I$6:$I$511,$M483),"")</f>
        <v/>
      </c>
      <c r="F483" s="45" t="str">
        <f aca="false">IF(IF($M483="",0,INDEX(伝票元!$N$6:$N$511,$M483))=1,INDEX(伝票元!$J$6:$J$511,$M483),"")</f>
        <v/>
      </c>
      <c r="G483" s="42" t="str">
        <f aca="false">IF(IF($M483="",0,INDEX(伝票元!$N$6:$N$511,$M483))=1,INDEX(伝票元!$Q$6:$Q$511,$M483),"")</f>
        <v/>
      </c>
      <c r="H483" s="45" t="str">
        <f aca="false">IF($M483="","",INDEX(伝票元!$F$6:$F$511,$M483))</f>
        <v/>
      </c>
      <c r="I483" s="45" t="str">
        <f aca="false">IF($M483="","",INDEX(伝票元!$G$6:$G$511,$M483))</f>
        <v/>
      </c>
      <c r="J483" s="42" t="str">
        <f aca="false">IF($M483="","",INDEX(伝票元!$H$6:$H$511,$M483))</f>
        <v/>
      </c>
      <c r="K483" s="46" t="str">
        <f aca="false">IF(IF($M483="",0,INDEX(伝票元!$N$6:$N$511,$M483))=1,INDEX(伝票元!$R$6:$R$511,$M483),"")</f>
        <v/>
      </c>
      <c r="L483" s="47" t="str">
        <f aca="false">IF($M483="","",INDEX(伝票元!$S$6:$S$511,$M483))</f>
        <v/>
      </c>
      <c r="M483" s="47" t="str">
        <f aca="false">IFERROR(MATCH(477,伝票元!$O$6:$O$511,0),"")</f>
        <v/>
      </c>
    </row>
    <row r="484" customFormat="false" ht="15" hidden="false" customHeight="false" outlineLevel="0" collapsed="false">
      <c r="A484" s="10" t="str">
        <f aca="false">IF($M484="","",INDEX(伝票元!$P$6:$P$511,$M484))</f>
        <v/>
      </c>
      <c r="B484" s="45" t="str">
        <f aca="false">IF($M484="","",INDEX(伝票元!$D$6:$D$511,$M484))</f>
        <v/>
      </c>
      <c r="C484" s="10" t="str">
        <f aca="false">IF($M484="","",INDEX(伝票元!$E$6:$E$511,$M484))</f>
        <v/>
      </c>
      <c r="D484" s="45" t="str">
        <f aca="false">IF($M484="","",INDEX(伝票元!$A$6:$A$511,$M484))</f>
        <v/>
      </c>
      <c r="E484" s="10" t="str">
        <f aca="false">IF(IF($M484="",0,INDEX(伝票元!$N$6:$N$511,$M484))=1,INDEX(伝票元!$I$6:$I$511,$M484),"")</f>
        <v/>
      </c>
      <c r="F484" s="45" t="str">
        <f aca="false">IF(IF($M484="",0,INDEX(伝票元!$N$6:$N$511,$M484))=1,INDEX(伝票元!$J$6:$J$511,$M484),"")</f>
        <v/>
      </c>
      <c r="G484" s="42" t="str">
        <f aca="false">IF(IF($M484="",0,INDEX(伝票元!$N$6:$N$511,$M484))=1,INDEX(伝票元!$Q$6:$Q$511,$M484),"")</f>
        <v/>
      </c>
      <c r="H484" s="45" t="str">
        <f aca="false">IF($M484="","",INDEX(伝票元!$F$6:$F$511,$M484))</f>
        <v/>
      </c>
      <c r="I484" s="45" t="str">
        <f aca="false">IF($M484="","",INDEX(伝票元!$G$6:$G$511,$M484))</f>
        <v/>
      </c>
      <c r="J484" s="42" t="str">
        <f aca="false">IF($M484="","",INDEX(伝票元!$H$6:$H$511,$M484))</f>
        <v/>
      </c>
      <c r="K484" s="46" t="str">
        <f aca="false">IF(IF($M484="",0,INDEX(伝票元!$N$6:$N$511,$M484))=1,INDEX(伝票元!$R$6:$R$511,$M484),"")</f>
        <v/>
      </c>
      <c r="L484" s="47" t="str">
        <f aca="false">IF($M484="","",INDEX(伝票元!$S$6:$S$511,$M484))</f>
        <v/>
      </c>
      <c r="M484" s="47" t="str">
        <f aca="false">IFERROR(MATCH(478,伝票元!$O$6:$O$511,0),"")</f>
        <v/>
      </c>
    </row>
    <row r="485" customFormat="false" ht="15" hidden="false" customHeight="false" outlineLevel="0" collapsed="false">
      <c r="A485" s="10" t="str">
        <f aca="false">IF($M485="","",INDEX(伝票元!$P$6:$P$511,$M485))</f>
        <v/>
      </c>
      <c r="B485" s="45" t="str">
        <f aca="false">IF($M485="","",INDEX(伝票元!$D$6:$D$511,$M485))</f>
        <v/>
      </c>
      <c r="C485" s="10" t="str">
        <f aca="false">IF($M485="","",INDEX(伝票元!$E$6:$E$511,$M485))</f>
        <v/>
      </c>
      <c r="D485" s="45" t="str">
        <f aca="false">IF($M485="","",INDEX(伝票元!$A$6:$A$511,$M485))</f>
        <v/>
      </c>
      <c r="E485" s="10" t="str">
        <f aca="false">IF(IF($M485="",0,INDEX(伝票元!$N$6:$N$511,$M485))=1,INDEX(伝票元!$I$6:$I$511,$M485),"")</f>
        <v/>
      </c>
      <c r="F485" s="45" t="str">
        <f aca="false">IF(IF($M485="",0,INDEX(伝票元!$N$6:$N$511,$M485))=1,INDEX(伝票元!$J$6:$J$511,$M485),"")</f>
        <v/>
      </c>
      <c r="G485" s="42" t="str">
        <f aca="false">IF(IF($M485="",0,INDEX(伝票元!$N$6:$N$511,$M485))=1,INDEX(伝票元!$Q$6:$Q$511,$M485),"")</f>
        <v/>
      </c>
      <c r="H485" s="45" t="str">
        <f aca="false">IF($M485="","",INDEX(伝票元!$F$6:$F$511,$M485))</f>
        <v/>
      </c>
      <c r="I485" s="45" t="str">
        <f aca="false">IF($M485="","",INDEX(伝票元!$G$6:$G$511,$M485))</f>
        <v/>
      </c>
      <c r="J485" s="42" t="str">
        <f aca="false">IF($M485="","",INDEX(伝票元!$H$6:$H$511,$M485))</f>
        <v/>
      </c>
      <c r="K485" s="46" t="str">
        <f aca="false">IF(IF($M485="",0,INDEX(伝票元!$N$6:$N$511,$M485))=1,INDEX(伝票元!$R$6:$R$511,$M485),"")</f>
        <v/>
      </c>
      <c r="L485" s="47" t="str">
        <f aca="false">IF($M485="","",INDEX(伝票元!$S$6:$S$511,$M485))</f>
        <v/>
      </c>
      <c r="M485" s="47" t="str">
        <f aca="false">IFERROR(MATCH(479,伝票元!$O$6:$O$511,0),"")</f>
        <v/>
      </c>
    </row>
    <row r="486" customFormat="false" ht="15" hidden="false" customHeight="false" outlineLevel="0" collapsed="false">
      <c r="A486" s="10" t="str">
        <f aca="false">IF($M486="","",INDEX(伝票元!$P$6:$P$511,$M486))</f>
        <v/>
      </c>
      <c r="B486" s="45" t="str">
        <f aca="false">IF($M486="","",INDEX(伝票元!$D$6:$D$511,$M486))</f>
        <v/>
      </c>
      <c r="C486" s="10" t="str">
        <f aca="false">IF($M486="","",INDEX(伝票元!$E$6:$E$511,$M486))</f>
        <v/>
      </c>
      <c r="D486" s="45" t="str">
        <f aca="false">IF($M486="","",INDEX(伝票元!$A$6:$A$511,$M486))</f>
        <v/>
      </c>
      <c r="E486" s="10" t="str">
        <f aca="false">IF(IF($M486="",0,INDEX(伝票元!$N$6:$N$511,$M486))=1,INDEX(伝票元!$I$6:$I$511,$M486),"")</f>
        <v/>
      </c>
      <c r="F486" s="45" t="str">
        <f aca="false">IF(IF($M486="",0,INDEX(伝票元!$N$6:$N$511,$M486))=1,INDEX(伝票元!$J$6:$J$511,$M486),"")</f>
        <v/>
      </c>
      <c r="G486" s="42" t="str">
        <f aca="false">IF(IF($M486="",0,INDEX(伝票元!$N$6:$N$511,$M486))=1,INDEX(伝票元!$Q$6:$Q$511,$M486),"")</f>
        <v/>
      </c>
      <c r="H486" s="45" t="str">
        <f aca="false">IF($M486="","",INDEX(伝票元!$F$6:$F$511,$M486))</f>
        <v/>
      </c>
      <c r="I486" s="45" t="str">
        <f aca="false">IF($M486="","",INDEX(伝票元!$G$6:$G$511,$M486))</f>
        <v/>
      </c>
      <c r="J486" s="42" t="str">
        <f aca="false">IF($M486="","",INDEX(伝票元!$H$6:$H$511,$M486))</f>
        <v/>
      </c>
      <c r="K486" s="46" t="str">
        <f aca="false">IF(IF($M486="",0,INDEX(伝票元!$N$6:$N$511,$M486))=1,INDEX(伝票元!$R$6:$R$511,$M486),"")</f>
        <v/>
      </c>
      <c r="L486" s="47" t="str">
        <f aca="false">IF($M486="","",INDEX(伝票元!$S$6:$S$511,$M486))</f>
        <v/>
      </c>
      <c r="M486" s="47" t="str">
        <f aca="false">IFERROR(MATCH(480,伝票元!$O$6:$O$511,0),"")</f>
        <v/>
      </c>
    </row>
    <row r="487" customFormat="false" ht="15" hidden="false" customHeight="false" outlineLevel="0" collapsed="false">
      <c r="A487" s="10" t="str">
        <f aca="false">IF($M487="","",INDEX(伝票元!$P$6:$P$511,$M487))</f>
        <v/>
      </c>
      <c r="B487" s="45" t="str">
        <f aca="false">IF($M487="","",INDEX(伝票元!$D$6:$D$511,$M487))</f>
        <v/>
      </c>
      <c r="C487" s="10" t="str">
        <f aca="false">IF($M487="","",INDEX(伝票元!$E$6:$E$511,$M487))</f>
        <v/>
      </c>
      <c r="D487" s="45" t="str">
        <f aca="false">IF($M487="","",INDEX(伝票元!$A$6:$A$511,$M487))</f>
        <v/>
      </c>
      <c r="E487" s="10" t="str">
        <f aca="false">IF(IF($M487="",0,INDEX(伝票元!$N$6:$N$511,$M487))=1,INDEX(伝票元!$I$6:$I$511,$M487),"")</f>
        <v/>
      </c>
      <c r="F487" s="45" t="str">
        <f aca="false">IF(IF($M487="",0,INDEX(伝票元!$N$6:$N$511,$M487))=1,INDEX(伝票元!$J$6:$J$511,$M487),"")</f>
        <v/>
      </c>
      <c r="G487" s="42" t="str">
        <f aca="false">IF(IF($M487="",0,INDEX(伝票元!$N$6:$N$511,$M487))=1,INDEX(伝票元!$Q$6:$Q$511,$M487),"")</f>
        <v/>
      </c>
      <c r="H487" s="45" t="str">
        <f aca="false">IF($M487="","",INDEX(伝票元!$F$6:$F$511,$M487))</f>
        <v/>
      </c>
      <c r="I487" s="45" t="str">
        <f aca="false">IF($M487="","",INDEX(伝票元!$G$6:$G$511,$M487))</f>
        <v/>
      </c>
      <c r="J487" s="42" t="str">
        <f aca="false">IF($M487="","",INDEX(伝票元!$H$6:$H$511,$M487))</f>
        <v/>
      </c>
      <c r="K487" s="46" t="str">
        <f aca="false">IF(IF($M487="",0,INDEX(伝票元!$N$6:$N$511,$M487))=1,INDEX(伝票元!$R$6:$R$511,$M487),"")</f>
        <v/>
      </c>
      <c r="L487" s="47" t="str">
        <f aca="false">IF($M487="","",INDEX(伝票元!$S$6:$S$511,$M487))</f>
        <v/>
      </c>
      <c r="M487" s="47" t="str">
        <f aca="false">IFERROR(MATCH(481,伝票元!$O$6:$O$511,0),"")</f>
        <v/>
      </c>
    </row>
    <row r="488" customFormat="false" ht="15" hidden="false" customHeight="false" outlineLevel="0" collapsed="false">
      <c r="A488" s="10" t="str">
        <f aca="false">IF($M488="","",INDEX(伝票元!$P$6:$P$511,$M488))</f>
        <v/>
      </c>
      <c r="B488" s="45" t="str">
        <f aca="false">IF($M488="","",INDEX(伝票元!$D$6:$D$511,$M488))</f>
        <v/>
      </c>
      <c r="C488" s="10" t="str">
        <f aca="false">IF($M488="","",INDEX(伝票元!$E$6:$E$511,$M488))</f>
        <v/>
      </c>
      <c r="D488" s="45" t="str">
        <f aca="false">IF($M488="","",INDEX(伝票元!$A$6:$A$511,$M488))</f>
        <v/>
      </c>
      <c r="E488" s="10" t="str">
        <f aca="false">IF(IF($M488="",0,INDEX(伝票元!$N$6:$N$511,$M488))=1,INDEX(伝票元!$I$6:$I$511,$M488),"")</f>
        <v/>
      </c>
      <c r="F488" s="45" t="str">
        <f aca="false">IF(IF($M488="",0,INDEX(伝票元!$N$6:$N$511,$M488))=1,INDEX(伝票元!$J$6:$J$511,$M488),"")</f>
        <v/>
      </c>
      <c r="G488" s="42" t="str">
        <f aca="false">IF(IF($M488="",0,INDEX(伝票元!$N$6:$N$511,$M488))=1,INDEX(伝票元!$Q$6:$Q$511,$M488),"")</f>
        <v/>
      </c>
      <c r="H488" s="45" t="str">
        <f aca="false">IF($M488="","",INDEX(伝票元!$F$6:$F$511,$M488))</f>
        <v/>
      </c>
      <c r="I488" s="45" t="str">
        <f aca="false">IF($M488="","",INDEX(伝票元!$G$6:$G$511,$M488))</f>
        <v/>
      </c>
      <c r="J488" s="42" t="str">
        <f aca="false">IF($M488="","",INDEX(伝票元!$H$6:$H$511,$M488))</f>
        <v/>
      </c>
      <c r="K488" s="46" t="str">
        <f aca="false">IF(IF($M488="",0,INDEX(伝票元!$N$6:$N$511,$M488))=1,INDEX(伝票元!$R$6:$R$511,$M488),"")</f>
        <v/>
      </c>
      <c r="L488" s="47" t="str">
        <f aca="false">IF($M488="","",INDEX(伝票元!$S$6:$S$511,$M488))</f>
        <v/>
      </c>
      <c r="M488" s="47" t="str">
        <f aca="false">IFERROR(MATCH(482,伝票元!$O$6:$O$511,0),"")</f>
        <v/>
      </c>
    </row>
    <row r="489" customFormat="false" ht="15" hidden="false" customHeight="false" outlineLevel="0" collapsed="false">
      <c r="A489" s="10" t="str">
        <f aca="false">IF($M489="","",INDEX(伝票元!$P$6:$P$511,$M489))</f>
        <v/>
      </c>
      <c r="B489" s="45" t="str">
        <f aca="false">IF($M489="","",INDEX(伝票元!$D$6:$D$511,$M489))</f>
        <v/>
      </c>
      <c r="C489" s="10" t="str">
        <f aca="false">IF($M489="","",INDEX(伝票元!$E$6:$E$511,$M489))</f>
        <v/>
      </c>
      <c r="D489" s="45" t="str">
        <f aca="false">IF($M489="","",INDEX(伝票元!$A$6:$A$511,$M489))</f>
        <v/>
      </c>
      <c r="E489" s="10" t="str">
        <f aca="false">IF(IF($M489="",0,INDEX(伝票元!$N$6:$N$511,$M489))=1,INDEX(伝票元!$I$6:$I$511,$M489),"")</f>
        <v/>
      </c>
      <c r="F489" s="45" t="str">
        <f aca="false">IF(IF($M489="",0,INDEX(伝票元!$N$6:$N$511,$M489))=1,INDEX(伝票元!$J$6:$J$511,$M489),"")</f>
        <v/>
      </c>
      <c r="G489" s="42" t="str">
        <f aca="false">IF(IF($M489="",0,INDEX(伝票元!$N$6:$N$511,$M489))=1,INDEX(伝票元!$Q$6:$Q$511,$M489),"")</f>
        <v/>
      </c>
      <c r="H489" s="45" t="str">
        <f aca="false">IF($M489="","",INDEX(伝票元!$F$6:$F$511,$M489))</f>
        <v/>
      </c>
      <c r="I489" s="45" t="str">
        <f aca="false">IF($M489="","",INDEX(伝票元!$G$6:$G$511,$M489))</f>
        <v/>
      </c>
      <c r="J489" s="42" t="str">
        <f aca="false">IF($M489="","",INDEX(伝票元!$H$6:$H$511,$M489))</f>
        <v/>
      </c>
      <c r="K489" s="46" t="str">
        <f aca="false">IF(IF($M489="",0,INDEX(伝票元!$N$6:$N$511,$M489))=1,INDEX(伝票元!$R$6:$R$511,$M489),"")</f>
        <v/>
      </c>
      <c r="L489" s="47" t="str">
        <f aca="false">IF($M489="","",INDEX(伝票元!$S$6:$S$511,$M489))</f>
        <v/>
      </c>
      <c r="M489" s="47" t="str">
        <f aca="false">IFERROR(MATCH(483,伝票元!$O$6:$O$511,0),"")</f>
        <v/>
      </c>
    </row>
    <row r="490" customFormat="false" ht="15" hidden="false" customHeight="false" outlineLevel="0" collapsed="false">
      <c r="A490" s="10" t="str">
        <f aca="false">IF($M490="","",INDEX(伝票元!$P$6:$P$511,$M490))</f>
        <v/>
      </c>
      <c r="B490" s="45" t="str">
        <f aca="false">IF($M490="","",INDEX(伝票元!$D$6:$D$511,$M490))</f>
        <v/>
      </c>
      <c r="C490" s="10" t="str">
        <f aca="false">IF($M490="","",INDEX(伝票元!$E$6:$E$511,$M490))</f>
        <v/>
      </c>
      <c r="D490" s="45" t="str">
        <f aca="false">IF($M490="","",INDEX(伝票元!$A$6:$A$511,$M490))</f>
        <v/>
      </c>
      <c r="E490" s="10" t="str">
        <f aca="false">IF(IF($M490="",0,INDEX(伝票元!$N$6:$N$511,$M490))=1,INDEX(伝票元!$I$6:$I$511,$M490),"")</f>
        <v/>
      </c>
      <c r="F490" s="45" t="str">
        <f aca="false">IF(IF($M490="",0,INDEX(伝票元!$N$6:$N$511,$M490))=1,INDEX(伝票元!$J$6:$J$511,$M490),"")</f>
        <v/>
      </c>
      <c r="G490" s="42" t="str">
        <f aca="false">IF(IF($M490="",0,INDEX(伝票元!$N$6:$N$511,$M490))=1,INDEX(伝票元!$Q$6:$Q$511,$M490),"")</f>
        <v/>
      </c>
      <c r="H490" s="45" t="str">
        <f aca="false">IF($M490="","",INDEX(伝票元!$F$6:$F$511,$M490))</f>
        <v/>
      </c>
      <c r="I490" s="45" t="str">
        <f aca="false">IF($M490="","",INDEX(伝票元!$G$6:$G$511,$M490))</f>
        <v/>
      </c>
      <c r="J490" s="42" t="str">
        <f aca="false">IF($M490="","",INDEX(伝票元!$H$6:$H$511,$M490))</f>
        <v/>
      </c>
      <c r="K490" s="46" t="str">
        <f aca="false">IF(IF($M490="",0,INDEX(伝票元!$N$6:$N$511,$M490))=1,INDEX(伝票元!$R$6:$R$511,$M490),"")</f>
        <v/>
      </c>
      <c r="L490" s="47" t="str">
        <f aca="false">IF($M490="","",INDEX(伝票元!$S$6:$S$511,$M490))</f>
        <v/>
      </c>
      <c r="M490" s="47" t="str">
        <f aca="false">IFERROR(MATCH(484,伝票元!$O$6:$O$511,0),"")</f>
        <v/>
      </c>
    </row>
    <row r="491" customFormat="false" ht="15" hidden="false" customHeight="false" outlineLevel="0" collapsed="false">
      <c r="A491" s="10" t="str">
        <f aca="false">IF($M491="","",INDEX(伝票元!$P$6:$P$511,$M491))</f>
        <v/>
      </c>
      <c r="B491" s="45" t="str">
        <f aca="false">IF($M491="","",INDEX(伝票元!$D$6:$D$511,$M491))</f>
        <v/>
      </c>
      <c r="C491" s="10" t="str">
        <f aca="false">IF($M491="","",INDEX(伝票元!$E$6:$E$511,$M491))</f>
        <v/>
      </c>
      <c r="D491" s="45" t="str">
        <f aca="false">IF($M491="","",INDEX(伝票元!$A$6:$A$511,$M491))</f>
        <v/>
      </c>
      <c r="E491" s="10" t="str">
        <f aca="false">IF(IF($M491="",0,INDEX(伝票元!$N$6:$N$511,$M491))=1,INDEX(伝票元!$I$6:$I$511,$M491),"")</f>
        <v/>
      </c>
      <c r="F491" s="45" t="str">
        <f aca="false">IF(IF($M491="",0,INDEX(伝票元!$N$6:$N$511,$M491))=1,INDEX(伝票元!$J$6:$J$511,$M491),"")</f>
        <v/>
      </c>
      <c r="G491" s="42" t="str">
        <f aca="false">IF(IF($M491="",0,INDEX(伝票元!$N$6:$N$511,$M491))=1,INDEX(伝票元!$Q$6:$Q$511,$M491),"")</f>
        <v/>
      </c>
      <c r="H491" s="45" t="str">
        <f aca="false">IF($M491="","",INDEX(伝票元!$F$6:$F$511,$M491))</f>
        <v/>
      </c>
      <c r="I491" s="45" t="str">
        <f aca="false">IF($M491="","",INDEX(伝票元!$G$6:$G$511,$M491))</f>
        <v/>
      </c>
      <c r="J491" s="42" t="str">
        <f aca="false">IF($M491="","",INDEX(伝票元!$H$6:$H$511,$M491))</f>
        <v/>
      </c>
      <c r="K491" s="46" t="str">
        <f aca="false">IF(IF($M491="",0,INDEX(伝票元!$N$6:$N$511,$M491))=1,INDEX(伝票元!$R$6:$R$511,$M491),"")</f>
        <v/>
      </c>
      <c r="L491" s="47" t="str">
        <f aca="false">IF($M491="","",INDEX(伝票元!$S$6:$S$511,$M491))</f>
        <v/>
      </c>
      <c r="M491" s="47" t="str">
        <f aca="false">IFERROR(MATCH(485,伝票元!$O$6:$O$511,0),"")</f>
        <v/>
      </c>
    </row>
    <row r="492" customFormat="false" ht="15" hidden="false" customHeight="false" outlineLevel="0" collapsed="false">
      <c r="A492" s="10" t="str">
        <f aca="false">IF($M492="","",INDEX(伝票元!$P$6:$P$511,$M492))</f>
        <v/>
      </c>
      <c r="B492" s="45" t="str">
        <f aca="false">IF($M492="","",INDEX(伝票元!$D$6:$D$511,$M492))</f>
        <v/>
      </c>
      <c r="C492" s="10" t="str">
        <f aca="false">IF($M492="","",INDEX(伝票元!$E$6:$E$511,$M492))</f>
        <v/>
      </c>
      <c r="D492" s="45" t="str">
        <f aca="false">IF($M492="","",INDEX(伝票元!$A$6:$A$511,$M492))</f>
        <v/>
      </c>
      <c r="E492" s="10" t="str">
        <f aca="false">IF(IF($M492="",0,INDEX(伝票元!$N$6:$N$511,$M492))=1,INDEX(伝票元!$I$6:$I$511,$M492),"")</f>
        <v/>
      </c>
      <c r="F492" s="45" t="str">
        <f aca="false">IF(IF($M492="",0,INDEX(伝票元!$N$6:$N$511,$M492))=1,INDEX(伝票元!$J$6:$J$511,$M492),"")</f>
        <v/>
      </c>
      <c r="G492" s="42" t="str">
        <f aca="false">IF(IF($M492="",0,INDEX(伝票元!$N$6:$N$511,$M492))=1,INDEX(伝票元!$Q$6:$Q$511,$M492),"")</f>
        <v/>
      </c>
      <c r="H492" s="45" t="str">
        <f aca="false">IF($M492="","",INDEX(伝票元!$F$6:$F$511,$M492))</f>
        <v/>
      </c>
      <c r="I492" s="45" t="str">
        <f aca="false">IF($M492="","",INDEX(伝票元!$G$6:$G$511,$M492))</f>
        <v/>
      </c>
      <c r="J492" s="42" t="str">
        <f aca="false">IF($M492="","",INDEX(伝票元!$H$6:$H$511,$M492))</f>
        <v/>
      </c>
      <c r="K492" s="46" t="str">
        <f aca="false">IF(IF($M492="",0,INDEX(伝票元!$N$6:$N$511,$M492))=1,INDEX(伝票元!$R$6:$R$511,$M492),"")</f>
        <v/>
      </c>
      <c r="L492" s="47" t="str">
        <f aca="false">IF($M492="","",INDEX(伝票元!$S$6:$S$511,$M492))</f>
        <v/>
      </c>
      <c r="M492" s="47" t="str">
        <f aca="false">IFERROR(MATCH(486,伝票元!$O$6:$O$511,0),"")</f>
        <v/>
      </c>
    </row>
    <row r="493" customFormat="false" ht="15" hidden="false" customHeight="false" outlineLevel="0" collapsed="false">
      <c r="A493" s="10" t="str">
        <f aca="false">IF($M493="","",INDEX(伝票元!$P$6:$P$511,$M493))</f>
        <v/>
      </c>
      <c r="B493" s="45" t="str">
        <f aca="false">IF($M493="","",INDEX(伝票元!$D$6:$D$511,$M493))</f>
        <v/>
      </c>
      <c r="C493" s="10" t="str">
        <f aca="false">IF($M493="","",INDEX(伝票元!$E$6:$E$511,$M493))</f>
        <v/>
      </c>
      <c r="D493" s="45" t="str">
        <f aca="false">IF($M493="","",INDEX(伝票元!$A$6:$A$511,$M493))</f>
        <v/>
      </c>
      <c r="E493" s="10" t="str">
        <f aca="false">IF(IF($M493="",0,INDEX(伝票元!$N$6:$N$511,$M493))=1,INDEX(伝票元!$I$6:$I$511,$M493),"")</f>
        <v/>
      </c>
      <c r="F493" s="45" t="str">
        <f aca="false">IF(IF($M493="",0,INDEX(伝票元!$N$6:$N$511,$M493))=1,INDEX(伝票元!$J$6:$J$511,$M493),"")</f>
        <v/>
      </c>
      <c r="G493" s="42" t="str">
        <f aca="false">IF(IF($M493="",0,INDEX(伝票元!$N$6:$N$511,$M493))=1,INDEX(伝票元!$Q$6:$Q$511,$M493),"")</f>
        <v/>
      </c>
      <c r="H493" s="45" t="str">
        <f aca="false">IF($M493="","",INDEX(伝票元!$F$6:$F$511,$M493))</f>
        <v/>
      </c>
      <c r="I493" s="45" t="str">
        <f aca="false">IF($M493="","",INDEX(伝票元!$G$6:$G$511,$M493))</f>
        <v/>
      </c>
      <c r="J493" s="42" t="str">
        <f aca="false">IF($M493="","",INDEX(伝票元!$H$6:$H$511,$M493))</f>
        <v/>
      </c>
      <c r="K493" s="46" t="str">
        <f aca="false">IF(IF($M493="",0,INDEX(伝票元!$N$6:$N$511,$M493))=1,INDEX(伝票元!$R$6:$R$511,$M493),"")</f>
        <v/>
      </c>
      <c r="L493" s="47" t="str">
        <f aca="false">IF($M493="","",INDEX(伝票元!$S$6:$S$511,$M493))</f>
        <v/>
      </c>
      <c r="M493" s="47" t="str">
        <f aca="false">IFERROR(MATCH(487,伝票元!$O$6:$O$511,0),"")</f>
        <v/>
      </c>
    </row>
    <row r="494" customFormat="false" ht="15" hidden="false" customHeight="false" outlineLevel="0" collapsed="false">
      <c r="A494" s="10" t="str">
        <f aca="false">IF($M494="","",INDEX(伝票元!$P$6:$P$511,$M494))</f>
        <v/>
      </c>
      <c r="B494" s="45" t="str">
        <f aca="false">IF($M494="","",INDEX(伝票元!$D$6:$D$511,$M494))</f>
        <v/>
      </c>
      <c r="C494" s="10" t="str">
        <f aca="false">IF($M494="","",INDEX(伝票元!$E$6:$E$511,$M494))</f>
        <v/>
      </c>
      <c r="D494" s="45" t="str">
        <f aca="false">IF($M494="","",INDEX(伝票元!$A$6:$A$511,$M494))</f>
        <v/>
      </c>
      <c r="E494" s="10" t="str">
        <f aca="false">IF(IF($M494="",0,INDEX(伝票元!$N$6:$N$511,$M494))=1,INDEX(伝票元!$I$6:$I$511,$M494),"")</f>
        <v/>
      </c>
      <c r="F494" s="45" t="str">
        <f aca="false">IF(IF($M494="",0,INDEX(伝票元!$N$6:$N$511,$M494))=1,INDEX(伝票元!$J$6:$J$511,$M494),"")</f>
        <v/>
      </c>
      <c r="G494" s="42" t="str">
        <f aca="false">IF(IF($M494="",0,INDEX(伝票元!$N$6:$N$511,$M494))=1,INDEX(伝票元!$Q$6:$Q$511,$M494),"")</f>
        <v/>
      </c>
      <c r="H494" s="45" t="str">
        <f aca="false">IF($M494="","",INDEX(伝票元!$F$6:$F$511,$M494))</f>
        <v/>
      </c>
      <c r="I494" s="45" t="str">
        <f aca="false">IF($M494="","",INDEX(伝票元!$G$6:$G$511,$M494))</f>
        <v/>
      </c>
      <c r="J494" s="42" t="str">
        <f aca="false">IF($M494="","",INDEX(伝票元!$H$6:$H$511,$M494))</f>
        <v/>
      </c>
      <c r="K494" s="46" t="str">
        <f aca="false">IF(IF($M494="",0,INDEX(伝票元!$N$6:$N$511,$M494))=1,INDEX(伝票元!$R$6:$R$511,$M494),"")</f>
        <v/>
      </c>
      <c r="L494" s="47" t="str">
        <f aca="false">IF($M494="","",INDEX(伝票元!$S$6:$S$511,$M494))</f>
        <v/>
      </c>
      <c r="M494" s="47" t="str">
        <f aca="false">IFERROR(MATCH(488,伝票元!$O$6:$O$511,0),"")</f>
        <v/>
      </c>
    </row>
    <row r="495" customFormat="false" ht="15" hidden="false" customHeight="false" outlineLevel="0" collapsed="false">
      <c r="A495" s="10" t="str">
        <f aca="false">IF($M495="","",INDEX(伝票元!$P$6:$P$511,$M495))</f>
        <v/>
      </c>
      <c r="B495" s="45" t="str">
        <f aca="false">IF($M495="","",INDEX(伝票元!$D$6:$D$511,$M495))</f>
        <v/>
      </c>
      <c r="C495" s="10" t="str">
        <f aca="false">IF($M495="","",INDEX(伝票元!$E$6:$E$511,$M495))</f>
        <v/>
      </c>
      <c r="D495" s="45" t="str">
        <f aca="false">IF($M495="","",INDEX(伝票元!$A$6:$A$511,$M495))</f>
        <v/>
      </c>
      <c r="E495" s="10" t="str">
        <f aca="false">IF(IF($M495="",0,INDEX(伝票元!$N$6:$N$511,$M495))=1,INDEX(伝票元!$I$6:$I$511,$M495),"")</f>
        <v/>
      </c>
      <c r="F495" s="45" t="str">
        <f aca="false">IF(IF($M495="",0,INDEX(伝票元!$N$6:$N$511,$M495))=1,INDEX(伝票元!$J$6:$J$511,$M495),"")</f>
        <v/>
      </c>
      <c r="G495" s="42" t="str">
        <f aca="false">IF(IF($M495="",0,INDEX(伝票元!$N$6:$N$511,$M495))=1,INDEX(伝票元!$Q$6:$Q$511,$M495),"")</f>
        <v/>
      </c>
      <c r="H495" s="45" t="str">
        <f aca="false">IF($M495="","",INDEX(伝票元!$F$6:$F$511,$M495))</f>
        <v/>
      </c>
      <c r="I495" s="45" t="str">
        <f aca="false">IF($M495="","",INDEX(伝票元!$G$6:$G$511,$M495))</f>
        <v/>
      </c>
      <c r="J495" s="42" t="str">
        <f aca="false">IF($M495="","",INDEX(伝票元!$H$6:$H$511,$M495))</f>
        <v/>
      </c>
      <c r="K495" s="46" t="str">
        <f aca="false">IF(IF($M495="",0,INDEX(伝票元!$N$6:$N$511,$M495))=1,INDEX(伝票元!$R$6:$R$511,$M495),"")</f>
        <v/>
      </c>
      <c r="L495" s="47" t="str">
        <f aca="false">IF($M495="","",INDEX(伝票元!$S$6:$S$511,$M495))</f>
        <v/>
      </c>
      <c r="M495" s="47" t="str">
        <f aca="false">IFERROR(MATCH(489,伝票元!$O$6:$O$511,0),"")</f>
        <v/>
      </c>
    </row>
    <row r="496" customFormat="false" ht="15" hidden="false" customHeight="false" outlineLevel="0" collapsed="false">
      <c r="A496" s="10" t="str">
        <f aca="false">IF($M496="","",INDEX(伝票元!$P$6:$P$511,$M496))</f>
        <v/>
      </c>
      <c r="B496" s="45" t="str">
        <f aca="false">IF($M496="","",INDEX(伝票元!$D$6:$D$511,$M496))</f>
        <v/>
      </c>
      <c r="C496" s="10" t="str">
        <f aca="false">IF($M496="","",INDEX(伝票元!$E$6:$E$511,$M496))</f>
        <v/>
      </c>
      <c r="D496" s="45" t="str">
        <f aca="false">IF($M496="","",INDEX(伝票元!$A$6:$A$511,$M496))</f>
        <v/>
      </c>
      <c r="E496" s="10" t="str">
        <f aca="false">IF(IF($M496="",0,INDEX(伝票元!$N$6:$N$511,$M496))=1,INDEX(伝票元!$I$6:$I$511,$M496),"")</f>
        <v/>
      </c>
      <c r="F496" s="45" t="str">
        <f aca="false">IF(IF($M496="",0,INDEX(伝票元!$N$6:$N$511,$M496))=1,INDEX(伝票元!$J$6:$J$511,$M496),"")</f>
        <v/>
      </c>
      <c r="G496" s="42" t="str">
        <f aca="false">IF(IF($M496="",0,INDEX(伝票元!$N$6:$N$511,$M496))=1,INDEX(伝票元!$Q$6:$Q$511,$M496),"")</f>
        <v/>
      </c>
      <c r="H496" s="45" t="str">
        <f aca="false">IF($M496="","",INDEX(伝票元!$F$6:$F$511,$M496))</f>
        <v/>
      </c>
      <c r="I496" s="45" t="str">
        <f aca="false">IF($M496="","",INDEX(伝票元!$G$6:$G$511,$M496))</f>
        <v/>
      </c>
      <c r="J496" s="42" t="str">
        <f aca="false">IF($M496="","",INDEX(伝票元!$H$6:$H$511,$M496))</f>
        <v/>
      </c>
      <c r="K496" s="46" t="str">
        <f aca="false">IF(IF($M496="",0,INDEX(伝票元!$N$6:$N$511,$M496))=1,INDEX(伝票元!$R$6:$R$511,$M496),"")</f>
        <v/>
      </c>
      <c r="L496" s="47" t="str">
        <f aca="false">IF($M496="","",INDEX(伝票元!$S$6:$S$511,$M496))</f>
        <v/>
      </c>
      <c r="M496" s="47" t="str">
        <f aca="false">IFERROR(MATCH(490,伝票元!$O$6:$O$511,0),"")</f>
        <v/>
      </c>
    </row>
    <row r="497" customFormat="false" ht="15" hidden="false" customHeight="false" outlineLevel="0" collapsed="false">
      <c r="A497" s="10" t="str">
        <f aca="false">IF($M497="","",INDEX(伝票元!$P$6:$P$511,$M497))</f>
        <v/>
      </c>
      <c r="B497" s="45" t="str">
        <f aca="false">IF($M497="","",INDEX(伝票元!$D$6:$D$511,$M497))</f>
        <v/>
      </c>
      <c r="C497" s="10" t="str">
        <f aca="false">IF($M497="","",INDEX(伝票元!$E$6:$E$511,$M497))</f>
        <v/>
      </c>
      <c r="D497" s="45" t="str">
        <f aca="false">IF($M497="","",INDEX(伝票元!$A$6:$A$511,$M497))</f>
        <v/>
      </c>
      <c r="E497" s="10" t="str">
        <f aca="false">IF(IF($M497="",0,INDEX(伝票元!$N$6:$N$511,$M497))=1,INDEX(伝票元!$I$6:$I$511,$M497),"")</f>
        <v/>
      </c>
      <c r="F497" s="45" t="str">
        <f aca="false">IF(IF($M497="",0,INDEX(伝票元!$N$6:$N$511,$M497))=1,INDEX(伝票元!$J$6:$J$511,$M497),"")</f>
        <v/>
      </c>
      <c r="G497" s="42" t="str">
        <f aca="false">IF(IF($M497="",0,INDEX(伝票元!$N$6:$N$511,$M497))=1,INDEX(伝票元!$Q$6:$Q$511,$M497),"")</f>
        <v/>
      </c>
      <c r="H497" s="45" t="str">
        <f aca="false">IF($M497="","",INDEX(伝票元!$F$6:$F$511,$M497))</f>
        <v/>
      </c>
      <c r="I497" s="45" t="str">
        <f aca="false">IF($M497="","",INDEX(伝票元!$G$6:$G$511,$M497))</f>
        <v/>
      </c>
      <c r="J497" s="42" t="str">
        <f aca="false">IF($M497="","",INDEX(伝票元!$H$6:$H$511,$M497))</f>
        <v/>
      </c>
      <c r="K497" s="46" t="str">
        <f aca="false">IF(IF($M497="",0,INDEX(伝票元!$N$6:$N$511,$M497))=1,INDEX(伝票元!$R$6:$R$511,$M497),"")</f>
        <v/>
      </c>
      <c r="L497" s="47" t="str">
        <f aca="false">IF($M497="","",INDEX(伝票元!$S$6:$S$511,$M497))</f>
        <v/>
      </c>
      <c r="M497" s="47" t="str">
        <f aca="false">IFERROR(MATCH(491,伝票元!$O$6:$O$511,0),"")</f>
        <v/>
      </c>
    </row>
    <row r="498" customFormat="false" ht="15" hidden="false" customHeight="false" outlineLevel="0" collapsed="false">
      <c r="A498" s="10" t="str">
        <f aca="false">IF($M498="","",INDEX(伝票元!$P$6:$P$511,$M498))</f>
        <v/>
      </c>
      <c r="B498" s="45" t="str">
        <f aca="false">IF($M498="","",INDEX(伝票元!$D$6:$D$511,$M498))</f>
        <v/>
      </c>
      <c r="C498" s="10" t="str">
        <f aca="false">IF($M498="","",INDEX(伝票元!$E$6:$E$511,$M498))</f>
        <v/>
      </c>
      <c r="D498" s="45" t="str">
        <f aca="false">IF($M498="","",INDEX(伝票元!$A$6:$A$511,$M498))</f>
        <v/>
      </c>
      <c r="E498" s="10" t="str">
        <f aca="false">IF(IF($M498="",0,INDEX(伝票元!$N$6:$N$511,$M498))=1,INDEX(伝票元!$I$6:$I$511,$M498),"")</f>
        <v/>
      </c>
      <c r="F498" s="45" t="str">
        <f aca="false">IF(IF($M498="",0,INDEX(伝票元!$N$6:$N$511,$M498))=1,INDEX(伝票元!$J$6:$J$511,$M498),"")</f>
        <v/>
      </c>
      <c r="G498" s="42" t="str">
        <f aca="false">IF(IF($M498="",0,INDEX(伝票元!$N$6:$N$511,$M498))=1,INDEX(伝票元!$Q$6:$Q$511,$M498),"")</f>
        <v/>
      </c>
      <c r="H498" s="45" t="str">
        <f aca="false">IF($M498="","",INDEX(伝票元!$F$6:$F$511,$M498))</f>
        <v/>
      </c>
      <c r="I498" s="45" t="str">
        <f aca="false">IF($M498="","",INDEX(伝票元!$G$6:$G$511,$M498))</f>
        <v/>
      </c>
      <c r="J498" s="42" t="str">
        <f aca="false">IF($M498="","",INDEX(伝票元!$H$6:$H$511,$M498))</f>
        <v/>
      </c>
      <c r="K498" s="46" t="str">
        <f aca="false">IF(IF($M498="",0,INDEX(伝票元!$N$6:$N$511,$M498))=1,INDEX(伝票元!$R$6:$R$511,$M498),"")</f>
        <v/>
      </c>
      <c r="L498" s="47" t="str">
        <f aca="false">IF($M498="","",INDEX(伝票元!$S$6:$S$511,$M498))</f>
        <v/>
      </c>
      <c r="M498" s="47" t="str">
        <f aca="false">IFERROR(MATCH(492,伝票元!$O$6:$O$511,0),"")</f>
        <v/>
      </c>
    </row>
    <row r="499" customFormat="false" ht="15" hidden="false" customHeight="false" outlineLevel="0" collapsed="false">
      <c r="A499" s="10" t="str">
        <f aca="false">IF($M499="","",INDEX(伝票元!$P$6:$P$511,$M499))</f>
        <v/>
      </c>
      <c r="B499" s="45" t="str">
        <f aca="false">IF($M499="","",INDEX(伝票元!$D$6:$D$511,$M499))</f>
        <v/>
      </c>
      <c r="C499" s="10" t="str">
        <f aca="false">IF($M499="","",INDEX(伝票元!$E$6:$E$511,$M499))</f>
        <v/>
      </c>
      <c r="D499" s="45" t="str">
        <f aca="false">IF($M499="","",INDEX(伝票元!$A$6:$A$511,$M499))</f>
        <v/>
      </c>
      <c r="E499" s="10" t="str">
        <f aca="false">IF(IF($M499="",0,INDEX(伝票元!$N$6:$N$511,$M499))=1,INDEX(伝票元!$I$6:$I$511,$M499),"")</f>
        <v/>
      </c>
      <c r="F499" s="45" t="str">
        <f aca="false">IF(IF($M499="",0,INDEX(伝票元!$N$6:$N$511,$M499))=1,INDEX(伝票元!$J$6:$J$511,$M499),"")</f>
        <v/>
      </c>
      <c r="G499" s="42" t="str">
        <f aca="false">IF(IF($M499="",0,INDEX(伝票元!$N$6:$N$511,$M499))=1,INDEX(伝票元!$Q$6:$Q$511,$M499),"")</f>
        <v/>
      </c>
      <c r="H499" s="45" t="str">
        <f aca="false">IF($M499="","",INDEX(伝票元!$F$6:$F$511,$M499))</f>
        <v/>
      </c>
      <c r="I499" s="45" t="str">
        <f aca="false">IF($M499="","",INDEX(伝票元!$G$6:$G$511,$M499))</f>
        <v/>
      </c>
      <c r="J499" s="42" t="str">
        <f aca="false">IF($M499="","",INDEX(伝票元!$H$6:$H$511,$M499))</f>
        <v/>
      </c>
      <c r="K499" s="46" t="str">
        <f aca="false">IF(IF($M499="",0,INDEX(伝票元!$N$6:$N$511,$M499))=1,INDEX(伝票元!$R$6:$R$511,$M499),"")</f>
        <v/>
      </c>
      <c r="L499" s="47" t="str">
        <f aca="false">IF($M499="","",INDEX(伝票元!$S$6:$S$511,$M499))</f>
        <v/>
      </c>
      <c r="M499" s="47" t="str">
        <f aca="false">IFERROR(MATCH(493,伝票元!$O$6:$O$511,0),"")</f>
        <v/>
      </c>
    </row>
    <row r="500" customFormat="false" ht="15" hidden="false" customHeight="false" outlineLevel="0" collapsed="false">
      <c r="A500" s="10" t="str">
        <f aca="false">IF($M500="","",INDEX(伝票元!$P$6:$P$511,$M500))</f>
        <v/>
      </c>
      <c r="B500" s="45" t="str">
        <f aca="false">IF($M500="","",INDEX(伝票元!$D$6:$D$511,$M500))</f>
        <v/>
      </c>
      <c r="C500" s="10" t="str">
        <f aca="false">IF($M500="","",INDEX(伝票元!$E$6:$E$511,$M500))</f>
        <v/>
      </c>
      <c r="D500" s="45" t="str">
        <f aca="false">IF($M500="","",INDEX(伝票元!$A$6:$A$511,$M500))</f>
        <v/>
      </c>
      <c r="E500" s="10" t="str">
        <f aca="false">IF(IF($M500="",0,INDEX(伝票元!$N$6:$N$511,$M500))=1,INDEX(伝票元!$I$6:$I$511,$M500),"")</f>
        <v/>
      </c>
      <c r="F500" s="45" t="str">
        <f aca="false">IF(IF($M500="",0,INDEX(伝票元!$N$6:$N$511,$M500))=1,INDEX(伝票元!$J$6:$J$511,$M500),"")</f>
        <v/>
      </c>
      <c r="G500" s="42" t="str">
        <f aca="false">IF(IF($M500="",0,INDEX(伝票元!$N$6:$N$511,$M500))=1,INDEX(伝票元!$Q$6:$Q$511,$M500),"")</f>
        <v/>
      </c>
      <c r="H500" s="45" t="str">
        <f aca="false">IF($M500="","",INDEX(伝票元!$F$6:$F$511,$M500))</f>
        <v/>
      </c>
      <c r="I500" s="45" t="str">
        <f aca="false">IF($M500="","",INDEX(伝票元!$G$6:$G$511,$M500))</f>
        <v/>
      </c>
      <c r="J500" s="42" t="str">
        <f aca="false">IF($M500="","",INDEX(伝票元!$H$6:$H$511,$M500))</f>
        <v/>
      </c>
      <c r="K500" s="46" t="str">
        <f aca="false">IF(IF($M500="",0,INDEX(伝票元!$N$6:$N$511,$M500))=1,INDEX(伝票元!$R$6:$R$511,$M500),"")</f>
        <v/>
      </c>
      <c r="L500" s="47" t="str">
        <f aca="false">IF($M500="","",INDEX(伝票元!$S$6:$S$511,$M500))</f>
        <v/>
      </c>
      <c r="M500" s="47" t="str">
        <f aca="false">IFERROR(MATCH(494,伝票元!$O$6:$O$511,0),"")</f>
        <v/>
      </c>
    </row>
    <row r="501" customFormat="false" ht="15" hidden="false" customHeight="false" outlineLevel="0" collapsed="false">
      <c r="A501" s="10" t="str">
        <f aca="false">IF($M501="","",INDEX(伝票元!$P$6:$P$511,$M501))</f>
        <v/>
      </c>
      <c r="B501" s="45" t="str">
        <f aca="false">IF($M501="","",INDEX(伝票元!$D$6:$D$511,$M501))</f>
        <v/>
      </c>
      <c r="C501" s="10" t="str">
        <f aca="false">IF($M501="","",INDEX(伝票元!$E$6:$E$511,$M501))</f>
        <v/>
      </c>
      <c r="D501" s="45" t="str">
        <f aca="false">IF($M501="","",INDEX(伝票元!$A$6:$A$511,$M501))</f>
        <v/>
      </c>
      <c r="E501" s="10" t="str">
        <f aca="false">IF(IF($M501="",0,INDEX(伝票元!$N$6:$N$511,$M501))=1,INDEX(伝票元!$I$6:$I$511,$M501),"")</f>
        <v/>
      </c>
      <c r="F501" s="45" t="str">
        <f aca="false">IF(IF($M501="",0,INDEX(伝票元!$N$6:$N$511,$M501))=1,INDEX(伝票元!$J$6:$J$511,$M501),"")</f>
        <v/>
      </c>
      <c r="G501" s="42" t="str">
        <f aca="false">IF(IF($M501="",0,INDEX(伝票元!$N$6:$N$511,$M501))=1,INDEX(伝票元!$Q$6:$Q$511,$M501),"")</f>
        <v/>
      </c>
      <c r="H501" s="45" t="str">
        <f aca="false">IF($M501="","",INDEX(伝票元!$F$6:$F$511,$M501))</f>
        <v/>
      </c>
      <c r="I501" s="45" t="str">
        <f aca="false">IF($M501="","",INDEX(伝票元!$G$6:$G$511,$M501))</f>
        <v/>
      </c>
      <c r="J501" s="42" t="str">
        <f aca="false">IF($M501="","",INDEX(伝票元!$H$6:$H$511,$M501))</f>
        <v/>
      </c>
      <c r="K501" s="46" t="str">
        <f aca="false">IF(IF($M501="",0,INDEX(伝票元!$N$6:$N$511,$M501))=1,INDEX(伝票元!$R$6:$R$511,$M501),"")</f>
        <v/>
      </c>
      <c r="L501" s="47" t="str">
        <f aca="false">IF($M501="","",INDEX(伝票元!$S$6:$S$511,$M501))</f>
        <v/>
      </c>
      <c r="M501" s="47" t="str">
        <f aca="false">IFERROR(MATCH(495,伝票元!$O$6:$O$511,0),"")</f>
        <v/>
      </c>
    </row>
    <row r="502" customFormat="false" ht="15" hidden="false" customHeight="false" outlineLevel="0" collapsed="false">
      <c r="A502" s="10" t="str">
        <f aca="false">IF($M502="","",INDEX(伝票元!$P$6:$P$511,$M502))</f>
        <v/>
      </c>
      <c r="B502" s="45" t="str">
        <f aca="false">IF($M502="","",INDEX(伝票元!$D$6:$D$511,$M502))</f>
        <v/>
      </c>
      <c r="C502" s="10" t="str">
        <f aca="false">IF($M502="","",INDEX(伝票元!$E$6:$E$511,$M502))</f>
        <v/>
      </c>
      <c r="D502" s="45" t="str">
        <f aca="false">IF($M502="","",INDEX(伝票元!$A$6:$A$511,$M502))</f>
        <v/>
      </c>
      <c r="E502" s="10" t="str">
        <f aca="false">IF(IF($M502="",0,INDEX(伝票元!$N$6:$N$511,$M502))=1,INDEX(伝票元!$I$6:$I$511,$M502),"")</f>
        <v/>
      </c>
      <c r="F502" s="45" t="str">
        <f aca="false">IF(IF($M502="",0,INDEX(伝票元!$N$6:$N$511,$M502))=1,INDEX(伝票元!$J$6:$J$511,$M502),"")</f>
        <v/>
      </c>
      <c r="G502" s="42" t="str">
        <f aca="false">IF(IF($M502="",0,INDEX(伝票元!$N$6:$N$511,$M502))=1,INDEX(伝票元!$Q$6:$Q$511,$M502),"")</f>
        <v/>
      </c>
      <c r="H502" s="45" t="str">
        <f aca="false">IF($M502="","",INDEX(伝票元!$F$6:$F$511,$M502))</f>
        <v/>
      </c>
      <c r="I502" s="45" t="str">
        <f aca="false">IF($M502="","",INDEX(伝票元!$G$6:$G$511,$M502))</f>
        <v/>
      </c>
      <c r="J502" s="42" t="str">
        <f aca="false">IF($M502="","",INDEX(伝票元!$H$6:$H$511,$M502))</f>
        <v/>
      </c>
      <c r="K502" s="46" t="str">
        <f aca="false">IF(IF($M502="",0,INDEX(伝票元!$N$6:$N$511,$M502))=1,INDEX(伝票元!$R$6:$R$511,$M502),"")</f>
        <v/>
      </c>
      <c r="L502" s="47" t="str">
        <f aca="false">IF($M502="","",INDEX(伝票元!$S$6:$S$511,$M502))</f>
        <v/>
      </c>
      <c r="M502" s="47" t="str">
        <f aca="false">IFERROR(MATCH(496,伝票元!$O$6:$O$511,0),"")</f>
        <v/>
      </c>
    </row>
    <row r="503" customFormat="false" ht="15" hidden="false" customHeight="false" outlineLevel="0" collapsed="false">
      <c r="A503" s="10" t="str">
        <f aca="false">IF($M503="","",INDEX(伝票元!$P$6:$P$511,$M503))</f>
        <v/>
      </c>
      <c r="B503" s="45" t="str">
        <f aca="false">IF($M503="","",INDEX(伝票元!$D$6:$D$511,$M503))</f>
        <v/>
      </c>
      <c r="C503" s="10" t="str">
        <f aca="false">IF($M503="","",INDEX(伝票元!$E$6:$E$511,$M503))</f>
        <v/>
      </c>
      <c r="D503" s="45" t="str">
        <f aca="false">IF($M503="","",INDEX(伝票元!$A$6:$A$511,$M503))</f>
        <v/>
      </c>
      <c r="E503" s="10" t="str">
        <f aca="false">IF(IF($M503="",0,INDEX(伝票元!$N$6:$N$511,$M503))=1,INDEX(伝票元!$I$6:$I$511,$M503),"")</f>
        <v/>
      </c>
      <c r="F503" s="45" t="str">
        <f aca="false">IF(IF($M503="",0,INDEX(伝票元!$N$6:$N$511,$M503))=1,INDEX(伝票元!$J$6:$J$511,$M503),"")</f>
        <v/>
      </c>
      <c r="G503" s="42" t="str">
        <f aca="false">IF(IF($M503="",0,INDEX(伝票元!$N$6:$N$511,$M503))=1,INDEX(伝票元!$Q$6:$Q$511,$M503),"")</f>
        <v/>
      </c>
      <c r="H503" s="45" t="str">
        <f aca="false">IF($M503="","",INDEX(伝票元!$F$6:$F$511,$M503))</f>
        <v/>
      </c>
      <c r="I503" s="45" t="str">
        <f aca="false">IF($M503="","",INDEX(伝票元!$G$6:$G$511,$M503))</f>
        <v/>
      </c>
      <c r="J503" s="42" t="str">
        <f aca="false">IF($M503="","",INDEX(伝票元!$H$6:$H$511,$M503))</f>
        <v/>
      </c>
      <c r="K503" s="46" t="str">
        <f aca="false">IF(IF($M503="",0,INDEX(伝票元!$N$6:$N$511,$M503))=1,INDEX(伝票元!$R$6:$R$511,$M503),"")</f>
        <v/>
      </c>
      <c r="L503" s="47" t="str">
        <f aca="false">IF($M503="","",INDEX(伝票元!$S$6:$S$511,$M503))</f>
        <v/>
      </c>
      <c r="M503" s="47" t="str">
        <f aca="false">IFERROR(MATCH(497,伝票元!$O$6:$O$511,0),"")</f>
        <v/>
      </c>
    </row>
    <row r="504" customFormat="false" ht="15" hidden="false" customHeight="false" outlineLevel="0" collapsed="false">
      <c r="A504" s="10" t="str">
        <f aca="false">IF($M504="","",INDEX(伝票元!$P$6:$P$511,$M504))</f>
        <v/>
      </c>
      <c r="B504" s="45" t="str">
        <f aca="false">IF($M504="","",INDEX(伝票元!$D$6:$D$511,$M504))</f>
        <v/>
      </c>
      <c r="C504" s="10" t="str">
        <f aca="false">IF($M504="","",INDEX(伝票元!$E$6:$E$511,$M504))</f>
        <v/>
      </c>
      <c r="D504" s="45" t="str">
        <f aca="false">IF($M504="","",INDEX(伝票元!$A$6:$A$511,$M504))</f>
        <v/>
      </c>
      <c r="E504" s="10" t="str">
        <f aca="false">IF(IF($M504="",0,INDEX(伝票元!$N$6:$N$511,$M504))=1,INDEX(伝票元!$I$6:$I$511,$M504),"")</f>
        <v/>
      </c>
      <c r="F504" s="45" t="str">
        <f aca="false">IF(IF($M504="",0,INDEX(伝票元!$N$6:$N$511,$M504))=1,INDEX(伝票元!$J$6:$J$511,$M504),"")</f>
        <v/>
      </c>
      <c r="G504" s="42" t="str">
        <f aca="false">IF(IF($M504="",0,INDEX(伝票元!$N$6:$N$511,$M504))=1,INDEX(伝票元!$Q$6:$Q$511,$M504),"")</f>
        <v/>
      </c>
      <c r="H504" s="45" t="str">
        <f aca="false">IF($M504="","",INDEX(伝票元!$F$6:$F$511,$M504))</f>
        <v/>
      </c>
      <c r="I504" s="45" t="str">
        <f aca="false">IF($M504="","",INDEX(伝票元!$G$6:$G$511,$M504))</f>
        <v/>
      </c>
      <c r="J504" s="42" t="str">
        <f aca="false">IF($M504="","",INDEX(伝票元!$H$6:$H$511,$M504))</f>
        <v/>
      </c>
      <c r="K504" s="46" t="str">
        <f aca="false">IF(IF($M504="",0,INDEX(伝票元!$N$6:$N$511,$M504))=1,INDEX(伝票元!$R$6:$R$511,$M504),"")</f>
        <v/>
      </c>
      <c r="L504" s="47" t="str">
        <f aca="false">IF($M504="","",INDEX(伝票元!$S$6:$S$511,$M504))</f>
        <v/>
      </c>
      <c r="M504" s="47" t="str">
        <f aca="false">IFERROR(MATCH(498,伝票元!$O$6:$O$511,0),"")</f>
        <v/>
      </c>
    </row>
    <row r="505" customFormat="false" ht="15" hidden="false" customHeight="false" outlineLevel="0" collapsed="false">
      <c r="A505" s="10" t="str">
        <f aca="false">IF($M505="","",INDEX(伝票元!$P$6:$P$511,$M505))</f>
        <v/>
      </c>
      <c r="B505" s="45" t="str">
        <f aca="false">IF($M505="","",INDEX(伝票元!$D$6:$D$511,$M505))</f>
        <v/>
      </c>
      <c r="C505" s="10" t="str">
        <f aca="false">IF($M505="","",INDEX(伝票元!$E$6:$E$511,$M505))</f>
        <v/>
      </c>
      <c r="D505" s="45" t="str">
        <f aca="false">IF($M505="","",INDEX(伝票元!$A$6:$A$511,$M505))</f>
        <v/>
      </c>
      <c r="E505" s="10" t="str">
        <f aca="false">IF(IF($M505="",0,INDEX(伝票元!$N$6:$N$511,$M505))=1,INDEX(伝票元!$I$6:$I$511,$M505),"")</f>
        <v/>
      </c>
      <c r="F505" s="45" t="str">
        <f aca="false">IF(IF($M505="",0,INDEX(伝票元!$N$6:$N$511,$M505))=1,INDEX(伝票元!$J$6:$J$511,$M505),"")</f>
        <v/>
      </c>
      <c r="G505" s="42" t="str">
        <f aca="false">IF(IF($M505="",0,INDEX(伝票元!$N$6:$N$511,$M505))=1,INDEX(伝票元!$Q$6:$Q$511,$M505),"")</f>
        <v/>
      </c>
      <c r="H505" s="45" t="str">
        <f aca="false">IF($M505="","",INDEX(伝票元!$F$6:$F$511,$M505))</f>
        <v/>
      </c>
      <c r="I505" s="45" t="str">
        <f aca="false">IF($M505="","",INDEX(伝票元!$G$6:$G$511,$M505))</f>
        <v/>
      </c>
      <c r="J505" s="42" t="str">
        <f aca="false">IF($M505="","",INDEX(伝票元!$H$6:$H$511,$M505))</f>
        <v/>
      </c>
      <c r="K505" s="46" t="str">
        <f aca="false">IF(IF($M505="",0,INDEX(伝票元!$N$6:$N$511,$M505))=1,INDEX(伝票元!$R$6:$R$511,$M505),"")</f>
        <v/>
      </c>
      <c r="L505" s="47" t="str">
        <f aca="false">IF($M505="","",INDEX(伝票元!$S$6:$S$511,$M505))</f>
        <v/>
      </c>
      <c r="M505" s="47" t="str">
        <f aca="false">IFERROR(MATCH(499,伝票元!$O$6:$O$511,0),"")</f>
        <v/>
      </c>
    </row>
    <row r="506" customFormat="false" ht="15" hidden="false" customHeight="false" outlineLevel="0" collapsed="false">
      <c r="A506" s="10" t="str">
        <f aca="false">IF($M506="","",INDEX(伝票元!$P$6:$P$511,$M506))</f>
        <v/>
      </c>
      <c r="B506" s="45" t="str">
        <f aca="false">IF($M506="","",INDEX(伝票元!$D$6:$D$511,$M506))</f>
        <v/>
      </c>
      <c r="C506" s="10" t="str">
        <f aca="false">IF($M506="","",INDEX(伝票元!$E$6:$E$511,$M506))</f>
        <v/>
      </c>
      <c r="D506" s="45" t="str">
        <f aca="false">IF($M506="","",INDEX(伝票元!$A$6:$A$511,$M506))</f>
        <v/>
      </c>
      <c r="E506" s="10" t="str">
        <f aca="false">IF(IF($M506="",0,INDEX(伝票元!$N$6:$N$511,$M506))=1,INDEX(伝票元!$I$6:$I$511,$M506),"")</f>
        <v/>
      </c>
      <c r="F506" s="45" t="str">
        <f aca="false">IF(IF($M506="",0,INDEX(伝票元!$N$6:$N$511,$M506))=1,INDEX(伝票元!$J$6:$J$511,$M506),"")</f>
        <v/>
      </c>
      <c r="G506" s="42" t="str">
        <f aca="false">IF(IF($M506="",0,INDEX(伝票元!$N$6:$N$511,$M506))=1,INDEX(伝票元!$Q$6:$Q$511,$M506),"")</f>
        <v/>
      </c>
      <c r="H506" s="45" t="str">
        <f aca="false">IF($M506="","",INDEX(伝票元!$F$6:$F$511,$M506))</f>
        <v/>
      </c>
      <c r="I506" s="45" t="str">
        <f aca="false">IF($M506="","",INDEX(伝票元!$G$6:$G$511,$M506))</f>
        <v/>
      </c>
      <c r="J506" s="42" t="str">
        <f aca="false">IF($M506="","",INDEX(伝票元!$H$6:$H$511,$M506))</f>
        <v/>
      </c>
      <c r="K506" s="46" t="str">
        <f aca="false">IF(IF($M506="",0,INDEX(伝票元!$N$6:$N$511,$M506))=1,INDEX(伝票元!$R$6:$R$511,$M506),"")</f>
        <v/>
      </c>
      <c r="L506" s="47" t="str">
        <f aca="false">IF($M506="","",INDEX(伝票元!$S$6:$S$511,$M506))</f>
        <v/>
      </c>
      <c r="M506" s="47" t="str">
        <f aca="false">IFERROR(MATCH(500,伝票元!$O$6:$O$511,0),"")</f>
        <v/>
      </c>
    </row>
    <row r="507" customFormat="false" ht="15" hidden="false" customHeight="false" outlineLevel="0" collapsed="false">
      <c r="A507" s="10" t="str">
        <f aca="false">IF($M507="","",INDEX(伝票元!$P$6:$P$511,$M507))</f>
        <v/>
      </c>
      <c r="B507" s="45" t="str">
        <f aca="false">IF($M507="","",INDEX(伝票元!$D$6:$D$511,$M507))</f>
        <v/>
      </c>
      <c r="C507" s="10" t="str">
        <f aca="false">IF($M507="","",INDEX(伝票元!$E$6:$E$511,$M507))</f>
        <v/>
      </c>
      <c r="D507" s="45" t="str">
        <f aca="false">IF($M507="","",INDEX(伝票元!$A$6:$A$511,$M507))</f>
        <v/>
      </c>
      <c r="E507" s="10" t="str">
        <f aca="false">IF(IF($M507="",0,INDEX(伝票元!$N$6:$N$511,$M507))=1,INDEX(伝票元!$I$6:$I$511,$M507),"")</f>
        <v/>
      </c>
      <c r="F507" s="45" t="str">
        <f aca="false">IF(IF($M507="",0,INDEX(伝票元!$N$6:$N$511,$M507))=1,INDEX(伝票元!$J$6:$J$511,$M507),"")</f>
        <v/>
      </c>
      <c r="G507" s="42" t="str">
        <f aca="false">IF(IF($M507="",0,INDEX(伝票元!$N$6:$N$511,$M507))=1,INDEX(伝票元!$Q$6:$Q$511,$M507),"")</f>
        <v/>
      </c>
      <c r="H507" s="45" t="str">
        <f aca="false">IF($M507="","",INDEX(伝票元!$F$6:$F$511,$M507))</f>
        <v/>
      </c>
      <c r="I507" s="45" t="str">
        <f aca="false">IF($M507="","",INDEX(伝票元!$G$6:$G$511,$M507))</f>
        <v/>
      </c>
      <c r="J507" s="42" t="str">
        <f aca="false">IF($M507="","",INDEX(伝票元!$H$6:$H$511,$M507))</f>
        <v/>
      </c>
      <c r="K507" s="46" t="str">
        <f aca="false">IF(IF($M507="",0,INDEX(伝票元!$N$6:$N$511,$M507))=1,INDEX(伝票元!$R$6:$R$511,$M507),"")</f>
        <v/>
      </c>
      <c r="L507" s="47" t="str">
        <f aca="false">IF($M507="","",INDEX(伝票元!$S$6:$S$511,$M507))</f>
        <v/>
      </c>
      <c r="M507" s="47" t="str">
        <f aca="false">IFERROR(MATCH(501,伝票元!$O$6:$O$511,0),"")</f>
        <v/>
      </c>
    </row>
    <row r="508" customFormat="false" ht="15" hidden="false" customHeight="false" outlineLevel="0" collapsed="false">
      <c r="A508" s="10" t="str">
        <f aca="false">IF($M508="","",INDEX(伝票元!$P$6:$P$511,$M508))</f>
        <v/>
      </c>
      <c r="B508" s="45" t="str">
        <f aca="false">IF($M508="","",INDEX(伝票元!$D$6:$D$511,$M508))</f>
        <v/>
      </c>
      <c r="C508" s="10" t="str">
        <f aca="false">IF($M508="","",INDEX(伝票元!$E$6:$E$511,$M508))</f>
        <v/>
      </c>
      <c r="D508" s="45" t="str">
        <f aca="false">IF($M508="","",INDEX(伝票元!$A$6:$A$511,$M508))</f>
        <v/>
      </c>
      <c r="E508" s="10" t="str">
        <f aca="false">IF(IF($M508="",0,INDEX(伝票元!$N$6:$N$511,$M508))=1,INDEX(伝票元!$I$6:$I$511,$M508),"")</f>
        <v/>
      </c>
      <c r="F508" s="45" t="str">
        <f aca="false">IF(IF($M508="",0,INDEX(伝票元!$N$6:$N$511,$M508))=1,INDEX(伝票元!$J$6:$J$511,$M508),"")</f>
        <v/>
      </c>
      <c r="G508" s="42" t="str">
        <f aca="false">IF(IF($M508="",0,INDEX(伝票元!$N$6:$N$511,$M508))=1,INDEX(伝票元!$Q$6:$Q$511,$M508),"")</f>
        <v/>
      </c>
      <c r="H508" s="45" t="str">
        <f aca="false">IF($M508="","",INDEX(伝票元!$F$6:$F$511,$M508))</f>
        <v/>
      </c>
      <c r="I508" s="45" t="str">
        <f aca="false">IF($M508="","",INDEX(伝票元!$G$6:$G$511,$M508))</f>
        <v/>
      </c>
      <c r="J508" s="42" t="str">
        <f aca="false">IF($M508="","",INDEX(伝票元!$H$6:$H$511,$M508))</f>
        <v/>
      </c>
      <c r="K508" s="46" t="str">
        <f aca="false">IF(IF($M508="",0,INDEX(伝票元!$N$6:$N$511,$M508))=1,INDEX(伝票元!$R$6:$R$511,$M508),"")</f>
        <v/>
      </c>
      <c r="L508" s="47" t="str">
        <f aca="false">IF($M508="","",INDEX(伝票元!$S$6:$S$511,$M508))</f>
        <v/>
      </c>
      <c r="M508" s="47" t="str">
        <f aca="false">IFERROR(MATCH(502,伝票元!$O$6:$O$511,0),"")</f>
        <v/>
      </c>
    </row>
    <row r="509" customFormat="false" ht="15" hidden="false" customHeight="false" outlineLevel="0" collapsed="false">
      <c r="A509" s="10" t="str">
        <f aca="false">IF($M509="","",INDEX(伝票元!$P$6:$P$511,$M509))</f>
        <v/>
      </c>
      <c r="B509" s="45" t="str">
        <f aca="false">IF($M509="","",INDEX(伝票元!$D$6:$D$511,$M509))</f>
        <v/>
      </c>
      <c r="C509" s="10" t="str">
        <f aca="false">IF($M509="","",INDEX(伝票元!$E$6:$E$511,$M509))</f>
        <v/>
      </c>
      <c r="D509" s="45" t="str">
        <f aca="false">IF($M509="","",INDEX(伝票元!$A$6:$A$511,$M509))</f>
        <v/>
      </c>
      <c r="E509" s="10" t="str">
        <f aca="false">IF(IF($M509="",0,INDEX(伝票元!$N$6:$N$511,$M509))=1,INDEX(伝票元!$I$6:$I$511,$M509),"")</f>
        <v/>
      </c>
      <c r="F509" s="45" t="str">
        <f aca="false">IF(IF($M509="",0,INDEX(伝票元!$N$6:$N$511,$M509))=1,INDEX(伝票元!$J$6:$J$511,$M509),"")</f>
        <v/>
      </c>
      <c r="G509" s="42" t="str">
        <f aca="false">IF(IF($M509="",0,INDEX(伝票元!$N$6:$N$511,$M509))=1,INDEX(伝票元!$Q$6:$Q$511,$M509),"")</f>
        <v/>
      </c>
      <c r="H509" s="45" t="str">
        <f aca="false">IF($M509="","",INDEX(伝票元!$F$6:$F$511,$M509))</f>
        <v/>
      </c>
      <c r="I509" s="45" t="str">
        <f aca="false">IF($M509="","",INDEX(伝票元!$G$6:$G$511,$M509))</f>
        <v/>
      </c>
      <c r="J509" s="42" t="str">
        <f aca="false">IF($M509="","",INDEX(伝票元!$H$6:$H$511,$M509))</f>
        <v/>
      </c>
      <c r="K509" s="46" t="str">
        <f aca="false">IF(IF($M509="",0,INDEX(伝票元!$N$6:$N$511,$M509))=1,INDEX(伝票元!$R$6:$R$511,$M509),"")</f>
        <v/>
      </c>
      <c r="L509" s="47" t="str">
        <f aca="false">IF($M509="","",INDEX(伝票元!$S$6:$S$511,$M509))</f>
        <v/>
      </c>
      <c r="M509" s="47" t="str">
        <f aca="false">IFERROR(MATCH(503,伝票元!$O$6:$O$511,0),"")</f>
        <v/>
      </c>
    </row>
    <row r="510" customFormat="false" ht="15" hidden="false" customHeight="false" outlineLevel="0" collapsed="false">
      <c r="A510" s="10" t="str">
        <f aca="false">IF($M510="","",INDEX(伝票元!$P$6:$P$511,$M510))</f>
        <v/>
      </c>
      <c r="B510" s="45" t="str">
        <f aca="false">IF($M510="","",INDEX(伝票元!$D$6:$D$511,$M510))</f>
        <v/>
      </c>
      <c r="C510" s="10" t="str">
        <f aca="false">IF($M510="","",INDEX(伝票元!$E$6:$E$511,$M510))</f>
        <v/>
      </c>
      <c r="D510" s="45" t="str">
        <f aca="false">IF($M510="","",INDEX(伝票元!$A$6:$A$511,$M510))</f>
        <v/>
      </c>
      <c r="E510" s="10" t="str">
        <f aca="false">IF(IF($M510="",0,INDEX(伝票元!$N$6:$N$511,$M510))=1,INDEX(伝票元!$I$6:$I$511,$M510),"")</f>
        <v/>
      </c>
      <c r="F510" s="45" t="str">
        <f aca="false">IF(IF($M510="",0,INDEX(伝票元!$N$6:$N$511,$M510))=1,INDEX(伝票元!$J$6:$J$511,$M510),"")</f>
        <v/>
      </c>
      <c r="G510" s="42" t="str">
        <f aca="false">IF(IF($M510="",0,INDEX(伝票元!$N$6:$N$511,$M510))=1,INDEX(伝票元!$Q$6:$Q$511,$M510),"")</f>
        <v/>
      </c>
      <c r="H510" s="45" t="str">
        <f aca="false">IF($M510="","",INDEX(伝票元!$F$6:$F$511,$M510))</f>
        <v/>
      </c>
      <c r="I510" s="45" t="str">
        <f aca="false">IF($M510="","",INDEX(伝票元!$G$6:$G$511,$M510))</f>
        <v/>
      </c>
      <c r="J510" s="42" t="str">
        <f aca="false">IF($M510="","",INDEX(伝票元!$H$6:$H$511,$M510))</f>
        <v/>
      </c>
      <c r="K510" s="46" t="str">
        <f aca="false">IF(IF($M510="",0,INDEX(伝票元!$N$6:$N$511,$M510))=1,INDEX(伝票元!$R$6:$R$511,$M510),"")</f>
        <v/>
      </c>
      <c r="L510" s="47" t="str">
        <f aca="false">IF($M510="","",INDEX(伝票元!$S$6:$S$511,$M510))</f>
        <v/>
      </c>
      <c r="M510" s="47" t="str">
        <f aca="false">IFERROR(MATCH(504,伝票元!$O$6:$O$511,0),"")</f>
        <v/>
      </c>
    </row>
    <row r="511" customFormat="false" ht="15" hidden="false" customHeight="false" outlineLevel="0" collapsed="false">
      <c r="A511" s="10" t="str">
        <f aca="false">IF($M511="","",INDEX(伝票元!$P$6:$P$511,$M511))</f>
        <v/>
      </c>
      <c r="B511" s="45" t="str">
        <f aca="false">IF($M511="","",INDEX(伝票元!$D$6:$D$511,$M511))</f>
        <v/>
      </c>
      <c r="C511" s="10" t="str">
        <f aca="false">IF($M511="","",INDEX(伝票元!$E$6:$E$511,$M511))</f>
        <v/>
      </c>
      <c r="D511" s="45" t="str">
        <f aca="false">IF($M511="","",INDEX(伝票元!$A$6:$A$511,$M511))</f>
        <v/>
      </c>
      <c r="E511" s="10" t="str">
        <f aca="false">IF(IF($M511="",0,INDEX(伝票元!$N$6:$N$511,$M511))=1,INDEX(伝票元!$I$6:$I$511,$M511),"")</f>
        <v/>
      </c>
      <c r="F511" s="45" t="str">
        <f aca="false">IF(IF($M511="",0,INDEX(伝票元!$N$6:$N$511,$M511))=1,INDEX(伝票元!$J$6:$J$511,$M511),"")</f>
        <v/>
      </c>
      <c r="G511" s="42" t="str">
        <f aca="false">IF(IF($M511="",0,INDEX(伝票元!$N$6:$N$511,$M511))=1,INDEX(伝票元!$Q$6:$Q$511,$M511),"")</f>
        <v/>
      </c>
      <c r="H511" s="45" t="str">
        <f aca="false">IF($M511="","",INDEX(伝票元!$F$6:$F$511,$M511))</f>
        <v/>
      </c>
      <c r="I511" s="45" t="str">
        <f aca="false">IF($M511="","",INDEX(伝票元!$G$6:$G$511,$M511))</f>
        <v/>
      </c>
      <c r="J511" s="42" t="str">
        <f aca="false">IF($M511="","",INDEX(伝票元!$H$6:$H$511,$M511))</f>
        <v/>
      </c>
      <c r="K511" s="46" t="str">
        <f aca="false">IF(IF($M511="",0,INDEX(伝票元!$N$6:$N$511,$M511))=1,INDEX(伝票元!$R$6:$R$511,$M511),"")</f>
        <v/>
      </c>
      <c r="L511" s="47" t="str">
        <f aca="false">IF($M511="","",INDEX(伝票元!$S$6:$S$511,$M511))</f>
        <v/>
      </c>
      <c r="M511" s="47" t="str">
        <f aca="false">IFERROR(MATCH(505,伝票元!$O$6:$O$511,0),"")</f>
        <v/>
      </c>
    </row>
    <row r="512" customFormat="false" ht="15" hidden="false" customHeight="false" outlineLevel="0" collapsed="false">
      <c r="A512" s="10" t="str">
        <f aca="false">IF($M512="","",INDEX(伝票元!$P$6:$P$511,$M512))</f>
        <v/>
      </c>
      <c r="B512" s="45" t="str">
        <f aca="false">IF($M512="","",INDEX(伝票元!$D$6:$D$511,$M512))</f>
        <v/>
      </c>
      <c r="C512" s="10" t="str">
        <f aca="false">IF($M512="","",INDEX(伝票元!$E$6:$E$511,$M512))</f>
        <v/>
      </c>
      <c r="D512" s="45" t="str">
        <f aca="false">IF($M512="","",INDEX(伝票元!$A$6:$A$511,$M512))</f>
        <v/>
      </c>
      <c r="E512" s="10" t="str">
        <f aca="false">IF(IF($M512="",0,INDEX(伝票元!$N$6:$N$511,$M512))=1,INDEX(伝票元!$I$6:$I$511,$M512),"")</f>
        <v/>
      </c>
      <c r="F512" s="45" t="str">
        <f aca="false">IF(IF($M512="",0,INDEX(伝票元!$N$6:$N$511,$M512))=1,INDEX(伝票元!$J$6:$J$511,$M512),"")</f>
        <v/>
      </c>
      <c r="G512" s="42" t="str">
        <f aca="false">IF(IF($M512="",0,INDEX(伝票元!$N$6:$N$511,$M512))=1,INDEX(伝票元!$Q$6:$Q$511,$M512),"")</f>
        <v/>
      </c>
      <c r="H512" s="45" t="str">
        <f aca="false">IF($M512="","",INDEX(伝票元!$F$6:$F$511,$M512))</f>
        <v/>
      </c>
      <c r="I512" s="45" t="str">
        <f aca="false">IF($M512="","",INDEX(伝票元!$G$6:$G$511,$M512))</f>
        <v/>
      </c>
      <c r="J512" s="42" t="str">
        <f aca="false">IF($M512="","",INDEX(伝票元!$H$6:$H$511,$M512))</f>
        <v/>
      </c>
      <c r="K512" s="46" t="str">
        <f aca="false">IF(IF($M512="",0,INDEX(伝票元!$N$6:$N$511,$M512))=1,INDEX(伝票元!$R$6:$R$511,$M512),"")</f>
        <v/>
      </c>
      <c r="L512" s="47" t="str">
        <f aca="false">IF($M512="","",INDEX(伝票元!$S$6:$S$511,$M512))</f>
        <v/>
      </c>
      <c r="M512" s="47" t="str">
        <f aca="false">IFERROR(MATCH(506,伝票元!$O$6:$O$511,0),"")</f>
        <v/>
      </c>
    </row>
  </sheetData>
  <conditionalFormatting sqref="A7:K512">
    <cfRule type="expression" priority="2" aboveAverage="0" equalAverage="0" bottom="0" percent="0" rank="0" text="" dxfId="23">
      <formula>AND($M7&lt;&gt;"",IF($M7="",0,INDEX(伝票元!$N$6:$N$511,$M7))=1)</formula>
    </cfRule>
  </conditionalFormatting>
  <conditionalFormatting sqref="H7:I512">
    <cfRule type="expression" priority="3" aboveAverage="0" equalAverage="0" bottom="0" percent="0" rank="0" text="" dxfId="0">
      <formula>AND($M7&lt;&gt;"",$H7="")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L2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421875" defaultRowHeight="15" zeroHeight="false" outlineLevelRow="0" outlineLevelCol="1"/>
  <cols>
    <col collapsed="false" customWidth="true" hidden="false" outlineLevel="0" max="1" min="1" style="0" width="16"/>
    <col collapsed="false" customWidth="true" hidden="false" outlineLevel="0" max="2" min="2" style="0" width="17"/>
    <col collapsed="false" customWidth="true" hidden="false" outlineLevel="0" max="3" min="3" style="0" width="26"/>
    <col collapsed="false" customWidth="true" hidden="false" outlineLevel="0" max="4" min="4" style="0" width="16"/>
    <col collapsed="false" customWidth="true" hidden="false" outlineLevel="0" max="5" min="5" style="0" width="17"/>
    <col collapsed="false" customWidth="true" hidden="false" outlineLevel="0" max="6" min="6" style="0" width="26"/>
    <col collapsed="false" customWidth="true" hidden="false" outlineLevel="0" max="7" min="7" style="0" width="16"/>
    <col collapsed="false" customWidth="true" hidden="false" outlineLevel="0" max="10" min="8" style="0" width="2"/>
    <col collapsed="false" customWidth="true" hidden="true" outlineLevel="1" max="12" min="11" style="0" width="8"/>
  </cols>
  <sheetData>
    <row r="1" customFormat="false" ht="17.35" hidden="false" customHeight="false" outlineLevel="0" collapsed="false">
      <c r="A1" s="16" t="s">
        <v>263</v>
      </c>
    </row>
    <row r="2" customFormat="false" ht="17.35" hidden="false" customHeight="false" outlineLevel="0" collapsed="false">
      <c r="A2" s="2" t="s">
        <v>264</v>
      </c>
    </row>
    <row r="3" customFormat="false" ht="17.35" hidden="false" customHeight="false" outlineLevel="0" collapsed="false">
      <c r="K3" s="48" t="s">
        <v>265</v>
      </c>
      <c r="L3" s="48" t="s">
        <v>266</v>
      </c>
    </row>
    <row r="4" customFormat="false" ht="20.1" hidden="false" customHeight="false" outlineLevel="0" collapsed="false">
      <c r="A4" s="49" t="s">
        <v>267</v>
      </c>
      <c r="B4" s="50" t="n">
        <v>1</v>
      </c>
      <c r="C4" s="51" t="str">
        <f aca="false">"全"&amp;MAX(伝票元!$P$6:$P$511)&amp;"枚中"</f>
        <v>全0枚中</v>
      </c>
      <c r="E4" s="2" t="s">
        <v>268</v>
      </c>
      <c r="K4" s="0" t="str">
        <f aca="false">IFERROR(MATCH($B$4,伝票元!$P$6:$P$511,0),"")</f>
        <v/>
      </c>
      <c r="L4" s="0" t="str">
        <f aca="false">IF($K$4="","",INDEX(伝票元!$O$6:$O$511,$K$4))</f>
        <v/>
      </c>
    </row>
    <row r="5" customFormat="false" ht="17.35" hidden="false" customHeight="false" outlineLevel="0" collapsed="false"/>
    <row r="6" customFormat="false" ht="17.35" hidden="false" customHeight="false" outlineLevel="0" collapsed="false">
      <c r="A6" s="49" t="s">
        <v>252</v>
      </c>
      <c r="B6" s="52" t="str">
        <f aca="false">IF($K$4="","",INDEX(伝票元!$E$6:$E$511,$K$4))</f>
        <v/>
      </c>
      <c r="C6" s="53" t="str">
        <f aca="false">IF($K$4="","",INDEX(伝票元!$D$6:$D$511,$K$4))</f>
        <v/>
      </c>
      <c r="D6" s="53"/>
      <c r="E6" s="53"/>
      <c r="F6" s="53"/>
    </row>
    <row r="7" customFormat="false" ht="17.35" hidden="false" customHeight="false" outlineLevel="0" collapsed="false">
      <c r="A7" s="49" t="s">
        <v>72</v>
      </c>
      <c r="B7" s="54" t="str">
        <f aca="false">IF($K$4="","",INDEX(伝票元!$A$6:$A$511,$K$4))</f>
        <v/>
      </c>
      <c r="C7" s="54"/>
      <c r="D7" s="54"/>
      <c r="E7" s="54"/>
      <c r="F7" s="54"/>
    </row>
    <row r="8" customFormat="false" ht="17.35" hidden="false" customHeight="false" outlineLevel="0" collapsed="false">
      <c r="A8" s="49" t="s">
        <v>269</v>
      </c>
      <c r="B8" s="55" t="str">
        <f aca="false">IF($K$4="","",INDEX(伝票元!$R$6:$R$511,$K$4))</f>
        <v/>
      </c>
    </row>
    <row r="9" customFormat="false" ht="17.35" hidden="false" customHeight="false" outlineLevel="0" collapsed="false"/>
    <row r="10" customFormat="false" ht="17.35" hidden="false" customHeight="false" outlineLevel="0" collapsed="false">
      <c r="A10" s="56" t="s">
        <v>270</v>
      </c>
      <c r="B10" s="56" t="s">
        <v>254</v>
      </c>
      <c r="C10" s="56" t="s">
        <v>255</v>
      </c>
      <c r="D10" s="56" t="s">
        <v>256</v>
      </c>
      <c r="E10" s="56" t="s">
        <v>257</v>
      </c>
      <c r="F10" s="56" t="s">
        <v>258</v>
      </c>
      <c r="G10" s="56" t="s">
        <v>259</v>
      </c>
    </row>
    <row r="11" customFormat="false" ht="17.35" hidden="false" customHeight="false" outlineLevel="0" collapsed="false">
      <c r="A11" s="57" t="str">
        <f aca="false">IF(AND($K11&lt;&gt;"",IF($K11="",0,INDEX(伝票元!$P$6:$P$511,$K11))=$B$4),1,"")</f>
        <v/>
      </c>
      <c r="B11" s="57" t="str">
        <f aca="false">IF(AND(AND($K11&lt;&gt;"",IF($K11="",0,INDEX(伝票元!$P$6:$P$511,$K11))=$B$4),1=1),INDEX(伝票元!$I$6:$I$511,$K11),"")</f>
        <v/>
      </c>
      <c r="C11" s="53" t="str">
        <f aca="false">IF(AND(AND($K11&lt;&gt;"",IF($K11="",0,INDEX(伝票元!$P$6:$P$511,$K11))=$B$4),1=1),INDEX(伝票元!$J$6:$J$511,$K11),"")</f>
        <v/>
      </c>
      <c r="D11" s="58" t="str">
        <f aca="false">IF(AND(AND($K11&lt;&gt;"",IF($K11="",0,INDEX(伝票元!$P$6:$P$511,$K11))=$B$4),1=1),INDEX(伝票元!$Q$6:$Q$511,$K11),"")</f>
        <v/>
      </c>
      <c r="E11" s="57" t="str">
        <f aca="false">IF(AND($K11&lt;&gt;"",IF($K11="",0,INDEX(伝票元!$P$6:$P$511,$K11))=$B$4),INDEX(伝票元!$F$6:$F$511,$K11),"")</f>
        <v/>
      </c>
      <c r="F11" s="53" t="str">
        <f aca="false">IF(AND($K11&lt;&gt;"",IF($K11="",0,INDEX(伝票元!$P$6:$P$511,$K11))=$B$4),INDEX(伝票元!$G$6:$G$511,$K11),"")</f>
        <v/>
      </c>
      <c r="G11" s="58" t="str">
        <f aca="false">IF(AND($K11&lt;&gt;"",IF($K11="",0,INDEX(伝票元!$P$6:$P$511,$K11))=$B$4),INDEX(伝票元!$H$6:$H$511,$K11),"")</f>
        <v/>
      </c>
      <c r="K11" s="59" t="str">
        <f aca="false">IF($K$4="","",IFERROR(MATCH($L$4+0,伝票元!$O$6:$O$511,0),""))</f>
        <v/>
      </c>
    </row>
    <row r="12" customFormat="false" ht="17.35" hidden="false" customHeight="false" outlineLevel="0" collapsed="false">
      <c r="A12" s="60" t="s">
        <v>271</v>
      </c>
      <c r="B12" s="60" t="str">
        <f aca="false">IF(AND($K11&lt;&gt;"",IF($K11="",0,INDEX(伝票元!$P$6:$P$511,$K11))=$B$4),"対象外","")</f>
        <v/>
      </c>
      <c r="C12" s="61" t="str">
        <f aca="false">IF(AND($K11&lt;&gt;"",IF($K11="",0,INDEX(伝票元!$P$6:$P$511,$K11))=$B$4),$B$7,"")</f>
        <v/>
      </c>
      <c r="D12" s="61"/>
      <c r="E12" s="61"/>
      <c r="F12" s="61"/>
      <c r="G12" s="61"/>
    </row>
    <row r="13" customFormat="false" ht="17.35" hidden="false" customHeight="false" outlineLevel="0" collapsed="false">
      <c r="A13" s="57" t="str">
        <f aca="false">IF(AND($K13&lt;&gt;"",IF($K13="",0,INDEX(伝票元!$P$6:$P$511,$K13))=$B$4),2,"")</f>
        <v/>
      </c>
      <c r="B13" s="57" t="str">
        <f aca="false">IF(AND(AND($K13&lt;&gt;"",IF($K13="",0,INDEX(伝票元!$P$6:$P$511,$K13))=$B$4),2=1),INDEX(伝票元!$I$6:$I$511,$K13),"")</f>
        <v/>
      </c>
      <c r="C13" s="53" t="str">
        <f aca="false">IF(AND(AND($K13&lt;&gt;"",IF($K13="",0,INDEX(伝票元!$P$6:$P$511,$K13))=$B$4),2=1),INDEX(伝票元!$J$6:$J$511,$K13),"")</f>
        <v/>
      </c>
      <c r="D13" s="58" t="str">
        <f aca="false">IF(AND(AND($K13&lt;&gt;"",IF($K13="",0,INDEX(伝票元!$P$6:$P$511,$K13))=$B$4),2=1),INDEX(伝票元!$Q$6:$Q$511,$K13),"")</f>
        <v/>
      </c>
      <c r="E13" s="57" t="str">
        <f aca="false">IF(AND($K13&lt;&gt;"",IF($K13="",0,INDEX(伝票元!$P$6:$P$511,$K13))=$B$4),INDEX(伝票元!$F$6:$F$511,$K13),"")</f>
        <v/>
      </c>
      <c r="F13" s="53" t="str">
        <f aca="false">IF(AND($K13&lt;&gt;"",IF($K13="",0,INDEX(伝票元!$P$6:$P$511,$K13))=$B$4),INDEX(伝票元!$G$6:$G$511,$K13),"")</f>
        <v/>
      </c>
      <c r="G13" s="58" t="str">
        <f aca="false">IF(AND($K13&lt;&gt;"",IF($K13="",0,INDEX(伝票元!$P$6:$P$511,$K13))=$B$4),INDEX(伝票元!$H$6:$H$511,$K13),"")</f>
        <v/>
      </c>
      <c r="K13" s="59" t="str">
        <f aca="false">IF($K$4="","",IFERROR(MATCH($L$4+1,伝票元!$O$6:$O$511,0),""))</f>
        <v/>
      </c>
    </row>
    <row r="14" customFormat="false" ht="17.35" hidden="false" customHeight="false" outlineLevel="0" collapsed="false">
      <c r="A14" s="60" t="s">
        <v>271</v>
      </c>
      <c r="B14" s="60" t="str">
        <f aca="false">IF(AND($K13&lt;&gt;"",IF($K13="",0,INDEX(伝票元!$P$6:$P$511,$K13))=$B$4),"対象外","")</f>
        <v/>
      </c>
      <c r="C14" s="61" t="str">
        <f aca="false">IF(AND($K13&lt;&gt;"",IF($K13="",0,INDEX(伝票元!$P$6:$P$511,$K13))=$B$4),$B$7,"")</f>
        <v/>
      </c>
      <c r="D14" s="61"/>
      <c r="E14" s="61"/>
      <c r="F14" s="61"/>
      <c r="G14" s="61"/>
    </row>
    <row r="15" customFormat="false" ht="17.35" hidden="false" customHeight="false" outlineLevel="0" collapsed="false">
      <c r="A15" s="57" t="str">
        <f aca="false">IF(AND($K15&lt;&gt;"",IF($K15="",0,INDEX(伝票元!$P$6:$P$511,$K15))=$B$4),3,"")</f>
        <v/>
      </c>
      <c r="B15" s="57" t="str">
        <f aca="false">IF(AND(AND($K15&lt;&gt;"",IF($K15="",0,INDEX(伝票元!$P$6:$P$511,$K15))=$B$4),3=1),INDEX(伝票元!$I$6:$I$511,$K15),"")</f>
        <v/>
      </c>
      <c r="C15" s="53" t="str">
        <f aca="false">IF(AND(AND($K15&lt;&gt;"",IF($K15="",0,INDEX(伝票元!$P$6:$P$511,$K15))=$B$4),3=1),INDEX(伝票元!$J$6:$J$511,$K15),"")</f>
        <v/>
      </c>
      <c r="D15" s="58" t="str">
        <f aca="false">IF(AND(AND($K15&lt;&gt;"",IF($K15="",0,INDEX(伝票元!$P$6:$P$511,$K15))=$B$4),3=1),INDEX(伝票元!$Q$6:$Q$511,$K15),"")</f>
        <v/>
      </c>
      <c r="E15" s="57" t="str">
        <f aca="false">IF(AND($K15&lt;&gt;"",IF($K15="",0,INDEX(伝票元!$P$6:$P$511,$K15))=$B$4),INDEX(伝票元!$F$6:$F$511,$K15),"")</f>
        <v/>
      </c>
      <c r="F15" s="53" t="str">
        <f aca="false">IF(AND($K15&lt;&gt;"",IF($K15="",0,INDEX(伝票元!$P$6:$P$511,$K15))=$B$4),INDEX(伝票元!$G$6:$G$511,$K15),"")</f>
        <v/>
      </c>
      <c r="G15" s="58" t="str">
        <f aca="false">IF(AND($K15&lt;&gt;"",IF($K15="",0,INDEX(伝票元!$P$6:$P$511,$K15))=$B$4),INDEX(伝票元!$H$6:$H$511,$K15),"")</f>
        <v/>
      </c>
      <c r="K15" s="59" t="str">
        <f aca="false">IF($K$4="","",IFERROR(MATCH($L$4+2,伝票元!$O$6:$O$511,0),""))</f>
        <v/>
      </c>
    </row>
    <row r="16" customFormat="false" ht="17.35" hidden="false" customHeight="false" outlineLevel="0" collapsed="false">
      <c r="A16" s="60" t="s">
        <v>271</v>
      </c>
      <c r="B16" s="60" t="str">
        <f aca="false">IF(AND($K15&lt;&gt;"",IF($K15="",0,INDEX(伝票元!$P$6:$P$511,$K15))=$B$4),"対象外","")</f>
        <v/>
      </c>
      <c r="C16" s="61" t="str">
        <f aca="false">IF(AND($K15&lt;&gt;"",IF($K15="",0,INDEX(伝票元!$P$6:$P$511,$K15))=$B$4),$B$7,"")</f>
        <v/>
      </c>
      <c r="D16" s="61"/>
      <c r="E16" s="61"/>
      <c r="F16" s="61"/>
      <c r="G16" s="61"/>
    </row>
    <row r="17" customFormat="false" ht="17.35" hidden="false" customHeight="false" outlineLevel="0" collapsed="false">
      <c r="A17" s="57" t="str">
        <f aca="false">IF(AND($K17&lt;&gt;"",IF($K17="",0,INDEX(伝票元!$P$6:$P$511,$K17))=$B$4),4,"")</f>
        <v/>
      </c>
      <c r="B17" s="57" t="str">
        <f aca="false">IF(AND(AND($K17&lt;&gt;"",IF($K17="",0,INDEX(伝票元!$P$6:$P$511,$K17))=$B$4),4=1),INDEX(伝票元!$I$6:$I$511,$K17),"")</f>
        <v/>
      </c>
      <c r="C17" s="53" t="str">
        <f aca="false">IF(AND(AND($K17&lt;&gt;"",IF($K17="",0,INDEX(伝票元!$P$6:$P$511,$K17))=$B$4),4=1),INDEX(伝票元!$J$6:$J$511,$K17),"")</f>
        <v/>
      </c>
      <c r="D17" s="58" t="str">
        <f aca="false">IF(AND(AND($K17&lt;&gt;"",IF($K17="",0,INDEX(伝票元!$P$6:$P$511,$K17))=$B$4),4=1),INDEX(伝票元!$Q$6:$Q$511,$K17),"")</f>
        <v/>
      </c>
      <c r="E17" s="57" t="str">
        <f aca="false">IF(AND($K17&lt;&gt;"",IF($K17="",0,INDEX(伝票元!$P$6:$P$511,$K17))=$B$4),INDEX(伝票元!$F$6:$F$511,$K17),"")</f>
        <v/>
      </c>
      <c r="F17" s="53" t="str">
        <f aca="false">IF(AND($K17&lt;&gt;"",IF($K17="",0,INDEX(伝票元!$P$6:$P$511,$K17))=$B$4),INDEX(伝票元!$G$6:$G$511,$K17),"")</f>
        <v/>
      </c>
      <c r="G17" s="58" t="str">
        <f aca="false">IF(AND($K17&lt;&gt;"",IF($K17="",0,INDEX(伝票元!$P$6:$P$511,$K17))=$B$4),INDEX(伝票元!$H$6:$H$511,$K17),"")</f>
        <v/>
      </c>
      <c r="K17" s="59" t="str">
        <f aca="false">IF($K$4="","",IFERROR(MATCH($L$4+3,伝票元!$O$6:$O$511,0),""))</f>
        <v/>
      </c>
    </row>
    <row r="18" customFormat="false" ht="17.35" hidden="false" customHeight="false" outlineLevel="0" collapsed="false">
      <c r="A18" s="60" t="s">
        <v>271</v>
      </c>
      <c r="B18" s="60" t="str">
        <f aca="false">IF(AND($K17&lt;&gt;"",IF($K17="",0,INDEX(伝票元!$P$6:$P$511,$K17))=$B$4),"対象外","")</f>
        <v/>
      </c>
      <c r="C18" s="61" t="str">
        <f aca="false">IF(AND($K17&lt;&gt;"",IF($K17="",0,INDEX(伝票元!$P$6:$P$511,$K17))=$B$4),$B$7,"")</f>
        <v/>
      </c>
      <c r="D18" s="61"/>
      <c r="E18" s="61"/>
      <c r="F18" s="61"/>
      <c r="G18" s="61"/>
    </row>
    <row r="19" customFormat="false" ht="17.35" hidden="false" customHeight="false" outlineLevel="0" collapsed="false">
      <c r="A19" s="57" t="str">
        <f aca="false">IF(AND($K19&lt;&gt;"",IF($K19="",0,INDEX(伝票元!$P$6:$P$511,$K19))=$B$4),5,"")</f>
        <v/>
      </c>
      <c r="B19" s="57" t="str">
        <f aca="false">IF(AND(AND($K19&lt;&gt;"",IF($K19="",0,INDEX(伝票元!$P$6:$P$511,$K19))=$B$4),5=1),INDEX(伝票元!$I$6:$I$511,$K19),"")</f>
        <v/>
      </c>
      <c r="C19" s="53" t="str">
        <f aca="false">IF(AND(AND($K19&lt;&gt;"",IF($K19="",0,INDEX(伝票元!$P$6:$P$511,$K19))=$B$4),5=1),INDEX(伝票元!$J$6:$J$511,$K19),"")</f>
        <v/>
      </c>
      <c r="D19" s="58" t="str">
        <f aca="false">IF(AND(AND($K19&lt;&gt;"",IF($K19="",0,INDEX(伝票元!$P$6:$P$511,$K19))=$B$4),5=1),INDEX(伝票元!$Q$6:$Q$511,$K19),"")</f>
        <v/>
      </c>
      <c r="E19" s="57" t="str">
        <f aca="false">IF(AND($K19&lt;&gt;"",IF($K19="",0,INDEX(伝票元!$P$6:$P$511,$K19))=$B$4),INDEX(伝票元!$F$6:$F$511,$K19),"")</f>
        <v/>
      </c>
      <c r="F19" s="53" t="str">
        <f aca="false">IF(AND($K19&lt;&gt;"",IF($K19="",0,INDEX(伝票元!$P$6:$P$511,$K19))=$B$4),INDEX(伝票元!$G$6:$G$511,$K19),"")</f>
        <v/>
      </c>
      <c r="G19" s="58" t="str">
        <f aca="false">IF(AND($K19&lt;&gt;"",IF($K19="",0,INDEX(伝票元!$P$6:$P$511,$K19))=$B$4),INDEX(伝票元!$H$6:$H$511,$K19),"")</f>
        <v/>
      </c>
      <c r="K19" s="59" t="str">
        <f aca="false">IF($K$4="","",IFERROR(MATCH($L$4+4,伝票元!$O$6:$O$511,0),""))</f>
        <v/>
      </c>
    </row>
    <row r="20" customFormat="false" ht="17.35" hidden="false" customHeight="false" outlineLevel="0" collapsed="false">
      <c r="A20" s="60" t="s">
        <v>271</v>
      </c>
      <c r="B20" s="60" t="str">
        <f aca="false">IF(AND($K19&lt;&gt;"",IF($K19="",0,INDEX(伝票元!$P$6:$P$511,$K19))=$B$4),"対象外","")</f>
        <v/>
      </c>
      <c r="C20" s="61" t="str">
        <f aca="false">IF(AND($K19&lt;&gt;"",IF($K19="",0,INDEX(伝票元!$P$6:$P$511,$K19))=$B$4),$B$7,"")</f>
        <v/>
      </c>
      <c r="D20" s="61"/>
      <c r="E20" s="61"/>
      <c r="F20" s="61"/>
      <c r="G20" s="61"/>
    </row>
    <row r="21" customFormat="false" ht="17.35" hidden="false" customHeight="false" outlineLevel="0" collapsed="false">
      <c r="A21" s="57" t="str">
        <f aca="false">IF(AND($K21&lt;&gt;"",IF($K21="",0,INDEX(伝票元!$P$6:$P$511,$K21))=$B$4),6,"")</f>
        <v/>
      </c>
      <c r="B21" s="57" t="str">
        <f aca="false">IF(AND(AND($K21&lt;&gt;"",IF($K21="",0,INDEX(伝票元!$P$6:$P$511,$K21))=$B$4),6=1),INDEX(伝票元!$I$6:$I$511,$K21),"")</f>
        <v/>
      </c>
      <c r="C21" s="53" t="str">
        <f aca="false">IF(AND(AND($K21&lt;&gt;"",IF($K21="",0,INDEX(伝票元!$P$6:$P$511,$K21))=$B$4),6=1),INDEX(伝票元!$J$6:$J$511,$K21),"")</f>
        <v/>
      </c>
      <c r="D21" s="58" t="str">
        <f aca="false">IF(AND(AND($K21&lt;&gt;"",IF($K21="",0,INDEX(伝票元!$P$6:$P$511,$K21))=$B$4),6=1),INDEX(伝票元!$Q$6:$Q$511,$K21),"")</f>
        <v/>
      </c>
      <c r="E21" s="57" t="str">
        <f aca="false">IF(AND($K21&lt;&gt;"",IF($K21="",0,INDEX(伝票元!$P$6:$P$511,$K21))=$B$4),INDEX(伝票元!$F$6:$F$511,$K21),"")</f>
        <v/>
      </c>
      <c r="F21" s="53" t="str">
        <f aca="false">IF(AND($K21&lt;&gt;"",IF($K21="",0,INDEX(伝票元!$P$6:$P$511,$K21))=$B$4),INDEX(伝票元!$G$6:$G$511,$K21),"")</f>
        <v/>
      </c>
      <c r="G21" s="58" t="str">
        <f aca="false">IF(AND($K21&lt;&gt;"",IF($K21="",0,INDEX(伝票元!$P$6:$P$511,$K21))=$B$4),INDEX(伝票元!$H$6:$H$511,$K21),"")</f>
        <v/>
      </c>
      <c r="K21" s="59" t="str">
        <f aca="false">IF($K$4="","",IFERROR(MATCH($L$4+5,伝票元!$O$6:$O$511,0),""))</f>
        <v/>
      </c>
    </row>
    <row r="22" customFormat="false" ht="17.35" hidden="false" customHeight="false" outlineLevel="0" collapsed="false">
      <c r="A22" s="60" t="s">
        <v>271</v>
      </c>
      <c r="B22" s="60" t="str">
        <f aca="false">IF(AND($K21&lt;&gt;"",IF($K21="",0,INDEX(伝票元!$P$6:$P$511,$K21))=$B$4),"対象外","")</f>
        <v/>
      </c>
      <c r="C22" s="61" t="str">
        <f aca="false">IF(AND($K21&lt;&gt;"",IF($K21="",0,INDEX(伝票元!$P$6:$P$511,$K21))=$B$4),$B$7,"")</f>
        <v/>
      </c>
      <c r="D22" s="61"/>
      <c r="E22" s="61"/>
      <c r="F22" s="61"/>
      <c r="G22" s="61"/>
    </row>
    <row r="23" customFormat="false" ht="17.35" hidden="false" customHeight="false" outlineLevel="0" collapsed="false">
      <c r="A23" s="57" t="str">
        <f aca="false">IF(AND($K23&lt;&gt;"",IF($K23="",0,INDEX(伝票元!$P$6:$P$511,$K23))=$B$4),7,"")</f>
        <v/>
      </c>
      <c r="B23" s="57" t="str">
        <f aca="false">IF(AND(AND($K23&lt;&gt;"",IF($K23="",0,INDEX(伝票元!$P$6:$P$511,$K23))=$B$4),7=1),INDEX(伝票元!$I$6:$I$511,$K23),"")</f>
        <v/>
      </c>
      <c r="C23" s="53" t="str">
        <f aca="false">IF(AND(AND($K23&lt;&gt;"",IF($K23="",0,INDEX(伝票元!$P$6:$P$511,$K23))=$B$4),7=1),INDEX(伝票元!$J$6:$J$511,$K23),"")</f>
        <v/>
      </c>
      <c r="D23" s="58" t="str">
        <f aca="false">IF(AND(AND($K23&lt;&gt;"",IF($K23="",0,INDEX(伝票元!$P$6:$P$511,$K23))=$B$4),7=1),INDEX(伝票元!$Q$6:$Q$511,$K23),"")</f>
        <v/>
      </c>
      <c r="E23" s="57" t="str">
        <f aca="false">IF(AND($K23&lt;&gt;"",IF($K23="",0,INDEX(伝票元!$P$6:$P$511,$K23))=$B$4),INDEX(伝票元!$F$6:$F$511,$K23),"")</f>
        <v/>
      </c>
      <c r="F23" s="53" t="str">
        <f aca="false">IF(AND($K23&lt;&gt;"",IF($K23="",0,INDEX(伝票元!$P$6:$P$511,$K23))=$B$4),INDEX(伝票元!$G$6:$G$511,$K23),"")</f>
        <v/>
      </c>
      <c r="G23" s="58" t="str">
        <f aca="false">IF(AND($K23&lt;&gt;"",IF($K23="",0,INDEX(伝票元!$P$6:$P$511,$K23))=$B$4),INDEX(伝票元!$H$6:$H$511,$K23),"")</f>
        <v/>
      </c>
      <c r="K23" s="59" t="str">
        <f aca="false">IF($K$4="","",IFERROR(MATCH($L$4+6,伝票元!$O$6:$O$511,0),""))</f>
        <v/>
      </c>
    </row>
    <row r="24" customFormat="false" ht="17.35" hidden="false" customHeight="false" outlineLevel="0" collapsed="false">
      <c r="A24" s="60" t="s">
        <v>271</v>
      </c>
      <c r="B24" s="60" t="str">
        <f aca="false">IF(AND($K23&lt;&gt;"",IF($K23="",0,INDEX(伝票元!$P$6:$P$511,$K23))=$B$4),"対象外","")</f>
        <v/>
      </c>
      <c r="C24" s="61" t="str">
        <f aca="false">IF(AND($K23&lt;&gt;"",IF($K23="",0,INDEX(伝票元!$P$6:$P$511,$K23))=$B$4),$B$7,"")</f>
        <v/>
      </c>
      <c r="D24" s="61"/>
      <c r="E24" s="61"/>
      <c r="F24" s="61"/>
      <c r="G24" s="61"/>
    </row>
    <row r="25" customFormat="false" ht="17.35" hidden="false" customHeight="false" outlineLevel="0" collapsed="false">
      <c r="A25" s="57" t="str">
        <f aca="false">IF(AND($K25&lt;&gt;"",IF($K25="",0,INDEX(伝票元!$P$6:$P$511,$K25))=$B$4),8,"")</f>
        <v/>
      </c>
      <c r="B25" s="57" t="str">
        <f aca="false">IF(AND(AND($K25&lt;&gt;"",IF($K25="",0,INDEX(伝票元!$P$6:$P$511,$K25))=$B$4),8=1),INDEX(伝票元!$I$6:$I$511,$K25),"")</f>
        <v/>
      </c>
      <c r="C25" s="53" t="str">
        <f aca="false">IF(AND(AND($K25&lt;&gt;"",IF($K25="",0,INDEX(伝票元!$P$6:$P$511,$K25))=$B$4),8=1),INDEX(伝票元!$J$6:$J$511,$K25),"")</f>
        <v/>
      </c>
      <c r="D25" s="58" t="str">
        <f aca="false">IF(AND(AND($K25&lt;&gt;"",IF($K25="",0,INDEX(伝票元!$P$6:$P$511,$K25))=$B$4),8=1),INDEX(伝票元!$Q$6:$Q$511,$K25),"")</f>
        <v/>
      </c>
      <c r="E25" s="57" t="str">
        <f aca="false">IF(AND($K25&lt;&gt;"",IF($K25="",0,INDEX(伝票元!$P$6:$P$511,$K25))=$B$4),INDEX(伝票元!$F$6:$F$511,$K25),"")</f>
        <v/>
      </c>
      <c r="F25" s="53" t="str">
        <f aca="false">IF(AND($K25&lt;&gt;"",IF($K25="",0,INDEX(伝票元!$P$6:$P$511,$K25))=$B$4),INDEX(伝票元!$G$6:$G$511,$K25),"")</f>
        <v/>
      </c>
      <c r="G25" s="58" t="str">
        <f aca="false">IF(AND($K25&lt;&gt;"",IF($K25="",0,INDEX(伝票元!$P$6:$P$511,$K25))=$B$4),INDEX(伝票元!$H$6:$H$511,$K25),"")</f>
        <v/>
      </c>
      <c r="K25" s="59" t="str">
        <f aca="false">IF($K$4="","",IFERROR(MATCH($L$4+7,伝票元!$O$6:$O$511,0),""))</f>
        <v/>
      </c>
    </row>
    <row r="26" customFormat="false" ht="17.35" hidden="false" customHeight="false" outlineLevel="0" collapsed="false">
      <c r="A26" s="60" t="s">
        <v>271</v>
      </c>
      <c r="B26" s="60" t="str">
        <f aca="false">IF(AND($K25&lt;&gt;"",IF($K25="",0,INDEX(伝票元!$P$6:$P$511,$K25))=$B$4),"対象外","")</f>
        <v/>
      </c>
      <c r="C26" s="61" t="str">
        <f aca="false">IF(AND($K25&lt;&gt;"",IF($K25="",0,INDEX(伝票元!$P$6:$P$511,$K25))=$B$4),$B$7,"")</f>
        <v/>
      </c>
      <c r="D26" s="61"/>
      <c r="E26" s="61"/>
      <c r="F26" s="61"/>
      <c r="G26" s="61"/>
    </row>
    <row r="27" customFormat="false" ht="17.35" hidden="false" customHeight="false" outlineLevel="0" collapsed="false">
      <c r="A27" s="62" t="s">
        <v>19</v>
      </c>
      <c r="D27" s="58" t="str">
        <f aca="false">IF($K$4="","",SUM(D11:D26))</f>
        <v/>
      </c>
      <c r="E27" s="63" t="str">
        <f aca="false">IF($K$4="","",IF(D27=G27,"借方＝貸方 ○","借方≠貸方 ×"))</f>
        <v/>
      </c>
      <c r="F27" s="63"/>
      <c r="G27" s="58" t="str">
        <f aca="false">IF($K$4="","",SUM(G11:G26))</f>
        <v/>
      </c>
    </row>
    <row r="28" customFormat="false" ht="17.35" hidden="false" customHeight="false" outlineLevel="0" collapsed="false">
      <c r="A28" s="44" t="s">
        <v>272</v>
      </c>
    </row>
  </sheetData>
  <mergeCells count="11">
    <mergeCell ref="C6:F6"/>
    <mergeCell ref="B7:F7"/>
    <mergeCell ref="C12:G12"/>
    <mergeCell ref="C14:G14"/>
    <mergeCell ref="C16:G16"/>
    <mergeCell ref="C18:G18"/>
    <mergeCell ref="C20:G20"/>
    <mergeCell ref="C22:G22"/>
    <mergeCell ref="C24:G24"/>
    <mergeCell ref="C26:G26"/>
    <mergeCell ref="E27:F27"/>
  </mergeCells>
  <conditionalFormatting sqref="E27">
    <cfRule type="expression" priority="2" aboveAverage="0" equalAverage="0" bottom="0" percent="0" rank="0" text="" dxfId="1">
      <formula>LEFT(E27,4)="借方≠貸"</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10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421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34"/>
    <col collapsed="false" customWidth="true" hidden="false" outlineLevel="0" max="4" min="4" style="0" width="22"/>
    <col collapsed="false" customWidth="true" hidden="false" outlineLevel="0" max="5" min="5" style="0" width="24"/>
    <col collapsed="false" customWidth="true" hidden="false" outlineLevel="0" max="6" min="6" style="0" width="44"/>
    <col collapsed="false" customWidth="true" hidden="false" outlineLevel="0" max="7" min="7" style="0" width="3"/>
    <col collapsed="false" customWidth="true" hidden="false" outlineLevel="0" max="8" min="8" style="0" width="50"/>
  </cols>
  <sheetData>
    <row r="1" customFormat="false" ht="17.35" hidden="false" customHeight="false" outlineLevel="0" collapsed="false">
      <c r="A1" s="16" t="s">
        <v>273</v>
      </c>
    </row>
    <row r="2" customFormat="false" ht="17.35" hidden="false" customHeight="false" outlineLevel="0" collapsed="false">
      <c r="A2" s="2" t="s">
        <v>274</v>
      </c>
    </row>
    <row r="3" customFormat="false" ht="17.35" hidden="false" customHeight="false" outlineLevel="0" collapsed="false">
      <c r="A3" s="64" t="s">
        <v>275</v>
      </c>
    </row>
    <row r="4" customFormat="false" ht="26.85" hidden="false" customHeight="false" outlineLevel="0" collapsed="false">
      <c r="A4" s="6" t="s">
        <v>276</v>
      </c>
      <c r="B4" s="65" t="n">
        <v>0.1</v>
      </c>
      <c r="C4" s="15" t="s">
        <v>277</v>
      </c>
    </row>
    <row r="5" customFormat="false" ht="26.85" hidden="false" customHeight="false" outlineLevel="0" collapsed="false">
      <c r="A5" s="6" t="s">
        <v>278</v>
      </c>
      <c r="B5" s="65" t="n">
        <v>0.1</v>
      </c>
      <c r="C5" s="15" t="s">
        <v>279</v>
      </c>
    </row>
    <row r="6" customFormat="false" ht="26.85" hidden="false" customHeight="false" outlineLevel="0" collapsed="false">
      <c r="A6" s="6" t="s">
        <v>280</v>
      </c>
      <c r="B6" s="66" t="s">
        <v>281</v>
      </c>
      <c r="C6" s="15" t="s">
        <v>282</v>
      </c>
    </row>
    <row r="7" customFormat="false" ht="17.35" hidden="false" customHeight="false" outlineLevel="0" collapsed="false"/>
    <row r="8" customFormat="false" ht="17.35" hidden="false" customHeight="false" outlineLevel="0" collapsed="false">
      <c r="A8" s="64" t="s">
        <v>283</v>
      </c>
    </row>
    <row r="9" customFormat="false" ht="17.35" hidden="false" customHeight="false" outlineLevel="0" collapsed="false">
      <c r="A9" s="3" t="s">
        <v>284</v>
      </c>
      <c r="B9" s="3" t="s">
        <v>285</v>
      </c>
      <c r="C9" s="3" t="s">
        <v>286</v>
      </c>
      <c r="D9" s="3" t="s">
        <v>287</v>
      </c>
      <c r="E9" s="3" t="s">
        <v>104</v>
      </c>
    </row>
    <row r="10" customFormat="false" ht="17.35" hidden="false" customHeight="false" outlineLevel="0" collapsed="false">
      <c r="A10" s="6" t="s">
        <v>288</v>
      </c>
      <c r="B10" s="67" t="n">
        <v>91.5</v>
      </c>
      <c r="C10" s="68" t="n">
        <v>91.5</v>
      </c>
      <c r="D10" s="6" t="s">
        <v>78</v>
      </c>
      <c r="E10" s="15"/>
    </row>
    <row r="11" customFormat="false" ht="17.35" hidden="false" customHeight="false" outlineLevel="0" collapsed="false">
      <c r="A11" s="6" t="s">
        <v>289</v>
      </c>
      <c r="B11" s="67" t="n">
        <v>7.5</v>
      </c>
      <c r="C11" s="68" t="n">
        <v>7.5</v>
      </c>
      <c r="D11" s="6" t="s">
        <v>78</v>
      </c>
      <c r="E11" s="15"/>
    </row>
    <row r="12" customFormat="false" ht="17.35" hidden="false" customHeight="false" outlineLevel="0" collapsed="false">
      <c r="A12" s="6" t="s">
        <v>85</v>
      </c>
      <c r="B12" s="69" t="s">
        <v>290</v>
      </c>
      <c r="C12" s="68" t="n">
        <v>0.0869</v>
      </c>
      <c r="D12" s="6" t="s">
        <v>78</v>
      </c>
      <c r="E12" s="15"/>
    </row>
    <row r="13" customFormat="false" ht="17.35" hidden="false" customHeight="false" outlineLevel="0" collapsed="false">
      <c r="A13" s="6" t="s">
        <v>79</v>
      </c>
      <c r="B13" s="67" t="n">
        <v>51.86</v>
      </c>
      <c r="C13" s="68" t="n">
        <v>51.91</v>
      </c>
      <c r="D13" s="6" t="s">
        <v>79</v>
      </c>
      <c r="E13" s="15"/>
    </row>
    <row r="14" customFormat="false" ht="17.35" hidden="false" customHeight="false" outlineLevel="0" collapsed="false">
      <c r="A14" s="6" t="s">
        <v>80</v>
      </c>
      <c r="B14" s="67" t="n">
        <v>7.9</v>
      </c>
      <c r="C14" s="68" t="n">
        <v>7.9</v>
      </c>
      <c r="D14" s="6" t="s">
        <v>80</v>
      </c>
      <c r="E14" s="15"/>
    </row>
    <row r="15" customFormat="false" ht="17.35" hidden="false" customHeight="false" outlineLevel="0" collapsed="false">
      <c r="A15" s="6" t="s">
        <v>291</v>
      </c>
      <c r="B15" s="67" t="n">
        <v>1.15</v>
      </c>
      <c r="C15" s="68" t="n">
        <v>1.15</v>
      </c>
      <c r="D15" s="6" t="s">
        <v>292</v>
      </c>
      <c r="E15" s="15"/>
    </row>
    <row r="16" customFormat="false" ht="17.35" hidden="false" customHeight="false" outlineLevel="0" collapsed="false">
      <c r="A16" s="6" t="s">
        <v>293</v>
      </c>
      <c r="B16" s="69" t="s">
        <v>290</v>
      </c>
      <c r="C16" s="68" t="n">
        <v>3.6</v>
      </c>
      <c r="D16" s="6" t="s">
        <v>294</v>
      </c>
      <c r="E16" s="15" t="s">
        <v>295</v>
      </c>
    </row>
    <row r="17" customFormat="false" ht="17.35" hidden="false" customHeight="false" outlineLevel="0" collapsed="false"/>
    <row r="18" customFormat="false" ht="17.35" hidden="false" customHeight="false" outlineLevel="0" collapsed="false">
      <c r="A18" s="64" t="s">
        <v>296</v>
      </c>
    </row>
    <row r="19" customFormat="false" ht="17.35" hidden="false" customHeight="false" outlineLevel="0" collapsed="false">
      <c r="A19" s="3" t="s">
        <v>297</v>
      </c>
      <c r="B19" s="3" t="s">
        <v>298</v>
      </c>
      <c r="C19" s="3" t="s">
        <v>284</v>
      </c>
      <c r="D19" s="3" t="s">
        <v>299</v>
      </c>
      <c r="E19" s="3" t="s">
        <v>300</v>
      </c>
    </row>
    <row r="20" customFormat="false" ht="17.35" hidden="false" customHeight="false" outlineLevel="0" collapsed="false">
      <c r="A20" s="45" t="s">
        <v>157</v>
      </c>
      <c r="B20" s="70" t="n">
        <v>46113</v>
      </c>
      <c r="C20" s="71" t="s">
        <v>301</v>
      </c>
      <c r="D20" s="71"/>
      <c r="E20" s="71" t="n">
        <v>2</v>
      </c>
      <c r="F20" s="5" t="s">
        <v>302</v>
      </c>
    </row>
    <row r="21" customFormat="false" ht="17.35" hidden="false" customHeight="false" outlineLevel="0" collapsed="false">
      <c r="A21" s="45" t="s">
        <v>207</v>
      </c>
      <c r="B21" s="70" t="n">
        <v>46173</v>
      </c>
      <c r="C21" s="71" t="s">
        <v>301</v>
      </c>
      <c r="D21" s="45" t="s">
        <v>157</v>
      </c>
      <c r="E21" s="71" t="n">
        <v>67</v>
      </c>
    </row>
    <row r="22" customFormat="false" ht="17.35" hidden="false" customHeight="false" outlineLevel="0" collapsed="false">
      <c r="A22" s="45" t="s">
        <v>209</v>
      </c>
      <c r="B22" s="70" t="n">
        <v>46203</v>
      </c>
      <c r="C22" s="71" t="s">
        <v>301</v>
      </c>
      <c r="D22" s="45" t="s">
        <v>207</v>
      </c>
      <c r="E22" s="71" t="n">
        <v>132</v>
      </c>
    </row>
    <row r="23" customFormat="false" ht="17.35" hidden="false" customHeight="false" outlineLevel="0" collapsed="false">
      <c r="A23" s="45" t="s">
        <v>210</v>
      </c>
      <c r="B23" s="70" t="n">
        <v>46203</v>
      </c>
      <c r="C23" s="71" t="s">
        <v>303</v>
      </c>
      <c r="D23" s="71"/>
      <c r="E23" s="71" t="n">
        <v>197</v>
      </c>
    </row>
    <row r="24" customFormat="false" ht="17.35" hidden="false" customHeight="false" outlineLevel="0" collapsed="false">
      <c r="A24" s="45" t="s">
        <v>211</v>
      </c>
      <c r="B24" s="70" t="n">
        <v>46234</v>
      </c>
      <c r="C24" s="71" t="s">
        <v>301</v>
      </c>
      <c r="D24" s="45" t="s">
        <v>209</v>
      </c>
      <c r="E24" s="71" t="n">
        <v>262</v>
      </c>
    </row>
    <row r="25" customFormat="false" ht="17.35" hidden="false" customHeight="false" outlineLevel="0" collapsed="false">
      <c r="A25" s="45" t="s">
        <v>212</v>
      </c>
      <c r="B25" s="70" t="n">
        <v>46265</v>
      </c>
      <c r="C25" s="71" t="s">
        <v>301</v>
      </c>
      <c r="D25" s="45" t="s">
        <v>211</v>
      </c>
      <c r="E25" s="71" t="n">
        <v>327</v>
      </c>
    </row>
    <row r="26" customFormat="false" ht="17.35" hidden="false" customHeight="false" outlineLevel="0" collapsed="false">
      <c r="A26" s="45" t="s">
        <v>213</v>
      </c>
      <c r="B26" s="70" t="n">
        <v>46295</v>
      </c>
      <c r="C26" s="71" t="s">
        <v>301</v>
      </c>
      <c r="D26" s="45" t="s">
        <v>212</v>
      </c>
      <c r="E26" s="71" t="n">
        <v>392</v>
      </c>
    </row>
    <row r="27" customFormat="false" ht="17.35" hidden="false" customHeight="false" outlineLevel="0" collapsed="false">
      <c r="A27" s="45" t="s">
        <v>214</v>
      </c>
      <c r="B27" s="70" t="n">
        <v>46326</v>
      </c>
      <c r="C27" s="71" t="s">
        <v>301</v>
      </c>
      <c r="D27" s="45" t="s">
        <v>213</v>
      </c>
      <c r="E27" s="71" t="n">
        <v>457</v>
      </c>
    </row>
    <row r="28" customFormat="false" ht="17.35" hidden="false" customHeight="false" outlineLevel="0" collapsed="false">
      <c r="A28" s="45" t="s">
        <v>215</v>
      </c>
      <c r="B28" s="70" t="n">
        <v>46356</v>
      </c>
      <c r="C28" s="71" t="s">
        <v>301</v>
      </c>
      <c r="D28" s="45" t="s">
        <v>214</v>
      </c>
      <c r="E28" s="71" t="n">
        <v>522</v>
      </c>
    </row>
    <row r="29" customFormat="false" ht="17.35" hidden="false" customHeight="false" outlineLevel="0" collapsed="false">
      <c r="A29" s="45" t="s">
        <v>217</v>
      </c>
      <c r="B29" s="70" t="n">
        <v>46387</v>
      </c>
      <c r="C29" s="71" t="s">
        <v>303</v>
      </c>
      <c r="D29" s="71"/>
      <c r="E29" s="71" t="n">
        <v>587</v>
      </c>
    </row>
    <row r="30" customFormat="false" ht="17.35" hidden="false" customHeight="false" outlineLevel="0" collapsed="false">
      <c r="A30" s="45" t="s">
        <v>218</v>
      </c>
      <c r="B30" s="70" t="n">
        <v>46387</v>
      </c>
      <c r="C30" s="71" t="s">
        <v>301</v>
      </c>
      <c r="D30" s="45" t="s">
        <v>215</v>
      </c>
      <c r="E30" s="71" t="n">
        <v>652</v>
      </c>
    </row>
    <row r="31" customFormat="false" ht="17.35" hidden="false" customHeight="false" outlineLevel="0" collapsed="false">
      <c r="A31" s="45" t="s">
        <v>219</v>
      </c>
      <c r="B31" s="70" t="n">
        <v>46418</v>
      </c>
      <c r="C31" s="71" t="s">
        <v>301</v>
      </c>
      <c r="D31" s="45" t="s">
        <v>218</v>
      </c>
      <c r="E31" s="71" t="n">
        <v>717</v>
      </c>
    </row>
    <row r="32" customFormat="false" ht="17.35" hidden="false" customHeight="false" outlineLevel="0" collapsed="false">
      <c r="A32" s="45" t="s">
        <v>220</v>
      </c>
      <c r="B32" s="70" t="n">
        <v>46446</v>
      </c>
      <c r="C32" s="71" t="s">
        <v>301</v>
      </c>
      <c r="D32" s="45" t="s">
        <v>219</v>
      </c>
      <c r="E32" s="71" t="n">
        <v>782</v>
      </c>
    </row>
    <row r="33" customFormat="false" ht="17.35" hidden="false" customHeight="false" outlineLevel="0" collapsed="false">
      <c r="A33" s="45" t="s">
        <v>221</v>
      </c>
      <c r="B33" s="70" t="n">
        <v>46477</v>
      </c>
      <c r="C33" s="71" t="s">
        <v>303</v>
      </c>
      <c r="D33" s="71"/>
      <c r="E33" s="71" t="n">
        <v>847</v>
      </c>
    </row>
    <row r="34" customFormat="false" ht="17.35" hidden="false" customHeight="false" outlineLevel="0" collapsed="false">
      <c r="A34" s="45" t="s">
        <v>222</v>
      </c>
      <c r="B34" s="70" t="n">
        <v>46477</v>
      </c>
      <c r="C34" s="71" t="s">
        <v>301</v>
      </c>
      <c r="D34" s="45" t="s">
        <v>220</v>
      </c>
      <c r="E34" s="71" t="n">
        <v>912</v>
      </c>
    </row>
    <row r="35" customFormat="false" ht="17.35" hidden="false" customHeight="false" outlineLevel="0" collapsed="false"/>
    <row r="36" customFormat="false" ht="17.35" hidden="false" customHeight="false" outlineLevel="0" collapsed="false"/>
    <row r="37" customFormat="false" ht="17.35" hidden="false" customHeight="false" outlineLevel="0" collapsed="false">
      <c r="A37" s="64" t="s">
        <v>304</v>
      </c>
    </row>
    <row r="38" customFormat="false" ht="17.35" hidden="false" customHeight="false" outlineLevel="0" collapsed="false">
      <c r="A38" s="3" t="s">
        <v>251</v>
      </c>
      <c r="B38" s="3" t="s">
        <v>252</v>
      </c>
      <c r="C38" s="3" t="s">
        <v>254</v>
      </c>
      <c r="D38" s="3" t="s">
        <v>255</v>
      </c>
      <c r="E38" s="3" t="s">
        <v>104</v>
      </c>
    </row>
    <row r="39" customFormat="false" ht="17.35" hidden="false" customHeight="false" outlineLevel="0" collapsed="false">
      <c r="A39" s="6" t="s">
        <v>305</v>
      </c>
      <c r="B39" s="72" t="s">
        <v>306</v>
      </c>
      <c r="C39" s="72" t="s">
        <v>307</v>
      </c>
      <c r="D39" s="73" t="s">
        <v>308</v>
      </c>
      <c r="E39" s="6" t="s">
        <v>309</v>
      </c>
    </row>
    <row r="40" customFormat="false" ht="26.85" hidden="false" customHeight="false" outlineLevel="0" collapsed="false">
      <c r="A40" s="6" t="s">
        <v>310</v>
      </c>
      <c r="B40" s="73"/>
      <c r="C40" s="73"/>
      <c r="D40" s="73"/>
      <c r="E40" s="6" t="s">
        <v>311</v>
      </c>
    </row>
    <row r="41" customFormat="false" ht="26.85" hidden="false" customHeight="false" outlineLevel="0" collapsed="false">
      <c r="A41" s="6" t="s">
        <v>312</v>
      </c>
      <c r="B41" s="73"/>
      <c r="C41" s="73"/>
      <c r="D41" s="73"/>
      <c r="E41" s="6" t="s">
        <v>311</v>
      </c>
    </row>
    <row r="42" customFormat="false" ht="26.85" hidden="false" customHeight="false" outlineLevel="0" collapsed="false">
      <c r="A42" s="6" t="s">
        <v>313</v>
      </c>
      <c r="B42" s="73"/>
      <c r="C42" s="73"/>
      <c r="D42" s="73"/>
      <c r="E42" s="6" t="s">
        <v>311</v>
      </c>
    </row>
    <row r="43" customFormat="false" ht="17.35" hidden="false" customHeight="false" outlineLevel="0" collapsed="false"/>
    <row r="44" customFormat="false" ht="17.35" hidden="false" customHeight="false" outlineLevel="0" collapsed="false">
      <c r="A44" s="64" t="s">
        <v>314</v>
      </c>
    </row>
    <row r="45" customFormat="false" ht="17.35" hidden="false" customHeight="false" outlineLevel="0" collapsed="false">
      <c r="A45" s="74" t="s">
        <v>315</v>
      </c>
      <c r="B45" s="3" t="s">
        <v>316</v>
      </c>
      <c r="C45" s="3" t="s">
        <v>317</v>
      </c>
      <c r="D45" s="3" t="s">
        <v>257</v>
      </c>
      <c r="E45" s="3" t="s">
        <v>258</v>
      </c>
      <c r="F45" s="3" t="s">
        <v>104</v>
      </c>
    </row>
    <row r="46" customFormat="false" ht="17.35" hidden="false" customHeight="false" outlineLevel="0" collapsed="false">
      <c r="A46" s="71" t="n">
        <v>1</v>
      </c>
      <c r="B46" s="71" t="n">
        <v>1</v>
      </c>
      <c r="C46" s="6" t="s">
        <v>318</v>
      </c>
      <c r="D46" s="30" t="s">
        <v>319</v>
      </c>
      <c r="E46" s="73" t="s">
        <v>320</v>
      </c>
      <c r="F46" s="15" t="s">
        <v>309</v>
      </c>
    </row>
    <row r="47" customFormat="false" ht="17.35" hidden="false" customHeight="false" outlineLevel="0" collapsed="false">
      <c r="A47" s="71" t="n">
        <v>2</v>
      </c>
      <c r="B47" s="71" t="n">
        <v>1</v>
      </c>
      <c r="C47" s="6" t="s">
        <v>321</v>
      </c>
      <c r="D47" s="30" t="s">
        <v>322</v>
      </c>
      <c r="E47" s="73" t="s">
        <v>323</v>
      </c>
      <c r="F47" s="15" t="s">
        <v>309</v>
      </c>
    </row>
    <row r="48" customFormat="false" ht="17.35" hidden="false" customHeight="false" outlineLevel="0" collapsed="false">
      <c r="A48" s="71" t="n">
        <v>3</v>
      </c>
      <c r="B48" s="71" t="n">
        <v>1</v>
      </c>
      <c r="C48" s="6" t="s">
        <v>324</v>
      </c>
      <c r="D48" s="30" t="s">
        <v>325</v>
      </c>
      <c r="E48" s="73" t="s">
        <v>326</v>
      </c>
      <c r="F48" s="15" t="s">
        <v>309</v>
      </c>
    </row>
    <row r="49" customFormat="false" ht="17.35" hidden="false" customHeight="false" outlineLevel="0" collapsed="false">
      <c r="A49" s="71" t="n">
        <v>4</v>
      </c>
      <c r="B49" s="71" t="n">
        <v>1</v>
      </c>
      <c r="C49" s="6" t="s">
        <v>327</v>
      </c>
      <c r="D49" s="30" t="s">
        <v>328</v>
      </c>
      <c r="E49" s="73" t="s">
        <v>329</v>
      </c>
      <c r="F49" s="15" t="s">
        <v>309</v>
      </c>
    </row>
    <row r="50" customFormat="false" ht="17.35" hidden="false" customHeight="false" outlineLevel="0" collapsed="false">
      <c r="A50" s="71" t="n">
        <v>5</v>
      </c>
      <c r="B50" s="71" t="n">
        <v>1</v>
      </c>
      <c r="C50" s="6" t="s">
        <v>330</v>
      </c>
      <c r="D50" s="30" t="s">
        <v>331</v>
      </c>
      <c r="E50" s="73" t="s">
        <v>332</v>
      </c>
      <c r="F50" s="15" t="s">
        <v>309</v>
      </c>
    </row>
    <row r="51" customFormat="false" ht="17.35" hidden="false" customHeight="false" outlineLevel="0" collapsed="false">
      <c r="A51" s="71" t="n">
        <v>6</v>
      </c>
      <c r="B51" s="71" t="n">
        <v>2</v>
      </c>
      <c r="C51" s="6" t="s">
        <v>333</v>
      </c>
      <c r="D51" s="30"/>
      <c r="E51" s="73"/>
      <c r="F51" s="15" t="s">
        <v>334</v>
      </c>
    </row>
    <row r="52" customFormat="false" ht="17.35" hidden="false" customHeight="false" outlineLevel="0" collapsed="false">
      <c r="A52" s="71" t="n">
        <v>7</v>
      </c>
      <c r="B52" s="71" t="n">
        <v>2</v>
      </c>
      <c r="C52" s="6" t="s">
        <v>335</v>
      </c>
      <c r="D52" s="30"/>
      <c r="E52" s="73"/>
      <c r="F52" s="15" t="s">
        <v>334</v>
      </c>
    </row>
    <row r="53" customFormat="false" ht="17.35" hidden="false" customHeight="false" outlineLevel="0" collapsed="false">
      <c r="A53" s="71" t="n">
        <v>8</v>
      </c>
      <c r="B53" s="71" t="n">
        <v>3</v>
      </c>
      <c r="C53" s="6" t="s">
        <v>336</v>
      </c>
      <c r="D53" s="30"/>
      <c r="E53" s="73"/>
      <c r="F53" s="15" t="s">
        <v>334</v>
      </c>
    </row>
    <row r="54" customFormat="false" ht="17.35" hidden="false" customHeight="false" outlineLevel="0" collapsed="false">
      <c r="A54" s="71" t="n">
        <v>9</v>
      </c>
      <c r="B54" s="71" t="n">
        <v>3</v>
      </c>
      <c r="C54" s="6" t="s">
        <v>337</v>
      </c>
      <c r="D54" s="30"/>
      <c r="E54" s="73"/>
      <c r="F54" s="15" t="s">
        <v>334</v>
      </c>
    </row>
    <row r="55" customFormat="false" ht="17.35" hidden="false" customHeight="false" outlineLevel="0" collapsed="false">
      <c r="A55" s="71" t="n">
        <v>10</v>
      </c>
      <c r="B55" s="71" t="n">
        <v>4</v>
      </c>
      <c r="C55" s="6" t="s">
        <v>338</v>
      </c>
      <c r="D55" s="30"/>
      <c r="E55" s="73"/>
      <c r="F55" s="15" t="s">
        <v>334</v>
      </c>
    </row>
    <row r="56" customFormat="false" ht="17.35" hidden="false" customHeight="false" outlineLevel="0" collapsed="false">
      <c r="A56" s="71" t="n">
        <v>11</v>
      </c>
      <c r="B56" s="71" t="n">
        <v>4</v>
      </c>
      <c r="C56" s="6" t="s">
        <v>339</v>
      </c>
      <c r="D56" s="30"/>
      <c r="E56" s="73"/>
      <c r="F56" s="15" t="s">
        <v>334</v>
      </c>
    </row>
    <row r="57" customFormat="false" ht="17.35" hidden="false" customHeight="false" outlineLevel="0" collapsed="false"/>
    <row r="58" customFormat="false" ht="17.35" hidden="false" customHeight="false" outlineLevel="0" collapsed="false">
      <c r="A58" s="64" t="s">
        <v>340</v>
      </c>
    </row>
    <row r="59" customFormat="false" ht="17.35" hidden="false" customHeight="false" outlineLevel="0" collapsed="false">
      <c r="A59" s="2" t="s">
        <v>341</v>
      </c>
      <c r="H59" s="64" t="s">
        <v>342</v>
      </c>
    </row>
    <row r="60" customFormat="false" ht="17.35" hidden="false" customHeight="false" outlineLevel="0" collapsed="false">
      <c r="A60" s="74" t="s">
        <v>315</v>
      </c>
      <c r="B60" s="3" t="s">
        <v>72</v>
      </c>
      <c r="C60" s="3" t="s">
        <v>343</v>
      </c>
      <c r="D60" s="3" t="s">
        <v>344</v>
      </c>
      <c r="E60" s="3" t="s">
        <v>92</v>
      </c>
      <c r="F60" s="3" t="s">
        <v>104</v>
      </c>
      <c r="H60" s="75" t="s">
        <v>345</v>
      </c>
    </row>
    <row r="61" customFormat="false" ht="17.35" hidden="false" customHeight="false" outlineLevel="0" collapsed="false">
      <c r="A61" s="71" t="n">
        <v>1</v>
      </c>
      <c r="B61" s="6" t="s">
        <v>158</v>
      </c>
      <c r="C61" s="71" t="s">
        <v>346</v>
      </c>
      <c r="D61" s="26" t="s">
        <v>347</v>
      </c>
      <c r="E61" s="66" t="s">
        <v>348</v>
      </c>
      <c r="F61" s="15" t="s">
        <v>349</v>
      </c>
      <c r="H61" s="75" t="s">
        <v>350</v>
      </c>
    </row>
    <row r="62" customFormat="false" ht="17.35" hidden="false" customHeight="false" outlineLevel="0" collapsed="false">
      <c r="A62" s="71" t="n">
        <v>2</v>
      </c>
      <c r="B62" s="6" t="s">
        <v>161</v>
      </c>
      <c r="C62" s="71" t="s">
        <v>346</v>
      </c>
      <c r="D62" s="26" t="s">
        <v>351</v>
      </c>
      <c r="E62" s="66" t="s">
        <v>348</v>
      </c>
      <c r="F62" s="15"/>
      <c r="H62" s="75" t="s">
        <v>352</v>
      </c>
    </row>
    <row r="63" customFormat="false" ht="17.35" hidden="false" customHeight="false" outlineLevel="0" collapsed="false">
      <c r="A63" s="71" t="n">
        <v>3</v>
      </c>
      <c r="B63" s="6" t="s">
        <v>162</v>
      </c>
      <c r="C63" s="71" t="s">
        <v>346</v>
      </c>
      <c r="D63" s="26" t="s">
        <v>347</v>
      </c>
      <c r="E63" s="66" t="s">
        <v>348</v>
      </c>
      <c r="F63" s="15" t="s">
        <v>349</v>
      </c>
    </row>
    <row r="64" customFormat="false" ht="17.35" hidden="false" customHeight="false" outlineLevel="0" collapsed="false">
      <c r="A64" s="71" t="n">
        <v>4</v>
      </c>
      <c r="B64" s="6" t="s">
        <v>163</v>
      </c>
      <c r="C64" s="71" t="s">
        <v>346</v>
      </c>
      <c r="D64" s="26" t="s">
        <v>351</v>
      </c>
      <c r="E64" s="66" t="s">
        <v>348</v>
      </c>
      <c r="F64" s="15"/>
    </row>
    <row r="65" customFormat="false" ht="17.35" hidden="false" customHeight="false" outlineLevel="0" collapsed="false">
      <c r="A65" s="71" t="n">
        <v>5</v>
      </c>
      <c r="B65" s="6" t="s">
        <v>164</v>
      </c>
      <c r="C65" s="71" t="s">
        <v>346</v>
      </c>
      <c r="D65" s="26" t="s">
        <v>347</v>
      </c>
      <c r="E65" s="66" t="s">
        <v>348</v>
      </c>
      <c r="F65" s="15" t="s">
        <v>349</v>
      </c>
    </row>
    <row r="66" customFormat="false" ht="17.35" hidden="false" customHeight="false" outlineLevel="0" collapsed="false">
      <c r="A66" s="71" t="n">
        <v>6</v>
      </c>
      <c r="B66" s="6" t="s">
        <v>165</v>
      </c>
      <c r="C66" s="71" t="s">
        <v>346</v>
      </c>
      <c r="D66" s="26" t="s">
        <v>351</v>
      </c>
      <c r="E66" s="66" t="s">
        <v>348</v>
      </c>
      <c r="F66" s="15"/>
    </row>
    <row r="67" customFormat="false" ht="17.35" hidden="false" customHeight="false" outlineLevel="0" collapsed="false">
      <c r="A67" s="71" t="n">
        <v>7</v>
      </c>
      <c r="B67" s="6" t="s">
        <v>166</v>
      </c>
      <c r="C67" s="71" t="s">
        <v>346</v>
      </c>
      <c r="D67" s="26" t="s">
        <v>351</v>
      </c>
      <c r="E67" s="66" t="s">
        <v>348</v>
      </c>
      <c r="F67" s="15"/>
    </row>
    <row r="68" customFormat="false" ht="17.35" hidden="false" customHeight="false" outlineLevel="0" collapsed="false">
      <c r="A68" s="71" t="n">
        <v>8</v>
      </c>
      <c r="B68" s="6" t="s">
        <v>167</v>
      </c>
      <c r="C68" s="71" t="s">
        <v>346</v>
      </c>
      <c r="D68" s="26" t="s">
        <v>351</v>
      </c>
      <c r="E68" s="66" t="s">
        <v>348</v>
      </c>
      <c r="F68" s="15"/>
    </row>
    <row r="69" customFormat="false" ht="17.35" hidden="false" customHeight="false" outlineLevel="0" collapsed="false">
      <c r="A69" s="71" t="n">
        <v>9</v>
      </c>
      <c r="B69" s="6" t="s">
        <v>168</v>
      </c>
      <c r="C69" s="71" t="s">
        <v>346</v>
      </c>
      <c r="D69" s="26" t="s">
        <v>351</v>
      </c>
      <c r="E69" s="66" t="s">
        <v>348</v>
      </c>
      <c r="F69" s="15"/>
    </row>
    <row r="70" customFormat="false" ht="17.35" hidden="false" customHeight="false" outlineLevel="0" collapsed="false">
      <c r="A70" s="71" t="n">
        <v>10</v>
      </c>
      <c r="B70" s="6" t="s">
        <v>169</v>
      </c>
      <c r="C70" s="71" t="s">
        <v>346</v>
      </c>
      <c r="D70" s="26" t="s">
        <v>347</v>
      </c>
      <c r="E70" s="66" t="s">
        <v>348</v>
      </c>
      <c r="F70" s="15" t="s">
        <v>349</v>
      </c>
    </row>
    <row r="71" customFormat="false" ht="17.35" hidden="false" customHeight="false" outlineLevel="0" collapsed="false">
      <c r="A71" s="71" t="n">
        <v>11</v>
      </c>
      <c r="B71" s="6" t="s">
        <v>170</v>
      </c>
      <c r="C71" s="71" t="s">
        <v>346</v>
      </c>
      <c r="D71" s="26" t="s">
        <v>351</v>
      </c>
      <c r="E71" s="66" t="s">
        <v>348</v>
      </c>
      <c r="F71" s="15"/>
    </row>
    <row r="72" customFormat="false" ht="17.35" hidden="false" customHeight="false" outlineLevel="0" collapsed="false">
      <c r="A72" s="71" t="n">
        <v>12</v>
      </c>
      <c r="B72" s="6" t="s">
        <v>171</v>
      </c>
      <c r="C72" s="71" t="s">
        <v>346</v>
      </c>
      <c r="D72" s="26" t="s">
        <v>351</v>
      </c>
      <c r="E72" s="66" t="s">
        <v>348</v>
      </c>
      <c r="F72" s="15"/>
    </row>
    <row r="73" customFormat="false" ht="17.35" hidden="false" customHeight="false" outlineLevel="0" collapsed="false">
      <c r="A73" s="71" t="n">
        <v>13</v>
      </c>
      <c r="B73" s="6" t="s">
        <v>172</v>
      </c>
      <c r="C73" s="71" t="s">
        <v>353</v>
      </c>
      <c r="D73" s="26" t="s">
        <v>351</v>
      </c>
      <c r="E73" s="66" t="s">
        <v>348</v>
      </c>
      <c r="F73" s="15"/>
    </row>
    <row r="74" customFormat="false" ht="17.35" hidden="false" customHeight="false" outlineLevel="0" collapsed="false">
      <c r="A74" s="71" t="n">
        <v>14</v>
      </c>
      <c r="B74" s="6" t="s">
        <v>174</v>
      </c>
      <c r="C74" s="71" t="s">
        <v>353</v>
      </c>
      <c r="D74" s="26" t="s">
        <v>351</v>
      </c>
      <c r="E74" s="66" t="s">
        <v>348</v>
      </c>
      <c r="F74" s="15"/>
    </row>
    <row r="75" customFormat="false" ht="17.35" hidden="false" customHeight="false" outlineLevel="0" collapsed="false">
      <c r="A75" s="71" t="n">
        <v>15</v>
      </c>
      <c r="B75" s="6" t="s">
        <v>175</v>
      </c>
      <c r="C75" s="71" t="s">
        <v>353</v>
      </c>
      <c r="D75" s="26" t="s">
        <v>351</v>
      </c>
      <c r="E75" s="66" t="s">
        <v>348</v>
      </c>
      <c r="F75" s="15"/>
    </row>
    <row r="76" customFormat="false" ht="17.35" hidden="false" customHeight="false" outlineLevel="0" collapsed="false">
      <c r="A76" s="71" t="n">
        <v>16</v>
      </c>
      <c r="B76" s="6" t="s">
        <v>176</v>
      </c>
      <c r="C76" s="71" t="s">
        <v>353</v>
      </c>
      <c r="D76" s="26" t="s">
        <v>351</v>
      </c>
      <c r="E76" s="66" t="s">
        <v>348</v>
      </c>
      <c r="F76" s="15"/>
    </row>
    <row r="77" customFormat="false" ht="17.35" hidden="false" customHeight="false" outlineLevel="0" collapsed="false">
      <c r="A77" s="71" t="n">
        <v>17</v>
      </c>
      <c r="B77" s="6" t="s">
        <v>177</v>
      </c>
      <c r="C77" s="71" t="s">
        <v>353</v>
      </c>
      <c r="D77" s="26" t="s">
        <v>351</v>
      </c>
      <c r="E77" s="66" t="s">
        <v>348</v>
      </c>
      <c r="F77" s="15"/>
    </row>
    <row r="78" customFormat="false" ht="17.35" hidden="false" customHeight="false" outlineLevel="0" collapsed="false">
      <c r="A78" s="71" t="n">
        <v>18</v>
      </c>
      <c r="B78" s="6" t="s">
        <v>178</v>
      </c>
      <c r="C78" s="71" t="s">
        <v>353</v>
      </c>
      <c r="D78" s="26" t="s">
        <v>351</v>
      </c>
      <c r="E78" s="66" t="s">
        <v>348</v>
      </c>
      <c r="F78" s="15"/>
    </row>
    <row r="79" customFormat="false" ht="17.35" hidden="false" customHeight="false" outlineLevel="0" collapsed="false">
      <c r="A79" s="71" t="n">
        <v>19</v>
      </c>
      <c r="B79" s="6" t="s">
        <v>179</v>
      </c>
      <c r="C79" s="71" t="s">
        <v>353</v>
      </c>
      <c r="D79" s="26" t="s">
        <v>351</v>
      </c>
      <c r="E79" s="66" t="s">
        <v>348</v>
      </c>
      <c r="F79" s="15"/>
    </row>
    <row r="80" customFormat="false" ht="17.35" hidden="false" customHeight="false" outlineLevel="0" collapsed="false">
      <c r="A80" s="71" t="n">
        <v>20</v>
      </c>
      <c r="B80" s="6" t="s">
        <v>180</v>
      </c>
      <c r="C80" s="71" t="s">
        <v>353</v>
      </c>
      <c r="D80" s="26" t="s">
        <v>351</v>
      </c>
      <c r="E80" s="66" t="s">
        <v>348</v>
      </c>
      <c r="F80" s="15"/>
    </row>
    <row r="81" customFormat="false" ht="17.35" hidden="false" customHeight="false" outlineLevel="0" collapsed="false">
      <c r="A81" s="71" t="n">
        <v>21</v>
      </c>
      <c r="B81" s="6" t="s">
        <v>181</v>
      </c>
      <c r="C81" s="71" t="s">
        <v>353</v>
      </c>
      <c r="D81" s="26" t="s">
        <v>351</v>
      </c>
      <c r="E81" s="66" t="s">
        <v>348</v>
      </c>
      <c r="F81" s="15"/>
    </row>
    <row r="82" customFormat="false" ht="26.85" hidden="false" customHeight="false" outlineLevel="0" collapsed="false">
      <c r="A82" s="71" t="n">
        <v>22</v>
      </c>
      <c r="B82" s="6" t="s">
        <v>182</v>
      </c>
      <c r="C82" s="71" t="s">
        <v>353</v>
      </c>
      <c r="D82" s="26" t="s">
        <v>351</v>
      </c>
      <c r="E82" s="66" t="s">
        <v>348</v>
      </c>
      <c r="F82" s="15"/>
    </row>
    <row r="83" customFormat="false" ht="17.35" hidden="false" customHeight="false" outlineLevel="0" collapsed="false">
      <c r="A83" s="71" t="n">
        <v>23</v>
      </c>
      <c r="B83" s="6" t="s">
        <v>183</v>
      </c>
      <c r="C83" s="71" t="s">
        <v>353</v>
      </c>
      <c r="D83" s="26" t="s">
        <v>351</v>
      </c>
      <c r="E83" s="66" t="s">
        <v>348</v>
      </c>
      <c r="F83" s="15"/>
    </row>
    <row r="84" customFormat="false" ht="17.35" hidden="false" customHeight="false" outlineLevel="0" collapsed="false">
      <c r="A84" s="71" t="n">
        <v>24</v>
      </c>
      <c r="B84" s="6" t="s">
        <v>184</v>
      </c>
      <c r="C84" s="71" t="s">
        <v>353</v>
      </c>
      <c r="D84" s="26" t="s">
        <v>351</v>
      </c>
      <c r="E84" s="66" t="s">
        <v>348</v>
      </c>
      <c r="F84" s="15"/>
    </row>
    <row r="85" customFormat="false" ht="17.35" hidden="false" customHeight="false" outlineLevel="0" collapsed="false">
      <c r="A85" s="71" t="n">
        <v>25</v>
      </c>
      <c r="B85" s="6" t="s">
        <v>185</v>
      </c>
      <c r="C85" s="71" t="s">
        <v>353</v>
      </c>
      <c r="D85" s="26" t="s">
        <v>351</v>
      </c>
      <c r="E85" s="66" t="s">
        <v>348</v>
      </c>
      <c r="F85" s="15"/>
    </row>
    <row r="86" customFormat="false" ht="17.35" hidden="false" customHeight="false" outlineLevel="0" collapsed="false">
      <c r="A86" s="71" t="n">
        <v>26</v>
      </c>
      <c r="B86" s="6" t="s">
        <v>186</v>
      </c>
      <c r="C86" s="71" t="s">
        <v>353</v>
      </c>
      <c r="D86" s="26" t="s">
        <v>351</v>
      </c>
      <c r="E86" s="66" t="s">
        <v>348</v>
      </c>
      <c r="F86" s="15"/>
    </row>
    <row r="87" customFormat="false" ht="17.35" hidden="false" customHeight="false" outlineLevel="0" collapsed="false">
      <c r="A87" s="71" t="n">
        <v>27</v>
      </c>
      <c r="B87" s="6" t="s">
        <v>187</v>
      </c>
      <c r="C87" s="71" t="s">
        <v>353</v>
      </c>
      <c r="D87" s="26" t="s">
        <v>351</v>
      </c>
      <c r="E87" s="66" t="s">
        <v>348</v>
      </c>
      <c r="F87" s="15"/>
    </row>
    <row r="88" customFormat="false" ht="17.35" hidden="false" customHeight="false" outlineLevel="0" collapsed="false">
      <c r="A88" s="71" t="n">
        <v>28</v>
      </c>
      <c r="B88" s="6" t="s">
        <v>188</v>
      </c>
      <c r="C88" s="71" t="s">
        <v>353</v>
      </c>
      <c r="D88" s="26" t="s">
        <v>351</v>
      </c>
      <c r="E88" s="66" t="s">
        <v>348</v>
      </c>
      <c r="F88" s="15"/>
    </row>
    <row r="89" customFormat="false" ht="17.35" hidden="false" customHeight="false" outlineLevel="0" collapsed="false">
      <c r="A89" s="71" t="n">
        <v>29</v>
      </c>
      <c r="B89" s="6" t="s">
        <v>189</v>
      </c>
      <c r="C89" s="71" t="s">
        <v>353</v>
      </c>
      <c r="D89" s="26" t="s">
        <v>351</v>
      </c>
      <c r="E89" s="66" t="s">
        <v>348</v>
      </c>
      <c r="F89" s="15"/>
    </row>
    <row r="90" customFormat="false" ht="26.85" hidden="false" customHeight="false" outlineLevel="0" collapsed="false">
      <c r="A90" s="71" t="n">
        <v>30</v>
      </c>
      <c r="B90" s="6" t="s">
        <v>190</v>
      </c>
      <c r="C90" s="71" t="s">
        <v>353</v>
      </c>
      <c r="D90" s="26" t="s">
        <v>351</v>
      </c>
      <c r="E90" s="66" t="s">
        <v>348</v>
      </c>
      <c r="F90" s="15"/>
    </row>
    <row r="91" customFormat="false" ht="17.35" hidden="false" customHeight="false" outlineLevel="0" collapsed="false">
      <c r="A91" s="71" t="n">
        <v>31</v>
      </c>
      <c r="B91" s="6" t="s">
        <v>191</v>
      </c>
      <c r="C91" s="71" t="s">
        <v>353</v>
      </c>
      <c r="D91" s="26" t="s">
        <v>351</v>
      </c>
      <c r="E91" s="66" t="s">
        <v>348</v>
      </c>
      <c r="F91" s="15"/>
    </row>
    <row r="92" customFormat="false" ht="17.35" hidden="false" customHeight="false" outlineLevel="0" collapsed="false">
      <c r="A92" s="71" t="n">
        <v>32</v>
      </c>
      <c r="B92" s="6" t="s">
        <v>192</v>
      </c>
      <c r="C92" s="71" t="s">
        <v>353</v>
      </c>
      <c r="D92" s="26" t="s">
        <v>351</v>
      </c>
      <c r="E92" s="66" t="s">
        <v>348</v>
      </c>
      <c r="F92" s="15"/>
    </row>
    <row r="93" customFormat="false" ht="17.35" hidden="false" customHeight="false" outlineLevel="0" collapsed="false">
      <c r="A93" s="71" t="n">
        <v>33</v>
      </c>
      <c r="B93" s="6" t="s">
        <v>193</v>
      </c>
      <c r="C93" s="71" t="s">
        <v>353</v>
      </c>
      <c r="D93" s="26" t="s">
        <v>351</v>
      </c>
      <c r="E93" s="66" t="s">
        <v>348</v>
      </c>
      <c r="F93" s="15"/>
    </row>
    <row r="94" customFormat="false" ht="17.35" hidden="false" customHeight="false" outlineLevel="0" collapsed="false">
      <c r="A94" s="71" t="n">
        <v>34</v>
      </c>
      <c r="B94" s="6" t="s">
        <v>194</v>
      </c>
      <c r="C94" s="71" t="s">
        <v>353</v>
      </c>
      <c r="D94" s="26" t="s">
        <v>351</v>
      </c>
      <c r="E94" s="66" t="s">
        <v>348</v>
      </c>
      <c r="F94" s="15"/>
    </row>
    <row r="95" customFormat="false" ht="17.35" hidden="false" customHeight="false" outlineLevel="0" collapsed="false">
      <c r="A95" s="71" t="n">
        <v>35</v>
      </c>
      <c r="B95" s="6" t="s">
        <v>195</v>
      </c>
      <c r="C95" s="71" t="s">
        <v>353</v>
      </c>
      <c r="D95" s="26" t="s">
        <v>351</v>
      </c>
      <c r="E95" s="66" t="s">
        <v>348</v>
      </c>
      <c r="F95" s="15"/>
    </row>
    <row r="96" customFormat="false" ht="17.35" hidden="false" customHeight="false" outlineLevel="0" collapsed="false">
      <c r="A96" s="71" t="n">
        <v>36</v>
      </c>
      <c r="B96" s="6" t="s">
        <v>196</v>
      </c>
      <c r="C96" s="71" t="s">
        <v>353</v>
      </c>
      <c r="D96" s="26" t="s">
        <v>347</v>
      </c>
      <c r="E96" s="66" t="s">
        <v>348</v>
      </c>
      <c r="F96" s="15" t="s">
        <v>349</v>
      </c>
    </row>
    <row r="97" customFormat="false" ht="17.35" hidden="false" customHeight="false" outlineLevel="0" collapsed="false">
      <c r="A97" s="71" t="n">
        <v>37</v>
      </c>
      <c r="B97" s="6" t="s">
        <v>197</v>
      </c>
      <c r="C97" s="71" t="s">
        <v>353</v>
      </c>
      <c r="D97" s="26" t="s">
        <v>351</v>
      </c>
      <c r="E97" s="66" t="s">
        <v>348</v>
      </c>
      <c r="F97" s="15"/>
    </row>
    <row r="98" customFormat="false" ht="26.85" hidden="false" customHeight="false" outlineLevel="0" collapsed="false">
      <c r="A98" s="71" t="n">
        <v>38</v>
      </c>
      <c r="B98" s="6" t="s">
        <v>216</v>
      </c>
      <c r="C98" s="71" t="s">
        <v>353</v>
      </c>
      <c r="D98" s="26" t="s">
        <v>351</v>
      </c>
      <c r="E98" s="66" t="s">
        <v>348</v>
      </c>
      <c r="F98" s="15"/>
    </row>
    <row r="99" customFormat="false" ht="17.35" hidden="false" customHeight="false" outlineLevel="0" collapsed="false">
      <c r="A99" s="71" t="n">
        <v>39</v>
      </c>
      <c r="B99" s="6" t="s">
        <v>199</v>
      </c>
      <c r="C99" s="71" t="s">
        <v>353</v>
      </c>
      <c r="D99" s="26" t="s">
        <v>351</v>
      </c>
      <c r="E99" s="66" t="s">
        <v>348</v>
      </c>
      <c r="F99" s="15"/>
    </row>
    <row r="100" customFormat="false" ht="17.35" hidden="false" customHeight="false" outlineLevel="0" collapsed="false">
      <c r="A100" s="71" t="n">
        <v>40</v>
      </c>
      <c r="B100" s="6" t="s">
        <v>200</v>
      </c>
      <c r="C100" s="71" t="s">
        <v>354</v>
      </c>
      <c r="D100" s="26" t="s">
        <v>351</v>
      </c>
      <c r="E100" s="66" t="s">
        <v>348</v>
      </c>
      <c r="F100" s="15"/>
    </row>
    <row r="101" customFormat="false" ht="17.35" hidden="false" customHeight="false" outlineLevel="0" collapsed="false">
      <c r="A101" s="71" t="n">
        <v>41</v>
      </c>
      <c r="B101" s="6" t="s">
        <v>201</v>
      </c>
      <c r="C101" s="71" t="s">
        <v>354</v>
      </c>
      <c r="D101" s="26" t="s">
        <v>351</v>
      </c>
      <c r="E101" s="66" t="s">
        <v>348</v>
      </c>
      <c r="F101" s="15"/>
    </row>
    <row r="102" customFormat="false" ht="17.35" hidden="false" customHeight="false" outlineLevel="0" collapsed="false">
      <c r="A102" s="71" t="n">
        <v>42</v>
      </c>
      <c r="B102" s="6" t="s">
        <v>202</v>
      </c>
      <c r="C102" s="71" t="s">
        <v>355</v>
      </c>
      <c r="D102" s="26" t="s">
        <v>351</v>
      </c>
      <c r="E102" s="66" t="s">
        <v>348</v>
      </c>
      <c r="F102" s="15"/>
    </row>
    <row r="103" customFormat="false" ht="17.35" hidden="false" customHeight="false" outlineLevel="0" collapsed="false">
      <c r="A103" s="71" t="n">
        <v>43</v>
      </c>
      <c r="B103" s="6" t="s">
        <v>203</v>
      </c>
      <c r="C103" s="71" t="s">
        <v>355</v>
      </c>
      <c r="D103" s="26" t="s">
        <v>351</v>
      </c>
      <c r="E103" s="66" t="s">
        <v>348</v>
      </c>
      <c r="F103" s="15"/>
    </row>
    <row r="104" customFormat="false" ht="17.35" hidden="false" customHeight="false" outlineLevel="0" collapsed="false">
      <c r="A104" s="71" t="n">
        <v>44</v>
      </c>
      <c r="B104" s="6" t="s">
        <v>204</v>
      </c>
      <c r="C104" s="71" t="s">
        <v>355</v>
      </c>
      <c r="D104" s="26" t="s">
        <v>351</v>
      </c>
      <c r="E104" s="66" t="s">
        <v>348</v>
      </c>
      <c r="F104" s="15"/>
    </row>
    <row r="105" customFormat="false" ht="17.35" hidden="false" customHeight="false" outlineLevel="0" collapsed="false">
      <c r="A105" s="71" t="n">
        <v>45</v>
      </c>
      <c r="B105" s="6" t="s">
        <v>205</v>
      </c>
      <c r="C105" s="71" t="s">
        <v>355</v>
      </c>
      <c r="D105" s="26" t="s">
        <v>351</v>
      </c>
      <c r="E105" s="66" t="s">
        <v>348</v>
      </c>
      <c r="F105" s="15"/>
    </row>
    <row r="106" customFormat="false" ht="17.35" hidden="false" customHeight="false" outlineLevel="0" collapsed="false">
      <c r="A106" s="71" t="n">
        <v>46</v>
      </c>
      <c r="B106" s="6" t="s">
        <v>206</v>
      </c>
      <c r="C106" s="71" t="s">
        <v>356</v>
      </c>
      <c r="D106" s="26" t="s">
        <v>347</v>
      </c>
      <c r="E106" s="66" t="s">
        <v>348</v>
      </c>
      <c r="F106" s="15" t="s">
        <v>357</v>
      </c>
    </row>
  </sheetData>
  <dataValidations count="3">
    <dataValidation allowBlank="false" errorStyle="stop" operator="between" showDropDown="false" showErrorMessage="false" showInputMessage="false" sqref="B6" type="list">
      <formula1>"入金確認済のみ,受領済以降すべて"</formula1>
      <formula2>0</formula2>
    </dataValidation>
    <dataValidation allowBlank="false" errorStyle="stop" operator="between" showDropDown="false" showErrorMessage="false" showInputMessage="false" sqref="D61:D106" type="list">
      <formula1>"Y,N"</formula1>
      <formula2>0</formula2>
    </dataValidation>
    <dataValidation allowBlank="false" errorStyle="stop" operator="between" showDropDown="false" showErrorMessage="false" showInputMessage="false" sqref="E61:E106" type="list">
      <formula1>"合算,掛金・負担金別,経理区分別"</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S5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42187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3" min="3" style="0" width="11"/>
    <col collapsed="false" customWidth="true" hidden="false" outlineLevel="0" max="4" min="4" style="0" width="22"/>
    <col collapsed="false" customWidth="true" hidden="false" outlineLevel="0" max="5" min="5" style="0" width="8"/>
    <col collapsed="false" customWidth="true" hidden="false" outlineLevel="0" max="6" min="6" style="0" width="12"/>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5"/>
    <col collapsed="false" customWidth="true" hidden="false" outlineLevel="0" max="12" min="12" style="0" width="8"/>
    <col collapsed="false" customWidth="true" hidden="false" outlineLevel="0" max="16" min="13" style="0" width="6"/>
    <col collapsed="false" customWidth="true" hidden="false" outlineLevel="0" max="17" min="17" style="0" width="12"/>
    <col collapsed="false" customWidth="true" hidden="false" outlineLevel="0" max="18" min="18" style="0" width="11"/>
    <col collapsed="false" customWidth="true" hidden="false" outlineLevel="0" max="19" min="19" style="0" width="30"/>
  </cols>
  <sheetData>
    <row r="1" customFormat="false" ht="17.35" hidden="false" customHeight="false" outlineLevel="0" collapsed="false">
      <c r="A1" s="76" t="s">
        <v>358</v>
      </c>
    </row>
    <row r="2" customFormat="false" ht="17.35" hidden="false" customHeight="false" outlineLevel="0" collapsed="false">
      <c r="A2" s="77" t="s">
        <v>359</v>
      </c>
    </row>
    <row r="3" customFormat="false" ht="17.35" hidden="false" customHeight="false" outlineLevel="0" collapsed="false"/>
    <row r="4" customFormat="false" ht="17.35" hidden="false" customHeight="false" outlineLevel="0" collapsed="false"/>
    <row r="5" customFormat="false" ht="15" hidden="false" customHeight="false" outlineLevel="0" collapsed="false">
      <c r="A5" s="21" t="s">
        <v>72</v>
      </c>
      <c r="B5" s="21" t="s">
        <v>235</v>
      </c>
      <c r="C5" s="21" t="s">
        <v>41</v>
      </c>
      <c r="D5" s="21" t="s">
        <v>360</v>
      </c>
      <c r="E5" s="21" t="s">
        <v>252</v>
      </c>
      <c r="F5" s="21" t="s">
        <v>257</v>
      </c>
      <c r="G5" s="21" t="s">
        <v>258</v>
      </c>
      <c r="H5" s="21" t="s">
        <v>259</v>
      </c>
      <c r="I5" s="21" t="s">
        <v>254</v>
      </c>
      <c r="J5" s="21" t="s">
        <v>255</v>
      </c>
      <c r="K5" s="21" t="s">
        <v>361</v>
      </c>
      <c r="L5" s="21" t="s">
        <v>362</v>
      </c>
      <c r="M5" s="21" t="s">
        <v>363</v>
      </c>
      <c r="N5" s="21" t="s">
        <v>265</v>
      </c>
      <c r="O5" s="21" t="s">
        <v>364</v>
      </c>
      <c r="P5" s="21" t="s">
        <v>365</v>
      </c>
      <c r="Q5" s="21" t="s">
        <v>366</v>
      </c>
      <c r="R5" s="21" t="s">
        <v>260</v>
      </c>
      <c r="S5" s="21" t="s">
        <v>261</v>
      </c>
    </row>
    <row r="6" customFormat="false" ht="15" hidden="false" customHeight="false" outlineLevel="0" collapsed="false">
      <c r="A6" s="5" t="str">
        <f aca="false">設定!B61</f>
        <v>市長部局</v>
      </c>
      <c r="B6" s="5" t="n">
        <f aca="false">IFERROR(MATCH(ホーム!$C$4&amp;"|"&amp;A6,報告入力!$CG$7:$CG$696,0),"")</f>
        <v>323</v>
      </c>
      <c r="C6" s="5" t="str">
        <f aca="false">IF(B6="","",INDEX(報告入力!$C$7:$C$696,B6))</f>
        <v>未受領</v>
      </c>
      <c r="D6" s="5" t="str">
        <f aca="false">設定!$A$39</f>
        <v>長期（厚生年金保険経理）</v>
      </c>
      <c r="E6" s="5" t="str">
        <f aca="false">設定!$B$39&amp;""</f>
        <v>130</v>
      </c>
      <c r="F6" s="5" t="str">
        <f aca="false">設定!$D$46&amp;""</f>
        <v>6102102000</v>
      </c>
      <c r="G6" s="5" t="str">
        <f aca="false">設定!$E$46&amp;""</f>
        <v>標月額保険料</v>
      </c>
      <c r="H6" s="5" t="n">
        <f aca="false">IF(B6="",0,N(INDEX(報告入力!$AU$7:$AU$696,B6)))</f>
        <v>233913712</v>
      </c>
      <c r="I6" s="5" t="str">
        <f aca="false">設定!$C$39&amp;""</f>
        <v>1104001001</v>
      </c>
      <c r="J6" s="5" t="str">
        <f aca="false">設定!$D$39&amp;""</f>
        <v>普広銀市役所</v>
      </c>
      <c r="K6" s="5" t="n">
        <f aca="false">IF(AND(H6&lt;&gt;0,IF(設定!$B$6="入金確認済のみ",C6="入金確認済",OR(C6="入金確認済",C6="受領済"))),1,0)</f>
        <v>0</v>
      </c>
      <c r="L6" s="5" t="str">
        <f aca="false">1&amp;"|"&amp;1</f>
        <v>1|1</v>
      </c>
      <c r="M6" s="5" t="n">
        <f aca="false">IF(L6="",0,0)+K6</f>
        <v>0</v>
      </c>
      <c r="N6" s="5" t="n">
        <f aca="false">IF(AND(K6=1,M6=1),1,0)</f>
        <v>0</v>
      </c>
      <c r="O6" s="5" t="str">
        <f aca="false">IF(K6=1,MAX($O$5:O5)+1,"")</f>
        <v/>
      </c>
      <c r="P6" s="5" t="str">
        <f aca="false">IF(K6=1,SUM($N$6:N6),"")</f>
        <v/>
      </c>
      <c r="Q6" s="5" t="str">
        <f aca="false">IF(K6=1,SUMIFS($H$6:$H$511,$L$6:$L$511,L6,$K$6:$K$511,1),"")</f>
        <v/>
      </c>
      <c r="R6" s="78" t="str">
        <f aca="false">IF(B6="","",IF(INDEX(報告入力!$X$7:$X$696,B6)="","",INDEX(報告入力!$X$7:$X$696,B6)))</f>
        <v/>
      </c>
      <c r="S6" s="5" t="str">
        <f aca="false">設定!$C$46</f>
        <v>長期：厚生年金保険料（組合員負担分）</v>
      </c>
    </row>
    <row r="7" customFormat="false" ht="15" hidden="false" customHeight="false" outlineLevel="0" collapsed="false">
      <c r="A7" s="5" t="str">
        <f aca="false">設定!B61</f>
        <v>市長部局</v>
      </c>
      <c r="B7" s="5" t="n">
        <f aca="false">IFERROR(MATCH(ホーム!$C$4&amp;"|"&amp;A7,報告入力!$CG$7:$CG$696,0),"")</f>
        <v>323</v>
      </c>
      <c r="C7" s="5" t="str">
        <f aca="false">IF(B7="","",INDEX(報告入力!$C$7:$C$696,B7))</f>
        <v>未受領</v>
      </c>
      <c r="D7" s="5" t="str">
        <f aca="false">設定!$A$39</f>
        <v>長期（厚生年金保険経理）</v>
      </c>
      <c r="E7" s="5" t="str">
        <f aca="false">設定!$B$39&amp;""</f>
        <v>130</v>
      </c>
      <c r="F7" s="5" t="str">
        <f aca="false">設定!$D$47&amp;""</f>
        <v>2109001014</v>
      </c>
      <c r="G7" s="5" t="str">
        <f aca="false">設定!$E$47&amp;""</f>
        <v>退職標報掛金</v>
      </c>
      <c r="H7" s="5" t="n">
        <f aca="false">IF(B7="",0,N(INDEX(報告入力!$AV$7:$AV$696,B7)))</f>
        <v>19178131</v>
      </c>
      <c r="I7" s="5" t="str">
        <f aca="false">設定!$C$39&amp;""</f>
        <v>1104001001</v>
      </c>
      <c r="J7" s="5" t="str">
        <f aca="false">設定!$D$39&amp;""</f>
        <v>普広銀市役所</v>
      </c>
      <c r="K7" s="5" t="n">
        <f aca="false">IF(AND(H7&lt;&gt;0,IF(設定!$B$6="入金確認済のみ",C7="入金確認済",OR(C7="入金確認済",C7="受領済"))),1,0)</f>
        <v>0</v>
      </c>
      <c r="L7" s="5" t="str">
        <f aca="false">1&amp;"|"&amp;1</f>
        <v>1|1</v>
      </c>
      <c r="M7" s="5" t="n">
        <f aca="false">IF(L7=L6,M6,0)+K7</f>
        <v>0</v>
      </c>
      <c r="N7" s="5" t="n">
        <f aca="false">IF(AND(K7=1,M7=1),1,0)</f>
        <v>0</v>
      </c>
      <c r="O7" s="5" t="str">
        <f aca="false">IF(K7=1,MAX($O$5:O6)+1,"")</f>
        <v/>
      </c>
      <c r="P7" s="5" t="str">
        <f aca="false">IF(K7=1,SUM($N$6:N7),"")</f>
        <v/>
      </c>
      <c r="Q7" s="5" t="str">
        <f aca="false">IF(K7=1,SUMIFS($H$6:$H$511,$L$6:$L$511,L7,$K$6:$K$511,1),"")</f>
        <v/>
      </c>
      <c r="R7" s="78" t="str">
        <f aca="false">IF(B7="","",IF(INDEX(報告入力!$X$7:$X$696,B7)="","",INDEX(報告入力!$X$7:$X$696,B7)))</f>
        <v/>
      </c>
      <c r="S7" s="5" t="str">
        <f aca="false">設定!$C$47</f>
        <v>長期：退職等年金掛金</v>
      </c>
    </row>
    <row r="8" customFormat="false" ht="15" hidden="false" customHeight="false" outlineLevel="0" collapsed="false">
      <c r="A8" s="5" t="str">
        <f aca="false">設定!B61</f>
        <v>市長部局</v>
      </c>
      <c r="B8" s="5" t="n">
        <f aca="false">IFERROR(MATCH(ホーム!$C$4&amp;"|"&amp;A8,報告入力!$CG$7:$CG$696,0),"")</f>
        <v>323</v>
      </c>
      <c r="C8" s="5" t="str">
        <f aca="false">IF(B8="","",INDEX(報告入力!$C$7:$C$696,B8))</f>
        <v>未受領</v>
      </c>
      <c r="D8" s="5" t="str">
        <f aca="false">設定!$A$39</f>
        <v>長期（厚生年金保険経理）</v>
      </c>
      <c r="E8" s="5" t="str">
        <f aca="false">設定!$B$39&amp;""</f>
        <v>130</v>
      </c>
      <c r="F8" s="5" t="str">
        <f aca="false">設定!$D$48&amp;""</f>
        <v>6101002000</v>
      </c>
      <c r="G8" s="5" t="str">
        <f aca="false">設定!$E$48&amp;""</f>
        <v>負担地方公共</v>
      </c>
      <c r="H8" s="5" t="n">
        <f aca="false">IF(B8="",0,N(INDEX(報告入力!$AW$7:$AW$696,B8)))</f>
        <v>339986672</v>
      </c>
      <c r="I8" s="5" t="str">
        <f aca="false">設定!$C$39&amp;""</f>
        <v>1104001001</v>
      </c>
      <c r="J8" s="5" t="str">
        <f aca="false">設定!$D$39&amp;""</f>
        <v>普広銀市役所</v>
      </c>
      <c r="K8" s="5" t="n">
        <f aca="false">IF(AND(H8&lt;&gt;0,IF(設定!$B$6="入金確認済のみ",C8="入金確認済",OR(C8="入金確認済",C8="受領済"))),1,0)</f>
        <v>0</v>
      </c>
      <c r="L8" s="5" t="str">
        <f aca="false">1&amp;"|"&amp;1</f>
        <v>1|1</v>
      </c>
      <c r="M8" s="5" t="n">
        <f aca="false">IF(L8=L7,M7,0)+K8</f>
        <v>0</v>
      </c>
      <c r="N8" s="5" t="n">
        <f aca="false">IF(AND(K8=1,M8=1),1,0)</f>
        <v>0</v>
      </c>
      <c r="O8" s="5" t="str">
        <f aca="false">IF(K8=1,MAX($O$5:O7)+1,"")</f>
        <v/>
      </c>
      <c r="P8" s="5" t="str">
        <f aca="false">IF(K8=1,SUM($N$6:N8),"")</f>
        <v/>
      </c>
      <c r="Q8" s="5" t="str">
        <f aca="false">IF(K8=1,SUMIFS($H$6:$H$511,$L$6:$L$511,L8,$K$6:$K$511,1),"")</f>
        <v/>
      </c>
      <c r="R8" s="78" t="str">
        <f aca="false">IF(B8="","",IF(INDEX(報告入力!$X$7:$X$696,B8)="","",INDEX(報告入力!$X$7:$X$696,B8)))</f>
        <v/>
      </c>
      <c r="S8" s="5" t="str">
        <f aca="false">設定!$C$48</f>
        <v>長期：厚生年金保険料（事業主負担分）</v>
      </c>
    </row>
    <row r="9" customFormat="false" ht="15" hidden="false" customHeight="false" outlineLevel="0" collapsed="false">
      <c r="A9" s="5" t="str">
        <f aca="false">設定!B61</f>
        <v>市長部局</v>
      </c>
      <c r="B9" s="5" t="n">
        <f aca="false">IFERROR(MATCH(ホーム!$C$4&amp;"|"&amp;A9,報告入力!$CG$7:$CG$696,0),"")</f>
        <v>323</v>
      </c>
      <c r="C9" s="5" t="str">
        <f aca="false">IF(B9="","",INDEX(報告入力!$C$7:$C$696,B9))</f>
        <v>未受領</v>
      </c>
      <c r="D9" s="5" t="str">
        <f aca="false">設定!$A$39</f>
        <v>長期（厚生年金保険経理）</v>
      </c>
      <c r="E9" s="5" t="str">
        <f aca="false">設定!$B$39&amp;""</f>
        <v>130</v>
      </c>
      <c r="F9" s="5" t="str">
        <f aca="false">設定!$D$49&amp;""</f>
        <v>2109001015</v>
      </c>
      <c r="G9" s="5" t="str">
        <f aca="false">設定!$E$49&amp;""</f>
        <v>退職負担地方</v>
      </c>
      <c r="H9" s="5" t="n">
        <f aca="false">IF(B9="",0,N(INDEX(報告入力!$AX$7:$AX$696,B9)))</f>
        <v>18646418</v>
      </c>
      <c r="I9" s="5" t="str">
        <f aca="false">設定!$C$39&amp;""</f>
        <v>1104001001</v>
      </c>
      <c r="J9" s="5" t="str">
        <f aca="false">設定!$D$39&amp;""</f>
        <v>普広銀市役所</v>
      </c>
      <c r="K9" s="5" t="n">
        <f aca="false">IF(AND(H9&lt;&gt;0,IF(設定!$B$6="入金確認済のみ",C9="入金確認済",OR(C9="入金確認済",C9="受領済"))),1,0)</f>
        <v>0</v>
      </c>
      <c r="L9" s="5" t="str">
        <f aca="false">1&amp;"|"&amp;1</f>
        <v>1|1</v>
      </c>
      <c r="M9" s="5" t="n">
        <f aca="false">IF(L9=L8,M8,0)+K9</f>
        <v>0</v>
      </c>
      <c r="N9" s="5" t="n">
        <f aca="false">IF(AND(K9=1,M9=1),1,0)</f>
        <v>0</v>
      </c>
      <c r="O9" s="5" t="str">
        <f aca="false">IF(K9=1,MAX($O$5:O8)+1,"")</f>
        <v/>
      </c>
      <c r="P9" s="5" t="str">
        <f aca="false">IF(K9=1,SUM($N$6:N9),"")</f>
        <v/>
      </c>
      <c r="Q9" s="5" t="str">
        <f aca="false">IF(K9=1,SUMIFS($H$6:$H$511,$L$6:$L$511,L9,$K$6:$K$511,1),"")</f>
        <v/>
      </c>
      <c r="R9" s="78" t="str">
        <f aca="false">IF(B9="","",IF(INDEX(報告入力!$X$7:$X$696,B9)="","",INDEX(報告入力!$X$7:$X$696,B9)))</f>
        <v/>
      </c>
      <c r="S9" s="5" t="str">
        <f aca="false">設定!$C$49</f>
        <v>長期：退職等年金負担金</v>
      </c>
    </row>
    <row r="10" customFormat="false" ht="15" hidden="false" customHeight="false" outlineLevel="0" collapsed="false">
      <c r="A10" s="5" t="str">
        <f aca="false">設定!B61</f>
        <v>市長部局</v>
      </c>
      <c r="B10" s="5" t="n">
        <f aca="false">IFERROR(MATCH(ホーム!$C$4&amp;"|"&amp;A10,報告入力!$CG$7:$CG$696,0),"")</f>
        <v>323</v>
      </c>
      <c r="C10" s="5" t="str">
        <f aca="false">IF(B10="","",INDEX(報告入力!$C$7:$C$696,B10))</f>
        <v>未受領</v>
      </c>
      <c r="D10" s="5" t="str">
        <f aca="false">設定!$A$39</f>
        <v>長期（厚生年金保険経理）</v>
      </c>
      <c r="E10" s="5" t="str">
        <f aca="false">設定!$B$39&amp;""</f>
        <v>130</v>
      </c>
      <c r="F10" s="5" t="str">
        <f aca="false">設定!$D$50&amp;""</f>
        <v>2109001017</v>
      </c>
      <c r="G10" s="5" t="str">
        <f aca="false">設定!$E$50&amp;""</f>
        <v>経過的負担金</v>
      </c>
      <c r="H10" s="5" t="n">
        <f aca="false">IF(B10="",0,N(INDEX(報告入力!$AY$7:$AY$696,B10)))</f>
        <v>245153</v>
      </c>
      <c r="I10" s="5" t="str">
        <f aca="false">設定!$C$39&amp;""</f>
        <v>1104001001</v>
      </c>
      <c r="J10" s="5" t="str">
        <f aca="false">設定!$D$39&amp;""</f>
        <v>普広銀市役所</v>
      </c>
      <c r="K10" s="5" t="n">
        <f aca="false">IF(AND(H10&lt;&gt;0,IF(設定!$B$6="入金確認済のみ",C10="入金確認済",OR(C10="入金確認済",C10="受領済"))),1,0)</f>
        <v>0</v>
      </c>
      <c r="L10" s="5" t="str">
        <f aca="false">1&amp;"|"&amp;1</f>
        <v>1|1</v>
      </c>
      <c r="M10" s="5" t="n">
        <f aca="false">IF(L10=L9,M9,0)+K10</f>
        <v>0</v>
      </c>
      <c r="N10" s="5" t="n">
        <f aca="false">IF(AND(K10=1,M10=1),1,0)</f>
        <v>0</v>
      </c>
      <c r="O10" s="5" t="str">
        <f aca="false">IF(K10=1,MAX($O$5:O9)+1,"")</f>
        <v/>
      </c>
      <c r="P10" s="5" t="str">
        <f aca="false">IF(K10=1,SUM($N$6:N10),"")</f>
        <v/>
      </c>
      <c r="Q10" s="5" t="str">
        <f aca="false">IF(K10=1,SUMIFS($H$6:$H$511,$L$6:$L$511,L10,$K$6:$K$511,1),"")</f>
        <v/>
      </c>
      <c r="R10" s="78" t="str">
        <f aca="false">IF(B10="","",IF(INDEX(報告入力!$X$7:$X$696,B10)="","",INDEX(報告入力!$X$7:$X$696,B10)))</f>
        <v/>
      </c>
      <c r="S10" s="5" t="str">
        <f aca="false">設定!$C$50</f>
        <v>長期：経過的長期</v>
      </c>
    </row>
    <row r="11" customFormat="false" ht="15" hidden="false" customHeight="false" outlineLevel="0" collapsed="false">
      <c r="A11" s="5" t="str">
        <f aca="false">設定!B62</f>
        <v>下水道局</v>
      </c>
      <c r="B11" s="5" t="n">
        <f aca="false">IFERROR(MATCH(ホーム!$C$4&amp;"|"&amp;A11,報告入力!$CG$7:$CG$696,0),"")</f>
        <v>324</v>
      </c>
      <c r="C11" s="5" t="str">
        <f aca="false">IF(B11="","",INDEX(報告入力!$C$7:$C$696,B11))</f>
        <v>未受領</v>
      </c>
      <c r="D11" s="5" t="str">
        <f aca="false">設定!$A$39</f>
        <v>長期（厚生年金保険経理）</v>
      </c>
      <c r="E11" s="5" t="str">
        <f aca="false">設定!$B$39&amp;""</f>
        <v>130</v>
      </c>
      <c r="F11" s="5" t="str">
        <f aca="false">設定!$D$46&amp;""</f>
        <v>6102102000</v>
      </c>
      <c r="G11" s="5" t="str">
        <f aca="false">設定!$E$46&amp;""</f>
        <v>標月額保険料</v>
      </c>
      <c r="H11" s="5" t="n">
        <f aca="false">IF(B11="",0,N(INDEX(報告入力!$AU$7:$AU$696,B11)))</f>
        <v>16602675</v>
      </c>
      <c r="I11" s="5" t="str">
        <f aca="false">設定!$C$39&amp;""</f>
        <v>1104001001</v>
      </c>
      <c r="J11" s="5" t="str">
        <f aca="false">設定!$D$39&amp;""</f>
        <v>普広銀市役所</v>
      </c>
      <c r="K11" s="5" t="n">
        <f aca="false">IF(AND(H11&lt;&gt;0,IF(設定!$B$6="入金確認済のみ",C11="入金確認済",OR(C11="入金確認済",C11="受領済"))),1,0)</f>
        <v>0</v>
      </c>
      <c r="L11" s="5" t="str">
        <f aca="false">1&amp;"|"&amp;2</f>
        <v>1|2</v>
      </c>
      <c r="M11" s="5" t="n">
        <f aca="false">IF(L11=L10,M10,0)+K11</f>
        <v>0</v>
      </c>
      <c r="N11" s="5" t="n">
        <f aca="false">IF(AND(K11=1,M11=1),1,0)</f>
        <v>0</v>
      </c>
      <c r="O11" s="5" t="str">
        <f aca="false">IF(K11=1,MAX($O$5:O10)+1,"")</f>
        <v/>
      </c>
      <c r="P11" s="5" t="str">
        <f aca="false">IF(K11=1,SUM($N$6:N11),"")</f>
        <v/>
      </c>
      <c r="Q11" s="5" t="str">
        <f aca="false">IF(K11=1,SUMIFS($H$6:$H$511,$L$6:$L$511,L11,$K$6:$K$511,1),"")</f>
        <v/>
      </c>
      <c r="R11" s="78" t="str">
        <f aca="false">IF(B11="","",IF(INDEX(報告入力!$X$7:$X$696,B11)="","",INDEX(報告入力!$X$7:$X$696,B11)))</f>
        <v/>
      </c>
      <c r="S11" s="5" t="str">
        <f aca="false">設定!$C$46</f>
        <v>長期：厚生年金保険料（組合員負担分）</v>
      </c>
    </row>
    <row r="12" customFormat="false" ht="15" hidden="false" customHeight="false" outlineLevel="0" collapsed="false">
      <c r="A12" s="5" t="str">
        <f aca="false">設定!B62</f>
        <v>下水道局</v>
      </c>
      <c r="B12" s="5" t="n">
        <f aca="false">IFERROR(MATCH(ホーム!$C$4&amp;"|"&amp;A12,報告入力!$CG$7:$CG$696,0),"")</f>
        <v>324</v>
      </c>
      <c r="C12" s="5" t="str">
        <f aca="false">IF(B12="","",INDEX(報告入力!$C$7:$C$696,B12))</f>
        <v>未受領</v>
      </c>
      <c r="D12" s="5" t="str">
        <f aca="false">設定!$A$39</f>
        <v>長期（厚生年金保険経理）</v>
      </c>
      <c r="E12" s="5" t="str">
        <f aca="false">設定!$B$39&amp;""</f>
        <v>130</v>
      </c>
      <c r="F12" s="5" t="str">
        <f aca="false">設定!$D$47&amp;""</f>
        <v>2109001014</v>
      </c>
      <c r="G12" s="5" t="str">
        <f aca="false">設定!$E$47&amp;""</f>
        <v>退職標報掛金</v>
      </c>
      <c r="H12" s="5" t="n">
        <f aca="false">IF(B12="",0,N(INDEX(報告入力!$AV$7:$AV$696,B12)))</f>
        <v>1360875</v>
      </c>
      <c r="I12" s="5" t="str">
        <f aca="false">設定!$C$39&amp;""</f>
        <v>1104001001</v>
      </c>
      <c r="J12" s="5" t="str">
        <f aca="false">設定!$D$39&amp;""</f>
        <v>普広銀市役所</v>
      </c>
      <c r="K12" s="5" t="n">
        <f aca="false">IF(AND(H12&lt;&gt;0,IF(設定!$B$6="入金確認済のみ",C12="入金確認済",OR(C12="入金確認済",C12="受領済"))),1,0)</f>
        <v>0</v>
      </c>
      <c r="L12" s="5" t="str">
        <f aca="false">1&amp;"|"&amp;2</f>
        <v>1|2</v>
      </c>
      <c r="M12" s="5" t="n">
        <f aca="false">IF(L12=L11,M11,0)+K12</f>
        <v>0</v>
      </c>
      <c r="N12" s="5" t="n">
        <f aca="false">IF(AND(K12=1,M12=1),1,0)</f>
        <v>0</v>
      </c>
      <c r="O12" s="5" t="str">
        <f aca="false">IF(K12=1,MAX($O$5:O11)+1,"")</f>
        <v/>
      </c>
      <c r="P12" s="5" t="str">
        <f aca="false">IF(K12=1,SUM($N$6:N12),"")</f>
        <v/>
      </c>
      <c r="Q12" s="5" t="str">
        <f aca="false">IF(K12=1,SUMIFS($H$6:$H$511,$L$6:$L$511,L12,$K$6:$K$511,1),"")</f>
        <v/>
      </c>
      <c r="R12" s="78" t="str">
        <f aca="false">IF(B12="","",IF(INDEX(報告入力!$X$7:$X$696,B12)="","",INDEX(報告入力!$X$7:$X$696,B12)))</f>
        <v/>
      </c>
      <c r="S12" s="5" t="str">
        <f aca="false">設定!$C$47</f>
        <v>長期：退職等年金掛金</v>
      </c>
    </row>
    <row r="13" customFormat="false" ht="15" hidden="false" customHeight="false" outlineLevel="0" collapsed="false">
      <c r="A13" s="5" t="str">
        <f aca="false">設定!B62</f>
        <v>下水道局</v>
      </c>
      <c r="B13" s="5" t="n">
        <f aca="false">IFERROR(MATCH(ホーム!$C$4&amp;"|"&amp;A13,報告入力!$CG$7:$CG$696,0),"")</f>
        <v>324</v>
      </c>
      <c r="C13" s="5" t="str">
        <f aca="false">IF(B13="","",INDEX(報告入力!$C$7:$C$696,B13))</f>
        <v>未受領</v>
      </c>
      <c r="D13" s="5" t="str">
        <f aca="false">設定!$A$39</f>
        <v>長期（厚生年金保険経理）</v>
      </c>
      <c r="E13" s="5" t="str">
        <f aca="false">設定!$B$39&amp;""</f>
        <v>130</v>
      </c>
      <c r="F13" s="5" t="str">
        <f aca="false">設定!$D$48&amp;""</f>
        <v>6101002000</v>
      </c>
      <c r="G13" s="5" t="str">
        <f aca="false">設定!$E$48&amp;""</f>
        <v>負担地方公共</v>
      </c>
      <c r="H13" s="5" t="n">
        <f aca="false">IF(B13="",0,N(INDEX(報告入力!$AW$7:$AW$696,B13)))</f>
        <v>24157652</v>
      </c>
      <c r="I13" s="5" t="str">
        <f aca="false">設定!$C$39&amp;""</f>
        <v>1104001001</v>
      </c>
      <c r="J13" s="5" t="str">
        <f aca="false">設定!$D$39&amp;""</f>
        <v>普広銀市役所</v>
      </c>
      <c r="K13" s="5" t="n">
        <f aca="false">IF(AND(H13&lt;&gt;0,IF(設定!$B$6="入金確認済のみ",C13="入金確認済",OR(C13="入金確認済",C13="受領済"))),1,0)</f>
        <v>0</v>
      </c>
      <c r="L13" s="5" t="str">
        <f aca="false">1&amp;"|"&amp;2</f>
        <v>1|2</v>
      </c>
      <c r="M13" s="5" t="n">
        <f aca="false">IF(L13=L12,M12,0)+K13</f>
        <v>0</v>
      </c>
      <c r="N13" s="5" t="n">
        <f aca="false">IF(AND(K13=1,M13=1),1,0)</f>
        <v>0</v>
      </c>
      <c r="O13" s="5" t="str">
        <f aca="false">IF(K13=1,MAX($O$5:O12)+1,"")</f>
        <v/>
      </c>
      <c r="P13" s="5" t="str">
        <f aca="false">IF(K13=1,SUM($N$6:N13),"")</f>
        <v/>
      </c>
      <c r="Q13" s="5" t="str">
        <f aca="false">IF(K13=1,SUMIFS($H$6:$H$511,$L$6:$L$511,L13,$K$6:$K$511,1),"")</f>
        <v/>
      </c>
      <c r="R13" s="78" t="str">
        <f aca="false">IF(B13="","",IF(INDEX(報告入力!$X$7:$X$696,B13)="","",INDEX(報告入力!$X$7:$X$696,B13)))</f>
        <v/>
      </c>
      <c r="S13" s="5" t="str">
        <f aca="false">設定!$C$48</f>
        <v>長期：厚生年金保険料（事業主負担分）</v>
      </c>
    </row>
    <row r="14" customFormat="false" ht="15" hidden="false" customHeight="false" outlineLevel="0" collapsed="false">
      <c r="A14" s="5" t="str">
        <f aca="false">設定!B62</f>
        <v>下水道局</v>
      </c>
      <c r="B14" s="5" t="n">
        <f aca="false">IFERROR(MATCH(ホーム!$C$4&amp;"|"&amp;A14,報告入力!$CG$7:$CG$696,0),"")</f>
        <v>324</v>
      </c>
      <c r="C14" s="5" t="str">
        <f aca="false">IF(B14="","",INDEX(報告入力!$C$7:$C$696,B14))</f>
        <v>未受領</v>
      </c>
      <c r="D14" s="5" t="str">
        <f aca="false">設定!$A$39</f>
        <v>長期（厚生年金保険経理）</v>
      </c>
      <c r="E14" s="5" t="str">
        <f aca="false">設定!$B$39&amp;""</f>
        <v>130</v>
      </c>
      <c r="F14" s="5" t="str">
        <f aca="false">設定!$D$49&amp;""</f>
        <v>2109001015</v>
      </c>
      <c r="G14" s="5" t="str">
        <f aca="false">設定!$E$49&amp;""</f>
        <v>退職負担地方</v>
      </c>
      <c r="H14" s="5" t="n">
        <f aca="false">IF(B14="",0,N(INDEX(報告入力!$AX$7:$AX$696,B14)))</f>
        <v>1359399</v>
      </c>
      <c r="I14" s="5" t="str">
        <f aca="false">設定!$C$39&amp;""</f>
        <v>1104001001</v>
      </c>
      <c r="J14" s="5" t="str">
        <f aca="false">設定!$D$39&amp;""</f>
        <v>普広銀市役所</v>
      </c>
      <c r="K14" s="5" t="n">
        <f aca="false">IF(AND(H14&lt;&gt;0,IF(設定!$B$6="入金確認済のみ",C14="入金確認済",OR(C14="入金確認済",C14="受領済"))),1,0)</f>
        <v>0</v>
      </c>
      <c r="L14" s="5" t="str">
        <f aca="false">1&amp;"|"&amp;2</f>
        <v>1|2</v>
      </c>
      <c r="M14" s="5" t="n">
        <f aca="false">IF(L14=L13,M13,0)+K14</f>
        <v>0</v>
      </c>
      <c r="N14" s="5" t="n">
        <f aca="false">IF(AND(K14=1,M14=1),1,0)</f>
        <v>0</v>
      </c>
      <c r="O14" s="5" t="str">
        <f aca="false">IF(K14=1,MAX($O$5:O13)+1,"")</f>
        <v/>
      </c>
      <c r="P14" s="5" t="str">
        <f aca="false">IF(K14=1,SUM($N$6:N14),"")</f>
        <v/>
      </c>
      <c r="Q14" s="5" t="str">
        <f aca="false">IF(K14=1,SUMIFS($H$6:$H$511,$L$6:$L$511,L14,$K$6:$K$511,1),"")</f>
        <v/>
      </c>
      <c r="R14" s="78" t="str">
        <f aca="false">IF(B14="","",IF(INDEX(報告入力!$X$7:$X$696,B14)="","",INDEX(報告入力!$X$7:$X$696,B14)))</f>
        <v/>
      </c>
      <c r="S14" s="5" t="str">
        <f aca="false">設定!$C$49</f>
        <v>長期：退職等年金負担金</v>
      </c>
    </row>
    <row r="15" customFormat="false" ht="15" hidden="false" customHeight="false" outlineLevel="0" collapsed="false">
      <c r="A15" s="5" t="str">
        <f aca="false">設定!B62</f>
        <v>下水道局</v>
      </c>
      <c r="B15" s="5" t="n">
        <f aca="false">IFERROR(MATCH(ホーム!$C$4&amp;"|"&amp;A15,報告入力!$CG$7:$CG$696,0),"")</f>
        <v>324</v>
      </c>
      <c r="C15" s="5" t="str">
        <f aca="false">IF(B15="","",INDEX(報告入力!$C$7:$C$696,B15))</f>
        <v>未受領</v>
      </c>
      <c r="D15" s="5" t="str">
        <f aca="false">設定!$A$39</f>
        <v>長期（厚生年金保険経理）</v>
      </c>
      <c r="E15" s="5" t="str">
        <f aca="false">設定!$B$39&amp;""</f>
        <v>130</v>
      </c>
      <c r="F15" s="5" t="str">
        <f aca="false">設定!$D$50&amp;""</f>
        <v>2109001017</v>
      </c>
      <c r="G15" s="5" t="str">
        <f aca="false">設定!$E$50&amp;""</f>
        <v>経過的負担金</v>
      </c>
      <c r="H15" s="5" t="n">
        <f aca="false">IF(B15="",0,N(INDEX(報告入力!$AY$7:$AY$696,B15)))</f>
        <v>17126</v>
      </c>
      <c r="I15" s="5" t="str">
        <f aca="false">設定!$C$39&amp;""</f>
        <v>1104001001</v>
      </c>
      <c r="J15" s="5" t="str">
        <f aca="false">設定!$D$39&amp;""</f>
        <v>普広銀市役所</v>
      </c>
      <c r="K15" s="5" t="n">
        <f aca="false">IF(AND(H15&lt;&gt;0,IF(設定!$B$6="入金確認済のみ",C15="入金確認済",OR(C15="入金確認済",C15="受領済"))),1,0)</f>
        <v>0</v>
      </c>
      <c r="L15" s="5" t="str">
        <f aca="false">1&amp;"|"&amp;2</f>
        <v>1|2</v>
      </c>
      <c r="M15" s="5" t="n">
        <f aca="false">IF(L15=L14,M14,0)+K15</f>
        <v>0</v>
      </c>
      <c r="N15" s="5" t="n">
        <f aca="false">IF(AND(K15=1,M15=1),1,0)</f>
        <v>0</v>
      </c>
      <c r="O15" s="5" t="str">
        <f aca="false">IF(K15=1,MAX($O$5:O14)+1,"")</f>
        <v/>
      </c>
      <c r="P15" s="5" t="str">
        <f aca="false">IF(K15=1,SUM($N$6:N15),"")</f>
        <v/>
      </c>
      <c r="Q15" s="5" t="str">
        <f aca="false">IF(K15=1,SUMIFS($H$6:$H$511,$L$6:$L$511,L15,$K$6:$K$511,1),"")</f>
        <v/>
      </c>
      <c r="R15" s="78" t="str">
        <f aca="false">IF(B15="","",IF(INDEX(報告入力!$X$7:$X$696,B15)="","",INDEX(報告入力!$X$7:$X$696,B15)))</f>
        <v/>
      </c>
      <c r="S15" s="5" t="str">
        <f aca="false">設定!$C$50</f>
        <v>長期：経過的長期</v>
      </c>
    </row>
    <row r="16" customFormat="false" ht="15" hidden="false" customHeight="false" outlineLevel="0" collapsed="false">
      <c r="A16" s="5" t="str">
        <f aca="false">設定!B63</f>
        <v>消防局</v>
      </c>
      <c r="B16" s="5" t="n">
        <f aca="false">IFERROR(MATCH(ホーム!$C$4&amp;"|"&amp;A16,報告入力!$CG$7:$CG$696,0),"")</f>
        <v>325</v>
      </c>
      <c r="C16" s="5" t="str">
        <f aca="false">IF(B16="","",INDEX(報告入力!$C$7:$C$696,B16))</f>
        <v>未受領</v>
      </c>
      <c r="D16" s="5" t="str">
        <f aca="false">設定!$A$39</f>
        <v>長期（厚生年金保険経理）</v>
      </c>
      <c r="E16" s="5" t="str">
        <f aca="false">設定!$B$39&amp;""</f>
        <v>130</v>
      </c>
      <c r="F16" s="5" t="str">
        <f aca="false">設定!$D$46&amp;""</f>
        <v>6102102000</v>
      </c>
      <c r="G16" s="5" t="str">
        <f aca="false">設定!$E$46&amp;""</f>
        <v>標月額保険料</v>
      </c>
      <c r="H16" s="5" t="n">
        <f aca="false">IF(B16="",0,N(INDEX(報告入力!$AU$7:$AU$696,B16)))</f>
        <v>53818470</v>
      </c>
      <c r="I16" s="5" t="str">
        <f aca="false">設定!$C$39&amp;""</f>
        <v>1104001001</v>
      </c>
      <c r="J16" s="5" t="str">
        <f aca="false">設定!$D$39&amp;""</f>
        <v>普広銀市役所</v>
      </c>
      <c r="K16" s="5" t="n">
        <f aca="false">IF(AND(H16&lt;&gt;0,IF(設定!$B$6="入金確認済のみ",C16="入金確認済",OR(C16="入金確認済",C16="受領済"))),1,0)</f>
        <v>0</v>
      </c>
      <c r="L16" s="5" t="str">
        <f aca="false">1&amp;"|"&amp;3</f>
        <v>1|3</v>
      </c>
      <c r="M16" s="5" t="n">
        <f aca="false">IF(L16=L15,M15,0)+K16</f>
        <v>0</v>
      </c>
      <c r="N16" s="5" t="n">
        <f aca="false">IF(AND(K16=1,M16=1),1,0)</f>
        <v>0</v>
      </c>
      <c r="O16" s="5" t="str">
        <f aca="false">IF(K16=1,MAX($O$5:O15)+1,"")</f>
        <v/>
      </c>
      <c r="P16" s="5" t="str">
        <f aca="false">IF(K16=1,SUM($N$6:N16),"")</f>
        <v/>
      </c>
      <c r="Q16" s="5" t="str">
        <f aca="false">IF(K16=1,SUMIFS($H$6:$H$511,$L$6:$L$511,L16,$K$6:$K$511,1),"")</f>
        <v/>
      </c>
      <c r="R16" s="78" t="str">
        <f aca="false">IF(B16="","",IF(INDEX(報告入力!$X$7:$X$696,B16)="","",INDEX(報告入力!$X$7:$X$696,B16)))</f>
        <v/>
      </c>
      <c r="S16" s="5" t="str">
        <f aca="false">設定!$C$46</f>
        <v>長期：厚生年金保険料（組合員負担分）</v>
      </c>
    </row>
    <row r="17" customFormat="false" ht="15" hidden="false" customHeight="false" outlineLevel="0" collapsed="false">
      <c r="A17" s="5" t="str">
        <f aca="false">設定!B63</f>
        <v>消防局</v>
      </c>
      <c r="B17" s="5" t="n">
        <f aca="false">IFERROR(MATCH(ホーム!$C$4&amp;"|"&amp;A17,報告入力!$CG$7:$CG$696,0),"")</f>
        <v>325</v>
      </c>
      <c r="C17" s="5" t="str">
        <f aca="false">IF(B17="","",INDEX(報告入力!$C$7:$C$696,B17))</f>
        <v>未受領</v>
      </c>
      <c r="D17" s="5" t="str">
        <f aca="false">設定!$A$39</f>
        <v>長期（厚生年金保険経理）</v>
      </c>
      <c r="E17" s="5" t="str">
        <f aca="false">設定!$B$39&amp;""</f>
        <v>130</v>
      </c>
      <c r="F17" s="5" t="str">
        <f aca="false">設定!$D$47&amp;""</f>
        <v>2109001014</v>
      </c>
      <c r="G17" s="5" t="str">
        <f aca="false">設定!$E$47&amp;""</f>
        <v>退職標報掛金</v>
      </c>
      <c r="H17" s="5" t="n">
        <f aca="false">IF(B17="",0,N(INDEX(報告入力!$AV$7:$AV$696,B17)))</f>
        <v>4405650</v>
      </c>
      <c r="I17" s="5" t="str">
        <f aca="false">設定!$C$39&amp;""</f>
        <v>1104001001</v>
      </c>
      <c r="J17" s="5" t="str">
        <f aca="false">設定!$D$39&amp;""</f>
        <v>普広銀市役所</v>
      </c>
      <c r="K17" s="5" t="n">
        <f aca="false">IF(AND(H17&lt;&gt;0,IF(設定!$B$6="入金確認済のみ",C17="入金確認済",OR(C17="入金確認済",C17="受領済"))),1,0)</f>
        <v>0</v>
      </c>
      <c r="L17" s="5" t="str">
        <f aca="false">1&amp;"|"&amp;3</f>
        <v>1|3</v>
      </c>
      <c r="M17" s="5" t="n">
        <f aca="false">IF(L17=L16,M16,0)+K17</f>
        <v>0</v>
      </c>
      <c r="N17" s="5" t="n">
        <f aca="false">IF(AND(K17=1,M17=1),1,0)</f>
        <v>0</v>
      </c>
      <c r="O17" s="5" t="str">
        <f aca="false">IF(K17=1,MAX($O$5:O16)+1,"")</f>
        <v/>
      </c>
      <c r="P17" s="5" t="str">
        <f aca="false">IF(K17=1,SUM($N$6:N17),"")</f>
        <v/>
      </c>
      <c r="Q17" s="5" t="str">
        <f aca="false">IF(K17=1,SUMIFS($H$6:$H$511,$L$6:$L$511,L17,$K$6:$K$511,1),"")</f>
        <v/>
      </c>
      <c r="R17" s="78" t="str">
        <f aca="false">IF(B17="","",IF(INDEX(報告入力!$X$7:$X$696,B17)="","",INDEX(報告入力!$X$7:$X$696,B17)))</f>
        <v/>
      </c>
      <c r="S17" s="5" t="str">
        <f aca="false">設定!$C$47</f>
        <v>長期：退職等年金掛金</v>
      </c>
    </row>
    <row r="18" customFormat="false" ht="15" hidden="false" customHeight="false" outlineLevel="0" collapsed="false">
      <c r="A18" s="5" t="str">
        <f aca="false">設定!B63</f>
        <v>消防局</v>
      </c>
      <c r="B18" s="5" t="n">
        <f aca="false">IFERROR(MATCH(ホーム!$C$4&amp;"|"&amp;A18,報告入力!$CG$7:$CG$696,0),"")</f>
        <v>325</v>
      </c>
      <c r="C18" s="5" t="str">
        <f aca="false">IF(B18="","",INDEX(報告入力!$C$7:$C$696,B18))</f>
        <v>未受領</v>
      </c>
      <c r="D18" s="5" t="str">
        <f aca="false">設定!$A$39</f>
        <v>長期（厚生年金保険経理）</v>
      </c>
      <c r="E18" s="5" t="str">
        <f aca="false">設定!$B$39&amp;""</f>
        <v>130</v>
      </c>
      <c r="F18" s="5" t="str">
        <f aca="false">設定!$D$48&amp;""</f>
        <v>6101002000</v>
      </c>
      <c r="G18" s="5" t="str">
        <f aca="false">設定!$E$48&amp;""</f>
        <v>負担地方公共</v>
      </c>
      <c r="H18" s="5" t="n">
        <f aca="false">IF(B18="",0,N(INDEX(報告入力!$AW$7:$AW$696,B18)))</f>
        <v>78389280</v>
      </c>
      <c r="I18" s="5" t="str">
        <f aca="false">設定!$C$39&amp;""</f>
        <v>1104001001</v>
      </c>
      <c r="J18" s="5" t="str">
        <f aca="false">設定!$D$39&amp;""</f>
        <v>普広銀市役所</v>
      </c>
      <c r="K18" s="5" t="n">
        <f aca="false">IF(AND(H18&lt;&gt;0,IF(設定!$B$6="入金確認済のみ",C18="入金確認済",OR(C18="入金確認済",C18="受領済"))),1,0)</f>
        <v>0</v>
      </c>
      <c r="L18" s="5" t="str">
        <f aca="false">1&amp;"|"&amp;3</f>
        <v>1|3</v>
      </c>
      <c r="M18" s="5" t="n">
        <f aca="false">IF(L18=L17,M17,0)+K18</f>
        <v>0</v>
      </c>
      <c r="N18" s="5" t="n">
        <f aca="false">IF(AND(K18=1,M18=1),1,0)</f>
        <v>0</v>
      </c>
      <c r="O18" s="5" t="str">
        <f aca="false">IF(K18=1,MAX($O$5:O17)+1,"")</f>
        <v/>
      </c>
      <c r="P18" s="5" t="str">
        <f aca="false">IF(K18=1,SUM($N$6:N18),"")</f>
        <v/>
      </c>
      <c r="Q18" s="5" t="str">
        <f aca="false">IF(K18=1,SUMIFS($H$6:$H$511,$L$6:$L$511,L18,$K$6:$K$511,1),"")</f>
        <v/>
      </c>
      <c r="R18" s="78" t="str">
        <f aca="false">IF(B18="","",IF(INDEX(報告入力!$X$7:$X$696,B18)="","",INDEX(報告入力!$X$7:$X$696,B18)))</f>
        <v/>
      </c>
      <c r="S18" s="5" t="str">
        <f aca="false">設定!$C$48</f>
        <v>長期：厚生年金保険料（事業主負担分）</v>
      </c>
    </row>
    <row r="19" customFormat="false" ht="15" hidden="false" customHeight="false" outlineLevel="0" collapsed="false">
      <c r="A19" s="5" t="str">
        <f aca="false">設定!B63</f>
        <v>消防局</v>
      </c>
      <c r="B19" s="5" t="n">
        <f aca="false">IFERROR(MATCH(ホーム!$C$4&amp;"|"&amp;A19,報告入力!$CG$7:$CG$696,0),"")</f>
        <v>325</v>
      </c>
      <c r="C19" s="5" t="str">
        <f aca="false">IF(B19="","",INDEX(報告入力!$C$7:$C$696,B19))</f>
        <v>未受領</v>
      </c>
      <c r="D19" s="5" t="str">
        <f aca="false">設定!$A$39</f>
        <v>長期（厚生年金保険経理）</v>
      </c>
      <c r="E19" s="5" t="str">
        <f aca="false">設定!$B$39&amp;""</f>
        <v>130</v>
      </c>
      <c r="F19" s="5" t="str">
        <f aca="false">設定!$D$49&amp;""</f>
        <v>2109001015</v>
      </c>
      <c r="G19" s="5" t="str">
        <f aca="false">設定!$E$49&amp;""</f>
        <v>退職負担地方</v>
      </c>
      <c r="H19" s="5" t="n">
        <f aca="false">IF(B19="",0,N(INDEX(報告入力!$AX$7:$AX$696,B19)))</f>
        <v>4404675</v>
      </c>
      <c r="I19" s="5" t="str">
        <f aca="false">設定!$C$39&amp;""</f>
        <v>1104001001</v>
      </c>
      <c r="J19" s="5" t="str">
        <f aca="false">設定!$D$39&amp;""</f>
        <v>普広銀市役所</v>
      </c>
      <c r="K19" s="5" t="n">
        <f aca="false">IF(AND(H19&lt;&gt;0,IF(設定!$B$6="入金確認済のみ",C19="入金確認済",OR(C19="入金確認済",C19="受領済"))),1,0)</f>
        <v>0</v>
      </c>
      <c r="L19" s="5" t="str">
        <f aca="false">1&amp;"|"&amp;3</f>
        <v>1|3</v>
      </c>
      <c r="M19" s="5" t="n">
        <f aca="false">IF(L19=L18,M18,0)+K19</f>
        <v>0</v>
      </c>
      <c r="N19" s="5" t="n">
        <f aca="false">IF(AND(K19=1,M19=1),1,0)</f>
        <v>0</v>
      </c>
      <c r="O19" s="5" t="str">
        <f aca="false">IF(K19=1,MAX($O$5:O18)+1,"")</f>
        <v/>
      </c>
      <c r="P19" s="5" t="str">
        <f aca="false">IF(K19=1,SUM($N$6:N19),"")</f>
        <v/>
      </c>
      <c r="Q19" s="5" t="str">
        <f aca="false">IF(K19=1,SUMIFS($H$6:$H$511,$L$6:$L$511,L19,$K$6:$K$511,1),"")</f>
        <v/>
      </c>
      <c r="R19" s="78" t="str">
        <f aca="false">IF(B19="","",IF(INDEX(報告入力!$X$7:$X$696,B19)="","",INDEX(報告入力!$X$7:$X$696,B19)))</f>
        <v/>
      </c>
      <c r="S19" s="5" t="str">
        <f aca="false">設定!$C$49</f>
        <v>長期：退職等年金負担金</v>
      </c>
    </row>
    <row r="20" customFormat="false" ht="15" hidden="false" customHeight="false" outlineLevel="0" collapsed="false">
      <c r="A20" s="5" t="str">
        <f aca="false">設定!B63</f>
        <v>消防局</v>
      </c>
      <c r="B20" s="5" t="n">
        <f aca="false">IFERROR(MATCH(ホーム!$C$4&amp;"|"&amp;A20,報告入力!$CG$7:$CG$696,0),"")</f>
        <v>325</v>
      </c>
      <c r="C20" s="5" t="str">
        <f aca="false">IF(B20="","",INDEX(報告入力!$C$7:$C$696,B20))</f>
        <v>未受領</v>
      </c>
      <c r="D20" s="5" t="str">
        <f aca="false">設定!$A$39</f>
        <v>長期（厚生年金保険経理）</v>
      </c>
      <c r="E20" s="5" t="str">
        <f aca="false">設定!$B$39&amp;""</f>
        <v>130</v>
      </c>
      <c r="F20" s="5" t="str">
        <f aca="false">設定!$D$50&amp;""</f>
        <v>2109001017</v>
      </c>
      <c r="G20" s="5" t="str">
        <f aca="false">設定!$E$50&amp;""</f>
        <v>経過的負担金</v>
      </c>
      <c r="H20" s="5" t="n">
        <f aca="false">IF(B20="",0,N(INDEX(報告入力!$AY$7:$AY$696,B20)))</f>
        <v>55545</v>
      </c>
      <c r="I20" s="5" t="str">
        <f aca="false">設定!$C$39&amp;""</f>
        <v>1104001001</v>
      </c>
      <c r="J20" s="5" t="str">
        <f aca="false">設定!$D$39&amp;""</f>
        <v>普広銀市役所</v>
      </c>
      <c r="K20" s="5" t="n">
        <f aca="false">IF(AND(H20&lt;&gt;0,IF(設定!$B$6="入金確認済のみ",C20="入金確認済",OR(C20="入金確認済",C20="受領済"))),1,0)</f>
        <v>0</v>
      </c>
      <c r="L20" s="5" t="str">
        <f aca="false">1&amp;"|"&amp;3</f>
        <v>1|3</v>
      </c>
      <c r="M20" s="5" t="n">
        <f aca="false">IF(L20=L19,M19,0)+K20</f>
        <v>0</v>
      </c>
      <c r="N20" s="5" t="n">
        <f aca="false">IF(AND(K20=1,M20=1),1,0)</f>
        <v>0</v>
      </c>
      <c r="O20" s="5" t="str">
        <f aca="false">IF(K20=1,MAX($O$5:O19)+1,"")</f>
        <v/>
      </c>
      <c r="P20" s="5" t="str">
        <f aca="false">IF(K20=1,SUM($N$6:N20),"")</f>
        <v/>
      </c>
      <c r="Q20" s="5" t="str">
        <f aca="false">IF(K20=1,SUMIFS($H$6:$H$511,$L$6:$L$511,L20,$K$6:$K$511,1),"")</f>
        <v/>
      </c>
      <c r="R20" s="78" t="str">
        <f aca="false">IF(B20="","",IF(INDEX(報告入力!$X$7:$X$696,B20)="","",INDEX(報告入力!$X$7:$X$696,B20)))</f>
        <v/>
      </c>
      <c r="S20" s="5" t="str">
        <f aca="false">設定!$C$50</f>
        <v>長期：経過的長期</v>
      </c>
    </row>
    <row r="21" customFormat="false" ht="15" hidden="false" customHeight="false" outlineLevel="0" collapsed="false">
      <c r="A21" s="5" t="str">
        <f aca="false">設定!B64</f>
        <v>議会事務局</v>
      </c>
      <c r="B21" s="5" t="n">
        <f aca="false">IFERROR(MATCH(ホーム!$C$4&amp;"|"&amp;A21,報告入力!$CG$7:$CG$696,0),"")</f>
        <v>326</v>
      </c>
      <c r="C21" s="5" t="str">
        <f aca="false">IF(B21="","",INDEX(報告入力!$C$7:$C$696,B21))</f>
        <v>未受領</v>
      </c>
      <c r="D21" s="5" t="str">
        <f aca="false">設定!$A$39</f>
        <v>長期（厚生年金保険経理）</v>
      </c>
      <c r="E21" s="5" t="str">
        <f aca="false">設定!$B$39&amp;""</f>
        <v>130</v>
      </c>
      <c r="F21" s="5" t="str">
        <f aca="false">設定!$D$46&amp;""</f>
        <v>6102102000</v>
      </c>
      <c r="G21" s="5" t="str">
        <f aca="false">設定!$E$46&amp;""</f>
        <v>標月額保険料</v>
      </c>
      <c r="H21" s="5" t="n">
        <f aca="false">IF(B21="",0,N(INDEX(報告入力!$AU$7:$AU$696,B21)))</f>
        <v>1740330</v>
      </c>
      <c r="I21" s="5" t="str">
        <f aca="false">設定!$C$39&amp;""</f>
        <v>1104001001</v>
      </c>
      <c r="J21" s="5" t="str">
        <f aca="false">設定!$D$39&amp;""</f>
        <v>普広銀市役所</v>
      </c>
      <c r="K21" s="5" t="n">
        <f aca="false">IF(AND(H21&lt;&gt;0,IF(設定!$B$6="入金確認済のみ",C21="入金確認済",OR(C21="入金確認済",C21="受領済"))),1,0)</f>
        <v>0</v>
      </c>
      <c r="L21" s="5" t="str">
        <f aca="false">1&amp;"|"&amp;4</f>
        <v>1|4</v>
      </c>
      <c r="M21" s="5" t="n">
        <f aca="false">IF(L21=L20,M20,0)+K21</f>
        <v>0</v>
      </c>
      <c r="N21" s="5" t="n">
        <f aca="false">IF(AND(K21=1,M21=1),1,0)</f>
        <v>0</v>
      </c>
      <c r="O21" s="5" t="str">
        <f aca="false">IF(K21=1,MAX($O$5:O20)+1,"")</f>
        <v/>
      </c>
      <c r="P21" s="5" t="str">
        <f aca="false">IF(K21=1,SUM($N$6:N21),"")</f>
        <v/>
      </c>
      <c r="Q21" s="5" t="str">
        <f aca="false">IF(K21=1,SUMIFS($H$6:$H$511,$L$6:$L$511,L21,$K$6:$K$511,1),"")</f>
        <v/>
      </c>
      <c r="R21" s="78" t="str">
        <f aca="false">IF(B21="","",IF(INDEX(報告入力!$X$7:$X$696,B21)="","",INDEX(報告入力!$X$7:$X$696,B21)))</f>
        <v/>
      </c>
      <c r="S21" s="5" t="str">
        <f aca="false">設定!$C$46</f>
        <v>長期：厚生年金保険料（組合員負担分）</v>
      </c>
    </row>
    <row r="22" customFormat="false" ht="15" hidden="false" customHeight="false" outlineLevel="0" collapsed="false">
      <c r="A22" s="5" t="str">
        <f aca="false">設定!B64</f>
        <v>議会事務局</v>
      </c>
      <c r="B22" s="5" t="n">
        <f aca="false">IFERROR(MATCH(ホーム!$C$4&amp;"|"&amp;A22,報告入力!$CG$7:$CG$696,0),"")</f>
        <v>326</v>
      </c>
      <c r="C22" s="5" t="str">
        <f aca="false">IF(B22="","",INDEX(報告入力!$C$7:$C$696,B22))</f>
        <v>未受領</v>
      </c>
      <c r="D22" s="5" t="str">
        <f aca="false">設定!$A$39</f>
        <v>長期（厚生年金保険経理）</v>
      </c>
      <c r="E22" s="5" t="str">
        <f aca="false">設定!$B$39&amp;""</f>
        <v>130</v>
      </c>
      <c r="F22" s="5" t="str">
        <f aca="false">設定!$D$47&amp;""</f>
        <v>2109001014</v>
      </c>
      <c r="G22" s="5" t="str">
        <f aca="false">設定!$E$47&amp;""</f>
        <v>退職標報掛金</v>
      </c>
      <c r="H22" s="5" t="n">
        <f aca="false">IF(B22="",0,N(INDEX(報告入力!$AV$7:$AV$696,B22)))</f>
        <v>142650</v>
      </c>
      <c r="I22" s="5" t="str">
        <f aca="false">設定!$C$39&amp;""</f>
        <v>1104001001</v>
      </c>
      <c r="J22" s="5" t="str">
        <f aca="false">設定!$D$39&amp;""</f>
        <v>普広銀市役所</v>
      </c>
      <c r="K22" s="5" t="n">
        <f aca="false">IF(AND(H22&lt;&gt;0,IF(設定!$B$6="入金確認済のみ",C22="入金確認済",OR(C22="入金確認済",C22="受領済"))),1,0)</f>
        <v>0</v>
      </c>
      <c r="L22" s="5" t="str">
        <f aca="false">1&amp;"|"&amp;4</f>
        <v>1|4</v>
      </c>
      <c r="M22" s="5" t="n">
        <f aca="false">IF(L22=L21,M21,0)+K22</f>
        <v>0</v>
      </c>
      <c r="N22" s="5" t="n">
        <f aca="false">IF(AND(K22=1,M22=1),1,0)</f>
        <v>0</v>
      </c>
      <c r="O22" s="5" t="str">
        <f aca="false">IF(K22=1,MAX($O$5:O21)+1,"")</f>
        <v/>
      </c>
      <c r="P22" s="5" t="str">
        <f aca="false">IF(K22=1,SUM($N$6:N22),"")</f>
        <v/>
      </c>
      <c r="Q22" s="5" t="str">
        <f aca="false">IF(K22=1,SUMIFS($H$6:$H$511,$L$6:$L$511,L22,$K$6:$K$511,1),"")</f>
        <v/>
      </c>
      <c r="R22" s="78" t="str">
        <f aca="false">IF(B22="","",IF(INDEX(報告入力!$X$7:$X$696,B22)="","",INDEX(報告入力!$X$7:$X$696,B22)))</f>
        <v/>
      </c>
      <c r="S22" s="5" t="str">
        <f aca="false">設定!$C$47</f>
        <v>長期：退職等年金掛金</v>
      </c>
    </row>
    <row r="23" customFormat="false" ht="15" hidden="false" customHeight="false" outlineLevel="0" collapsed="false">
      <c r="A23" s="5" t="str">
        <f aca="false">設定!B64</f>
        <v>議会事務局</v>
      </c>
      <c r="B23" s="5" t="n">
        <f aca="false">IFERROR(MATCH(ホーム!$C$4&amp;"|"&amp;A23,報告入力!$CG$7:$CG$696,0),"")</f>
        <v>326</v>
      </c>
      <c r="C23" s="5" t="str">
        <f aca="false">IF(B23="","",INDEX(報告入力!$C$7:$C$696,B23))</f>
        <v>未受領</v>
      </c>
      <c r="D23" s="5" t="str">
        <f aca="false">設定!$A$39</f>
        <v>長期（厚生年金保険経理）</v>
      </c>
      <c r="E23" s="5" t="str">
        <f aca="false">設定!$B$39&amp;""</f>
        <v>130</v>
      </c>
      <c r="F23" s="5" t="str">
        <f aca="false">設定!$D$48&amp;""</f>
        <v>6101002000</v>
      </c>
      <c r="G23" s="5" t="str">
        <f aca="false">設定!$E$48&amp;""</f>
        <v>負担地方公共</v>
      </c>
      <c r="H23" s="5" t="n">
        <f aca="false">IF(B23="",0,N(INDEX(報告入力!$AW$7:$AW$696,B23)))</f>
        <v>2539620</v>
      </c>
      <c r="I23" s="5" t="str">
        <f aca="false">設定!$C$39&amp;""</f>
        <v>1104001001</v>
      </c>
      <c r="J23" s="5" t="str">
        <f aca="false">設定!$D$39&amp;""</f>
        <v>普広銀市役所</v>
      </c>
      <c r="K23" s="5" t="n">
        <f aca="false">IF(AND(H23&lt;&gt;0,IF(設定!$B$6="入金確認済のみ",C23="入金確認済",OR(C23="入金確認済",C23="受領済"))),1,0)</f>
        <v>0</v>
      </c>
      <c r="L23" s="5" t="str">
        <f aca="false">1&amp;"|"&amp;4</f>
        <v>1|4</v>
      </c>
      <c r="M23" s="5" t="n">
        <f aca="false">IF(L23=L22,M22,0)+K23</f>
        <v>0</v>
      </c>
      <c r="N23" s="5" t="n">
        <f aca="false">IF(AND(K23=1,M23=1),1,0)</f>
        <v>0</v>
      </c>
      <c r="O23" s="5" t="str">
        <f aca="false">IF(K23=1,MAX($O$5:O22)+1,"")</f>
        <v/>
      </c>
      <c r="P23" s="5" t="str">
        <f aca="false">IF(K23=1,SUM($N$6:N23),"")</f>
        <v/>
      </c>
      <c r="Q23" s="5" t="str">
        <f aca="false">IF(K23=1,SUMIFS($H$6:$H$511,$L$6:$L$511,L23,$K$6:$K$511,1),"")</f>
        <v/>
      </c>
      <c r="R23" s="78" t="str">
        <f aca="false">IF(B23="","",IF(INDEX(報告入力!$X$7:$X$696,B23)="","",INDEX(報告入力!$X$7:$X$696,B23)))</f>
        <v/>
      </c>
      <c r="S23" s="5" t="str">
        <f aca="false">設定!$C$48</f>
        <v>長期：厚生年金保険料（事業主負担分）</v>
      </c>
    </row>
    <row r="24" customFormat="false" ht="15" hidden="false" customHeight="false" outlineLevel="0" collapsed="false">
      <c r="A24" s="5" t="str">
        <f aca="false">設定!B64</f>
        <v>議会事務局</v>
      </c>
      <c r="B24" s="5" t="n">
        <f aca="false">IFERROR(MATCH(ホーム!$C$4&amp;"|"&amp;A24,報告入力!$CG$7:$CG$696,0),"")</f>
        <v>326</v>
      </c>
      <c r="C24" s="5" t="str">
        <f aca="false">IF(B24="","",INDEX(報告入力!$C$7:$C$696,B24))</f>
        <v>未受領</v>
      </c>
      <c r="D24" s="5" t="str">
        <f aca="false">設定!$A$39</f>
        <v>長期（厚生年金保険経理）</v>
      </c>
      <c r="E24" s="5" t="str">
        <f aca="false">設定!$B$39&amp;""</f>
        <v>130</v>
      </c>
      <c r="F24" s="5" t="str">
        <f aca="false">設定!$D$49&amp;""</f>
        <v>2109001015</v>
      </c>
      <c r="G24" s="5" t="str">
        <f aca="false">設定!$E$49&amp;""</f>
        <v>退職負担地方</v>
      </c>
      <c r="H24" s="5" t="n">
        <f aca="false">IF(B24="",0,N(INDEX(報告入力!$AX$7:$AX$696,B24)))</f>
        <v>142650</v>
      </c>
      <c r="I24" s="5" t="str">
        <f aca="false">設定!$C$39&amp;""</f>
        <v>1104001001</v>
      </c>
      <c r="J24" s="5" t="str">
        <f aca="false">設定!$D$39&amp;""</f>
        <v>普広銀市役所</v>
      </c>
      <c r="K24" s="5" t="n">
        <f aca="false">IF(AND(H24&lt;&gt;0,IF(設定!$B$6="入金確認済のみ",C24="入金確認済",OR(C24="入金確認済",C24="受領済"))),1,0)</f>
        <v>0</v>
      </c>
      <c r="L24" s="5" t="str">
        <f aca="false">1&amp;"|"&amp;4</f>
        <v>1|4</v>
      </c>
      <c r="M24" s="5" t="n">
        <f aca="false">IF(L24=L23,M23,0)+K24</f>
        <v>0</v>
      </c>
      <c r="N24" s="5" t="n">
        <f aca="false">IF(AND(K24=1,M24=1),1,0)</f>
        <v>0</v>
      </c>
      <c r="O24" s="5" t="str">
        <f aca="false">IF(K24=1,MAX($O$5:O23)+1,"")</f>
        <v/>
      </c>
      <c r="P24" s="5" t="str">
        <f aca="false">IF(K24=1,SUM($N$6:N24),"")</f>
        <v/>
      </c>
      <c r="Q24" s="5" t="str">
        <f aca="false">IF(K24=1,SUMIFS($H$6:$H$511,$L$6:$L$511,L24,$K$6:$K$511,1),"")</f>
        <v/>
      </c>
      <c r="R24" s="78" t="str">
        <f aca="false">IF(B24="","",IF(INDEX(報告入力!$X$7:$X$696,B24)="","",INDEX(報告入力!$X$7:$X$696,B24)))</f>
        <v/>
      </c>
      <c r="S24" s="5" t="str">
        <f aca="false">設定!$C$49</f>
        <v>長期：退職等年金負担金</v>
      </c>
    </row>
    <row r="25" customFormat="false" ht="15" hidden="false" customHeight="false" outlineLevel="0" collapsed="false">
      <c r="A25" s="5" t="str">
        <f aca="false">設定!B64</f>
        <v>議会事務局</v>
      </c>
      <c r="B25" s="5" t="n">
        <f aca="false">IFERROR(MATCH(ホーム!$C$4&amp;"|"&amp;A25,報告入力!$CG$7:$CG$696,0),"")</f>
        <v>326</v>
      </c>
      <c r="C25" s="5" t="str">
        <f aca="false">IF(B25="","",INDEX(報告入力!$C$7:$C$696,B25))</f>
        <v>未受領</v>
      </c>
      <c r="D25" s="5" t="str">
        <f aca="false">設定!$A$39</f>
        <v>長期（厚生年金保険経理）</v>
      </c>
      <c r="E25" s="5" t="str">
        <f aca="false">設定!$B$39&amp;""</f>
        <v>130</v>
      </c>
      <c r="F25" s="5" t="str">
        <f aca="false">設定!$D$50&amp;""</f>
        <v>2109001017</v>
      </c>
      <c r="G25" s="5" t="str">
        <f aca="false">設定!$E$50&amp;""</f>
        <v>経過的負担金</v>
      </c>
      <c r="H25" s="5" t="n">
        <f aca="false">IF(B25="",0,N(INDEX(報告入力!$AY$7:$AY$696,B25)))</f>
        <v>1808</v>
      </c>
      <c r="I25" s="5" t="str">
        <f aca="false">設定!$C$39&amp;""</f>
        <v>1104001001</v>
      </c>
      <c r="J25" s="5" t="str">
        <f aca="false">設定!$D$39&amp;""</f>
        <v>普広銀市役所</v>
      </c>
      <c r="K25" s="5" t="n">
        <f aca="false">IF(AND(H25&lt;&gt;0,IF(設定!$B$6="入金確認済のみ",C25="入金確認済",OR(C25="入金確認済",C25="受領済"))),1,0)</f>
        <v>0</v>
      </c>
      <c r="L25" s="5" t="str">
        <f aca="false">1&amp;"|"&amp;4</f>
        <v>1|4</v>
      </c>
      <c r="M25" s="5" t="n">
        <f aca="false">IF(L25=L24,M24,0)+K25</f>
        <v>0</v>
      </c>
      <c r="N25" s="5" t="n">
        <f aca="false">IF(AND(K25=1,M25=1),1,0)</f>
        <v>0</v>
      </c>
      <c r="O25" s="5" t="str">
        <f aca="false">IF(K25=1,MAX($O$5:O24)+1,"")</f>
        <v/>
      </c>
      <c r="P25" s="5" t="str">
        <f aca="false">IF(K25=1,SUM($N$6:N25),"")</f>
        <v/>
      </c>
      <c r="Q25" s="5" t="str">
        <f aca="false">IF(K25=1,SUMIFS($H$6:$H$511,$L$6:$L$511,L25,$K$6:$K$511,1),"")</f>
        <v/>
      </c>
      <c r="R25" s="78" t="str">
        <f aca="false">IF(B25="","",IF(INDEX(報告入力!$X$7:$X$696,B25)="","",INDEX(報告入力!$X$7:$X$696,B25)))</f>
        <v/>
      </c>
      <c r="S25" s="5" t="str">
        <f aca="false">設定!$C$50</f>
        <v>長期：経過的長期</v>
      </c>
    </row>
    <row r="26" customFormat="false" ht="15" hidden="false" customHeight="false" outlineLevel="0" collapsed="false">
      <c r="A26" s="5" t="str">
        <f aca="false">設定!B65</f>
        <v>教育委員会（総務課）</v>
      </c>
      <c r="B26" s="5" t="n">
        <f aca="false">IFERROR(MATCH(ホーム!$C$4&amp;"|"&amp;A26,報告入力!$CG$7:$CG$696,0),"")</f>
        <v>327</v>
      </c>
      <c r="C26" s="5" t="str">
        <f aca="false">IF(B26="","",INDEX(報告入力!$C$7:$C$696,B26))</f>
        <v>未受領</v>
      </c>
      <c r="D26" s="5" t="str">
        <f aca="false">設定!$A$39</f>
        <v>長期（厚生年金保険経理）</v>
      </c>
      <c r="E26" s="5" t="str">
        <f aca="false">設定!$B$39&amp;""</f>
        <v>130</v>
      </c>
      <c r="F26" s="5" t="str">
        <f aca="false">設定!$D$46&amp;""</f>
        <v>6102102000</v>
      </c>
      <c r="G26" s="5" t="str">
        <f aca="false">設定!$E$46&amp;""</f>
        <v>標月額保険料</v>
      </c>
      <c r="H26" s="5" t="n">
        <f aca="false">IF(B26="",0,N(INDEX(報告入力!$AU$7:$AU$696,B26)))</f>
        <v>24178326</v>
      </c>
      <c r="I26" s="5" t="str">
        <f aca="false">設定!$C$39&amp;""</f>
        <v>1104001001</v>
      </c>
      <c r="J26" s="5" t="str">
        <f aca="false">設定!$D$39&amp;""</f>
        <v>普広銀市役所</v>
      </c>
      <c r="K26" s="5" t="n">
        <f aca="false">IF(AND(H26&lt;&gt;0,IF(設定!$B$6="入金確認済のみ",C26="入金確認済",OR(C26="入金確認済",C26="受領済"))),1,0)</f>
        <v>0</v>
      </c>
      <c r="L26" s="5" t="str">
        <f aca="false">1&amp;"|"&amp;5</f>
        <v>1|5</v>
      </c>
      <c r="M26" s="5" t="n">
        <f aca="false">IF(L26=L25,M25,0)+K26</f>
        <v>0</v>
      </c>
      <c r="N26" s="5" t="n">
        <f aca="false">IF(AND(K26=1,M26=1),1,0)</f>
        <v>0</v>
      </c>
      <c r="O26" s="5" t="str">
        <f aca="false">IF(K26=1,MAX($O$5:O25)+1,"")</f>
        <v/>
      </c>
      <c r="P26" s="5" t="str">
        <f aca="false">IF(K26=1,SUM($N$6:N26),"")</f>
        <v/>
      </c>
      <c r="Q26" s="5" t="str">
        <f aca="false">IF(K26=1,SUMIFS($H$6:$H$511,$L$6:$L$511,L26,$K$6:$K$511,1),"")</f>
        <v/>
      </c>
      <c r="R26" s="78" t="str">
        <f aca="false">IF(B26="","",IF(INDEX(報告入力!$X$7:$X$696,B26)="","",INDEX(報告入力!$X$7:$X$696,B26)))</f>
        <v/>
      </c>
      <c r="S26" s="5" t="str">
        <f aca="false">設定!$C$46</f>
        <v>長期：厚生年金保険料（組合員負担分）</v>
      </c>
    </row>
    <row r="27" customFormat="false" ht="15" hidden="false" customHeight="false" outlineLevel="0" collapsed="false">
      <c r="A27" s="5" t="str">
        <f aca="false">設定!B65</f>
        <v>教育委員会（総務課）</v>
      </c>
      <c r="B27" s="5" t="n">
        <f aca="false">IFERROR(MATCH(ホーム!$C$4&amp;"|"&amp;A27,報告入力!$CG$7:$CG$696,0),"")</f>
        <v>327</v>
      </c>
      <c r="C27" s="5" t="str">
        <f aca="false">IF(B27="","",INDEX(報告入力!$C$7:$C$696,B27))</f>
        <v>未受領</v>
      </c>
      <c r="D27" s="5" t="str">
        <f aca="false">設定!$A$39</f>
        <v>長期（厚生年金保険経理）</v>
      </c>
      <c r="E27" s="5" t="str">
        <f aca="false">設定!$B$39&amp;""</f>
        <v>130</v>
      </c>
      <c r="F27" s="5" t="str">
        <f aca="false">設定!$D$47&amp;""</f>
        <v>2109001014</v>
      </c>
      <c r="G27" s="5" t="str">
        <f aca="false">設定!$E$47&amp;""</f>
        <v>退職標報掛金</v>
      </c>
      <c r="H27" s="5" t="n">
        <f aca="false">IF(B27="",0,N(INDEX(報告入力!$AV$7:$AV$696,B27)))</f>
        <v>1981830</v>
      </c>
      <c r="I27" s="5" t="str">
        <f aca="false">設定!$C$39&amp;""</f>
        <v>1104001001</v>
      </c>
      <c r="J27" s="5" t="str">
        <f aca="false">設定!$D$39&amp;""</f>
        <v>普広銀市役所</v>
      </c>
      <c r="K27" s="5" t="n">
        <f aca="false">IF(AND(H27&lt;&gt;0,IF(設定!$B$6="入金確認済のみ",C27="入金確認済",OR(C27="入金確認済",C27="受領済"))),1,0)</f>
        <v>0</v>
      </c>
      <c r="L27" s="5" t="str">
        <f aca="false">1&amp;"|"&amp;5</f>
        <v>1|5</v>
      </c>
      <c r="M27" s="5" t="n">
        <f aca="false">IF(L27=L26,M26,0)+K27</f>
        <v>0</v>
      </c>
      <c r="N27" s="5" t="n">
        <f aca="false">IF(AND(K27=1,M27=1),1,0)</f>
        <v>0</v>
      </c>
      <c r="O27" s="5" t="str">
        <f aca="false">IF(K27=1,MAX($O$5:O26)+1,"")</f>
        <v/>
      </c>
      <c r="P27" s="5" t="str">
        <f aca="false">IF(K27=1,SUM($N$6:N27),"")</f>
        <v/>
      </c>
      <c r="Q27" s="5" t="str">
        <f aca="false">IF(K27=1,SUMIFS($H$6:$H$511,$L$6:$L$511,L27,$K$6:$K$511,1),"")</f>
        <v/>
      </c>
      <c r="R27" s="78" t="str">
        <f aca="false">IF(B27="","",IF(INDEX(報告入力!$X$7:$X$696,B27)="","",INDEX(報告入力!$X$7:$X$696,B27)))</f>
        <v/>
      </c>
      <c r="S27" s="5" t="str">
        <f aca="false">設定!$C$47</f>
        <v>長期：退職等年金掛金</v>
      </c>
    </row>
    <row r="28" customFormat="false" ht="15" hidden="false" customHeight="false" outlineLevel="0" collapsed="false">
      <c r="A28" s="5" t="str">
        <f aca="false">設定!B65</f>
        <v>教育委員会（総務課）</v>
      </c>
      <c r="B28" s="5" t="n">
        <f aca="false">IFERROR(MATCH(ホーム!$C$4&amp;"|"&amp;A28,報告入力!$CG$7:$CG$696,0),"")</f>
        <v>327</v>
      </c>
      <c r="C28" s="5" t="str">
        <f aca="false">IF(B28="","",INDEX(報告入力!$C$7:$C$696,B28))</f>
        <v>未受領</v>
      </c>
      <c r="D28" s="5" t="str">
        <f aca="false">設定!$A$39</f>
        <v>長期（厚生年金保険経理）</v>
      </c>
      <c r="E28" s="5" t="str">
        <f aca="false">設定!$B$39&amp;""</f>
        <v>130</v>
      </c>
      <c r="F28" s="5" t="str">
        <f aca="false">設定!$D$48&amp;""</f>
        <v>6101002000</v>
      </c>
      <c r="G28" s="5" t="str">
        <f aca="false">設定!$E$48&amp;""</f>
        <v>負担地方公共</v>
      </c>
      <c r="H28" s="5" t="n">
        <f aca="false">IF(B28="",0,N(INDEX(報告入力!$AW$7:$AW$696,B28)))</f>
        <v>35265535</v>
      </c>
      <c r="I28" s="5" t="str">
        <f aca="false">設定!$C$39&amp;""</f>
        <v>1104001001</v>
      </c>
      <c r="J28" s="5" t="str">
        <f aca="false">設定!$D$39&amp;""</f>
        <v>普広銀市役所</v>
      </c>
      <c r="K28" s="5" t="n">
        <f aca="false">IF(AND(H28&lt;&gt;0,IF(設定!$B$6="入金確認済のみ",C28="入金確認済",OR(C28="入金確認済",C28="受領済"))),1,0)</f>
        <v>0</v>
      </c>
      <c r="L28" s="5" t="str">
        <f aca="false">1&amp;"|"&amp;5</f>
        <v>1|5</v>
      </c>
      <c r="M28" s="5" t="n">
        <f aca="false">IF(L28=L27,M27,0)+K28</f>
        <v>0</v>
      </c>
      <c r="N28" s="5" t="n">
        <f aca="false">IF(AND(K28=1,M28=1),1,0)</f>
        <v>0</v>
      </c>
      <c r="O28" s="5" t="str">
        <f aca="false">IF(K28=1,MAX($O$5:O27)+1,"")</f>
        <v/>
      </c>
      <c r="P28" s="5" t="str">
        <f aca="false">IF(K28=1,SUM($N$6:N28),"")</f>
        <v/>
      </c>
      <c r="Q28" s="5" t="str">
        <f aca="false">IF(K28=1,SUMIFS($H$6:$H$511,$L$6:$L$511,L28,$K$6:$K$511,1),"")</f>
        <v/>
      </c>
      <c r="R28" s="78" t="str">
        <f aca="false">IF(B28="","",IF(INDEX(報告入力!$X$7:$X$696,B28)="","",INDEX(報告入力!$X$7:$X$696,B28)))</f>
        <v/>
      </c>
      <c r="S28" s="5" t="str">
        <f aca="false">設定!$C$48</f>
        <v>長期：厚生年金保険料（事業主負担分）</v>
      </c>
    </row>
    <row r="29" customFormat="false" ht="15" hidden="false" customHeight="false" outlineLevel="0" collapsed="false">
      <c r="A29" s="5" t="str">
        <f aca="false">設定!B65</f>
        <v>教育委員会（総務課）</v>
      </c>
      <c r="B29" s="5" t="n">
        <f aca="false">IFERROR(MATCH(ホーム!$C$4&amp;"|"&amp;A29,報告入力!$CG$7:$CG$696,0),"")</f>
        <v>327</v>
      </c>
      <c r="C29" s="5" t="str">
        <f aca="false">IF(B29="","",INDEX(報告入力!$C$7:$C$696,B29))</f>
        <v>未受領</v>
      </c>
      <c r="D29" s="5" t="str">
        <f aca="false">設定!$A$39</f>
        <v>長期（厚生年金保険経理）</v>
      </c>
      <c r="E29" s="5" t="str">
        <f aca="false">設定!$B$39&amp;""</f>
        <v>130</v>
      </c>
      <c r="F29" s="5" t="str">
        <f aca="false">設定!$D$49&amp;""</f>
        <v>2109001015</v>
      </c>
      <c r="G29" s="5" t="str">
        <f aca="false">設定!$E$49&amp;""</f>
        <v>退職負担地方</v>
      </c>
      <c r="H29" s="5" t="n">
        <f aca="false">IF(B29="",0,N(INDEX(報告入力!$AX$7:$AX$696,B29)))</f>
        <v>1982550</v>
      </c>
      <c r="I29" s="5" t="str">
        <f aca="false">設定!$C$39&amp;""</f>
        <v>1104001001</v>
      </c>
      <c r="J29" s="5" t="str">
        <f aca="false">設定!$D$39&amp;""</f>
        <v>普広銀市役所</v>
      </c>
      <c r="K29" s="5" t="n">
        <f aca="false">IF(AND(H29&lt;&gt;0,IF(設定!$B$6="入金確認済のみ",C29="入金確認済",OR(C29="入金確認済",C29="受領済"))),1,0)</f>
        <v>0</v>
      </c>
      <c r="L29" s="5" t="str">
        <f aca="false">1&amp;"|"&amp;5</f>
        <v>1|5</v>
      </c>
      <c r="M29" s="5" t="n">
        <f aca="false">IF(L29=L28,M28,0)+K29</f>
        <v>0</v>
      </c>
      <c r="N29" s="5" t="n">
        <f aca="false">IF(AND(K29=1,M29=1),1,0)</f>
        <v>0</v>
      </c>
      <c r="O29" s="5" t="str">
        <f aca="false">IF(K29=1,MAX($O$5:O28)+1,"")</f>
        <v/>
      </c>
      <c r="P29" s="5" t="str">
        <f aca="false">IF(K29=1,SUM($N$6:N29),"")</f>
        <v/>
      </c>
      <c r="Q29" s="5" t="str">
        <f aca="false">IF(K29=1,SUMIFS($H$6:$H$511,$L$6:$L$511,L29,$K$6:$K$511,1),"")</f>
        <v/>
      </c>
      <c r="R29" s="78" t="str">
        <f aca="false">IF(B29="","",IF(INDEX(報告入力!$X$7:$X$696,B29)="","",INDEX(報告入力!$X$7:$X$696,B29)))</f>
        <v/>
      </c>
      <c r="S29" s="5" t="str">
        <f aca="false">設定!$C$49</f>
        <v>長期：退職等年金負担金</v>
      </c>
    </row>
    <row r="30" customFormat="false" ht="15" hidden="false" customHeight="false" outlineLevel="0" collapsed="false">
      <c r="A30" s="5" t="str">
        <f aca="false">設定!B65</f>
        <v>教育委員会（総務課）</v>
      </c>
      <c r="B30" s="5" t="n">
        <f aca="false">IFERROR(MATCH(ホーム!$C$4&amp;"|"&amp;A30,報告入力!$CG$7:$CG$696,0),"")</f>
        <v>327</v>
      </c>
      <c r="C30" s="5" t="str">
        <f aca="false">IF(B30="","",INDEX(報告入力!$C$7:$C$696,B30))</f>
        <v>未受領</v>
      </c>
      <c r="D30" s="5" t="str">
        <f aca="false">設定!$A$39</f>
        <v>長期（厚生年金保険経理）</v>
      </c>
      <c r="E30" s="5" t="str">
        <f aca="false">設定!$B$39&amp;""</f>
        <v>130</v>
      </c>
      <c r="F30" s="5" t="str">
        <f aca="false">設定!$D$50&amp;""</f>
        <v>2109001017</v>
      </c>
      <c r="G30" s="5" t="str">
        <f aca="false">設定!$E$50&amp;""</f>
        <v>経過的負担金</v>
      </c>
      <c r="H30" s="5" t="n">
        <f aca="false">IF(B30="",0,N(INDEX(報告入力!$AY$7:$AY$696,B30)))</f>
        <v>25061</v>
      </c>
      <c r="I30" s="5" t="str">
        <f aca="false">設定!$C$39&amp;""</f>
        <v>1104001001</v>
      </c>
      <c r="J30" s="5" t="str">
        <f aca="false">設定!$D$39&amp;""</f>
        <v>普広銀市役所</v>
      </c>
      <c r="K30" s="5" t="n">
        <f aca="false">IF(AND(H30&lt;&gt;0,IF(設定!$B$6="入金確認済のみ",C30="入金確認済",OR(C30="入金確認済",C30="受領済"))),1,0)</f>
        <v>0</v>
      </c>
      <c r="L30" s="5" t="str">
        <f aca="false">1&amp;"|"&amp;5</f>
        <v>1|5</v>
      </c>
      <c r="M30" s="5" t="n">
        <f aca="false">IF(L30=L29,M29,0)+K30</f>
        <v>0</v>
      </c>
      <c r="N30" s="5" t="n">
        <f aca="false">IF(AND(K30=1,M30=1),1,0)</f>
        <v>0</v>
      </c>
      <c r="O30" s="5" t="str">
        <f aca="false">IF(K30=1,MAX($O$5:O29)+1,"")</f>
        <v/>
      </c>
      <c r="P30" s="5" t="str">
        <f aca="false">IF(K30=1,SUM($N$6:N30),"")</f>
        <v/>
      </c>
      <c r="Q30" s="5" t="str">
        <f aca="false">IF(K30=1,SUMIFS($H$6:$H$511,$L$6:$L$511,L30,$K$6:$K$511,1),"")</f>
        <v/>
      </c>
      <c r="R30" s="78" t="str">
        <f aca="false">IF(B30="","",IF(INDEX(報告入力!$X$7:$X$696,B30)="","",INDEX(報告入力!$X$7:$X$696,B30)))</f>
        <v/>
      </c>
      <c r="S30" s="5" t="str">
        <f aca="false">設定!$C$50</f>
        <v>長期：経過的長期</v>
      </c>
    </row>
    <row r="31" customFormat="false" ht="15" hidden="false" customHeight="false" outlineLevel="0" collapsed="false">
      <c r="A31" s="5" t="str">
        <f aca="false">設定!B66</f>
        <v>選挙管理委員会</v>
      </c>
      <c r="B31" s="5" t="n">
        <f aca="false">IFERROR(MATCH(ホーム!$C$4&amp;"|"&amp;A31,報告入力!$CG$7:$CG$696,0),"")</f>
        <v>328</v>
      </c>
      <c r="C31" s="5" t="str">
        <f aca="false">IF(B31="","",INDEX(報告入力!$C$7:$C$696,B31))</f>
        <v>未受領</v>
      </c>
      <c r="D31" s="5" t="str">
        <f aca="false">設定!$A$39</f>
        <v>長期（厚生年金保険経理）</v>
      </c>
      <c r="E31" s="5" t="str">
        <f aca="false">設定!$B$39&amp;""</f>
        <v>130</v>
      </c>
      <c r="F31" s="5" t="str">
        <f aca="false">設定!$D$46&amp;""</f>
        <v>6102102000</v>
      </c>
      <c r="G31" s="5" t="str">
        <f aca="false">設定!$E$46&amp;""</f>
        <v>標月額保険料</v>
      </c>
      <c r="H31" s="5" t="n">
        <f aca="false">IF(B31="",0,N(INDEX(報告入力!$AU$7:$AU$696,B31)))</f>
        <v>280905</v>
      </c>
      <c r="I31" s="5" t="str">
        <f aca="false">設定!$C$39&amp;""</f>
        <v>1104001001</v>
      </c>
      <c r="J31" s="5" t="str">
        <f aca="false">設定!$D$39&amp;""</f>
        <v>普広銀市役所</v>
      </c>
      <c r="K31" s="5" t="n">
        <f aca="false">IF(AND(H31&lt;&gt;0,IF(設定!$B$6="入金確認済のみ",C31="入金確認済",OR(C31="入金確認済",C31="受領済"))),1,0)</f>
        <v>0</v>
      </c>
      <c r="L31" s="5" t="str">
        <f aca="false">1&amp;"|"&amp;6</f>
        <v>1|6</v>
      </c>
      <c r="M31" s="5" t="n">
        <f aca="false">IF(L31=L30,M30,0)+K31</f>
        <v>0</v>
      </c>
      <c r="N31" s="5" t="n">
        <f aca="false">IF(AND(K31=1,M31=1),1,0)</f>
        <v>0</v>
      </c>
      <c r="O31" s="5" t="str">
        <f aca="false">IF(K31=1,MAX($O$5:O30)+1,"")</f>
        <v/>
      </c>
      <c r="P31" s="5" t="str">
        <f aca="false">IF(K31=1,SUM($N$6:N31),"")</f>
        <v/>
      </c>
      <c r="Q31" s="5" t="str">
        <f aca="false">IF(K31=1,SUMIFS($H$6:$H$511,$L$6:$L$511,L31,$K$6:$K$511,1),"")</f>
        <v/>
      </c>
      <c r="R31" s="78" t="str">
        <f aca="false">IF(B31="","",IF(INDEX(報告入力!$X$7:$X$696,B31)="","",INDEX(報告入力!$X$7:$X$696,B31)))</f>
        <v/>
      </c>
      <c r="S31" s="5" t="str">
        <f aca="false">設定!$C$46</f>
        <v>長期：厚生年金保険料（組合員負担分）</v>
      </c>
    </row>
    <row r="32" customFormat="false" ht="15" hidden="false" customHeight="false" outlineLevel="0" collapsed="false">
      <c r="A32" s="5" t="str">
        <f aca="false">設定!B66</f>
        <v>選挙管理委員会</v>
      </c>
      <c r="B32" s="5" t="n">
        <f aca="false">IFERROR(MATCH(ホーム!$C$4&amp;"|"&amp;A32,報告入力!$CG$7:$CG$696,0),"")</f>
        <v>328</v>
      </c>
      <c r="C32" s="5" t="str">
        <f aca="false">IF(B32="","",INDEX(報告入力!$C$7:$C$696,B32))</f>
        <v>未受領</v>
      </c>
      <c r="D32" s="5" t="str">
        <f aca="false">設定!$A$39</f>
        <v>長期（厚生年金保険経理）</v>
      </c>
      <c r="E32" s="5" t="str">
        <f aca="false">設定!$B$39&amp;""</f>
        <v>130</v>
      </c>
      <c r="F32" s="5" t="str">
        <f aca="false">設定!$D$47&amp;""</f>
        <v>2109001014</v>
      </c>
      <c r="G32" s="5" t="str">
        <f aca="false">設定!$E$47&amp;""</f>
        <v>退職標報掛金</v>
      </c>
      <c r="H32" s="5" t="n">
        <f aca="false">IF(B32="",0,N(INDEX(報告入力!$AV$7:$AV$696,B32)))</f>
        <v>23025</v>
      </c>
      <c r="I32" s="5" t="str">
        <f aca="false">設定!$C$39&amp;""</f>
        <v>1104001001</v>
      </c>
      <c r="J32" s="5" t="str">
        <f aca="false">設定!$D$39&amp;""</f>
        <v>普広銀市役所</v>
      </c>
      <c r="K32" s="5" t="n">
        <f aca="false">IF(AND(H32&lt;&gt;0,IF(設定!$B$6="入金確認済のみ",C32="入金確認済",OR(C32="入金確認済",C32="受領済"))),1,0)</f>
        <v>0</v>
      </c>
      <c r="L32" s="5" t="str">
        <f aca="false">1&amp;"|"&amp;6</f>
        <v>1|6</v>
      </c>
      <c r="M32" s="5" t="n">
        <f aca="false">IF(L32=L31,M31,0)+K32</f>
        <v>0</v>
      </c>
      <c r="N32" s="5" t="n">
        <f aca="false">IF(AND(K32=1,M32=1),1,0)</f>
        <v>0</v>
      </c>
      <c r="O32" s="5" t="str">
        <f aca="false">IF(K32=1,MAX($O$5:O31)+1,"")</f>
        <v/>
      </c>
      <c r="P32" s="5" t="str">
        <f aca="false">IF(K32=1,SUM($N$6:N32),"")</f>
        <v/>
      </c>
      <c r="Q32" s="5" t="str">
        <f aca="false">IF(K32=1,SUMIFS($H$6:$H$511,$L$6:$L$511,L32,$K$6:$K$511,1),"")</f>
        <v/>
      </c>
      <c r="R32" s="78" t="str">
        <f aca="false">IF(B32="","",IF(INDEX(報告入力!$X$7:$X$696,B32)="","",INDEX(報告入力!$X$7:$X$696,B32)))</f>
        <v/>
      </c>
      <c r="S32" s="5" t="str">
        <f aca="false">設定!$C$47</f>
        <v>長期：退職等年金掛金</v>
      </c>
    </row>
    <row r="33" customFormat="false" ht="15" hidden="false" customHeight="false" outlineLevel="0" collapsed="false">
      <c r="A33" s="5" t="str">
        <f aca="false">設定!B66</f>
        <v>選挙管理委員会</v>
      </c>
      <c r="B33" s="5" t="n">
        <f aca="false">IFERROR(MATCH(ホーム!$C$4&amp;"|"&amp;A33,報告入力!$CG$7:$CG$696,0),"")</f>
        <v>328</v>
      </c>
      <c r="C33" s="5" t="str">
        <f aca="false">IF(B33="","",INDEX(報告入力!$C$7:$C$696,B33))</f>
        <v>未受領</v>
      </c>
      <c r="D33" s="5" t="str">
        <f aca="false">設定!$A$39</f>
        <v>長期（厚生年金保険経理）</v>
      </c>
      <c r="E33" s="5" t="str">
        <f aca="false">設定!$B$39&amp;""</f>
        <v>130</v>
      </c>
      <c r="F33" s="5" t="str">
        <f aca="false">設定!$D$48&amp;""</f>
        <v>6101002000</v>
      </c>
      <c r="G33" s="5" t="str">
        <f aca="false">設定!$E$48&amp;""</f>
        <v>負担地方公共</v>
      </c>
      <c r="H33" s="5" t="n">
        <f aca="false">IF(B33="",0,N(INDEX(報告入力!$AW$7:$AW$696,B33)))</f>
        <v>408310</v>
      </c>
      <c r="I33" s="5" t="str">
        <f aca="false">設定!$C$39&amp;""</f>
        <v>1104001001</v>
      </c>
      <c r="J33" s="5" t="str">
        <f aca="false">設定!$D$39&amp;""</f>
        <v>普広銀市役所</v>
      </c>
      <c r="K33" s="5" t="n">
        <f aca="false">IF(AND(H33&lt;&gt;0,IF(設定!$B$6="入金確認済のみ",C33="入金確認済",OR(C33="入金確認済",C33="受領済"))),1,0)</f>
        <v>0</v>
      </c>
      <c r="L33" s="5" t="str">
        <f aca="false">1&amp;"|"&amp;6</f>
        <v>1|6</v>
      </c>
      <c r="M33" s="5" t="n">
        <f aca="false">IF(L33=L32,M32,0)+K33</f>
        <v>0</v>
      </c>
      <c r="N33" s="5" t="n">
        <f aca="false">IF(AND(K33=1,M33=1),1,0)</f>
        <v>0</v>
      </c>
      <c r="O33" s="5" t="str">
        <f aca="false">IF(K33=1,MAX($O$5:O32)+1,"")</f>
        <v/>
      </c>
      <c r="P33" s="5" t="str">
        <f aca="false">IF(K33=1,SUM($N$6:N33),"")</f>
        <v/>
      </c>
      <c r="Q33" s="5" t="str">
        <f aca="false">IF(K33=1,SUMIFS($H$6:$H$511,$L$6:$L$511,L33,$K$6:$K$511,1),"")</f>
        <v/>
      </c>
      <c r="R33" s="78" t="str">
        <f aca="false">IF(B33="","",IF(INDEX(報告入力!$X$7:$X$696,B33)="","",INDEX(報告入力!$X$7:$X$696,B33)))</f>
        <v/>
      </c>
      <c r="S33" s="5" t="str">
        <f aca="false">設定!$C$48</f>
        <v>長期：厚生年金保険料（事業主負担分）</v>
      </c>
    </row>
    <row r="34" customFormat="false" ht="15" hidden="false" customHeight="false" outlineLevel="0" collapsed="false">
      <c r="A34" s="5" t="str">
        <f aca="false">設定!B66</f>
        <v>選挙管理委員会</v>
      </c>
      <c r="B34" s="5" t="n">
        <f aca="false">IFERROR(MATCH(ホーム!$C$4&amp;"|"&amp;A34,報告入力!$CG$7:$CG$696,0),"")</f>
        <v>328</v>
      </c>
      <c r="C34" s="5" t="str">
        <f aca="false">IF(B34="","",INDEX(報告入力!$C$7:$C$696,B34))</f>
        <v>未受領</v>
      </c>
      <c r="D34" s="5" t="str">
        <f aca="false">設定!$A$39</f>
        <v>長期（厚生年金保険経理）</v>
      </c>
      <c r="E34" s="5" t="str">
        <f aca="false">設定!$B$39&amp;""</f>
        <v>130</v>
      </c>
      <c r="F34" s="5" t="str">
        <f aca="false">設定!$D$49&amp;""</f>
        <v>2109001015</v>
      </c>
      <c r="G34" s="5" t="str">
        <f aca="false">設定!$E$49&amp;""</f>
        <v>退職負担地方</v>
      </c>
      <c r="H34" s="5" t="n">
        <f aca="false">IF(B34="",0,N(INDEX(報告入力!$AX$7:$AX$696,B34)))</f>
        <v>23025</v>
      </c>
      <c r="I34" s="5" t="str">
        <f aca="false">設定!$C$39&amp;""</f>
        <v>1104001001</v>
      </c>
      <c r="J34" s="5" t="str">
        <f aca="false">設定!$D$39&amp;""</f>
        <v>普広銀市役所</v>
      </c>
      <c r="K34" s="5" t="n">
        <f aca="false">IF(AND(H34&lt;&gt;0,IF(設定!$B$6="入金確認済のみ",C34="入金確認済",OR(C34="入金確認済",C34="受領済"))),1,0)</f>
        <v>0</v>
      </c>
      <c r="L34" s="5" t="str">
        <f aca="false">1&amp;"|"&amp;6</f>
        <v>1|6</v>
      </c>
      <c r="M34" s="5" t="n">
        <f aca="false">IF(L34=L33,M33,0)+K34</f>
        <v>0</v>
      </c>
      <c r="N34" s="5" t="n">
        <f aca="false">IF(AND(K34=1,M34=1),1,0)</f>
        <v>0</v>
      </c>
      <c r="O34" s="5" t="str">
        <f aca="false">IF(K34=1,MAX($O$5:O33)+1,"")</f>
        <v/>
      </c>
      <c r="P34" s="5" t="str">
        <f aca="false">IF(K34=1,SUM($N$6:N34),"")</f>
        <v/>
      </c>
      <c r="Q34" s="5" t="str">
        <f aca="false">IF(K34=1,SUMIFS($H$6:$H$511,$L$6:$L$511,L34,$K$6:$K$511,1),"")</f>
        <v/>
      </c>
      <c r="R34" s="78" t="str">
        <f aca="false">IF(B34="","",IF(INDEX(報告入力!$X$7:$X$696,B34)="","",INDEX(報告入力!$X$7:$X$696,B34)))</f>
        <v/>
      </c>
      <c r="S34" s="5" t="str">
        <f aca="false">設定!$C$49</f>
        <v>長期：退職等年金負担金</v>
      </c>
    </row>
    <row r="35" customFormat="false" ht="15" hidden="false" customHeight="false" outlineLevel="0" collapsed="false">
      <c r="A35" s="5" t="str">
        <f aca="false">設定!B66</f>
        <v>選挙管理委員会</v>
      </c>
      <c r="B35" s="5" t="n">
        <f aca="false">IFERROR(MATCH(ホーム!$C$4&amp;"|"&amp;A35,報告入力!$CG$7:$CG$696,0),"")</f>
        <v>328</v>
      </c>
      <c r="C35" s="5" t="str">
        <f aca="false">IF(B35="","",INDEX(報告入力!$C$7:$C$696,B35))</f>
        <v>未受領</v>
      </c>
      <c r="D35" s="5" t="str">
        <f aca="false">設定!$A$39</f>
        <v>長期（厚生年金保険経理）</v>
      </c>
      <c r="E35" s="5" t="str">
        <f aca="false">設定!$B$39&amp;""</f>
        <v>130</v>
      </c>
      <c r="F35" s="5" t="str">
        <f aca="false">設定!$D$50&amp;""</f>
        <v>2109001017</v>
      </c>
      <c r="G35" s="5" t="str">
        <f aca="false">設定!$E$50&amp;""</f>
        <v>経過的負担金</v>
      </c>
      <c r="H35" s="5" t="n">
        <f aca="false">IF(B35="",0,N(INDEX(報告入力!$AY$7:$AY$696,B35)))</f>
        <v>288</v>
      </c>
      <c r="I35" s="5" t="str">
        <f aca="false">設定!$C$39&amp;""</f>
        <v>1104001001</v>
      </c>
      <c r="J35" s="5" t="str">
        <f aca="false">設定!$D$39&amp;""</f>
        <v>普広銀市役所</v>
      </c>
      <c r="K35" s="5" t="n">
        <f aca="false">IF(AND(H35&lt;&gt;0,IF(設定!$B$6="入金確認済のみ",C35="入金確認済",OR(C35="入金確認済",C35="受領済"))),1,0)</f>
        <v>0</v>
      </c>
      <c r="L35" s="5" t="str">
        <f aca="false">1&amp;"|"&amp;6</f>
        <v>1|6</v>
      </c>
      <c r="M35" s="5" t="n">
        <f aca="false">IF(L35=L34,M34,0)+K35</f>
        <v>0</v>
      </c>
      <c r="N35" s="5" t="n">
        <f aca="false">IF(AND(K35=1,M35=1),1,0)</f>
        <v>0</v>
      </c>
      <c r="O35" s="5" t="str">
        <f aca="false">IF(K35=1,MAX($O$5:O34)+1,"")</f>
        <v/>
      </c>
      <c r="P35" s="5" t="str">
        <f aca="false">IF(K35=1,SUM($N$6:N35),"")</f>
        <v/>
      </c>
      <c r="Q35" s="5" t="str">
        <f aca="false">IF(K35=1,SUMIFS($H$6:$H$511,$L$6:$L$511,L35,$K$6:$K$511,1),"")</f>
        <v/>
      </c>
      <c r="R35" s="78" t="str">
        <f aca="false">IF(B35="","",IF(INDEX(報告入力!$X$7:$X$696,B35)="","",INDEX(報告入力!$X$7:$X$696,B35)))</f>
        <v/>
      </c>
      <c r="S35" s="5" t="str">
        <f aca="false">設定!$C$50</f>
        <v>長期：経過的長期</v>
      </c>
    </row>
    <row r="36" customFormat="false" ht="15" hidden="false" customHeight="false" outlineLevel="0" collapsed="false">
      <c r="A36" s="5" t="str">
        <f aca="false">設定!B67</f>
        <v>人事委員会</v>
      </c>
      <c r="B36" s="5" t="n">
        <f aca="false">IFERROR(MATCH(ホーム!$C$4&amp;"|"&amp;A36,報告入力!$CG$7:$CG$696,0),"")</f>
        <v>329</v>
      </c>
      <c r="C36" s="5" t="str">
        <f aca="false">IF(B36="","",INDEX(報告入力!$C$7:$C$696,B36))</f>
        <v>未受領</v>
      </c>
      <c r="D36" s="5" t="str">
        <f aca="false">設定!$A$39</f>
        <v>長期（厚生年金保険経理）</v>
      </c>
      <c r="E36" s="5" t="str">
        <f aca="false">設定!$B$39&amp;""</f>
        <v>130</v>
      </c>
      <c r="F36" s="5" t="str">
        <f aca="false">設定!$D$46&amp;""</f>
        <v>6102102000</v>
      </c>
      <c r="G36" s="5" t="str">
        <f aca="false">設定!$E$46&amp;""</f>
        <v>標月額保険料</v>
      </c>
      <c r="H36" s="5" t="n">
        <f aca="false">IF(B36="",0,N(INDEX(報告入力!$AU$7:$AU$696,B36)))</f>
        <v>561810</v>
      </c>
      <c r="I36" s="5" t="str">
        <f aca="false">設定!$C$39&amp;""</f>
        <v>1104001001</v>
      </c>
      <c r="J36" s="5" t="str">
        <f aca="false">設定!$D$39&amp;""</f>
        <v>普広銀市役所</v>
      </c>
      <c r="K36" s="5" t="n">
        <f aca="false">IF(AND(H36&lt;&gt;0,IF(設定!$B$6="入金確認済のみ",C36="入金確認済",OR(C36="入金確認済",C36="受領済"))),1,0)</f>
        <v>0</v>
      </c>
      <c r="L36" s="5" t="str">
        <f aca="false">1&amp;"|"&amp;7</f>
        <v>1|7</v>
      </c>
      <c r="M36" s="5" t="n">
        <f aca="false">IF(L36=L35,M35,0)+K36</f>
        <v>0</v>
      </c>
      <c r="N36" s="5" t="n">
        <f aca="false">IF(AND(K36=1,M36=1),1,0)</f>
        <v>0</v>
      </c>
      <c r="O36" s="5" t="str">
        <f aca="false">IF(K36=1,MAX($O$5:O35)+1,"")</f>
        <v/>
      </c>
      <c r="P36" s="5" t="str">
        <f aca="false">IF(K36=1,SUM($N$6:N36),"")</f>
        <v/>
      </c>
      <c r="Q36" s="5" t="str">
        <f aca="false">IF(K36=1,SUMIFS($H$6:$H$511,$L$6:$L$511,L36,$K$6:$K$511,1),"")</f>
        <v/>
      </c>
      <c r="R36" s="78" t="str">
        <f aca="false">IF(B36="","",IF(INDEX(報告入力!$X$7:$X$696,B36)="","",INDEX(報告入力!$X$7:$X$696,B36)))</f>
        <v/>
      </c>
      <c r="S36" s="5" t="str">
        <f aca="false">設定!$C$46</f>
        <v>長期：厚生年金保険料（組合員負担分）</v>
      </c>
    </row>
    <row r="37" customFormat="false" ht="15" hidden="false" customHeight="false" outlineLevel="0" collapsed="false">
      <c r="A37" s="5" t="str">
        <f aca="false">設定!B67</f>
        <v>人事委員会</v>
      </c>
      <c r="B37" s="5" t="n">
        <f aca="false">IFERROR(MATCH(ホーム!$C$4&amp;"|"&amp;A37,報告入力!$CG$7:$CG$696,0),"")</f>
        <v>329</v>
      </c>
      <c r="C37" s="5" t="str">
        <f aca="false">IF(B37="","",INDEX(報告入力!$C$7:$C$696,B37))</f>
        <v>未受領</v>
      </c>
      <c r="D37" s="5" t="str">
        <f aca="false">設定!$A$39</f>
        <v>長期（厚生年金保険経理）</v>
      </c>
      <c r="E37" s="5" t="str">
        <f aca="false">設定!$B$39&amp;""</f>
        <v>130</v>
      </c>
      <c r="F37" s="5" t="str">
        <f aca="false">設定!$D$47&amp;""</f>
        <v>2109001014</v>
      </c>
      <c r="G37" s="5" t="str">
        <f aca="false">設定!$E$47&amp;""</f>
        <v>退職標報掛金</v>
      </c>
      <c r="H37" s="5" t="n">
        <f aca="false">IF(B37="",0,N(INDEX(報告入力!$AV$7:$AV$696,B37)))</f>
        <v>46050</v>
      </c>
      <c r="I37" s="5" t="str">
        <f aca="false">設定!$C$39&amp;""</f>
        <v>1104001001</v>
      </c>
      <c r="J37" s="5" t="str">
        <f aca="false">設定!$D$39&amp;""</f>
        <v>普広銀市役所</v>
      </c>
      <c r="K37" s="5" t="n">
        <f aca="false">IF(AND(H37&lt;&gt;0,IF(設定!$B$6="入金確認済のみ",C37="入金確認済",OR(C37="入金確認済",C37="受領済"))),1,0)</f>
        <v>0</v>
      </c>
      <c r="L37" s="5" t="str">
        <f aca="false">1&amp;"|"&amp;7</f>
        <v>1|7</v>
      </c>
      <c r="M37" s="5" t="n">
        <f aca="false">IF(L37=L36,M36,0)+K37</f>
        <v>0</v>
      </c>
      <c r="N37" s="5" t="n">
        <f aca="false">IF(AND(K37=1,M37=1),1,0)</f>
        <v>0</v>
      </c>
      <c r="O37" s="5" t="str">
        <f aca="false">IF(K37=1,MAX($O$5:O36)+1,"")</f>
        <v/>
      </c>
      <c r="P37" s="5" t="str">
        <f aca="false">IF(K37=1,SUM($N$6:N37),"")</f>
        <v/>
      </c>
      <c r="Q37" s="5" t="str">
        <f aca="false">IF(K37=1,SUMIFS($H$6:$H$511,$L$6:$L$511,L37,$K$6:$K$511,1),"")</f>
        <v/>
      </c>
      <c r="R37" s="78" t="str">
        <f aca="false">IF(B37="","",IF(INDEX(報告入力!$X$7:$X$696,B37)="","",INDEX(報告入力!$X$7:$X$696,B37)))</f>
        <v/>
      </c>
      <c r="S37" s="5" t="str">
        <f aca="false">設定!$C$47</f>
        <v>長期：退職等年金掛金</v>
      </c>
    </row>
    <row r="38" customFormat="false" ht="15" hidden="false" customHeight="false" outlineLevel="0" collapsed="false">
      <c r="A38" s="5" t="str">
        <f aca="false">設定!B67</f>
        <v>人事委員会</v>
      </c>
      <c r="B38" s="5" t="n">
        <f aca="false">IFERROR(MATCH(ホーム!$C$4&amp;"|"&amp;A38,報告入力!$CG$7:$CG$696,0),"")</f>
        <v>329</v>
      </c>
      <c r="C38" s="5" t="str">
        <f aca="false">IF(B38="","",INDEX(報告入力!$C$7:$C$696,B38))</f>
        <v>未受領</v>
      </c>
      <c r="D38" s="5" t="str">
        <f aca="false">設定!$A$39</f>
        <v>長期（厚生年金保険経理）</v>
      </c>
      <c r="E38" s="5" t="str">
        <f aca="false">設定!$B$39&amp;""</f>
        <v>130</v>
      </c>
      <c r="F38" s="5" t="str">
        <f aca="false">設定!$D$48&amp;""</f>
        <v>6101002000</v>
      </c>
      <c r="G38" s="5" t="str">
        <f aca="false">設定!$E$48&amp;""</f>
        <v>負担地方公共</v>
      </c>
      <c r="H38" s="5" t="n">
        <f aca="false">IF(B38="",0,N(INDEX(報告入力!$AW$7:$AW$696,B38)))</f>
        <v>816620</v>
      </c>
      <c r="I38" s="5" t="str">
        <f aca="false">設定!$C$39&amp;""</f>
        <v>1104001001</v>
      </c>
      <c r="J38" s="5" t="str">
        <f aca="false">設定!$D$39&amp;""</f>
        <v>普広銀市役所</v>
      </c>
      <c r="K38" s="5" t="n">
        <f aca="false">IF(AND(H38&lt;&gt;0,IF(設定!$B$6="入金確認済のみ",C38="入金確認済",OR(C38="入金確認済",C38="受領済"))),1,0)</f>
        <v>0</v>
      </c>
      <c r="L38" s="5" t="str">
        <f aca="false">1&amp;"|"&amp;7</f>
        <v>1|7</v>
      </c>
      <c r="M38" s="5" t="n">
        <f aca="false">IF(L38=L37,M37,0)+K38</f>
        <v>0</v>
      </c>
      <c r="N38" s="5" t="n">
        <f aca="false">IF(AND(K38=1,M38=1),1,0)</f>
        <v>0</v>
      </c>
      <c r="O38" s="5" t="str">
        <f aca="false">IF(K38=1,MAX($O$5:O37)+1,"")</f>
        <v/>
      </c>
      <c r="P38" s="5" t="str">
        <f aca="false">IF(K38=1,SUM($N$6:N38),"")</f>
        <v/>
      </c>
      <c r="Q38" s="5" t="str">
        <f aca="false">IF(K38=1,SUMIFS($H$6:$H$511,$L$6:$L$511,L38,$K$6:$K$511,1),"")</f>
        <v/>
      </c>
      <c r="R38" s="78" t="str">
        <f aca="false">IF(B38="","",IF(INDEX(報告入力!$X$7:$X$696,B38)="","",INDEX(報告入力!$X$7:$X$696,B38)))</f>
        <v/>
      </c>
      <c r="S38" s="5" t="str">
        <f aca="false">設定!$C$48</f>
        <v>長期：厚生年金保険料（事業主負担分）</v>
      </c>
    </row>
    <row r="39" customFormat="false" ht="15" hidden="false" customHeight="false" outlineLevel="0" collapsed="false">
      <c r="A39" s="5" t="str">
        <f aca="false">設定!B67</f>
        <v>人事委員会</v>
      </c>
      <c r="B39" s="5" t="n">
        <f aca="false">IFERROR(MATCH(ホーム!$C$4&amp;"|"&amp;A39,報告入力!$CG$7:$CG$696,0),"")</f>
        <v>329</v>
      </c>
      <c r="C39" s="5" t="str">
        <f aca="false">IF(B39="","",INDEX(報告入力!$C$7:$C$696,B39))</f>
        <v>未受領</v>
      </c>
      <c r="D39" s="5" t="str">
        <f aca="false">設定!$A$39</f>
        <v>長期（厚生年金保険経理）</v>
      </c>
      <c r="E39" s="5" t="str">
        <f aca="false">設定!$B$39&amp;""</f>
        <v>130</v>
      </c>
      <c r="F39" s="5" t="str">
        <f aca="false">設定!$D$49&amp;""</f>
        <v>2109001015</v>
      </c>
      <c r="G39" s="5" t="str">
        <f aca="false">設定!$E$49&amp;""</f>
        <v>退職負担地方</v>
      </c>
      <c r="H39" s="5" t="n">
        <f aca="false">IF(B39="",0,N(INDEX(報告入力!$AX$7:$AX$696,B39)))</f>
        <v>46050</v>
      </c>
      <c r="I39" s="5" t="str">
        <f aca="false">設定!$C$39&amp;""</f>
        <v>1104001001</v>
      </c>
      <c r="J39" s="5" t="str">
        <f aca="false">設定!$D$39&amp;""</f>
        <v>普広銀市役所</v>
      </c>
      <c r="K39" s="5" t="n">
        <f aca="false">IF(AND(H39&lt;&gt;0,IF(設定!$B$6="入金確認済のみ",C39="入金確認済",OR(C39="入金確認済",C39="受領済"))),1,0)</f>
        <v>0</v>
      </c>
      <c r="L39" s="5" t="str">
        <f aca="false">1&amp;"|"&amp;7</f>
        <v>1|7</v>
      </c>
      <c r="M39" s="5" t="n">
        <f aca="false">IF(L39=L38,M38,0)+K39</f>
        <v>0</v>
      </c>
      <c r="N39" s="5" t="n">
        <f aca="false">IF(AND(K39=1,M39=1),1,0)</f>
        <v>0</v>
      </c>
      <c r="O39" s="5" t="str">
        <f aca="false">IF(K39=1,MAX($O$5:O38)+1,"")</f>
        <v/>
      </c>
      <c r="P39" s="5" t="str">
        <f aca="false">IF(K39=1,SUM($N$6:N39),"")</f>
        <v/>
      </c>
      <c r="Q39" s="5" t="str">
        <f aca="false">IF(K39=1,SUMIFS($H$6:$H$511,$L$6:$L$511,L39,$K$6:$K$511,1),"")</f>
        <v/>
      </c>
      <c r="R39" s="78" t="str">
        <f aca="false">IF(B39="","",IF(INDEX(報告入力!$X$7:$X$696,B39)="","",INDEX(報告入力!$X$7:$X$696,B39)))</f>
        <v/>
      </c>
      <c r="S39" s="5" t="str">
        <f aca="false">設定!$C$49</f>
        <v>長期：退職等年金負担金</v>
      </c>
    </row>
    <row r="40" customFormat="false" ht="15" hidden="false" customHeight="false" outlineLevel="0" collapsed="false">
      <c r="A40" s="5" t="str">
        <f aca="false">設定!B67</f>
        <v>人事委員会</v>
      </c>
      <c r="B40" s="5" t="n">
        <f aca="false">IFERROR(MATCH(ホーム!$C$4&amp;"|"&amp;A40,報告入力!$CG$7:$CG$696,0),"")</f>
        <v>329</v>
      </c>
      <c r="C40" s="5" t="str">
        <f aca="false">IF(B40="","",INDEX(報告入力!$C$7:$C$696,B40))</f>
        <v>未受領</v>
      </c>
      <c r="D40" s="5" t="str">
        <f aca="false">設定!$A$39</f>
        <v>長期（厚生年金保険経理）</v>
      </c>
      <c r="E40" s="5" t="str">
        <f aca="false">設定!$B$39&amp;""</f>
        <v>130</v>
      </c>
      <c r="F40" s="5" t="str">
        <f aca="false">設定!$D$50&amp;""</f>
        <v>2109001017</v>
      </c>
      <c r="G40" s="5" t="str">
        <f aca="false">設定!$E$50&amp;""</f>
        <v>経過的負担金</v>
      </c>
      <c r="H40" s="5" t="n">
        <f aca="false">IF(B40="",0,N(INDEX(報告入力!$AY$7:$AY$696,B40)))</f>
        <v>576</v>
      </c>
      <c r="I40" s="5" t="str">
        <f aca="false">設定!$C$39&amp;""</f>
        <v>1104001001</v>
      </c>
      <c r="J40" s="5" t="str">
        <f aca="false">設定!$D$39&amp;""</f>
        <v>普広銀市役所</v>
      </c>
      <c r="K40" s="5" t="n">
        <f aca="false">IF(AND(H40&lt;&gt;0,IF(設定!$B$6="入金確認済のみ",C40="入金確認済",OR(C40="入金確認済",C40="受領済"))),1,0)</f>
        <v>0</v>
      </c>
      <c r="L40" s="5" t="str">
        <f aca="false">1&amp;"|"&amp;7</f>
        <v>1|7</v>
      </c>
      <c r="M40" s="5" t="n">
        <f aca="false">IF(L40=L39,M39,0)+K40</f>
        <v>0</v>
      </c>
      <c r="N40" s="5" t="n">
        <f aca="false">IF(AND(K40=1,M40=1),1,0)</f>
        <v>0</v>
      </c>
      <c r="O40" s="5" t="str">
        <f aca="false">IF(K40=1,MAX($O$5:O39)+1,"")</f>
        <v/>
      </c>
      <c r="P40" s="5" t="str">
        <f aca="false">IF(K40=1,SUM($N$6:N40),"")</f>
        <v/>
      </c>
      <c r="Q40" s="5" t="str">
        <f aca="false">IF(K40=1,SUMIFS($H$6:$H$511,$L$6:$L$511,L40,$K$6:$K$511,1),"")</f>
        <v/>
      </c>
      <c r="R40" s="78" t="str">
        <f aca="false">IF(B40="","",IF(INDEX(報告入力!$X$7:$X$696,B40)="","",INDEX(報告入力!$X$7:$X$696,B40)))</f>
        <v/>
      </c>
      <c r="S40" s="5" t="str">
        <f aca="false">設定!$C$50</f>
        <v>長期：経過的長期</v>
      </c>
    </row>
    <row r="41" customFormat="false" ht="15" hidden="false" customHeight="false" outlineLevel="0" collapsed="false">
      <c r="A41" s="5" t="str">
        <f aca="false">設定!B68</f>
        <v>監査事務局</v>
      </c>
      <c r="B41" s="5" t="n">
        <f aca="false">IFERROR(MATCH(ホーム!$C$4&amp;"|"&amp;A41,報告入力!$CG$7:$CG$696,0),"")</f>
        <v>330</v>
      </c>
      <c r="C41" s="5" t="str">
        <f aca="false">IF(B41="","",INDEX(報告入力!$C$7:$C$696,B41))</f>
        <v>未受領</v>
      </c>
      <c r="D41" s="5" t="str">
        <f aca="false">設定!$A$39</f>
        <v>長期（厚生年金保険経理）</v>
      </c>
      <c r="E41" s="5" t="str">
        <f aca="false">設定!$B$39&amp;""</f>
        <v>130</v>
      </c>
      <c r="F41" s="5" t="str">
        <f aca="false">設定!$D$46&amp;""</f>
        <v>6102102000</v>
      </c>
      <c r="G41" s="5" t="str">
        <f aca="false">設定!$E$46&amp;""</f>
        <v>標月額保険料</v>
      </c>
      <c r="H41" s="5" t="n">
        <f aca="false">IF(B41="",0,N(INDEX(報告入力!$AU$7:$AU$696,B41)))</f>
        <v>1344135</v>
      </c>
      <c r="I41" s="5" t="str">
        <f aca="false">設定!$C$39&amp;""</f>
        <v>1104001001</v>
      </c>
      <c r="J41" s="5" t="str">
        <f aca="false">設定!$D$39&amp;""</f>
        <v>普広銀市役所</v>
      </c>
      <c r="K41" s="5" t="n">
        <f aca="false">IF(AND(H41&lt;&gt;0,IF(設定!$B$6="入金確認済のみ",C41="入金確認済",OR(C41="入金確認済",C41="受領済"))),1,0)</f>
        <v>0</v>
      </c>
      <c r="L41" s="5" t="str">
        <f aca="false">1&amp;"|"&amp;8</f>
        <v>1|8</v>
      </c>
      <c r="M41" s="5" t="n">
        <f aca="false">IF(L41=L40,M40,0)+K41</f>
        <v>0</v>
      </c>
      <c r="N41" s="5" t="n">
        <f aca="false">IF(AND(K41=1,M41=1),1,0)</f>
        <v>0</v>
      </c>
      <c r="O41" s="5" t="str">
        <f aca="false">IF(K41=1,MAX($O$5:O40)+1,"")</f>
        <v/>
      </c>
      <c r="P41" s="5" t="str">
        <f aca="false">IF(K41=1,SUM($N$6:N41),"")</f>
        <v/>
      </c>
      <c r="Q41" s="5" t="str">
        <f aca="false">IF(K41=1,SUMIFS($H$6:$H$511,$L$6:$L$511,L41,$K$6:$K$511,1),"")</f>
        <v/>
      </c>
      <c r="R41" s="78" t="str">
        <f aca="false">IF(B41="","",IF(INDEX(報告入力!$X$7:$X$696,B41)="","",INDEX(報告入力!$X$7:$X$696,B41)))</f>
        <v/>
      </c>
      <c r="S41" s="5" t="str">
        <f aca="false">設定!$C$46</f>
        <v>長期：厚生年金保険料（組合員負担分）</v>
      </c>
    </row>
    <row r="42" customFormat="false" ht="15" hidden="false" customHeight="false" outlineLevel="0" collapsed="false">
      <c r="A42" s="5" t="str">
        <f aca="false">設定!B68</f>
        <v>監査事務局</v>
      </c>
      <c r="B42" s="5" t="n">
        <f aca="false">IFERROR(MATCH(ホーム!$C$4&amp;"|"&amp;A42,報告入力!$CG$7:$CG$696,0),"")</f>
        <v>330</v>
      </c>
      <c r="C42" s="5" t="str">
        <f aca="false">IF(B42="","",INDEX(報告入力!$C$7:$C$696,B42))</f>
        <v>未受領</v>
      </c>
      <c r="D42" s="5" t="str">
        <f aca="false">設定!$A$39</f>
        <v>長期（厚生年金保険経理）</v>
      </c>
      <c r="E42" s="5" t="str">
        <f aca="false">設定!$B$39&amp;""</f>
        <v>130</v>
      </c>
      <c r="F42" s="5" t="str">
        <f aca="false">設定!$D$47&amp;""</f>
        <v>2109001014</v>
      </c>
      <c r="G42" s="5" t="str">
        <f aca="false">設定!$E$47&amp;""</f>
        <v>退職標報掛金</v>
      </c>
      <c r="H42" s="5" t="n">
        <f aca="false">IF(B42="",0,N(INDEX(報告入力!$AV$7:$AV$696,B42)))</f>
        <v>110175</v>
      </c>
      <c r="I42" s="5" t="str">
        <f aca="false">設定!$C$39&amp;""</f>
        <v>1104001001</v>
      </c>
      <c r="J42" s="5" t="str">
        <f aca="false">設定!$D$39&amp;""</f>
        <v>普広銀市役所</v>
      </c>
      <c r="K42" s="5" t="n">
        <f aca="false">IF(AND(H42&lt;&gt;0,IF(設定!$B$6="入金確認済のみ",C42="入金確認済",OR(C42="入金確認済",C42="受領済"))),1,0)</f>
        <v>0</v>
      </c>
      <c r="L42" s="5" t="str">
        <f aca="false">1&amp;"|"&amp;8</f>
        <v>1|8</v>
      </c>
      <c r="M42" s="5" t="n">
        <f aca="false">IF(L42=L41,M41,0)+K42</f>
        <v>0</v>
      </c>
      <c r="N42" s="5" t="n">
        <f aca="false">IF(AND(K42=1,M42=1),1,0)</f>
        <v>0</v>
      </c>
      <c r="O42" s="5" t="str">
        <f aca="false">IF(K42=1,MAX($O$5:O41)+1,"")</f>
        <v/>
      </c>
      <c r="P42" s="5" t="str">
        <f aca="false">IF(K42=1,SUM($N$6:N42),"")</f>
        <v/>
      </c>
      <c r="Q42" s="5" t="str">
        <f aca="false">IF(K42=1,SUMIFS($H$6:$H$511,$L$6:$L$511,L42,$K$6:$K$511,1),"")</f>
        <v/>
      </c>
      <c r="R42" s="78" t="str">
        <f aca="false">IF(B42="","",IF(INDEX(報告入力!$X$7:$X$696,B42)="","",INDEX(報告入力!$X$7:$X$696,B42)))</f>
        <v/>
      </c>
      <c r="S42" s="5" t="str">
        <f aca="false">設定!$C$47</f>
        <v>長期：退職等年金掛金</v>
      </c>
    </row>
    <row r="43" customFormat="false" ht="15" hidden="false" customHeight="false" outlineLevel="0" collapsed="false">
      <c r="A43" s="5" t="str">
        <f aca="false">設定!B68</f>
        <v>監査事務局</v>
      </c>
      <c r="B43" s="5" t="n">
        <f aca="false">IFERROR(MATCH(ホーム!$C$4&amp;"|"&amp;A43,報告入力!$CG$7:$CG$696,0),"")</f>
        <v>330</v>
      </c>
      <c r="C43" s="5" t="str">
        <f aca="false">IF(B43="","",INDEX(報告入力!$C$7:$C$696,B43))</f>
        <v>未受領</v>
      </c>
      <c r="D43" s="5" t="str">
        <f aca="false">設定!$A$39</f>
        <v>長期（厚生年金保険経理）</v>
      </c>
      <c r="E43" s="5" t="str">
        <f aca="false">設定!$B$39&amp;""</f>
        <v>130</v>
      </c>
      <c r="F43" s="5" t="str">
        <f aca="false">設定!$D$48&amp;""</f>
        <v>6101002000</v>
      </c>
      <c r="G43" s="5" t="str">
        <f aca="false">設定!$E$48&amp;""</f>
        <v>負担地方公共</v>
      </c>
      <c r="H43" s="5" t="n">
        <f aca="false">IF(B43="",0,N(INDEX(報告入力!$AW$7:$AW$696,B43)))</f>
        <v>1965390</v>
      </c>
      <c r="I43" s="5" t="str">
        <f aca="false">設定!$C$39&amp;""</f>
        <v>1104001001</v>
      </c>
      <c r="J43" s="5" t="str">
        <f aca="false">設定!$D$39&amp;""</f>
        <v>普広銀市役所</v>
      </c>
      <c r="K43" s="5" t="n">
        <f aca="false">IF(AND(H43&lt;&gt;0,IF(設定!$B$6="入金確認済のみ",C43="入金確認済",OR(C43="入金確認済",C43="受領済"))),1,0)</f>
        <v>0</v>
      </c>
      <c r="L43" s="5" t="str">
        <f aca="false">1&amp;"|"&amp;8</f>
        <v>1|8</v>
      </c>
      <c r="M43" s="5" t="n">
        <f aca="false">IF(L43=L42,M42,0)+K43</f>
        <v>0</v>
      </c>
      <c r="N43" s="5" t="n">
        <f aca="false">IF(AND(K43=1,M43=1),1,0)</f>
        <v>0</v>
      </c>
      <c r="O43" s="5" t="str">
        <f aca="false">IF(K43=1,MAX($O$5:O42)+1,"")</f>
        <v/>
      </c>
      <c r="P43" s="5" t="str">
        <f aca="false">IF(K43=1,SUM($N$6:N43),"")</f>
        <v/>
      </c>
      <c r="Q43" s="5" t="str">
        <f aca="false">IF(K43=1,SUMIFS($H$6:$H$511,$L$6:$L$511,L43,$K$6:$K$511,1),"")</f>
        <v/>
      </c>
      <c r="R43" s="78" t="str">
        <f aca="false">IF(B43="","",IF(INDEX(報告入力!$X$7:$X$696,B43)="","",INDEX(報告入力!$X$7:$X$696,B43)))</f>
        <v/>
      </c>
      <c r="S43" s="5" t="str">
        <f aca="false">設定!$C$48</f>
        <v>長期：厚生年金保険料（事業主負担分）</v>
      </c>
    </row>
    <row r="44" customFormat="false" ht="15" hidden="false" customHeight="false" outlineLevel="0" collapsed="false">
      <c r="A44" s="5" t="str">
        <f aca="false">設定!B68</f>
        <v>監査事務局</v>
      </c>
      <c r="B44" s="5" t="n">
        <f aca="false">IFERROR(MATCH(ホーム!$C$4&amp;"|"&amp;A44,報告入力!$CG$7:$CG$696,0),"")</f>
        <v>330</v>
      </c>
      <c r="C44" s="5" t="str">
        <f aca="false">IF(B44="","",INDEX(報告入力!$C$7:$C$696,B44))</f>
        <v>未受領</v>
      </c>
      <c r="D44" s="5" t="str">
        <f aca="false">設定!$A$39</f>
        <v>長期（厚生年金保険経理）</v>
      </c>
      <c r="E44" s="5" t="str">
        <f aca="false">設定!$B$39&amp;""</f>
        <v>130</v>
      </c>
      <c r="F44" s="5" t="str">
        <f aca="false">設定!$D$49&amp;""</f>
        <v>2109001015</v>
      </c>
      <c r="G44" s="5" t="str">
        <f aca="false">設定!$E$49&amp;""</f>
        <v>退職負担地方</v>
      </c>
      <c r="H44" s="5" t="n">
        <f aca="false">IF(B44="",0,N(INDEX(報告入力!$AX$7:$AX$696,B44)))</f>
        <v>110175</v>
      </c>
      <c r="I44" s="5" t="str">
        <f aca="false">設定!$C$39&amp;""</f>
        <v>1104001001</v>
      </c>
      <c r="J44" s="5" t="str">
        <f aca="false">設定!$D$39&amp;""</f>
        <v>普広銀市役所</v>
      </c>
      <c r="K44" s="5" t="n">
        <f aca="false">IF(AND(H44&lt;&gt;0,IF(設定!$B$6="入金確認済のみ",C44="入金確認済",OR(C44="入金確認済",C44="受領済"))),1,0)</f>
        <v>0</v>
      </c>
      <c r="L44" s="5" t="str">
        <f aca="false">1&amp;"|"&amp;8</f>
        <v>1|8</v>
      </c>
      <c r="M44" s="5" t="n">
        <f aca="false">IF(L44=L43,M43,0)+K44</f>
        <v>0</v>
      </c>
      <c r="N44" s="5" t="n">
        <f aca="false">IF(AND(K44=1,M44=1),1,0)</f>
        <v>0</v>
      </c>
      <c r="O44" s="5" t="str">
        <f aca="false">IF(K44=1,MAX($O$5:O43)+1,"")</f>
        <v/>
      </c>
      <c r="P44" s="5" t="str">
        <f aca="false">IF(K44=1,SUM($N$6:N44),"")</f>
        <v/>
      </c>
      <c r="Q44" s="5" t="str">
        <f aca="false">IF(K44=1,SUMIFS($H$6:$H$511,$L$6:$L$511,L44,$K$6:$K$511,1),"")</f>
        <v/>
      </c>
      <c r="R44" s="78" t="str">
        <f aca="false">IF(B44="","",IF(INDEX(報告入力!$X$7:$X$696,B44)="","",INDEX(報告入力!$X$7:$X$696,B44)))</f>
        <v/>
      </c>
      <c r="S44" s="5" t="str">
        <f aca="false">設定!$C$49</f>
        <v>長期：退職等年金負担金</v>
      </c>
    </row>
    <row r="45" customFormat="false" ht="15" hidden="false" customHeight="false" outlineLevel="0" collapsed="false">
      <c r="A45" s="5" t="str">
        <f aca="false">設定!B68</f>
        <v>監査事務局</v>
      </c>
      <c r="B45" s="5" t="n">
        <f aca="false">IFERROR(MATCH(ホーム!$C$4&amp;"|"&amp;A45,報告入力!$CG$7:$CG$696,0),"")</f>
        <v>330</v>
      </c>
      <c r="C45" s="5" t="str">
        <f aca="false">IF(B45="","",INDEX(報告入力!$C$7:$C$696,B45))</f>
        <v>未受領</v>
      </c>
      <c r="D45" s="5" t="str">
        <f aca="false">設定!$A$39</f>
        <v>長期（厚生年金保険経理）</v>
      </c>
      <c r="E45" s="5" t="str">
        <f aca="false">設定!$B$39&amp;""</f>
        <v>130</v>
      </c>
      <c r="F45" s="5" t="str">
        <f aca="false">設定!$D$50&amp;""</f>
        <v>2109001017</v>
      </c>
      <c r="G45" s="5" t="str">
        <f aca="false">設定!$E$50&amp;""</f>
        <v>経過的負担金</v>
      </c>
      <c r="H45" s="5" t="n">
        <f aca="false">IF(B45="",0,N(INDEX(報告入力!$AY$7:$AY$696,B45)))</f>
        <v>1405</v>
      </c>
      <c r="I45" s="5" t="str">
        <f aca="false">設定!$C$39&amp;""</f>
        <v>1104001001</v>
      </c>
      <c r="J45" s="5" t="str">
        <f aca="false">設定!$D$39&amp;""</f>
        <v>普広銀市役所</v>
      </c>
      <c r="K45" s="5" t="n">
        <f aca="false">IF(AND(H45&lt;&gt;0,IF(設定!$B$6="入金確認済のみ",C45="入金確認済",OR(C45="入金確認済",C45="受領済"))),1,0)</f>
        <v>0</v>
      </c>
      <c r="L45" s="5" t="str">
        <f aca="false">1&amp;"|"&amp;8</f>
        <v>1|8</v>
      </c>
      <c r="M45" s="5" t="n">
        <f aca="false">IF(L45=L44,M44,0)+K45</f>
        <v>0</v>
      </c>
      <c r="N45" s="5" t="n">
        <f aca="false">IF(AND(K45=1,M45=1),1,0)</f>
        <v>0</v>
      </c>
      <c r="O45" s="5" t="str">
        <f aca="false">IF(K45=1,MAX($O$5:O44)+1,"")</f>
        <v/>
      </c>
      <c r="P45" s="5" t="str">
        <f aca="false">IF(K45=1,SUM($N$6:N45),"")</f>
        <v/>
      </c>
      <c r="Q45" s="5" t="str">
        <f aca="false">IF(K45=1,SUMIFS($H$6:$H$511,$L$6:$L$511,L45,$K$6:$K$511,1),"")</f>
        <v/>
      </c>
      <c r="R45" s="78" t="str">
        <f aca="false">IF(B45="","",IF(INDEX(報告入力!$X$7:$X$696,B45)="","",INDEX(報告入力!$X$7:$X$696,B45)))</f>
        <v/>
      </c>
      <c r="S45" s="5" t="str">
        <f aca="false">設定!$C$50</f>
        <v>長期：経過的長期</v>
      </c>
    </row>
    <row r="46" customFormat="false" ht="15" hidden="false" customHeight="false" outlineLevel="0" collapsed="false">
      <c r="A46" s="5" t="str">
        <f aca="false">設定!B69</f>
        <v>農業委員会</v>
      </c>
      <c r="B46" s="5" t="n">
        <f aca="false">IFERROR(MATCH(ホーム!$C$4&amp;"|"&amp;A46,報告入力!$CG$7:$CG$696,0),"")</f>
        <v>331</v>
      </c>
      <c r="C46" s="5" t="str">
        <f aca="false">IF(B46="","",INDEX(報告入力!$C$7:$C$696,B46))</f>
        <v>未受領</v>
      </c>
      <c r="D46" s="5" t="str">
        <f aca="false">設定!$A$39</f>
        <v>長期（厚生年金保険経理）</v>
      </c>
      <c r="E46" s="5" t="str">
        <f aca="false">設定!$B$39&amp;""</f>
        <v>130</v>
      </c>
      <c r="F46" s="5" t="str">
        <f aca="false">設定!$D$46&amp;""</f>
        <v>6102102000</v>
      </c>
      <c r="G46" s="5" t="str">
        <f aca="false">設定!$E$46&amp;""</f>
        <v>標月額保険料</v>
      </c>
      <c r="H46" s="5" t="n">
        <f aca="false">IF(B46="",0,N(INDEX(報告入力!$AU$7:$AU$696,B46)))</f>
        <v>382470</v>
      </c>
      <c r="I46" s="5" t="str">
        <f aca="false">設定!$C$39&amp;""</f>
        <v>1104001001</v>
      </c>
      <c r="J46" s="5" t="str">
        <f aca="false">設定!$D$39&amp;""</f>
        <v>普広銀市役所</v>
      </c>
      <c r="K46" s="5" t="n">
        <f aca="false">IF(AND(H46&lt;&gt;0,IF(設定!$B$6="入金確認済のみ",C46="入金確認済",OR(C46="入金確認済",C46="受領済"))),1,0)</f>
        <v>0</v>
      </c>
      <c r="L46" s="5" t="str">
        <f aca="false">1&amp;"|"&amp;9</f>
        <v>1|9</v>
      </c>
      <c r="M46" s="5" t="n">
        <f aca="false">IF(L46=L45,M45,0)+K46</f>
        <v>0</v>
      </c>
      <c r="N46" s="5" t="n">
        <f aca="false">IF(AND(K46=1,M46=1),1,0)</f>
        <v>0</v>
      </c>
      <c r="O46" s="5" t="str">
        <f aca="false">IF(K46=1,MAX($O$5:O45)+1,"")</f>
        <v/>
      </c>
      <c r="P46" s="5" t="str">
        <f aca="false">IF(K46=1,SUM($N$6:N46),"")</f>
        <v/>
      </c>
      <c r="Q46" s="5" t="str">
        <f aca="false">IF(K46=1,SUMIFS($H$6:$H$511,$L$6:$L$511,L46,$K$6:$K$511,1),"")</f>
        <v/>
      </c>
      <c r="R46" s="78" t="str">
        <f aca="false">IF(B46="","",IF(INDEX(報告入力!$X$7:$X$696,B46)="","",INDEX(報告入力!$X$7:$X$696,B46)))</f>
        <v/>
      </c>
      <c r="S46" s="5" t="str">
        <f aca="false">設定!$C$46</f>
        <v>長期：厚生年金保険料（組合員負担分）</v>
      </c>
    </row>
    <row r="47" customFormat="false" ht="15" hidden="false" customHeight="false" outlineLevel="0" collapsed="false">
      <c r="A47" s="5" t="str">
        <f aca="false">設定!B69</f>
        <v>農業委員会</v>
      </c>
      <c r="B47" s="5" t="n">
        <f aca="false">IFERROR(MATCH(ホーム!$C$4&amp;"|"&amp;A47,報告入力!$CG$7:$CG$696,0),"")</f>
        <v>331</v>
      </c>
      <c r="C47" s="5" t="str">
        <f aca="false">IF(B47="","",INDEX(報告入力!$C$7:$C$696,B47))</f>
        <v>未受領</v>
      </c>
      <c r="D47" s="5" t="str">
        <f aca="false">設定!$A$39</f>
        <v>長期（厚生年金保険経理）</v>
      </c>
      <c r="E47" s="5" t="str">
        <f aca="false">設定!$B$39&amp;""</f>
        <v>130</v>
      </c>
      <c r="F47" s="5" t="str">
        <f aca="false">設定!$D$47&amp;""</f>
        <v>2109001014</v>
      </c>
      <c r="G47" s="5" t="str">
        <f aca="false">設定!$E$47&amp;""</f>
        <v>退職標報掛金</v>
      </c>
      <c r="H47" s="5" t="n">
        <f aca="false">IF(B47="",0,N(INDEX(報告入力!$AV$7:$AV$696,B47)))</f>
        <v>31350</v>
      </c>
      <c r="I47" s="5" t="str">
        <f aca="false">設定!$C$39&amp;""</f>
        <v>1104001001</v>
      </c>
      <c r="J47" s="5" t="str">
        <f aca="false">設定!$D$39&amp;""</f>
        <v>普広銀市役所</v>
      </c>
      <c r="K47" s="5" t="n">
        <f aca="false">IF(AND(H47&lt;&gt;0,IF(設定!$B$6="入金確認済のみ",C47="入金確認済",OR(C47="入金確認済",C47="受領済"))),1,0)</f>
        <v>0</v>
      </c>
      <c r="L47" s="5" t="str">
        <f aca="false">1&amp;"|"&amp;9</f>
        <v>1|9</v>
      </c>
      <c r="M47" s="5" t="n">
        <f aca="false">IF(L47=L46,M46,0)+K47</f>
        <v>0</v>
      </c>
      <c r="N47" s="5" t="n">
        <f aca="false">IF(AND(K47=1,M47=1),1,0)</f>
        <v>0</v>
      </c>
      <c r="O47" s="5" t="str">
        <f aca="false">IF(K47=1,MAX($O$5:O46)+1,"")</f>
        <v/>
      </c>
      <c r="P47" s="5" t="str">
        <f aca="false">IF(K47=1,SUM($N$6:N47),"")</f>
        <v/>
      </c>
      <c r="Q47" s="5" t="str">
        <f aca="false">IF(K47=1,SUMIFS($H$6:$H$511,$L$6:$L$511,L47,$K$6:$K$511,1),"")</f>
        <v/>
      </c>
      <c r="R47" s="78" t="str">
        <f aca="false">IF(B47="","",IF(INDEX(報告入力!$X$7:$X$696,B47)="","",INDEX(報告入力!$X$7:$X$696,B47)))</f>
        <v/>
      </c>
      <c r="S47" s="5" t="str">
        <f aca="false">設定!$C$47</f>
        <v>長期：退職等年金掛金</v>
      </c>
    </row>
    <row r="48" customFormat="false" ht="15" hidden="false" customHeight="false" outlineLevel="0" collapsed="false">
      <c r="A48" s="5" t="str">
        <f aca="false">設定!B69</f>
        <v>農業委員会</v>
      </c>
      <c r="B48" s="5" t="n">
        <f aca="false">IFERROR(MATCH(ホーム!$C$4&amp;"|"&amp;A48,報告入力!$CG$7:$CG$696,0),"")</f>
        <v>331</v>
      </c>
      <c r="C48" s="5" t="str">
        <f aca="false">IF(B48="","",INDEX(報告入力!$C$7:$C$696,B48))</f>
        <v>未受領</v>
      </c>
      <c r="D48" s="5" t="str">
        <f aca="false">設定!$A$39</f>
        <v>長期（厚生年金保険経理）</v>
      </c>
      <c r="E48" s="5" t="str">
        <f aca="false">設定!$B$39&amp;""</f>
        <v>130</v>
      </c>
      <c r="F48" s="5" t="str">
        <f aca="false">設定!$D$48&amp;""</f>
        <v>6101002000</v>
      </c>
      <c r="G48" s="5" t="str">
        <f aca="false">設定!$E$48&amp;""</f>
        <v>負担地方公共</v>
      </c>
      <c r="H48" s="5" t="n">
        <f aca="false">IF(B48="",0,N(INDEX(報告入力!$AW$7:$AW$696,B48)))</f>
        <v>555940</v>
      </c>
      <c r="I48" s="5" t="str">
        <f aca="false">設定!$C$39&amp;""</f>
        <v>1104001001</v>
      </c>
      <c r="J48" s="5" t="str">
        <f aca="false">設定!$D$39&amp;""</f>
        <v>普広銀市役所</v>
      </c>
      <c r="K48" s="5" t="n">
        <f aca="false">IF(AND(H48&lt;&gt;0,IF(設定!$B$6="入金確認済のみ",C48="入金確認済",OR(C48="入金確認済",C48="受領済"))),1,0)</f>
        <v>0</v>
      </c>
      <c r="L48" s="5" t="str">
        <f aca="false">1&amp;"|"&amp;9</f>
        <v>1|9</v>
      </c>
      <c r="M48" s="5" t="n">
        <f aca="false">IF(L48=L47,M47,0)+K48</f>
        <v>0</v>
      </c>
      <c r="N48" s="5" t="n">
        <f aca="false">IF(AND(K48=1,M48=1),1,0)</f>
        <v>0</v>
      </c>
      <c r="O48" s="5" t="str">
        <f aca="false">IF(K48=1,MAX($O$5:O47)+1,"")</f>
        <v/>
      </c>
      <c r="P48" s="5" t="str">
        <f aca="false">IF(K48=1,SUM($N$6:N48),"")</f>
        <v/>
      </c>
      <c r="Q48" s="5" t="str">
        <f aca="false">IF(K48=1,SUMIFS($H$6:$H$511,$L$6:$L$511,L48,$K$6:$K$511,1),"")</f>
        <v/>
      </c>
      <c r="R48" s="78" t="str">
        <f aca="false">IF(B48="","",IF(INDEX(報告入力!$X$7:$X$696,B48)="","",INDEX(報告入力!$X$7:$X$696,B48)))</f>
        <v/>
      </c>
      <c r="S48" s="5" t="str">
        <f aca="false">設定!$C$48</f>
        <v>長期：厚生年金保険料（事業主負担分）</v>
      </c>
    </row>
    <row r="49" customFormat="false" ht="15" hidden="false" customHeight="false" outlineLevel="0" collapsed="false">
      <c r="A49" s="5" t="str">
        <f aca="false">設定!B69</f>
        <v>農業委員会</v>
      </c>
      <c r="B49" s="5" t="n">
        <f aca="false">IFERROR(MATCH(ホーム!$C$4&amp;"|"&amp;A49,報告入力!$CG$7:$CG$696,0),"")</f>
        <v>331</v>
      </c>
      <c r="C49" s="5" t="str">
        <f aca="false">IF(B49="","",INDEX(報告入力!$C$7:$C$696,B49))</f>
        <v>未受領</v>
      </c>
      <c r="D49" s="5" t="str">
        <f aca="false">設定!$A$39</f>
        <v>長期（厚生年金保険経理）</v>
      </c>
      <c r="E49" s="5" t="str">
        <f aca="false">設定!$B$39&amp;""</f>
        <v>130</v>
      </c>
      <c r="F49" s="5" t="str">
        <f aca="false">設定!$D$49&amp;""</f>
        <v>2109001015</v>
      </c>
      <c r="G49" s="5" t="str">
        <f aca="false">設定!$E$49&amp;""</f>
        <v>退職負担地方</v>
      </c>
      <c r="H49" s="5" t="n">
        <f aca="false">IF(B49="",0,N(INDEX(報告入力!$AX$7:$AX$696,B49)))</f>
        <v>31350</v>
      </c>
      <c r="I49" s="5" t="str">
        <f aca="false">設定!$C$39&amp;""</f>
        <v>1104001001</v>
      </c>
      <c r="J49" s="5" t="str">
        <f aca="false">設定!$D$39&amp;""</f>
        <v>普広銀市役所</v>
      </c>
      <c r="K49" s="5" t="n">
        <f aca="false">IF(AND(H49&lt;&gt;0,IF(設定!$B$6="入金確認済のみ",C49="入金確認済",OR(C49="入金確認済",C49="受領済"))),1,0)</f>
        <v>0</v>
      </c>
      <c r="L49" s="5" t="str">
        <f aca="false">1&amp;"|"&amp;9</f>
        <v>1|9</v>
      </c>
      <c r="M49" s="5" t="n">
        <f aca="false">IF(L49=L48,M48,0)+K49</f>
        <v>0</v>
      </c>
      <c r="N49" s="5" t="n">
        <f aca="false">IF(AND(K49=1,M49=1),1,0)</f>
        <v>0</v>
      </c>
      <c r="O49" s="5" t="str">
        <f aca="false">IF(K49=1,MAX($O$5:O48)+1,"")</f>
        <v/>
      </c>
      <c r="P49" s="5" t="str">
        <f aca="false">IF(K49=1,SUM($N$6:N49),"")</f>
        <v/>
      </c>
      <c r="Q49" s="5" t="str">
        <f aca="false">IF(K49=1,SUMIFS($H$6:$H$511,$L$6:$L$511,L49,$K$6:$K$511,1),"")</f>
        <v/>
      </c>
      <c r="R49" s="78" t="str">
        <f aca="false">IF(B49="","",IF(INDEX(報告入力!$X$7:$X$696,B49)="","",INDEX(報告入力!$X$7:$X$696,B49)))</f>
        <v/>
      </c>
      <c r="S49" s="5" t="str">
        <f aca="false">設定!$C$49</f>
        <v>長期：退職等年金負担金</v>
      </c>
    </row>
    <row r="50" customFormat="false" ht="15" hidden="false" customHeight="false" outlineLevel="0" collapsed="false">
      <c r="A50" s="5" t="str">
        <f aca="false">設定!B69</f>
        <v>農業委員会</v>
      </c>
      <c r="B50" s="5" t="n">
        <f aca="false">IFERROR(MATCH(ホーム!$C$4&amp;"|"&amp;A50,報告入力!$CG$7:$CG$696,0),"")</f>
        <v>331</v>
      </c>
      <c r="C50" s="5" t="str">
        <f aca="false">IF(B50="","",INDEX(報告入力!$C$7:$C$696,B50))</f>
        <v>未受領</v>
      </c>
      <c r="D50" s="5" t="str">
        <f aca="false">設定!$A$39</f>
        <v>長期（厚生年金保険経理）</v>
      </c>
      <c r="E50" s="5" t="str">
        <f aca="false">設定!$B$39&amp;""</f>
        <v>130</v>
      </c>
      <c r="F50" s="5" t="str">
        <f aca="false">設定!$D$50&amp;""</f>
        <v>2109001017</v>
      </c>
      <c r="G50" s="5" t="str">
        <f aca="false">設定!$E$50&amp;""</f>
        <v>経過的負担金</v>
      </c>
      <c r="H50" s="5" t="n">
        <f aca="false">IF(B50="",0,N(INDEX(報告入力!$AY$7:$AY$696,B50)))</f>
        <v>392</v>
      </c>
      <c r="I50" s="5" t="str">
        <f aca="false">設定!$C$39&amp;""</f>
        <v>1104001001</v>
      </c>
      <c r="J50" s="5" t="str">
        <f aca="false">設定!$D$39&amp;""</f>
        <v>普広銀市役所</v>
      </c>
      <c r="K50" s="5" t="n">
        <f aca="false">IF(AND(H50&lt;&gt;0,IF(設定!$B$6="入金確認済のみ",C50="入金確認済",OR(C50="入金確認済",C50="受領済"))),1,0)</f>
        <v>0</v>
      </c>
      <c r="L50" s="5" t="str">
        <f aca="false">1&amp;"|"&amp;9</f>
        <v>1|9</v>
      </c>
      <c r="M50" s="5" t="n">
        <f aca="false">IF(L50=L49,M49,0)+K50</f>
        <v>0</v>
      </c>
      <c r="N50" s="5" t="n">
        <f aca="false">IF(AND(K50=1,M50=1),1,0)</f>
        <v>0</v>
      </c>
      <c r="O50" s="5" t="str">
        <f aca="false">IF(K50=1,MAX($O$5:O49)+1,"")</f>
        <v/>
      </c>
      <c r="P50" s="5" t="str">
        <f aca="false">IF(K50=1,SUM($N$6:N50),"")</f>
        <v/>
      </c>
      <c r="Q50" s="5" t="str">
        <f aca="false">IF(K50=1,SUMIFS($H$6:$H$511,$L$6:$L$511,L50,$K$6:$K$511,1),"")</f>
        <v/>
      </c>
      <c r="R50" s="78" t="str">
        <f aca="false">IF(B50="","",IF(INDEX(報告入力!$X$7:$X$696,B50)="","",INDEX(報告入力!$X$7:$X$696,B50)))</f>
        <v/>
      </c>
      <c r="S50" s="5" t="str">
        <f aca="false">設定!$C$50</f>
        <v>長期：経過的長期</v>
      </c>
    </row>
    <row r="51" customFormat="false" ht="15" hidden="false" customHeight="false" outlineLevel="0" collapsed="false">
      <c r="A51" s="5" t="str">
        <f aca="false">設定!B70</f>
        <v>水道局</v>
      </c>
      <c r="B51" s="5" t="n">
        <f aca="false">IFERROR(MATCH(ホーム!$C$4&amp;"|"&amp;A51,報告入力!$CG$7:$CG$696,0),"")</f>
        <v>332</v>
      </c>
      <c r="C51" s="5" t="str">
        <f aca="false">IF(B51="","",INDEX(報告入力!$C$7:$C$696,B51))</f>
        <v>未受領</v>
      </c>
      <c r="D51" s="5" t="str">
        <f aca="false">設定!$A$39</f>
        <v>長期（厚生年金保険経理）</v>
      </c>
      <c r="E51" s="5" t="str">
        <f aca="false">設定!$B$39&amp;""</f>
        <v>130</v>
      </c>
      <c r="F51" s="5" t="str">
        <f aca="false">設定!$D$46&amp;""</f>
        <v>6102102000</v>
      </c>
      <c r="G51" s="5" t="str">
        <f aca="false">設定!$E$46&amp;""</f>
        <v>標月額保険料</v>
      </c>
      <c r="H51" s="5" t="n">
        <f aca="false">IF(B51="",0,N(INDEX(報告入力!$AU$7:$AU$696,B51)))</f>
        <v>22426650</v>
      </c>
      <c r="I51" s="5" t="str">
        <f aca="false">設定!$C$39&amp;""</f>
        <v>1104001001</v>
      </c>
      <c r="J51" s="5" t="str">
        <f aca="false">設定!$D$39&amp;""</f>
        <v>普広銀市役所</v>
      </c>
      <c r="K51" s="5" t="n">
        <f aca="false">IF(AND(H51&lt;&gt;0,IF(設定!$B$6="入金確認済のみ",C51="入金確認済",OR(C51="入金確認済",C51="受領済"))),1,0)</f>
        <v>0</v>
      </c>
      <c r="L51" s="5" t="str">
        <f aca="false">1&amp;"|"&amp;10</f>
        <v>1|10</v>
      </c>
      <c r="M51" s="5" t="n">
        <f aca="false">IF(L51=L50,M50,0)+K51</f>
        <v>0</v>
      </c>
      <c r="N51" s="5" t="n">
        <f aca="false">IF(AND(K51=1,M51=1),1,0)</f>
        <v>0</v>
      </c>
      <c r="O51" s="5" t="str">
        <f aca="false">IF(K51=1,MAX($O$5:O50)+1,"")</f>
        <v/>
      </c>
      <c r="P51" s="5" t="str">
        <f aca="false">IF(K51=1,SUM($N$6:N51),"")</f>
        <v/>
      </c>
      <c r="Q51" s="5" t="str">
        <f aca="false">IF(K51=1,SUMIFS($H$6:$H$511,$L$6:$L$511,L51,$K$6:$K$511,1),"")</f>
        <v/>
      </c>
      <c r="R51" s="78" t="str">
        <f aca="false">IF(B51="","",IF(INDEX(報告入力!$X$7:$X$696,B51)="","",INDEX(報告入力!$X$7:$X$696,B51)))</f>
        <v/>
      </c>
      <c r="S51" s="5" t="str">
        <f aca="false">設定!$C$46</f>
        <v>長期：厚生年金保険料（組合員負担分）</v>
      </c>
    </row>
    <row r="52" customFormat="false" ht="15" hidden="false" customHeight="false" outlineLevel="0" collapsed="false">
      <c r="A52" s="5" t="str">
        <f aca="false">設定!B70</f>
        <v>水道局</v>
      </c>
      <c r="B52" s="5" t="n">
        <f aca="false">IFERROR(MATCH(ホーム!$C$4&amp;"|"&amp;A52,報告入力!$CG$7:$CG$696,0),"")</f>
        <v>332</v>
      </c>
      <c r="C52" s="5" t="str">
        <f aca="false">IF(B52="","",INDEX(報告入力!$C$7:$C$696,B52))</f>
        <v>未受領</v>
      </c>
      <c r="D52" s="5" t="str">
        <f aca="false">設定!$A$39</f>
        <v>長期（厚生年金保険経理）</v>
      </c>
      <c r="E52" s="5" t="str">
        <f aca="false">設定!$B$39&amp;""</f>
        <v>130</v>
      </c>
      <c r="F52" s="5" t="str">
        <f aca="false">設定!$D$47&amp;""</f>
        <v>2109001014</v>
      </c>
      <c r="G52" s="5" t="str">
        <f aca="false">設定!$E$47&amp;""</f>
        <v>退職標報掛金</v>
      </c>
      <c r="H52" s="5" t="n">
        <f aca="false">IF(B52="",0,N(INDEX(報告入力!$AV$7:$AV$696,B52)))</f>
        <v>1838250</v>
      </c>
      <c r="I52" s="5" t="str">
        <f aca="false">設定!$C$39&amp;""</f>
        <v>1104001001</v>
      </c>
      <c r="J52" s="5" t="str">
        <f aca="false">設定!$D$39&amp;""</f>
        <v>普広銀市役所</v>
      </c>
      <c r="K52" s="5" t="n">
        <f aca="false">IF(AND(H52&lt;&gt;0,IF(設定!$B$6="入金確認済のみ",C52="入金確認済",OR(C52="入金確認済",C52="受領済"))),1,0)</f>
        <v>0</v>
      </c>
      <c r="L52" s="5" t="str">
        <f aca="false">1&amp;"|"&amp;10</f>
        <v>1|10</v>
      </c>
      <c r="M52" s="5" t="n">
        <f aca="false">IF(L52=L51,M51,0)+K52</f>
        <v>0</v>
      </c>
      <c r="N52" s="5" t="n">
        <f aca="false">IF(AND(K52=1,M52=1),1,0)</f>
        <v>0</v>
      </c>
      <c r="O52" s="5" t="str">
        <f aca="false">IF(K52=1,MAX($O$5:O51)+1,"")</f>
        <v/>
      </c>
      <c r="P52" s="5" t="str">
        <f aca="false">IF(K52=1,SUM($N$6:N52),"")</f>
        <v/>
      </c>
      <c r="Q52" s="5" t="str">
        <f aca="false">IF(K52=1,SUMIFS($H$6:$H$511,$L$6:$L$511,L52,$K$6:$K$511,1),"")</f>
        <v/>
      </c>
      <c r="R52" s="78" t="str">
        <f aca="false">IF(B52="","",IF(INDEX(報告入力!$X$7:$X$696,B52)="","",INDEX(報告入力!$X$7:$X$696,B52)))</f>
        <v/>
      </c>
      <c r="S52" s="5" t="str">
        <f aca="false">設定!$C$47</f>
        <v>長期：退職等年金掛金</v>
      </c>
    </row>
    <row r="53" customFormat="false" ht="15" hidden="false" customHeight="false" outlineLevel="0" collapsed="false">
      <c r="A53" s="5" t="str">
        <f aca="false">設定!B70</f>
        <v>水道局</v>
      </c>
      <c r="B53" s="5" t="n">
        <f aca="false">IFERROR(MATCH(ホーム!$C$4&amp;"|"&amp;A53,報告入力!$CG$7:$CG$696,0),"")</f>
        <v>332</v>
      </c>
      <c r="C53" s="5" t="str">
        <f aca="false">IF(B53="","",INDEX(報告入力!$C$7:$C$696,B53))</f>
        <v>未受領</v>
      </c>
      <c r="D53" s="5" t="str">
        <f aca="false">設定!$A$39</f>
        <v>長期（厚生年金保険経理）</v>
      </c>
      <c r="E53" s="5" t="str">
        <f aca="false">設定!$B$39&amp;""</f>
        <v>130</v>
      </c>
      <c r="F53" s="5" t="str">
        <f aca="false">設定!$D$48&amp;""</f>
        <v>6101002000</v>
      </c>
      <c r="G53" s="5" t="str">
        <f aca="false">設定!$E$48&amp;""</f>
        <v>負担地方公共</v>
      </c>
      <c r="H53" s="5" t="n">
        <f aca="false">IF(B53="",0,N(INDEX(報告入力!$AW$7:$AW$696,B53)))</f>
        <v>32729025</v>
      </c>
      <c r="I53" s="5" t="str">
        <f aca="false">設定!$C$39&amp;""</f>
        <v>1104001001</v>
      </c>
      <c r="J53" s="5" t="str">
        <f aca="false">設定!$D$39&amp;""</f>
        <v>普広銀市役所</v>
      </c>
      <c r="K53" s="5" t="n">
        <f aca="false">IF(AND(H53&lt;&gt;0,IF(設定!$B$6="入金確認済のみ",C53="入金確認済",OR(C53="入金確認済",C53="受領済"))),1,0)</f>
        <v>0</v>
      </c>
      <c r="L53" s="5" t="str">
        <f aca="false">1&amp;"|"&amp;10</f>
        <v>1|10</v>
      </c>
      <c r="M53" s="5" t="n">
        <f aca="false">IF(L53=L52,M52,0)+K53</f>
        <v>0</v>
      </c>
      <c r="N53" s="5" t="n">
        <f aca="false">IF(AND(K53=1,M53=1),1,0)</f>
        <v>0</v>
      </c>
      <c r="O53" s="5" t="str">
        <f aca="false">IF(K53=1,MAX($O$5:O52)+1,"")</f>
        <v/>
      </c>
      <c r="P53" s="5" t="str">
        <f aca="false">IF(K53=1,SUM($N$6:N53),"")</f>
        <v/>
      </c>
      <c r="Q53" s="5" t="str">
        <f aca="false">IF(K53=1,SUMIFS($H$6:$H$511,$L$6:$L$511,L53,$K$6:$K$511,1),"")</f>
        <v/>
      </c>
      <c r="R53" s="78" t="str">
        <f aca="false">IF(B53="","",IF(INDEX(報告入力!$X$7:$X$696,B53)="","",INDEX(報告入力!$X$7:$X$696,B53)))</f>
        <v/>
      </c>
      <c r="S53" s="5" t="str">
        <f aca="false">設定!$C$48</f>
        <v>長期：厚生年金保険料（事業主負担分）</v>
      </c>
    </row>
    <row r="54" customFormat="false" ht="15" hidden="false" customHeight="false" outlineLevel="0" collapsed="false">
      <c r="A54" s="5" t="str">
        <f aca="false">設定!B70</f>
        <v>水道局</v>
      </c>
      <c r="B54" s="5" t="n">
        <f aca="false">IFERROR(MATCH(ホーム!$C$4&amp;"|"&amp;A54,報告入力!$CG$7:$CG$696,0),"")</f>
        <v>332</v>
      </c>
      <c r="C54" s="5" t="str">
        <f aca="false">IF(B54="","",INDEX(報告入力!$C$7:$C$696,B54))</f>
        <v>未受領</v>
      </c>
      <c r="D54" s="5" t="str">
        <f aca="false">設定!$A$39</f>
        <v>長期（厚生年金保険経理）</v>
      </c>
      <c r="E54" s="5" t="str">
        <f aca="false">設定!$B$39&amp;""</f>
        <v>130</v>
      </c>
      <c r="F54" s="5" t="str">
        <f aca="false">設定!$D$49&amp;""</f>
        <v>2109001015</v>
      </c>
      <c r="G54" s="5" t="str">
        <f aca="false">設定!$E$49&amp;""</f>
        <v>退職負担地方</v>
      </c>
      <c r="H54" s="5" t="n">
        <f aca="false">IF(B54="",0,N(INDEX(報告入力!$AX$7:$AX$696,B54)))</f>
        <v>1838250</v>
      </c>
      <c r="I54" s="5" t="str">
        <f aca="false">設定!$C$39&amp;""</f>
        <v>1104001001</v>
      </c>
      <c r="J54" s="5" t="str">
        <f aca="false">設定!$D$39&amp;""</f>
        <v>普広銀市役所</v>
      </c>
      <c r="K54" s="5" t="n">
        <f aca="false">IF(AND(H54&lt;&gt;0,IF(設定!$B$6="入金確認済のみ",C54="入金確認済",OR(C54="入金確認済",C54="受領済"))),1,0)</f>
        <v>0</v>
      </c>
      <c r="L54" s="5" t="str">
        <f aca="false">1&amp;"|"&amp;10</f>
        <v>1|10</v>
      </c>
      <c r="M54" s="5" t="n">
        <f aca="false">IF(L54=L53,M53,0)+K54</f>
        <v>0</v>
      </c>
      <c r="N54" s="5" t="n">
        <f aca="false">IF(AND(K54=1,M54=1),1,0)</f>
        <v>0</v>
      </c>
      <c r="O54" s="5" t="str">
        <f aca="false">IF(K54=1,MAX($O$5:O53)+1,"")</f>
        <v/>
      </c>
      <c r="P54" s="5" t="str">
        <f aca="false">IF(K54=1,SUM($N$6:N54),"")</f>
        <v/>
      </c>
      <c r="Q54" s="5" t="str">
        <f aca="false">IF(K54=1,SUMIFS($H$6:$H$511,$L$6:$L$511,L54,$K$6:$K$511,1),"")</f>
        <v/>
      </c>
      <c r="R54" s="78" t="str">
        <f aca="false">IF(B54="","",IF(INDEX(報告入力!$X$7:$X$696,B54)="","",INDEX(報告入力!$X$7:$X$696,B54)))</f>
        <v/>
      </c>
      <c r="S54" s="5" t="str">
        <f aca="false">設定!$C$49</f>
        <v>長期：退職等年金負担金</v>
      </c>
    </row>
    <row r="55" customFormat="false" ht="15" hidden="false" customHeight="false" outlineLevel="0" collapsed="false">
      <c r="A55" s="5" t="str">
        <f aca="false">設定!B70</f>
        <v>水道局</v>
      </c>
      <c r="B55" s="5" t="n">
        <f aca="false">IFERROR(MATCH(ホーム!$C$4&amp;"|"&amp;A55,報告入力!$CG$7:$CG$696,0),"")</f>
        <v>332</v>
      </c>
      <c r="C55" s="5" t="str">
        <f aca="false">IF(B55="","",INDEX(報告入力!$C$7:$C$696,B55))</f>
        <v>未受領</v>
      </c>
      <c r="D55" s="5" t="str">
        <f aca="false">設定!$A$39</f>
        <v>長期（厚生年金保険経理）</v>
      </c>
      <c r="E55" s="5" t="str">
        <f aca="false">設定!$B$39&amp;""</f>
        <v>130</v>
      </c>
      <c r="F55" s="5" t="str">
        <f aca="false">設定!$D$50&amp;""</f>
        <v>2109001017</v>
      </c>
      <c r="G55" s="5" t="str">
        <f aca="false">設定!$E$50&amp;""</f>
        <v>経過的負担金</v>
      </c>
      <c r="H55" s="5" t="n">
        <f aca="false">IF(B55="",0,N(INDEX(報告入力!$AY$7:$AY$696,B55)))</f>
        <v>23304</v>
      </c>
      <c r="I55" s="5" t="str">
        <f aca="false">設定!$C$39&amp;""</f>
        <v>1104001001</v>
      </c>
      <c r="J55" s="5" t="str">
        <f aca="false">設定!$D$39&amp;""</f>
        <v>普広銀市役所</v>
      </c>
      <c r="K55" s="5" t="n">
        <f aca="false">IF(AND(H55&lt;&gt;0,IF(設定!$B$6="入金確認済のみ",C55="入金確認済",OR(C55="入金確認済",C55="受領済"))),1,0)</f>
        <v>0</v>
      </c>
      <c r="L55" s="5" t="str">
        <f aca="false">1&amp;"|"&amp;10</f>
        <v>1|10</v>
      </c>
      <c r="M55" s="5" t="n">
        <f aca="false">IF(L55=L54,M54,0)+K55</f>
        <v>0</v>
      </c>
      <c r="N55" s="5" t="n">
        <f aca="false">IF(AND(K55=1,M55=1),1,0)</f>
        <v>0</v>
      </c>
      <c r="O55" s="5" t="str">
        <f aca="false">IF(K55=1,MAX($O$5:O54)+1,"")</f>
        <v/>
      </c>
      <c r="P55" s="5" t="str">
        <f aca="false">IF(K55=1,SUM($N$6:N55),"")</f>
        <v/>
      </c>
      <c r="Q55" s="5" t="str">
        <f aca="false">IF(K55=1,SUMIFS($H$6:$H$511,$L$6:$L$511,L55,$K$6:$K$511,1),"")</f>
        <v/>
      </c>
      <c r="R55" s="78" t="str">
        <f aca="false">IF(B55="","",IF(INDEX(報告入力!$X$7:$X$696,B55)="","",INDEX(報告入力!$X$7:$X$696,B55)))</f>
        <v/>
      </c>
      <c r="S55" s="5" t="str">
        <f aca="false">設定!$C$50</f>
        <v>長期：経過的長期</v>
      </c>
    </row>
    <row r="56" customFormat="false" ht="15" hidden="false" customHeight="false" outlineLevel="0" collapsed="false">
      <c r="A56" s="5" t="str">
        <f aca="false">設定!B71</f>
        <v>医療政策課(安芸市民)</v>
      </c>
      <c r="B56" s="5" t="n">
        <f aca="false">IFERROR(MATCH(ホーム!$C$4&amp;"|"&amp;A56,報告入力!$CG$7:$CG$696,0),"")</f>
        <v>333</v>
      </c>
      <c r="C56" s="5" t="str">
        <f aca="false">IF(B56="","",INDEX(報告入力!$C$7:$C$696,B56))</f>
        <v>未受領</v>
      </c>
      <c r="D56" s="5" t="str">
        <f aca="false">設定!$A$39</f>
        <v>長期（厚生年金保険経理）</v>
      </c>
      <c r="E56" s="5" t="str">
        <f aca="false">設定!$B$39&amp;""</f>
        <v>130</v>
      </c>
      <c r="F56" s="5" t="str">
        <f aca="false">設定!$D$46&amp;""</f>
        <v>6102102000</v>
      </c>
      <c r="G56" s="5" t="str">
        <f aca="false">設定!$E$46&amp;""</f>
        <v>標月額保険料</v>
      </c>
      <c r="H56" s="5" t="n">
        <f aca="false">IF(B56="",0,N(INDEX(報告入力!$AU$7:$AU$696,B56)))</f>
        <v>48495</v>
      </c>
      <c r="I56" s="5" t="str">
        <f aca="false">設定!$C$39&amp;""</f>
        <v>1104001001</v>
      </c>
      <c r="J56" s="5" t="str">
        <f aca="false">設定!$D$39&amp;""</f>
        <v>普広銀市役所</v>
      </c>
      <c r="K56" s="5" t="n">
        <f aca="false">IF(AND(H56&lt;&gt;0,IF(設定!$B$6="入金確認済のみ",C56="入金確認済",OR(C56="入金確認済",C56="受領済"))),1,0)</f>
        <v>0</v>
      </c>
      <c r="L56" s="5" t="str">
        <f aca="false">1&amp;"|"&amp;11</f>
        <v>1|11</v>
      </c>
      <c r="M56" s="5" t="n">
        <f aca="false">IF(L56=L55,M55,0)+K56</f>
        <v>0</v>
      </c>
      <c r="N56" s="5" t="n">
        <f aca="false">IF(AND(K56=1,M56=1),1,0)</f>
        <v>0</v>
      </c>
      <c r="O56" s="5" t="str">
        <f aca="false">IF(K56=1,MAX($O$5:O55)+1,"")</f>
        <v/>
      </c>
      <c r="P56" s="5" t="str">
        <f aca="false">IF(K56=1,SUM($N$6:N56),"")</f>
        <v/>
      </c>
      <c r="Q56" s="5" t="str">
        <f aca="false">IF(K56=1,SUMIFS($H$6:$H$511,$L$6:$L$511,L56,$K$6:$K$511,1),"")</f>
        <v/>
      </c>
      <c r="R56" s="78" t="str">
        <f aca="false">IF(B56="","",IF(INDEX(報告入力!$X$7:$X$696,B56)="","",INDEX(報告入力!$X$7:$X$696,B56)))</f>
        <v/>
      </c>
      <c r="S56" s="5" t="str">
        <f aca="false">設定!$C$46</f>
        <v>長期：厚生年金保険料（組合員負担分）</v>
      </c>
    </row>
    <row r="57" customFormat="false" ht="15" hidden="false" customHeight="false" outlineLevel="0" collapsed="false">
      <c r="A57" s="5" t="str">
        <f aca="false">設定!B71</f>
        <v>医療政策課(安芸市民)</v>
      </c>
      <c r="B57" s="5" t="n">
        <f aca="false">IFERROR(MATCH(ホーム!$C$4&amp;"|"&amp;A57,報告入力!$CG$7:$CG$696,0),"")</f>
        <v>333</v>
      </c>
      <c r="C57" s="5" t="str">
        <f aca="false">IF(B57="","",INDEX(報告入力!$C$7:$C$696,B57))</f>
        <v>未受領</v>
      </c>
      <c r="D57" s="5" t="str">
        <f aca="false">設定!$A$39</f>
        <v>長期（厚生年金保険経理）</v>
      </c>
      <c r="E57" s="5" t="str">
        <f aca="false">設定!$B$39&amp;""</f>
        <v>130</v>
      </c>
      <c r="F57" s="5" t="str">
        <f aca="false">設定!$D$47&amp;""</f>
        <v>2109001014</v>
      </c>
      <c r="G57" s="5" t="str">
        <f aca="false">設定!$E$47&amp;""</f>
        <v>退職標報掛金</v>
      </c>
      <c r="H57" s="5" t="n">
        <f aca="false">IF(B57="",0,N(INDEX(報告入力!$AV$7:$AV$696,B57)))</f>
        <v>3975</v>
      </c>
      <c r="I57" s="5" t="str">
        <f aca="false">設定!$C$39&amp;""</f>
        <v>1104001001</v>
      </c>
      <c r="J57" s="5" t="str">
        <f aca="false">設定!$D$39&amp;""</f>
        <v>普広銀市役所</v>
      </c>
      <c r="K57" s="5" t="n">
        <f aca="false">IF(AND(H57&lt;&gt;0,IF(設定!$B$6="入金確認済のみ",C57="入金確認済",OR(C57="入金確認済",C57="受領済"))),1,0)</f>
        <v>0</v>
      </c>
      <c r="L57" s="5" t="str">
        <f aca="false">1&amp;"|"&amp;11</f>
        <v>1|11</v>
      </c>
      <c r="M57" s="5" t="n">
        <f aca="false">IF(L57=L56,M56,0)+K57</f>
        <v>0</v>
      </c>
      <c r="N57" s="5" t="n">
        <f aca="false">IF(AND(K57=1,M57=1),1,0)</f>
        <v>0</v>
      </c>
      <c r="O57" s="5" t="str">
        <f aca="false">IF(K57=1,MAX($O$5:O56)+1,"")</f>
        <v/>
      </c>
      <c r="P57" s="5" t="str">
        <f aca="false">IF(K57=1,SUM($N$6:N57),"")</f>
        <v/>
      </c>
      <c r="Q57" s="5" t="str">
        <f aca="false">IF(K57=1,SUMIFS($H$6:$H$511,$L$6:$L$511,L57,$K$6:$K$511,1),"")</f>
        <v/>
      </c>
      <c r="R57" s="78" t="str">
        <f aca="false">IF(B57="","",IF(INDEX(報告入力!$X$7:$X$696,B57)="","",INDEX(報告入力!$X$7:$X$696,B57)))</f>
        <v/>
      </c>
      <c r="S57" s="5" t="str">
        <f aca="false">設定!$C$47</f>
        <v>長期：退職等年金掛金</v>
      </c>
    </row>
    <row r="58" customFormat="false" ht="15" hidden="false" customHeight="false" outlineLevel="0" collapsed="false">
      <c r="A58" s="5" t="str">
        <f aca="false">設定!B71</f>
        <v>医療政策課(安芸市民)</v>
      </c>
      <c r="B58" s="5" t="n">
        <f aca="false">IFERROR(MATCH(ホーム!$C$4&amp;"|"&amp;A58,報告入力!$CG$7:$CG$696,0),"")</f>
        <v>333</v>
      </c>
      <c r="C58" s="5" t="str">
        <f aca="false">IF(B58="","",INDEX(報告入力!$C$7:$C$696,B58))</f>
        <v>未受領</v>
      </c>
      <c r="D58" s="5" t="str">
        <f aca="false">設定!$A$39</f>
        <v>長期（厚生年金保険経理）</v>
      </c>
      <c r="E58" s="5" t="str">
        <f aca="false">設定!$B$39&amp;""</f>
        <v>130</v>
      </c>
      <c r="F58" s="5" t="str">
        <f aca="false">設定!$D$48&amp;""</f>
        <v>6101002000</v>
      </c>
      <c r="G58" s="5" t="str">
        <f aca="false">設定!$E$48&amp;""</f>
        <v>負担地方公共</v>
      </c>
      <c r="H58" s="5" t="n">
        <f aca="false">IF(B58="",0,N(INDEX(報告入力!$AW$7:$AW$696,B58)))</f>
        <v>70490</v>
      </c>
      <c r="I58" s="5" t="str">
        <f aca="false">設定!$C$39&amp;""</f>
        <v>1104001001</v>
      </c>
      <c r="J58" s="5" t="str">
        <f aca="false">設定!$D$39&amp;""</f>
        <v>普広銀市役所</v>
      </c>
      <c r="K58" s="5" t="n">
        <f aca="false">IF(AND(H58&lt;&gt;0,IF(設定!$B$6="入金確認済のみ",C58="入金確認済",OR(C58="入金確認済",C58="受領済"))),1,0)</f>
        <v>0</v>
      </c>
      <c r="L58" s="5" t="str">
        <f aca="false">1&amp;"|"&amp;11</f>
        <v>1|11</v>
      </c>
      <c r="M58" s="5" t="n">
        <f aca="false">IF(L58=L57,M57,0)+K58</f>
        <v>0</v>
      </c>
      <c r="N58" s="5" t="n">
        <f aca="false">IF(AND(K58=1,M58=1),1,0)</f>
        <v>0</v>
      </c>
      <c r="O58" s="5" t="str">
        <f aca="false">IF(K58=1,MAX($O$5:O57)+1,"")</f>
        <v/>
      </c>
      <c r="P58" s="5" t="str">
        <f aca="false">IF(K58=1,SUM($N$6:N58),"")</f>
        <v/>
      </c>
      <c r="Q58" s="5" t="str">
        <f aca="false">IF(K58=1,SUMIFS($H$6:$H$511,$L$6:$L$511,L58,$K$6:$K$511,1),"")</f>
        <v/>
      </c>
      <c r="R58" s="78" t="str">
        <f aca="false">IF(B58="","",IF(INDEX(報告入力!$X$7:$X$696,B58)="","",INDEX(報告入力!$X$7:$X$696,B58)))</f>
        <v/>
      </c>
      <c r="S58" s="5" t="str">
        <f aca="false">設定!$C$48</f>
        <v>長期：厚生年金保険料（事業主負担分）</v>
      </c>
    </row>
    <row r="59" customFormat="false" ht="15" hidden="false" customHeight="false" outlineLevel="0" collapsed="false">
      <c r="A59" s="5" t="str">
        <f aca="false">設定!B71</f>
        <v>医療政策課(安芸市民)</v>
      </c>
      <c r="B59" s="5" t="n">
        <f aca="false">IFERROR(MATCH(ホーム!$C$4&amp;"|"&amp;A59,報告入力!$CG$7:$CG$696,0),"")</f>
        <v>333</v>
      </c>
      <c r="C59" s="5" t="str">
        <f aca="false">IF(B59="","",INDEX(報告入力!$C$7:$C$696,B59))</f>
        <v>未受領</v>
      </c>
      <c r="D59" s="5" t="str">
        <f aca="false">設定!$A$39</f>
        <v>長期（厚生年金保険経理）</v>
      </c>
      <c r="E59" s="5" t="str">
        <f aca="false">設定!$B$39&amp;""</f>
        <v>130</v>
      </c>
      <c r="F59" s="5" t="str">
        <f aca="false">設定!$D$49&amp;""</f>
        <v>2109001015</v>
      </c>
      <c r="G59" s="5" t="str">
        <f aca="false">設定!$E$49&amp;""</f>
        <v>退職負担地方</v>
      </c>
      <c r="H59" s="5" t="n">
        <f aca="false">IF(B59="",0,N(INDEX(報告入力!$AX$7:$AX$696,B59)))</f>
        <v>3975</v>
      </c>
      <c r="I59" s="5" t="str">
        <f aca="false">設定!$C$39&amp;""</f>
        <v>1104001001</v>
      </c>
      <c r="J59" s="5" t="str">
        <f aca="false">設定!$D$39&amp;""</f>
        <v>普広銀市役所</v>
      </c>
      <c r="K59" s="5" t="n">
        <f aca="false">IF(AND(H59&lt;&gt;0,IF(設定!$B$6="入金確認済のみ",C59="入金確認済",OR(C59="入金確認済",C59="受領済"))),1,0)</f>
        <v>0</v>
      </c>
      <c r="L59" s="5" t="str">
        <f aca="false">1&amp;"|"&amp;11</f>
        <v>1|11</v>
      </c>
      <c r="M59" s="5" t="n">
        <f aca="false">IF(L59=L58,M58,0)+K59</f>
        <v>0</v>
      </c>
      <c r="N59" s="5" t="n">
        <f aca="false">IF(AND(K59=1,M59=1),1,0)</f>
        <v>0</v>
      </c>
      <c r="O59" s="5" t="str">
        <f aca="false">IF(K59=1,MAX($O$5:O58)+1,"")</f>
        <v/>
      </c>
      <c r="P59" s="5" t="str">
        <f aca="false">IF(K59=1,SUM($N$6:N59),"")</f>
        <v/>
      </c>
      <c r="Q59" s="5" t="str">
        <f aca="false">IF(K59=1,SUMIFS($H$6:$H$511,$L$6:$L$511,L59,$K$6:$K$511,1),"")</f>
        <v/>
      </c>
      <c r="R59" s="78" t="str">
        <f aca="false">IF(B59="","",IF(INDEX(報告入力!$X$7:$X$696,B59)="","",INDEX(報告入力!$X$7:$X$696,B59)))</f>
        <v/>
      </c>
      <c r="S59" s="5" t="str">
        <f aca="false">設定!$C$49</f>
        <v>長期：退職等年金負担金</v>
      </c>
    </row>
    <row r="60" customFormat="false" ht="15" hidden="false" customHeight="false" outlineLevel="0" collapsed="false">
      <c r="A60" s="5" t="str">
        <f aca="false">設定!B71</f>
        <v>医療政策課(安芸市民)</v>
      </c>
      <c r="B60" s="5" t="n">
        <f aca="false">IFERROR(MATCH(ホーム!$C$4&amp;"|"&amp;A60,報告入力!$CG$7:$CG$696,0),"")</f>
        <v>333</v>
      </c>
      <c r="C60" s="5" t="str">
        <f aca="false">IF(B60="","",INDEX(報告入力!$C$7:$C$696,B60))</f>
        <v>未受領</v>
      </c>
      <c r="D60" s="5" t="str">
        <f aca="false">設定!$A$39</f>
        <v>長期（厚生年金保険経理）</v>
      </c>
      <c r="E60" s="5" t="str">
        <f aca="false">設定!$B$39&amp;""</f>
        <v>130</v>
      </c>
      <c r="F60" s="5" t="str">
        <f aca="false">設定!$D$50&amp;""</f>
        <v>2109001017</v>
      </c>
      <c r="G60" s="5" t="str">
        <f aca="false">設定!$E$50&amp;""</f>
        <v>経過的負担金</v>
      </c>
      <c r="H60" s="5" t="n">
        <f aca="false">IF(B60="",0,N(INDEX(報告入力!$AY$7:$AY$696,B60)))</f>
        <v>49</v>
      </c>
      <c r="I60" s="5" t="str">
        <f aca="false">設定!$C$39&amp;""</f>
        <v>1104001001</v>
      </c>
      <c r="J60" s="5" t="str">
        <f aca="false">設定!$D$39&amp;""</f>
        <v>普広銀市役所</v>
      </c>
      <c r="K60" s="5" t="n">
        <f aca="false">IF(AND(H60&lt;&gt;0,IF(設定!$B$6="入金確認済のみ",C60="入金確認済",OR(C60="入金確認済",C60="受領済"))),1,0)</f>
        <v>0</v>
      </c>
      <c r="L60" s="5" t="str">
        <f aca="false">1&amp;"|"&amp;11</f>
        <v>1|11</v>
      </c>
      <c r="M60" s="5" t="n">
        <f aca="false">IF(L60=L59,M59,0)+K60</f>
        <v>0</v>
      </c>
      <c r="N60" s="5" t="n">
        <f aca="false">IF(AND(K60=1,M60=1),1,0)</f>
        <v>0</v>
      </c>
      <c r="O60" s="5" t="str">
        <f aca="false">IF(K60=1,MAX($O$5:O59)+1,"")</f>
        <v/>
      </c>
      <c r="P60" s="5" t="str">
        <f aca="false">IF(K60=1,SUM($N$6:N60),"")</f>
        <v/>
      </c>
      <c r="Q60" s="5" t="str">
        <f aca="false">IF(K60=1,SUMIFS($H$6:$H$511,$L$6:$L$511,L60,$K$6:$K$511,1),"")</f>
        <v/>
      </c>
      <c r="R60" s="78" t="str">
        <f aca="false">IF(B60="","",IF(INDEX(報告入力!$X$7:$X$696,B60)="","",INDEX(報告入力!$X$7:$X$696,B60)))</f>
        <v/>
      </c>
      <c r="S60" s="5" t="str">
        <f aca="false">設定!$C$50</f>
        <v>長期：経過的長期</v>
      </c>
    </row>
    <row r="61" customFormat="false" ht="15" hidden="false" customHeight="false" outlineLevel="0" collapsed="false">
      <c r="A61" s="5" t="str">
        <f aca="false">設定!B72</f>
        <v>教育委員会（教育給与課）</v>
      </c>
      <c r="B61" s="5" t="n">
        <f aca="false">IFERROR(MATCH(ホーム!$C$4&amp;"|"&amp;A61,報告入力!$CG$7:$CG$696,0),"")</f>
        <v>334</v>
      </c>
      <c r="C61" s="5" t="str">
        <f aca="false">IF(B61="","",INDEX(報告入力!$C$7:$C$696,B61))</f>
        <v>未受領</v>
      </c>
      <c r="D61" s="5" t="str">
        <f aca="false">設定!$A$39</f>
        <v>長期（厚生年金保険経理）</v>
      </c>
      <c r="E61" s="5" t="str">
        <f aca="false">設定!$B$39&amp;""</f>
        <v>130</v>
      </c>
      <c r="F61" s="5" t="str">
        <f aca="false">設定!$D$46&amp;""</f>
        <v>6102102000</v>
      </c>
      <c r="G61" s="5" t="str">
        <f aca="false">設定!$E$46&amp;""</f>
        <v>標月額保険料</v>
      </c>
      <c r="H61" s="5" t="n">
        <f aca="false">IF(B61="",0,N(INDEX(報告入力!$AU$7:$AU$696,B61)))</f>
        <v>0</v>
      </c>
      <c r="I61" s="5" t="str">
        <f aca="false">設定!$C$39&amp;""</f>
        <v>1104001001</v>
      </c>
      <c r="J61" s="5" t="str">
        <f aca="false">設定!$D$39&amp;""</f>
        <v>普広銀市役所</v>
      </c>
      <c r="K61" s="5" t="n">
        <f aca="false">IF(AND(H61&lt;&gt;0,IF(設定!$B$6="入金確認済のみ",C61="入金確認済",OR(C61="入金確認済",C61="受領済"))),1,0)</f>
        <v>0</v>
      </c>
      <c r="L61" s="5" t="str">
        <f aca="false">1&amp;"|"&amp;12</f>
        <v>1|12</v>
      </c>
      <c r="M61" s="5" t="n">
        <f aca="false">IF(L61=L60,M60,0)+K61</f>
        <v>0</v>
      </c>
      <c r="N61" s="5" t="n">
        <f aca="false">IF(AND(K61=1,M61=1),1,0)</f>
        <v>0</v>
      </c>
      <c r="O61" s="5" t="str">
        <f aca="false">IF(K61=1,MAX($O$5:O60)+1,"")</f>
        <v/>
      </c>
      <c r="P61" s="5" t="str">
        <f aca="false">IF(K61=1,SUM($N$6:N61),"")</f>
        <v/>
      </c>
      <c r="Q61" s="5" t="str">
        <f aca="false">IF(K61=1,SUMIFS($H$6:$H$511,$L$6:$L$511,L61,$K$6:$K$511,1),"")</f>
        <v/>
      </c>
      <c r="R61" s="78" t="str">
        <f aca="false">IF(B61="","",IF(INDEX(報告入力!$X$7:$X$696,B61)="","",INDEX(報告入力!$X$7:$X$696,B61)))</f>
        <v/>
      </c>
      <c r="S61" s="5" t="str">
        <f aca="false">設定!$C$46</f>
        <v>長期：厚生年金保険料（組合員負担分）</v>
      </c>
    </row>
    <row r="62" customFormat="false" ht="15" hidden="false" customHeight="false" outlineLevel="0" collapsed="false">
      <c r="A62" s="5" t="str">
        <f aca="false">設定!B72</f>
        <v>教育委員会（教育給与課）</v>
      </c>
      <c r="B62" s="5" t="n">
        <f aca="false">IFERROR(MATCH(ホーム!$C$4&amp;"|"&amp;A62,報告入力!$CG$7:$CG$696,0),"")</f>
        <v>334</v>
      </c>
      <c r="C62" s="5" t="str">
        <f aca="false">IF(B62="","",INDEX(報告入力!$C$7:$C$696,B62))</f>
        <v>未受領</v>
      </c>
      <c r="D62" s="5" t="str">
        <f aca="false">設定!$A$39</f>
        <v>長期（厚生年金保険経理）</v>
      </c>
      <c r="E62" s="5" t="str">
        <f aca="false">設定!$B$39&amp;""</f>
        <v>130</v>
      </c>
      <c r="F62" s="5" t="str">
        <f aca="false">設定!$D$47&amp;""</f>
        <v>2109001014</v>
      </c>
      <c r="G62" s="5" t="str">
        <f aca="false">設定!$E$47&amp;""</f>
        <v>退職標報掛金</v>
      </c>
      <c r="H62" s="5" t="n">
        <f aca="false">IF(B62="",0,N(INDEX(報告入力!$AV$7:$AV$696,B62)))</f>
        <v>0</v>
      </c>
      <c r="I62" s="5" t="str">
        <f aca="false">設定!$C$39&amp;""</f>
        <v>1104001001</v>
      </c>
      <c r="J62" s="5" t="str">
        <f aca="false">設定!$D$39&amp;""</f>
        <v>普広銀市役所</v>
      </c>
      <c r="K62" s="5" t="n">
        <f aca="false">IF(AND(H62&lt;&gt;0,IF(設定!$B$6="入金確認済のみ",C62="入金確認済",OR(C62="入金確認済",C62="受領済"))),1,0)</f>
        <v>0</v>
      </c>
      <c r="L62" s="5" t="str">
        <f aca="false">1&amp;"|"&amp;12</f>
        <v>1|12</v>
      </c>
      <c r="M62" s="5" t="n">
        <f aca="false">IF(L62=L61,M61,0)+K62</f>
        <v>0</v>
      </c>
      <c r="N62" s="5" t="n">
        <f aca="false">IF(AND(K62=1,M62=1),1,0)</f>
        <v>0</v>
      </c>
      <c r="O62" s="5" t="str">
        <f aca="false">IF(K62=1,MAX($O$5:O61)+1,"")</f>
        <v/>
      </c>
      <c r="P62" s="5" t="str">
        <f aca="false">IF(K62=1,SUM($N$6:N62),"")</f>
        <v/>
      </c>
      <c r="Q62" s="5" t="str">
        <f aca="false">IF(K62=1,SUMIFS($H$6:$H$511,$L$6:$L$511,L62,$K$6:$K$511,1),"")</f>
        <v/>
      </c>
      <c r="R62" s="78" t="str">
        <f aca="false">IF(B62="","",IF(INDEX(報告入力!$X$7:$X$696,B62)="","",INDEX(報告入力!$X$7:$X$696,B62)))</f>
        <v/>
      </c>
      <c r="S62" s="5" t="str">
        <f aca="false">設定!$C$47</f>
        <v>長期：退職等年金掛金</v>
      </c>
    </row>
    <row r="63" customFormat="false" ht="15" hidden="false" customHeight="false" outlineLevel="0" collapsed="false">
      <c r="A63" s="5" t="str">
        <f aca="false">設定!B72</f>
        <v>教育委員会（教育給与課）</v>
      </c>
      <c r="B63" s="5" t="n">
        <f aca="false">IFERROR(MATCH(ホーム!$C$4&amp;"|"&amp;A63,報告入力!$CG$7:$CG$696,0),"")</f>
        <v>334</v>
      </c>
      <c r="C63" s="5" t="str">
        <f aca="false">IF(B63="","",INDEX(報告入力!$C$7:$C$696,B63))</f>
        <v>未受領</v>
      </c>
      <c r="D63" s="5" t="str">
        <f aca="false">設定!$A$39</f>
        <v>長期（厚生年金保険経理）</v>
      </c>
      <c r="E63" s="5" t="str">
        <f aca="false">設定!$B$39&amp;""</f>
        <v>130</v>
      </c>
      <c r="F63" s="5" t="str">
        <f aca="false">設定!$D$48&amp;""</f>
        <v>6101002000</v>
      </c>
      <c r="G63" s="5" t="str">
        <f aca="false">設定!$E$48&amp;""</f>
        <v>負担地方公共</v>
      </c>
      <c r="H63" s="5" t="n">
        <f aca="false">IF(B63="",0,N(INDEX(報告入力!$AW$7:$AW$696,B63)))</f>
        <v>0</v>
      </c>
      <c r="I63" s="5" t="str">
        <f aca="false">設定!$C$39&amp;""</f>
        <v>1104001001</v>
      </c>
      <c r="J63" s="5" t="str">
        <f aca="false">設定!$D$39&amp;""</f>
        <v>普広銀市役所</v>
      </c>
      <c r="K63" s="5" t="n">
        <f aca="false">IF(AND(H63&lt;&gt;0,IF(設定!$B$6="入金確認済のみ",C63="入金確認済",OR(C63="入金確認済",C63="受領済"))),1,0)</f>
        <v>0</v>
      </c>
      <c r="L63" s="5" t="str">
        <f aca="false">1&amp;"|"&amp;12</f>
        <v>1|12</v>
      </c>
      <c r="M63" s="5" t="n">
        <f aca="false">IF(L63=L62,M62,0)+K63</f>
        <v>0</v>
      </c>
      <c r="N63" s="5" t="n">
        <f aca="false">IF(AND(K63=1,M63=1),1,0)</f>
        <v>0</v>
      </c>
      <c r="O63" s="5" t="str">
        <f aca="false">IF(K63=1,MAX($O$5:O62)+1,"")</f>
        <v/>
      </c>
      <c r="P63" s="5" t="str">
        <f aca="false">IF(K63=1,SUM($N$6:N63),"")</f>
        <v/>
      </c>
      <c r="Q63" s="5" t="str">
        <f aca="false">IF(K63=1,SUMIFS($H$6:$H$511,$L$6:$L$511,L63,$K$6:$K$511,1),"")</f>
        <v/>
      </c>
      <c r="R63" s="78" t="str">
        <f aca="false">IF(B63="","",IF(INDEX(報告入力!$X$7:$X$696,B63)="","",INDEX(報告入力!$X$7:$X$696,B63)))</f>
        <v/>
      </c>
      <c r="S63" s="5" t="str">
        <f aca="false">設定!$C$48</f>
        <v>長期：厚生年金保険料（事業主負担分）</v>
      </c>
    </row>
    <row r="64" customFormat="false" ht="15" hidden="false" customHeight="false" outlineLevel="0" collapsed="false">
      <c r="A64" s="5" t="str">
        <f aca="false">設定!B72</f>
        <v>教育委員会（教育給与課）</v>
      </c>
      <c r="B64" s="5" t="n">
        <f aca="false">IFERROR(MATCH(ホーム!$C$4&amp;"|"&amp;A64,報告入力!$CG$7:$CG$696,0),"")</f>
        <v>334</v>
      </c>
      <c r="C64" s="5" t="str">
        <f aca="false">IF(B64="","",INDEX(報告入力!$C$7:$C$696,B64))</f>
        <v>未受領</v>
      </c>
      <c r="D64" s="5" t="str">
        <f aca="false">設定!$A$39</f>
        <v>長期（厚生年金保険経理）</v>
      </c>
      <c r="E64" s="5" t="str">
        <f aca="false">設定!$B$39&amp;""</f>
        <v>130</v>
      </c>
      <c r="F64" s="5" t="str">
        <f aca="false">設定!$D$49&amp;""</f>
        <v>2109001015</v>
      </c>
      <c r="G64" s="5" t="str">
        <f aca="false">設定!$E$49&amp;""</f>
        <v>退職負担地方</v>
      </c>
      <c r="H64" s="5" t="n">
        <f aca="false">IF(B64="",0,N(INDEX(報告入力!$AX$7:$AX$696,B64)))</f>
        <v>0</v>
      </c>
      <c r="I64" s="5" t="str">
        <f aca="false">設定!$C$39&amp;""</f>
        <v>1104001001</v>
      </c>
      <c r="J64" s="5" t="str">
        <f aca="false">設定!$D$39&amp;""</f>
        <v>普広銀市役所</v>
      </c>
      <c r="K64" s="5" t="n">
        <f aca="false">IF(AND(H64&lt;&gt;0,IF(設定!$B$6="入金確認済のみ",C64="入金確認済",OR(C64="入金確認済",C64="受領済"))),1,0)</f>
        <v>0</v>
      </c>
      <c r="L64" s="5" t="str">
        <f aca="false">1&amp;"|"&amp;12</f>
        <v>1|12</v>
      </c>
      <c r="M64" s="5" t="n">
        <f aca="false">IF(L64=L63,M63,0)+K64</f>
        <v>0</v>
      </c>
      <c r="N64" s="5" t="n">
        <f aca="false">IF(AND(K64=1,M64=1),1,0)</f>
        <v>0</v>
      </c>
      <c r="O64" s="5" t="str">
        <f aca="false">IF(K64=1,MAX($O$5:O63)+1,"")</f>
        <v/>
      </c>
      <c r="P64" s="5" t="str">
        <f aca="false">IF(K64=1,SUM($N$6:N64),"")</f>
        <v/>
      </c>
      <c r="Q64" s="5" t="str">
        <f aca="false">IF(K64=1,SUMIFS($H$6:$H$511,$L$6:$L$511,L64,$K$6:$K$511,1),"")</f>
        <v/>
      </c>
      <c r="R64" s="78" t="str">
        <f aca="false">IF(B64="","",IF(INDEX(報告入力!$X$7:$X$696,B64)="","",INDEX(報告入力!$X$7:$X$696,B64)))</f>
        <v/>
      </c>
      <c r="S64" s="5" t="str">
        <f aca="false">設定!$C$49</f>
        <v>長期：退職等年金負担金</v>
      </c>
    </row>
    <row r="65" customFormat="false" ht="15" hidden="false" customHeight="false" outlineLevel="0" collapsed="false">
      <c r="A65" s="5" t="str">
        <f aca="false">設定!B72</f>
        <v>教育委員会（教育給与課）</v>
      </c>
      <c r="B65" s="5" t="n">
        <f aca="false">IFERROR(MATCH(ホーム!$C$4&amp;"|"&amp;A65,報告入力!$CG$7:$CG$696,0),"")</f>
        <v>334</v>
      </c>
      <c r="C65" s="5" t="str">
        <f aca="false">IF(B65="","",INDEX(報告入力!$C$7:$C$696,B65))</f>
        <v>未受領</v>
      </c>
      <c r="D65" s="5" t="str">
        <f aca="false">設定!$A$39</f>
        <v>長期（厚生年金保険経理）</v>
      </c>
      <c r="E65" s="5" t="str">
        <f aca="false">設定!$B$39&amp;""</f>
        <v>130</v>
      </c>
      <c r="F65" s="5" t="str">
        <f aca="false">設定!$D$50&amp;""</f>
        <v>2109001017</v>
      </c>
      <c r="G65" s="5" t="str">
        <f aca="false">設定!$E$50&amp;""</f>
        <v>経過的負担金</v>
      </c>
      <c r="H65" s="5" t="n">
        <f aca="false">IF(B65="",0,N(INDEX(報告入力!$AY$7:$AY$696,B65)))</f>
        <v>0</v>
      </c>
      <c r="I65" s="5" t="str">
        <f aca="false">設定!$C$39&amp;""</f>
        <v>1104001001</v>
      </c>
      <c r="J65" s="5" t="str">
        <f aca="false">設定!$D$39&amp;""</f>
        <v>普広銀市役所</v>
      </c>
      <c r="K65" s="5" t="n">
        <f aca="false">IF(AND(H65&lt;&gt;0,IF(設定!$B$6="入金確認済のみ",C65="入金確認済",OR(C65="入金確認済",C65="受領済"))),1,0)</f>
        <v>0</v>
      </c>
      <c r="L65" s="5" t="str">
        <f aca="false">1&amp;"|"&amp;12</f>
        <v>1|12</v>
      </c>
      <c r="M65" s="5" t="n">
        <f aca="false">IF(L65=L64,M64,0)+K65</f>
        <v>0</v>
      </c>
      <c r="N65" s="5" t="n">
        <f aca="false">IF(AND(K65=1,M65=1),1,0)</f>
        <v>0</v>
      </c>
      <c r="O65" s="5" t="str">
        <f aca="false">IF(K65=1,MAX($O$5:O64)+1,"")</f>
        <v/>
      </c>
      <c r="P65" s="5" t="str">
        <f aca="false">IF(K65=1,SUM($N$6:N65),"")</f>
        <v/>
      </c>
      <c r="Q65" s="5" t="str">
        <f aca="false">IF(K65=1,SUMIFS($H$6:$H$511,$L$6:$L$511,L65,$K$6:$K$511,1),"")</f>
        <v/>
      </c>
      <c r="R65" s="78" t="str">
        <f aca="false">IF(B65="","",IF(INDEX(報告入力!$X$7:$X$696,B65)="","",INDEX(報告入力!$X$7:$X$696,B65)))</f>
        <v/>
      </c>
      <c r="S65" s="5" t="str">
        <f aca="false">設定!$C$50</f>
        <v>長期：経過的長期</v>
      </c>
    </row>
    <row r="66" customFormat="false" ht="15" hidden="false" customHeight="false" outlineLevel="0" collapsed="false">
      <c r="A66" s="5" t="str">
        <f aca="false">設定!B73</f>
        <v>地方税共同機構</v>
      </c>
      <c r="B66" s="5" t="n">
        <f aca="false">IFERROR(MATCH(ホーム!$C$4&amp;"|"&amp;A66,報告入力!$CG$7:$CG$696,0),"")</f>
        <v>335</v>
      </c>
      <c r="C66" s="5" t="str">
        <f aca="false">IF(B66="","",INDEX(報告入力!$C$7:$C$696,B66))</f>
        <v>報告なし</v>
      </c>
      <c r="D66" s="5" t="str">
        <f aca="false">設定!$A$39</f>
        <v>長期（厚生年金保険経理）</v>
      </c>
      <c r="E66" s="5" t="str">
        <f aca="false">設定!$B$39&amp;""</f>
        <v>130</v>
      </c>
      <c r="F66" s="5" t="str">
        <f aca="false">設定!$D$46&amp;""</f>
        <v>6102102000</v>
      </c>
      <c r="G66" s="5" t="str">
        <f aca="false">設定!$E$46&amp;""</f>
        <v>標月額保険料</v>
      </c>
      <c r="H66" s="5" t="n">
        <f aca="false">IF(B66="",0,N(INDEX(報告入力!$AU$7:$AU$696,B66)))</f>
        <v>0</v>
      </c>
      <c r="I66" s="5" t="str">
        <f aca="false">設定!$C$39&amp;""</f>
        <v>1104001001</v>
      </c>
      <c r="J66" s="5" t="str">
        <f aca="false">設定!$D$39&amp;""</f>
        <v>普広銀市役所</v>
      </c>
      <c r="K66" s="5" t="n">
        <f aca="false">IF(AND(H66&lt;&gt;0,IF(設定!$B$6="入金確認済のみ",C66="入金確認済",OR(C66="入金確認済",C66="受領済"))),1,0)</f>
        <v>0</v>
      </c>
      <c r="L66" s="5" t="str">
        <f aca="false">1&amp;"|"&amp;13</f>
        <v>1|13</v>
      </c>
      <c r="M66" s="5" t="n">
        <f aca="false">IF(L66=L65,M65,0)+K66</f>
        <v>0</v>
      </c>
      <c r="N66" s="5" t="n">
        <f aca="false">IF(AND(K66=1,M66=1),1,0)</f>
        <v>0</v>
      </c>
      <c r="O66" s="5" t="str">
        <f aca="false">IF(K66=1,MAX($O$5:O65)+1,"")</f>
        <v/>
      </c>
      <c r="P66" s="5" t="str">
        <f aca="false">IF(K66=1,SUM($N$6:N66),"")</f>
        <v/>
      </c>
      <c r="Q66" s="5" t="str">
        <f aca="false">IF(K66=1,SUMIFS($H$6:$H$511,$L$6:$L$511,L66,$K$6:$K$511,1),"")</f>
        <v/>
      </c>
      <c r="R66" s="78" t="str">
        <f aca="false">IF(B66="","",IF(INDEX(報告入力!$X$7:$X$696,B66)="","",INDEX(報告入力!$X$7:$X$696,B66)))</f>
        <v/>
      </c>
      <c r="S66" s="5" t="str">
        <f aca="false">設定!$C$46</f>
        <v>長期：厚生年金保険料（組合員負担分）</v>
      </c>
    </row>
    <row r="67" customFormat="false" ht="15" hidden="false" customHeight="false" outlineLevel="0" collapsed="false">
      <c r="A67" s="5" t="str">
        <f aca="false">設定!B73</f>
        <v>地方税共同機構</v>
      </c>
      <c r="B67" s="5" t="n">
        <f aca="false">IFERROR(MATCH(ホーム!$C$4&amp;"|"&amp;A67,報告入力!$CG$7:$CG$696,0),"")</f>
        <v>335</v>
      </c>
      <c r="C67" s="5" t="str">
        <f aca="false">IF(B67="","",INDEX(報告入力!$C$7:$C$696,B67))</f>
        <v>報告なし</v>
      </c>
      <c r="D67" s="5" t="str">
        <f aca="false">設定!$A$39</f>
        <v>長期（厚生年金保険経理）</v>
      </c>
      <c r="E67" s="5" t="str">
        <f aca="false">設定!$B$39&amp;""</f>
        <v>130</v>
      </c>
      <c r="F67" s="5" t="str">
        <f aca="false">設定!$D$47&amp;""</f>
        <v>2109001014</v>
      </c>
      <c r="G67" s="5" t="str">
        <f aca="false">設定!$E$47&amp;""</f>
        <v>退職標報掛金</v>
      </c>
      <c r="H67" s="5" t="n">
        <f aca="false">IF(B67="",0,N(INDEX(報告入力!$AV$7:$AV$696,B67)))</f>
        <v>0</v>
      </c>
      <c r="I67" s="5" t="str">
        <f aca="false">設定!$C$39&amp;""</f>
        <v>1104001001</v>
      </c>
      <c r="J67" s="5" t="str">
        <f aca="false">設定!$D$39&amp;""</f>
        <v>普広銀市役所</v>
      </c>
      <c r="K67" s="5" t="n">
        <f aca="false">IF(AND(H67&lt;&gt;0,IF(設定!$B$6="入金確認済のみ",C67="入金確認済",OR(C67="入金確認済",C67="受領済"))),1,0)</f>
        <v>0</v>
      </c>
      <c r="L67" s="5" t="str">
        <f aca="false">1&amp;"|"&amp;13</f>
        <v>1|13</v>
      </c>
      <c r="M67" s="5" t="n">
        <f aca="false">IF(L67=L66,M66,0)+K67</f>
        <v>0</v>
      </c>
      <c r="N67" s="5" t="n">
        <f aca="false">IF(AND(K67=1,M67=1),1,0)</f>
        <v>0</v>
      </c>
      <c r="O67" s="5" t="str">
        <f aca="false">IF(K67=1,MAX($O$5:O66)+1,"")</f>
        <v/>
      </c>
      <c r="P67" s="5" t="str">
        <f aca="false">IF(K67=1,SUM($N$6:N67),"")</f>
        <v/>
      </c>
      <c r="Q67" s="5" t="str">
        <f aca="false">IF(K67=1,SUMIFS($H$6:$H$511,$L$6:$L$511,L67,$K$6:$K$511,1),"")</f>
        <v/>
      </c>
      <c r="R67" s="78" t="str">
        <f aca="false">IF(B67="","",IF(INDEX(報告入力!$X$7:$X$696,B67)="","",INDEX(報告入力!$X$7:$X$696,B67)))</f>
        <v/>
      </c>
      <c r="S67" s="5" t="str">
        <f aca="false">設定!$C$47</f>
        <v>長期：退職等年金掛金</v>
      </c>
    </row>
    <row r="68" customFormat="false" ht="15" hidden="false" customHeight="false" outlineLevel="0" collapsed="false">
      <c r="A68" s="5" t="str">
        <f aca="false">設定!B73</f>
        <v>地方税共同機構</v>
      </c>
      <c r="B68" s="5" t="n">
        <f aca="false">IFERROR(MATCH(ホーム!$C$4&amp;"|"&amp;A68,報告入力!$CG$7:$CG$696,0),"")</f>
        <v>335</v>
      </c>
      <c r="C68" s="5" t="str">
        <f aca="false">IF(B68="","",INDEX(報告入力!$C$7:$C$696,B68))</f>
        <v>報告なし</v>
      </c>
      <c r="D68" s="5" t="str">
        <f aca="false">設定!$A$39</f>
        <v>長期（厚生年金保険経理）</v>
      </c>
      <c r="E68" s="5" t="str">
        <f aca="false">設定!$B$39&amp;""</f>
        <v>130</v>
      </c>
      <c r="F68" s="5" t="str">
        <f aca="false">設定!$D$48&amp;""</f>
        <v>6101002000</v>
      </c>
      <c r="G68" s="5" t="str">
        <f aca="false">設定!$E$48&amp;""</f>
        <v>負担地方公共</v>
      </c>
      <c r="H68" s="5" t="n">
        <f aca="false">IF(B68="",0,N(INDEX(報告入力!$AW$7:$AW$696,B68)))</f>
        <v>0</v>
      </c>
      <c r="I68" s="5" t="str">
        <f aca="false">設定!$C$39&amp;""</f>
        <v>1104001001</v>
      </c>
      <c r="J68" s="5" t="str">
        <f aca="false">設定!$D$39&amp;""</f>
        <v>普広銀市役所</v>
      </c>
      <c r="K68" s="5" t="n">
        <f aca="false">IF(AND(H68&lt;&gt;0,IF(設定!$B$6="入金確認済のみ",C68="入金確認済",OR(C68="入金確認済",C68="受領済"))),1,0)</f>
        <v>0</v>
      </c>
      <c r="L68" s="5" t="str">
        <f aca="false">1&amp;"|"&amp;13</f>
        <v>1|13</v>
      </c>
      <c r="M68" s="5" t="n">
        <f aca="false">IF(L68=L67,M67,0)+K68</f>
        <v>0</v>
      </c>
      <c r="N68" s="5" t="n">
        <f aca="false">IF(AND(K68=1,M68=1),1,0)</f>
        <v>0</v>
      </c>
      <c r="O68" s="5" t="str">
        <f aca="false">IF(K68=1,MAX($O$5:O67)+1,"")</f>
        <v/>
      </c>
      <c r="P68" s="5" t="str">
        <f aca="false">IF(K68=1,SUM($N$6:N68),"")</f>
        <v/>
      </c>
      <c r="Q68" s="5" t="str">
        <f aca="false">IF(K68=1,SUMIFS($H$6:$H$511,$L$6:$L$511,L68,$K$6:$K$511,1),"")</f>
        <v/>
      </c>
      <c r="R68" s="78" t="str">
        <f aca="false">IF(B68="","",IF(INDEX(報告入力!$X$7:$X$696,B68)="","",INDEX(報告入力!$X$7:$X$696,B68)))</f>
        <v/>
      </c>
      <c r="S68" s="5" t="str">
        <f aca="false">設定!$C$48</f>
        <v>長期：厚生年金保険料（事業主負担分）</v>
      </c>
    </row>
    <row r="69" customFormat="false" ht="15" hidden="false" customHeight="false" outlineLevel="0" collapsed="false">
      <c r="A69" s="5" t="str">
        <f aca="false">設定!B73</f>
        <v>地方税共同機構</v>
      </c>
      <c r="B69" s="5" t="n">
        <f aca="false">IFERROR(MATCH(ホーム!$C$4&amp;"|"&amp;A69,報告入力!$CG$7:$CG$696,0),"")</f>
        <v>335</v>
      </c>
      <c r="C69" s="5" t="str">
        <f aca="false">IF(B69="","",INDEX(報告入力!$C$7:$C$696,B69))</f>
        <v>報告なし</v>
      </c>
      <c r="D69" s="5" t="str">
        <f aca="false">設定!$A$39</f>
        <v>長期（厚生年金保険経理）</v>
      </c>
      <c r="E69" s="5" t="str">
        <f aca="false">設定!$B$39&amp;""</f>
        <v>130</v>
      </c>
      <c r="F69" s="5" t="str">
        <f aca="false">設定!$D$49&amp;""</f>
        <v>2109001015</v>
      </c>
      <c r="G69" s="5" t="str">
        <f aca="false">設定!$E$49&amp;""</f>
        <v>退職負担地方</v>
      </c>
      <c r="H69" s="5" t="n">
        <f aca="false">IF(B69="",0,N(INDEX(報告入力!$AX$7:$AX$696,B69)))</f>
        <v>0</v>
      </c>
      <c r="I69" s="5" t="str">
        <f aca="false">設定!$C$39&amp;""</f>
        <v>1104001001</v>
      </c>
      <c r="J69" s="5" t="str">
        <f aca="false">設定!$D$39&amp;""</f>
        <v>普広銀市役所</v>
      </c>
      <c r="K69" s="5" t="n">
        <f aca="false">IF(AND(H69&lt;&gt;0,IF(設定!$B$6="入金確認済のみ",C69="入金確認済",OR(C69="入金確認済",C69="受領済"))),1,0)</f>
        <v>0</v>
      </c>
      <c r="L69" s="5" t="str">
        <f aca="false">1&amp;"|"&amp;13</f>
        <v>1|13</v>
      </c>
      <c r="M69" s="5" t="n">
        <f aca="false">IF(L69=L68,M68,0)+K69</f>
        <v>0</v>
      </c>
      <c r="N69" s="5" t="n">
        <f aca="false">IF(AND(K69=1,M69=1),1,0)</f>
        <v>0</v>
      </c>
      <c r="O69" s="5" t="str">
        <f aca="false">IF(K69=1,MAX($O$5:O68)+1,"")</f>
        <v/>
      </c>
      <c r="P69" s="5" t="str">
        <f aca="false">IF(K69=1,SUM($N$6:N69),"")</f>
        <v/>
      </c>
      <c r="Q69" s="5" t="str">
        <f aca="false">IF(K69=1,SUMIFS($H$6:$H$511,$L$6:$L$511,L69,$K$6:$K$511,1),"")</f>
        <v/>
      </c>
      <c r="R69" s="78" t="str">
        <f aca="false">IF(B69="","",IF(INDEX(報告入力!$X$7:$X$696,B69)="","",INDEX(報告入力!$X$7:$X$696,B69)))</f>
        <v/>
      </c>
      <c r="S69" s="5" t="str">
        <f aca="false">設定!$C$49</f>
        <v>長期：退職等年金負担金</v>
      </c>
    </row>
    <row r="70" customFormat="false" ht="15" hidden="false" customHeight="false" outlineLevel="0" collapsed="false">
      <c r="A70" s="5" t="str">
        <f aca="false">設定!B73</f>
        <v>地方税共同機構</v>
      </c>
      <c r="B70" s="5" t="n">
        <f aca="false">IFERROR(MATCH(ホーム!$C$4&amp;"|"&amp;A70,報告入力!$CG$7:$CG$696,0),"")</f>
        <v>335</v>
      </c>
      <c r="C70" s="5" t="str">
        <f aca="false">IF(B70="","",INDEX(報告入力!$C$7:$C$696,B70))</f>
        <v>報告なし</v>
      </c>
      <c r="D70" s="5" t="str">
        <f aca="false">設定!$A$39</f>
        <v>長期（厚生年金保険経理）</v>
      </c>
      <c r="E70" s="5" t="str">
        <f aca="false">設定!$B$39&amp;""</f>
        <v>130</v>
      </c>
      <c r="F70" s="5" t="str">
        <f aca="false">設定!$D$50&amp;""</f>
        <v>2109001017</v>
      </c>
      <c r="G70" s="5" t="str">
        <f aca="false">設定!$E$50&amp;""</f>
        <v>経過的負担金</v>
      </c>
      <c r="H70" s="5" t="n">
        <f aca="false">IF(B70="",0,N(INDEX(報告入力!$AY$7:$AY$696,B70)))</f>
        <v>0</v>
      </c>
      <c r="I70" s="5" t="str">
        <f aca="false">設定!$C$39&amp;""</f>
        <v>1104001001</v>
      </c>
      <c r="J70" s="5" t="str">
        <f aca="false">設定!$D$39&amp;""</f>
        <v>普広銀市役所</v>
      </c>
      <c r="K70" s="5" t="n">
        <f aca="false">IF(AND(H70&lt;&gt;0,IF(設定!$B$6="入金確認済のみ",C70="入金確認済",OR(C70="入金確認済",C70="受領済"))),1,0)</f>
        <v>0</v>
      </c>
      <c r="L70" s="5" t="str">
        <f aca="false">1&amp;"|"&amp;13</f>
        <v>1|13</v>
      </c>
      <c r="M70" s="5" t="n">
        <f aca="false">IF(L70=L69,M69,0)+K70</f>
        <v>0</v>
      </c>
      <c r="N70" s="5" t="n">
        <f aca="false">IF(AND(K70=1,M70=1),1,0)</f>
        <v>0</v>
      </c>
      <c r="O70" s="5" t="str">
        <f aca="false">IF(K70=1,MAX($O$5:O69)+1,"")</f>
        <v/>
      </c>
      <c r="P70" s="5" t="str">
        <f aca="false">IF(K70=1,SUM($N$6:N70),"")</f>
        <v/>
      </c>
      <c r="Q70" s="5" t="str">
        <f aca="false">IF(K70=1,SUMIFS($H$6:$H$511,$L$6:$L$511,L70,$K$6:$K$511,1),"")</f>
        <v/>
      </c>
      <c r="R70" s="78" t="str">
        <f aca="false">IF(B70="","",IF(INDEX(報告入力!$X$7:$X$696,B70)="","",INDEX(報告入力!$X$7:$X$696,B70)))</f>
        <v/>
      </c>
      <c r="S70" s="5" t="str">
        <f aca="false">設定!$C$50</f>
        <v>長期：経過的長期</v>
      </c>
    </row>
    <row r="71" customFormat="false" ht="15" hidden="false" customHeight="false" outlineLevel="0" collapsed="false">
      <c r="A71" s="5" t="str">
        <f aca="false">設定!B74</f>
        <v>平和文化センター</v>
      </c>
      <c r="B71" s="5" t="n">
        <f aca="false">IFERROR(MATCH(ホーム!$C$4&amp;"|"&amp;A71,報告入力!$CG$7:$CG$696,0),"")</f>
        <v>336</v>
      </c>
      <c r="C71" s="5" t="str">
        <f aca="false">IF(B71="","",INDEX(報告入力!$C$7:$C$696,B71))</f>
        <v>未受領</v>
      </c>
      <c r="D71" s="5" t="str">
        <f aca="false">設定!$A$39</f>
        <v>長期（厚生年金保険経理）</v>
      </c>
      <c r="E71" s="5" t="str">
        <f aca="false">設定!$B$39&amp;""</f>
        <v>130</v>
      </c>
      <c r="F71" s="5" t="str">
        <f aca="false">設定!$D$46&amp;""</f>
        <v>6102102000</v>
      </c>
      <c r="G71" s="5" t="str">
        <f aca="false">設定!$E$46&amp;""</f>
        <v>標月額保険料</v>
      </c>
      <c r="H71" s="5" t="n">
        <f aca="false">IF(B71="",0,N(INDEX(報告入力!$AU$7:$AU$696,B71)))</f>
        <v>0</v>
      </c>
      <c r="I71" s="5" t="str">
        <f aca="false">設定!$C$39&amp;""</f>
        <v>1104001001</v>
      </c>
      <c r="J71" s="5" t="str">
        <f aca="false">設定!$D$39&amp;""</f>
        <v>普広銀市役所</v>
      </c>
      <c r="K71" s="5" t="n">
        <f aca="false">IF(AND(H71&lt;&gt;0,IF(設定!$B$6="入金確認済のみ",C71="入金確認済",OR(C71="入金確認済",C71="受領済"))),1,0)</f>
        <v>0</v>
      </c>
      <c r="L71" s="5" t="str">
        <f aca="false">1&amp;"|"&amp;14</f>
        <v>1|14</v>
      </c>
      <c r="M71" s="5" t="n">
        <f aca="false">IF(L71=L70,M70,0)+K71</f>
        <v>0</v>
      </c>
      <c r="N71" s="5" t="n">
        <f aca="false">IF(AND(K71=1,M71=1),1,0)</f>
        <v>0</v>
      </c>
      <c r="O71" s="5" t="str">
        <f aca="false">IF(K71=1,MAX($O$5:O70)+1,"")</f>
        <v/>
      </c>
      <c r="P71" s="5" t="str">
        <f aca="false">IF(K71=1,SUM($N$6:N71),"")</f>
        <v/>
      </c>
      <c r="Q71" s="5" t="str">
        <f aca="false">IF(K71=1,SUMIFS($H$6:$H$511,$L$6:$L$511,L71,$K$6:$K$511,1),"")</f>
        <v/>
      </c>
      <c r="R71" s="78" t="str">
        <f aca="false">IF(B71="","",IF(INDEX(報告入力!$X$7:$X$696,B71)="","",INDEX(報告入力!$X$7:$X$696,B71)))</f>
        <v/>
      </c>
      <c r="S71" s="5" t="str">
        <f aca="false">設定!$C$46</f>
        <v>長期：厚生年金保険料（組合員負担分）</v>
      </c>
    </row>
    <row r="72" customFormat="false" ht="15" hidden="false" customHeight="false" outlineLevel="0" collapsed="false">
      <c r="A72" s="5" t="str">
        <f aca="false">設定!B74</f>
        <v>平和文化センター</v>
      </c>
      <c r="B72" s="5" t="n">
        <f aca="false">IFERROR(MATCH(ホーム!$C$4&amp;"|"&amp;A72,報告入力!$CG$7:$CG$696,0),"")</f>
        <v>336</v>
      </c>
      <c r="C72" s="5" t="str">
        <f aca="false">IF(B72="","",INDEX(報告入力!$C$7:$C$696,B72))</f>
        <v>未受領</v>
      </c>
      <c r="D72" s="5" t="str">
        <f aca="false">設定!$A$39</f>
        <v>長期（厚生年金保険経理）</v>
      </c>
      <c r="E72" s="5" t="str">
        <f aca="false">設定!$B$39&amp;""</f>
        <v>130</v>
      </c>
      <c r="F72" s="5" t="str">
        <f aca="false">設定!$D$47&amp;""</f>
        <v>2109001014</v>
      </c>
      <c r="G72" s="5" t="str">
        <f aca="false">設定!$E$47&amp;""</f>
        <v>退職標報掛金</v>
      </c>
      <c r="H72" s="5" t="n">
        <f aca="false">IF(B72="",0,N(INDEX(報告入力!$AV$7:$AV$696,B72)))</f>
        <v>0</v>
      </c>
      <c r="I72" s="5" t="str">
        <f aca="false">設定!$C$39&amp;""</f>
        <v>1104001001</v>
      </c>
      <c r="J72" s="5" t="str">
        <f aca="false">設定!$D$39&amp;""</f>
        <v>普広銀市役所</v>
      </c>
      <c r="K72" s="5" t="n">
        <f aca="false">IF(AND(H72&lt;&gt;0,IF(設定!$B$6="入金確認済のみ",C72="入金確認済",OR(C72="入金確認済",C72="受領済"))),1,0)</f>
        <v>0</v>
      </c>
      <c r="L72" s="5" t="str">
        <f aca="false">1&amp;"|"&amp;14</f>
        <v>1|14</v>
      </c>
      <c r="M72" s="5" t="n">
        <f aca="false">IF(L72=L71,M71,0)+K72</f>
        <v>0</v>
      </c>
      <c r="N72" s="5" t="n">
        <f aca="false">IF(AND(K72=1,M72=1),1,0)</f>
        <v>0</v>
      </c>
      <c r="O72" s="5" t="str">
        <f aca="false">IF(K72=1,MAX($O$5:O71)+1,"")</f>
        <v/>
      </c>
      <c r="P72" s="5" t="str">
        <f aca="false">IF(K72=1,SUM($N$6:N72),"")</f>
        <v/>
      </c>
      <c r="Q72" s="5" t="str">
        <f aca="false">IF(K72=1,SUMIFS($H$6:$H$511,$L$6:$L$511,L72,$K$6:$K$511,1),"")</f>
        <v/>
      </c>
      <c r="R72" s="78" t="str">
        <f aca="false">IF(B72="","",IF(INDEX(報告入力!$X$7:$X$696,B72)="","",INDEX(報告入力!$X$7:$X$696,B72)))</f>
        <v/>
      </c>
      <c r="S72" s="5" t="str">
        <f aca="false">設定!$C$47</f>
        <v>長期：退職等年金掛金</v>
      </c>
    </row>
    <row r="73" customFormat="false" ht="15" hidden="false" customHeight="false" outlineLevel="0" collapsed="false">
      <c r="A73" s="5" t="str">
        <f aca="false">設定!B74</f>
        <v>平和文化センター</v>
      </c>
      <c r="B73" s="5" t="n">
        <f aca="false">IFERROR(MATCH(ホーム!$C$4&amp;"|"&amp;A73,報告入力!$CG$7:$CG$696,0),"")</f>
        <v>336</v>
      </c>
      <c r="C73" s="5" t="str">
        <f aca="false">IF(B73="","",INDEX(報告入力!$C$7:$C$696,B73))</f>
        <v>未受領</v>
      </c>
      <c r="D73" s="5" t="str">
        <f aca="false">設定!$A$39</f>
        <v>長期（厚生年金保険経理）</v>
      </c>
      <c r="E73" s="5" t="str">
        <f aca="false">設定!$B$39&amp;""</f>
        <v>130</v>
      </c>
      <c r="F73" s="5" t="str">
        <f aca="false">設定!$D$48&amp;""</f>
        <v>6101002000</v>
      </c>
      <c r="G73" s="5" t="str">
        <f aca="false">設定!$E$48&amp;""</f>
        <v>負担地方公共</v>
      </c>
      <c r="H73" s="5" t="n">
        <f aca="false">IF(B73="",0,N(INDEX(報告入力!$AW$7:$AW$696,B73)))</f>
        <v>695400</v>
      </c>
      <c r="I73" s="5" t="str">
        <f aca="false">設定!$C$39&amp;""</f>
        <v>1104001001</v>
      </c>
      <c r="J73" s="5" t="str">
        <f aca="false">設定!$D$39&amp;""</f>
        <v>普広銀市役所</v>
      </c>
      <c r="K73" s="5" t="n">
        <f aca="false">IF(AND(H73&lt;&gt;0,IF(設定!$B$6="入金確認済のみ",C73="入金確認済",OR(C73="入金確認済",C73="受領済"))),1,0)</f>
        <v>0</v>
      </c>
      <c r="L73" s="5" t="str">
        <f aca="false">1&amp;"|"&amp;14</f>
        <v>1|14</v>
      </c>
      <c r="M73" s="5" t="n">
        <f aca="false">IF(L73=L72,M72,0)+K73</f>
        <v>0</v>
      </c>
      <c r="N73" s="5" t="n">
        <f aca="false">IF(AND(K73=1,M73=1),1,0)</f>
        <v>0</v>
      </c>
      <c r="O73" s="5" t="str">
        <f aca="false">IF(K73=1,MAX($O$5:O72)+1,"")</f>
        <v/>
      </c>
      <c r="P73" s="5" t="str">
        <f aca="false">IF(K73=1,SUM($N$6:N73),"")</f>
        <v/>
      </c>
      <c r="Q73" s="5" t="str">
        <f aca="false">IF(K73=1,SUMIFS($H$6:$H$511,$L$6:$L$511,L73,$K$6:$K$511,1),"")</f>
        <v/>
      </c>
      <c r="R73" s="78" t="str">
        <f aca="false">IF(B73="","",IF(INDEX(報告入力!$X$7:$X$696,B73)="","",INDEX(報告入力!$X$7:$X$696,B73)))</f>
        <v/>
      </c>
      <c r="S73" s="5" t="str">
        <f aca="false">設定!$C$48</f>
        <v>長期：厚生年金保険料（事業主負担分）</v>
      </c>
    </row>
    <row r="74" customFormat="false" ht="15" hidden="false" customHeight="false" outlineLevel="0" collapsed="false">
      <c r="A74" s="5" t="str">
        <f aca="false">設定!B74</f>
        <v>平和文化センター</v>
      </c>
      <c r="B74" s="5" t="n">
        <f aca="false">IFERROR(MATCH(ホーム!$C$4&amp;"|"&amp;A74,報告入力!$CG$7:$CG$696,0),"")</f>
        <v>336</v>
      </c>
      <c r="C74" s="5" t="str">
        <f aca="false">IF(B74="","",INDEX(報告入力!$C$7:$C$696,B74))</f>
        <v>未受領</v>
      </c>
      <c r="D74" s="5" t="str">
        <f aca="false">設定!$A$39</f>
        <v>長期（厚生年金保険経理）</v>
      </c>
      <c r="E74" s="5" t="str">
        <f aca="false">設定!$B$39&amp;""</f>
        <v>130</v>
      </c>
      <c r="F74" s="5" t="str">
        <f aca="false">設定!$D$49&amp;""</f>
        <v>2109001015</v>
      </c>
      <c r="G74" s="5" t="str">
        <f aca="false">設定!$E$49&amp;""</f>
        <v>退職負担地方</v>
      </c>
      <c r="H74" s="5" t="n">
        <f aca="false">IF(B74="",0,N(INDEX(報告入力!$AX$7:$AX$696,B74)))</f>
        <v>57000</v>
      </c>
      <c r="I74" s="5" t="str">
        <f aca="false">設定!$C$39&amp;""</f>
        <v>1104001001</v>
      </c>
      <c r="J74" s="5" t="str">
        <f aca="false">設定!$D$39&amp;""</f>
        <v>普広銀市役所</v>
      </c>
      <c r="K74" s="5" t="n">
        <f aca="false">IF(AND(H74&lt;&gt;0,IF(設定!$B$6="入金確認済のみ",C74="入金確認済",OR(C74="入金確認済",C74="受領済"))),1,0)</f>
        <v>0</v>
      </c>
      <c r="L74" s="5" t="str">
        <f aca="false">1&amp;"|"&amp;14</f>
        <v>1|14</v>
      </c>
      <c r="M74" s="5" t="n">
        <f aca="false">IF(L74=L73,M73,0)+K74</f>
        <v>0</v>
      </c>
      <c r="N74" s="5" t="n">
        <f aca="false">IF(AND(K74=1,M74=1),1,0)</f>
        <v>0</v>
      </c>
      <c r="O74" s="5" t="str">
        <f aca="false">IF(K74=1,MAX($O$5:O73)+1,"")</f>
        <v/>
      </c>
      <c r="P74" s="5" t="str">
        <f aca="false">IF(K74=1,SUM($N$6:N74),"")</f>
        <v/>
      </c>
      <c r="Q74" s="5" t="str">
        <f aca="false">IF(K74=1,SUMIFS($H$6:$H$511,$L$6:$L$511,L74,$K$6:$K$511,1),"")</f>
        <v/>
      </c>
      <c r="R74" s="78" t="str">
        <f aca="false">IF(B74="","",IF(INDEX(報告入力!$X$7:$X$696,B74)="","",INDEX(報告入力!$X$7:$X$696,B74)))</f>
        <v/>
      </c>
      <c r="S74" s="5" t="str">
        <f aca="false">設定!$C$49</f>
        <v>長期：退職等年金負担金</v>
      </c>
    </row>
    <row r="75" customFormat="false" ht="15" hidden="false" customHeight="false" outlineLevel="0" collapsed="false">
      <c r="A75" s="5" t="str">
        <f aca="false">設定!B74</f>
        <v>平和文化センター</v>
      </c>
      <c r="B75" s="5" t="n">
        <f aca="false">IFERROR(MATCH(ホーム!$C$4&amp;"|"&amp;A75,報告入力!$CG$7:$CG$696,0),"")</f>
        <v>336</v>
      </c>
      <c r="C75" s="5" t="str">
        <f aca="false">IF(B75="","",INDEX(報告入力!$C$7:$C$696,B75))</f>
        <v>未受領</v>
      </c>
      <c r="D75" s="5" t="str">
        <f aca="false">設定!$A$39</f>
        <v>長期（厚生年金保険経理）</v>
      </c>
      <c r="E75" s="5" t="str">
        <f aca="false">設定!$B$39&amp;""</f>
        <v>130</v>
      </c>
      <c r="F75" s="5" t="str">
        <f aca="false">設定!$D$50&amp;""</f>
        <v>2109001017</v>
      </c>
      <c r="G75" s="5" t="str">
        <f aca="false">設定!$E$50&amp;""</f>
        <v>経過的負担金</v>
      </c>
      <c r="H75" s="5" t="n">
        <f aca="false">IF(B75="",0,N(INDEX(報告入力!$AY$7:$AY$696,B75)))</f>
        <v>713</v>
      </c>
      <c r="I75" s="5" t="str">
        <f aca="false">設定!$C$39&amp;""</f>
        <v>1104001001</v>
      </c>
      <c r="J75" s="5" t="str">
        <f aca="false">設定!$D$39&amp;""</f>
        <v>普広銀市役所</v>
      </c>
      <c r="K75" s="5" t="n">
        <f aca="false">IF(AND(H75&lt;&gt;0,IF(設定!$B$6="入金確認済のみ",C75="入金確認済",OR(C75="入金確認済",C75="受領済"))),1,0)</f>
        <v>0</v>
      </c>
      <c r="L75" s="5" t="str">
        <f aca="false">1&amp;"|"&amp;14</f>
        <v>1|14</v>
      </c>
      <c r="M75" s="5" t="n">
        <f aca="false">IF(L75=L74,M74,0)+K75</f>
        <v>0</v>
      </c>
      <c r="N75" s="5" t="n">
        <f aca="false">IF(AND(K75=1,M75=1),1,0)</f>
        <v>0</v>
      </c>
      <c r="O75" s="5" t="str">
        <f aca="false">IF(K75=1,MAX($O$5:O74)+1,"")</f>
        <v/>
      </c>
      <c r="P75" s="5" t="str">
        <f aca="false">IF(K75=1,SUM($N$6:N75),"")</f>
        <v/>
      </c>
      <c r="Q75" s="5" t="str">
        <f aca="false">IF(K75=1,SUMIFS($H$6:$H$511,$L$6:$L$511,L75,$K$6:$K$511,1),"")</f>
        <v/>
      </c>
      <c r="R75" s="78" t="str">
        <f aca="false">IF(B75="","",IF(INDEX(報告入力!$X$7:$X$696,B75)="","",INDEX(報告入力!$X$7:$X$696,B75)))</f>
        <v/>
      </c>
      <c r="S75" s="5" t="str">
        <f aca="false">設定!$C$50</f>
        <v>長期：経過的長期</v>
      </c>
    </row>
    <row r="76" customFormat="false" ht="15" hidden="false" customHeight="false" outlineLevel="0" collapsed="false">
      <c r="A76" s="5" t="str">
        <f aca="false">設定!B75</f>
        <v>社会福祉事業団</v>
      </c>
      <c r="B76" s="5" t="n">
        <f aca="false">IFERROR(MATCH(ホーム!$C$4&amp;"|"&amp;A76,報告入力!$CG$7:$CG$696,0),"")</f>
        <v>337</v>
      </c>
      <c r="C76" s="5" t="str">
        <f aca="false">IF(B76="","",INDEX(報告入力!$C$7:$C$696,B76))</f>
        <v>未受領</v>
      </c>
      <c r="D76" s="5" t="str">
        <f aca="false">設定!$A$39</f>
        <v>長期（厚生年金保険経理）</v>
      </c>
      <c r="E76" s="5" t="str">
        <f aca="false">設定!$B$39&amp;""</f>
        <v>130</v>
      </c>
      <c r="F76" s="5" t="str">
        <f aca="false">設定!$D$46&amp;""</f>
        <v>6102102000</v>
      </c>
      <c r="G76" s="5" t="str">
        <f aca="false">設定!$E$46&amp;""</f>
        <v>標月額保険料</v>
      </c>
      <c r="H76" s="5" t="n">
        <f aca="false">IF(B76="",0,N(INDEX(報告入力!$AU$7:$AU$696,B76)))</f>
        <v>0</v>
      </c>
      <c r="I76" s="5" t="str">
        <f aca="false">設定!$C$39&amp;""</f>
        <v>1104001001</v>
      </c>
      <c r="J76" s="5" t="str">
        <f aca="false">設定!$D$39&amp;""</f>
        <v>普広銀市役所</v>
      </c>
      <c r="K76" s="5" t="n">
        <f aca="false">IF(AND(H76&lt;&gt;0,IF(設定!$B$6="入金確認済のみ",C76="入金確認済",OR(C76="入金確認済",C76="受領済"))),1,0)</f>
        <v>0</v>
      </c>
      <c r="L76" s="5" t="str">
        <f aca="false">1&amp;"|"&amp;15</f>
        <v>1|15</v>
      </c>
      <c r="M76" s="5" t="n">
        <f aca="false">IF(L76=L75,M75,0)+K76</f>
        <v>0</v>
      </c>
      <c r="N76" s="5" t="n">
        <f aca="false">IF(AND(K76=1,M76=1),1,0)</f>
        <v>0</v>
      </c>
      <c r="O76" s="5" t="str">
        <f aca="false">IF(K76=1,MAX($O$5:O75)+1,"")</f>
        <v/>
      </c>
      <c r="P76" s="5" t="str">
        <f aca="false">IF(K76=1,SUM($N$6:N76),"")</f>
        <v/>
      </c>
      <c r="Q76" s="5" t="str">
        <f aca="false">IF(K76=1,SUMIFS($H$6:$H$511,$L$6:$L$511,L76,$K$6:$K$511,1),"")</f>
        <v/>
      </c>
      <c r="R76" s="78" t="str">
        <f aca="false">IF(B76="","",IF(INDEX(報告入力!$X$7:$X$696,B76)="","",INDEX(報告入力!$X$7:$X$696,B76)))</f>
        <v/>
      </c>
      <c r="S76" s="5" t="str">
        <f aca="false">設定!$C$46</f>
        <v>長期：厚生年金保険料（組合員負担分）</v>
      </c>
    </row>
    <row r="77" customFormat="false" ht="15" hidden="false" customHeight="false" outlineLevel="0" collapsed="false">
      <c r="A77" s="5" t="str">
        <f aca="false">設定!B75</f>
        <v>社会福祉事業団</v>
      </c>
      <c r="B77" s="5" t="n">
        <f aca="false">IFERROR(MATCH(ホーム!$C$4&amp;"|"&amp;A77,報告入力!$CG$7:$CG$696,0),"")</f>
        <v>337</v>
      </c>
      <c r="C77" s="5" t="str">
        <f aca="false">IF(B77="","",INDEX(報告入力!$C$7:$C$696,B77))</f>
        <v>未受領</v>
      </c>
      <c r="D77" s="5" t="str">
        <f aca="false">設定!$A$39</f>
        <v>長期（厚生年金保険経理）</v>
      </c>
      <c r="E77" s="5" t="str">
        <f aca="false">設定!$B$39&amp;""</f>
        <v>130</v>
      </c>
      <c r="F77" s="5" t="str">
        <f aca="false">設定!$D$47&amp;""</f>
        <v>2109001014</v>
      </c>
      <c r="G77" s="5" t="str">
        <f aca="false">設定!$E$47&amp;""</f>
        <v>退職標報掛金</v>
      </c>
      <c r="H77" s="5" t="n">
        <f aca="false">IF(B77="",0,N(INDEX(報告入力!$AV$7:$AV$696,B77)))</f>
        <v>0</v>
      </c>
      <c r="I77" s="5" t="str">
        <f aca="false">設定!$C$39&amp;""</f>
        <v>1104001001</v>
      </c>
      <c r="J77" s="5" t="str">
        <f aca="false">設定!$D$39&amp;""</f>
        <v>普広銀市役所</v>
      </c>
      <c r="K77" s="5" t="n">
        <f aca="false">IF(AND(H77&lt;&gt;0,IF(設定!$B$6="入金確認済のみ",C77="入金確認済",OR(C77="入金確認済",C77="受領済"))),1,0)</f>
        <v>0</v>
      </c>
      <c r="L77" s="5" t="str">
        <f aca="false">1&amp;"|"&amp;15</f>
        <v>1|15</v>
      </c>
      <c r="M77" s="5" t="n">
        <f aca="false">IF(L77=L76,M76,0)+K77</f>
        <v>0</v>
      </c>
      <c r="N77" s="5" t="n">
        <f aca="false">IF(AND(K77=1,M77=1),1,0)</f>
        <v>0</v>
      </c>
      <c r="O77" s="5" t="str">
        <f aca="false">IF(K77=1,MAX($O$5:O76)+1,"")</f>
        <v/>
      </c>
      <c r="P77" s="5" t="str">
        <f aca="false">IF(K77=1,SUM($N$6:N77),"")</f>
        <v/>
      </c>
      <c r="Q77" s="5" t="str">
        <f aca="false">IF(K77=1,SUMIFS($H$6:$H$511,$L$6:$L$511,L77,$K$6:$K$511,1),"")</f>
        <v/>
      </c>
      <c r="R77" s="78" t="str">
        <f aca="false">IF(B77="","",IF(INDEX(報告入力!$X$7:$X$696,B77)="","",INDEX(報告入力!$X$7:$X$696,B77)))</f>
        <v/>
      </c>
      <c r="S77" s="5" t="str">
        <f aca="false">設定!$C$47</f>
        <v>長期：退職等年金掛金</v>
      </c>
    </row>
    <row r="78" customFormat="false" ht="15" hidden="false" customHeight="false" outlineLevel="0" collapsed="false">
      <c r="A78" s="5" t="str">
        <f aca="false">設定!B75</f>
        <v>社会福祉事業団</v>
      </c>
      <c r="B78" s="5" t="n">
        <f aca="false">IFERROR(MATCH(ホーム!$C$4&amp;"|"&amp;A78,報告入力!$CG$7:$CG$696,0),"")</f>
        <v>337</v>
      </c>
      <c r="C78" s="5" t="str">
        <f aca="false">IF(B78="","",INDEX(報告入力!$C$7:$C$696,B78))</f>
        <v>未受領</v>
      </c>
      <c r="D78" s="5" t="str">
        <f aca="false">設定!$A$39</f>
        <v>長期（厚生年金保険経理）</v>
      </c>
      <c r="E78" s="5" t="str">
        <f aca="false">設定!$B$39&amp;""</f>
        <v>130</v>
      </c>
      <c r="F78" s="5" t="str">
        <f aca="false">設定!$D$48&amp;""</f>
        <v>6101002000</v>
      </c>
      <c r="G78" s="5" t="str">
        <f aca="false">設定!$E$48&amp;""</f>
        <v>負担地方公共</v>
      </c>
      <c r="H78" s="5" t="n">
        <f aca="false">IF(B78="",0,N(INDEX(報告入力!$AW$7:$AW$696,B78)))</f>
        <v>1881240</v>
      </c>
      <c r="I78" s="5" t="str">
        <f aca="false">設定!$C$39&amp;""</f>
        <v>1104001001</v>
      </c>
      <c r="J78" s="5" t="str">
        <f aca="false">設定!$D$39&amp;""</f>
        <v>普広銀市役所</v>
      </c>
      <c r="K78" s="5" t="n">
        <f aca="false">IF(AND(H78&lt;&gt;0,IF(設定!$B$6="入金確認済のみ",C78="入金確認済",OR(C78="入金確認済",C78="受領済"))),1,0)</f>
        <v>0</v>
      </c>
      <c r="L78" s="5" t="str">
        <f aca="false">1&amp;"|"&amp;15</f>
        <v>1|15</v>
      </c>
      <c r="M78" s="5" t="n">
        <f aca="false">IF(L78=L77,M77,0)+K78</f>
        <v>0</v>
      </c>
      <c r="N78" s="5" t="n">
        <f aca="false">IF(AND(K78=1,M78=1),1,0)</f>
        <v>0</v>
      </c>
      <c r="O78" s="5" t="str">
        <f aca="false">IF(K78=1,MAX($O$5:O77)+1,"")</f>
        <v/>
      </c>
      <c r="P78" s="5" t="str">
        <f aca="false">IF(K78=1,SUM($N$6:N78),"")</f>
        <v/>
      </c>
      <c r="Q78" s="5" t="str">
        <f aca="false">IF(K78=1,SUMIFS($H$6:$H$511,$L$6:$L$511,L78,$K$6:$K$511,1),"")</f>
        <v/>
      </c>
      <c r="R78" s="78" t="str">
        <f aca="false">IF(B78="","",IF(INDEX(報告入力!$X$7:$X$696,B78)="","",INDEX(報告入力!$X$7:$X$696,B78)))</f>
        <v/>
      </c>
      <c r="S78" s="5" t="str">
        <f aca="false">設定!$C$48</f>
        <v>長期：厚生年金保険料（事業主負担分）</v>
      </c>
    </row>
    <row r="79" customFormat="false" ht="15" hidden="false" customHeight="false" outlineLevel="0" collapsed="false">
      <c r="A79" s="5" t="str">
        <f aca="false">設定!B75</f>
        <v>社会福祉事業団</v>
      </c>
      <c r="B79" s="5" t="n">
        <f aca="false">IFERROR(MATCH(ホーム!$C$4&amp;"|"&amp;A79,報告入力!$CG$7:$CG$696,0),"")</f>
        <v>337</v>
      </c>
      <c r="C79" s="5" t="str">
        <f aca="false">IF(B79="","",INDEX(報告入力!$C$7:$C$696,B79))</f>
        <v>未受領</v>
      </c>
      <c r="D79" s="5" t="str">
        <f aca="false">設定!$A$39</f>
        <v>長期（厚生年金保険経理）</v>
      </c>
      <c r="E79" s="5" t="str">
        <f aca="false">設定!$B$39&amp;""</f>
        <v>130</v>
      </c>
      <c r="F79" s="5" t="str">
        <f aca="false">設定!$D$49&amp;""</f>
        <v>2109001015</v>
      </c>
      <c r="G79" s="5" t="str">
        <f aca="false">設定!$E$49&amp;""</f>
        <v>退職負担地方</v>
      </c>
      <c r="H79" s="5" t="n">
        <f aca="false">IF(B79="",0,N(INDEX(報告入力!$AX$7:$AX$696,B79)))</f>
        <v>154200</v>
      </c>
      <c r="I79" s="5" t="str">
        <f aca="false">設定!$C$39&amp;""</f>
        <v>1104001001</v>
      </c>
      <c r="J79" s="5" t="str">
        <f aca="false">設定!$D$39&amp;""</f>
        <v>普広銀市役所</v>
      </c>
      <c r="K79" s="5" t="n">
        <f aca="false">IF(AND(H79&lt;&gt;0,IF(設定!$B$6="入金確認済のみ",C79="入金確認済",OR(C79="入金確認済",C79="受領済"))),1,0)</f>
        <v>0</v>
      </c>
      <c r="L79" s="5" t="str">
        <f aca="false">1&amp;"|"&amp;15</f>
        <v>1|15</v>
      </c>
      <c r="M79" s="5" t="n">
        <f aca="false">IF(L79=L78,M78,0)+K79</f>
        <v>0</v>
      </c>
      <c r="N79" s="5" t="n">
        <f aca="false">IF(AND(K79=1,M79=1),1,0)</f>
        <v>0</v>
      </c>
      <c r="O79" s="5" t="str">
        <f aca="false">IF(K79=1,MAX($O$5:O78)+1,"")</f>
        <v/>
      </c>
      <c r="P79" s="5" t="str">
        <f aca="false">IF(K79=1,SUM($N$6:N79),"")</f>
        <v/>
      </c>
      <c r="Q79" s="5" t="str">
        <f aca="false">IF(K79=1,SUMIFS($H$6:$H$511,$L$6:$L$511,L79,$K$6:$K$511,1),"")</f>
        <v/>
      </c>
      <c r="R79" s="78" t="str">
        <f aca="false">IF(B79="","",IF(INDEX(報告入力!$X$7:$X$696,B79)="","",INDEX(報告入力!$X$7:$X$696,B79)))</f>
        <v/>
      </c>
      <c r="S79" s="5" t="str">
        <f aca="false">設定!$C$49</f>
        <v>長期：退職等年金負担金</v>
      </c>
    </row>
    <row r="80" customFormat="false" ht="15" hidden="false" customHeight="false" outlineLevel="0" collapsed="false">
      <c r="A80" s="5" t="str">
        <f aca="false">設定!B75</f>
        <v>社会福祉事業団</v>
      </c>
      <c r="B80" s="5" t="n">
        <f aca="false">IFERROR(MATCH(ホーム!$C$4&amp;"|"&amp;A80,報告入力!$CG$7:$CG$696,0),"")</f>
        <v>337</v>
      </c>
      <c r="C80" s="5" t="str">
        <f aca="false">IF(B80="","",INDEX(報告入力!$C$7:$C$696,B80))</f>
        <v>未受領</v>
      </c>
      <c r="D80" s="5" t="str">
        <f aca="false">設定!$A$39</f>
        <v>長期（厚生年金保険経理）</v>
      </c>
      <c r="E80" s="5" t="str">
        <f aca="false">設定!$B$39&amp;""</f>
        <v>130</v>
      </c>
      <c r="F80" s="5" t="str">
        <f aca="false">設定!$D$50&amp;""</f>
        <v>2109001017</v>
      </c>
      <c r="G80" s="5" t="str">
        <f aca="false">設定!$E$50&amp;""</f>
        <v>経過的負担金</v>
      </c>
      <c r="H80" s="5" t="n">
        <f aca="false">IF(B80="",0,N(INDEX(報告入力!$AY$7:$AY$696,B80)))</f>
        <v>1960</v>
      </c>
      <c r="I80" s="5" t="str">
        <f aca="false">設定!$C$39&amp;""</f>
        <v>1104001001</v>
      </c>
      <c r="J80" s="5" t="str">
        <f aca="false">設定!$D$39&amp;""</f>
        <v>普広銀市役所</v>
      </c>
      <c r="K80" s="5" t="n">
        <f aca="false">IF(AND(H80&lt;&gt;0,IF(設定!$B$6="入金確認済のみ",C80="入金確認済",OR(C80="入金確認済",C80="受領済"))),1,0)</f>
        <v>0</v>
      </c>
      <c r="L80" s="5" t="str">
        <f aca="false">1&amp;"|"&amp;15</f>
        <v>1|15</v>
      </c>
      <c r="M80" s="5" t="n">
        <f aca="false">IF(L80=L79,M79,0)+K80</f>
        <v>0</v>
      </c>
      <c r="N80" s="5" t="n">
        <f aca="false">IF(AND(K80=1,M80=1),1,0)</f>
        <v>0</v>
      </c>
      <c r="O80" s="5" t="str">
        <f aca="false">IF(K80=1,MAX($O$5:O79)+1,"")</f>
        <v/>
      </c>
      <c r="P80" s="5" t="str">
        <f aca="false">IF(K80=1,SUM($N$6:N80),"")</f>
        <v/>
      </c>
      <c r="Q80" s="5" t="str">
        <f aca="false">IF(K80=1,SUMIFS($H$6:$H$511,$L$6:$L$511,L80,$K$6:$K$511,1),"")</f>
        <v/>
      </c>
      <c r="R80" s="78" t="str">
        <f aca="false">IF(B80="","",IF(INDEX(報告入力!$X$7:$X$696,B80)="","",INDEX(報告入力!$X$7:$X$696,B80)))</f>
        <v/>
      </c>
      <c r="S80" s="5" t="str">
        <f aca="false">設定!$C$50</f>
        <v>長期：経過的長期</v>
      </c>
    </row>
    <row r="81" customFormat="false" ht="15" hidden="false" customHeight="false" outlineLevel="0" collapsed="false">
      <c r="A81" s="5" t="str">
        <f aca="false">設定!B76</f>
        <v>原爆障害対策協議会</v>
      </c>
      <c r="B81" s="5" t="n">
        <f aca="false">IFERROR(MATCH(ホーム!$C$4&amp;"|"&amp;A81,報告入力!$CG$7:$CG$696,0),"")</f>
        <v>338</v>
      </c>
      <c r="C81" s="5" t="str">
        <f aca="false">IF(B81="","",INDEX(報告入力!$C$7:$C$696,B81))</f>
        <v>未受領</v>
      </c>
      <c r="D81" s="5" t="str">
        <f aca="false">設定!$A$39</f>
        <v>長期（厚生年金保険経理）</v>
      </c>
      <c r="E81" s="5" t="str">
        <f aca="false">設定!$B$39&amp;""</f>
        <v>130</v>
      </c>
      <c r="F81" s="5" t="str">
        <f aca="false">設定!$D$46&amp;""</f>
        <v>6102102000</v>
      </c>
      <c r="G81" s="5" t="str">
        <f aca="false">設定!$E$46&amp;""</f>
        <v>標月額保険料</v>
      </c>
      <c r="H81" s="5" t="n">
        <f aca="false">IF(B81="",0,N(INDEX(報告入力!$AU$7:$AU$696,B81)))</f>
        <v>0</v>
      </c>
      <c r="I81" s="5" t="str">
        <f aca="false">設定!$C$39&amp;""</f>
        <v>1104001001</v>
      </c>
      <c r="J81" s="5" t="str">
        <f aca="false">設定!$D$39&amp;""</f>
        <v>普広銀市役所</v>
      </c>
      <c r="K81" s="5" t="n">
        <f aca="false">IF(AND(H81&lt;&gt;0,IF(設定!$B$6="入金確認済のみ",C81="入金確認済",OR(C81="入金確認済",C81="受領済"))),1,0)</f>
        <v>0</v>
      </c>
      <c r="L81" s="5" t="str">
        <f aca="false">1&amp;"|"&amp;16</f>
        <v>1|16</v>
      </c>
      <c r="M81" s="5" t="n">
        <f aca="false">IF(L81=L80,M80,0)+K81</f>
        <v>0</v>
      </c>
      <c r="N81" s="5" t="n">
        <f aca="false">IF(AND(K81=1,M81=1),1,0)</f>
        <v>0</v>
      </c>
      <c r="O81" s="5" t="str">
        <f aca="false">IF(K81=1,MAX($O$5:O80)+1,"")</f>
        <v/>
      </c>
      <c r="P81" s="5" t="str">
        <f aca="false">IF(K81=1,SUM($N$6:N81),"")</f>
        <v/>
      </c>
      <c r="Q81" s="5" t="str">
        <f aca="false">IF(K81=1,SUMIFS($H$6:$H$511,$L$6:$L$511,L81,$K$6:$K$511,1),"")</f>
        <v/>
      </c>
      <c r="R81" s="78" t="str">
        <f aca="false">IF(B81="","",IF(INDEX(報告入力!$X$7:$X$696,B81)="","",INDEX(報告入力!$X$7:$X$696,B81)))</f>
        <v/>
      </c>
      <c r="S81" s="5" t="str">
        <f aca="false">設定!$C$46</f>
        <v>長期：厚生年金保険料（組合員負担分）</v>
      </c>
    </row>
    <row r="82" customFormat="false" ht="15" hidden="false" customHeight="false" outlineLevel="0" collapsed="false">
      <c r="A82" s="5" t="str">
        <f aca="false">設定!B76</f>
        <v>原爆障害対策協議会</v>
      </c>
      <c r="B82" s="5" t="n">
        <f aca="false">IFERROR(MATCH(ホーム!$C$4&amp;"|"&amp;A82,報告入力!$CG$7:$CG$696,0),"")</f>
        <v>338</v>
      </c>
      <c r="C82" s="5" t="str">
        <f aca="false">IF(B82="","",INDEX(報告入力!$C$7:$C$696,B82))</f>
        <v>未受領</v>
      </c>
      <c r="D82" s="5" t="str">
        <f aca="false">設定!$A$39</f>
        <v>長期（厚生年金保険経理）</v>
      </c>
      <c r="E82" s="5" t="str">
        <f aca="false">設定!$B$39&amp;""</f>
        <v>130</v>
      </c>
      <c r="F82" s="5" t="str">
        <f aca="false">設定!$D$47&amp;""</f>
        <v>2109001014</v>
      </c>
      <c r="G82" s="5" t="str">
        <f aca="false">設定!$E$47&amp;""</f>
        <v>退職標報掛金</v>
      </c>
      <c r="H82" s="5" t="n">
        <f aca="false">IF(B82="",0,N(INDEX(報告入力!$AV$7:$AV$696,B82)))</f>
        <v>0</v>
      </c>
      <c r="I82" s="5" t="str">
        <f aca="false">設定!$C$39&amp;""</f>
        <v>1104001001</v>
      </c>
      <c r="J82" s="5" t="str">
        <f aca="false">設定!$D$39&amp;""</f>
        <v>普広銀市役所</v>
      </c>
      <c r="K82" s="5" t="n">
        <f aca="false">IF(AND(H82&lt;&gt;0,IF(設定!$B$6="入金確認済のみ",C82="入金確認済",OR(C82="入金確認済",C82="受領済"))),1,0)</f>
        <v>0</v>
      </c>
      <c r="L82" s="5" t="str">
        <f aca="false">1&amp;"|"&amp;16</f>
        <v>1|16</v>
      </c>
      <c r="M82" s="5" t="n">
        <f aca="false">IF(L82=L81,M81,0)+K82</f>
        <v>0</v>
      </c>
      <c r="N82" s="5" t="n">
        <f aca="false">IF(AND(K82=1,M82=1),1,0)</f>
        <v>0</v>
      </c>
      <c r="O82" s="5" t="str">
        <f aca="false">IF(K82=1,MAX($O$5:O81)+1,"")</f>
        <v/>
      </c>
      <c r="P82" s="5" t="str">
        <f aca="false">IF(K82=1,SUM($N$6:N82),"")</f>
        <v/>
      </c>
      <c r="Q82" s="5" t="str">
        <f aca="false">IF(K82=1,SUMIFS($H$6:$H$511,$L$6:$L$511,L82,$K$6:$K$511,1),"")</f>
        <v/>
      </c>
      <c r="R82" s="78" t="str">
        <f aca="false">IF(B82="","",IF(INDEX(報告入力!$X$7:$X$696,B82)="","",INDEX(報告入力!$X$7:$X$696,B82)))</f>
        <v/>
      </c>
      <c r="S82" s="5" t="str">
        <f aca="false">設定!$C$47</f>
        <v>長期：退職等年金掛金</v>
      </c>
    </row>
    <row r="83" customFormat="false" ht="15" hidden="false" customHeight="false" outlineLevel="0" collapsed="false">
      <c r="A83" s="5" t="str">
        <f aca="false">設定!B76</f>
        <v>原爆障害対策協議会</v>
      </c>
      <c r="B83" s="5" t="n">
        <f aca="false">IFERROR(MATCH(ホーム!$C$4&amp;"|"&amp;A83,報告入力!$CG$7:$CG$696,0),"")</f>
        <v>338</v>
      </c>
      <c r="C83" s="5" t="str">
        <f aca="false">IF(B83="","",INDEX(報告入力!$C$7:$C$696,B83))</f>
        <v>未受領</v>
      </c>
      <c r="D83" s="5" t="str">
        <f aca="false">設定!$A$39</f>
        <v>長期（厚生年金保険経理）</v>
      </c>
      <c r="E83" s="5" t="str">
        <f aca="false">設定!$B$39&amp;""</f>
        <v>130</v>
      </c>
      <c r="F83" s="5" t="str">
        <f aca="false">設定!$D$48&amp;""</f>
        <v>6101002000</v>
      </c>
      <c r="G83" s="5" t="str">
        <f aca="false">設定!$E$48&amp;""</f>
        <v>負担地方公共</v>
      </c>
      <c r="H83" s="5" t="n">
        <f aca="false">IF(B83="",0,N(INDEX(報告入力!$AW$7:$AW$696,B83)))</f>
        <v>48495</v>
      </c>
      <c r="I83" s="5" t="str">
        <f aca="false">設定!$C$39&amp;""</f>
        <v>1104001001</v>
      </c>
      <c r="J83" s="5" t="str">
        <f aca="false">設定!$D$39&amp;""</f>
        <v>普広銀市役所</v>
      </c>
      <c r="K83" s="5" t="n">
        <f aca="false">IF(AND(H83&lt;&gt;0,IF(設定!$B$6="入金確認済のみ",C83="入金確認済",OR(C83="入金確認済",C83="受領済"))),1,0)</f>
        <v>0</v>
      </c>
      <c r="L83" s="5" t="str">
        <f aca="false">1&amp;"|"&amp;16</f>
        <v>1|16</v>
      </c>
      <c r="M83" s="5" t="n">
        <f aca="false">IF(L83=L82,M82,0)+K83</f>
        <v>0</v>
      </c>
      <c r="N83" s="5" t="n">
        <f aca="false">IF(AND(K83=1,M83=1),1,0)</f>
        <v>0</v>
      </c>
      <c r="O83" s="5" t="str">
        <f aca="false">IF(K83=1,MAX($O$5:O82)+1,"")</f>
        <v/>
      </c>
      <c r="P83" s="5" t="str">
        <f aca="false">IF(K83=1,SUM($N$6:N83),"")</f>
        <v/>
      </c>
      <c r="Q83" s="5" t="str">
        <f aca="false">IF(K83=1,SUMIFS($H$6:$H$511,$L$6:$L$511,L83,$K$6:$K$511,1),"")</f>
        <v/>
      </c>
      <c r="R83" s="78" t="str">
        <f aca="false">IF(B83="","",IF(INDEX(報告入力!$X$7:$X$696,B83)="","",INDEX(報告入力!$X$7:$X$696,B83)))</f>
        <v/>
      </c>
      <c r="S83" s="5" t="str">
        <f aca="false">設定!$C$48</f>
        <v>長期：厚生年金保険料（事業主負担分）</v>
      </c>
    </row>
    <row r="84" customFormat="false" ht="15" hidden="false" customHeight="false" outlineLevel="0" collapsed="false">
      <c r="A84" s="5" t="str">
        <f aca="false">設定!B76</f>
        <v>原爆障害対策協議会</v>
      </c>
      <c r="B84" s="5" t="n">
        <f aca="false">IFERROR(MATCH(ホーム!$C$4&amp;"|"&amp;A84,報告入力!$CG$7:$CG$696,0),"")</f>
        <v>338</v>
      </c>
      <c r="C84" s="5" t="str">
        <f aca="false">IF(B84="","",INDEX(報告入力!$C$7:$C$696,B84))</f>
        <v>未受領</v>
      </c>
      <c r="D84" s="5" t="str">
        <f aca="false">設定!$A$39</f>
        <v>長期（厚生年金保険経理）</v>
      </c>
      <c r="E84" s="5" t="str">
        <f aca="false">設定!$B$39&amp;""</f>
        <v>130</v>
      </c>
      <c r="F84" s="5" t="str">
        <f aca="false">設定!$D$49&amp;""</f>
        <v>2109001015</v>
      </c>
      <c r="G84" s="5" t="str">
        <f aca="false">設定!$E$49&amp;""</f>
        <v>退職負担地方</v>
      </c>
      <c r="H84" s="5" t="n">
        <f aca="false">IF(B84="",0,N(INDEX(報告入力!$AX$7:$AX$696,B84)))</f>
        <v>3975</v>
      </c>
      <c r="I84" s="5" t="str">
        <f aca="false">設定!$C$39&amp;""</f>
        <v>1104001001</v>
      </c>
      <c r="J84" s="5" t="str">
        <f aca="false">設定!$D$39&amp;""</f>
        <v>普広銀市役所</v>
      </c>
      <c r="K84" s="5" t="n">
        <f aca="false">IF(AND(H84&lt;&gt;0,IF(設定!$B$6="入金確認済のみ",C84="入金確認済",OR(C84="入金確認済",C84="受領済"))),1,0)</f>
        <v>0</v>
      </c>
      <c r="L84" s="5" t="str">
        <f aca="false">1&amp;"|"&amp;16</f>
        <v>1|16</v>
      </c>
      <c r="M84" s="5" t="n">
        <f aca="false">IF(L84=L83,M83,0)+K84</f>
        <v>0</v>
      </c>
      <c r="N84" s="5" t="n">
        <f aca="false">IF(AND(K84=1,M84=1),1,0)</f>
        <v>0</v>
      </c>
      <c r="O84" s="5" t="str">
        <f aca="false">IF(K84=1,MAX($O$5:O83)+1,"")</f>
        <v/>
      </c>
      <c r="P84" s="5" t="str">
        <f aca="false">IF(K84=1,SUM($N$6:N84),"")</f>
        <v/>
      </c>
      <c r="Q84" s="5" t="str">
        <f aca="false">IF(K84=1,SUMIFS($H$6:$H$511,$L$6:$L$511,L84,$K$6:$K$511,1),"")</f>
        <v/>
      </c>
      <c r="R84" s="78" t="str">
        <f aca="false">IF(B84="","",IF(INDEX(報告入力!$X$7:$X$696,B84)="","",INDEX(報告入力!$X$7:$X$696,B84)))</f>
        <v/>
      </c>
      <c r="S84" s="5" t="str">
        <f aca="false">設定!$C$49</f>
        <v>長期：退職等年金負担金</v>
      </c>
    </row>
    <row r="85" customFormat="false" ht="15" hidden="false" customHeight="false" outlineLevel="0" collapsed="false">
      <c r="A85" s="5" t="str">
        <f aca="false">設定!B76</f>
        <v>原爆障害対策協議会</v>
      </c>
      <c r="B85" s="5" t="n">
        <f aca="false">IFERROR(MATCH(ホーム!$C$4&amp;"|"&amp;A85,報告入力!$CG$7:$CG$696,0),"")</f>
        <v>338</v>
      </c>
      <c r="C85" s="5" t="str">
        <f aca="false">IF(B85="","",INDEX(報告入力!$C$7:$C$696,B85))</f>
        <v>未受領</v>
      </c>
      <c r="D85" s="5" t="str">
        <f aca="false">設定!$A$39</f>
        <v>長期（厚生年金保険経理）</v>
      </c>
      <c r="E85" s="5" t="str">
        <f aca="false">設定!$B$39&amp;""</f>
        <v>130</v>
      </c>
      <c r="F85" s="5" t="str">
        <f aca="false">設定!$D$50&amp;""</f>
        <v>2109001017</v>
      </c>
      <c r="G85" s="5" t="str">
        <f aca="false">設定!$E$50&amp;""</f>
        <v>経過的負担金</v>
      </c>
      <c r="H85" s="5" t="n">
        <f aca="false">IF(B85="",0,N(INDEX(報告入力!$AY$7:$AY$696,B85)))</f>
        <v>49</v>
      </c>
      <c r="I85" s="5" t="str">
        <f aca="false">設定!$C$39&amp;""</f>
        <v>1104001001</v>
      </c>
      <c r="J85" s="5" t="str">
        <f aca="false">設定!$D$39&amp;""</f>
        <v>普広銀市役所</v>
      </c>
      <c r="K85" s="5" t="n">
        <f aca="false">IF(AND(H85&lt;&gt;0,IF(設定!$B$6="入金確認済のみ",C85="入金確認済",OR(C85="入金確認済",C85="受領済"))),1,0)</f>
        <v>0</v>
      </c>
      <c r="L85" s="5" t="str">
        <f aca="false">1&amp;"|"&amp;16</f>
        <v>1|16</v>
      </c>
      <c r="M85" s="5" t="n">
        <f aca="false">IF(L85=L84,M84,0)+K85</f>
        <v>0</v>
      </c>
      <c r="N85" s="5" t="n">
        <f aca="false">IF(AND(K85=1,M85=1),1,0)</f>
        <v>0</v>
      </c>
      <c r="O85" s="5" t="str">
        <f aca="false">IF(K85=1,MAX($O$5:O84)+1,"")</f>
        <v/>
      </c>
      <c r="P85" s="5" t="str">
        <f aca="false">IF(K85=1,SUM($N$6:N85),"")</f>
        <v/>
      </c>
      <c r="Q85" s="5" t="str">
        <f aca="false">IF(K85=1,SUMIFS($H$6:$H$511,$L$6:$L$511,L85,$K$6:$K$511,1),"")</f>
        <v/>
      </c>
      <c r="R85" s="78" t="str">
        <f aca="false">IF(B85="","",IF(INDEX(報告入力!$X$7:$X$696,B85)="","",INDEX(報告入力!$X$7:$X$696,B85)))</f>
        <v/>
      </c>
      <c r="S85" s="5" t="str">
        <f aca="false">設定!$C$50</f>
        <v>長期：経過的長期</v>
      </c>
    </row>
    <row r="86" customFormat="false" ht="15" hidden="false" customHeight="false" outlineLevel="0" collapsed="false">
      <c r="A86" s="5" t="str">
        <f aca="false">設定!B77</f>
        <v>産業振興センター</v>
      </c>
      <c r="B86" s="5" t="n">
        <f aca="false">IFERROR(MATCH(ホーム!$C$4&amp;"|"&amp;A86,報告入力!$CG$7:$CG$696,0),"")</f>
        <v>339</v>
      </c>
      <c r="C86" s="5" t="str">
        <f aca="false">IF(B86="","",INDEX(報告入力!$C$7:$C$696,B86))</f>
        <v>未受領</v>
      </c>
      <c r="D86" s="5" t="str">
        <f aca="false">設定!$A$39</f>
        <v>長期（厚生年金保険経理）</v>
      </c>
      <c r="E86" s="5" t="str">
        <f aca="false">設定!$B$39&amp;""</f>
        <v>130</v>
      </c>
      <c r="F86" s="5" t="str">
        <f aca="false">設定!$D$46&amp;""</f>
        <v>6102102000</v>
      </c>
      <c r="G86" s="5" t="str">
        <f aca="false">設定!$E$46&amp;""</f>
        <v>標月額保険料</v>
      </c>
      <c r="H86" s="5" t="n">
        <f aca="false">IF(B86="",0,N(INDEX(報告入力!$AU$7:$AU$696,B86)))</f>
        <v>0</v>
      </c>
      <c r="I86" s="5" t="str">
        <f aca="false">設定!$C$39&amp;""</f>
        <v>1104001001</v>
      </c>
      <c r="J86" s="5" t="str">
        <f aca="false">設定!$D$39&amp;""</f>
        <v>普広銀市役所</v>
      </c>
      <c r="K86" s="5" t="n">
        <f aca="false">IF(AND(H86&lt;&gt;0,IF(設定!$B$6="入金確認済のみ",C86="入金確認済",OR(C86="入金確認済",C86="受領済"))),1,0)</f>
        <v>0</v>
      </c>
      <c r="L86" s="5" t="str">
        <f aca="false">1&amp;"|"&amp;17</f>
        <v>1|17</v>
      </c>
      <c r="M86" s="5" t="n">
        <f aca="false">IF(L86=L85,M85,0)+K86</f>
        <v>0</v>
      </c>
      <c r="N86" s="5" t="n">
        <f aca="false">IF(AND(K86=1,M86=1),1,0)</f>
        <v>0</v>
      </c>
      <c r="O86" s="5" t="str">
        <f aca="false">IF(K86=1,MAX($O$5:O85)+1,"")</f>
        <v/>
      </c>
      <c r="P86" s="5" t="str">
        <f aca="false">IF(K86=1,SUM($N$6:N86),"")</f>
        <v/>
      </c>
      <c r="Q86" s="5" t="str">
        <f aca="false">IF(K86=1,SUMIFS($H$6:$H$511,$L$6:$L$511,L86,$K$6:$K$511,1),"")</f>
        <v/>
      </c>
      <c r="R86" s="78" t="str">
        <f aca="false">IF(B86="","",IF(INDEX(報告入力!$X$7:$X$696,B86)="","",INDEX(報告入力!$X$7:$X$696,B86)))</f>
        <v/>
      </c>
      <c r="S86" s="5" t="str">
        <f aca="false">設定!$C$46</f>
        <v>長期：厚生年金保険料（組合員負担分）</v>
      </c>
    </row>
    <row r="87" customFormat="false" ht="15" hidden="false" customHeight="false" outlineLevel="0" collapsed="false">
      <c r="A87" s="5" t="str">
        <f aca="false">設定!B77</f>
        <v>産業振興センター</v>
      </c>
      <c r="B87" s="5" t="n">
        <f aca="false">IFERROR(MATCH(ホーム!$C$4&amp;"|"&amp;A87,報告入力!$CG$7:$CG$696,0),"")</f>
        <v>339</v>
      </c>
      <c r="C87" s="5" t="str">
        <f aca="false">IF(B87="","",INDEX(報告入力!$C$7:$C$696,B87))</f>
        <v>未受領</v>
      </c>
      <c r="D87" s="5" t="str">
        <f aca="false">設定!$A$39</f>
        <v>長期（厚生年金保険経理）</v>
      </c>
      <c r="E87" s="5" t="str">
        <f aca="false">設定!$B$39&amp;""</f>
        <v>130</v>
      </c>
      <c r="F87" s="5" t="str">
        <f aca="false">設定!$D$47&amp;""</f>
        <v>2109001014</v>
      </c>
      <c r="G87" s="5" t="str">
        <f aca="false">設定!$E$47&amp;""</f>
        <v>退職標報掛金</v>
      </c>
      <c r="H87" s="5" t="n">
        <f aca="false">IF(B87="",0,N(INDEX(報告入力!$AV$7:$AV$696,B87)))</f>
        <v>0</v>
      </c>
      <c r="I87" s="5" t="str">
        <f aca="false">設定!$C$39&amp;""</f>
        <v>1104001001</v>
      </c>
      <c r="J87" s="5" t="str">
        <f aca="false">設定!$D$39&amp;""</f>
        <v>普広銀市役所</v>
      </c>
      <c r="K87" s="5" t="n">
        <f aca="false">IF(AND(H87&lt;&gt;0,IF(設定!$B$6="入金確認済のみ",C87="入金確認済",OR(C87="入金確認済",C87="受領済"))),1,0)</f>
        <v>0</v>
      </c>
      <c r="L87" s="5" t="str">
        <f aca="false">1&amp;"|"&amp;17</f>
        <v>1|17</v>
      </c>
      <c r="M87" s="5" t="n">
        <f aca="false">IF(L87=L86,M86,0)+K87</f>
        <v>0</v>
      </c>
      <c r="N87" s="5" t="n">
        <f aca="false">IF(AND(K87=1,M87=1),1,0)</f>
        <v>0</v>
      </c>
      <c r="O87" s="5" t="str">
        <f aca="false">IF(K87=1,MAX($O$5:O86)+1,"")</f>
        <v/>
      </c>
      <c r="P87" s="5" t="str">
        <f aca="false">IF(K87=1,SUM($N$6:N87),"")</f>
        <v/>
      </c>
      <c r="Q87" s="5" t="str">
        <f aca="false">IF(K87=1,SUMIFS($H$6:$H$511,$L$6:$L$511,L87,$K$6:$K$511,1),"")</f>
        <v/>
      </c>
      <c r="R87" s="78" t="str">
        <f aca="false">IF(B87="","",IF(INDEX(報告入力!$X$7:$X$696,B87)="","",INDEX(報告入力!$X$7:$X$696,B87)))</f>
        <v/>
      </c>
      <c r="S87" s="5" t="str">
        <f aca="false">設定!$C$47</f>
        <v>長期：退職等年金掛金</v>
      </c>
    </row>
    <row r="88" customFormat="false" ht="15" hidden="false" customHeight="false" outlineLevel="0" collapsed="false">
      <c r="A88" s="5" t="str">
        <f aca="false">設定!B77</f>
        <v>産業振興センター</v>
      </c>
      <c r="B88" s="5" t="n">
        <f aca="false">IFERROR(MATCH(ホーム!$C$4&amp;"|"&amp;A88,報告入力!$CG$7:$CG$696,0),"")</f>
        <v>339</v>
      </c>
      <c r="C88" s="5" t="str">
        <f aca="false">IF(B88="","",INDEX(報告入力!$C$7:$C$696,B88))</f>
        <v>未受領</v>
      </c>
      <c r="D88" s="5" t="str">
        <f aca="false">設定!$A$39</f>
        <v>長期（厚生年金保険経理）</v>
      </c>
      <c r="E88" s="5" t="str">
        <f aca="false">設定!$B$39&amp;""</f>
        <v>130</v>
      </c>
      <c r="F88" s="5" t="str">
        <f aca="false">設定!$D$48&amp;""</f>
        <v>6101002000</v>
      </c>
      <c r="G88" s="5" t="str">
        <f aca="false">設定!$E$48&amp;""</f>
        <v>負担地方公共</v>
      </c>
      <c r="H88" s="5" t="n">
        <f aca="false">IF(B88="",0,N(INDEX(報告入力!$AW$7:$AW$696,B88)))</f>
        <v>425475</v>
      </c>
      <c r="I88" s="5" t="str">
        <f aca="false">設定!$C$39&amp;""</f>
        <v>1104001001</v>
      </c>
      <c r="J88" s="5" t="str">
        <f aca="false">設定!$D$39&amp;""</f>
        <v>普広銀市役所</v>
      </c>
      <c r="K88" s="5" t="n">
        <f aca="false">IF(AND(H88&lt;&gt;0,IF(設定!$B$6="入金確認済のみ",C88="入金確認済",OR(C88="入金確認済",C88="受領済"))),1,0)</f>
        <v>0</v>
      </c>
      <c r="L88" s="5" t="str">
        <f aca="false">1&amp;"|"&amp;17</f>
        <v>1|17</v>
      </c>
      <c r="M88" s="5" t="n">
        <f aca="false">IF(L88=L87,M87,0)+K88</f>
        <v>0</v>
      </c>
      <c r="N88" s="5" t="n">
        <f aca="false">IF(AND(K88=1,M88=1),1,0)</f>
        <v>0</v>
      </c>
      <c r="O88" s="5" t="str">
        <f aca="false">IF(K88=1,MAX($O$5:O87)+1,"")</f>
        <v/>
      </c>
      <c r="P88" s="5" t="str">
        <f aca="false">IF(K88=1,SUM($N$6:N88),"")</f>
        <v/>
      </c>
      <c r="Q88" s="5" t="str">
        <f aca="false">IF(K88=1,SUMIFS($H$6:$H$511,$L$6:$L$511,L88,$K$6:$K$511,1),"")</f>
        <v/>
      </c>
      <c r="R88" s="78" t="str">
        <f aca="false">IF(B88="","",IF(INDEX(報告入力!$X$7:$X$696,B88)="","",INDEX(報告入力!$X$7:$X$696,B88)))</f>
        <v/>
      </c>
      <c r="S88" s="5" t="str">
        <f aca="false">設定!$C$48</f>
        <v>長期：厚生年金保険料（事業主負担分）</v>
      </c>
    </row>
    <row r="89" customFormat="false" ht="15" hidden="false" customHeight="false" outlineLevel="0" collapsed="false">
      <c r="A89" s="5" t="str">
        <f aca="false">設定!B77</f>
        <v>産業振興センター</v>
      </c>
      <c r="B89" s="5" t="n">
        <f aca="false">IFERROR(MATCH(ホーム!$C$4&amp;"|"&amp;A89,報告入力!$CG$7:$CG$696,0),"")</f>
        <v>339</v>
      </c>
      <c r="C89" s="5" t="str">
        <f aca="false">IF(B89="","",INDEX(報告入力!$C$7:$C$696,B89))</f>
        <v>未受領</v>
      </c>
      <c r="D89" s="5" t="str">
        <f aca="false">設定!$A$39</f>
        <v>長期（厚生年金保険経理）</v>
      </c>
      <c r="E89" s="5" t="str">
        <f aca="false">設定!$B$39&amp;""</f>
        <v>130</v>
      </c>
      <c r="F89" s="5" t="str">
        <f aca="false">設定!$D$49&amp;""</f>
        <v>2109001015</v>
      </c>
      <c r="G89" s="5" t="str">
        <f aca="false">設定!$E$49&amp;""</f>
        <v>退職負担地方</v>
      </c>
      <c r="H89" s="5" t="n">
        <f aca="false">IF(B89="",0,N(INDEX(報告入力!$AX$7:$AX$696,B89)))</f>
        <v>34875</v>
      </c>
      <c r="I89" s="5" t="str">
        <f aca="false">設定!$C$39&amp;""</f>
        <v>1104001001</v>
      </c>
      <c r="J89" s="5" t="str">
        <f aca="false">設定!$D$39&amp;""</f>
        <v>普広銀市役所</v>
      </c>
      <c r="K89" s="5" t="n">
        <f aca="false">IF(AND(H89&lt;&gt;0,IF(設定!$B$6="入金確認済のみ",C89="入金確認済",OR(C89="入金確認済",C89="受領済"))),1,0)</f>
        <v>0</v>
      </c>
      <c r="L89" s="5" t="str">
        <f aca="false">1&amp;"|"&amp;17</f>
        <v>1|17</v>
      </c>
      <c r="M89" s="5" t="n">
        <f aca="false">IF(L89=L88,M88,0)+K89</f>
        <v>0</v>
      </c>
      <c r="N89" s="5" t="n">
        <f aca="false">IF(AND(K89=1,M89=1),1,0)</f>
        <v>0</v>
      </c>
      <c r="O89" s="5" t="str">
        <f aca="false">IF(K89=1,MAX($O$5:O88)+1,"")</f>
        <v/>
      </c>
      <c r="P89" s="5" t="str">
        <f aca="false">IF(K89=1,SUM($N$6:N89),"")</f>
        <v/>
      </c>
      <c r="Q89" s="5" t="str">
        <f aca="false">IF(K89=1,SUMIFS($H$6:$H$511,$L$6:$L$511,L89,$K$6:$K$511,1),"")</f>
        <v/>
      </c>
      <c r="R89" s="78" t="str">
        <f aca="false">IF(B89="","",IF(INDEX(報告入力!$X$7:$X$696,B89)="","",INDEX(報告入力!$X$7:$X$696,B89)))</f>
        <v/>
      </c>
      <c r="S89" s="5" t="str">
        <f aca="false">設定!$C$49</f>
        <v>長期：退職等年金負担金</v>
      </c>
    </row>
    <row r="90" customFormat="false" ht="15" hidden="false" customHeight="false" outlineLevel="0" collapsed="false">
      <c r="A90" s="5" t="str">
        <f aca="false">設定!B77</f>
        <v>産業振興センター</v>
      </c>
      <c r="B90" s="5" t="n">
        <f aca="false">IFERROR(MATCH(ホーム!$C$4&amp;"|"&amp;A90,報告入力!$CG$7:$CG$696,0),"")</f>
        <v>339</v>
      </c>
      <c r="C90" s="5" t="str">
        <f aca="false">IF(B90="","",INDEX(報告入力!$C$7:$C$696,B90))</f>
        <v>未受領</v>
      </c>
      <c r="D90" s="5" t="str">
        <f aca="false">設定!$A$39</f>
        <v>長期（厚生年金保険経理）</v>
      </c>
      <c r="E90" s="5" t="str">
        <f aca="false">設定!$B$39&amp;""</f>
        <v>130</v>
      </c>
      <c r="F90" s="5" t="str">
        <f aca="false">設定!$D$50&amp;""</f>
        <v>2109001017</v>
      </c>
      <c r="G90" s="5" t="str">
        <f aca="false">設定!$E$50&amp;""</f>
        <v>経過的負担金</v>
      </c>
      <c r="H90" s="5" t="n">
        <f aca="false">IF(B90="",0,N(INDEX(報告入力!$AY$7:$AY$696,B90)))</f>
        <v>435</v>
      </c>
      <c r="I90" s="5" t="str">
        <f aca="false">設定!$C$39&amp;""</f>
        <v>1104001001</v>
      </c>
      <c r="J90" s="5" t="str">
        <f aca="false">設定!$D$39&amp;""</f>
        <v>普広銀市役所</v>
      </c>
      <c r="K90" s="5" t="n">
        <f aca="false">IF(AND(H90&lt;&gt;0,IF(設定!$B$6="入金確認済のみ",C90="入金確認済",OR(C90="入金確認済",C90="受領済"))),1,0)</f>
        <v>0</v>
      </c>
      <c r="L90" s="5" t="str">
        <f aca="false">1&amp;"|"&amp;17</f>
        <v>1|17</v>
      </c>
      <c r="M90" s="5" t="n">
        <f aca="false">IF(L90=L89,M89,0)+K90</f>
        <v>0</v>
      </c>
      <c r="N90" s="5" t="n">
        <f aca="false">IF(AND(K90=1,M90=1),1,0)</f>
        <v>0</v>
      </c>
      <c r="O90" s="5" t="str">
        <f aca="false">IF(K90=1,MAX($O$5:O89)+1,"")</f>
        <v/>
      </c>
      <c r="P90" s="5" t="str">
        <f aca="false">IF(K90=1,SUM($N$6:N90),"")</f>
        <v/>
      </c>
      <c r="Q90" s="5" t="str">
        <f aca="false">IF(K90=1,SUMIFS($H$6:$H$511,$L$6:$L$511,L90,$K$6:$K$511,1),"")</f>
        <v/>
      </c>
      <c r="R90" s="78" t="str">
        <f aca="false">IF(B90="","",IF(INDEX(報告入力!$X$7:$X$696,B90)="","",INDEX(報告入力!$X$7:$X$696,B90)))</f>
        <v/>
      </c>
      <c r="S90" s="5" t="str">
        <f aca="false">設定!$C$50</f>
        <v>長期：経過的長期</v>
      </c>
    </row>
    <row r="91" customFormat="false" ht="15" hidden="false" customHeight="false" outlineLevel="0" collapsed="false">
      <c r="A91" s="5" t="str">
        <f aca="false">設定!B78</f>
        <v>ひろしま産業振興</v>
      </c>
      <c r="B91" s="5" t="n">
        <f aca="false">IFERROR(MATCH(ホーム!$C$4&amp;"|"&amp;A91,報告入力!$CG$7:$CG$696,0),"")</f>
        <v>340</v>
      </c>
      <c r="C91" s="5" t="str">
        <f aca="false">IF(B91="","",INDEX(報告入力!$C$7:$C$696,B91))</f>
        <v>未受領</v>
      </c>
      <c r="D91" s="5" t="str">
        <f aca="false">設定!$A$39</f>
        <v>長期（厚生年金保険経理）</v>
      </c>
      <c r="E91" s="5" t="str">
        <f aca="false">設定!$B$39&amp;""</f>
        <v>130</v>
      </c>
      <c r="F91" s="5" t="str">
        <f aca="false">設定!$D$46&amp;""</f>
        <v>6102102000</v>
      </c>
      <c r="G91" s="5" t="str">
        <f aca="false">設定!$E$46&amp;""</f>
        <v>標月額保険料</v>
      </c>
      <c r="H91" s="5" t="n">
        <f aca="false">IF(B91="",0,N(INDEX(報告入力!$AU$7:$AU$696,B91)))</f>
        <v>0</v>
      </c>
      <c r="I91" s="5" t="str">
        <f aca="false">設定!$C$39&amp;""</f>
        <v>1104001001</v>
      </c>
      <c r="J91" s="5" t="str">
        <f aca="false">設定!$D$39&amp;""</f>
        <v>普広銀市役所</v>
      </c>
      <c r="K91" s="5" t="n">
        <f aca="false">IF(AND(H91&lt;&gt;0,IF(設定!$B$6="入金確認済のみ",C91="入金確認済",OR(C91="入金確認済",C91="受領済"))),1,0)</f>
        <v>0</v>
      </c>
      <c r="L91" s="5" t="str">
        <f aca="false">1&amp;"|"&amp;18</f>
        <v>1|18</v>
      </c>
      <c r="M91" s="5" t="n">
        <f aca="false">IF(L91=L90,M90,0)+K91</f>
        <v>0</v>
      </c>
      <c r="N91" s="5" t="n">
        <f aca="false">IF(AND(K91=1,M91=1),1,0)</f>
        <v>0</v>
      </c>
      <c r="O91" s="5" t="str">
        <f aca="false">IF(K91=1,MAX($O$5:O90)+1,"")</f>
        <v/>
      </c>
      <c r="P91" s="5" t="str">
        <f aca="false">IF(K91=1,SUM($N$6:N91),"")</f>
        <v/>
      </c>
      <c r="Q91" s="5" t="str">
        <f aca="false">IF(K91=1,SUMIFS($H$6:$H$511,$L$6:$L$511,L91,$K$6:$K$511,1),"")</f>
        <v/>
      </c>
      <c r="R91" s="78" t="str">
        <f aca="false">IF(B91="","",IF(INDEX(報告入力!$X$7:$X$696,B91)="","",INDEX(報告入力!$X$7:$X$696,B91)))</f>
        <v/>
      </c>
      <c r="S91" s="5" t="str">
        <f aca="false">設定!$C$46</f>
        <v>長期：厚生年金保険料（組合員負担分）</v>
      </c>
    </row>
    <row r="92" customFormat="false" ht="15" hidden="false" customHeight="false" outlineLevel="0" collapsed="false">
      <c r="A92" s="5" t="str">
        <f aca="false">設定!B78</f>
        <v>ひろしま産業振興</v>
      </c>
      <c r="B92" s="5" t="n">
        <f aca="false">IFERROR(MATCH(ホーム!$C$4&amp;"|"&amp;A92,報告入力!$CG$7:$CG$696,0),"")</f>
        <v>340</v>
      </c>
      <c r="C92" s="5" t="str">
        <f aca="false">IF(B92="","",INDEX(報告入力!$C$7:$C$696,B92))</f>
        <v>未受領</v>
      </c>
      <c r="D92" s="5" t="str">
        <f aca="false">設定!$A$39</f>
        <v>長期（厚生年金保険経理）</v>
      </c>
      <c r="E92" s="5" t="str">
        <f aca="false">設定!$B$39&amp;""</f>
        <v>130</v>
      </c>
      <c r="F92" s="5" t="str">
        <f aca="false">設定!$D$47&amp;""</f>
        <v>2109001014</v>
      </c>
      <c r="G92" s="5" t="str">
        <f aca="false">設定!$E$47&amp;""</f>
        <v>退職標報掛金</v>
      </c>
      <c r="H92" s="5" t="n">
        <f aca="false">IF(B92="",0,N(INDEX(報告入力!$AV$7:$AV$696,B92)))</f>
        <v>0</v>
      </c>
      <c r="I92" s="5" t="str">
        <f aca="false">設定!$C$39&amp;""</f>
        <v>1104001001</v>
      </c>
      <c r="J92" s="5" t="str">
        <f aca="false">設定!$D$39&amp;""</f>
        <v>普広銀市役所</v>
      </c>
      <c r="K92" s="5" t="n">
        <f aca="false">IF(AND(H92&lt;&gt;0,IF(設定!$B$6="入金確認済のみ",C92="入金確認済",OR(C92="入金確認済",C92="受領済"))),1,0)</f>
        <v>0</v>
      </c>
      <c r="L92" s="5" t="str">
        <f aca="false">1&amp;"|"&amp;18</f>
        <v>1|18</v>
      </c>
      <c r="M92" s="5" t="n">
        <f aca="false">IF(L92=L91,M91,0)+K92</f>
        <v>0</v>
      </c>
      <c r="N92" s="5" t="n">
        <f aca="false">IF(AND(K92=1,M92=1),1,0)</f>
        <v>0</v>
      </c>
      <c r="O92" s="5" t="str">
        <f aca="false">IF(K92=1,MAX($O$5:O91)+1,"")</f>
        <v/>
      </c>
      <c r="P92" s="5" t="str">
        <f aca="false">IF(K92=1,SUM($N$6:N92),"")</f>
        <v/>
      </c>
      <c r="Q92" s="5" t="str">
        <f aca="false">IF(K92=1,SUMIFS($H$6:$H$511,$L$6:$L$511,L92,$K$6:$K$511,1),"")</f>
        <v/>
      </c>
      <c r="R92" s="78" t="str">
        <f aca="false">IF(B92="","",IF(INDEX(報告入力!$X$7:$X$696,B92)="","",INDEX(報告入力!$X$7:$X$696,B92)))</f>
        <v/>
      </c>
      <c r="S92" s="5" t="str">
        <f aca="false">設定!$C$47</f>
        <v>長期：退職等年金掛金</v>
      </c>
    </row>
    <row r="93" customFormat="false" ht="15" hidden="false" customHeight="false" outlineLevel="0" collapsed="false">
      <c r="A93" s="5" t="str">
        <f aca="false">設定!B78</f>
        <v>ひろしま産業振興</v>
      </c>
      <c r="B93" s="5" t="n">
        <f aca="false">IFERROR(MATCH(ホーム!$C$4&amp;"|"&amp;A93,報告入力!$CG$7:$CG$696,0),"")</f>
        <v>340</v>
      </c>
      <c r="C93" s="5" t="str">
        <f aca="false">IF(B93="","",INDEX(報告入力!$C$7:$C$696,B93))</f>
        <v>未受領</v>
      </c>
      <c r="D93" s="5" t="str">
        <f aca="false">設定!$A$39</f>
        <v>長期（厚生年金保険経理）</v>
      </c>
      <c r="E93" s="5" t="str">
        <f aca="false">設定!$B$39&amp;""</f>
        <v>130</v>
      </c>
      <c r="F93" s="5" t="str">
        <f aca="false">設定!$D$48&amp;""</f>
        <v>6101002000</v>
      </c>
      <c r="G93" s="5" t="str">
        <f aca="false">設定!$E$48&amp;""</f>
        <v>負担地方公共</v>
      </c>
      <c r="H93" s="5" t="n">
        <f aca="false">IF(B93="",0,N(INDEX(報告入力!$AW$7:$AW$696,B93)))</f>
        <v>86010</v>
      </c>
      <c r="I93" s="5" t="str">
        <f aca="false">設定!$C$39&amp;""</f>
        <v>1104001001</v>
      </c>
      <c r="J93" s="5" t="str">
        <f aca="false">設定!$D$39&amp;""</f>
        <v>普広銀市役所</v>
      </c>
      <c r="K93" s="5" t="n">
        <f aca="false">IF(AND(H93&lt;&gt;0,IF(設定!$B$6="入金確認済のみ",C93="入金確認済",OR(C93="入金確認済",C93="受領済"))),1,0)</f>
        <v>0</v>
      </c>
      <c r="L93" s="5" t="str">
        <f aca="false">1&amp;"|"&amp;18</f>
        <v>1|18</v>
      </c>
      <c r="M93" s="5" t="n">
        <f aca="false">IF(L93=L92,M92,0)+K93</f>
        <v>0</v>
      </c>
      <c r="N93" s="5" t="n">
        <f aca="false">IF(AND(K93=1,M93=1),1,0)</f>
        <v>0</v>
      </c>
      <c r="O93" s="5" t="str">
        <f aca="false">IF(K93=1,MAX($O$5:O92)+1,"")</f>
        <v/>
      </c>
      <c r="P93" s="5" t="str">
        <f aca="false">IF(K93=1,SUM($N$6:N93),"")</f>
        <v/>
      </c>
      <c r="Q93" s="5" t="str">
        <f aca="false">IF(K93=1,SUMIFS($H$6:$H$511,$L$6:$L$511,L93,$K$6:$K$511,1),"")</f>
        <v/>
      </c>
      <c r="R93" s="78" t="str">
        <f aca="false">IF(B93="","",IF(INDEX(報告入力!$X$7:$X$696,B93)="","",INDEX(報告入力!$X$7:$X$696,B93)))</f>
        <v/>
      </c>
      <c r="S93" s="5" t="str">
        <f aca="false">設定!$C$48</f>
        <v>長期：厚生年金保険料（事業主負担分）</v>
      </c>
    </row>
    <row r="94" customFormat="false" ht="15" hidden="false" customHeight="false" outlineLevel="0" collapsed="false">
      <c r="A94" s="5" t="str">
        <f aca="false">設定!B78</f>
        <v>ひろしま産業振興</v>
      </c>
      <c r="B94" s="5" t="n">
        <f aca="false">IFERROR(MATCH(ホーム!$C$4&amp;"|"&amp;A94,報告入力!$CG$7:$CG$696,0),"")</f>
        <v>340</v>
      </c>
      <c r="C94" s="5" t="str">
        <f aca="false">IF(B94="","",INDEX(報告入力!$C$7:$C$696,B94))</f>
        <v>未受領</v>
      </c>
      <c r="D94" s="5" t="str">
        <f aca="false">設定!$A$39</f>
        <v>長期（厚生年金保険経理）</v>
      </c>
      <c r="E94" s="5" t="str">
        <f aca="false">設定!$B$39&amp;""</f>
        <v>130</v>
      </c>
      <c r="F94" s="5" t="str">
        <f aca="false">設定!$D$49&amp;""</f>
        <v>2109001015</v>
      </c>
      <c r="G94" s="5" t="str">
        <f aca="false">設定!$E$49&amp;""</f>
        <v>退職負担地方</v>
      </c>
      <c r="H94" s="5" t="n">
        <f aca="false">IF(B94="",0,N(INDEX(報告入力!$AX$7:$AX$696,B94)))</f>
        <v>7050</v>
      </c>
      <c r="I94" s="5" t="str">
        <f aca="false">設定!$C$39&amp;""</f>
        <v>1104001001</v>
      </c>
      <c r="J94" s="5" t="str">
        <f aca="false">設定!$D$39&amp;""</f>
        <v>普広銀市役所</v>
      </c>
      <c r="K94" s="5" t="n">
        <f aca="false">IF(AND(H94&lt;&gt;0,IF(設定!$B$6="入金確認済のみ",C94="入金確認済",OR(C94="入金確認済",C94="受領済"))),1,0)</f>
        <v>0</v>
      </c>
      <c r="L94" s="5" t="str">
        <f aca="false">1&amp;"|"&amp;18</f>
        <v>1|18</v>
      </c>
      <c r="M94" s="5" t="n">
        <f aca="false">IF(L94=L93,M93,0)+K94</f>
        <v>0</v>
      </c>
      <c r="N94" s="5" t="n">
        <f aca="false">IF(AND(K94=1,M94=1),1,0)</f>
        <v>0</v>
      </c>
      <c r="O94" s="5" t="str">
        <f aca="false">IF(K94=1,MAX($O$5:O93)+1,"")</f>
        <v/>
      </c>
      <c r="P94" s="5" t="str">
        <f aca="false">IF(K94=1,SUM($N$6:N94),"")</f>
        <v/>
      </c>
      <c r="Q94" s="5" t="str">
        <f aca="false">IF(K94=1,SUMIFS($H$6:$H$511,$L$6:$L$511,L94,$K$6:$K$511,1),"")</f>
        <v/>
      </c>
      <c r="R94" s="78" t="str">
        <f aca="false">IF(B94="","",IF(INDEX(報告入力!$X$7:$X$696,B94)="","",INDEX(報告入力!$X$7:$X$696,B94)))</f>
        <v/>
      </c>
      <c r="S94" s="5" t="str">
        <f aca="false">設定!$C$49</f>
        <v>長期：退職等年金負担金</v>
      </c>
    </row>
    <row r="95" customFormat="false" ht="15" hidden="false" customHeight="false" outlineLevel="0" collapsed="false">
      <c r="A95" s="5" t="str">
        <f aca="false">設定!B78</f>
        <v>ひろしま産業振興</v>
      </c>
      <c r="B95" s="5" t="n">
        <f aca="false">IFERROR(MATCH(ホーム!$C$4&amp;"|"&amp;A95,報告入力!$CG$7:$CG$696,0),"")</f>
        <v>340</v>
      </c>
      <c r="C95" s="5" t="str">
        <f aca="false">IF(B95="","",INDEX(報告入力!$C$7:$C$696,B95))</f>
        <v>未受領</v>
      </c>
      <c r="D95" s="5" t="str">
        <f aca="false">設定!$A$39</f>
        <v>長期（厚生年金保険経理）</v>
      </c>
      <c r="E95" s="5" t="str">
        <f aca="false">設定!$B$39&amp;""</f>
        <v>130</v>
      </c>
      <c r="F95" s="5" t="str">
        <f aca="false">設定!$D$50&amp;""</f>
        <v>2109001017</v>
      </c>
      <c r="G95" s="5" t="str">
        <f aca="false">設定!$E$50&amp;""</f>
        <v>経過的負担金</v>
      </c>
      <c r="H95" s="5" t="n">
        <f aca="false">IF(B95="",0,N(INDEX(報告入力!$AY$7:$AY$696,B95)))</f>
        <v>88</v>
      </c>
      <c r="I95" s="5" t="str">
        <f aca="false">設定!$C$39&amp;""</f>
        <v>1104001001</v>
      </c>
      <c r="J95" s="5" t="str">
        <f aca="false">設定!$D$39&amp;""</f>
        <v>普広銀市役所</v>
      </c>
      <c r="K95" s="5" t="n">
        <f aca="false">IF(AND(H95&lt;&gt;0,IF(設定!$B$6="入金確認済のみ",C95="入金確認済",OR(C95="入金確認済",C95="受領済"))),1,0)</f>
        <v>0</v>
      </c>
      <c r="L95" s="5" t="str">
        <f aca="false">1&amp;"|"&amp;18</f>
        <v>1|18</v>
      </c>
      <c r="M95" s="5" t="n">
        <f aca="false">IF(L95=L94,M94,0)+K95</f>
        <v>0</v>
      </c>
      <c r="N95" s="5" t="n">
        <f aca="false">IF(AND(K95=1,M95=1),1,0)</f>
        <v>0</v>
      </c>
      <c r="O95" s="5" t="str">
        <f aca="false">IF(K95=1,MAX($O$5:O94)+1,"")</f>
        <v/>
      </c>
      <c r="P95" s="5" t="str">
        <f aca="false">IF(K95=1,SUM($N$6:N95),"")</f>
        <v/>
      </c>
      <c r="Q95" s="5" t="str">
        <f aca="false">IF(K95=1,SUMIFS($H$6:$H$511,$L$6:$L$511,L95,$K$6:$K$511,1),"")</f>
        <v/>
      </c>
      <c r="R95" s="78" t="str">
        <f aca="false">IF(B95="","",IF(INDEX(報告入力!$X$7:$X$696,B95)="","",INDEX(報告入力!$X$7:$X$696,B95)))</f>
        <v/>
      </c>
      <c r="S95" s="5" t="str">
        <f aca="false">設定!$C$50</f>
        <v>長期：経過的長期</v>
      </c>
    </row>
    <row r="96" customFormat="false" ht="15" hidden="false" customHeight="false" outlineLevel="0" collapsed="false">
      <c r="A96" s="5" t="str">
        <f aca="false">設定!B79</f>
        <v>都市整備公社　市</v>
      </c>
      <c r="B96" s="5" t="n">
        <f aca="false">IFERROR(MATCH(ホーム!$C$4&amp;"|"&amp;A96,報告入力!$CG$7:$CG$696,0),"")</f>
        <v>341</v>
      </c>
      <c r="C96" s="5" t="str">
        <f aca="false">IF(B96="","",INDEX(報告入力!$C$7:$C$696,B96))</f>
        <v>未受領</v>
      </c>
      <c r="D96" s="5" t="str">
        <f aca="false">設定!$A$39</f>
        <v>長期（厚生年金保険経理）</v>
      </c>
      <c r="E96" s="5" t="str">
        <f aca="false">設定!$B$39&amp;""</f>
        <v>130</v>
      </c>
      <c r="F96" s="5" t="str">
        <f aca="false">設定!$D$46&amp;""</f>
        <v>6102102000</v>
      </c>
      <c r="G96" s="5" t="str">
        <f aca="false">設定!$E$46&amp;""</f>
        <v>標月額保険料</v>
      </c>
      <c r="H96" s="5" t="n">
        <f aca="false">IF(B96="",0,N(INDEX(報告入力!$AU$7:$AU$696,B96)))</f>
        <v>0</v>
      </c>
      <c r="I96" s="5" t="str">
        <f aca="false">設定!$C$39&amp;""</f>
        <v>1104001001</v>
      </c>
      <c r="J96" s="5" t="str">
        <f aca="false">設定!$D$39&amp;""</f>
        <v>普広銀市役所</v>
      </c>
      <c r="K96" s="5" t="n">
        <f aca="false">IF(AND(H96&lt;&gt;0,IF(設定!$B$6="入金確認済のみ",C96="入金確認済",OR(C96="入金確認済",C96="受領済"))),1,0)</f>
        <v>0</v>
      </c>
      <c r="L96" s="5" t="str">
        <f aca="false">1&amp;"|"&amp;19</f>
        <v>1|19</v>
      </c>
      <c r="M96" s="5" t="n">
        <f aca="false">IF(L96=L95,M95,0)+K96</f>
        <v>0</v>
      </c>
      <c r="N96" s="5" t="n">
        <f aca="false">IF(AND(K96=1,M96=1),1,0)</f>
        <v>0</v>
      </c>
      <c r="O96" s="5" t="str">
        <f aca="false">IF(K96=1,MAX($O$5:O95)+1,"")</f>
        <v/>
      </c>
      <c r="P96" s="5" t="str">
        <f aca="false">IF(K96=1,SUM($N$6:N96),"")</f>
        <v/>
      </c>
      <c r="Q96" s="5" t="str">
        <f aca="false">IF(K96=1,SUMIFS($H$6:$H$511,$L$6:$L$511,L96,$K$6:$K$511,1),"")</f>
        <v/>
      </c>
      <c r="R96" s="78" t="str">
        <f aca="false">IF(B96="","",IF(INDEX(報告入力!$X$7:$X$696,B96)="","",INDEX(報告入力!$X$7:$X$696,B96)))</f>
        <v/>
      </c>
      <c r="S96" s="5" t="str">
        <f aca="false">設定!$C$46</f>
        <v>長期：厚生年金保険料（組合員負担分）</v>
      </c>
    </row>
    <row r="97" customFormat="false" ht="15" hidden="false" customHeight="false" outlineLevel="0" collapsed="false">
      <c r="A97" s="5" t="str">
        <f aca="false">設定!B79</f>
        <v>都市整備公社　市</v>
      </c>
      <c r="B97" s="5" t="n">
        <f aca="false">IFERROR(MATCH(ホーム!$C$4&amp;"|"&amp;A97,報告入力!$CG$7:$CG$696,0),"")</f>
        <v>341</v>
      </c>
      <c r="C97" s="5" t="str">
        <f aca="false">IF(B97="","",INDEX(報告入力!$C$7:$C$696,B97))</f>
        <v>未受領</v>
      </c>
      <c r="D97" s="5" t="str">
        <f aca="false">設定!$A$39</f>
        <v>長期（厚生年金保険経理）</v>
      </c>
      <c r="E97" s="5" t="str">
        <f aca="false">設定!$B$39&amp;""</f>
        <v>130</v>
      </c>
      <c r="F97" s="5" t="str">
        <f aca="false">設定!$D$47&amp;""</f>
        <v>2109001014</v>
      </c>
      <c r="G97" s="5" t="str">
        <f aca="false">設定!$E$47&amp;""</f>
        <v>退職標報掛金</v>
      </c>
      <c r="H97" s="5" t="n">
        <f aca="false">IF(B97="",0,N(INDEX(報告入力!$AV$7:$AV$696,B97)))</f>
        <v>0</v>
      </c>
      <c r="I97" s="5" t="str">
        <f aca="false">設定!$C$39&amp;""</f>
        <v>1104001001</v>
      </c>
      <c r="J97" s="5" t="str">
        <f aca="false">設定!$D$39&amp;""</f>
        <v>普広銀市役所</v>
      </c>
      <c r="K97" s="5" t="n">
        <f aca="false">IF(AND(H97&lt;&gt;0,IF(設定!$B$6="入金確認済のみ",C97="入金確認済",OR(C97="入金確認済",C97="受領済"))),1,0)</f>
        <v>0</v>
      </c>
      <c r="L97" s="5" t="str">
        <f aca="false">1&amp;"|"&amp;19</f>
        <v>1|19</v>
      </c>
      <c r="M97" s="5" t="n">
        <f aca="false">IF(L97=L96,M96,0)+K97</f>
        <v>0</v>
      </c>
      <c r="N97" s="5" t="n">
        <f aca="false">IF(AND(K97=1,M97=1),1,0)</f>
        <v>0</v>
      </c>
      <c r="O97" s="5" t="str">
        <f aca="false">IF(K97=1,MAX($O$5:O96)+1,"")</f>
        <v/>
      </c>
      <c r="P97" s="5" t="str">
        <f aca="false">IF(K97=1,SUM($N$6:N97),"")</f>
        <v/>
      </c>
      <c r="Q97" s="5" t="str">
        <f aca="false">IF(K97=1,SUMIFS($H$6:$H$511,$L$6:$L$511,L97,$K$6:$K$511,1),"")</f>
        <v/>
      </c>
      <c r="R97" s="78" t="str">
        <f aca="false">IF(B97="","",IF(INDEX(報告入力!$X$7:$X$696,B97)="","",INDEX(報告入力!$X$7:$X$696,B97)))</f>
        <v/>
      </c>
      <c r="S97" s="5" t="str">
        <f aca="false">設定!$C$47</f>
        <v>長期：退職等年金掛金</v>
      </c>
    </row>
    <row r="98" customFormat="false" ht="15" hidden="false" customHeight="false" outlineLevel="0" collapsed="false">
      <c r="A98" s="5" t="str">
        <f aca="false">設定!B79</f>
        <v>都市整備公社　市</v>
      </c>
      <c r="B98" s="5" t="n">
        <f aca="false">IFERROR(MATCH(ホーム!$C$4&amp;"|"&amp;A98,報告入力!$CG$7:$CG$696,0),"")</f>
        <v>341</v>
      </c>
      <c r="C98" s="5" t="str">
        <f aca="false">IF(B98="","",INDEX(報告入力!$C$7:$C$696,B98))</f>
        <v>未受領</v>
      </c>
      <c r="D98" s="5" t="str">
        <f aca="false">設定!$A$39</f>
        <v>長期（厚生年金保険経理）</v>
      </c>
      <c r="E98" s="5" t="str">
        <f aca="false">設定!$B$39&amp;""</f>
        <v>130</v>
      </c>
      <c r="F98" s="5" t="str">
        <f aca="false">設定!$D$48&amp;""</f>
        <v>6101002000</v>
      </c>
      <c r="G98" s="5" t="str">
        <f aca="false">設定!$E$48&amp;""</f>
        <v>負担地方公共</v>
      </c>
      <c r="H98" s="5" t="n">
        <f aca="false">IF(B98="",0,N(INDEX(報告入力!$AW$7:$AW$696,B98)))</f>
        <v>48495</v>
      </c>
      <c r="I98" s="5" t="str">
        <f aca="false">設定!$C$39&amp;""</f>
        <v>1104001001</v>
      </c>
      <c r="J98" s="5" t="str">
        <f aca="false">設定!$D$39&amp;""</f>
        <v>普広銀市役所</v>
      </c>
      <c r="K98" s="5" t="n">
        <f aca="false">IF(AND(H98&lt;&gt;0,IF(設定!$B$6="入金確認済のみ",C98="入金確認済",OR(C98="入金確認済",C98="受領済"))),1,0)</f>
        <v>0</v>
      </c>
      <c r="L98" s="5" t="str">
        <f aca="false">1&amp;"|"&amp;19</f>
        <v>1|19</v>
      </c>
      <c r="M98" s="5" t="n">
        <f aca="false">IF(L98=L97,M97,0)+K98</f>
        <v>0</v>
      </c>
      <c r="N98" s="5" t="n">
        <f aca="false">IF(AND(K98=1,M98=1),1,0)</f>
        <v>0</v>
      </c>
      <c r="O98" s="5" t="str">
        <f aca="false">IF(K98=1,MAX($O$5:O97)+1,"")</f>
        <v/>
      </c>
      <c r="P98" s="5" t="str">
        <f aca="false">IF(K98=1,SUM($N$6:N98),"")</f>
        <v/>
      </c>
      <c r="Q98" s="5" t="str">
        <f aca="false">IF(K98=1,SUMIFS($H$6:$H$511,$L$6:$L$511,L98,$K$6:$K$511,1),"")</f>
        <v/>
      </c>
      <c r="R98" s="78" t="str">
        <f aca="false">IF(B98="","",IF(INDEX(報告入力!$X$7:$X$696,B98)="","",INDEX(報告入力!$X$7:$X$696,B98)))</f>
        <v/>
      </c>
      <c r="S98" s="5" t="str">
        <f aca="false">設定!$C$48</f>
        <v>長期：厚生年金保険料（事業主負担分）</v>
      </c>
    </row>
    <row r="99" customFormat="false" ht="15" hidden="false" customHeight="false" outlineLevel="0" collapsed="false">
      <c r="A99" s="5" t="str">
        <f aca="false">設定!B79</f>
        <v>都市整備公社　市</v>
      </c>
      <c r="B99" s="5" t="n">
        <f aca="false">IFERROR(MATCH(ホーム!$C$4&amp;"|"&amp;A99,報告入力!$CG$7:$CG$696,0),"")</f>
        <v>341</v>
      </c>
      <c r="C99" s="5" t="str">
        <f aca="false">IF(B99="","",INDEX(報告入力!$C$7:$C$696,B99))</f>
        <v>未受領</v>
      </c>
      <c r="D99" s="5" t="str">
        <f aca="false">設定!$A$39</f>
        <v>長期（厚生年金保険経理）</v>
      </c>
      <c r="E99" s="5" t="str">
        <f aca="false">設定!$B$39&amp;""</f>
        <v>130</v>
      </c>
      <c r="F99" s="5" t="str">
        <f aca="false">設定!$D$49&amp;""</f>
        <v>2109001015</v>
      </c>
      <c r="G99" s="5" t="str">
        <f aca="false">設定!$E$49&amp;""</f>
        <v>退職負担地方</v>
      </c>
      <c r="H99" s="5" t="n">
        <f aca="false">IF(B99="",0,N(INDEX(報告入力!$AX$7:$AX$696,B99)))</f>
        <v>3975</v>
      </c>
      <c r="I99" s="5" t="str">
        <f aca="false">設定!$C$39&amp;""</f>
        <v>1104001001</v>
      </c>
      <c r="J99" s="5" t="str">
        <f aca="false">設定!$D$39&amp;""</f>
        <v>普広銀市役所</v>
      </c>
      <c r="K99" s="5" t="n">
        <f aca="false">IF(AND(H99&lt;&gt;0,IF(設定!$B$6="入金確認済のみ",C99="入金確認済",OR(C99="入金確認済",C99="受領済"))),1,0)</f>
        <v>0</v>
      </c>
      <c r="L99" s="5" t="str">
        <f aca="false">1&amp;"|"&amp;19</f>
        <v>1|19</v>
      </c>
      <c r="M99" s="5" t="n">
        <f aca="false">IF(L99=L98,M98,0)+K99</f>
        <v>0</v>
      </c>
      <c r="N99" s="5" t="n">
        <f aca="false">IF(AND(K99=1,M99=1),1,0)</f>
        <v>0</v>
      </c>
      <c r="O99" s="5" t="str">
        <f aca="false">IF(K99=1,MAX($O$5:O98)+1,"")</f>
        <v/>
      </c>
      <c r="P99" s="5" t="str">
        <f aca="false">IF(K99=1,SUM($N$6:N99),"")</f>
        <v/>
      </c>
      <c r="Q99" s="5" t="str">
        <f aca="false">IF(K99=1,SUMIFS($H$6:$H$511,$L$6:$L$511,L99,$K$6:$K$511,1),"")</f>
        <v/>
      </c>
      <c r="R99" s="78" t="str">
        <f aca="false">IF(B99="","",IF(INDEX(報告入力!$X$7:$X$696,B99)="","",INDEX(報告入力!$X$7:$X$696,B99)))</f>
        <v/>
      </c>
      <c r="S99" s="5" t="str">
        <f aca="false">設定!$C$49</f>
        <v>長期：退職等年金負担金</v>
      </c>
    </row>
    <row r="100" customFormat="false" ht="15" hidden="false" customHeight="false" outlineLevel="0" collapsed="false">
      <c r="A100" s="5" t="str">
        <f aca="false">設定!B79</f>
        <v>都市整備公社　市</v>
      </c>
      <c r="B100" s="5" t="n">
        <f aca="false">IFERROR(MATCH(ホーム!$C$4&amp;"|"&amp;A100,報告入力!$CG$7:$CG$696,0),"")</f>
        <v>341</v>
      </c>
      <c r="C100" s="5" t="str">
        <f aca="false">IF(B100="","",INDEX(報告入力!$C$7:$C$696,B100))</f>
        <v>未受領</v>
      </c>
      <c r="D100" s="5" t="str">
        <f aca="false">設定!$A$39</f>
        <v>長期（厚生年金保険経理）</v>
      </c>
      <c r="E100" s="5" t="str">
        <f aca="false">設定!$B$39&amp;""</f>
        <v>130</v>
      </c>
      <c r="F100" s="5" t="str">
        <f aca="false">設定!$D$50&amp;""</f>
        <v>2109001017</v>
      </c>
      <c r="G100" s="5" t="str">
        <f aca="false">設定!$E$50&amp;""</f>
        <v>経過的負担金</v>
      </c>
      <c r="H100" s="5" t="n">
        <f aca="false">IF(B100="",0,N(INDEX(報告入力!$AY$7:$AY$696,B100)))</f>
        <v>49</v>
      </c>
      <c r="I100" s="5" t="str">
        <f aca="false">設定!$C$39&amp;""</f>
        <v>1104001001</v>
      </c>
      <c r="J100" s="5" t="str">
        <f aca="false">設定!$D$39&amp;""</f>
        <v>普広銀市役所</v>
      </c>
      <c r="K100" s="5" t="n">
        <f aca="false">IF(AND(H100&lt;&gt;0,IF(設定!$B$6="入金確認済のみ",C100="入金確認済",OR(C100="入金確認済",C100="受領済"))),1,0)</f>
        <v>0</v>
      </c>
      <c r="L100" s="5" t="str">
        <f aca="false">1&amp;"|"&amp;19</f>
        <v>1|19</v>
      </c>
      <c r="M100" s="5" t="n">
        <f aca="false">IF(L100=L99,M99,0)+K100</f>
        <v>0</v>
      </c>
      <c r="N100" s="5" t="n">
        <f aca="false">IF(AND(K100=1,M100=1),1,0)</f>
        <v>0</v>
      </c>
      <c r="O100" s="5" t="str">
        <f aca="false">IF(K100=1,MAX($O$5:O99)+1,"")</f>
        <v/>
      </c>
      <c r="P100" s="5" t="str">
        <f aca="false">IF(K100=1,SUM($N$6:N100),"")</f>
        <v/>
      </c>
      <c r="Q100" s="5" t="str">
        <f aca="false">IF(K100=1,SUMIFS($H$6:$H$511,$L$6:$L$511,L100,$K$6:$K$511,1),"")</f>
        <v/>
      </c>
      <c r="R100" s="78" t="str">
        <f aca="false">IF(B100="","",IF(INDEX(報告入力!$X$7:$X$696,B100)="","",INDEX(報告入力!$X$7:$X$696,B100)))</f>
        <v/>
      </c>
      <c r="S100" s="5" t="str">
        <f aca="false">設定!$C$50</f>
        <v>長期：経過的長期</v>
      </c>
    </row>
    <row r="101" customFormat="false" ht="15" hidden="false" customHeight="false" outlineLevel="0" collapsed="false">
      <c r="A101" s="5" t="str">
        <f aca="false">設定!B80</f>
        <v>都市整備公社　消防</v>
      </c>
      <c r="B101" s="5" t="n">
        <f aca="false">IFERROR(MATCH(ホーム!$C$4&amp;"|"&amp;A101,報告入力!$CG$7:$CG$696,0),"")</f>
        <v>342</v>
      </c>
      <c r="C101" s="5" t="str">
        <f aca="false">IF(B101="","",INDEX(報告入力!$C$7:$C$696,B101))</f>
        <v>未受領</v>
      </c>
      <c r="D101" s="5" t="str">
        <f aca="false">設定!$A$39</f>
        <v>長期（厚生年金保険経理）</v>
      </c>
      <c r="E101" s="5" t="str">
        <f aca="false">設定!$B$39&amp;""</f>
        <v>130</v>
      </c>
      <c r="F101" s="5" t="str">
        <f aca="false">設定!$D$46&amp;""</f>
        <v>6102102000</v>
      </c>
      <c r="G101" s="5" t="str">
        <f aca="false">設定!$E$46&amp;""</f>
        <v>標月額保険料</v>
      </c>
      <c r="H101" s="5" t="n">
        <f aca="false">IF(B101="",0,N(INDEX(報告入力!$AU$7:$AU$696,B101)))</f>
        <v>0</v>
      </c>
      <c r="I101" s="5" t="str">
        <f aca="false">設定!$C$39&amp;""</f>
        <v>1104001001</v>
      </c>
      <c r="J101" s="5" t="str">
        <f aca="false">設定!$D$39&amp;""</f>
        <v>普広銀市役所</v>
      </c>
      <c r="K101" s="5" t="n">
        <f aca="false">IF(AND(H101&lt;&gt;0,IF(設定!$B$6="入金確認済のみ",C101="入金確認済",OR(C101="入金確認済",C101="受領済"))),1,0)</f>
        <v>0</v>
      </c>
      <c r="L101" s="5" t="str">
        <f aca="false">1&amp;"|"&amp;20</f>
        <v>1|20</v>
      </c>
      <c r="M101" s="5" t="n">
        <f aca="false">IF(L101=L100,M100,0)+K101</f>
        <v>0</v>
      </c>
      <c r="N101" s="5" t="n">
        <f aca="false">IF(AND(K101=1,M101=1),1,0)</f>
        <v>0</v>
      </c>
      <c r="O101" s="5" t="str">
        <f aca="false">IF(K101=1,MAX($O$5:O100)+1,"")</f>
        <v/>
      </c>
      <c r="P101" s="5" t="str">
        <f aca="false">IF(K101=1,SUM($N$6:N101),"")</f>
        <v/>
      </c>
      <c r="Q101" s="5" t="str">
        <f aca="false">IF(K101=1,SUMIFS($H$6:$H$511,$L$6:$L$511,L101,$K$6:$K$511,1),"")</f>
        <v/>
      </c>
      <c r="R101" s="78" t="str">
        <f aca="false">IF(B101="","",IF(INDEX(報告入力!$X$7:$X$696,B101)="","",INDEX(報告入力!$X$7:$X$696,B101)))</f>
        <v/>
      </c>
      <c r="S101" s="5" t="str">
        <f aca="false">設定!$C$46</f>
        <v>長期：厚生年金保険料（組合員負担分）</v>
      </c>
    </row>
    <row r="102" customFormat="false" ht="15" hidden="false" customHeight="false" outlineLevel="0" collapsed="false">
      <c r="A102" s="5" t="str">
        <f aca="false">設定!B80</f>
        <v>都市整備公社　消防</v>
      </c>
      <c r="B102" s="5" t="n">
        <f aca="false">IFERROR(MATCH(ホーム!$C$4&amp;"|"&amp;A102,報告入力!$CG$7:$CG$696,0),"")</f>
        <v>342</v>
      </c>
      <c r="C102" s="5" t="str">
        <f aca="false">IF(B102="","",INDEX(報告入力!$C$7:$C$696,B102))</f>
        <v>未受領</v>
      </c>
      <c r="D102" s="5" t="str">
        <f aca="false">設定!$A$39</f>
        <v>長期（厚生年金保険経理）</v>
      </c>
      <c r="E102" s="5" t="str">
        <f aca="false">設定!$B$39&amp;""</f>
        <v>130</v>
      </c>
      <c r="F102" s="5" t="str">
        <f aca="false">設定!$D$47&amp;""</f>
        <v>2109001014</v>
      </c>
      <c r="G102" s="5" t="str">
        <f aca="false">設定!$E$47&amp;""</f>
        <v>退職標報掛金</v>
      </c>
      <c r="H102" s="5" t="n">
        <f aca="false">IF(B102="",0,N(INDEX(報告入力!$AV$7:$AV$696,B102)))</f>
        <v>0</v>
      </c>
      <c r="I102" s="5" t="str">
        <f aca="false">設定!$C$39&amp;""</f>
        <v>1104001001</v>
      </c>
      <c r="J102" s="5" t="str">
        <f aca="false">設定!$D$39&amp;""</f>
        <v>普広銀市役所</v>
      </c>
      <c r="K102" s="5" t="n">
        <f aca="false">IF(AND(H102&lt;&gt;0,IF(設定!$B$6="入金確認済のみ",C102="入金確認済",OR(C102="入金確認済",C102="受領済"))),1,0)</f>
        <v>0</v>
      </c>
      <c r="L102" s="5" t="str">
        <f aca="false">1&amp;"|"&amp;20</f>
        <v>1|20</v>
      </c>
      <c r="M102" s="5" t="n">
        <f aca="false">IF(L102=L101,M101,0)+K102</f>
        <v>0</v>
      </c>
      <c r="N102" s="5" t="n">
        <f aca="false">IF(AND(K102=1,M102=1),1,0)</f>
        <v>0</v>
      </c>
      <c r="O102" s="5" t="str">
        <f aca="false">IF(K102=1,MAX($O$5:O101)+1,"")</f>
        <v/>
      </c>
      <c r="P102" s="5" t="str">
        <f aca="false">IF(K102=1,SUM($N$6:N102),"")</f>
        <v/>
      </c>
      <c r="Q102" s="5" t="str">
        <f aca="false">IF(K102=1,SUMIFS($H$6:$H$511,$L$6:$L$511,L102,$K$6:$K$511,1),"")</f>
        <v/>
      </c>
      <c r="R102" s="78" t="str">
        <f aca="false">IF(B102="","",IF(INDEX(報告入力!$X$7:$X$696,B102)="","",INDEX(報告入力!$X$7:$X$696,B102)))</f>
        <v/>
      </c>
      <c r="S102" s="5" t="str">
        <f aca="false">設定!$C$47</f>
        <v>長期：退職等年金掛金</v>
      </c>
    </row>
    <row r="103" customFormat="false" ht="15" hidden="false" customHeight="false" outlineLevel="0" collapsed="false">
      <c r="A103" s="5" t="str">
        <f aca="false">設定!B80</f>
        <v>都市整備公社　消防</v>
      </c>
      <c r="B103" s="5" t="n">
        <f aca="false">IFERROR(MATCH(ホーム!$C$4&amp;"|"&amp;A103,報告入力!$CG$7:$CG$696,0),"")</f>
        <v>342</v>
      </c>
      <c r="C103" s="5" t="str">
        <f aca="false">IF(B103="","",INDEX(報告入力!$C$7:$C$696,B103))</f>
        <v>未受領</v>
      </c>
      <c r="D103" s="5" t="str">
        <f aca="false">設定!$A$39</f>
        <v>長期（厚生年金保険経理）</v>
      </c>
      <c r="E103" s="5" t="str">
        <f aca="false">設定!$B$39&amp;""</f>
        <v>130</v>
      </c>
      <c r="F103" s="5" t="str">
        <f aca="false">設定!$D$48&amp;""</f>
        <v>6101002000</v>
      </c>
      <c r="G103" s="5" t="str">
        <f aca="false">設定!$E$48&amp;""</f>
        <v>負担地方公共</v>
      </c>
      <c r="H103" s="5" t="n">
        <f aca="false">IF(B103="",0,N(INDEX(報告入力!$AW$7:$AW$696,B103)))</f>
        <v>124440</v>
      </c>
      <c r="I103" s="5" t="str">
        <f aca="false">設定!$C$39&amp;""</f>
        <v>1104001001</v>
      </c>
      <c r="J103" s="5" t="str">
        <f aca="false">設定!$D$39&amp;""</f>
        <v>普広銀市役所</v>
      </c>
      <c r="K103" s="5" t="n">
        <f aca="false">IF(AND(H103&lt;&gt;0,IF(設定!$B$6="入金確認済のみ",C103="入金確認済",OR(C103="入金確認済",C103="受領済"))),1,0)</f>
        <v>0</v>
      </c>
      <c r="L103" s="5" t="str">
        <f aca="false">1&amp;"|"&amp;20</f>
        <v>1|20</v>
      </c>
      <c r="M103" s="5" t="n">
        <f aca="false">IF(L103=L102,M102,0)+K103</f>
        <v>0</v>
      </c>
      <c r="N103" s="5" t="n">
        <f aca="false">IF(AND(K103=1,M103=1),1,0)</f>
        <v>0</v>
      </c>
      <c r="O103" s="5" t="str">
        <f aca="false">IF(K103=1,MAX($O$5:O102)+1,"")</f>
        <v/>
      </c>
      <c r="P103" s="5" t="str">
        <f aca="false">IF(K103=1,SUM($N$6:N103),"")</f>
        <v/>
      </c>
      <c r="Q103" s="5" t="str">
        <f aca="false">IF(K103=1,SUMIFS($H$6:$H$511,$L$6:$L$511,L103,$K$6:$K$511,1),"")</f>
        <v/>
      </c>
      <c r="R103" s="78" t="str">
        <f aca="false">IF(B103="","",IF(INDEX(報告入力!$X$7:$X$696,B103)="","",INDEX(報告入力!$X$7:$X$696,B103)))</f>
        <v/>
      </c>
      <c r="S103" s="5" t="str">
        <f aca="false">設定!$C$48</f>
        <v>長期：厚生年金保険料（事業主負担分）</v>
      </c>
    </row>
    <row r="104" customFormat="false" ht="15" hidden="false" customHeight="false" outlineLevel="0" collapsed="false">
      <c r="A104" s="5" t="str">
        <f aca="false">設定!B80</f>
        <v>都市整備公社　消防</v>
      </c>
      <c r="B104" s="5" t="n">
        <f aca="false">IFERROR(MATCH(ホーム!$C$4&amp;"|"&amp;A104,報告入力!$CG$7:$CG$696,0),"")</f>
        <v>342</v>
      </c>
      <c r="C104" s="5" t="str">
        <f aca="false">IF(B104="","",INDEX(報告入力!$C$7:$C$696,B104))</f>
        <v>未受領</v>
      </c>
      <c r="D104" s="5" t="str">
        <f aca="false">設定!$A$39</f>
        <v>長期（厚生年金保険経理）</v>
      </c>
      <c r="E104" s="5" t="str">
        <f aca="false">設定!$B$39&amp;""</f>
        <v>130</v>
      </c>
      <c r="F104" s="5" t="str">
        <f aca="false">設定!$D$49&amp;""</f>
        <v>2109001015</v>
      </c>
      <c r="G104" s="5" t="str">
        <f aca="false">設定!$E$49&amp;""</f>
        <v>退職負担地方</v>
      </c>
      <c r="H104" s="5" t="n">
        <f aca="false">IF(B104="",0,N(INDEX(報告入力!$AX$7:$AX$696,B104)))</f>
        <v>10200</v>
      </c>
      <c r="I104" s="5" t="str">
        <f aca="false">設定!$C$39&amp;""</f>
        <v>1104001001</v>
      </c>
      <c r="J104" s="5" t="str">
        <f aca="false">設定!$D$39&amp;""</f>
        <v>普広銀市役所</v>
      </c>
      <c r="K104" s="5" t="n">
        <f aca="false">IF(AND(H104&lt;&gt;0,IF(設定!$B$6="入金確認済のみ",C104="入金確認済",OR(C104="入金確認済",C104="受領済"))),1,0)</f>
        <v>0</v>
      </c>
      <c r="L104" s="5" t="str">
        <f aca="false">1&amp;"|"&amp;20</f>
        <v>1|20</v>
      </c>
      <c r="M104" s="5" t="n">
        <f aca="false">IF(L104=L103,M103,0)+K104</f>
        <v>0</v>
      </c>
      <c r="N104" s="5" t="n">
        <f aca="false">IF(AND(K104=1,M104=1),1,0)</f>
        <v>0</v>
      </c>
      <c r="O104" s="5" t="str">
        <f aca="false">IF(K104=1,MAX($O$5:O103)+1,"")</f>
        <v/>
      </c>
      <c r="P104" s="5" t="str">
        <f aca="false">IF(K104=1,SUM($N$6:N104),"")</f>
        <v/>
      </c>
      <c r="Q104" s="5" t="str">
        <f aca="false">IF(K104=1,SUMIFS($H$6:$H$511,$L$6:$L$511,L104,$K$6:$K$511,1),"")</f>
        <v/>
      </c>
      <c r="R104" s="78" t="str">
        <f aca="false">IF(B104="","",IF(INDEX(報告入力!$X$7:$X$696,B104)="","",INDEX(報告入力!$X$7:$X$696,B104)))</f>
        <v/>
      </c>
      <c r="S104" s="5" t="str">
        <f aca="false">設定!$C$49</f>
        <v>長期：退職等年金負担金</v>
      </c>
    </row>
    <row r="105" customFormat="false" ht="15" hidden="false" customHeight="false" outlineLevel="0" collapsed="false">
      <c r="A105" s="5" t="str">
        <f aca="false">設定!B80</f>
        <v>都市整備公社　消防</v>
      </c>
      <c r="B105" s="5" t="n">
        <f aca="false">IFERROR(MATCH(ホーム!$C$4&amp;"|"&amp;A105,報告入力!$CG$7:$CG$696,0),"")</f>
        <v>342</v>
      </c>
      <c r="C105" s="5" t="str">
        <f aca="false">IF(B105="","",INDEX(報告入力!$C$7:$C$696,B105))</f>
        <v>未受領</v>
      </c>
      <c r="D105" s="5" t="str">
        <f aca="false">設定!$A$39</f>
        <v>長期（厚生年金保険経理）</v>
      </c>
      <c r="E105" s="5" t="str">
        <f aca="false">設定!$B$39&amp;""</f>
        <v>130</v>
      </c>
      <c r="F105" s="5" t="str">
        <f aca="false">設定!$D$50&amp;""</f>
        <v>2109001017</v>
      </c>
      <c r="G105" s="5" t="str">
        <f aca="false">設定!$E$50&amp;""</f>
        <v>経過的負担金</v>
      </c>
      <c r="H105" s="5" t="n">
        <f aca="false">IF(B105="",0,N(INDEX(報告入力!$AY$7:$AY$696,B105)))</f>
        <v>127</v>
      </c>
      <c r="I105" s="5" t="str">
        <f aca="false">設定!$C$39&amp;""</f>
        <v>1104001001</v>
      </c>
      <c r="J105" s="5" t="str">
        <f aca="false">設定!$D$39&amp;""</f>
        <v>普広銀市役所</v>
      </c>
      <c r="K105" s="5" t="n">
        <f aca="false">IF(AND(H105&lt;&gt;0,IF(設定!$B$6="入金確認済のみ",C105="入金確認済",OR(C105="入金確認済",C105="受領済"))),1,0)</f>
        <v>0</v>
      </c>
      <c r="L105" s="5" t="str">
        <f aca="false">1&amp;"|"&amp;20</f>
        <v>1|20</v>
      </c>
      <c r="M105" s="5" t="n">
        <f aca="false">IF(L105=L104,M104,0)+K105</f>
        <v>0</v>
      </c>
      <c r="N105" s="5" t="n">
        <f aca="false">IF(AND(K105=1,M105=1),1,0)</f>
        <v>0</v>
      </c>
      <c r="O105" s="5" t="str">
        <f aca="false">IF(K105=1,MAX($O$5:O104)+1,"")</f>
        <v/>
      </c>
      <c r="P105" s="5" t="str">
        <f aca="false">IF(K105=1,SUM($N$6:N105),"")</f>
        <v/>
      </c>
      <c r="Q105" s="5" t="str">
        <f aca="false">IF(K105=1,SUMIFS($H$6:$H$511,$L$6:$L$511,L105,$K$6:$K$511,1),"")</f>
        <v/>
      </c>
      <c r="R105" s="78" t="str">
        <f aca="false">IF(B105="","",IF(INDEX(報告入力!$X$7:$X$696,B105)="","",INDEX(報告入力!$X$7:$X$696,B105)))</f>
        <v/>
      </c>
      <c r="S105" s="5" t="str">
        <f aca="false">設定!$C$50</f>
        <v>長期：経過的長期</v>
      </c>
    </row>
    <row r="106" customFormat="false" ht="15" hidden="false" customHeight="false" outlineLevel="0" collapsed="false">
      <c r="A106" s="5" t="str">
        <f aca="false">設定!B81</f>
        <v>日本下水道事業団</v>
      </c>
      <c r="B106" s="5" t="n">
        <f aca="false">IFERROR(MATCH(ホーム!$C$4&amp;"|"&amp;A106,報告入力!$CG$7:$CG$696,0),"")</f>
        <v>343</v>
      </c>
      <c r="C106" s="5" t="str">
        <f aca="false">IF(B106="","",INDEX(報告入力!$C$7:$C$696,B106))</f>
        <v>受領済</v>
      </c>
      <c r="D106" s="5" t="str">
        <f aca="false">設定!$A$39</f>
        <v>長期（厚生年金保険経理）</v>
      </c>
      <c r="E106" s="5" t="str">
        <f aca="false">設定!$B$39&amp;""</f>
        <v>130</v>
      </c>
      <c r="F106" s="5" t="str">
        <f aca="false">設定!$D$46&amp;""</f>
        <v>6102102000</v>
      </c>
      <c r="G106" s="5" t="str">
        <f aca="false">設定!$E$46&amp;""</f>
        <v>標月額保険料</v>
      </c>
      <c r="H106" s="5" t="n">
        <f aca="false">IF(B106="",0,N(INDEX(報告入力!$AU$7:$AU$696,B106)))</f>
        <v>247050</v>
      </c>
      <c r="I106" s="5" t="str">
        <f aca="false">設定!$C$39&amp;""</f>
        <v>1104001001</v>
      </c>
      <c r="J106" s="5" t="str">
        <f aca="false">設定!$D$39&amp;""</f>
        <v>普広銀市役所</v>
      </c>
      <c r="K106" s="5" t="n">
        <f aca="false">IF(AND(H106&lt;&gt;0,IF(設定!$B$6="入金確認済のみ",C106="入金確認済",OR(C106="入金確認済",C106="受領済"))),1,0)</f>
        <v>0</v>
      </c>
      <c r="L106" s="5" t="str">
        <f aca="false">1&amp;"|"&amp;21</f>
        <v>1|21</v>
      </c>
      <c r="M106" s="5" t="n">
        <f aca="false">IF(L106=L105,M105,0)+K106</f>
        <v>0</v>
      </c>
      <c r="N106" s="5" t="n">
        <f aca="false">IF(AND(K106=1,M106=1),1,0)</f>
        <v>0</v>
      </c>
      <c r="O106" s="5" t="str">
        <f aca="false">IF(K106=1,MAX($O$5:O105)+1,"")</f>
        <v/>
      </c>
      <c r="P106" s="5" t="str">
        <f aca="false">IF(K106=1,SUM($N$6:N106),"")</f>
        <v/>
      </c>
      <c r="Q106" s="5" t="str">
        <f aca="false">IF(K106=1,SUMIFS($H$6:$H$511,$L$6:$L$511,L106,$K$6:$K$511,1),"")</f>
        <v/>
      </c>
      <c r="R106" s="78" t="str">
        <f aca="false">IF(B106="","",IF(INDEX(報告入力!$X$7:$X$696,B106)="","",INDEX(報告入力!$X$7:$X$696,B106)))</f>
        <v/>
      </c>
      <c r="S106" s="5" t="str">
        <f aca="false">設定!$C$46</f>
        <v>長期：厚生年金保険料（組合員負担分）</v>
      </c>
    </row>
    <row r="107" customFormat="false" ht="15" hidden="false" customHeight="false" outlineLevel="0" collapsed="false">
      <c r="A107" s="5" t="str">
        <f aca="false">設定!B81</f>
        <v>日本下水道事業団</v>
      </c>
      <c r="B107" s="5" t="n">
        <f aca="false">IFERROR(MATCH(ホーム!$C$4&amp;"|"&amp;A107,報告入力!$CG$7:$CG$696,0),"")</f>
        <v>343</v>
      </c>
      <c r="C107" s="5" t="str">
        <f aca="false">IF(B107="","",INDEX(報告入力!$C$7:$C$696,B107))</f>
        <v>受領済</v>
      </c>
      <c r="D107" s="5" t="str">
        <f aca="false">設定!$A$39</f>
        <v>長期（厚生年金保険経理）</v>
      </c>
      <c r="E107" s="5" t="str">
        <f aca="false">設定!$B$39&amp;""</f>
        <v>130</v>
      </c>
      <c r="F107" s="5" t="str">
        <f aca="false">設定!$D$47&amp;""</f>
        <v>2109001014</v>
      </c>
      <c r="G107" s="5" t="str">
        <f aca="false">設定!$E$47&amp;""</f>
        <v>退職標報掛金</v>
      </c>
      <c r="H107" s="5" t="n">
        <f aca="false">IF(B107="",0,N(INDEX(報告入力!$AV$7:$AV$696,B107)))</f>
        <v>20250</v>
      </c>
      <c r="I107" s="5" t="str">
        <f aca="false">設定!$C$39&amp;""</f>
        <v>1104001001</v>
      </c>
      <c r="J107" s="5" t="str">
        <f aca="false">設定!$D$39&amp;""</f>
        <v>普広銀市役所</v>
      </c>
      <c r="K107" s="5" t="n">
        <f aca="false">IF(AND(H107&lt;&gt;0,IF(設定!$B$6="入金確認済のみ",C107="入金確認済",OR(C107="入金確認済",C107="受領済"))),1,0)</f>
        <v>0</v>
      </c>
      <c r="L107" s="5" t="str">
        <f aca="false">1&amp;"|"&amp;21</f>
        <v>1|21</v>
      </c>
      <c r="M107" s="5" t="n">
        <f aca="false">IF(L107=L106,M106,0)+K107</f>
        <v>0</v>
      </c>
      <c r="N107" s="5" t="n">
        <f aca="false">IF(AND(K107=1,M107=1),1,0)</f>
        <v>0</v>
      </c>
      <c r="O107" s="5" t="str">
        <f aca="false">IF(K107=1,MAX($O$5:O106)+1,"")</f>
        <v/>
      </c>
      <c r="P107" s="5" t="str">
        <f aca="false">IF(K107=1,SUM($N$6:N107),"")</f>
        <v/>
      </c>
      <c r="Q107" s="5" t="str">
        <f aca="false">IF(K107=1,SUMIFS($H$6:$H$511,$L$6:$L$511,L107,$K$6:$K$511,1),"")</f>
        <v/>
      </c>
      <c r="R107" s="78" t="str">
        <f aca="false">IF(B107="","",IF(INDEX(報告入力!$X$7:$X$696,B107)="","",INDEX(報告入力!$X$7:$X$696,B107)))</f>
        <v/>
      </c>
      <c r="S107" s="5" t="str">
        <f aca="false">設定!$C$47</f>
        <v>長期：退職等年金掛金</v>
      </c>
    </row>
    <row r="108" customFormat="false" ht="15" hidden="false" customHeight="false" outlineLevel="0" collapsed="false">
      <c r="A108" s="5" t="str">
        <f aca="false">設定!B81</f>
        <v>日本下水道事業団</v>
      </c>
      <c r="B108" s="5" t="n">
        <f aca="false">IFERROR(MATCH(ホーム!$C$4&amp;"|"&amp;A108,報告入力!$CG$7:$CG$696,0),"")</f>
        <v>343</v>
      </c>
      <c r="C108" s="5" t="str">
        <f aca="false">IF(B108="","",INDEX(報告入力!$C$7:$C$696,B108))</f>
        <v>受領済</v>
      </c>
      <c r="D108" s="5" t="str">
        <f aca="false">設定!$A$39</f>
        <v>長期（厚生年金保険経理）</v>
      </c>
      <c r="E108" s="5" t="str">
        <f aca="false">設定!$B$39&amp;""</f>
        <v>130</v>
      </c>
      <c r="F108" s="5" t="str">
        <f aca="false">設定!$D$48&amp;""</f>
        <v>6101002000</v>
      </c>
      <c r="G108" s="5" t="str">
        <f aca="false">設定!$E$48&amp;""</f>
        <v>負担地方公共</v>
      </c>
      <c r="H108" s="5" t="n">
        <f aca="false">IF(B108="",0,N(INDEX(報告入力!$AW$7:$AW$696,B108)))</f>
        <v>247050</v>
      </c>
      <c r="I108" s="5" t="str">
        <f aca="false">設定!$C$39&amp;""</f>
        <v>1104001001</v>
      </c>
      <c r="J108" s="5" t="str">
        <f aca="false">設定!$D$39&amp;""</f>
        <v>普広銀市役所</v>
      </c>
      <c r="K108" s="5" t="n">
        <f aca="false">IF(AND(H108&lt;&gt;0,IF(設定!$B$6="入金確認済のみ",C108="入金確認済",OR(C108="入金確認済",C108="受領済"))),1,0)</f>
        <v>0</v>
      </c>
      <c r="L108" s="5" t="str">
        <f aca="false">1&amp;"|"&amp;21</f>
        <v>1|21</v>
      </c>
      <c r="M108" s="5" t="n">
        <f aca="false">IF(L108=L107,M107,0)+K108</f>
        <v>0</v>
      </c>
      <c r="N108" s="5" t="n">
        <f aca="false">IF(AND(K108=1,M108=1),1,0)</f>
        <v>0</v>
      </c>
      <c r="O108" s="5" t="str">
        <f aca="false">IF(K108=1,MAX($O$5:O107)+1,"")</f>
        <v/>
      </c>
      <c r="P108" s="5" t="str">
        <f aca="false">IF(K108=1,SUM($N$6:N108),"")</f>
        <v/>
      </c>
      <c r="Q108" s="5" t="str">
        <f aca="false">IF(K108=1,SUMIFS($H$6:$H$511,$L$6:$L$511,L108,$K$6:$K$511,1),"")</f>
        <v/>
      </c>
      <c r="R108" s="78" t="str">
        <f aca="false">IF(B108="","",IF(INDEX(報告入力!$X$7:$X$696,B108)="","",INDEX(報告入力!$X$7:$X$696,B108)))</f>
        <v/>
      </c>
      <c r="S108" s="5" t="str">
        <f aca="false">設定!$C$48</f>
        <v>長期：厚生年金保険料（事業主負担分）</v>
      </c>
    </row>
    <row r="109" customFormat="false" ht="15" hidden="false" customHeight="false" outlineLevel="0" collapsed="false">
      <c r="A109" s="5" t="str">
        <f aca="false">設定!B81</f>
        <v>日本下水道事業団</v>
      </c>
      <c r="B109" s="5" t="n">
        <f aca="false">IFERROR(MATCH(ホーム!$C$4&amp;"|"&amp;A109,報告入力!$CG$7:$CG$696,0),"")</f>
        <v>343</v>
      </c>
      <c r="C109" s="5" t="str">
        <f aca="false">IF(B109="","",INDEX(報告入力!$C$7:$C$696,B109))</f>
        <v>受領済</v>
      </c>
      <c r="D109" s="5" t="str">
        <f aca="false">設定!$A$39</f>
        <v>長期（厚生年金保険経理）</v>
      </c>
      <c r="E109" s="5" t="str">
        <f aca="false">設定!$B$39&amp;""</f>
        <v>130</v>
      </c>
      <c r="F109" s="5" t="str">
        <f aca="false">設定!$D$49&amp;""</f>
        <v>2109001015</v>
      </c>
      <c r="G109" s="5" t="str">
        <f aca="false">設定!$E$49&amp;""</f>
        <v>退職負担地方</v>
      </c>
      <c r="H109" s="5" t="n">
        <f aca="false">IF(B109="",0,N(INDEX(報告入力!$AX$7:$AX$696,B109)))</f>
        <v>20250</v>
      </c>
      <c r="I109" s="5" t="str">
        <f aca="false">設定!$C$39&amp;""</f>
        <v>1104001001</v>
      </c>
      <c r="J109" s="5" t="str">
        <f aca="false">設定!$D$39&amp;""</f>
        <v>普広銀市役所</v>
      </c>
      <c r="K109" s="5" t="n">
        <f aca="false">IF(AND(H109&lt;&gt;0,IF(設定!$B$6="入金確認済のみ",C109="入金確認済",OR(C109="入金確認済",C109="受領済"))),1,0)</f>
        <v>0</v>
      </c>
      <c r="L109" s="5" t="str">
        <f aca="false">1&amp;"|"&amp;21</f>
        <v>1|21</v>
      </c>
      <c r="M109" s="5" t="n">
        <f aca="false">IF(L109=L108,M108,0)+K109</f>
        <v>0</v>
      </c>
      <c r="N109" s="5" t="n">
        <f aca="false">IF(AND(K109=1,M109=1),1,0)</f>
        <v>0</v>
      </c>
      <c r="O109" s="5" t="str">
        <f aca="false">IF(K109=1,MAX($O$5:O108)+1,"")</f>
        <v/>
      </c>
      <c r="P109" s="5" t="str">
        <f aca="false">IF(K109=1,SUM($N$6:N109),"")</f>
        <v/>
      </c>
      <c r="Q109" s="5" t="str">
        <f aca="false">IF(K109=1,SUMIFS($H$6:$H$511,$L$6:$L$511,L109,$K$6:$K$511,1),"")</f>
        <v/>
      </c>
      <c r="R109" s="78" t="str">
        <f aca="false">IF(B109="","",IF(INDEX(報告入力!$X$7:$X$696,B109)="","",INDEX(報告入力!$X$7:$X$696,B109)))</f>
        <v/>
      </c>
      <c r="S109" s="5" t="str">
        <f aca="false">設定!$C$49</f>
        <v>長期：退職等年金負担金</v>
      </c>
    </row>
    <row r="110" customFormat="false" ht="15" hidden="false" customHeight="false" outlineLevel="0" collapsed="false">
      <c r="A110" s="5" t="str">
        <f aca="false">設定!B81</f>
        <v>日本下水道事業団</v>
      </c>
      <c r="B110" s="5" t="n">
        <f aca="false">IFERROR(MATCH(ホーム!$C$4&amp;"|"&amp;A110,報告入力!$CG$7:$CG$696,0),"")</f>
        <v>343</v>
      </c>
      <c r="C110" s="5" t="str">
        <f aca="false">IF(B110="","",INDEX(報告入力!$C$7:$C$696,B110))</f>
        <v>受領済</v>
      </c>
      <c r="D110" s="5" t="str">
        <f aca="false">設定!$A$39</f>
        <v>長期（厚生年金保険経理）</v>
      </c>
      <c r="E110" s="5" t="str">
        <f aca="false">設定!$B$39&amp;""</f>
        <v>130</v>
      </c>
      <c r="F110" s="5" t="str">
        <f aca="false">設定!$D$50&amp;""</f>
        <v>2109001017</v>
      </c>
      <c r="G110" s="5" t="str">
        <f aca="false">設定!$E$50&amp;""</f>
        <v>経過的負担金</v>
      </c>
      <c r="H110" s="5" t="n">
        <f aca="false">IF(B110="",0,N(INDEX(報告入力!$AY$7:$AY$696,B110)))</f>
        <v>234</v>
      </c>
      <c r="I110" s="5" t="str">
        <f aca="false">設定!$C$39&amp;""</f>
        <v>1104001001</v>
      </c>
      <c r="J110" s="5" t="str">
        <f aca="false">設定!$D$39&amp;""</f>
        <v>普広銀市役所</v>
      </c>
      <c r="K110" s="5" t="n">
        <f aca="false">IF(AND(H110&lt;&gt;0,IF(設定!$B$6="入金確認済のみ",C110="入金確認済",OR(C110="入金確認済",C110="受領済"))),1,0)</f>
        <v>0</v>
      </c>
      <c r="L110" s="5" t="str">
        <f aca="false">1&amp;"|"&amp;21</f>
        <v>1|21</v>
      </c>
      <c r="M110" s="5" t="n">
        <f aca="false">IF(L110=L109,M109,0)+K110</f>
        <v>0</v>
      </c>
      <c r="N110" s="5" t="n">
        <f aca="false">IF(AND(K110=1,M110=1),1,0)</f>
        <v>0</v>
      </c>
      <c r="O110" s="5" t="str">
        <f aca="false">IF(K110=1,MAX($O$5:O109)+1,"")</f>
        <v/>
      </c>
      <c r="P110" s="5" t="str">
        <f aca="false">IF(K110=1,SUM($N$6:N110),"")</f>
        <v/>
      </c>
      <c r="Q110" s="5" t="str">
        <f aca="false">IF(K110=1,SUMIFS($H$6:$H$511,$L$6:$L$511,L110,$K$6:$K$511,1),"")</f>
        <v/>
      </c>
      <c r="R110" s="78" t="str">
        <f aca="false">IF(B110="","",IF(INDEX(報告入力!$X$7:$X$696,B110)="","",INDEX(報告入力!$X$7:$X$696,B110)))</f>
        <v/>
      </c>
      <c r="S110" s="5" t="str">
        <f aca="false">設定!$C$50</f>
        <v>長期：経過的長期</v>
      </c>
    </row>
    <row r="111" customFormat="false" ht="15" hidden="false" customHeight="false" outlineLevel="0" collapsed="false">
      <c r="A111" s="5" t="str">
        <f aca="false">設定!B82</f>
        <v>地方公務員災害補償基金本部</v>
      </c>
      <c r="B111" s="5" t="n">
        <f aca="false">IFERROR(MATCH(ホーム!$C$4&amp;"|"&amp;A111,報告入力!$CG$7:$CG$696,0),"")</f>
        <v>344</v>
      </c>
      <c r="C111" s="5" t="str">
        <f aca="false">IF(B111="","",INDEX(報告入力!$C$7:$C$696,B111))</f>
        <v>受領済</v>
      </c>
      <c r="D111" s="5" t="str">
        <f aca="false">設定!$A$39</f>
        <v>長期（厚生年金保険経理）</v>
      </c>
      <c r="E111" s="5" t="str">
        <f aca="false">設定!$B$39&amp;""</f>
        <v>130</v>
      </c>
      <c r="F111" s="5" t="str">
        <f aca="false">設定!$D$46&amp;""</f>
        <v>6102102000</v>
      </c>
      <c r="G111" s="5" t="str">
        <f aca="false">設定!$E$46&amp;""</f>
        <v>標月額保険料</v>
      </c>
      <c r="H111" s="5" t="n">
        <f aca="false">IF(B111="",0,N(INDEX(報告入力!$AU$7:$AU$696,B111)))</f>
        <v>43005</v>
      </c>
      <c r="I111" s="5" t="str">
        <f aca="false">設定!$C$39&amp;""</f>
        <v>1104001001</v>
      </c>
      <c r="J111" s="5" t="str">
        <f aca="false">設定!$D$39&amp;""</f>
        <v>普広銀市役所</v>
      </c>
      <c r="K111" s="5" t="n">
        <f aca="false">IF(AND(H111&lt;&gt;0,IF(設定!$B$6="入金確認済のみ",C111="入金確認済",OR(C111="入金確認済",C111="受領済"))),1,0)</f>
        <v>0</v>
      </c>
      <c r="L111" s="5" t="str">
        <f aca="false">1&amp;"|"&amp;22</f>
        <v>1|22</v>
      </c>
      <c r="M111" s="5" t="n">
        <f aca="false">IF(L111=L110,M110,0)+K111</f>
        <v>0</v>
      </c>
      <c r="N111" s="5" t="n">
        <f aca="false">IF(AND(K111=1,M111=1),1,0)</f>
        <v>0</v>
      </c>
      <c r="O111" s="5" t="str">
        <f aca="false">IF(K111=1,MAX($O$5:O110)+1,"")</f>
        <v/>
      </c>
      <c r="P111" s="5" t="str">
        <f aca="false">IF(K111=1,SUM($N$6:N111),"")</f>
        <v/>
      </c>
      <c r="Q111" s="5" t="str">
        <f aca="false">IF(K111=1,SUMIFS($H$6:$H$511,$L$6:$L$511,L111,$K$6:$K$511,1),"")</f>
        <v/>
      </c>
      <c r="R111" s="78" t="str">
        <f aca="false">IF(B111="","",IF(INDEX(報告入力!$X$7:$X$696,B111)="","",INDEX(報告入力!$X$7:$X$696,B111)))</f>
        <v/>
      </c>
      <c r="S111" s="5" t="str">
        <f aca="false">設定!$C$46</f>
        <v>長期：厚生年金保険料（組合員負担分）</v>
      </c>
    </row>
    <row r="112" customFormat="false" ht="15" hidden="false" customHeight="false" outlineLevel="0" collapsed="false">
      <c r="A112" s="5" t="str">
        <f aca="false">設定!B82</f>
        <v>地方公務員災害補償基金本部</v>
      </c>
      <c r="B112" s="5" t="n">
        <f aca="false">IFERROR(MATCH(ホーム!$C$4&amp;"|"&amp;A112,報告入力!$CG$7:$CG$696,0),"")</f>
        <v>344</v>
      </c>
      <c r="C112" s="5" t="str">
        <f aca="false">IF(B112="","",INDEX(報告入力!$C$7:$C$696,B112))</f>
        <v>受領済</v>
      </c>
      <c r="D112" s="5" t="str">
        <f aca="false">設定!$A$39</f>
        <v>長期（厚生年金保険経理）</v>
      </c>
      <c r="E112" s="5" t="str">
        <f aca="false">設定!$B$39&amp;""</f>
        <v>130</v>
      </c>
      <c r="F112" s="5" t="str">
        <f aca="false">設定!$D$47&amp;""</f>
        <v>2109001014</v>
      </c>
      <c r="G112" s="5" t="str">
        <f aca="false">設定!$E$47&amp;""</f>
        <v>退職標報掛金</v>
      </c>
      <c r="H112" s="5" t="n">
        <f aca="false">IF(B112="",0,N(INDEX(報告入力!$AV$7:$AV$696,B112)))</f>
        <v>3525</v>
      </c>
      <c r="I112" s="5" t="str">
        <f aca="false">設定!$C$39&amp;""</f>
        <v>1104001001</v>
      </c>
      <c r="J112" s="5" t="str">
        <f aca="false">設定!$D$39&amp;""</f>
        <v>普広銀市役所</v>
      </c>
      <c r="K112" s="5" t="n">
        <f aca="false">IF(AND(H112&lt;&gt;0,IF(設定!$B$6="入金確認済のみ",C112="入金確認済",OR(C112="入金確認済",C112="受領済"))),1,0)</f>
        <v>0</v>
      </c>
      <c r="L112" s="5" t="str">
        <f aca="false">1&amp;"|"&amp;22</f>
        <v>1|22</v>
      </c>
      <c r="M112" s="5" t="n">
        <f aca="false">IF(L112=L111,M111,0)+K112</f>
        <v>0</v>
      </c>
      <c r="N112" s="5" t="n">
        <f aca="false">IF(AND(K112=1,M112=1),1,0)</f>
        <v>0</v>
      </c>
      <c r="O112" s="5" t="str">
        <f aca="false">IF(K112=1,MAX($O$5:O111)+1,"")</f>
        <v/>
      </c>
      <c r="P112" s="5" t="str">
        <f aca="false">IF(K112=1,SUM($N$6:N112),"")</f>
        <v/>
      </c>
      <c r="Q112" s="5" t="str">
        <f aca="false">IF(K112=1,SUMIFS($H$6:$H$511,$L$6:$L$511,L112,$K$6:$K$511,1),"")</f>
        <v/>
      </c>
      <c r="R112" s="78" t="str">
        <f aca="false">IF(B112="","",IF(INDEX(報告入力!$X$7:$X$696,B112)="","",INDEX(報告入力!$X$7:$X$696,B112)))</f>
        <v/>
      </c>
      <c r="S112" s="5" t="str">
        <f aca="false">設定!$C$47</f>
        <v>長期：退職等年金掛金</v>
      </c>
    </row>
    <row r="113" customFormat="false" ht="15" hidden="false" customHeight="false" outlineLevel="0" collapsed="false">
      <c r="A113" s="5" t="str">
        <f aca="false">設定!B82</f>
        <v>地方公務員災害補償基金本部</v>
      </c>
      <c r="B113" s="5" t="n">
        <f aca="false">IFERROR(MATCH(ホーム!$C$4&amp;"|"&amp;A113,報告入力!$CG$7:$CG$696,0),"")</f>
        <v>344</v>
      </c>
      <c r="C113" s="5" t="str">
        <f aca="false">IF(B113="","",INDEX(報告入力!$C$7:$C$696,B113))</f>
        <v>受領済</v>
      </c>
      <c r="D113" s="5" t="str">
        <f aca="false">設定!$A$39</f>
        <v>長期（厚生年金保険経理）</v>
      </c>
      <c r="E113" s="5" t="str">
        <f aca="false">設定!$B$39&amp;""</f>
        <v>130</v>
      </c>
      <c r="F113" s="5" t="str">
        <f aca="false">設定!$D$48&amp;""</f>
        <v>6101002000</v>
      </c>
      <c r="G113" s="5" t="str">
        <f aca="false">設定!$E$48&amp;""</f>
        <v>負担地方公共</v>
      </c>
      <c r="H113" s="5" t="n">
        <f aca="false">IF(B113="",0,N(INDEX(報告入力!$AW$7:$AW$696,B113)))</f>
        <v>43005</v>
      </c>
      <c r="I113" s="5" t="str">
        <f aca="false">設定!$C$39&amp;""</f>
        <v>1104001001</v>
      </c>
      <c r="J113" s="5" t="str">
        <f aca="false">設定!$D$39&amp;""</f>
        <v>普広銀市役所</v>
      </c>
      <c r="K113" s="5" t="n">
        <f aca="false">IF(AND(H113&lt;&gt;0,IF(設定!$B$6="入金確認済のみ",C113="入金確認済",OR(C113="入金確認済",C113="受領済"))),1,0)</f>
        <v>0</v>
      </c>
      <c r="L113" s="5" t="str">
        <f aca="false">1&amp;"|"&amp;22</f>
        <v>1|22</v>
      </c>
      <c r="M113" s="5" t="n">
        <f aca="false">IF(L113=L112,M112,0)+K113</f>
        <v>0</v>
      </c>
      <c r="N113" s="5" t="n">
        <f aca="false">IF(AND(K113=1,M113=1),1,0)</f>
        <v>0</v>
      </c>
      <c r="O113" s="5" t="str">
        <f aca="false">IF(K113=1,MAX($O$5:O112)+1,"")</f>
        <v/>
      </c>
      <c r="P113" s="5" t="str">
        <f aca="false">IF(K113=1,SUM($N$6:N113),"")</f>
        <v/>
      </c>
      <c r="Q113" s="5" t="str">
        <f aca="false">IF(K113=1,SUMIFS($H$6:$H$511,$L$6:$L$511,L113,$K$6:$K$511,1),"")</f>
        <v/>
      </c>
      <c r="R113" s="78" t="str">
        <f aca="false">IF(B113="","",IF(INDEX(報告入力!$X$7:$X$696,B113)="","",INDEX(報告入力!$X$7:$X$696,B113)))</f>
        <v/>
      </c>
      <c r="S113" s="5" t="str">
        <f aca="false">設定!$C$48</f>
        <v>長期：厚生年金保険料（事業主負担分）</v>
      </c>
    </row>
    <row r="114" customFormat="false" ht="15" hidden="false" customHeight="false" outlineLevel="0" collapsed="false">
      <c r="A114" s="5" t="str">
        <f aca="false">設定!B82</f>
        <v>地方公務員災害補償基金本部</v>
      </c>
      <c r="B114" s="5" t="n">
        <f aca="false">IFERROR(MATCH(ホーム!$C$4&amp;"|"&amp;A114,報告入力!$CG$7:$CG$696,0),"")</f>
        <v>344</v>
      </c>
      <c r="C114" s="5" t="str">
        <f aca="false">IF(B114="","",INDEX(報告入力!$C$7:$C$696,B114))</f>
        <v>受領済</v>
      </c>
      <c r="D114" s="5" t="str">
        <f aca="false">設定!$A$39</f>
        <v>長期（厚生年金保険経理）</v>
      </c>
      <c r="E114" s="5" t="str">
        <f aca="false">設定!$B$39&amp;""</f>
        <v>130</v>
      </c>
      <c r="F114" s="5" t="str">
        <f aca="false">設定!$D$49&amp;""</f>
        <v>2109001015</v>
      </c>
      <c r="G114" s="5" t="str">
        <f aca="false">設定!$E$49&amp;""</f>
        <v>退職負担地方</v>
      </c>
      <c r="H114" s="5" t="n">
        <f aca="false">IF(B114="",0,N(INDEX(報告入力!$AX$7:$AX$696,B114)))</f>
        <v>3525</v>
      </c>
      <c r="I114" s="5" t="str">
        <f aca="false">設定!$C$39&amp;""</f>
        <v>1104001001</v>
      </c>
      <c r="J114" s="5" t="str">
        <f aca="false">設定!$D$39&amp;""</f>
        <v>普広銀市役所</v>
      </c>
      <c r="K114" s="5" t="n">
        <f aca="false">IF(AND(H114&lt;&gt;0,IF(設定!$B$6="入金確認済のみ",C114="入金確認済",OR(C114="入金確認済",C114="受領済"))),1,0)</f>
        <v>0</v>
      </c>
      <c r="L114" s="5" t="str">
        <f aca="false">1&amp;"|"&amp;22</f>
        <v>1|22</v>
      </c>
      <c r="M114" s="5" t="n">
        <f aca="false">IF(L114=L113,M113,0)+K114</f>
        <v>0</v>
      </c>
      <c r="N114" s="5" t="n">
        <f aca="false">IF(AND(K114=1,M114=1),1,0)</f>
        <v>0</v>
      </c>
      <c r="O114" s="5" t="str">
        <f aca="false">IF(K114=1,MAX($O$5:O113)+1,"")</f>
        <v/>
      </c>
      <c r="P114" s="5" t="str">
        <f aca="false">IF(K114=1,SUM($N$6:N114),"")</f>
        <v/>
      </c>
      <c r="Q114" s="5" t="str">
        <f aca="false">IF(K114=1,SUMIFS($H$6:$H$511,$L$6:$L$511,L114,$K$6:$K$511,1),"")</f>
        <v/>
      </c>
      <c r="R114" s="78" t="str">
        <f aca="false">IF(B114="","",IF(INDEX(報告入力!$X$7:$X$696,B114)="","",INDEX(報告入力!$X$7:$X$696,B114)))</f>
        <v/>
      </c>
      <c r="S114" s="5" t="str">
        <f aca="false">設定!$C$49</f>
        <v>長期：退職等年金負担金</v>
      </c>
    </row>
    <row r="115" customFormat="false" ht="15" hidden="false" customHeight="false" outlineLevel="0" collapsed="false">
      <c r="A115" s="5" t="str">
        <f aca="false">設定!B82</f>
        <v>地方公務員災害補償基金本部</v>
      </c>
      <c r="B115" s="5" t="n">
        <f aca="false">IFERROR(MATCH(ホーム!$C$4&amp;"|"&amp;A115,報告入力!$CG$7:$CG$696,0),"")</f>
        <v>344</v>
      </c>
      <c r="C115" s="5" t="str">
        <f aca="false">IF(B115="","",INDEX(報告入力!$C$7:$C$696,B115))</f>
        <v>受領済</v>
      </c>
      <c r="D115" s="5" t="str">
        <f aca="false">設定!$A$39</f>
        <v>長期（厚生年金保険経理）</v>
      </c>
      <c r="E115" s="5" t="str">
        <f aca="false">設定!$B$39&amp;""</f>
        <v>130</v>
      </c>
      <c r="F115" s="5" t="str">
        <f aca="false">設定!$D$50&amp;""</f>
        <v>2109001017</v>
      </c>
      <c r="G115" s="5" t="str">
        <f aca="false">設定!$E$50&amp;""</f>
        <v>経過的負担金</v>
      </c>
      <c r="H115" s="5" t="n">
        <f aca="false">IF(B115="",0,N(INDEX(報告入力!$AY$7:$AY$696,B115)))</f>
        <v>40</v>
      </c>
      <c r="I115" s="5" t="str">
        <f aca="false">設定!$C$39&amp;""</f>
        <v>1104001001</v>
      </c>
      <c r="J115" s="5" t="str">
        <f aca="false">設定!$D$39&amp;""</f>
        <v>普広銀市役所</v>
      </c>
      <c r="K115" s="5" t="n">
        <f aca="false">IF(AND(H115&lt;&gt;0,IF(設定!$B$6="入金確認済のみ",C115="入金確認済",OR(C115="入金確認済",C115="受領済"))),1,0)</f>
        <v>0</v>
      </c>
      <c r="L115" s="5" t="str">
        <f aca="false">1&amp;"|"&amp;22</f>
        <v>1|22</v>
      </c>
      <c r="M115" s="5" t="n">
        <f aca="false">IF(L115=L114,M114,0)+K115</f>
        <v>0</v>
      </c>
      <c r="N115" s="5" t="n">
        <f aca="false">IF(AND(K115=1,M115=1),1,0)</f>
        <v>0</v>
      </c>
      <c r="O115" s="5" t="str">
        <f aca="false">IF(K115=1,MAX($O$5:O114)+1,"")</f>
        <v/>
      </c>
      <c r="P115" s="5" t="str">
        <f aca="false">IF(K115=1,SUM($N$6:N115),"")</f>
        <v/>
      </c>
      <c r="Q115" s="5" t="str">
        <f aca="false">IF(K115=1,SUMIFS($H$6:$H$511,$L$6:$L$511,L115,$K$6:$K$511,1),"")</f>
        <v/>
      </c>
      <c r="R115" s="78" t="str">
        <f aca="false">IF(B115="","",IF(INDEX(報告入力!$X$7:$X$696,B115)="","",INDEX(報告入力!$X$7:$X$696,B115)))</f>
        <v/>
      </c>
      <c r="S115" s="5" t="str">
        <f aca="false">設定!$C$50</f>
        <v>長期：経過的長期</v>
      </c>
    </row>
    <row r="116" customFormat="false" ht="15" hidden="false" customHeight="false" outlineLevel="0" collapsed="false">
      <c r="A116" s="5" t="str">
        <f aca="false">設定!B83</f>
        <v>救急振興財団</v>
      </c>
      <c r="B116" s="5" t="n">
        <f aca="false">IFERROR(MATCH(ホーム!$C$4&amp;"|"&amp;A116,報告入力!$CG$7:$CG$696,0),"")</f>
        <v>345</v>
      </c>
      <c r="C116" s="5" t="str">
        <f aca="false">IF(B116="","",INDEX(報告入力!$C$7:$C$696,B116))</f>
        <v>未受領</v>
      </c>
      <c r="D116" s="5" t="str">
        <f aca="false">設定!$A$39</f>
        <v>長期（厚生年金保険経理）</v>
      </c>
      <c r="E116" s="5" t="str">
        <f aca="false">設定!$B$39&amp;""</f>
        <v>130</v>
      </c>
      <c r="F116" s="5" t="str">
        <f aca="false">設定!$D$46&amp;""</f>
        <v>6102102000</v>
      </c>
      <c r="G116" s="5" t="str">
        <f aca="false">設定!$E$46&amp;""</f>
        <v>標月額保険料</v>
      </c>
      <c r="H116" s="5" t="n">
        <f aca="false">IF(B116="",0,N(INDEX(報告入力!$AU$7:$AU$696,B116)))</f>
        <v>102480</v>
      </c>
      <c r="I116" s="5" t="str">
        <f aca="false">設定!$C$39&amp;""</f>
        <v>1104001001</v>
      </c>
      <c r="J116" s="5" t="str">
        <f aca="false">設定!$D$39&amp;""</f>
        <v>普広銀市役所</v>
      </c>
      <c r="K116" s="5" t="n">
        <f aca="false">IF(AND(H116&lt;&gt;0,IF(設定!$B$6="入金確認済のみ",C116="入金確認済",OR(C116="入金確認済",C116="受領済"))),1,0)</f>
        <v>0</v>
      </c>
      <c r="L116" s="5" t="str">
        <f aca="false">1&amp;"|"&amp;23</f>
        <v>1|23</v>
      </c>
      <c r="M116" s="5" t="n">
        <f aca="false">IF(L116=L115,M115,0)+K116</f>
        <v>0</v>
      </c>
      <c r="N116" s="5" t="n">
        <f aca="false">IF(AND(K116=1,M116=1),1,0)</f>
        <v>0</v>
      </c>
      <c r="O116" s="5" t="str">
        <f aca="false">IF(K116=1,MAX($O$5:O115)+1,"")</f>
        <v/>
      </c>
      <c r="P116" s="5" t="str">
        <f aca="false">IF(K116=1,SUM($N$6:N116),"")</f>
        <v/>
      </c>
      <c r="Q116" s="5" t="str">
        <f aca="false">IF(K116=1,SUMIFS($H$6:$H$511,$L$6:$L$511,L116,$K$6:$K$511,1),"")</f>
        <v/>
      </c>
      <c r="R116" s="78" t="str">
        <f aca="false">IF(B116="","",IF(INDEX(報告入力!$X$7:$X$696,B116)="","",INDEX(報告入力!$X$7:$X$696,B116)))</f>
        <v/>
      </c>
      <c r="S116" s="5" t="str">
        <f aca="false">設定!$C$46</f>
        <v>長期：厚生年金保険料（組合員負担分）</v>
      </c>
    </row>
    <row r="117" customFormat="false" ht="15" hidden="false" customHeight="false" outlineLevel="0" collapsed="false">
      <c r="A117" s="5" t="str">
        <f aca="false">設定!B83</f>
        <v>救急振興財団</v>
      </c>
      <c r="B117" s="5" t="n">
        <f aca="false">IFERROR(MATCH(ホーム!$C$4&amp;"|"&amp;A117,報告入力!$CG$7:$CG$696,0),"")</f>
        <v>345</v>
      </c>
      <c r="C117" s="5" t="str">
        <f aca="false">IF(B117="","",INDEX(報告入力!$C$7:$C$696,B117))</f>
        <v>未受領</v>
      </c>
      <c r="D117" s="5" t="str">
        <f aca="false">設定!$A$39</f>
        <v>長期（厚生年金保険経理）</v>
      </c>
      <c r="E117" s="5" t="str">
        <f aca="false">設定!$B$39&amp;""</f>
        <v>130</v>
      </c>
      <c r="F117" s="5" t="str">
        <f aca="false">設定!$D$47&amp;""</f>
        <v>2109001014</v>
      </c>
      <c r="G117" s="5" t="str">
        <f aca="false">設定!$E$47&amp;""</f>
        <v>退職標報掛金</v>
      </c>
      <c r="H117" s="5" t="n">
        <f aca="false">IF(B117="",0,N(INDEX(報告入力!$AV$7:$AV$696,B117)))</f>
        <v>8400</v>
      </c>
      <c r="I117" s="5" t="str">
        <f aca="false">設定!$C$39&amp;""</f>
        <v>1104001001</v>
      </c>
      <c r="J117" s="5" t="str">
        <f aca="false">設定!$D$39&amp;""</f>
        <v>普広銀市役所</v>
      </c>
      <c r="K117" s="5" t="n">
        <f aca="false">IF(AND(H117&lt;&gt;0,IF(設定!$B$6="入金確認済のみ",C117="入金確認済",OR(C117="入金確認済",C117="受領済"))),1,0)</f>
        <v>0</v>
      </c>
      <c r="L117" s="5" t="str">
        <f aca="false">1&amp;"|"&amp;23</f>
        <v>1|23</v>
      </c>
      <c r="M117" s="5" t="n">
        <f aca="false">IF(L117=L116,M116,0)+K117</f>
        <v>0</v>
      </c>
      <c r="N117" s="5" t="n">
        <f aca="false">IF(AND(K117=1,M117=1),1,0)</f>
        <v>0</v>
      </c>
      <c r="O117" s="5" t="str">
        <f aca="false">IF(K117=1,MAX($O$5:O116)+1,"")</f>
        <v/>
      </c>
      <c r="P117" s="5" t="str">
        <f aca="false">IF(K117=1,SUM($N$6:N117),"")</f>
        <v/>
      </c>
      <c r="Q117" s="5" t="str">
        <f aca="false">IF(K117=1,SUMIFS($H$6:$H$511,$L$6:$L$511,L117,$K$6:$K$511,1),"")</f>
        <v/>
      </c>
      <c r="R117" s="78" t="str">
        <f aca="false">IF(B117="","",IF(INDEX(報告入力!$X$7:$X$696,B117)="","",INDEX(報告入力!$X$7:$X$696,B117)))</f>
        <v/>
      </c>
      <c r="S117" s="5" t="str">
        <f aca="false">設定!$C$47</f>
        <v>長期：退職等年金掛金</v>
      </c>
    </row>
    <row r="118" customFormat="false" ht="15" hidden="false" customHeight="false" outlineLevel="0" collapsed="false">
      <c r="A118" s="5" t="str">
        <f aca="false">設定!B83</f>
        <v>救急振興財団</v>
      </c>
      <c r="B118" s="5" t="n">
        <f aca="false">IFERROR(MATCH(ホーム!$C$4&amp;"|"&amp;A118,報告入力!$CG$7:$CG$696,0),"")</f>
        <v>345</v>
      </c>
      <c r="C118" s="5" t="str">
        <f aca="false">IF(B118="","",INDEX(報告入力!$C$7:$C$696,B118))</f>
        <v>未受領</v>
      </c>
      <c r="D118" s="5" t="str">
        <f aca="false">設定!$A$39</f>
        <v>長期（厚生年金保険経理）</v>
      </c>
      <c r="E118" s="5" t="str">
        <f aca="false">設定!$B$39&amp;""</f>
        <v>130</v>
      </c>
      <c r="F118" s="5" t="str">
        <f aca="false">設定!$D$48&amp;""</f>
        <v>6101002000</v>
      </c>
      <c r="G118" s="5" t="str">
        <f aca="false">設定!$E$48&amp;""</f>
        <v>負担地方公共</v>
      </c>
      <c r="H118" s="5" t="n">
        <f aca="false">IF(B118="",0,N(INDEX(報告入力!$AW$7:$AW$696,B118)))</f>
        <v>102480</v>
      </c>
      <c r="I118" s="5" t="str">
        <f aca="false">設定!$C$39&amp;""</f>
        <v>1104001001</v>
      </c>
      <c r="J118" s="5" t="str">
        <f aca="false">設定!$D$39&amp;""</f>
        <v>普広銀市役所</v>
      </c>
      <c r="K118" s="5" t="n">
        <f aca="false">IF(AND(H118&lt;&gt;0,IF(設定!$B$6="入金確認済のみ",C118="入金確認済",OR(C118="入金確認済",C118="受領済"))),1,0)</f>
        <v>0</v>
      </c>
      <c r="L118" s="5" t="str">
        <f aca="false">1&amp;"|"&amp;23</f>
        <v>1|23</v>
      </c>
      <c r="M118" s="5" t="n">
        <f aca="false">IF(L118=L117,M117,0)+K118</f>
        <v>0</v>
      </c>
      <c r="N118" s="5" t="n">
        <f aca="false">IF(AND(K118=1,M118=1),1,0)</f>
        <v>0</v>
      </c>
      <c r="O118" s="5" t="str">
        <f aca="false">IF(K118=1,MAX($O$5:O117)+1,"")</f>
        <v/>
      </c>
      <c r="P118" s="5" t="str">
        <f aca="false">IF(K118=1,SUM($N$6:N118),"")</f>
        <v/>
      </c>
      <c r="Q118" s="5" t="str">
        <f aca="false">IF(K118=1,SUMIFS($H$6:$H$511,$L$6:$L$511,L118,$K$6:$K$511,1),"")</f>
        <v/>
      </c>
      <c r="R118" s="78" t="str">
        <f aca="false">IF(B118="","",IF(INDEX(報告入力!$X$7:$X$696,B118)="","",INDEX(報告入力!$X$7:$X$696,B118)))</f>
        <v/>
      </c>
      <c r="S118" s="5" t="str">
        <f aca="false">設定!$C$48</f>
        <v>長期：厚生年金保険料（事業主負担分）</v>
      </c>
    </row>
    <row r="119" customFormat="false" ht="15" hidden="false" customHeight="false" outlineLevel="0" collapsed="false">
      <c r="A119" s="5" t="str">
        <f aca="false">設定!B83</f>
        <v>救急振興財団</v>
      </c>
      <c r="B119" s="5" t="n">
        <f aca="false">IFERROR(MATCH(ホーム!$C$4&amp;"|"&amp;A119,報告入力!$CG$7:$CG$696,0),"")</f>
        <v>345</v>
      </c>
      <c r="C119" s="5" t="str">
        <f aca="false">IF(B119="","",INDEX(報告入力!$C$7:$C$696,B119))</f>
        <v>未受領</v>
      </c>
      <c r="D119" s="5" t="str">
        <f aca="false">設定!$A$39</f>
        <v>長期（厚生年金保険経理）</v>
      </c>
      <c r="E119" s="5" t="str">
        <f aca="false">設定!$B$39&amp;""</f>
        <v>130</v>
      </c>
      <c r="F119" s="5" t="str">
        <f aca="false">設定!$D$49&amp;""</f>
        <v>2109001015</v>
      </c>
      <c r="G119" s="5" t="str">
        <f aca="false">設定!$E$49&amp;""</f>
        <v>退職負担地方</v>
      </c>
      <c r="H119" s="5" t="n">
        <f aca="false">IF(B119="",0,N(INDEX(報告入力!$AX$7:$AX$696,B119)))</f>
        <v>8400</v>
      </c>
      <c r="I119" s="5" t="str">
        <f aca="false">設定!$C$39&amp;""</f>
        <v>1104001001</v>
      </c>
      <c r="J119" s="5" t="str">
        <f aca="false">設定!$D$39&amp;""</f>
        <v>普広銀市役所</v>
      </c>
      <c r="K119" s="5" t="n">
        <f aca="false">IF(AND(H119&lt;&gt;0,IF(設定!$B$6="入金確認済のみ",C119="入金確認済",OR(C119="入金確認済",C119="受領済"))),1,0)</f>
        <v>0</v>
      </c>
      <c r="L119" s="5" t="str">
        <f aca="false">1&amp;"|"&amp;23</f>
        <v>1|23</v>
      </c>
      <c r="M119" s="5" t="n">
        <f aca="false">IF(L119=L118,M118,0)+K119</f>
        <v>0</v>
      </c>
      <c r="N119" s="5" t="n">
        <f aca="false">IF(AND(K119=1,M119=1),1,0)</f>
        <v>0</v>
      </c>
      <c r="O119" s="5" t="str">
        <f aca="false">IF(K119=1,MAX($O$5:O118)+1,"")</f>
        <v/>
      </c>
      <c r="P119" s="5" t="str">
        <f aca="false">IF(K119=1,SUM($N$6:N119),"")</f>
        <v/>
      </c>
      <c r="Q119" s="5" t="str">
        <f aca="false">IF(K119=1,SUMIFS($H$6:$H$511,$L$6:$L$511,L119,$K$6:$K$511,1),"")</f>
        <v/>
      </c>
      <c r="R119" s="78" t="str">
        <f aca="false">IF(B119="","",IF(INDEX(報告入力!$X$7:$X$696,B119)="","",INDEX(報告入力!$X$7:$X$696,B119)))</f>
        <v/>
      </c>
      <c r="S119" s="5" t="str">
        <f aca="false">設定!$C$49</f>
        <v>長期：退職等年金負担金</v>
      </c>
    </row>
    <row r="120" customFormat="false" ht="15" hidden="false" customHeight="false" outlineLevel="0" collapsed="false">
      <c r="A120" s="5" t="str">
        <f aca="false">設定!B83</f>
        <v>救急振興財団</v>
      </c>
      <c r="B120" s="5" t="n">
        <f aca="false">IFERROR(MATCH(ホーム!$C$4&amp;"|"&amp;A120,報告入力!$CG$7:$CG$696,0),"")</f>
        <v>345</v>
      </c>
      <c r="C120" s="5" t="str">
        <f aca="false">IF(B120="","",INDEX(報告入力!$C$7:$C$696,B120))</f>
        <v>未受領</v>
      </c>
      <c r="D120" s="5" t="str">
        <f aca="false">設定!$A$39</f>
        <v>長期（厚生年金保険経理）</v>
      </c>
      <c r="E120" s="5" t="str">
        <f aca="false">設定!$B$39&amp;""</f>
        <v>130</v>
      </c>
      <c r="F120" s="5" t="str">
        <f aca="false">設定!$D$50&amp;""</f>
        <v>2109001017</v>
      </c>
      <c r="G120" s="5" t="str">
        <f aca="false">設定!$E$50&amp;""</f>
        <v>経過的負担金</v>
      </c>
      <c r="H120" s="5" t="n">
        <f aca="false">IF(B120="",0,N(INDEX(報告入力!$AY$7:$AY$696,B120)))</f>
        <v>105</v>
      </c>
      <c r="I120" s="5" t="str">
        <f aca="false">設定!$C$39&amp;""</f>
        <v>1104001001</v>
      </c>
      <c r="J120" s="5" t="str">
        <f aca="false">設定!$D$39&amp;""</f>
        <v>普広銀市役所</v>
      </c>
      <c r="K120" s="5" t="n">
        <f aca="false">IF(AND(H120&lt;&gt;0,IF(設定!$B$6="入金確認済のみ",C120="入金確認済",OR(C120="入金確認済",C120="受領済"))),1,0)</f>
        <v>0</v>
      </c>
      <c r="L120" s="5" t="str">
        <f aca="false">1&amp;"|"&amp;23</f>
        <v>1|23</v>
      </c>
      <c r="M120" s="5" t="n">
        <f aca="false">IF(L120=L119,M119,0)+K120</f>
        <v>0</v>
      </c>
      <c r="N120" s="5" t="n">
        <f aca="false">IF(AND(K120=1,M120=1),1,0)</f>
        <v>0</v>
      </c>
      <c r="O120" s="5" t="str">
        <f aca="false">IF(K120=1,MAX($O$5:O119)+1,"")</f>
        <v/>
      </c>
      <c r="P120" s="5" t="str">
        <f aca="false">IF(K120=1,SUM($N$6:N120),"")</f>
        <v/>
      </c>
      <c r="Q120" s="5" t="str">
        <f aca="false">IF(K120=1,SUMIFS($H$6:$H$511,$L$6:$L$511,L120,$K$6:$K$511,1),"")</f>
        <v/>
      </c>
      <c r="R120" s="78" t="str">
        <f aca="false">IF(B120="","",IF(INDEX(報告入力!$X$7:$X$696,B120)="","",INDEX(報告入力!$X$7:$X$696,B120)))</f>
        <v/>
      </c>
      <c r="S120" s="5" t="str">
        <f aca="false">設定!$C$50</f>
        <v>長期：経過的長期</v>
      </c>
    </row>
    <row r="121" customFormat="false" ht="15" hidden="false" customHeight="false" outlineLevel="0" collapsed="false">
      <c r="A121" s="5" t="str">
        <f aca="false">設定!B84</f>
        <v>高速道路公社</v>
      </c>
      <c r="B121" s="5" t="n">
        <f aca="false">IFERROR(MATCH(ホーム!$C$4&amp;"|"&amp;A121,報告入力!$CG$7:$CG$696,0),"")</f>
        <v>346</v>
      </c>
      <c r="C121" s="5" t="str">
        <f aca="false">IF(B121="","",INDEX(報告入力!$C$7:$C$696,B121))</f>
        <v>未受領</v>
      </c>
      <c r="D121" s="5" t="str">
        <f aca="false">設定!$A$39</f>
        <v>長期（厚生年金保険経理）</v>
      </c>
      <c r="E121" s="5" t="str">
        <f aca="false">設定!$B$39&amp;""</f>
        <v>130</v>
      </c>
      <c r="F121" s="5" t="str">
        <f aca="false">設定!$D$46&amp;""</f>
        <v>6102102000</v>
      </c>
      <c r="G121" s="5" t="str">
        <f aca="false">設定!$E$46&amp;""</f>
        <v>標月額保険料</v>
      </c>
      <c r="H121" s="5" t="n">
        <f aca="false">IF(B121="",0,N(INDEX(報告入力!$AU$7:$AU$696,B121)))</f>
        <v>912255</v>
      </c>
      <c r="I121" s="5" t="str">
        <f aca="false">設定!$C$39&amp;""</f>
        <v>1104001001</v>
      </c>
      <c r="J121" s="5" t="str">
        <f aca="false">設定!$D$39&amp;""</f>
        <v>普広銀市役所</v>
      </c>
      <c r="K121" s="5" t="n">
        <f aca="false">IF(AND(H121&lt;&gt;0,IF(設定!$B$6="入金確認済のみ",C121="入金確認済",OR(C121="入金確認済",C121="受領済"))),1,0)</f>
        <v>0</v>
      </c>
      <c r="L121" s="5" t="str">
        <f aca="false">1&amp;"|"&amp;24</f>
        <v>1|24</v>
      </c>
      <c r="M121" s="5" t="n">
        <f aca="false">IF(L121=L120,M120,0)+K121</f>
        <v>0</v>
      </c>
      <c r="N121" s="5" t="n">
        <f aca="false">IF(AND(K121=1,M121=1),1,0)</f>
        <v>0</v>
      </c>
      <c r="O121" s="5" t="str">
        <f aca="false">IF(K121=1,MAX($O$5:O120)+1,"")</f>
        <v/>
      </c>
      <c r="P121" s="5" t="str">
        <f aca="false">IF(K121=1,SUM($N$6:N121),"")</f>
        <v/>
      </c>
      <c r="Q121" s="5" t="str">
        <f aca="false">IF(K121=1,SUMIFS($H$6:$H$511,$L$6:$L$511,L121,$K$6:$K$511,1),"")</f>
        <v/>
      </c>
      <c r="R121" s="78" t="str">
        <f aca="false">IF(B121="","",IF(INDEX(報告入力!$X$7:$X$696,B121)="","",INDEX(報告入力!$X$7:$X$696,B121)))</f>
        <v/>
      </c>
      <c r="S121" s="5" t="str">
        <f aca="false">設定!$C$46</f>
        <v>長期：厚生年金保険料（組合員負担分）</v>
      </c>
    </row>
    <row r="122" customFormat="false" ht="15" hidden="false" customHeight="false" outlineLevel="0" collapsed="false">
      <c r="A122" s="5" t="str">
        <f aca="false">設定!B84</f>
        <v>高速道路公社</v>
      </c>
      <c r="B122" s="5" t="n">
        <f aca="false">IFERROR(MATCH(ホーム!$C$4&amp;"|"&amp;A122,報告入力!$CG$7:$CG$696,0),"")</f>
        <v>346</v>
      </c>
      <c r="C122" s="5" t="str">
        <f aca="false">IF(B122="","",INDEX(報告入力!$C$7:$C$696,B122))</f>
        <v>未受領</v>
      </c>
      <c r="D122" s="5" t="str">
        <f aca="false">設定!$A$39</f>
        <v>長期（厚生年金保険経理）</v>
      </c>
      <c r="E122" s="5" t="str">
        <f aca="false">設定!$B$39&amp;""</f>
        <v>130</v>
      </c>
      <c r="F122" s="5" t="str">
        <f aca="false">設定!$D$47&amp;""</f>
        <v>2109001014</v>
      </c>
      <c r="G122" s="5" t="str">
        <f aca="false">設定!$E$47&amp;""</f>
        <v>退職標報掛金</v>
      </c>
      <c r="H122" s="5" t="n">
        <f aca="false">IF(B122="",0,N(INDEX(報告入力!$AV$7:$AV$696,B122)))</f>
        <v>74775</v>
      </c>
      <c r="I122" s="5" t="str">
        <f aca="false">設定!$C$39&amp;""</f>
        <v>1104001001</v>
      </c>
      <c r="J122" s="5" t="str">
        <f aca="false">設定!$D$39&amp;""</f>
        <v>普広銀市役所</v>
      </c>
      <c r="K122" s="5" t="n">
        <f aca="false">IF(AND(H122&lt;&gt;0,IF(設定!$B$6="入金確認済のみ",C122="入金確認済",OR(C122="入金確認済",C122="受領済"))),1,0)</f>
        <v>0</v>
      </c>
      <c r="L122" s="5" t="str">
        <f aca="false">1&amp;"|"&amp;24</f>
        <v>1|24</v>
      </c>
      <c r="M122" s="5" t="n">
        <f aca="false">IF(L122=L121,M121,0)+K122</f>
        <v>0</v>
      </c>
      <c r="N122" s="5" t="n">
        <f aca="false">IF(AND(K122=1,M122=1),1,0)</f>
        <v>0</v>
      </c>
      <c r="O122" s="5" t="str">
        <f aca="false">IF(K122=1,MAX($O$5:O121)+1,"")</f>
        <v/>
      </c>
      <c r="P122" s="5" t="str">
        <f aca="false">IF(K122=1,SUM($N$6:N122),"")</f>
        <v/>
      </c>
      <c r="Q122" s="5" t="str">
        <f aca="false">IF(K122=1,SUMIFS($H$6:$H$511,$L$6:$L$511,L122,$K$6:$K$511,1),"")</f>
        <v/>
      </c>
      <c r="R122" s="78" t="str">
        <f aca="false">IF(B122="","",IF(INDEX(報告入力!$X$7:$X$696,B122)="","",INDEX(報告入力!$X$7:$X$696,B122)))</f>
        <v/>
      </c>
      <c r="S122" s="5" t="str">
        <f aca="false">設定!$C$47</f>
        <v>長期：退職等年金掛金</v>
      </c>
    </row>
    <row r="123" customFormat="false" ht="15" hidden="false" customHeight="false" outlineLevel="0" collapsed="false">
      <c r="A123" s="5" t="str">
        <f aca="false">設定!B84</f>
        <v>高速道路公社</v>
      </c>
      <c r="B123" s="5" t="n">
        <f aca="false">IFERROR(MATCH(ホーム!$C$4&amp;"|"&amp;A123,報告入力!$CG$7:$CG$696,0),"")</f>
        <v>346</v>
      </c>
      <c r="C123" s="5" t="str">
        <f aca="false">IF(B123="","",INDEX(報告入力!$C$7:$C$696,B123))</f>
        <v>未受領</v>
      </c>
      <c r="D123" s="5" t="str">
        <f aca="false">設定!$A$39</f>
        <v>長期（厚生年金保険経理）</v>
      </c>
      <c r="E123" s="5" t="str">
        <f aca="false">設定!$B$39&amp;""</f>
        <v>130</v>
      </c>
      <c r="F123" s="5" t="str">
        <f aca="false">設定!$D$48&amp;""</f>
        <v>6101002000</v>
      </c>
      <c r="G123" s="5" t="str">
        <f aca="false">設定!$E$48&amp;""</f>
        <v>負担地方公共</v>
      </c>
      <c r="H123" s="5" t="n">
        <f aca="false">IF(B123="",0,N(INDEX(報告入力!$AW$7:$AW$696,B123)))</f>
        <v>912255</v>
      </c>
      <c r="I123" s="5" t="str">
        <f aca="false">設定!$C$39&amp;""</f>
        <v>1104001001</v>
      </c>
      <c r="J123" s="5" t="str">
        <f aca="false">設定!$D$39&amp;""</f>
        <v>普広銀市役所</v>
      </c>
      <c r="K123" s="5" t="n">
        <f aca="false">IF(AND(H123&lt;&gt;0,IF(設定!$B$6="入金確認済のみ",C123="入金確認済",OR(C123="入金確認済",C123="受領済"))),1,0)</f>
        <v>0</v>
      </c>
      <c r="L123" s="5" t="str">
        <f aca="false">1&amp;"|"&amp;24</f>
        <v>1|24</v>
      </c>
      <c r="M123" s="5" t="n">
        <f aca="false">IF(L123=L122,M122,0)+K123</f>
        <v>0</v>
      </c>
      <c r="N123" s="5" t="n">
        <f aca="false">IF(AND(K123=1,M123=1),1,0)</f>
        <v>0</v>
      </c>
      <c r="O123" s="5" t="str">
        <f aca="false">IF(K123=1,MAX($O$5:O122)+1,"")</f>
        <v/>
      </c>
      <c r="P123" s="5" t="str">
        <f aca="false">IF(K123=1,SUM($N$6:N123),"")</f>
        <v/>
      </c>
      <c r="Q123" s="5" t="str">
        <f aca="false">IF(K123=1,SUMIFS($H$6:$H$511,$L$6:$L$511,L123,$K$6:$K$511,1),"")</f>
        <v/>
      </c>
      <c r="R123" s="78" t="str">
        <f aca="false">IF(B123="","",IF(INDEX(報告入力!$X$7:$X$696,B123)="","",INDEX(報告入力!$X$7:$X$696,B123)))</f>
        <v/>
      </c>
      <c r="S123" s="5" t="str">
        <f aca="false">設定!$C$48</f>
        <v>長期：厚生年金保険料（事業主負担分）</v>
      </c>
    </row>
    <row r="124" customFormat="false" ht="15" hidden="false" customHeight="false" outlineLevel="0" collapsed="false">
      <c r="A124" s="5" t="str">
        <f aca="false">設定!B84</f>
        <v>高速道路公社</v>
      </c>
      <c r="B124" s="5" t="n">
        <f aca="false">IFERROR(MATCH(ホーム!$C$4&amp;"|"&amp;A124,報告入力!$CG$7:$CG$696,0),"")</f>
        <v>346</v>
      </c>
      <c r="C124" s="5" t="str">
        <f aca="false">IF(B124="","",INDEX(報告入力!$C$7:$C$696,B124))</f>
        <v>未受領</v>
      </c>
      <c r="D124" s="5" t="str">
        <f aca="false">設定!$A$39</f>
        <v>長期（厚生年金保険経理）</v>
      </c>
      <c r="E124" s="5" t="str">
        <f aca="false">設定!$B$39&amp;""</f>
        <v>130</v>
      </c>
      <c r="F124" s="5" t="str">
        <f aca="false">設定!$D$49&amp;""</f>
        <v>2109001015</v>
      </c>
      <c r="G124" s="5" t="str">
        <f aca="false">設定!$E$49&amp;""</f>
        <v>退職負担地方</v>
      </c>
      <c r="H124" s="5" t="n">
        <f aca="false">IF(B124="",0,N(INDEX(報告入力!$AX$7:$AX$696,B124)))</f>
        <v>74775</v>
      </c>
      <c r="I124" s="5" t="str">
        <f aca="false">設定!$C$39&amp;""</f>
        <v>1104001001</v>
      </c>
      <c r="J124" s="5" t="str">
        <f aca="false">設定!$D$39&amp;""</f>
        <v>普広銀市役所</v>
      </c>
      <c r="K124" s="5" t="n">
        <f aca="false">IF(AND(H124&lt;&gt;0,IF(設定!$B$6="入金確認済のみ",C124="入金確認済",OR(C124="入金確認済",C124="受領済"))),1,0)</f>
        <v>0</v>
      </c>
      <c r="L124" s="5" t="str">
        <f aca="false">1&amp;"|"&amp;24</f>
        <v>1|24</v>
      </c>
      <c r="M124" s="5" t="n">
        <f aca="false">IF(L124=L123,M123,0)+K124</f>
        <v>0</v>
      </c>
      <c r="N124" s="5" t="n">
        <f aca="false">IF(AND(K124=1,M124=1),1,0)</f>
        <v>0</v>
      </c>
      <c r="O124" s="5" t="str">
        <f aca="false">IF(K124=1,MAX($O$5:O123)+1,"")</f>
        <v/>
      </c>
      <c r="P124" s="5" t="str">
        <f aca="false">IF(K124=1,SUM($N$6:N124),"")</f>
        <v/>
      </c>
      <c r="Q124" s="5" t="str">
        <f aca="false">IF(K124=1,SUMIFS($H$6:$H$511,$L$6:$L$511,L124,$K$6:$K$511,1),"")</f>
        <v/>
      </c>
      <c r="R124" s="78" t="str">
        <f aca="false">IF(B124="","",IF(INDEX(報告入力!$X$7:$X$696,B124)="","",INDEX(報告入力!$X$7:$X$696,B124)))</f>
        <v/>
      </c>
      <c r="S124" s="5" t="str">
        <f aca="false">設定!$C$49</f>
        <v>長期：退職等年金負担金</v>
      </c>
    </row>
    <row r="125" customFormat="false" ht="15" hidden="false" customHeight="false" outlineLevel="0" collapsed="false">
      <c r="A125" s="5" t="str">
        <f aca="false">設定!B84</f>
        <v>高速道路公社</v>
      </c>
      <c r="B125" s="5" t="n">
        <f aca="false">IFERROR(MATCH(ホーム!$C$4&amp;"|"&amp;A125,報告入力!$CG$7:$CG$696,0),"")</f>
        <v>346</v>
      </c>
      <c r="C125" s="5" t="str">
        <f aca="false">IF(B125="","",INDEX(報告入力!$C$7:$C$696,B125))</f>
        <v>未受領</v>
      </c>
      <c r="D125" s="5" t="str">
        <f aca="false">設定!$A$39</f>
        <v>長期（厚生年金保険経理）</v>
      </c>
      <c r="E125" s="5" t="str">
        <f aca="false">設定!$B$39&amp;""</f>
        <v>130</v>
      </c>
      <c r="F125" s="5" t="str">
        <f aca="false">設定!$D$50&amp;""</f>
        <v>2109001017</v>
      </c>
      <c r="G125" s="5" t="str">
        <f aca="false">設定!$E$50&amp;""</f>
        <v>経過的負担金</v>
      </c>
      <c r="H125" s="5" t="n">
        <f aca="false">IF(B125="",0,N(INDEX(報告入力!$AY$7:$AY$696,B125)))</f>
        <v>936</v>
      </c>
      <c r="I125" s="5" t="str">
        <f aca="false">設定!$C$39&amp;""</f>
        <v>1104001001</v>
      </c>
      <c r="J125" s="5" t="str">
        <f aca="false">設定!$D$39&amp;""</f>
        <v>普広銀市役所</v>
      </c>
      <c r="K125" s="5" t="n">
        <f aca="false">IF(AND(H125&lt;&gt;0,IF(設定!$B$6="入金確認済のみ",C125="入金確認済",OR(C125="入金確認済",C125="受領済"))),1,0)</f>
        <v>0</v>
      </c>
      <c r="L125" s="5" t="str">
        <f aca="false">1&amp;"|"&amp;24</f>
        <v>1|24</v>
      </c>
      <c r="M125" s="5" t="n">
        <f aca="false">IF(L125=L124,M124,0)+K125</f>
        <v>0</v>
      </c>
      <c r="N125" s="5" t="n">
        <f aca="false">IF(AND(K125=1,M125=1),1,0)</f>
        <v>0</v>
      </c>
      <c r="O125" s="5" t="str">
        <f aca="false">IF(K125=1,MAX($O$5:O124)+1,"")</f>
        <v/>
      </c>
      <c r="P125" s="5" t="str">
        <f aca="false">IF(K125=1,SUM($N$6:N125),"")</f>
        <v/>
      </c>
      <c r="Q125" s="5" t="str">
        <f aca="false">IF(K125=1,SUMIFS($H$6:$H$511,$L$6:$L$511,L125,$K$6:$K$511,1),"")</f>
        <v/>
      </c>
      <c r="R125" s="78" t="str">
        <f aca="false">IF(B125="","",IF(INDEX(報告入力!$X$7:$X$696,B125)="","",INDEX(報告入力!$X$7:$X$696,B125)))</f>
        <v/>
      </c>
      <c r="S125" s="5" t="str">
        <f aca="false">設定!$C$50</f>
        <v>長期：経過的長期</v>
      </c>
    </row>
    <row r="126" customFormat="false" ht="15" hidden="false" customHeight="false" outlineLevel="0" collapsed="false">
      <c r="A126" s="5" t="str">
        <f aca="false">設定!B85</f>
        <v>農林水産振興センタ</v>
      </c>
      <c r="B126" s="5" t="n">
        <f aca="false">IFERROR(MATCH(ホーム!$C$4&amp;"|"&amp;A126,報告入力!$CG$7:$CG$696,0),"")</f>
        <v>347</v>
      </c>
      <c r="C126" s="5" t="str">
        <f aca="false">IF(B126="","",INDEX(報告入力!$C$7:$C$696,B126))</f>
        <v>未受領</v>
      </c>
      <c r="D126" s="5" t="str">
        <f aca="false">設定!$A$39</f>
        <v>長期（厚生年金保険経理）</v>
      </c>
      <c r="E126" s="5" t="str">
        <f aca="false">設定!$B$39&amp;""</f>
        <v>130</v>
      </c>
      <c r="F126" s="5" t="str">
        <f aca="false">設定!$D$46&amp;""</f>
        <v>6102102000</v>
      </c>
      <c r="G126" s="5" t="str">
        <f aca="false">設定!$E$46&amp;""</f>
        <v>標月額保険料</v>
      </c>
      <c r="H126" s="5" t="n">
        <f aca="false">IF(B126="",0,N(INDEX(報告入力!$AU$7:$AU$696,B126)))</f>
        <v>0</v>
      </c>
      <c r="I126" s="5" t="str">
        <f aca="false">設定!$C$39&amp;""</f>
        <v>1104001001</v>
      </c>
      <c r="J126" s="5" t="str">
        <f aca="false">設定!$D$39&amp;""</f>
        <v>普広銀市役所</v>
      </c>
      <c r="K126" s="5" t="n">
        <f aca="false">IF(AND(H126&lt;&gt;0,IF(設定!$B$6="入金確認済のみ",C126="入金確認済",OR(C126="入金確認済",C126="受領済"))),1,0)</f>
        <v>0</v>
      </c>
      <c r="L126" s="5" t="str">
        <f aca="false">1&amp;"|"&amp;25</f>
        <v>1|25</v>
      </c>
      <c r="M126" s="5" t="n">
        <f aca="false">IF(L126=L125,M125,0)+K126</f>
        <v>0</v>
      </c>
      <c r="N126" s="5" t="n">
        <f aca="false">IF(AND(K126=1,M126=1),1,0)</f>
        <v>0</v>
      </c>
      <c r="O126" s="5" t="str">
        <f aca="false">IF(K126=1,MAX($O$5:O125)+1,"")</f>
        <v/>
      </c>
      <c r="P126" s="5" t="str">
        <f aca="false">IF(K126=1,SUM($N$6:N126),"")</f>
        <v/>
      </c>
      <c r="Q126" s="5" t="str">
        <f aca="false">IF(K126=1,SUMIFS($H$6:$H$511,$L$6:$L$511,L126,$K$6:$K$511,1),"")</f>
        <v/>
      </c>
      <c r="R126" s="78" t="str">
        <f aca="false">IF(B126="","",IF(INDEX(報告入力!$X$7:$X$696,B126)="","",INDEX(報告入力!$X$7:$X$696,B126)))</f>
        <v/>
      </c>
      <c r="S126" s="5" t="str">
        <f aca="false">設定!$C$46</f>
        <v>長期：厚生年金保険料（組合員負担分）</v>
      </c>
    </row>
    <row r="127" customFormat="false" ht="15" hidden="false" customHeight="false" outlineLevel="0" collapsed="false">
      <c r="A127" s="5" t="str">
        <f aca="false">設定!B85</f>
        <v>農林水産振興センタ</v>
      </c>
      <c r="B127" s="5" t="n">
        <f aca="false">IFERROR(MATCH(ホーム!$C$4&amp;"|"&amp;A127,報告入力!$CG$7:$CG$696,0),"")</f>
        <v>347</v>
      </c>
      <c r="C127" s="5" t="str">
        <f aca="false">IF(B127="","",INDEX(報告入力!$C$7:$C$696,B127))</f>
        <v>未受領</v>
      </c>
      <c r="D127" s="5" t="str">
        <f aca="false">設定!$A$39</f>
        <v>長期（厚生年金保険経理）</v>
      </c>
      <c r="E127" s="5" t="str">
        <f aca="false">設定!$B$39&amp;""</f>
        <v>130</v>
      </c>
      <c r="F127" s="5" t="str">
        <f aca="false">設定!$D$47&amp;""</f>
        <v>2109001014</v>
      </c>
      <c r="G127" s="5" t="str">
        <f aca="false">設定!$E$47&amp;""</f>
        <v>退職標報掛金</v>
      </c>
      <c r="H127" s="5" t="n">
        <f aca="false">IF(B127="",0,N(INDEX(報告入力!$AV$7:$AV$696,B127)))</f>
        <v>0</v>
      </c>
      <c r="I127" s="5" t="str">
        <f aca="false">設定!$C$39&amp;""</f>
        <v>1104001001</v>
      </c>
      <c r="J127" s="5" t="str">
        <f aca="false">設定!$D$39&amp;""</f>
        <v>普広銀市役所</v>
      </c>
      <c r="K127" s="5" t="n">
        <f aca="false">IF(AND(H127&lt;&gt;0,IF(設定!$B$6="入金確認済のみ",C127="入金確認済",OR(C127="入金確認済",C127="受領済"))),1,0)</f>
        <v>0</v>
      </c>
      <c r="L127" s="5" t="str">
        <f aca="false">1&amp;"|"&amp;25</f>
        <v>1|25</v>
      </c>
      <c r="M127" s="5" t="n">
        <f aca="false">IF(L127=L126,M126,0)+K127</f>
        <v>0</v>
      </c>
      <c r="N127" s="5" t="n">
        <f aca="false">IF(AND(K127=1,M127=1),1,0)</f>
        <v>0</v>
      </c>
      <c r="O127" s="5" t="str">
        <f aca="false">IF(K127=1,MAX($O$5:O126)+1,"")</f>
        <v/>
      </c>
      <c r="P127" s="5" t="str">
        <f aca="false">IF(K127=1,SUM($N$6:N127),"")</f>
        <v/>
      </c>
      <c r="Q127" s="5" t="str">
        <f aca="false">IF(K127=1,SUMIFS($H$6:$H$511,$L$6:$L$511,L127,$K$6:$K$511,1),"")</f>
        <v/>
      </c>
      <c r="R127" s="78" t="str">
        <f aca="false">IF(B127="","",IF(INDEX(報告入力!$X$7:$X$696,B127)="","",INDEX(報告入力!$X$7:$X$696,B127)))</f>
        <v/>
      </c>
      <c r="S127" s="5" t="str">
        <f aca="false">設定!$C$47</f>
        <v>長期：退職等年金掛金</v>
      </c>
    </row>
    <row r="128" customFormat="false" ht="15" hidden="false" customHeight="false" outlineLevel="0" collapsed="false">
      <c r="A128" s="5" t="str">
        <f aca="false">設定!B85</f>
        <v>農林水産振興センタ</v>
      </c>
      <c r="B128" s="5" t="n">
        <f aca="false">IFERROR(MATCH(ホーム!$C$4&amp;"|"&amp;A128,報告入力!$CG$7:$CG$696,0),"")</f>
        <v>347</v>
      </c>
      <c r="C128" s="5" t="str">
        <f aca="false">IF(B128="","",INDEX(報告入力!$C$7:$C$696,B128))</f>
        <v>未受領</v>
      </c>
      <c r="D128" s="5" t="str">
        <f aca="false">設定!$A$39</f>
        <v>長期（厚生年金保険経理）</v>
      </c>
      <c r="E128" s="5" t="str">
        <f aca="false">設定!$B$39&amp;""</f>
        <v>130</v>
      </c>
      <c r="F128" s="5" t="str">
        <f aca="false">設定!$D$48&amp;""</f>
        <v>6101002000</v>
      </c>
      <c r="G128" s="5" t="str">
        <f aca="false">設定!$E$48&amp;""</f>
        <v>負担地方公共</v>
      </c>
      <c r="H128" s="5" t="n">
        <f aca="false">IF(B128="",0,N(INDEX(報告入力!$AW$7:$AW$696,B128)))</f>
        <v>601155</v>
      </c>
      <c r="I128" s="5" t="str">
        <f aca="false">設定!$C$39&amp;""</f>
        <v>1104001001</v>
      </c>
      <c r="J128" s="5" t="str">
        <f aca="false">設定!$D$39&amp;""</f>
        <v>普広銀市役所</v>
      </c>
      <c r="K128" s="5" t="n">
        <f aca="false">IF(AND(H128&lt;&gt;0,IF(設定!$B$6="入金確認済のみ",C128="入金確認済",OR(C128="入金確認済",C128="受領済"))),1,0)</f>
        <v>0</v>
      </c>
      <c r="L128" s="5" t="str">
        <f aca="false">1&amp;"|"&amp;25</f>
        <v>1|25</v>
      </c>
      <c r="M128" s="5" t="n">
        <f aca="false">IF(L128=L127,M127,0)+K128</f>
        <v>0</v>
      </c>
      <c r="N128" s="5" t="n">
        <f aca="false">IF(AND(K128=1,M128=1),1,0)</f>
        <v>0</v>
      </c>
      <c r="O128" s="5" t="str">
        <f aca="false">IF(K128=1,MAX($O$5:O127)+1,"")</f>
        <v/>
      </c>
      <c r="P128" s="5" t="str">
        <f aca="false">IF(K128=1,SUM($N$6:N128),"")</f>
        <v/>
      </c>
      <c r="Q128" s="5" t="str">
        <f aca="false">IF(K128=1,SUMIFS($H$6:$H$511,$L$6:$L$511,L128,$K$6:$K$511,1),"")</f>
        <v/>
      </c>
      <c r="R128" s="78" t="str">
        <f aca="false">IF(B128="","",IF(INDEX(報告入力!$X$7:$X$696,B128)="","",INDEX(報告入力!$X$7:$X$696,B128)))</f>
        <v/>
      </c>
      <c r="S128" s="5" t="str">
        <f aca="false">設定!$C$48</f>
        <v>長期：厚生年金保険料（事業主負担分）</v>
      </c>
    </row>
    <row r="129" customFormat="false" ht="15" hidden="false" customHeight="false" outlineLevel="0" collapsed="false">
      <c r="A129" s="5" t="str">
        <f aca="false">設定!B85</f>
        <v>農林水産振興センタ</v>
      </c>
      <c r="B129" s="5" t="n">
        <f aca="false">IFERROR(MATCH(ホーム!$C$4&amp;"|"&amp;A129,報告入力!$CG$7:$CG$696,0),"")</f>
        <v>347</v>
      </c>
      <c r="C129" s="5" t="str">
        <f aca="false">IF(B129="","",INDEX(報告入力!$C$7:$C$696,B129))</f>
        <v>未受領</v>
      </c>
      <c r="D129" s="5" t="str">
        <f aca="false">設定!$A$39</f>
        <v>長期（厚生年金保険経理）</v>
      </c>
      <c r="E129" s="5" t="str">
        <f aca="false">設定!$B$39&amp;""</f>
        <v>130</v>
      </c>
      <c r="F129" s="5" t="str">
        <f aca="false">設定!$D$49&amp;""</f>
        <v>2109001015</v>
      </c>
      <c r="G129" s="5" t="str">
        <f aca="false">設定!$E$49&amp;""</f>
        <v>退職負担地方</v>
      </c>
      <c r="H129" s="5" t="n">
        <f aca="false">IF(B129="",0,N(INDEX(報告入力!$AX$7:$AX$696,B129)))</f>
        <v>49275</v>
      </c>
      <c r="I129" s="5" t="str">
        <f aca="false">設定!$C$39&amp;""</f>
        <v>1104001001</v>
      </c>
      <c r="J129" s="5" t="str">
        <f aca="false">設定!$D$39&amp;""</f>
        <v>普広銀市役所</v>
      </c>
      <c r="K129" s="5" t="n">
        <f aca="false">IF(AND(H129&lt;&gt;0,IF(設定!$B$6="入金確認済のみ",C129="入金確認済",OR(C129="入金確認済",C129="受領済"))),1,0)</f>
        <v>0</v>
      </c>
      <c r="L129" s="5" t="str">
        <f aca="false">1&amp;"|"&amp;25</f>
        <v>1|25</v>
      </c>
      <c r="M129" s="5" t="n">
        <f aca="false">IF(L129=L128,M128,0)+K129</f>
        <v>0</v>
      </c>
      <c r="N129" s="5" t="n">
        <f aca="false">IF(AND(K129=1,M129=1),1,0)</f>
        <v>0</v>
      </c>
      <c r="O129" s="5" t="str">
        <f aca="false">IF(K129=1,MAX($O$5:O128)+1,"")</f>
        <v/>
      </c>
      <c r="P129" s="5" t="str">
        <f aca="false">IF(K129=1,SUM($N$6:N129),"")</f>
        <v/>
      </c>
      <c r="Q129" s="5" t="str">
        <f aca="false">IF(K129=1,SUMIFS($H$6:$H$511,$L$6:$L$511,L129,$K$6:$K$511,1),"")</f>
        <v/>
      </c>
      <c r="R129" s="78" t="str">
        <f aca="false">IF(B129="","",IF(INDEX(報告入力!$X$7:$X$696,B129)="","",INDEX(報告入力!$X$7:$X$696,B129)))</f>
        <v/>
      </c>
      <c r="S129" s="5" t="str">
        <f aca="false">設定!$C$49</f>
        <v>長期：退職等年金負担金</v>
      </c>
    </row>
    <row r="130" customFormat="false" ht="15" hidden="false" customHeight="false" outlineLevel="0" collapsed="false">
      <c r="A130" s="5" t="str">
        <f aca="false">設定!B85</f>
        <v>農林水産振興センタ</v>
      </c>
      <c r="B130" s="5" t="n">
        <f aca="false">IFERROR(MATCH(ホーム!$C$4&amp;"|"&amp;A130,報告入力!$CG$7:$CG$696,0),"")</f>
        <v>347</v>
      </c>
      <c r="C130" s="5" t="str">
        <f aca="false">IF(B130="","",INDEX(報告入力!$C$7:$C$696,B130))</f>
        <v>未受領</v>
      </c>
      <c r="D130" s="5" t="str">
        <f aca="false">設定!$A$39</f>
        <v>長期（厚生年金保険経理）</v>
      </c>
      <c r="E130" s="5" t="str">
        <f aca="false">設定!$B$39&amp;""</f>
        <v>130</v>
      </c>
      <c r="F130" s="5" t="str">
        <f aca="false">設定!$D$50&amp;""</f>
        <v>2109001017</v>
      </c>
      <c r="G130" s="5" t="str">
        <f aca="false">設定!$E$50&amp;""</f>
        <v>経過的負担金</v>
      </c>
      <c r="H130" s="5" t="n">
        <f aca="false">IF(B130="",0,N(INDEX(報告入力!$AY$7:$AY$696,B130)))</f>
        <v>613</v>
      </c>
      <c r="I130" s="5" t="str">
        <f aca="false">設定!$C$39&amp;""</f>
        <v>1104001001</v>
      </c>
      <c r="J130" s="5" t="str">
        <f aca="false">設定!$D$39&amp;""</f>
        <v>普広銀市役所</v>
      </c>
      <c r="K130" s="5" t="n">
        <f aca="false">IF(AND(H130&lt;&gt;0,IF(設定!$B$6="入金確認済のみ",C130="入金確認済",OR(C130="入金確認済",C130="受領済"))),1,0)</f>
        <v>0</v>
      </c>
      <c r="L130" s="5" t="str">
        <f aca="false">1&amp;"|"&amp;25</f>
        <v>1|25</v>
      </c>
      <c r="M130" s="5" t="n">
        <f aca="false">IF(L130=L129,M129,0)+K130</f>
        <v>0</v>
      </c>
      <c r="N130" s="5" t="n">
        <f aca="false">IF(AND(K130=1,M130=1),1,0)</f>
        <v>0</v>
      </c>
      <c r="O130" s="5" t="str">
        <f aca="false">IF(K130=1,MAX($O$5:O129)+1,"")</f>
        <v/>
      </c>
      <c r="P130" s="5" t="str">
        <f aca="false">IF(K130=1,SUM($N$6:N130),"")</f>
        <v/>
      </c>
      <c r="Q130" s="5" t="str">
        <f aca="false">IF(K130=1,SUMIFS($H$6:$H$511,$L$6:$L$511,L130,$K$6:$K$511,1),"")</f>
        <v/>
      </c>
      <c r="R130" s="78" t="str">
        <f aca="false">IF(B130="","",IF(INDEX(報告入力!$X$7:$X$696,B130)="","",INDEX(報告入力!$X$7:$X$696,B130)))</f>
        <v/>
      </c>
      <c r="S130" s="5" t="str">
        <f aca="false">設定!$C$50</f>
        <v>長期：経過的長期</v>
      </c>
    </row>
    <row r="131" customFormat="false" ht="15" hidden="false" customHeight="false" outlineLevel="0" collapsed="false">
      <c r="A131" s="5" t="str">
        <f aca="false">設定!B86</f>
        <v>文化財団　市長部局</v>
      </c>
      <c r="B131" s="5" t="n">
        <f aca="false">IFERROR(MATCH(ホーム!$C$4&amp;"|"&amp;A131,報告入力!$CG$7:$CG$696,0),"")</f>
        <v>348</v>
      </c>
      <c r="C131" s="5" t="str">
        <f aca="false">IF(B131="","",INDEX(報告入力!$C$7:$C$696,B131))</f>
        <v>未受領</v>
      </c>
      <c r="D131" s="5" t="str">
        <f aca="false">設定!$A$39</f>
        <v>長期（厚生年金保険経理）</v>
      </c>
      <c r="E131" s="5" t="str">
        <f aca="false">設定!$B$39&amp;""</f>
        <v>130</v>
      </c>
      <c r="F131" s="5" t="str">
        <f aca="false">設定!$D$46&amp;""</f>
        <v>6102102000</v>
      </c>
      <c r="G131" s="5" t="str">
        <f aca="false">設定!$E$46&amp;""</f>
        <v>標月額保険料</v>
      </c>
      <c r="H131" s="5" t="n">
        <f aca="false">IF(B131="",0,N(INDEX(報告入力!$AU$7:$AU$696,B131)))</f>
        <v>0</v>
      </c>
      <c r="I131" s="5" t="str">
        <f aca="false">設定!$C$39&amp;""</f>
        <v>1104001001</v>
      </c>
      <c r="J131" s="5" t="str">
        <f aca="false">設定!$D$39&amp;""</f>
        <v>普広銀市役所</v>
      </c>
      <c r="K131" s="5" t="n">
        <f aca="false">IF(AND(H131&lt;&gt;0,IF(設定!$B$6="入金確認済のみ",C131="入金確認済",OR(C131="入金確認済",C131="受領済"))),1,0)</f>
        <v>0</v>
      </c>
      <c r="L131" s="5" t="str">
        <f aca="false">1&amp;"|"&amp;26</f>
        <v>1|26</v>
      </c>
      <c r="M131" s="5" t="n">
        <f aca="false">IF(L131=L130,M130,0)+K131</f>
        <v>0</v>
      </c>
      <c r="N131" s="5" t="n">
        <f aca="false">IF(AND(K131=1,M131=1),1,0)</f>
        <v>0</v>
      </c>
      <c r="O131" s="5" t="str">
        <f aca="false">IF(K131=1,MAX($O$5:O130)+1,"")</f>
        <v/>
      </c>
      <c r="P131" s="5" t="str">
        <f aca="false">IF(K131=1,SUM($N$6:N131),"")</f>
        <v/>
      </c>
      <c r="Q131" s="5" t="str">
        <f aca="false">IF(K131=1,SUMIFS($H$6:$H$511,$L$6:$L$511,L131,$K$6:$K$511,1),"")</f>
        <v/>
      </c>
      <c r="R131" s="78" t="str">
        <f aca="false">IF(B131="","",IF(INDEX(報告入力!$X$7:$X$696,B131)="","",INDEX(報告入力!$X$7:$X$696,B131)))</f>
        <v/>
      </c>
      <c r="S131" s="5" t="str">
        <f aca="false">設定!$C$46</f>
        <v>長期：厚生年金保険料（組合員負担分）</v>
      </c>
    </row>
    <row r="132" customFormat="false" ht="15" hidden="false" customHeight="false" outlineLevel="0" collapsed="false">
      <c r="A132" s="5" t="str">
        <f aca="false">設定!B86</f>
        <v>文化財団　市長部局</v>
      </c>
      <c r="B132" s="5" t="n">
        <f aca="false">IFERROR(MATCH(ホーム!$C$4&amp;"|"&amp;A132,報告入力!$CG$7:$CG$696,0),"")</f>
        <v>348</v>
      </c>
      <c r="C132" s="5" t="str">
        <f aca="false">IF(B132="","",INDEX(報告入力!$C$7:$C$696,B132))</f>
        <v>未受領</v>
      </c>
      <c r="D132" s="5" t="str">
        <f aca="false">設定!$A$39</f>
        <v>長期（厚生年金保険経理）</v>
      </c>
      <c r="E132" s="5" t="str">
        <f aca="false">設定!$B$39&amp;""</f>
        <v>130</v>
      </c>
      <c r="F132" s="5" t="str">
        <f aca="false">設定!$D$47&amp;""</f>
        <v>2109001014</v>
      </c>
      <c r="G132" s="5" t="str">
        <f aca="false">設定!$E$47&amp;""</f>
        <v>退職標報掛金</v>
      </c>
      <c r="H132" s="5" t="n">
        <f aca="false">IF(B132="",0,N(INDEX(報告入力!$AV$7:$AV$696,B132)))</f>
        <v>0</v>
      </c>
      <c r="I132" s="5" t="str">
        <f aca="false">設定!$C$39&amp;""</f>
        <v>1104001001</v>
      </c>
      <c r="J132" s="5" t="str">
        <f aca="false">設定!$D$39&amp;""</f>
        <v>普広銀市役所</v>
      </c>
      <c r="K132" s="5" t="n">
        <f aca="false">IF(AND(H132&lt;&gt;0,IF(設定!$B$6="入金確認済のみ",C132="入金確認済",OR(C132="入金確認済",C132="受領済"))),1,0)</f>
        <v>0</v>
      </c>
      <c r="L132" s="5" t="str">
        <f aca="false">1&amp;"|"&amp;26</f>
        <v>1|26</v>
      </c>
      <c r="M132" s="5" t="n">
        <f aca="false">IF(L132=L131,M131,0)+K132</f>
        <v>0</v>
      </c>
      <c r="N132" s="5" t="n">
        <f aca="false">IF(AND(K132=1,M132=1),1,0)</f>
        <v>0</v>
      </c>
      <c r="O132" s="5" t="str">
        <f aca="false">IF(K132=1,MAX($O$5:O131)+1,"")</f>
        <v/>
      </c>
      <c r="P132" s="5" t="str">
        <f aca="false">IF(K132=1,SUM($N$6:N132),"")</f>
        <v/>
      </c>
      <c r="Q132" s="5" t="str">
        <f aca="false">IF(K132=1,SUMIFS($H$6:$H$511,$L$6:$L$511,L132,$K$6:$K$511,1),"")</f>
        <v/>
      </c>
      <c r="R132" s="78" t="str">
        <f aca="false">IF(B132="","",IF(INDEX(報告入力!$X$7:$X$696,B132)="","",INDEX(報告入力!$X$7:$X$696,B132)))</f>
        <v/>
      </c>
      <c r="S132" s="5" t="str">
        <f aca="false">設定!$C$47</f>
        <v>長期：退職等年金掛金</v>
      </c>
    </row>
    <row r="133" customFormat="false" ht="15" hidden="false" customHeight="false" outlineLevel="0" collapsed="false">
      <c r="A133" s="5" t="str">
        <f aca="false">設定!B86</f>
        <v>文化財団　市長部局</v>
      </c>
      <c r="B133" s="5" t="n">
        <f aca="false">IFERROR(MATCH(ホーム!$C$4&amp;"|"&amp;A133,報告入力!$CG$7:$CG$696,0),"")</f>
        <v>348</v>
      </c>
      <c r="C133" s="5" t="str">
        <f aca="false">IF(B133="","",INDEX(報告入力!$C$7:$C$696,B133))</f>
        <v>未受領</v>
      </c>
      <c r="D133" s="5" t="str">
        <f aca="false">設定!$A$39</f>
        <v>長期（厚生年金保険経理）</v>
      </c>
      <c r="E133" s="5" t="str">
        <f aca="false">設定!$B$39&amp;""</f>
        <v>130</v>
      </c>
      <c r="F133" s="5" t="str">
        <f aca="false">設定!$D$48&amp;""</f>
        <v>6101002000</v>
      </c>
      <c r="G133" s="5" t="str">
        <f aca="false">設定!$E$48&amp;""</f>
        <v>負担地方公共</v>
      </c>
      <c r="H133" s="5" t="n">
        <f aca="false">IF(B133="",0,N(INDEX(報告入力!$AW$7:$AW$696,B133)))</f>
        <v>1160220</v>
      </c>
      <c r="I133" s="5" t="str">
        <f aca="false">設定!$C$39&amp;""</f>
        <v>1104001001</v>
      </c>
      <c r="J133" s="5" t="str">
        <f aca="false">設定!$D$39&amp;""</f>
        <v>普広銀市役所</v>
      </c>
      <c r="K133" s="5" t="n">
        <f aca="false">IF(AND(H133&lt;&gt;0,IF(設定!$B$6="入金確認済のみ",C133="入金確認済",OR(C133="入金確認済",C133="受領済"))),1,0)</f>
        <v>0</v>
      </c>
      <c r="L133" s="5" t="str">
        <f aca="false">1&amp;"|"&amp;26</f>
        <v>1|26</v>
      </c>
      <c r="M133" s="5" t="n">
        <f aca="false">IF(L133=L132,M132,0)+K133</f>
        <v>0</v>
      </c>
      <c r="N133" s="5" t="n">
        <f aca="false">IF(AND(K133=1,M133=1),1,0)</f>
        <v>0</v>
      </c>
      <c r="O133" s="5" t="str">
        <f aca="false">IF(K133=1,MAX($O$5:O132)+1,"")</f>
        <v/>
      </c>
      <c r="P133" s="5" t="str">
        <f aca="false">IF(K133=1,SUM($N$6:N133),"")</f>
        <v/>
      </c>
      <c r="Q133" s="5" t="str">
        <f aca="false">IF(K133=1,SUMIFS($H$6:$H$511,$L$6:$L$511,L133,$K$6:$K$511,1),"")</f>
        <v/>
      </c>
      <c r="R133" s="78" t="str">
        <f aca="false">IF(B133="","",IF(INDEX(報告入力!$X$7:$X$696,B133)="","",INDEX(報告入力!$X$7:$X$696,B133)))</f>
        <v/>
      </c>
      <c r="S133" s="5" t="str">
        <f aca="false">設定!$C$48</f>
        <v>長期：厚生年金保険料（事業主負担分）</v>
      </c>
    </row>
    <row r="134" customFormat="false" ht="15" hidden="false" customHeight="false" outlineLevel="0" collapsed="false">
      <c r="A134" s="5" t="str">
        <f aca="false">設定!B86</f>
        <v>文化財団　市長部局</v>
      </c>
      <c r="B134" s="5" t="n">
        <f aca="false">IFERROR(MATCH(ホーム!$C$4&amp;"|"&amp;A134,報告入力!$CG$7:$CG$696,0),"")</f>
        <v>348</v>
      </c>
      <c r="C134" s="5" t="str">
        <f aca="false">IF(B134="","",INDEX(報告入力!$C$7:$C$696,B134))</f>
        <v>未受領</v>
      </c>
      <c r="D134" s="5" t="str">
        <f aca="false">設定!$A$39</f>
        <v>長期（厚生年金保険経理）</v>
      </c>
      <c r="E134" s="5" t="str">
        <f aca="false">設定!$B$39&amp;""</f>
        <v>130</v>
      </c>
      <c r="F134" s="5" t="str">
        <f aca="false">設定!$D$49&amp;""</f>
        <v>2109001015</v>
      </c>
      <c r="G134" s="5" t="str">
        <f aca="false">設定!$E$49&amp;""</f>
        <v>退職負担地方</v>
      </c>
      <c r="H134" s="5" t="n">
        <f aca="false">IF(B134="",0,N(INDEX(報告入力!$AX$7:$AX$696,B134)))</f>
        <v>95100</v>
      </c>
      <c r="I134" s="5" t="str">
        <f aca="false">設定!$C$39&amp;""</f>
        <v>1104001001</v>
      </c>
      <c r="J134" s="5" t="str">
        <f aca="false">設定!$D$39&amp;""</f>
        <v>普広銀市役所</v>
      </c>
      <c r="K134" s="5" t="n">
        <f aca="false">IF(AND(H134&lt;&gt;0,IF(設定!$B$6="入金確認済のみ",C134="入金確認済",OR(C134="入金確認済",C134="受領済"))),1,0)</f>
        <v>0</v>
      </c>
      <c r="L134" s="5" t="str">
        <f aca="false">1&amp;"|"&amp;26</f>
        <v>1|26</v>
      </c>
      <c r="M134" s="5" t="n">
        <f aca="false">IF(L134=L133,M133,0)+K134</f>
        <v>0</v>
      </c>
      <c r="N134" s="5" t="n">
        <f aca="false">IF(AND(K134=1,M134=1),1,0)</f>
        <v>0</v>
      </c>
      <c r="O134" s="5" t="str">
        <f aca="false">IF(K134=1,MAX($O$5:O133)+1,"")</f>
        <v/>
      </c>
      <c r="P134" s="5" t="str">
        <f aca="false">IF(K134=1,SUM($N$6:N134),"")</f>
        <v/>
      </c>
      <c r="Q134" s="5" t="str">
        <f aca="false">IF(K134=1,SUMIFS($H$6:$H$511,$L$6:$L$511,L134,$K$6:$K$511,1),"")</f>
        <v/>
      </c>
      <c r="R134" s="78" t="str">
        <f aca="false">IF(B134="","",IF(INDEX(報告入力!$X$7:$X$696,B134)="","",INDEX(報告入力!$X$7:$X$696,B134)))</f>
        <v/>
      </c>
      <c r="S134" s="5" t="str">
        <f aca="false">設定!$C$49</f>
        <v>長期：退職等年金負担金</v>
      </c>
    </row>
    <row r="135" customFormat="false" ht="15" hidden="false" customHeight="false" outlineLevel="0" collapsed="false">
      <c r="A135" s="5" t="str">
        <f aca="false">設定!B86</f>
        <v>文化財団　市長部局</v>
      </c>
      <c r="B135" s="5" t="n">
        <f aca="false">IFERROR(MATCH(ホーム!$C$4&amp;"|"&amp;A135,報告入力!$CG$7:$CG$696,0),"")</f>
        <v>348</v>
      </c>
      <c r="C135" s="5" t="str">
        <f aca="false">IF(B135="","",INDEX(報告入力!$C$7:$C$696,B135))</f>
        <v>未受領</v>
      </c>
      <c r="D135" s="5" t="str">
        <f aca="false">設定!$A$39</f>
        <v>長期（厚生年金保険経理）</v>
      </c>
      <c r="E135" s="5" t="str">
        <f aca="false">設定!$B$39&amp;""</f>
        <v>130</v>
      </c>
      <c r="F135" s="5" t="str">
        <f aca="false">設定!$D$50&amp;""</f>
        <v>2109001017</v>
      </c>
      <c r="G135" s="5" t="str">
        <f aca="false">設定!$E$50&amp;""</f>
        <v>経過的負担金</v>
      </c>
      <c r="H135" s="5" t="n">
        <f aca="false">IF(B135="",0,N(INDEX(報告入力!$AY$7:$AY$696,B135)))</f>
        <v>1185</v>
      </c>
      <c r="I135" s="5" t="str">
        <f aca="false">設定!$C$39&amp;""</f>
        <v>1104001001</v>
      </c>
      <c r="J135" s="5" t="str">
        <f aca="false">設定!$D$39&amp;""</f>
        <v>普広銀市役所</v>
      </c>
      <c r="K135" s="5" t="n">
        <f aca="false">IF(AND(H135&lt;&gt;0,IF(設定!$B$6="入金確認済のみ",C135="入金確認済",OR(C135="入金確認済",C135="受領済"))),1,0)</f>
        <v>0</v>
      </c>
      <c r="L135" s="5" t="str">
        <f aca="false">1&amp;"|"&amp;26</f>
        <v>1|26</v>
      </c>
      <c r="M135" s="5" t="n">
        <f aca="false">IF(L135=L134,M134,0)+K135</f>
        <v>0</v>
      </c>
      <c r="N135" s="5" t="n">
        <f aca="false">IF(AND(K135=1,M135=1),1,0)</f>
        <v>0</v>
      </c>
      <c r="O135" s="5" t="str">
        <f aca="false">IF(K135=1,MAX($O$5:O134)+1,"")</f>
        <v/>
      </c>
      <c r="P135" s="5" t="str">
        <f aca="false">IF(K135=1,SUM($N$6:N135),"")</f>
        <v/>
      </c>
      <c r="Q135" s="5" t="str">
        <f aca="false">IF(K135=1,SUMIFS($H$6:$H$511,$L$6:$L$511,L135,$K$6:$K$511,1),"")</f>
        <v/>
      </c>
      <c r="R135" s="78" t="str">
        <f aca="false">IF(B135="","",IF(INDEX(報告入力!$X$7:$X$696,B135)="","",INDEX(報告入力!$X$7:$X$696,B135)))</f>
        <v/>
      </c>
      <c r="S135" s="5" t="str">
        <f aca="false">設定!$C$50</f>
        <v>長期：経過的長期</v>
      </c>
    </row>
    <row r="136" customFormat="false" ht="15" hidden="false" customHeight="false" outlineLevel="0" collapsed="false">
      <c r="A136" s="5" t="str">
        <f aca="false">設定!B87</f>
        <v>文化財団　教育委員会</v>
      </c>
      <c r="B136" s="5" t="n">
        <f aca="false">IFERROR(MATCH(ホーム!$C$4&amp;"|"&amp;A136,報告入力!$CG$7:$CG$696,0),"")</f>
        <v>349</v>
      </c>
      <c r="C136" s="5" t="str">
        <f aca="false">IF(B136="","",INDEX(報告入力!$C$7:$C$696,B136))</f>
        <v>未受領</v>
      </c>
      <c r="D136" s="5" t="str">
        <f aca="false">設定!$A$39</f>
        <v>長期（厚生年金保険経理）</v>
      </c>
      <c r="E136" s="5" t="str">
        <f aca="false">設定!$B$39&amp;""</f>
        <v>130</v>
      </c>
      <c r="F136" s="5" t="str">
        <f aca="false">設定!$D$46&amp;""</f>
        <v>6102102000</v>
      </c>
      <c r="G136" s="5" t="str">
        <f aca="false">設定!$E$46&amp;""</f>
        <v>標月額保険料</v>
      </c>
      <c r="H136" s="5" t="n">
        <f aca="false">IF(B136="",0,N(INDEX(報告入力!$AU$7:$AU$696,B136)))</f>
        <v>0</v>
      </c>
      <c r="I136" s="5" t="str">
        <f aca="false">設定!$C$39&amp;""</f>
        <v>1104001001</v>
      </c>
      <c r="J136" s="5" t="str">
        <f aca="false">設定!$D$39&amp;""</f>
        <v>普広銀市役所</v>
      </c>
      <c r="K136" s="5" t="n">
        <f aca="false">IF(AND(H136&lt;&gt;0,IF(設定!$B$6="入金確認済のみ",C136="入金確認済",OR(C136="入金確認済",C136="受領済"))),1,0)</f>
        <v>0</v>
      </c>
      <c r="L136" s="5" t="str">
        <f aca="false">1&amp;"|"&amp;27</f>
        <v>1|27</v>
      </c>
      <c r="M136" s="5" t="n">
        <f aca="false">IF(L136=L135,M135,0)+K136</f>
        <v>0</v>
      </c>
      <c r="N136" s="5" t="n">
        <f aca="false">IF(AND(K136=1,M136=1),1,0)</f>
        <v>0</v>
      </c>
      <c r="O136" s="5" t="str">
        <f aca="false">IF(K136=1,MAX($O$5:O135)+1,"")</f>
        <v/>
      </c>
      <c r="P136" s="5" t="str">
        <f aca="false">IF(K136=1,SUM($N$6:N136),"")</f>
        <v/>
      </c>
      <c r="Q136" s="5" t="str">
        <f aca="false">IF(K136=1,SUMIFS($H$6:$H$511,$L$6:$L$511,L136,$K$6:$K$511,1),"")</f>
        <v/>
      </c>
      <c r="R136" s="78" t="str">
        <f aca="false">IF(B136="","",IF(INDEX(報告入力!$X$7:$X$696,B136)="","",INDEX(報告入力!$X$7:$X$696,B136)))</f>
        <v/>
      </c>
      <c r="S136" s="5" t="str">
        <f aca="false">設定!$C$46</f>
        <v>長期：厚生年金保険料（組合員負担分）</v>
      </c>
    </row>
    <row r="137" customFormat="false" ht="15" hidden="false" customHeight="false" outlineLevel="0" collapsed="false">
      <c r="A137" s="5" t="str">
        <f aca="false">設定!B87</f>
        <v>文化財団　教育委員会</v>
      </c>
      <c r="B137" s="5" t="n">
        <f aca="false">IFERROR(MATCH(ホーム!$C$4&amp;"|"&amp;A137,報告入力!$CG$7:$CG$696,0),"")</f>
        <v>349</v>
      </c>
      <c r="C137" s="5" t="str">
        <f aca="false">IF(B137="","",INDEX(報告入力!$C$7:$C$696,B137))</f>
        <v>未受領</v>
      </c>
      <c r="D137" s="5" t="str">
        <f aca="false">設定!$A$39</f>
        <v>長期（厚生年金保険経理）</v>
      </c>
      <c r="E137" s="5" t="str">
        <f aca="false">設定!$B$39&amp;""</f>
        <v>130</v>
      </c>
      <c r="F137" s="5" t="str">
        <f aca="false">設定!$D$47&amp;""</f>
        <v>2109001014</v>
      </c>
      <c r="G137" s="5" t="str">
        <f aca="false">設定!$E$47&amp;""</f>
        <v>退職標報掛金</v>
      </c>
      <c r="H137" s="5" t="n">
        <f aca="false">IF(B137="",0,N(INDEX(報告入力!$AV$7:$AV$696,B137)))</f>
        <v>0</v>
      </c>
      <c r="I137" s="5" t="str">
        <f aca="false">設定!$C$39&amp;""</f>
        <v>1104001001</v>
      </c>
      <c r="J137" s="5" t="str">
        <f aca="false">設定!$D$39&amp;""</f>
        <v>普広銀市役所</v>
      </c>
      <c r="K137" s="5" t="n">
        <f aca="false">IF(AND(H137&lt;&gt;0,IF(設定!$B$6="入金確認済のみ",C137="入金確認済",OR(C137="入金確認済",C137="受領済"))),1,0)</f>
        <v>0</v>
      </c>
      <c r="L137" s="5" t="str">
        <f aca="false">1&amp;"|"&amp;27</f>
        <v>1|27</v>
      </c>
      <c r="M137" s="5" t="n">
        <f aca="false">IF(L137=L136,M136,0)+K137</f>
        <v>0</v>
      </c>
      <c r="N137" s="5" t="n">
        <f aca="false">IF(AND(K137=1,M137=1),1,0)</f>
        <v>0</v>
      </c>
      <c r="O137" s="5" t="str">
        <f aca="false">IF(K137=1,MAX($O$5:O136)+1,"")</f>
        <v/>
      </c>
      <c r="P137" s="5" t="str">
        <f aca="false">IF(K137=1,SUM($N$6:N137),"")</f>
        <v/>
      </c>
      <c r="Q137" s="5" t="str">
        <f aca="false">IF(K137=1,SUMIFS($H$6:$H$511,$L$6:$L$511,L137,$K$6:$K$511,1),"")</f>
        <v/>
      </c>
      <c r="R137" s="78" t="str">
        <f aca="false">IF(B137="","",IF(INDEX(報告入力!$X$7:$X$696,B137)="","",INDEX(報告入力!$X$7:$X$696,B137)))</f>
        <v/>
      </c>
      <c r="S137" s="5" t="str">
        <f aca="false">設定!$C$47</f>
        <v>長期：退職等年金掛金</v>
      </c>
    </row>
    <row r="138" customFormat="false" ht="15" hidden="false" customHeight="false" outlineLevel="0" collapsed="false">
      <c r="A138" s="5" t="str">
        <f aca="false">設定!B87</f>
        <v>文化財団　教育委員会</v>
      </c>
      <c r="B138" s="5" t="n">
        <f aca="false">IFERROR(MATCH(ホーム!$C$4&amp;"|"&amp;A138,報告入力!$CG$7:$CG$696,0),"")</f>
        <v>349</v>
      </c>
      <c r="C138" s="5" t="str">
        <f aca="false">IF(B138="","",INDEX(報告入力!$C$7:$C$696,B138))</f>
        <v>未受領</v>
      </c>
      <c r="D138" s="5" t="str">
        <f aca="false">設定!$A$39</f>
        <v>長期（厚生年金保険経理）</v>
      </c>
      <c r="E138" s="5" t="str">
        <f aca="false">設定!$B$39&amp;""</f>
        <v>130</v>
      </c>
      <c r="F138" s="5" t="str">
        <f aca="false">設定!$D$48&amp;""</f>
        <v>6101002000</v>
      </c>
      <c r="G138" s="5" t="str">
        <f aca="false">設定!$E$48&amp;""</f>
        <v>負担地方公共</v>
      </c>
      <c r="H138" s="5" t="n">
        <f aca="false">IF(B138="",0,N(INDEX(報告入力!$AW$7:$AW$696,B138)))</f>
        <v>0</v>
      </c>
      <c r="I138" s="5" t="str">
        <f aca="false">設定!$C$39&amp;""</f>
        <v>1104001001</v>
      </c>
      <c r="J138" s="5" t="str">
        <f aca="false">設定!$D$39&amp;""</f>
        <v>普広銀市役所</v>
      </c>
      <c r="K138" s="5" t="n">
        <f aca="false">IF(AND(H138&lt;&gt;0,IF(設定!$B$6="入金確認済のみ",C138="入金確認済",OR(C138="入金確認済",C138="受領済"))),1,0)</f>
        <v>0</v>
      </c>
      <c r="L138" s="5" t="str">
        <f aca="false">1&amp;"|"&amp;27</f>
        <v>1|27</v>
      </c>
      <c r="M138" s="5" t="n">
        <f aca="false">IF(L138=L137,M137,0)+K138</f>
        <v>0</v>
      </c>
      <c r="N138" s="5" t="n">
        <f aca="false">IF(AND(K138=1,M138=1),1,0)</f>
        <v>0</v>
      </c>
      <c r="O138" s="5" t="str">
        <f aca="false">IF(K138=1,MAX($O$5:O137)+1,"")</f>
        <v/>
      </c>
      <c r="P138" s="5" t="str">
        <f aca="false">IF(K138=1,SUM($N$6:N138),"")</f>
        <v/>
      </c>
      <c r="Q138" s="5" t="str">
        <f aca="false">IF(K138=1,SUMIFS($H$6:$H$511,$L$6:$L$511,L138,$K$6:$K$511,1),"")</f>
        <v/>
      </c>
      <c r="R138" s="78" t="str">
        <f aca="false">IF(B138="","",IF(INDEX(報告入力!$X$7:$X$696,B138)="","",INDEX(報告入力!$X$7:$X$696,B138)))</f>
        <v/>
      </c>
      <c r="S138" s="5" t="str">
        <f aca="false">設定!$C$48</f>
        <v>長期：厚生年金保険料（事業主負担分）</v>
      </c>
    </row>
    <row r="139" customFormat="false" ht="15" hidden="false" customHeight="false" outlineLevel="0" collapsed="false">
      <c r="A139" s="5" t="str">
        <f aca="false">設定!B87</f>
        <v>文化財団　教育委員会</v>
      </c>
      <c r="B139" s="5" t="n">
        <f aca="false">IFERROR(MATCH(ホーム!$C$4&amp;"|"&amp;A139,報告入力!$CG$7:$CG$696,0),"")</f>
        <v>349</v>
      </c>
      <c r="C139" s="5" t="str">
        <f aca="false">IF(B139="","",INDEX(報告入力!$C$7:$C$696,B139))</f>
        <v>未受領</v>
      </c>
      <c r="D139" s="5" t="str">
        <f aca="false">設定!$A$39</f>
        <v>長期（厚生年金保険経理）</v>
      </c>
      <c r="E139" s="5" t="str">
        <f aca="false">設定!$B$39&amp;""</f>
        <v>130</v>
      </c>
      <c r="F139" s="5" t="str">
        <f aca="false">設定!$D$49&amp;""</f>
        <v>2109001015</v>
      </c>
      <c r="G139" s="5" t="str">
        <f aca="false">設定!$E$49&amp;""</f>
        <v>退職負担地方</v>
      </c>
      <c r="H139" s="5" t="n">
        <f aca="false">IF(B139="",0,N(INDEX(報告入力!$AX$7:$AX$696,B139)))</f>
        <v>0</v>
      </c>
      <c r="I139" s="5" t="str">
        <f aca="false">設定!$C$39&amp;""</f>
        <v>1104001001</v>
      </c>
      <c r="J139" s="5" t="str">
        <f aca="false">設定!$D$39&amp;""</f>
        <v>普広銀市役所</v>
      </c>
      <c r="K139" s="5" t="n">
        <f aca="false">IF(AND(H139&lt;&gt;0,IF(設定!$B$6="入金確認済のみ",C139="入金確認済",OR(C139="入金確認済",C139="受領済"))),1,0)</f>
        <v>0</v>
      </c>
      <c r="L139" s="5" t="str">
        <f aca="false">1&amp;"|"&amp;27</f>
        <v>1|27</v>
      </c>
      <c r="M139" s="5" t="n">
        <f aca="false">IF(L139=L138,M138,0)+K139</f>
        <v>0</v>
      </c>
      <c r="N139" s="5" t="n">
        <f aca="false">IF(AND(K139=1,M139=1),1,0)</f>
        <v>0</v>
      </c>
      <c r="O139" s="5" t="str">
        <f aca="false">IF(K139=1,MAX($O$5:O138)+1,"")</f>
        <v/>
      </c>
      <c r="P139" s="5" t="str">
        <f aca="false">IF(K139=1,SUM($N$6:N139),"")</f>
        <v/>
      </c>
      <c r="Q139" s="5" t="str">
        <f aca="false">IF(K139=1,SUMIFS($H$6:$H$511,$L$6:$L$511,L139,$K$6:$K$511,1),"")</f>
        <v/>
      </c>
      <c r="R139" s="78" t="str">
        <f aca="false">IF(B139="","",IF(INDEX(報告入力!$X$7:$X$696,B139)="","",INDEX(報告入力!$X$7:$X$696,B139)))</f>
        <v/>
      </c>
      <c r="S139" s="5" t="str">
        <f aca="false">設定!$C$49</f>
        <v>長期：退職等年金負担金</v>
      </c>
    </row>
    <row r="140" customFormat="false" ht="15" hidden="false" customHeight="false" outlineLevel="0" collapsed="false">
      <c r="A140" s="5" t="str">
        <f aca="false">設定!B87</f>
        <v>文化財団　教育委員会</v>
      </c>
      <c r="B140" s="5" t="n">
        <f aca="false">IFERROR(MATCH(ホーム!$C$4&amp;"|"&amp;A140,報告入力!$CG$7:$CG$696,0),"")</f>
        <v>349</v>
      </c>
      <c r="C140" s="5" t="str">
        <f aca="false">IF(B140="","",INDEX(報告入力!$C$7:$C$696,B140))</f>
        <v>未受領</v>
      </c>
      <c r="D140" s="5" t="str">
        <f aca="false">設定!$A$39</f>
        <v>長期（厚生年金保険経理）</v>
      </c>
      <c r="E140" s="5" t="str">
        <f aca="false">設定!$B$39&amp;""</f>
        <v>130</v>
      </c>
      <c r="F140" s="5" t="str">
        <f aca="false">設定!$D$50&amp;""</f>
        <v>2109001017</v>
      </c>
      <c r="G140" s="5" t="str">
        <f aca="false">設定!$E$50&amp;""</f>
        <v>経過的負担金</v>
      </c>
      <c r="H140" s="5" t="n">
        <f aca="false">IF(B140="",0,N(INDEX(報告入力!$AY$7:$AY$696,B140)))</f>
        <v>0</v>
      </c>
      <c r="I140" s="5" t="str">
        <f aca="false">設定!$C$39&amp;""</f>
        <v>1104001001</v>
      </c>
      <c r="J140" s="5" t="str">
        <f aca="false">設定!$D$39&amp;""</f>
        <v>普広銀市役所</v>
      </c>
      <c r="K140" s="5" t="n">
        <f aca="false">IF(AND(H140&lt;&gt;0,IF(設定!$B$6="入金確認済のみ",C140="入金確認済",OR(C140="入金確認済",C140="受領済"))),1,0)</f>
        <v>0</v>
      </c>
      <c r="L140" s="5" t="str">
        <f aca="false">1&amp;"|"&amp;27</f>
        <v>1|27</v>
      </c>
      <c r="M140" s="5" t="n">
        <f aca="false">IF(L140=L139,M139,0)+K140</f>
        <v>0</v>
      </c>
      <c r="N140" s="5" t="n">
        <f aca="false">IF(AND(K140=1,M140=1),1,0)</f>
        <v>0</v>
      </c>
      <c r="O140" s="5" t="str">
        <f aca="false">IF(K140=1,MAX($O$5:O139)+1,"")</f>
        <v/>
      </c>
      <c r="P140" s="5" t="str">
        <f aca="false">IF(K140=1,SUM($N$6:N140),"")</f>
        <v/>
      </c>
      <c r="Q140" s="5" t="str">
        <f aca="false">IF(K140=1,SUMIFS($H$6:$H$511,$L$6:$L$511,L140,$K$6:$K$511,1),"")</f>
        <v/>
      </c>
      <c r="R140" s="78" t="str">
        <f aca="false">IF(B140="","",IF(INDEX(報告入力!$X$7:$X$696,B140)="","",INDEX(報告入力!$X$7:$X$696,B140)))</f>
        <v/>
      </c>
      <c r="S140" s="5" t="str">
        <f aca="false">設定!$C$50</f>
        <v>長期：経過的長期</v>
      </c>
    </row>
    <row r="141" customFormat="false" ht="15" hidden="false" customHeight="false" outlineLevel="0" collapsed="false">
      <c r="A141" s="5" t="str">
        <f aca="false">設定!B88</f>
        <v>みどり生きもの協会</v>
      </c>
      <c r="B141" s="5" t="n">
        <f aca="false">IFERROR(MATCH(ホーム!$C$4&amp;"|"&amp;A141,報告入力!$CG$7:$CG$696,0),"")</f>
        <v>350</v>
      </c>
      <c r="C141" s="5" t="str">
        <f aca="false">IF(B141="","",INDEX(報告入力!$C$7:$C$696,B141))</f>
        <v>未受領</v>
      </c>
      <c r="D141" s="5" t="str">
        <f aca="false">設定!$A$39</f>
        <v>長期（厚生年金保険経理）</v>
      </c>
      <c r="E141" s="5" t="str">
        <f aca="false">設定!$B$39&amp;""</f>
        <v>130</v>
      </c>
      <c r="F141" s="5" t="str">
        <f aca="false">設定!$D$46&amp;""</f>
        <v>6102102000</v>
      </c>
      <c r="G141" s="5" t="str">
        <f aca="false">設定!$E$46&amp;""</f>
        <v>標月額保険料</v>
      </c>
      <c r="H141" s="5" t="n">
        <f aca="false">IF(B141="",0,N(INDEX(報告入力!$AU$7:$AU$696,B141)))</f>
        <v>0</v>
      </c>
      <c r="I141" s="5" t="str">
        <f aca="false">設定!$C$39&amp;""</f>
        <v>1104001001</v>
      </c>
      <c r="J141" s="5" t="str">
        <f aca="false">設定!$D$39&amp;""</f>
        <v>普広銀市役所</v>
      </c>
      <c r="K141" s="5" t="n">
        <f aca="false">IF(AND(H141&lt;&gt;0,IF(設定!$B$6="入金確認済のみ",C141="入金確認済",OR(C141="入金確認済",C141="受領済"))),1,0)</f>
        <v>0</v>
      </c>
      <c r="L141" s="5" t="str">
        <f aca="false">1&amp;"|"&amp;28</f>
        <v>1|28</v>
      </c>
      <c r="M141" s="5" t="n">
        <f aca="false">IF(L141=L140,M140,0)+K141</f>
        <v>0</v>
      </c>
      <c r="N141" s="5" t="n">
        <f aca="false">IF(AND(K141=1,M141=1),1,0)</f>
        <v>0</v>
      </c>
      <c r="O141" s="5" t="str">
        <f aca="false">IF(K141=1,MAX($O$5:O140)+1,"")</f>
        <v/>
      </c>
      <c r="P141" s="5" t="str">
        <f aca="false">IF(K141=1,SUM($N$6:N141),"")</f>
        <v/>
      </c>
      <c r="Q141" s="5" t="str">
        <f aca="false">IF(K141=1,SUMIFS($H$6:$H$511,$L$6:$L$511,L141,$K$6:$K$511,1),"")</f>
        <v/>
      </c>
      <c r="R141" s="78" t="str">
        <f aca="false">IF(B141="","",IF(INDEX(報告入力!$X$7:$X$696,B141)="","",INDEX(報告入力!$X$7:$X$696,B141)))</f>
        <v/>
      </c>
      <c r="S141" s="5" t="str">
        <f aca="false">設定!$C$46</f>
        <v>長期：厚生年金保険料（組合員負担分）</v>
      </c>
    </row>
    <row r="142" customFormat="false" ht="15" hidden="false" customHeight="false" outlineLevel="0" collapsed="false">
      <c r="A142" s="5" t="str">
        <f aca="false">設定!B88</f>
        <v>みどり生きもの協会</v>
      </c>
      <c r="B142" s="5" t="n">
        <f aca="false">IFERROR(MATCH(ホーム!$C$4&amp;"|"&amp;A142,報告入力!$CG$7:$CG$696,0),"")</f>
        <v>350</v>
      </c>
      <c r="C142" s="5" t="str">
        <f aca="false">IF(B142="","",INDEX(報告入力!$C$7:$C$696,B142))</f>
        <v>未受領</v>
      </c>
      <c r="D142" s="5" t="str">
        <f aca="false">設定!$A$39</f>
        <v>長期（厚生年金保険経理）</v>
      </c>
      <c r="E142" s="5" t="str">
        <f aca="false">設定!$B$39&amp;""</f>
        <v>130</v>
      </c>
      <c r="F142" s="5" t="str">
        <f aca="false">設定!$D$47&amp;""</f>
        <v>2109001014</v>
      </c>
      <c r="G142" s="5" t="str">
        <f aca="false">設定!$E$47&amp;""</f>
        <v>退職標報掛金</v>
      </c>
      <c r="H142" s="5" t="n">
        <f aca="false">IF(B142="",0,N(INDEX(報告入力!$AV$7:$AV$696,B142)))</f>
        <v>0</v>
      </c>
      <c r="I142" s="5" t="str">
        <f aca="false">設定!$C$39&amp;""</f>
        <v>1104001001</v>
      </c>
      <c r="J142" s="5" t="str">
        <f aca="false">設定!$D$39&amp;""</f>
        <v>普広銀市役所</v>
      </c>
      <c r="K142" s="5" t="n">
        <f aca="false">IF(AND(H142&lt;&gt;0,IF(設定!$B$6="入金確認済のみ",C142="入金確認済",OR(C142="入金確認済",C142="受領済"))),1,0)</f>
        <v>0</v>
      </c>
      <c r="L142" s="5" t="str">
        <f aca="false">1&amp;"|"&amp;28</f>
        <v>1|28</v>
      </c>
      <c r="M142" s="5" t="n">
        <f aca="false">IF(L142=L141,M141,0)+K142</f>
        <v>0</v>
      </c>
      <c r="N142" s="5" t="n">
        <f aca="false">IF(AND(K142=1,M142=1),1,0)</f>
        <v>0</v>
      </c>
      <c r="O142" s="5" t="str">
        <f aca="false">IF(K142=1,MAX($O$5:O141)+1,"")</f>
        <v/>
      </c>
      <c r="P142" s="5" t="str">
        <f aca="false">IF(K142=1,SUM($N$6:N142),"")</f>
        <v/>
      </c>
      <c r="Q142" s="5" t="str">
        <f aca="false">IF(K142=1,SUMIFS($H$6:$H$511,$L$6:$L$511,L142,$K$6:$K$511,1),"")</f>
        <v/>
      </c>
      <c r="R142" s="78" t="str">
        <f aca="false">IF(B142="","",IF(INDEX(報告入力!$X$7:$X$696,B142)="","",INDEX(報告入力!$X$7:$X$696,B142)))</f>
        <v/>
      </c>
      <c r="S142" s="5" t="str">
        <f aca="false">設定!$C$47</f>
        <v>長期：退職等年金掛金</v>
      </c>
    </row>
    <row r="143" customFormat="false" ht="15" hidden="false" customHeight="false" outlineLevel="0" collapsed="false">
      <c r="A143" s="5" t="str">
        <f aca="false">設定!B88</f>
        <v>みどり生きもの協会</v>
      </c>
      <c r="B143" s="5" t="n">
        <f aca="false">IFERROR(MATCH(ホーム!$C$4&amp;"|"&amp;A143,報告入力!$CG$7:$CG$696,0),"")</f>
        <v>350</v>
      </c>
      <c r="C143" s="5" t="str">
        <f aca="false">IF(B143="","",INDEX(報告入力!$C$7:$C$696,B143))</f>
        <v>未受領</v>
      </c>
      <c r="D143" s="5" t="str">
        <f aca="false">設定!$A$39</f>
        <v>長期（厚生年金保険経理）</v>
      </c>
      <c r="E143" s="5" t="str">
        <f aca="false">設定!$B$39&amp;""</f>
        <v>130</v>
      </c>
      <c r="F143" s="5" t="str">
        <f aca="false">設定!$D$48&amp;""</f>
        <v>6101002000</v>
      </c>
      <c r="G143" s="5" t="str">
        <f aca="false">設定!$E$48&amp;""</f>
        <v>負担地方公共</v>
      </c>
      <c r="H143" s="5" t="n">
        <f aca="false">IF(B143="",0,N(INDEX(報告入力!$AW$7:$AW$696,B143)))</f>
        <v>394365</v>
      </c>
      <c r="I143" s="5" t="str">
        <f aca="false">設定!$C$39&amp;""</f>
        <v>1104001001</v>
      </c>
      <c r="J143" s="5" t="str">
        <f aca="false">設定!$D$39&amp;""</f>
        <v>普広銀市役所</v>
      </c>
      <c r="K143" s="5" t="n">
        <f aca="false">IF(AND(H143&lt;&gt;0,IF(設定!$B$6="入金確認済のみ",C143="入金確認済",OR(C143="入金確認済",C143="受領済"))),1,0)</f>
        <v>0</v>
      </c>
      <c r="L143" s="5" t="str">
        <f aca="false">1&amp;"|"&amp;28</f>
        <v>1|28</v>
      </c>
      <c r="M143" s="5" t="n">
        <f aca="false">IF(L143=L142,M142,0)+K143</f>
        <v>0</v>
      </c>
      <c r="N143" s="5" t="n">
        <f aca="false">IF(AND(K143=1,M143=1),1,0)</f>
        <v>0</v>
      </c>
      <c r="O143" s="5" t="str">
        <f aca="false">IF(K143=1,MAX($O$5:O142)+1,"")</f>
        <v/>
      </c>
      <c r="P143" s="5" t="str">
        <f aca="false">IF(K143=1,SUM($N$6:N143),"")</f>
        <v/>
      </c>
      <c r="Q143" s="5" t="str">
        <f aca="false">IF(K143=1,SUMIFS($H$6:$H$511,$L$6:$L$511,L143,$K$6:$K$511,1),"")</f>
        <v/>
      </c>
      <c r="R143" s="78" t="str">
        <f aca="false">IF(B143="","",IF(INDEX(報告入力!$X$7:$X$696,B143)="","",INDEX(報告入力!$X$7:$X$696,B143)))</f>
        <v/>
      </c>
      <c r="S143" s="5" t="str">
        <f aca="false">設定!$C$48</f>
        <v>長期：厚生年金保険料（事業主負担分）</v>
      </c>
    </row>
    <row r="144" customFormat="false" ht="15" hidden="false" customHeight="false" outlineLevel="0" collapsed="false">
      <c r="A144" s="5" t="str">
        <f aca="false">設定!B88</f>
        <v>みどり生きもの協会</v>
      </c>
      <c r="B144" s="5" t="n">
        <f aca="false">IFERROR(MATCH(ホーム!$C$4&amp;"|"&amp;A144,報告入力!$CG$7:$CG$696,0),"")</f>
        <v>350</v>
      </c>
      <c r="C144" s="5" t="str">
        <f aca="false">IF(B144="","",INDEX(報告入力!$C$7:$C$696,B144))</f>
        <v>未受領</v>
      </c>
      <c r="D144" s="5" t="str">
        <f aca="false">設定!$A$39</f>
        <v>長期（厚生年金保険経理）</v>
      </c>
      <c r="E144" s="5" t="str">
        <f aca="false">設定!$B$39&amp;""</f>
        <v>130</v>
      </c>
      <c r="F144" s="5" t="str">
        <f aca="false">設定!$D$49&amp;""</f>
        <v>2109001015</v>
      </c>
      <c r="G144" s="5" t="str">
        <f aca="false">設定!$E$49&amp;""</f>
        <v>退職負担地方</v>
      </c>
      <c r="H144" s="5" t="n">
        <f aca="false">IF(B144="",0,N(INDEX(報告入力!$AX$7:$AX$696,B144)))</f>
        <v>32325</v>
      </c>
      <c r="I144" s="5" t="str">
        <f aca="false">設定!$C$39&amp;""</f>
        <v>1104001001</v>
      </c>
      <c r="J144" s="5" t="str">
        <f aca="false">設定!$D$39&amp;""</f>
        <v>普広銀市役所</v>
      </c>
      <c r="K144" s="5" t="n">
        <f aca="false">IF(AND(H144&lt;&gt;0,IF(設定!$B$6="入金確認済のみ",C144="入金確認済",OR(C144="入金確認済",C144="受領済"))),1,0)</f>
        <v>0</v>
      </c>
      <c r="L144" s="5" t="str">
        <f aca="false">1&amp;"|"&amp;28</f>
        <v>1|28</v>
      </c>
      <c r="M144" s="5" t="n">
        <f aca="false">IF(L144=L143,M143,0)+K144</f>
        <v>0</v>
      </c>
      <c r="N144" s="5" t="n">
        <f aca="false">IF(AND(K144=1,M144=1),1,0)</f>
        <v>0</v>
      </c>
      <c r="O144" s="5" t="str">
        <f aca="false">IF(K144=1,MAX($O$5:O143)+1,"")</f>
        <v/>
      </c>
      <c r="P144" s="5" t="str">
        <f aca="false">IF(K144=1,SUM($N$6:N144),"")</f>
        <v/>
      </c>
      <c r="Q144" s="5" t="str">
        <f aca="false">IF(K144=1,SUMIFS($H$6:$H$511,$L$6:$L$511,L144,$K$6:$K$511,1),"")</f>
        <v/>
      </c>
      <c r="R144" s="78" t="str">
        <f aca="false">IF(B144="","",IF(INDEX(報告入力!$X$7:$X$696,B144)="","",INDEX(報告入力!$X$7:$X$696,B144)))</f>
        <v/>
      </c>
      <c r="S144" s="5" t="str">
        <f aca="false">設定!$C$49</f>
        <v>長期：退職等年金負担金</v>
      </c>
    </row>
    <row r="145" customFormat="false" ht="15" hidden="false" customHeight="false" outlineLevel="0" collapsed="false">
      <c r="A145" s="5" t="str">
        <f aca="false">設定!B88</f>
        <v>みどり生きもの協会</v>
      </c>
      <c r="B145" s="5" t="n">
        <f aca="false">IFERROR(MATCH(ホーム!$C$4&amp;"|"&amp;A145,報告入力!$CG$7:$CG$696,0),"")</f>
        <v>350</v>
      </c>
      <c r="C145" s="5" t="str">
        <f aca="false">IF(B145="","",INDEX(報告入力!$C$7:$C$696,B145))</f>
        <v>未受領</v>
      </c>
      <c r="D145" s="5" t="str">
        <f aca="false">設定!$A$39</f>
        <v>長期（厚生年金保険経理）</v>
      </c>
      <c r="E145" s="5" t="str">
        <f aca="false">設定!$B$39&amp;""</f>
        <v>130</v>
      </c>
      <c r="F145" s="5" t="str">
        <f aca="false">設定!$D$50&amp;""</f>
        <v>2109001017</v>
      </c>
      <c r="G145" s="5" t="str">
        <f aca="false">設定!$E$50&amp;""</f>
        <v>経過的負担金</v>
      </c>
      <c r="H145" s="5" t="n">
        <f aca="false">IF(B145="",0,N(INDEX(報告入力!$AY$7:$AY$696,B145)))</f>
        <v>403</v>
      </c>
      <c r="I145" s="5" t="str">
        <f aca="false">設定!$C$39&amp;""</f>
        <v>1104001001</v>
      </c>
      <c r="J145" s="5" t="str">
        <f aca="false">設定!$D$39&amp;""</f>
        <v>普広銀市役所</v>
      </c>
      <c r="K145" s="5" t="n">
        <f aca="false">IF(AND(H145&lt;&gt;0,IF(設定!$B$6="入金確認済のみ",C145="入金確認済",OR(C145="入金確認済",C145="受領済"))),1,0)</f>
        <v>0</v>
      </c>
      <c r="L145" s="5" t="str">
        <f aca="false">1&amp;"|"&amp;28</f>
        <v>1|28</v>
      </c>
      <c r="M145" s="5" t="n">
        <f aca="false">IF(L145=L144,M144,0)+K145</f>
        <v>0</v>
      </c>
      <c r="N145" s="5" t="n">
        <f aca="false">IF(AND(K145=1,M145=1),1,0)</f>
        <v>0</v>
      </c>
      <c r="O145" s="5" t="str">
        <f aca="false">IF(K145=1,MAX($O$5:O144)+1,"")</f>
        <v/>
      </c>
      <c r="P145" s="5" t="str">
        <f aca="false">IF(K145=1,SUM($N$6:N145),"")</f>
        <v/>
      </c>
      <c r="Q145" s="5" t="str">
        <f aca="false">IF(K145=1,SUMIFS($H$6:$H$511,$L$6:$L$511,L145,$K$6:$K$511,1),"")</f>
        <v/>
      </c>
      <c r="R145" s="78" t="str">
        <f aca="false">IF(B145="","",IF(INDEX(報告入力!$X$7:$X$696,B145)="","",INDEX(報告入力!$X$7:$X$696,B145)))</f>
        <v/>
      </c>
      <c r="S145" s="5" t="str">
        <f aca="false">設定!$C$50</f>
        <v>長期：経過的長期</v>
      </c>
    </row>
    <row r="146" customFormat="false" ht="15" hidden="false" customHeight="false" outlineLevel="0" collapsed="false">
      <c r="A146" s="5" t="str">
        <f aca="false">設定!B89</f>
        <v>県下水道公社</v>
      </c>
      <c r="B146" s="5" t="n">
        <f aca="false">IFERROR(MATCH(ホーム!$C$4&amp;"|"&amp;A146,報告入力!$CG$7:$CG$696,0),"")</f>
        <v>351</v>
      </c>
      <c r="C146" s="5" t="str">
        <f aca="false">IF(B146="","",INDEX(報告入力!$C$7:$C$696,B146))</f>
        <v>未受領</v>
      </c>
      <c r="D146" s="5" t="str">
        <f aca="false">設定!$A$39</f>
        <v>長期（厚生年金保険経理）</v>
      </c>
      <c r="E146" s="5" t="str">
        <f aca="false">設定!$B$39&amp;""</f>
        <v>130</v>
      </c>
      <c r="F146" s="5" t="str">
        <f aca="false">設定!$D$46&amp;""</f>
        <v>6102102000</v>
      </c>
      <c r="G146" s="5" t="str">
        <f aca="false">設定!$E$46&amp;""</f>
        <v>標月額保険料</v>
      </c>
      <c r="H146" s="5" t="n">
        <f aca="false">IF(B146="",0,N(INDEX(報告入力!$AU$7:$AU$696,B146)))</f>
        <v>137250</v>
      </c>
      <c r="I146" s="5" t="str">
        <f aca="false">設定!$C$39&amp;""</f>
        <v>1104001001</v>
      </c>
      <c r="J146" s="5" t="str">
        <f aca="false">設定!$D$39&amp;""</f>
        <v>普広銀市役所</v>
      </c>
      <c r="K146" s="5" t="n">
        <f aca="false">IF(AND(H146&lt;&gt;0,IF(設定!$B$6="入金確認済のみ",C146="入金確認済",OR(C146="入金確認済",C146="受領済"))),1,0)</f>
        <v>0</v>
      </c>
      <c r="L146" s="5" t="str">
        <f aca="false">1&amp;"|"&amp;29</f>
        <v>1|29</v>
      </c>
      <c r="M146" s="5" t="n">
        <f aca="false">IF(L146=L145,M145,0)+K146</f>
        <v>0</v>
      </c>
      <c r="N146" s="5" t="n">
        <f aca="false">IF(AND(K146=1,M146=1),1,0)</f>
        <v>0</v>
      </c>
      <c r="O146" s="5" t="str">
        <f aca="false">IF(K146=1,MAX($O$5:O145)+1,"")</f>
        <v/>
      </c>
      <c r="P146" s="5" t="str">
        <f aca="false">IF(K146=1,SUM($N$6:N146),"")</f>
        <v/>
      </c>
      <c r="Q146" s="5" t="str">
        <f aca="false">IF(K146=1,SUMIFS($H$6:$H$511,$L$6:$L$511,L146,$K$6:$K$511,1),"")</f>
        <v/>
      </c>
      <c r="R146" s="78" t="str">
        <f aca="false">IF(B146="","",IF(INDEX(報告入力!$X$7:$X$696,B146)="","",INDEX(報告入力!$X$7:$X$696,B146)))</f>
        <v/>
      </c>
      <c r="S146" s="5" t="str">
        <f aca="false">設定!$C$46</f>
        <v>長期：厚生年金保険料（組合員負担分）</v>
      </c>
    </row>
    <row r="147" customFormat="false" ht="15" hidden="false" customHeight="false" outlineLevel="0" collapsed="false">
      <c r="A147" s="5" t="str">
        <f aca="false">設定!B89</f>
        <v>県下水道公社</v>
      </c>
      <c r="B147" s="5" t="n">
        <f aca="false">IFERROR(MATCH(ホーム!$C$4&amp;"|"&amp;A147,報告入力!$CG$7:$CG$696,0),"")</f>
        <v>351</v>
      </c>
      <c r="C147" s="5" t="str">
        <f aca="false">IF(B147="","",INDEX(報告入力!$C$7:$C$696,B147))</f>
        <v>未受領</v>
      </c>
      <c r="D147" s="5" t="str">
        <f aca="false">設定!$A$39</f>
        <v>長期（厚生年金保険経理）</v>
      </c>
      <c r="E147" s="5" t="str">
        <f aca="false">設定!$B$39&amp;""</f>
        <v>130</v>
      </c>
      <c r="F147" s="5" t="str">
        <f aca="false">設定!$D$47&amp;""</f>
        <v>2109001014</v>
      </c>
      <c r="G147" s="5" t="str">
        <f aca="false">設定!$E$47&amp;""</f>
        <v>退職標報掛金</v>
      </c>
      <c r="H147" s="5" t="n">
        <f aca="false">IF(B147="",0,N(INDEX(報告入力!$AV$7:$AV$696,B147)))</f>
        <v>11250</v>
      </c>
      <c r="I147" s="5" t="str">
        <f aca="false">設定!$C$39&amp;""</f>
        <v>1104001001</v>
      </c>
      <c r="J147" s="5" t="str">
        <f aca="false">設定!$D$39&amp;""</f>
        <v>普広銀市役所</v>
      </c>
      <c r="K147" s="5" t="n">
        <f aca="false">IF(AND(H147&lt;&gt;0,IF(設定!$B$6="入金確認済のみ",C147="入金確認済",OR(C147="入金確認済",C147="受領済"))),1,0)</f>
        <v>0</v>
      </c>
      <c r="L147" s="5" t="str">
        <f aca="false">1&amp;"|"&amp;29</f>
        <v>1|29</v>
      </c>
      <c r="M147" s="5" t="n">
        <f aca="false">IF(L147=L146,M146,0)+K147</f>
        <v>0</v>
      </c>
      <c r="N147" s="5" t="n">
        <f aca="false">IF(AND(K147=1,M147=1),1,0)</f>
        <v>0</v>
      </c>
      <c r="O147" s="5" t="str">
        <f aca="false">IF(K147=1,MAX($O$5:O146)+1,"")</f>
        <v/>
      </c>
      <c r="P147" s="5" t="str">
        <f aca="false">IF(K147=1,SUM($N$6:N147),"")</f>
        <v/>
      </c>
      <c r="Q147" s="5" t="str">
        <f aca="false">IF(K147=1,SUMIFS($H$6:$H$511,$L$6:$L$511,L147,$K$6:$K$511,1),"")</f>
        <v/>
      </c>
      <c r="R147" s="78" t="str">
        <f aca="false">IF(B147="","",IF(INDEX(報告入力!$X$7:$X$696,B147)="","",INDEX(報告入力!$X$7:$X$696,B147)))</f>
        <v/>
      </c>
      <c r="S147" s="5" t="str">
        <f aca="false">設定!$C$47</f>
        <v>長期：退職等年金掛金</v>
      </c>
    </row>
    <row r="148" customFormat="false" ht="15" hidden="false" customHeight="false" outlineLevel="0" collapsed="false">
      <c r="A148" s="5" t="str">
        <f aca="false">設定!B89</f>
        <v>県下水道公社</v>
      </c>
      <c r="B148" s="5" t="n">
        <f aca="false">IFERROR(MATCH(ホーム!$C$4&amp;"|"&amp;A148,報告入力!$CG$7:$CG$696,0),"")</f>
        <v>351</v>
      </c>
      <c r="C148" s="5" t="str">
        <f aca="false">IF(B148="","",INDEX(報告入力!$C$7:$C$696,B148))</f>
        <v>未受領</v>
      </c>
      <c r="D148" s="5" t="str">
        <f aca="false">設定!$A$39</f>
        <v>長期（厚生年金保険経理）</v>
      </c>
      <c r="E148" s="5" t="str">
        <f aca="false">設定!$B$39&amp;""</f>
        <v>130</v>
      </c>
      <c r="F148" s="5" t="str">
        <f aca="false">設定!$D$48&amp;""</f>
        <v>6101002000</v>
      </c>
      <c r="G148" s="5" t="str">
        <f aca="false">設定!$E$48&amp;""</f>
        <v>負担地方公共</v>
      </c>
      <c r="H148" s="5" t="n">
        <f aca="false">IF(B148="",0,N(INDEX(報告入力!$AW$7:$AW$696,B148)))</f>
        <v>137250</v>
      </c>
      <c r="I148" s="5" t="str">
        <f aca="false">設定!$C$39&amp;""</f>
        <v>1104001001</v>
      </c>
      <c r="J148" s="5" t="str">
        <f aca="false">設定!$D$39&amp;""</f>
        <v>普広銀市役所</v>
      </c>
      <c r="K148" s="5" t="n">
        <f aca="false">IF(AND(H148&lt;&gt;0,IF(設定!$B$6="入金確認済のみ",C148="入金確認済",OR(C148="入金確認済",C148="受領済"))),1,0)</f>
        <v>0</v>
      </c>
      <c r="L148" s="5" t="str">
        <f aca="false">1&amp;"|"&amp;29</f>
        <v>1|29</v>
      </c>
      <c r="M148" s="5" t="n">
        <f aca="false">IF(L148=L147,M147,0)+K148</f>
        <v>0</v>
      </c>
      <c r="N148" s="5" t="n">
        <f aca="false">IF(AND(K148=1,M148=1),1,0)</f>
        <v>0</v>
      </c>
      <c r="O148" s="5" t="str">
        <f aca="false">IF(K148=1,MAX($O$5:O147)+1,"")</f>
        <v/>
      </c>
      <c r="P148" s="5" t="str">
        <f aca="false">IF(K148=1,SUM($N$6:N148),"")</f>
        <v/>
      </c>
      <c r="Q148" s="5" t="str">
        <f aca="false">IF(K148=1,SUMIFS($H$6:$H$511,$L$6:$L$511,L148,$K$6:$K$511,1),"")</f>
        <v/>
      </c>
      <c r="R148" s="78" t="str">
        <f aca="false">IF(B148="","",IF(INDEX(報告入力!$X$7:$X$696,B148)="","",INDEX(報告入力!$X$7:$X$696,B148)))</f>
        <v/>
      </c>
      <c r="S148" s="5" t="str">
        <f aca="false">設定!$C$48</f>
        <v>長期：厚生年金保険料（事業主負担分）</v>
      </c>
    </row>
    <row r="149" customFormat="false" ht="15" hidden="false" customHeight="false" outlineLevel="0" collapsed="false">
      <c r="A149" s="5" t="str">
        <f aca="false">設定!B89</f>
        <v>県下水道公社</v>
      </c>
      <c r="B149" s="5" t="n">
        <f aca="false">IFERROR(MATCH(ホーム!$C$4&amp;"|"&amp;A149,報告入力!$CG$7:$CG$696,0),"")</f>
        <v>351</v>
      </c>
      <c r="C149" s="5" t="str">
        <f aca="false">IF(B149="","",INDEX(報告入力!$C$7:$C$696,B149))</f>
        <v>未受領</v>
      </c>
      <c r="D149" s="5" t="str">
        <f aca="false">設定!$A$39</f>
        <v>長期（厚生年金保険経理）</v>
      </c>
      <c r="E149" s="5" t="str">
        <f aca="false">設定!$B$39&amp;""</f>
        <v>130</v>
      </c>
      <c r="F149" s="5" t="str">
        <f aca="false">設定!$D$49&amp;""</f>
        <v>2109001015</v>
      </c>
      <c r="G149" s="5" t="str">
        <f aca="false">設定!$E$49&amp;""</f>
        <v>退職負担地方</v>
      </c>
      <c r="H149" s="5" t="n">
        <f aca="false">IF(B149="",0,N(INDEX(報告入力!$AX$7:$AX$696,B149)))</f>
        <v>11250</v>
      </c>
      <c r="I149" s="5" t="str">
        <f aca="false">設定!$C$39&amp;""</f>
        <v>1104001001</v>
      </c>
      <c r="J149" s="5" t="str">
        <f aca="false">設定!$D$39&amp;""</f>
        <v>普広銀市役所</v>
      </c>
      <c r="K149" s="5" t="n">
        <f aca="false">IF(AND(H149&lt;&gt;0,IF(設定!$B$6="入金確認済のみ",C149="入金確認済",OR(C149="入金確認済",C149="受領済"))),1,0)</f>
        <v>0</v>
      </c>
      <c r="L149" s="5" t="str">
        <f aca="false">1&amp;"|"&amp;29</f>
        <v>1|29</v>
      </c>
      <c r="M149" s="5" t="n">
        <f aca="false">IF(L149=L148,M148,0)+K149</f>
        <v>0</v>
      </c>
      <c r="N149" s="5" t="n">
        <f aca="false">IF(AND(K149=1,M149=1),1,0)</f>
        <v>0</v>
      </c>
      <c r="O149" s="5" t="str">
        <f aca="false">IF(K149=1,MAX($O$5:O148)+1,"")</f>
        <v/>
      </c>
      <c r="P149" s="5" t="str">
        <f aca="false">IF(K149=1,SUM($N$6:N149),"")</f>
        <v/>
      </c>
      <c r="Q149" s="5" t="str">
        <f aca="false">IF(K149=1,SUMIFS($H$6:$H$511,$L$6:$L$511,L149,$K$6:$K$511,1),"")</f>
        <v/>
      </c>
      <c r="R149" s="78" t="str">
        <f aca="false">IF(B149="","",IF(INDEX(報告入力!$X$7:$X$696,B149)="","",INDEX(報告入力!$X$7:$X$696,B149)))</f>
        <v/>
      </c>
      <c r="S149" s="5" t="str">
        <f aca="false">設定!$C$49</f>
        <v>長期：退職等年金負担金</v>
      </c>
    </row>
    <row r="150" customFormat="false" ht="15" hidden="false" customHeight="false" outlineLevel="0" collapsed="false">
      <c r="A150" s="5" t="str">
        <f aca="false">設定!B89</f>
        <v>県下水道公社</v>
      </c>
      <c r="B150" s="5" t="n">
        <f aca="false">IFERROR(MATCH(ホーム!$C$4&amp;"|"&amp;A150,報告入力!$CG$7:$CG$696,0),"")</f>
        <v>351</v>
      </c>
      <c r="C150" s="5" t="str">
        <f aca="false">IF(B150="","",INDEX(報告入力!$C$7:$C$696,B150))</f>
        <v>未受領</v>
      </c>
      <c r="D150" s="5" t="str">
        <f aca="false">設定!$A$39</f>
        <v>長期（厚生年金保険経理）</v>
      </c>
      <c r="E150" s="5" t="str">
        <f aca="false">設定!$B$39&amp;""</f>
        <v>130</v>
      </c>
      <c r="F150" s="5" t="str">
        <f aca="false">設定!$D$50&amp;""</f>
        <v>2109001017</v>
      </c>
      <c r="G150" s="5" t="str">
        <f aca="false">設定!$E$50&amp;""</f>
        <v>経過的負担金</v>
      </c>
      <c r="H150" s="5" t="n">
        <f aca="false">IF(B150="",0,N(INDEX(報告入力!$AY$7:$AY$696,B150)))</f>
        <v>140</v>
      </c>
      <c r="I150" s="5" t="str">
        <f aca="false">設定!$C$39&amp;""</f>
        <v>1104001001</v>
      </c>
      <c r="J150" s="5" t="str">
        <f aca="false">設定!$D$39&amp;""</f>
        <v>普広銀市役所</v>
      </c>
      <c r="K150" s="5" t="n">
        <f aca="false">IF(AND(H150&lt;&gt;0,IF(設定!$B$6="入金確認済のみ",C150="入金確認済",OR(C150="入金確認済",C150="受領済"))),1,0)</f>
        <v>0</v>
      </c>
      <c r="L150" s="5" t="str">
        <f aca="false">1&amp;"|"&amp;29</f>
        <v>1|29</v>
      </c>
      <c r="M150" s="5" t="n">
        <f aca="false">IF(L150=L149,M149,0)+K150</f>
        <v>0</v>
      </c>
      <c r="N150" s="5" t="n">
        <f aca="false">IF(AND(K150=1,M150=1),1,0)</f>
        <v>0</v>
      </c>
      <c r="O150" s="5" t="str">
        <f aca="false">IF(K150=1,MAX($O$5:O149)+1,"")</f>
        <v/>
      </c>
      <c r="P150" s="5" t="str">
        <f aca="false">IF(K150=1,SUM($N$6:N150),"")</f>
        <v/>
      </c>
      <c r="Q150" s="5" t="str">
        <f aca="false">IF(K150=1,SUMIFS($H$6:$H$511,$L$6:$L$511,L150,$K$6:$K$511,1),"")</f>
        <v/>
      </c>
      <c r="R150" s="78" t="str">
        <f aca="false">IF(B150="","",IF(INDEX(報告入力!$X$7:$X$696,B150)="","",INDEX(報告入力!$X$7:$X$696,B150)))</f>
        <v/>
      </c>
      <c r="S150" s="5" t="str">
        <f aca="false">設定!$C$50</f>
        <v>長期：経過的長期</v>
      </c>
    </row>
    <row r="151" customFormat="false" ht="25.35" hidden="false" customHeight="false" outlineLevel="0" collapsed="false">
      <c r="A151" s="79" t="str">
        <f aca="false">設定!B90</f>
        <v>バス協調・共創
プラットフォーム</v>
      </c>
      <c r="B151" s="5" t="n">
        <f aca="false">IFERROR(MATCH(ホーム!$C$4&amp;"|"&amp;A151,報告入力!$CG$7:$CG$696,0),"")</f>
        <v>352</v>
      </c>
      <c r="C151" s="5" t="str">
        <f aca="false">IF(B151="","",INDEX(報告入力!$C$7:$C$696,B151))</f>
        <v>未受領</v>
      </c>
      <c r="D151" s="5" t="str">
        <f aca="false">設定!$A$39</f>
        <v>長期（厚生年金保険経理）</v>
      </c>
      <c r="E151" s="5" t="str">
        <f aca="false">設定!$B$39&amp;""</f>
        <v>130</v>
      </c>
      <c r="F151" s="5" t="str">
        <f aca="false">設定!$D$46&amp;""</f>
        <v>6102102000</v>
      </c>
      <c r="G151" s="5" t="str">
        <f aca="false">設定!$E$46&amp;""</f>
        <v>標月額保険料</v>
      </c>
      <c r="H151" s="5" t="n">
        <f aca="false">IF(B151="",0,N(INDEX(報告入力!$AU$7:$AU$696,B151)))</f>
        <v>0</v>
      </c>
      <c r="I151" s="5" t="str">
        <f aca="false">設定!$C$39&amp;""</f>
        <v>1104001001</v>
      </c>
      <c r="J151" s="5" t="str">
        <f aca="false">設定!$D$39&amp;""</f>
        <v>普広銀市役所</v>
      </c>
      <c r="K151" s="5" t="n">
        <f aca="false">IF(AND(H151&lt;&gt;0,IF(設定!$B$6="入金確認済のみ",C151="入金確認済",OR(C151="入金確認済",C151="受領済"))),1,0)</f>
        <v>0</v>
      </c>
      <c r="L151" s="5" t="str">
        <f aca="false">1&amp;"|"&amp;30</f>
        <v>1|30</v>
      </c>
      <c r="M151" s="5" t="n">
        <f aca="false">IF(L151=L150,M150,0)+K151</f>
        <v>0</v>
      </c>
      <c r="N151" s="5" t="n">
        <f aca="false">IF(AND(K151=1,M151=1),1,0)</f>
        <v>0</v>
      </c>
      <c r="O151" s="5" t="str">
        <f aca="false">IF(K151=1,MAX($O$5:O150)+1,"")</f>
        <v/>
      </c>
      <c r="P151" s="5" t="str">
        <f aca="false">IF(K151=1,SUM($N$6:N151),"")</f>
        <v/>
      </c>
      <c r="Q151" s="5" t="str">
        <f aca="false">IF(K151=1,SUMIFS($H$6:$H$511,$L$6:$L$511,L151,$K$6:$K$511,1),"")</f>
        <v/>
      </c>
      <c r="R151" s="78" t="str">
        <f aca="false">IF(B151="","",IF(INDEX(報告入力!$X$7:$X$696,B151)="","",INDEX(報告入力!$X$7:$X$696,B151)))</f>
        <v/>
      </c>
      <c r="S151" s="5" t="str">
        <f aca="false">設定!$C$46</f>
        <v>長期：厚生年金保険料（組合員負担分）</v>
      </c>
    </row>
    <row r="152" customFormat="false" ht="25.35" hidden="false" customHeight="false" outlineLevel="0" collapsed="false">
      <c r="A152" s="79" t="str">
        <f aca="false">設定!B90</f>
        <v>バス協調・共創
プラットフォーム</v>
      </c>
      <c r="B152" s="5" t="n">
        <f aca="false">IFERROR(MATCH(ホーム!$C$4&amp;"|"&amp;A152,報告入力!$CG$7:$CG$696,0),"")</f>
        <v>352</v>
      </c>
      <c r="C152" s="5" t="str">
        <f aca="false">IF(B152="","",INDEX(報告入力!$C$7:$C$696,B152))</f>
        <v>未受領</v>
      </c>
      <c r="D152" s="5" t="str">
        <f aca="false">設定!$A$39</f>
        <v>長期（厚生年金保険経理）</v>
      </c>
      <c r="E152" s="5" t="str">
        <f aca="false">設定!$B$39&amp;""</f>
        <v>130</v>
      </c>
      <c r="F152" s="5" t="str">
        <f aca="false">設定!$D$47&amp;""</f>
        <v>2109001014</v>
      </c>
      <c r="G152" s="5" t="str">
        <f aca="false">設定!$E$47&amp;""</f>
        <v>退職標報掛金</v>
      </c>
      <c r="H152" s="5" t="n">
        <f aca="false">IF(B152="",0,N(INDEX(報告入力!$AV$7:$AV$696,B152)))</f>
        <v>0</v>
      </c>
      <c r="I152" s="5" t="str">
        <f aca="false">設定!$C$39&amp;""</f>
        <v>1104001001</v>
      </c>
      <c r="J152" s="5" t="str">
        <f aca="false">設定!$D$39&amp;""</f>
        <v>普広銀市役所</v>
      </c>
      <c r="K152" s="5" t="n">
        <f aca="false">IF(AND(H152&lt;&gt;0,IF(設定!$B$6="入金確認済のみ",C152="入金確認済",OR(C152="入金確認済",C152="受領済"))),1,0)</f>
        <v>0</v>
      </c>
      <c r="L152" s="5" t="str">
        <f aca="false">1&amp;"|"&amp;30</f>
        <v>1|30</v>
      </c>
      <c r="M152" s="5" t="n">
        <f aca="false">IF(L152=L151,M151,0)+K152</f>
        <v>0</v>
      </c>
      <c r="N152" s="5" t="n">
        <f aca="false">IF(AND(K152=1,M152=1),1,0)</f>
        <v>0</v>
      </c>
      <c r="O152" s="5" t="str">
        <f aca="false">IF(K152=1,MAX($O$5:O151)+1,"")</f>
        <v/>
      </c>
      <c r="P152" s="5" t="str">
        <f aca="false">IF(K152=1,SUM($N$6:N152),"")</f>
        <v/>
      </c>
      <c r="Q152" s="5" t="str">
        <f aca="false">IF(K152=1,SUMIFS($H$6:$H$511,$L$6:$L$511,L152,$K$6:$K$511,1),"")</f>
        <v/>
      </c>
      <c r="R152" s="78" t="str">
        <f aca="false">IF(B152="","",IF(INDEX(報告入力!$X$7:$X$696,B152)="","",INDEX(報告入力!$X$7:$X$696,B152)))</f>
        <v/>
      </c>
      <c r="S152" s="5" t="str">
        <f aca="false">設定!$C$47</f>
        <v>長期：退職等年金掛金</v>
      </c>
    </row>
    <row r="153" customFormat="false" ht="25.35" hidden="false" customHeight="false" outlineLevel="0" collapsed="false">
      <c r="A153" s="79" t="str">
        <f aca="false">設定!B90</f>
        <v>バス協調・共創
プラットフォーム</v>
      </c>
      <c r="B153" s="5" t="n">
        <f aca="false">IFERROR(MATCH(ホーム!$C$4&amp;"|"&amp;A153,報告入力!$CG$7:$CG$696,0),"")</f>
        <v>352</v>
      </c>
      <c r="C153" s="5" t="str">
        <f aca="false">IF(B153="","",INDEX(報告入力!$C$7:$C$696,B153))</f>
        <v>未受領</v>
      </c>
      <c r="D153" s="5" t="str">
        <f aca="false">設定!$A$39</f>
        <v>長期（厚生年金保険経理）</v>
      </c>
      <c r="E153" s="5" t="str">
        <f aca="false">設定!$B$39&amp;""</f>
        <v>130</v>
      </c>
      <c r="F153" s="5" t="str">
        <f aca="false">設定!$D$48&amp;""</f>
        <v>6101002000</v>
      </c>
      <c r="G153" s="5" t="str">
        <f aca="false">設定!$E$48&amp;""</f>
        <v>負担地方公共</v>
      </c>
      <c r="H153" s="5" t="n">
        <f aca="false">IF(B153="",0,N(INDEX(報告入力!$AW$7:$AW$696,B153)))</f>
        <v>472140</v>
      </c>
      <c r="I153" s="5" t="str">
        <f aca="false">設定!$C$39&amp;""</f>
        <v>1104001001</v>
      </c>
      <c r="J153" s="5" t="str">
        <f aca="false">設定!$D$39&amp;""</f>
        <v>普広銀市役所</v>
      </c>
      <c r="K153" s="5" t="n">
        <f aca="false">IF(AND(H153&lt;&gt;0,IF(設定!$B$6="入金確認済のみ",C153="入金確認済",OR(C153="入金確認済",C153="受領済"))),1,0)</f>
        <v>0</v>
      </c>
      <c r="L153" s="5" t="str">
        <f aca="false">1&amp;"|"&amp;30</f>
        <v>1|30</v>
      </c>
      <c r="M153" s="5" t="n">
        <f aca="false">IF(L153=L152,M152,0)+K153</f>
        <v>0</v>
      </c>
      <c r="N153" s="5" t="n">
        <f aca="false">IF(AND(K153=1,M153=1),1,0)</f>
        <v>0</v>
      </c>
      <c r="O153" s="5" t="str">
        <f aca="false">IF(K153=1,MAX($O$5:O152)+1,"")</f>
        <v/>
      </c>
      <c r="P153" s="5" t="str">
        <f aca="false">IF(K153=1,SUM($N$6:N153),"")</f>
        <v/>
      </c>
      <c r="Q153" s="5" t="str">
        <f aca="false">IF(K153=1,SUMIFS($H$6:$H$511,$L$6:$L$511,L153,$K$6:$K$511,1),"")</f>
        <v/>
      </c>
      <c r="R153" s="78" t="str">
        <f aca="false">IF(B153="","",IF(INDEX(報告入力!$X$7:$X$696,B153)="","",INDEX(報告入力!$X$7:$X$696,B153)))</f>
        <v/>
      </c>
      <c r="S153" s="5" t="str">
        <f aca="false">設定!$C$48</f>
        <v>長期：厚生年金保険料（事業主負担分）</v>
      </c>
    </row>
    <row r="154" customFormat="false" ht="25.35" hidden="false" customHeight="false" outlineLevel="0" collapsed="false">
      <c r="A154" s="79" t="str">
        <f aca="false">設定!B90</f>
        <v>バス協調・共創
プラットフォーム</v>
      </c>
      <c r="B154" s="5" t="n">
        <f aca="false">IFERROR(MATCH(ホーム!$C$4&amp;"|"&amp;A154,報告入力!$CG$7:$CG$696,0),"")</f>
        <v>352</v>
      </c>
      <c r="C154" s="5" t="str">
        <f aca="false">IF(B154="","",INDEX(報告入力!$C$7:$C$696,B154))</f>
        <v>未受領</v>
      </c>
      <c r="D154" s="5" t="str">
        <f aca="false">設定!$A$39</f>
        <v>長期（厚生年金保険経理）</v>
      </c>
      <c r="E154" s="5" t="str">
        <f aca="false">設定!$B$39&amp;""</f>
        <v>130</v>
      </c>
      <c r="F154" s="5" t="str">
        <f aca="false">設定!$D$49&amp;""</f>
        <v>2109001015</v>
      </c>
      <c r="G154" s="5" t="str">
        <f aca="false">設定!$E$49&amp;""</f>
        <v>退職負担地方</v>
      </c>
      <c r="H154" s="5" t="n">
        <f aca="false">IF(B154="",0,N(INDEX(報告入力!$AX$7:$AX$696,B154)))</f>
        <v>38700</v>
      </c>
      <c r="I154" s="5" t="str">
        <f aca="false">設定!$C$39&amp;""</f>
        <v>1104001001</v>
      </c>
      <c r="J154" s="5" t="str">
        <f aca="false">設定!$D$39&amp;""</f>
        <v>普広銀市役所</v>
      </c>
      <c r="K154" s="5" t="n">
        <f aca="false">IF(AND(H154&lt;&gt;0,IF(設定!$B$6="入金確認済のみ",C154="入金確認済",OR(C154="入金確認済",C154="受領済"))),1,0)</f>
        <v>0</v>
      </c>
      <c r="L154" s="5" t="str">
        <f aca="false">1&amp;"|"&amp;30</f>
        <v>1|30</v>
      </c>
      <c r="M154" s="5" t="n">
        <f aca="false">IF(L154=L153,M153,0)+K154</f>
        <v>0</v>
      </c>
      <c r="N154" s="5" t="n">
        <f aca="false">IF(AND(K154=1,M154=1),1,0)</f>
        <v>0</v>
      </c>
      <c r="O154" s="5" t="str">
        <f aca="false">IF(K154=1,MAX($O$5:O153)+1,"")</f>
        <v/>
      </c>
      <c r="P154" s="5" t="str">
        <f aca="false">IF(K154=1,SUM($N$6:N154),"")</f>
        <v/>
      </c>
      <c r="Q154" s="5" t="str">
        <f aca="false">IF(K154=1,SUMIFS($H$6:$H$511,$L$6:$L$511,L154,$K$6:$K$511,1),"")</f>
        <v/>
      </c>
      <c r="R154" s="78" t="str">
        <f aca="false">IF(B154="","",IF(INDEX(報告入力!$X$7:$X$696,B154)="","",INDEX(報告入力!$X$7:$X$696,B154)))</f>
        <v/>
      </c>
      <c r="S154" s="5" t="str">
        <f aca="false">設定!$C$49</f>
        <v>長期：退職等年金負担金</v>
      </c>
    </row>
    <row r="155" customFormat="false" ht="25.35" hidden="false" customHeight="false" outlineLevel="0" collapsed="false">
      <c r="A155" s="79" t="str">
        <f aca="false">設定!B90</f>
        <v>バス協調・共創
プラットフォーム</v>
      </c>
      <c r="B155" s="5" t="n">
        <f aca="false">IFERROR(MATCH(ホーム!$C$4&amp;"|"&amp;A155,報告入力!$CG$7:$CG$696,0),"")</f>
        <v>352</v>
      </c>
      <c r="C155" s="5" t="str">
        <f aca="false">IF(B155="","",INDEX(報告入力!$C$7:$C$696,B155))</f>
        <v>未受領</v>
      </c>
      <c r="D155" s="5" t="str">
        <f aca="false">設定!$A$39</f>
        <v>長期（厚生年金保険経理）</v>
      </c>
      <c r="E155" s="5" t="str">
        <f aca="false">設定!$B$39&amp;""</f>
        <v>130</v>
      </c>
      <c r="F155" s="5" t="str">
        <f aca="false">設定!$D$50&amp;""</f>
        <v>2109001017</v>
      </c>
      <c r="G155" s="5" t="str">
        <f aca="false">設定!$E$50&amp;""</f>
        <v>経過的負担金</v>
      </c>
      <c r="H155" s="5" t="n">
        <f aca="false">IF(B155="",0,N(INDEX(報告入力!$AY$7:$AY$696,B155)))</f>
        <v>484</v>
      </c>
      <c r="I155" s="5" t="str">
        <f aca="false">設定!$C$39&amp;""</f>
        <v>1104001001</v>
      </c>
      <c r="J155" s="5" t="str">
        <f aca="false">設定!$D$39&amp;""</f>
        <v>普広銀市役所</v>
      </c>
      <c r="K155" s="5" t="n">
        <f aca="false">IF(AND(H155&lt;&gt;0,IF(設定!$B$6="入金確認済のみ",C155="入金確認済",OR(C155="入金確認済",C155="受領済"))),1,0)</f>
        <v>0</v>
      </c>
      <c r="L155" s="5" t="str">
        <f aca="false">1&amp;"|"&amp;30</f>
        <v>1|30</v>
      </c>
      <c r="M155" s="5" t="n">
        <f aca="false">IF(L155=L154,M154,0)+K155</f>
        <v>0</v>
      </c>
      <c r="N155" s="5" t="n">
        <f aca="false">IF(AND(K155=1,M155=1),1,0)</f>
        <v>0</v>
      </c>
      <c r="O155" s="5" t="str">
        <f aca="false">IF(K155=1,MAX($O$5:O154)+1,"")</f>
        <v/>
      </c>
      <c r="P155" s="5" t="str">
        <f aca="false">IF(K155=1,SUM($N$6:N155),"")</f>
        <v/>
      </c>
      <c r="Q155" s="5" t="str">
        <f aca="false">IF(K155=1,SUMIFS($H$6:$H$511,$L$6:$L$511,L155,$K$6:$K$511,1),"")</f>
        <v/>
      </c>
      <c r="R155" s="78" t="str">
        <f aca="false">IF(B155="","",IF(INDEX(報告入力!$X$7:$X$696,B155)="","",INDEX(報告入力!$X$7:$X$696,B155)))</f>
        <v/>
      </c>
      <c r="S155" s="5" t="str">
        <f aca="false">設定!$C$50</f>
        <v>長期：経過的長期</v>
      </c>
    </row>
    <row r="156" customFormat="false" ht="15" hidden="false" customHeight="false" outlineLevel="0" collapsed="false">
      <c r="A156" s="5" t="str">
        <f aca="false">設定!B91</f>
        <v>広島県市長会</v>
      </c>
      <c r="B156" s="5" t="n">
        <f aca="false">IFERROR(MATCH(ホーム!$C$4&amp;"|"&amp;A156,報告入力!$CG$7:$CG$696,0),"")</f>
        <v>353</v>
      </c>
      <c r="C156" s="5" t="str">
        <f aca="false">IF(B156="","",INDEX(報告入力!$C$7:$C$696,B156))</f>
        <v>受領済</v>
      </c>
      <c r="D156" s="5" t="str">
        <f aca="false">設定!$A$39</f>
        <v>長期（厚生年金保険経理）</v>
      </c>
      <c r="E156" s="5" t="str">
        <f aca="false">設定!$B$39&amp;""</f>
        <v>130</v>
      </c>
      <c r="F156" s="5" t="str">
        <f aca="false">設定!$D$46&amp;""</f>
        <v>6102102000</v>
      </c>
      <c r="G156" s="5" t="str">
        <f aca="false">設定!$E$46&amp;""</f>
        <v>標月額保険料</v>
      </c>
      <c r="H156" s="5" t="n">
        <f aca="false">IF(B156="",0,N(INDEX(報告入力!$AU$7:$AU$696,B156)))</f>
        <v>53985</v>
      </c>
      <c r="I156" s="5" t="str">
        <f aca="false">設定!$C$39&amp;""</f>
        <v>1104001001</v>
      </c>
      <c r="J156" s="5" t="str">
        <f aca="false">設定!$D$39&amp;""</f>
        <v>普広銀市役所</v>
      </c>
      <c r="K156" s="5" t="n">
        <f aca="false">IF(AND(H156&lt;&gt;0,IF(設定!$B$6="入金確認済のみ",C156="入金確認済",OR(C156="入金確認済",C156="受領済"))),1,0)</f>
        <v>0</v>
      </c>
      <c r="L156" s="5" t="str">
        <f aca="false">1&amp;"|"&amp;31</f>
        <v>1|31</v>
      </c>
      <c r="M156" s="5" t="n">
        <f aca="false">IF(L156=L155,M155,0)+K156</f>
        <v>0</v>
      </c>
      <c r="N156" s="5" t="n">
        <f aca="false">IF(AND(K156=1,M156=1),1,0)</f>
        <v>0</v>
      </c>
      <c r="O156" s="5" t="str">
        <f aca="false">IF(K156=1,MAX($O$5:O155)+1,"")</f>
        <v/>
      </c>
      <c r="P156" s="5" t="str">
        <f aca="false">IF(K156=1,SUM($N$6:N156),"")</f>
        <v/>
      </c>
      <c r="Q156" s="5" t="str">
        <f aca="false">IF(K156=1,SUMIFS($H$6:$H$511,$L$6:$L$511,L156,$K$6:$K$511,1),"")</f>
        <v/>
      </c>
      <c r="R156" s="78" t="str">
        <f aca="false">IF(B156="","",IF(INDEX(報告入力!$X$7:$X$696,B156)="","",INDEX(報告入力!$X$7:$X$696,B156)))</f>
        <v/>
      </c>
      <c r="S156" s="5" t="str">
        <f aca="false">設定!$C$46</f>
        <v>長期：厚生年金保険料（組合員負担分）</v>
      </c>
    </row>
    <row r="157" customFormat="false" ht="15" hidden="false" customHeight="false" outlineLevel="0" collapsed="false">
      <c r="A157" s="5" t="str">
        <f aca="false">設定!B91</f>
        <v>広島県市長会</v>
      </c>
      <c r="B157" s="5" t="n">
        <f aca="false">IFERROR(MATCH(ホーム!$C$4&amp;"|"&amp;A157,報告入力!$CG$7:$CG$696,0),"")</f>
        <v>353</v>
      </c>
      <c r="C157" s="5" t="str">
        <f aca="false">IF(B157="","",INDEX(報告入力!$C$7:$C$696,B157))</f>
        <v>受領済</v>
      </c>
      <c r="D157" s="5" t="str">
        <f aca="false">設定!$A$39</f>
        <v>長期（厚生年金保険経理）</v>
      </c>
      <c r="E157" s="5" t="str">
        <f aca="false">設定!$B$39&amp;""</f>
        <v>130</v>
      </c>
      <c r="F157" s="5" t="str">
        <f aca="false">設定!$D$47&amp;""</f>
        <v>2109001014</v>
      </c>
      <c r="G157" s="5" t="str">
        <f aca="false">設定!$E$47&amp;""</f>
        <v>退職標報掛金</v>
      </c>
      <c r="H157" s="5" t="n">
        <f aca="false">IF(B157="",0,N(INDEX(報告入力!$AV$7:$AV$696,B157)))</f>
        <v>4425</v>
      </c>
      <c r="I157" s="5" t="str">
        <f aca="false">設定!$C$39&amp;""</f>
        <v>1104001001</v>
      </c>
      <c r="J157" s="5" t="str">
        <f aca="false">設定!$D$39&amp;""</f>
        <v>普広銀市役所</v>
      </c>
      <c r="K157" s="5" t="n">
        <f aca="false">IF(AND(H157&lt;&gt;0,IF(設定!$B$6="入金確認済のみ",C157="入金確認済",OR(C157="入金確認済",C157="受領済"))),1,0)</f>
        <v>0</v>
      </c>
      <c r="L157" s="5" t="str">
        <f aca="false">1&amp;"|"&amp;31</f>
        <v>1|31</v>
      </c>
      <c r="M157" s="5" t="n">
        <f aca="false">IF(L157=L156,M156,0)+K157</f>
        <v>0</v>
      </c>
      <c r="N157" s="5" t="n">
        <f aca="false">IF(AND(K157=1,M157=1),1,0)</f>
        <v>0</v>
      </c>
      <c r="O157" s="5" t="str">
        <f aca="false">IF(K157=1,MAX($O$5:O156)+1,"")</f>
        <v/>
      </c>
      <c r="P157" s="5" t="str">
        <f aca="false">IF(K157=1,SUM($N$6:N157),"")</f>
        <v/>
      </c>
      <c r="Q157" s="5" t="str">
        <f aca="false">IF(K157=1,SUMIFS($H$6:$H$511,$L$6:$L$511,L157,$K$6:$K$511,1),"")</f>
        <v/>
      </c>
      <c r="R157" s="78" t="str">
        <f aca="false">IF(B157="","",IF(INDEX(報告入力!$X$7:$X$696,B157)="","",INDEX(報告入力!$X$7:$X$696,B157)))</f>
        <v/>
      </c>
      <c r="S157" s="5" t="str">
        <f aca="false">設定!$C$47</f>
        <v>長期：退職等年金掛金</v>
      </c>
    </row>
    <row r="158" customFormat="false" ht="15" hidden="false" customHeight="false" outlineLevel="0" collapsed="false">
      <c r="A158" s="5" t="str">
        <f aca="false">設定!B91</f>
        <v>広島県市長会</v>
      </c>
      <c r="B158" s="5" t="n">
        <f aca="false">IFERROR(MATCH(ホーム!$C$4&amp;"|"&amp;A158,報告入力!$CG$7:$CG$696,0),"")</f>
        <v>353</v>
      </c>
      <c r="C158" s="5" t="str">
        <f aca="false">IF(B158="","",INDEX(報告入力!$C$7:$C$696,B158))</f>
        <v>受領済</v>
      </c>
      <c r="D158" s="5" t="str">
        <f aca="false">設定!$A$39</f>
        <v>長期（厚生年金保険経理）</v>
      </c>
      <c r="E158" s="5" t="str">
        <f aca="false">設定!$B$39&amp;""</f>
        <v>130</v>
      </c>
      <c r="F158" s="5" t="str">
        <f aca="false">設定!$D$48&amp;""</f>
        <v>6101002000</v>
      </c>
      <c r="G158" s="5" t="str">
        <f aca="false">設定!$E$48&amp;""</f>
        <v>負担地方公共</v>
      </c>
      <c r="H158" s="5" t="n">
        <f aca="false">IF(B158="",0,N(INDEX(報告入力!$AW$7:$AW$696,B158)))</f>
        <v>53985</v>
      </c>
      <c r="I158" s="5" t="str">
        <f aca="false">設定!$C$39&amp;""</f>
        <v>1104001001</v>
      </c>
      <c r="J158" s="5" t="str">
        <f aca="false">設定!$D$39&amp;""</f>
        <v>普広銀市役所</v>
      </c>
      <c r="K158" s="5" t="n">
        <f aca="false">IF(AND(H158&lt;&gt;0,IF(設定!$B$6="入金確認済のみ",C158="入金確認済",OR(C158="入金確認済",C158="受領済"))),1,0)</f>
        <v>0</v>
      </c>
      <c r="L158" s="5" t="str">
        <f aca="false">1&amp;"|"&amp;31</f>
        <v>1|31</v>
      </c>
      <c r="M158" s="5" t="n">
        <f aca="false">IF(L158=L157,M157,0)+K158</f>
        <v>0</v>
      </c>
      <c r="N158" s="5" t="n">
        <f aca="false">IF(AND(K158=1,M158=1),1,0)</f>
        <v>0</v>
      </c>
      <c r="O158" s="5" t="str">
        <f aca="false">IF(K158=1,MAX($O$5:O157)+1,"")</f>
        <v/>
      </c>
      <c r="P158" s="5" t="str">
        <f aca="false">IF(K158=1,SUM($N$6:N158),"")</f>
        <v/>
      </c>
      <c r="Q158" s="5" t="str">
        <f aca="false">IF(K158=1,SUMIFS($H$6:$H$511,$L$6:$L$511,L158,$K$6:$K$511,1),"")</f>
        <v/>
      </c>
      <c r="R158" s="78" t="str">
        <f aca="false">IF(B158="","",IF(INDEX(報告入力!$X$7:$X$696,B158)="","",INDEX(報告入力!$X$7:$X$696,B158)))</f>
        <v/>
      </c>
      <c r="S158" s="5" t="str">
        <f aca="false">設定!$C$48</f>
        <v>長期：厚生年金保険料（事業主負担分）</v>
      </c>
    </row>
    <row r="159" customFormat="false" ht="15" hidden="false" customHeight="false" outlineLevel="0" collapsed="false">
      <c r="A159" s="5" t="str">
        <f aca="false">設定!B91</f>
        <v>広島県市長会</v>
      </c>
      <c r="B159" s="5" t="n">
        <f aca="false">IFERROR(MATCH(ホーム!$C$4&amp;"|"&amp;A159,報告入力!$CG$7:$CG$696,0),"")</f>
        <v>353</v>
      </c>
      <c r="C159" s="5" t="str">
        <f aca="false">IF(B159="","",INDEX(報告入力!$C$7:$C$696,B159))</f>
        <v>受領済</v>
      </c>
      <c r="D159" s="5" t="str">
        <f aca="false">設定!$A$39</f>
        <v>長期（厚生年金保険経理）</v>
      </c>
      <c r="E159" s="5" t="str">
        <f aca="false">設定!$B$39&amp;""</f>
        <v>130</v>
      </c>
      <c r="F159" s="5" t="str">
        <f aca="false">設定!$D$49&amp;""</f>
        <v>2109001015</v>
      </c>
      <c r="G159" s="5" t="str">
        <f aca="false">設定!$E$49&amp;""</f>
        <v>退職負担地方</v>
      </c>
      <c r="H159" s="5" t="n">
        <f aca="false">IF(B159="",0,N(INDEX(報告入力!$AX$7:$AX$696,B159)))</f>
        <v>4425</v>
      </c>
      <c r="I159" s="5" t="str">
        <f aca="false">設定!$C$39&amp;""</f>
        <v>1104001001</v>
      </c>
      <c r="J159" s="5" t="str">
        <f aca="false">設定!$D$39&amp;""</f>
        <v>普広銀市役所</v>
      </c>
      <c r="K159" s="5" t="n">
        <f aca="false">IF(AND(H159&lt;&gt;0,IF(設定!$B$6="入金確認済のみ",C159="入金確認済",OR(C159="入金確認済",C159="受領済"))),1,0)</f>
        <v>0</v>
      </c>
      <c r="L159" s="5" t="str">
        <f aca="false">1&amp;"|"&amp;31</f>
        <v>1|31</v>
      </c>
      <c r="M159" s="5" t="n">
        <f aca="false">IF(L159=L158,M158,0)+K159</f>
        <v>0</v>
      </c>
      <c r="N159" s="5" t="n">
        <f aca="false">IF(AND(K159=1,M159=1),1,0)</f>
        <v>0</v>
      </c>
      <c r="O159" s="5" t="str">
        <f aca="false">IF(K159=1,MAX($O$5:O158)+1,"")</f>
        <v/>
      </c>
      <c r="P159" s="5" t="str">
        <f aca="false">IF(K159=1,SUM($N$6:N159),"")</f>
        <v/>
      </c>
      <c r="Q159" s="5" t="str">
        <f aca="false">IF(K159=1,SUMIFS($H$6:$H$511,$L$6:$L$511,L159,$K$6:$K$511,1),"")</f>
        <v/>
      </c>
      <c r="R159" s="78" t="str">
        <f aca="false">IF(B159="","",IF(INDEX(報告入力!$X$7:$X$696,B159)="","",INDEX(報告入力!$X$7:$X$696,B159)))</f>
        <v/>
      </c>
      <c r="S159" s="5" t="str">
        <f aca="false">設定!$C$49</f>
        <v>長期：退職等年金負担金</v>
      </c>
    </row>
    <row r="160" customFormat="false" ht="15" hidden="false" customHeight="false" outlineLevel="0" collapsed="false">
      <c r="A160" s="5" t="str">
        <f aca="false">設定!B91</f>
        <v>広島県市長会</v>
      </c>
      <c r="B160" s="5" t="n">
        <f aca="false">IFERROR(MATCH(ホーム!$C$4&amp;"|"&amp;A160,報告入力!$CG$7:$CG$696,0),"")</f>
        <v>353</v>
      </c>
      <c r="C160" s="5" t="str">
        <f aca="false">IF(B160="","",INDEX(報告入力!$C$7:$C$696,B160))</f>
        <v>受領済</v>
      </c>
      <c r="D160" s="5" t="str">
        <f aca="false">設定!$A$39</f>
        <v>長期（厚生年金保険経理）</v>
      </c>
      <c r="E160" s="5" t="str">
        <f aca="false">設定!$B$39&amp;""</f>
        <v>130</v>
      </c>
      <c r="F160" s="5" t="str">
        <f aca="false">設定!$D$50&amp;""</f>
        <v>2109001017</v>
      </c>
      <c r="G160" s="5" t="str">
        <f aca="false">設定!$E$50&amp;""</f>
        <v>経過的負担金</v>
      </c>
      <c r="H160" s="5" t="n">
        <f aca="false">IF(B160="",0,N(INDEX(報告入力!$AY$7:$AY$696,B160)))</f>
        <v>51</v>
      </c>
      <c r="I160" s="5" t="str">
        <f aca="false">設定!$C$39&amp;""</f>
        <v>1104001001</v>
      </c>
      <c r="J160" s="5" t="str">
        <f aca="false">設定!$D$39&amp;""</f>
        <v>普広銀市役所</v>
      </c>
      <c r="K160" s="5" t="n">
        <f aca="false">IF(AND(H160&lt;&gt;0,IF(設定!$B$6="入金確認済のみ",C160="入金確認済",OR(C160="入金確認済",C160="受領済"))),1,0)</f>
        <v>0</v>
      </c>
      <c r="L160" s="5" t="str">
        <f aca="false">1&amp;"|"&amp;31</f>
        <v>1|31</v>
      </c>
      <c r="M160" s="5" t="n">
        <f aca="false">IF(L160=L159,M159,0)+K160</f>
        <v>0</v>
      </c>
      <c r="N160" s="5" t="n">
        <f aca="false">IF(AND(K160=1,M160=1),1,0)</f>
        <v>0</v>
      </c>
      <c r="O160" s="5" t="str">
        <f aca="false">IF(K160=1,MAX($O$5:O159)+1,"")</f>
        <v/>
      </c>
      <c r="P160" s="5" t="str">
        <f aca="false">IF(K160=1,SUM($N$6:N160),"")</f>
        <v/>
      </c>
      <c r="Q160" s="5" t="str">
        <f aca="false">IF(K160=1,SUMIFS($H$6:$H$511,$L$6:$L$511,L160,$K$6:$K$511,1),"")</f>
        <v/>
      </c>
      <c r="R160" s="78" t="str">
        <f aca="false">IF(B160="","",IF(INDEX(報告入力!$X$7:$X$696,B160)="","",INDEX(報告入力!$X$7:$X$696,B160)))</f>
        <v/>
      </c>
      <c r="S160" s="5" t="str">
        <f aca="false">設定!$C$50</f>
        <v>長期：経過的長期</v>
      </c>
    </row>
    <row r="161" customFormat="false" ht="15" hidden="false" customHeight="false" outlineLevel="0" collapsed="false">
      <c r="A161" s="5" t="str">
        <f aca="false">設定!B92</f>
        <v>全国市町村研修財団</v>
      </c>
      <c r="B161" s="5" t="n">
        <f aca="false">IFERROR(MATCH(ホーム!$C$4&amp;"|"&amp;A161,報告入力!$CG$7:$CG$696,0),"")</f>
        <v>354</v>
      </c>
      <c r="C161" s="5" t="str">
        <f aca="false">IF(B161="","",INDEX(報告入力!$C$7:$C$696,B161))</f>
        <v>受領済</v>
      </c>
      <c r="D161" s="5" t="str">
        <f aca="false">設定!$A$39</f>
        <v>長期（厚生年金保険経理）</v>
      </c>
      <c r="E161" s="5" t="str">
        <f aca="false">設定!$B$39&amp;""</f>
        <v>130</v>
      </c>
      <c r="F161" s="5" t="str">
        <f aca="false">設定!$D$46&amp;""</f>
        <v>6102102000</v>
      </c>
      <c r="G161" s="5" t="str">
        <f aca="false">設定!$E$46&amp;""</f>
        <v>標月額保険料</v>
      </c>
      <c r="H161" s="5" t="n">
        <f aca="false">IF(B161="",0,N(INDEX(報告入力!$AU$7:$AU$696,B161)))</f>
        <v>59475</v>
      </c>
      <c r="I161" s="5" t="str">
        <f aca="false">設定!$C$39&amp;""</f>
        <v>1104001001</v>
      </c>
      <c r="J161" s="5" t="str">
        <f aca="false">設定!$D$39&amp;""</f>
        <v>普広銀市役所</v>
      </c>
      <c r="K161" s="5" t="n">
        <f aca="false">IF(AND(H161&lt;&gt;0,IF(設定!$B$6="入金確認済のみ",C161="入金確認済",OR(C161="入金確認済",C161="受領済"))),1,0)</f>
        <v>0</v>
      </c>
      <c r="L161" s="5" t="str">
        <f aca="false">1&amp;"|"&amp;32</f>
        <v>1|32</v>
      </c>
      <c r="M161" s="5" t="n">
        <f aca="false">IF(L161=L160,M160,0)+K161</f>
        <v>0</v>
      </c>
      <c r="N161" s="5" t="n">
        <f aca="false">IF(AND(K161=1,M161=1),1,0)</f>
        <v>0</v>
      </c>
      <c r="O161" s="5" t="str">
        <f aca="false">IF(K161=1,MAX($O$5:O160)+1,"")</f>
        <v/>
      </c>
      <c r="P161" s="5" t="str">
        <f aca="false">IF(K161=1,SUM($N$6:N161),"")</f>
        <v/>
      </c>
      <c r="Q161" s="5" t="str">
        <f aca="false">IF(K161=1,SUMIFS($H$6:$H$511,$L$6:$L$511,L161,$K$6:$K$511,1),"")</f>
        <v/>
      </c>
      <c r="R161" s="78" t="str">
        <f aca="false">IF(B161="","",IF(INDEX(報告入力!$X$7:$X$696,B161)="","",INDEX(報告入力!$X$7:$X$696,B161)))</f>
        <v/>
      </c>
      <c r="S161" s="5" t="str">
        <f aca="false">設定!$C$46</f>
        <v>長期：厚生年金保険料（組合員負担分）</v>
      </c>
    </row>
    <row r="162" customFormat="false" ht="15" hidden="false" customHeight="false" outlineLevel="0" collapsed="false">
      <c r="A162" s="5" t="str">
        <f aca="false">設定!B92</f>
        <v>全国市町村研修財団</v>
      </c>
      <c r="B162" s="5" t="n">
        <f aca="false">IFERROR(MATCH(ホーム!$C$4&amp;"|"&amp;A162,報告入力!$CG$7:$CG$696,0),"")</f>
        <v>354</v>
      </c>
      <c r="C162" s="5" t="str">
        <f aca="false">IF(B162="","",INDEX(報告入力!$C$7:$C$696,B162))</f>
        <v>受領済</v>
      </c>
      <c r="D162" s="5" t="str">
        <f aca="false">設定!$A$39</f>
        <v>長期（厚生年金保険経理）</v>
      </c>
      <c r="E162" s="5" t="str">
        <f aca="false">設定!$B$39&amp;""</f>
        <v>130</v>
      </c>
      <c r="F162" s="5" t="str">
        <f aca="false">設定!$D$47&amp;""</f>
        <v>2109001014</v>
      </c>
      <c r="G162" s="5" t="str">
        <f aca="false">設定!$E$47&amp;""</f>
        <v>退職標報掛金</v>
      </c>
      <c r="H162" s="5" t="n">
        <f aca="false">IF(B162="",0,N(INDEX(報告入力!$AV$7:$AV$696,B162)))</f>
        <v>4875</v>
      </c>
      <c r="I162" s="5" t="str">
        <f aca="false">設定!$C$39&amp;""</f>
        <v>1104001001</v>
      </c>
      <c r="J162" s="5" t="str">
        <f aca="false">設定!$D$39&amp;""</f>
        <v>普広銀市役所</v>
      </c>
      <c r="K162" s="5" t="n">
        <f aca="false">IF(AND(H162&lt;&gt;0,IF(設定!$B$6="入金確認済のみ",C162="入金確認済",OR(C162="入金確認済",C162="受領済"))),1,0)</f>
        <v>0</v>
      </c>
      <c r="L162" s="5" t="str">
        <f aca="false">1&amp;"|"&amp;32</f>
        <v>1|32</v>
      </c>
      <c r="M162" s="5" t="n">
        <f aca="false">IF(L162=L161,M161,0)+K162</f>
        <v>0</v>
      </c>
      <c r="N162" s="5" t="n">
        <f aca="false">IF(AND(K162=1,M162=1),1,0)</f>
        <v>0</v>
      </c>
      <c r="O162" s="5" t="str">
        <f aca="false">IF(K162=1,MAX($O$5:O161)+1,"")</f>
        <v/>
      </c>
      <c r="P162" s="5" t="str">
        <f aca="false">IF(K162=1,SUM($N$6:N162),"")</f>
        <v/>
      </c>
      <c r="Q162" s="5" t="str">
        <f aca="false">IF(K162=1,SUMIFS($H$6:$H$511,$L$6:$L$511,L162,$K$6:$K$511,1),"")</f>
        <v/>
      </c>
      <c r="R162" s="78" t="str">
        <f aca="false">IF(B162="","",IF(INDEX(報告入力!$X$7:$X$696,B162)="","",INDEX(報告入力!$X$7:$X$696,B162)))</f>
        <v/>
      </c>
      <c r="S162" s="5" t="str">
        <f aca="false">設定!$C$47</f>
        <v>長期：退職等年金掛金</v>
      </c>
    </row>
    <row r="163" customFormat="false" ht="15" hidden="false" customHeight="false" outlineLevel="0" collapsed="false">
      <c r="A163" s="5" t="str">
        <f aca="false">設定!B92</f>
        <v>全国市町村研修財団</v>
      </c>
      <c r="B163" s="5" t="n">
        <f aca="false">IFERROR(MATCH(ホーム!$C$4&amp;"|"&amp;A163,報告入力!$CG$7:$CG$696,0),"")</f>
        <v>354</v>
      </c>
      <c r="C163" s="5" t="str">
        <f aca="false">IF(B163="","",INDEX(報告入力!$C$7:$C$696,B163))</f>
        <v>受領済</v>
      </c>
      <c r="D163" s="5" t="str">
        <f aca="false">設定!$A$39</f>
        <v>長期（厚生年金保険経理）</v>
      </c>
      <c r="E163" s="5" t="str">
        <f aca="false">設定!$B$39&amp;""</f>
        <v>130</v>
      </c>
      <c r="F163" s="5" t="str">
        <f aca="false">設定!$D$48&amp;""</f>
        <v>6101002000</v>
      </c>
      <c r="G163" s="5" t="str">
        <f aca="false">設定!$E$48&amp;""</f>
        <v>負担地方公共</v>
      </c>
      <c r="H163" s="5" t="n">
        <f aca="false">IF(B163="",0,N(INDEX(報告入力!$AW$7:$AW$696,B163)))</f>
        <v>59475</v>
      </c>
      <c r="I163" s="5" t="str">
        <f aca="false">設定!$C$39&amp;""</f>
        <v>1104001001</v>
      </c>
      <c r="J163" s="5" t="str">
        <f aca="false">設定!$D$39&amp;""</f>
        <v>普広銀市役所</v>
      </c>
      <c r="K163" s="5" t="n">
        <f aca="false">IF(AND(H163&lt;&gt;0,IF(設定!$B$6="入金確認済のみ",C163="入金確認済",OR(C163="入金確認済",C163="受領済"))),1,0)</f>
        <v>0</v>
      </c>
      <c r="L163" s="5" t="str">
        <f aca="false">1&amp;"|"&amp;32</f>
        <v>1|32</v>
      </c>
      <c r="M163" s="5" t="n">
        <f aca="false">IF(L163=L162,M162,0)+K163</f>
        <v>0</v>
      </c>
      <c r="N163" s="5" t="n">
        <f aca="false">IF(AND(K163=1,M163=1),1,0)</f>
        <v>0</v>
      </c>
      <c r="O163" s="5" t="str">
        <f aca="false">IF(K163=1,MAX($O$5:O162)+1,"")</f>
        <v/>
      </c>
      <c r="P163" s="5" t="str">
        <f aca="false">IF(K163=1,SUM($N$6:N163),"")</f>
        <v/>
      </c>
      <c r="Q163" s="5" t="str">
        <f aca="false">IF(K163=1,SUMIFS($H$6:$H$511,$L$6:$L$511,L163,$K$6:$K$511,1),"")</f>
        <v/>
      </c>
      <c r="R163" s="78" t="str">
        <f aca="false">IF(B163="","",IF(INDEX(報告入力!$X$7:$X$696,B163)="","",INDEX(報告入力!$X$7:$X$696,B163)))</f>
        <v/>
      </c>
      <c r="S163" s="5" t="str">
        <f aca="false">設定!$C$48</f>
        <v>長期：厚生年金保険料（事業主負担分）</v>
      </c>
    </row>
    <row r="164" customFormat="false" ht="15" hidden="false" customHeight="false" outlineLevel="0" collapsed="false">
      <c r="A164" s="5" t="str">
        <f aca="false">設定!B92</f>
        <v>全国市町村研修財団</v>
      </c>
      <c r="B164" s="5" t="n">
        <f aca="false">IFERROR(MATCH(ホーム!$C$4&amp;"|"&amp;A164,報告入力!$CG$7:$CG$696,0),"")</f>
        <v>354</v>
      </c>
      <c r="C164" s="5" t="str">
        <f aca="false">IF(B164="","",INDEX(報告入力!$C$7:$C$696,B164))</f>
        <v>受領済</v>
      </c>
      <c r="D164" s="5" t="str">
        <f aca="false">設定!$A$39</f>
        <v>長期（厚生年金保険経理）</v>
      </c>
      <c r="E164" s="5" t="str">
        <f aca="false">設定!$B$39&amp;""</f>
        <v>130</v>
      </c>
      <c r="F164" s="5" t="str">
        <f aca="false">設定!$D$49&amp;""</f>
        <v>2109001015</v>
      </c>
      <c r="G164" s="5" t="str">
        <f aca="false">設定!$E$49&amp;""</f>
        <v>退職負担地方</v>
      </c>
      <c r="H164" s="5" t="n">
        <f aca="false">IF(B164="",0,N(INDEX(報告入力!$AX$7:$AX$696,B164)))</f>
        <v>4875</v>
      </c>
      <c r="I164" s="5" t="str">
        <f aca="false">設定!$C$39&amp;""</f>
        <v>1104001001</v>
      </c>
      <c r="J164" s="5" t="str">
        <f aca="false">設定!$D$39&amp;""</f>
        <v>普広銀市役所</v>
      </c>
      <c r="K164" s="5" t="n">
        <f aca="false">IF(AND(H164&lt;&gt;0,IF(設定!$B$6="入金確認済のみ",C164="入金確認済",OR(C164="入金確認済",C164="受領済"))),1,0)</f>
        <v>0</v>
      </c>
      <c r="L164" s="5" t="str">
        <f aca="false">1&amp;"|"&amp;32</f>
        <v>1|32</v>
      </c>
      <c r="M164" s="5" t="n">
        <f aca="false">IF(L164=L163,M163,0)+K164</f>
        <v>0</v>
      </c>
      <c r="N164" s="5" t="n">
        <f aca="false">IF(AND(K164=1,M164=1),1,0)</f>
        <v>0</v>
      </c>
      <c r="O164" s="5" t="str">
        <f aca="false">IF(K164=1,MAX($O$5:O163)+1,"")</f>
        <v/>
      </c>
      <c r="P164" s="5" t="str">
        <f aca="false">IF(K164=1,SUM($N$6:N164),"")</f>
        <v/>
      </c>
      <c r="Q164" s="5" t="str">
        <f aca="false">IF(K164=1,SUMIFS($H$6:$H$511,$L$6:$L$511,L164,$K$6:$K$511,1),"")</f>
        <v/>
      </c>
      <c r="R164" s="78" t="str">
        <f aca="false">IF(B164="","",IF(INDEX(報告入力!$X$7:$X$696,B164)="","",INDEX(報告入力!$X$7:$X$696,B164)))</f>
        <v/>
      </c>
      <c r="S164" s="5" t="str">
        <f aca="false">設定!$C$49</f>
        <v>長期：退職等年金負担金</v>
      </c>
    </row>
    <row r="165" customFormat="false" ht="15" hidden="false" customHeight="false" outlineLevel="0" collapsed="false">
      <c r="A165" s="5" t="str">
        <f aca="false">設定!B92</f>
        <v>全国市町村研修財団</v>
      </c>
      <c r="B165" s="5" t="n">
        <f aca="false">IFERROR(MATCH(ホーム!$C$4&amp;"|"&amp;A165,報告入力!$CG$7:$CG$696,0),"")</f>
        <v>354</v>
      </c>
      <c r="C165" s="5" t="str">
        <f aca="false">IF(B165="","",INDEX(報告入力!$C$7:$C$696,B165))</f>
        <v>受領済</v>
      </c>
      <c r="D165" s="5" t="str">
        <f aca="false">設定!$A$39</f>
        <v>長期（厚生年金保険経理）</v>
      </c>
      <c r="E165" s="5" t="str">
        <f aca="false">設定!$B$39&amp;""</f>
        <v>130</v>
      </c>
      <c r="F165" s="5" t="str">
        <f aca="false">設定!$D$50&amp;""</f>
        <v>2109001017</v>
      </c>
      <c r="G165" s="5" t="str">
        <f aca="false">設定!$E$50&amp;""</f>
        <v>経過的負担金</v>
      </c>
      <c r="H165" s="5" t="n">
        <f aca="false">IF(B165="",0,N(INDEX(報告入力!$AY$7:$AY$696,B165)))</f>
        <v>56</v>
      </c>
      <c r="I165" s="5" t="str">
        <f aca="false">設定!$C$39&amp;""</f>
        <v>1104001001</v>
      </c>
      <c r="J165" s="5" t="str">
        <f aca="false">設定!$D$39&amp;""</f>
        <v>普広銀市役所</v>
      </c>
      <c r="K165" s="5" t="n">
        <f aca="false">IF(AND(H165&lt;&gt;0,IF(設定!$B$6="入金確認済のみ",C165="入金確認済",OR(C165="入金確認済",C165="受領済"))),1,0)</f>
        <v>0</v>
      </c>
      <c r="L165" s="5" t="str">
        <f aca="false">1&amp;"|"&amp;32</f>
        <v>1|32</v>
      </c>
      <c r="M165" s="5" t="n">
        <f aca="false">IF(L165=L164,M164,0)+K165</f>
        <v>0</v>
      </c>
      <c r="N165" s="5" t="n">
        <f aca="false">IF(AND(K165=1,M165=1),1,0)</f>
        <v>0</v>
      </c>
      <c r="O165" s="5" t="str">
        <f aca="false">IF(K165=1,MAX($O$5:O164)+1,"")</f>
        <v/>
      </c>
      <c r="P165" s="5" t="str">
        <f aca="false">IF(K165=1,SUM($N$6:N165),"")</f>
        <v/>
      </c>
      <c r="Q165" s="5" t="str">
        <f aca="false">IF(K165=1,SUMIFS($H$6:$H$511,$L$6:$L$511,L165,$K$6:$K$511,1),"")</f>
        <v/>
      </c>
      <c r="R165" s="78" t="str">
        <f aca="false">IF(B165="","",IF(INDEX(報告入力!$X$7:$X$696,B165)="","",INDEX(報告入力!$X$7:$X$696,B165)))</f>
        <v/>
      </c>
      <c r="S165" s="5" t="str">
        <f aca="false">設定!$C$50</f>
        <v>長期：経過的長期</v>
      </c>
    </row>
    <row r="166" customFormat="false" ht="15" hidden="false" customHeight="false" outlineLevel="0" collapsed="false">
      <c r="A166" s="5" t="str">
        <f aca="false">設定!B93</f>
        <v>都市再生機構</v>
      </c>
      <c r="B166" s="5" t="n">
        <f aca="false">IFERROR(MATCH(ホーム!$C$4&amp;"|"&amp;A166,報告入力!$CG$7:$CG$696,0),"")</f>
        <v>355</v>
      </c>
      <c r="C166" s="5" t="str">
        <f aca="false">IF(B166="","",INDEX(報告入力!$C$7:$C$696,B166))</f>
        <v>受領済</v>
      </c>
      <c r="D166" s="5" t="str">
        <f aca="false">設定!$A$39</f>
        <v>長期（厚生年金保険経理）</v>
      </c>
      <c r="E166" s="5" t="str">
        <f aca="false">設定!$B$39&amp;""</f>
        <v>130</v>
      </c>
      <c r="F166" s="5" t="str">
        <f aca="false">設定!$D$46&amp;""</f>
        <v>6102102000</v>
      </c>
      <c r="G166" s="5" t="str">
        <f aca="false">設定!$E$46&amp;""</f>
        <v>標月額保険料</v>
      </c>
      <c r="H166" s="5" t="n">
        <f aca="false">IF(B166="",0,N(INDEX(報告入力!$AU$7:$AU$696,B166)))</f>
        <v>45750</v>
      </c>
      <c r="I166" s="5" t="str">
        <f aca="false">設定!$C$39&amp;""</f>
        <v>1104001001</v>
      </c>
      <c r="J166" s="5" t="str">
        <f aca="false">設定!$D$39&amp;""</f>
        <v>普広銀市役所</v>
      </c>
      <c r="K166" s="5" t="n">
        <f aca="false">IF(AND(H166&lt;&gt;0,IF(設定!$B$6="入金確認済のみ",C166="入金確認済",OR(C166="入金確認済",C166="受領済"))),1,0)</f>
        <v>0</v>
      </c>
      <c r="L166" s="5" t="str">
        <f aca="false">1&amp;"|"&amp;33</f>
        <v>1|33</v>
      </c>
      <c r="M166" s="5" t="n">
        <f aca="false">IF(L166=L165,M165,0)+K166</f>
        <v>0</v>
      </c>
      <c r="N166" s="5" t="n">
        <f aca="false">IF(AND(K166=1,M166=1),1,0)</f>
        <v>0</v>
      </c>
      <c r="O166" s="5" t="str">
        <f aca="false">IF(K166=1,MAX($O$5:O165)+1,"")</f>
        <v/>
      </c>
      <c r="P166" s="5" t="str">
        <f aca="false">IF(K166=1,SUM($N$6:N166),"")</f>
        <v/>
      </c>
      <c r="Q166" s="5" t="str">
        <f aca="false">IF(K166=1,SUMIFS($H$6:$H$511,$L$6:$L$511,L166,$K$6:$K$511,1),"")</f>
        <v/>
      </c>
      <c r="R166" s="78" t="str">
        <f aca="false">IF(B166="","",IF(INDEX(報告入力!$X$7:$X$696,B166)="","",INDEX(報告入力!$X$7:$X$696,B166)))</f>
        <v/>
      </c>
      <c r="S166" s="5" t="str">
        <f aca="false">設定!$C$46</f>
        <v>長期：厚生年金保険料（組合員負担分）</v>
      </c>
    </row>
    <row r="167" customFormat="false" ht="15" hidden="false" customHeight="false" outlineLevel="0" collapsed="false">
      <c r="A167" s="5" t="str">
        <f aca="false">設定!B93</f>
        <v>都市再生機構</v>
      </c>
      <c r="B167" s="5" t="n">
        <f aca="false">IFERROR(MATCH(ホーム!$C$4&amp;"|"&amp;A167,報告入力!$CG$7:$CG$696,0),"")</f>
        <v>355</v>
      </c>
      <c r="C167" s="5" t="str">
        <f aca="false">IF(B167="","",INDEX(報告入力!$C$7:$C$696,B167))</f>
        <v>受領済</v>
      </c>
      <c r="D167" s="5" t="str">
        <f aca="false">設定!$A$39</f>
        <v>長期（厚生年金保険経理）</v>
      </c>
      <c r="E167" s="5" t="str">
        <f aca="false">設定!$B$39&amp;""</f>
        <v>130</v>
      </c>
      <c r="F167" s="5" t="str">
        <f aca="false">設定!$D$47&amp;""</f>
        <v>2109001014</v>
      </c>
      <c r="G167" s="5" t="str">
        <f aca="false">設定!$E$47&amp;""</f>
        <v>退職標報掛金</v>
      </c>
      <c r="H167" s="5" t="n">
        <f aca="false">IF(B167="",0,N(INDEX(報告入力!$AV$7:$AV$696,B167)))</f>
        <v>3750</v>
      </c>
      <c r="I167" s="5" t="str">
        <f aca="false">設定!$C$39&amp;""</f>
        <v>1104001001</v>
      </c>
      <c r="J167" s="5" t="str">
        <f aca="false">設定!$D$39&amp;""</f>
        <v>普広銀市役所</v>
      </c>
      <c r="K167" s="5" t="n">
        <f aca="false">IF(AND(H167&lt;&gt;0,IF(設定!$B$6="入金確認済のみ",C167="入金確認済",OR(C167="入金確認済",C167="受領済"))),1,0)</f>
        <v>0</v>
      </c>
      <c r="L167" s="5" t="str">
        <f aca="false">1&amp;"|"&amp;33</f>
        <v>1|33</v>
      </c>
      <c r="M167" s="5" t="n">
        <f aca="false">IF(L167=L166,M166,0)+K167</f>
        <v>0</v>
      </c>
      <c r="N167" s="5" t="n">
        <f aca="false">IF(AND(K167=1,M167=1),1,0)</f>
        <v>0</v>
      </c>
      <c r="O167" s="5" t="str">
        <f aca="false">IF(K167=1,MAX($O$5:O166)+1,"")</f>
        <v/>
      </c>
      <c r="P167" s="5" t="str">
        <f aca="false">IF(K167=1,SUM($N$6:N167),"")</f>
        <v/>
      </c>
      <c r="Q167" s="5" t="str">
        <f aca="false">IF(K167=1,SUMIFS($H$6:$H$511,$L$6:$L$511,L167,$K$6:$K$511,1),"")</f>
        <v/>
      </c>
      <c r="R167" s="78" t="str">
        <f aca="false">IF(B167="","",IF(INDEX(報告入力!$X$7:$X$696,B167)="","",INDEX(報告入力!$X$7:$X$696,B167)))</f>
        <v/>
      </c>
      <c r="S167" s="5" t="str">
        <f aca="false">設定!$C$47</f>
        <v>長期：退職等年金掛金</v>
      </c>
    </row>
    <row r="168" customFormat="false" ht="15" hidden="false" customHeight="false" outlineLevel="0" collapsed="false">
      <c r="A168" s="5" t="str">
        <f aca="false">設定!B93</f>
        <v>都市再生機構</v>
      </c>
      <c r="B168" s="5" t="n">
        <f aca="false">IFERROR(MATCH(ホーム!$C$4&amp;"|"&amp;A168,報告入力!$CG$7:$CG$696,0),"")</f>
        <v>355</v>
      </c>
      <c r="C168" s="5" t="str">
        <f aca="false">IF(B168="","",INDEX(報告入力!$C$7:$C$696,B168))</f>
        <v>受領済</v>
      </c>
      <c r="D168" s="5" t="str">
        <f aca="false">設定!$A$39</f>
        <v>長期（厚生年金保険経理）</v>
      </c>
      <c r="E168" s="5" t="str">
        <f aca="false">設定!$B$39&amp;""</f>
        <v>130</v>
      </c>
      <c r="F168" s="5" t="str">
        <f aca="false">設定!$D$48&amp;""</f>
        <v>6101002000</v>
      </c>
      <c r="G168" s="5" t="str">
        <f aca="false">設定!$E$48&amp;""</f>
        <v>負担地方公共</v>
      </c>
      <c r="H168" s="5" t="n">
        <f aca="false">IF(B168="",0,N(INDEX(報告入力!$AW$7:$AW$696,B168)))</f>
        <v>45750</v>
      </c>
      <c r="I168" s="5" t="str">
        <f aca="false">設定!$C$39&amp;""</f>
        <v>1104001001</v>
      </c>
      <c r="J168" s="5" t="str">
        <f aca="false">設定!$D$39&amp;""</f>
        <v>普広銀市役所</v>
      </c>
      <c r="K168" s="5" t="n">
        <f aca="false">IF(AND(H168&lt;&gt;0,IF(設定!$B$6="入金確認済のみ",C168="入金確認済",OR(C168="入金確認済",C168="受領済"))),1,0)</f>
        <v>0</v>
      </c>
      <c r="L168" s="5" t="str">
        <f aca="false">1&amp;"|"&amp;33</f>
        <v>1|33</v>
      </c>
      <c r="M168" s="5" t="n">
        <f aca="false">IF(L168=L167,M167,0)+K168</f>
        <v>0</v>
      </c>
      <c r="N168" s="5" t="n">
        <f aca="false">IF(AND(K168=1,M168=1),1,0)</f>
        <v>0</v>
      </c>
      <c r="O168" s="5" t="str">
        <f aca="false">IF(K168=1,MAX($O$5:O167)+1,"")</f>
        <v/>
      </c>
      <c r="P168" s="5" t="str">
        <f aca="false">IF(K168=1,SUM($N$6:N168),"")</f>
        <v/>
      </c>
      <c r="Q168" s="5" t="str">
        <f aca="false">IF(K168=1,SUMIFS($H$6:$H$511,$L$6:$L$511,L168,$K$6:$K$511,1),"")</f>
        <v/>
      </c>
      <c r="R168" s="78" t="str">
        <f aca="false">IF(B168="","",IF(INDEX(報告入力!$X$7:$X$696,B168)="","",INDEX(報告入力!$X$7:$X$696,B168)))</f>
        <v/>
      </c>
      <c r="S168" s="5" t="str">
        <f aca="false">設定!$C$48</f>
        <v>長期：厚生年金保険料（事業主負担分）</v>
      </c>
    </row>
    <row r="169" customFormat="false" ht="15" hidden="false" customHeight="false" outlineLevel="0" collapsed="false">
      <c r="A169" s="5" t="str">
        <f aca="false">設定!B93</f>
        <v>都市再生機構</v>
      </c>
      <c r="B169" s="5" t="n">
        <f aca="false">IFERROR(MATCH(ホーム!$C$4&amp;"|"&amp;A169,報告入力!$CG$7:$CG$696,0),"")</f>
        <v>355</v>
      </c>
      <c r="C169" s="5" t="str">
        <f aca="false">IF(B169="","",INDEX(報告入力!$C$7:$C$696,B169))</f>
        <v>受領済</v>
      </c>
      <c r="D169" s="5" t="str">
        <f aca="false">設定!$A$39</f>
        <v>長期（厚生年金保険経理）</v>
      </c>
      <c r="E169" s="5" t="str">
        <f aca="false">設定!$B$39&amp;""</f>
        <v>130</v>
      </c>
      <c r="F169" s="5" t="str">
        <f aca="false">設定!$D$49&amp;""</f>
        <v>2109001015</v>
      </c>
      <c r="G169" s="5" t="str">
        <f aca="false">設定!$E$49&amp;""</f>
        <v>退職負担地方</v>
      </c>
      <c r="H169" s="5" t="n">
        <f aca="false">IF(B169="",0,N(INDEX(報告入力!$AX$7:$AX$696,B169)))</f>
        <v>3750</v>
      </c>
      <c r="I169" s="5" t="str">
        <f aca="false">設定!$C$39&amp;""</f>
        <v>1104001001</v>
      </c>
      <c r="J169" s="5" t="str">
        <f aca="false">設定!$D$39&amp;""</f>
        <v>普広銀市役所</v>
      </c>
      <c r="K169" s="5" t="n">
        <f aca="false">IF(AND(H169&lt;&gt;0,IF(設定!$B$6="入金確認済のみ",C169="入金確認済",OR(C169="入金確認済",C169="受領済"))),1,0)</f>
        <v>0</v>
      </c>
      <c r="L169" s="5" t="str">
        <f aca="false">1&amp;"|"&amp;33</f>
        <v>1|33</v>
      </c>
      <c r="M169" s="5" t="n">
        <f aca="false">IF(L169=L168,M168,0)+K169</f>
        <v>0</v>
      </c>
      <c r="N169" s="5" t="n">
        <f aca="false">IF(AND(K169=1,M169=1),1,0)</f>
        <v>0</v>
      </c>
      <c r="O169" s="5" t="str">
        <f aca="false">IF(K169=1,MAX($O$5:O168)+1,"")</f>
        <v/>
      </c>
      <c r="P169" s="5" t="str">
        <f aca="false">IF(K169=1,SUM($N$6:N169),"")</f>
        <v/>
      </c>
      <c r="Q169" s="5" t="str">
        <f aca="false">IF(K169=1,SUMIFS($H$6:$H$511,$L$6:$L$511,L169,$K$6:$K$511,1),"")</f>
        <v/>
      </c>
      <c r="R169" s="78" t="str">
        <f aca="false">IF(B169="","",IF(INDEX(報告入力!$X$7:$X$696,B169)="","",INDEX(報告入力!$X$7:$X$696,B169)))</f>
        <v/>
      </c>
      <c r="S169" s="5" t="str">
        <f aca="false">設定!$C$49</f>
        <v>長期：退職等年金負担金</v>
      </c>
    </row>
    <row r="170" customFormat="false" ht="15" hidden="false" customHeight="false" outlineLevel="0" collapsed="false">
      <c r="A170" s="5" t="str">
        <f aca="false">設定!B93</f>
        <v>都市再生機構</v>
      </c>
      <c r="B170" s="5" t="n">
        <f aca="false">IFERROR(MATCH(ホーム!$C$4&amp;"|"&amp;A170,報告入力!$CG$7:$CG$696,0),"")</f>
        <v>355</v>
      </c>
      <c r="C170" s="5" t="str">
        <f aca="false">IF(B170="","",INDEX(報告入力!$C$7:$C$696,B170))</f>
        <v>受領済</v>
      </c>
      <c r="D170" s="5" t="str">
        <f aca="false">設定!$A$39</f>
        <v>長期（厚生年金保険経理）</v>
      </c>
      <c r="E170" s="5" t="str">
        <f aca="false">設定!$B$39&amp;""</f>
        <v>130</v>
      </c>
      <c r="F170" s="5" t="str">
        <f aca="false">設定!$D$50&amp;""</f>
        <v>2109001017</v>
      </c>
      <c r="G170" s="5" t="str">
        <f aca="false">設定!$E$50&amp;""</f>
        <v>経過的負担金</v>
      </c>
      <c r="H170" s="5" t="n">
        <f aca="false">IF(B170="",0,N(INDEX(報告入力!$AY$7:$AY$696,B170)))</f>
        <v>43</v>
      </c>
      <c r="I170" s="5" t="str">
        <f aca="false">設定!$C$39&amp;""</f>
        <v>1104001001</v>
      </c>
      <c r="J170" s="5" t="str">
        <f aca="false">設定!$D$39&amp;""</f>
        <v>普広銀市役所</v>
      </c>
      <c r="K170" s="5" t="n">
        <f aca="false">IF(AND(H170&lt;&gt;0,IF(設定!$B$6="入金確認済のみ",C170="入金確認済",OR(C170="入金確認済",C170="受領済"))),1,0)</f>
        <v>0</v>
      </c>
      <c r="L170" s="5" t="str">
        <f aca="false">1&amp;"|"&amp;33</f>
        <v>1|33</v>
      </c>
      <c r="M170" s="5" t="n">
        <f aca="false">IF(L170=L169,M169,0)+K170</f>
        <v>0</v>
      </c>
      <c r="N170" s="5" t="n">
        <f aca="false">IF(AND(K170=1,M170=1),1,0)</f>
        <v>0</v>
      </c>
      <c r="O170" s="5" t="str">
        <f aca="false">IF(K170=1,MAX($O$5:O169)+1,"")</f>
        <v/>
      </c>
      <c r="P170" s="5" t="str">
        <f aca="false">IF(K170=1,SUM($N$6:N170),"")</f>
        <v/>
      </c>
      <c r="Q170" s="5" t="str">
        <f aca="false">IF(K170=1,SUMIFS($H$6:$H$511,$L$6:$L$511,L170,$K$6:$K$511,1),"")</f>
        <v/>
      </c>
      <c r="R170" s="78" t="str">
        <f aca="false">IF(B170="","",IF(INDEX(報告入力!$X$7:$X$696,B170)="","",INDEX(報告入力!$X$7:$X$696,B170)))</f>
        <v/>
      </c>
      <c r="S170" s="5" t="str">
        <f aca="false">設定!$C$50</f>
        <v>長期：経過的長期</v>
      </c>
    </row>
    <row r="171" customFormat="false" ht="15" hidden="false" customHeight="false" outlineLevel="0" collapsed="false">
      <c r="A171" s="5" t="str">
        <f aca="false">設定!B94</f>
        <v>広島市立大学</v>
      </c>
      <c r="B171" s="5" t="n">
        <f aca="false">IFERROR(MATCH(ホーム!$C$4&amp;"|"&amp;A171,報告入力!$CG$7:$CG$696,0),"")</f>
        <v>356</v>
      </c>
      <c r="C171" s="5" t="str">
        <f aca="false">IF(B171="","",INDEX(報告入力!$C$7:$C$696,B171))</f>
        <v>未受領</v>
      </c>
      <c r="D171" s="5" t="str">
        <f aca="false">設定!$A$39</f>
        <v>長期（厚生年金保険経理）</v>
      </c>
      <c r="E171" s="5" t="str">
        <f aca="false">設定!$B$39&amp;""</f>
        <v>130</v>
      </c>
      <c r="F171" s="5" t="str">
        <f aca="false">設定!$D$46&amp;""</f>
        <v>6102102000</v>
      </c>
      <c r="G171" s="5" t="str">
        <f aca="false">設定!$E$46&amp;""</f>
        <v>標月額保険料</v>
      </c>
      <c r="H171" s="5" t="n">
        <f aca="false">IF(B171="",0,N(INDEX(報告入力!$AU$7:$AU$696,B171)))</f>
        <v>1234335</v>
      </c>
      <c r="I171" s="5" t="str">
        <f aca="false">設定!$C$39&amp;""</f>
        <v>1104001001</v>
      </c>
      <c r="J171" s="5" t="str">
        <f aca="false">設定!$D$39&amp;""</f>
        <v>普広銀市役所</v>
      </c>
      <c r="K171" s="5" t="n">
        <f aca="false">IF(AND(H171&lt;&gt;0,IF(設定!$B$6="入金確認済のみ",C171="入金確認済",OR(C171="入金確認済",C171="受領済"))),1,0)</f>
        <v>0</v>
      </c>
      <c r="L171" s="5" t="str">
        <f aca="false">1&amp;"|"&amp;34</f>
        <v>1|34</v>
      </c>
      <c r="M171" s="5" t="n">
        <f aca="false">IF(L171=L170,M170,0)+K171</f>
        <v>0</v>
      </c>
      <c r="N171" s="5" t="n">
        <f aca="false">IF(AND(K171=1,M171=1),1,0)</f>
        <v>0</v>
      </c>
      <c r="O171" s="5" t="str">
        <f aca="false">IF(K171=1,MAX($O$5:O170)+1,"")</f>
        <v/>
      </c>
      <c r="P171" s="5" t="str">
        <f aca="false">IF(K171=1,SUM($N$6:N171),"")</f>
        <v/>
      </c>
      <c r="Q171" s="5" t="str">
        <f aca="false">IF(K171=1,SUMIFS($H$6:$H$511,$L$6:$L$511,L171,$K$6:$K$511,1),"")</f>
        <v/>
      </c>
      <c r="R171" s="78" t="str">
        <f aca="false">IF(B171="","",IF(INDEX(報告入力!$X$7:$X$696,B171)="","",INDEX(報告入力!$X$7:$X$696,B171)))</f>
        <v/>
      </c>
      <c r="S171" s="5" t="str">
        <f aca="false">設定!$C$46</f>
        <v>長期：厚生年金保険料（組合員負担分）</v>
      </c>
    </row>
    <row r="172" customFormat="false" ht="15" hidden="false" customHeight="false" outlineLevel="0" collapsed="false">
      <c r="A172" s="5" t="str">
        <f aca="false">設定!B94</f>
        <v>広島市立大学</v>
      </c>
      <c r="B172" s="5" t="n">
        <f aca="false">IFERROR(MATCH(ホーム!$C$4&amp;"|"&amp;A172,報告入力!$CG$7:$CG$696,0),"")</f>
        <v>356</v>
      </c>
      <c r="C172" s="5" t="str">
        <f aca="false">IF(B172="","",INDEX(報告入力!$C$7:$C$696,B172))</f>
        <v>未受領</v>
      </c>
      <c r="D172" s="5" t="str">
        <f aca="false">設定!$A$39</f>
        <v>長期（厚生年金保険経理）</v>
      </c>
      <c r="E172" s="5" t="str">
        <f aca="false">設定!$B$39&amp;""</f>
        <v>130</v>
      </c>
      <c r="F172" s="5" t="str">
        <f aca="false">設定!$D$47&amp;""</f>
        <v>2109001014</v>
      </c>
      <c r="G172" s="5" t="str">
        <f aca="false">設定!$E$47&amp;""</f>
        <v>退職標報掛金</v>
      </c>
      <c r="H172" s="5" t="n">
        <f aca="false">IF(B172="",0,N(INDEX(報告入力!$AV$7:$AV$696,B172)))</f>
        <v>101175</v>
      </c>
      <c r="I172" s="5" t="str">
        <f aca="false">設定!$C$39&amp;""</f>
        <v>1104001001</v>
      </c>
      <c r="J172" s="5" t="str">
        <f aca="false">設定!$D$39&amp;""</f>
        <v>普広銀市役所</v>
      </c>
      <c r="K172" s="5" t="n">
        <f aca="false">IF(AND(H172&lt;&gt;0,IF(設定!$B$6="入金確認済のみ",C172="入金確認済",OR(C172="入金確認済",C172="受領済"))),1,0)</f>
        <v>0</v>
      </c>
      <c r="L172" s="5" t="str">
        <f aca="false">1&amp;"|"&amp;34</f>
        <v>1|34</v>
      </c>
      <c r="M172" s="5" t="n">
        <f aca="false">IF(L172=L171,M171,0)+K172</f>
        <v>0</v>
      </c>
      <c r="N172" s="5" t="n">
        <f aca="false">IF(AND(K172=1,M172=1),1,0)</f>
        <v>0</v>
      </c>
      <c r="O172" s="5" t="str">
        <f aca="false">IF(K172=1,MAX($O$5:O171)+1,"")</f>
        <v/>
      </c>
      <c r="P172" s="5" t="str">
        <f aca="false">IF(K172=1,SUM($N$6:N172),"")</f>
        <v/>
      </c>
      <c r="Q172" s="5" t="str">
        <f aca="false">IF(K172=1,SUMIFS($H$6:$H$511,$L$6:$L$511,L172,$K$6:$K$511,1),"")</f>
        <v/>
      </c>
      <c r="R172" s="78" t="str">
        <f aca="false">IF(B172="","",IF(INDEX(報告入力!$X$7:$X$696,B172)="","",INDEX(報告入力!$X$7:$X$696,B172)))</f>
        <v/>
      </c>
      <c r="S172" s="5" t="str">
        <f aca="false">設定!$C$47</f>
        <v>長期：退職等年金掛金</v>
      </c>
    </row>
    <row r="173" customFormat="false" ht="15" hidden="false" customHeight="false" outlineLevel="0" collapsed="false">
      <c r="A173" s="5" t="str">
        <f aca="false">設定!B94</f>
        <v>広島市立大学</v>
      </c>
      <c r="B173" s="5" t="n">
        <f aca="false">IFERROR(MATCH(ホーム!$C$4&amp;"|"&amp;A173,報告入力!$CG$7:$CG$696,0),"")</f>
        <v>356</v>
      </c>
      <c r="C173" s="5" t="str">
        <f aca="false">IF(B173="","",INDEX(報告入力!$C$7:$C$696,B173))</f>
        <v>未受領</v>
      </c>
      <c r="D173" s="5" t="str">
        <f aca="false">設定!$A$39</f>
        <v>長期（厚生年金保険経理）</v>
      </c>
      <c r="E173" s="5" t="str">
        <f aca="false">設定!$B$39&amp;""</f>
        <v>130</v>
      </c>
      <c r="F173" s="5" t="str">
        <f aca="false">設定!$D$48&amp;""</f>
        <v>6101002000</v>
      </c>
      <c r="G173" s="5" t="str">
        <f aca="false">設定!$E$48&amp;""</f>
        <v>負担地方公共</v>
      </c>
      <c r="H173" s="5" t="n">
        <f aca="false">IF(B173="",0,N(INDEX(報告入力!$AW$7:$AW$696,B173)))</f>
        <v>1234335</v>
      </c>
      <c r="I173" s="5" t="str">
        <f aca="false">設定!$C$39&amp;""</f>
        <v>1104001001</v>
      </c>
      <c r="J173" s="5" t="str">
        <f aca="false">設定!$D$39&amp;""</f>
        <v>普広銀市役所</v>
      </c>
      <c r="K173" s="5" t="n">
        <f aca="false">IF(AND(H173&lt;&gt;0,IF(設定!$B$6="入金確認済のみ",C173="入金確認済",OR(C173="入金確認済",C173="受領済"))),1,0)</f>
        <v>0</v>
      </c>
      <c r="L173" s="5" t="str">
        <f aca="false">1&amp;"|"&amp;34</f>
        <v>1|34</v>
      </c>
      <c r="M173" s="5" t="n">
        <f aca="false">IF(L173=L172,M172,0)+K173</f>
        <v>0</v>
      </c>
      <c r="N173" s="5" t="n">
        <f aca="false">IF(AND(K173=1,M173=1),1,0)</f>
        <v>0</v>
      </c>
      <c r="O173" s="5" t="str">
        <f aca="false">IF(K173=1,MAX($O$5:O172)+1,"")</f>
        <v/>
      </c>
      <c r="P173" s="5" t="str">
        <f aca="false">IF(K173=1,SUM($N$6:N173),"")</f>
        <v/>
      </c>
      <c r="Q173" s="5" t="str">
        <f aca="false">IF(K173=1,SUMIFS($H$6:$H$511,$L$6:$L$511,L173,$K$6:$K$511,1),"")</f>
        <v/>
      </c>
      <c r="R173" s="78" t="str">
        <f aca="false">IF(B173="","",IF(INDEX(報告入力!$X$7:$X$696,B173)="","",INDEX(報告入力!$X$7:$X$696,B173)))</f>
        <v/>
      </c>
      <c r="S173" s="5" t="str">
        <f aca="false">設定!$C$48</f>
        <v>長期：厚生年金保険料（事業主負担分）</v>
      </c>
    </row>
    <row r="174" customFormat="false" ht="15" hidden="false" customHeight="false" outlineLevel="0" collapsed="false">
      <c r="A174" s="5" t="str">
        <f aca="false">設定!B94</f>
        <v>広島市立大学</v>
      </c>
      <c r="B174" s="5" t="n">
        <f aca="false">IFERROR(MATCH(ホーム!$C$4&amp;"|"&amp;A174,報告入力!$CG$7:$CG$696,0),"")</f>
        <v>356</v>
      </c>
      <c r="C174" s="5" t="str">
        <f aca="false">IF(B174="","",INDEX(報告入力!$C$7:$C$696,B174))</f>
        <v>未受領</v>
      </c>
      <c r="D174" s="5" t="str">
        <f aca="false">設定!$A$39</f>
        <v>長期（厚生年金保険経理）</v>
      </c>
      <c r="E174" s="5" t="str">
        <f aca="false">設定!$B$39&amp;""</f>
        <v>130</v>
      </c>
      <c r="F174" s="5" t="str">
        <f aca="false">設定!$D$49&amp;""</f>
        <v>2109001015</v>
      </c>
      <c r="G174" s="5" t="str">
        <f aca="false">設定!$E$49&amp;""</f>
        <v>退職負担地方</v>
      </c>
      <c r="H174" s="5" t="n">
        <f aca="false">IF(B174="",0,N(INDEX(報告入力!$AX$7:$AX$696,B174)))</f>
        <v>101175</v>
      </c>
      <c r="I174" s="5" t="str">
        <f aca="false">設定!$C$39&amp;""</f>
        <v>1104001001</v>
      </c>
      <c r="J174" s="5" t="str">
        <f aca="false">設定!$D$39&amp;""</f>
        <v>普広銀市役所</v>
      </c>
      <c r="K174" s="5" t="n">
        <f aca="false">IF(AND(H174&lt;&gt;0,IF(設定!$B$6="入金確認済のみ",C174="入金確認済",OR(C174="入金確認済",C174="受領済"))),1,0)</f>
        <v>0</v>
      </c>
      <c r="L174" s="5" t="str">
        <f aca="false">1&amp;"|"&amp;34</f>
        <v>1|34</v>
      </c>
      <c r="M174" s="5" t="n">
        <f aca="false">IF(L174=L173,M173,0)+K174</f>
        <v>0</v>
      </c>
      <c r="N174" s="5" t="n">
        <f aca="false">IF(AND(K174=1,M174=1),1,0)</f>
        <v>0</v>
      </c>
      <c r="O174" s="5" t="str">
        <f aca="false">IF(K174=1,MAX($O$5:O173)+1,"")</f>
        <v/>
      </c>
      <c r="P174" s="5" t="str">
        <f aca="false">IF(K174=1,SUM($N$6:N174),"")</f>
        <v/>
      </c>
      <c r="Q174" s="5" t="str">
        <f aca="false">IF(K174=1,SUMIFS($H$6:$H$511,$L$6:$L$511,L174,$K$6:$K$511,1),"")</f>
        <v/>
      </c>
      <c r="R174" s="78" t="str">
        <f aca="false">IF(B174="","",IF(INDEX(報告入力!$X$7:$X$696,B174)="","",INDEX(報告入力!$X$7:$X$696,B174)))</f>
        <v/>
      </c>
      <c r="S174" s="5" t="str">
        <f aca="false">設定!$C$49</f>
        <v>長期：退職等年金負担金</v>
      </c>
    </row>
    <row r="175" customFormat="false" ht="15" hidden="false" customHeight="false" outlineLevel="0" collapsed="false">
      <c r="A175" s="5" t="str">
        <f aca="false">設定!B94</f>
        <v>広島市立大学</v>
      </c>
      <c r="B175" s="5" t="n">
        <f aca="false">IFERROR(MATCH(ホーム!$C$4&amp;"|"&amp;A175,報告入力!$CG$7:$CG$696,0),"")</f>
        <v>356</v>
      </c>
      <c r="C175" s="5" t="str">
        <f aca="false">IF(B175="","",INDEX(報告入力!$C$7:$C$696,B175))</f>
        <v>未受領</v>
      </c>
      <c r="D175" s="5" t="str">
        <f aca="false">設定!$A$39</f>
        <v>長期（厚生年金保険経理）</v>
      </c>
      <c r="E175" s="5" t="str">
        <f aca="false">設定!$B$39&amp;""</f>
        <v>130</v>
      </c>
      <c r="F175" s="5" t="str">
        <f aca="false">設定!$D$50&amp;""</f>
        <v>2109001017</v>
      </c>
      <c r="G175" s="5" t="str">
        <f aca="false">設定!$E$50&amp;""</f>
        <v>経過的負担金</v>
      </c>
      <c r="H175" s="5" t="n">
        <f aca="false">IF(B175="",0,N(INDEX(報告入力!$AY$7:$AY$696,B175)))</f>
        <v>1337</v>
      </c>
      <c r="I175" s="5" t="str">
        <f aca="false">設定!$C$39&amp;""</f>
        <v>1104001001</v>
      </c>
      <c r="J175" s="5" t="str">
        <f aca="false">設定!$D$39&amp;""</f>
        <v>普広銀市役所</v>
      </c>
      <c r="K175" s="5" t="n">
        <f aca="false">IF(AND(H175&lt;&gt;0,IF(設定!$B$6="入金確認済のみ",C175="入金確認済",OR(C175="入金確認済",C175="受領済"))),1,0)</f>
        <v>0</v>
      </c>
      <c r="L175" s="5" t="str">
        <f aca="false">1&amp;"|"&amp;34</f>
        <v>1|34</v>
      </c>
      <c r="M175" s="5" t="n">
        <f aca="false">IF(L175=L174,M174,0)+K175</f>
        <v>0</v>
      </c>
      <c r="N175" s="5" t="n">
        <f aca="false">IF(AND(K175=1,M175=1),1,0)</f>
        <v>0</v>
      </c>
      <c r="O175" s="5" t="str">
        <f aca="false">IF(K175=1,MAX($O$5:O174)+1,"")</f>
        <v/>
      </c>
      <c r="P175" s="5" t="str">
        <f aca="false">IF(K175=1,SUM($N$6:N175),"")</f>
        <v/>
      </c>
      <c r="Q175" s="5" t="str">
        <f aca="false">IF(K175=1,SUMIFS($H$6:$H$511,$L$6:$L$511,L175,$K$6:$K$511,1),"")</f>
        <v/>
      </c>
      <c r="R175" s="78" t="str">
        <f aca="false">IF(B175="","",IF(INDEX(報告入力!$X$7:$X$696,B175)="","",INDEX(報告入力!$X$7:$X$696,B175)))</f>
        <v/>
      </c>
      <c r="S175" s="5" t="str">
        <f aca="false">設定!$C$50</f>
        <v>長期：経過的長期</v>
      </c>
    </row>
    <row r="176" customFormat="false" ht="15" hidden="false" customHeight="false" outlineLevel="0" collapsed="false">
      <c r="A176" s="5" t="str">
        <f aca="false">設定!B95</f>
        <v>社会福祉協議会</v>
      </c>
      <c r="B176" s="5" t="n">
        <f aca="false">IFERROR(MATCH(ホーム!$C$4&amp;"|"&amp;A176,報告入力!$CG$7:$CG$696,0),"")</f>
        <v>357</v>
      </c>
      <c r="C176" s="5" t="str">
        <f aca="false">IF(B176="","",INDEX(報告入力!$C$7:$C$696,B176))</f>
        <v>未受領</v>
      </c>
      <c r="D176" s="5" t="str">
        <f aca="false">設定!$A$39</f>
        <v>長期（厚生年金保険経理）</v>
      </c>
      <c r="E176" s="5" t="str">
        <f aca="false">設定!$B$39&amp;""</f>
        <v>130</v>
      </c>
      <c r="F176" s="5" t="str">
        <f aca="false">設定!$D$46&amp;""</f>
        <v>6102102000</v>
      </c>
      <c r="G176" s="5" t="str">
        <f aca="false">設定!$E$46&amp;""</f>
        <v>標月額保険料</v>
      </c>
      <c r="H176" s="5" t="n">
        <f aca="false">IF(B176="",0,N(INDEX(報告入力!$AU$7:$AU$696,B176)))</f>
        <v>0</v>
      </c>
      <c r="I176" s="5" t="str">
        <f aca="false">設定!$C$39&amp;""</f>
        <v>1104001001</v>
      </c>
      <c r="J176" s="5" t="str">
        <f aca="false">設定!$D$39&amp;""</f>
        <v>普広銀市役所</v>
      </c>
      <c r="K176" s="5" t="n">
        <f aca="false">IF(AND(H176&lt;&gt;0,IF(設定!$B$6="入金確認済のみ",C176="入金確認済",OR(C176="入金確認済",C176="受領済"))),1,0)</f>
        <v>0</v>
      </c>
      <c r="L176" s="5" t="str">
        <f aca="false">1&amp;"|"&amp;35</f>
        <v>1|35</v>
      </c>
      <c r="M176" s="5" t="n">
        <f aca="false">IF(L176=L175,M175,0)+K176</f>
        <v>0</v>
      </c>
      <c r="N176" s="5" t="n">
        <f aca="false">IF(AND(K176=1,M176=1),1,0)</f>
        <v>0</v>
      </c>
      <c r="O176" s="5" t="str">
        <f aca="false">IF(K176=1,MAX($O$5:O175)+1,"")</f>
        <v/>
      </c>
      <c r="P176" s="5" t="str">
        <f aca="false">IF(K176=1,SUM($N$6:N176),"")</f>
        <v/>
      </c>
      <c r="Q176" s="5" t="str">
        <f aca="false">IF(K176=1,SUMIFS($H$6:$H$511,$L$6:$L$511,L176,$K$6:$K$511,1),"")</f>
        <v/>
      </c>
      <c r="R176" s="78" t="str">
        <f aca="false">IF(B176="","",IF(INDEX(報告入力!$X$7:$X$696,B176)="","",INDEX(報告入力!$X$7:$X$696,B176)))</f>
        <v/>
      </c>
      <c r="S176" s="5" t="str">
        <f aca="false">設定!$C$46</f>
        <v>長期：厚生年金保険料（組合員負担分）</v>
      </c>
    </row>
    <row r="177" customFormat="false" ht="15" hidden="false" customHeight="false" outlineLevel="0" collapsed="false">
      <c r="A177" s="5" t="str">
        <f aca="false">設定!B95</f>
        <v>社会福祉協議会</v>
      </c>
      <c r="B177" s="5" t="n">
        <f aca="false">IFERROR(MATCH(ホーム!$C$4&amp;"|"&amp;A177,報告入力!$CG$7:$CG$696,0),"")</f>
        <v>357</v>
      </c>
      <c r="C177" s="5" t="str">
        <f aca="false">IF(B177="","",INDEX(報告入力!$C$7:$C$696,B177))</f>
        <v>未受領</v>
      </c>
      <c r="D177" s="5" t="str">
        <f aca="false">設定!$A$39</f>
        <v>長期（厚生年金保険経理）</v>
      </c>
      <c r="E177" s="5" t="str">
        <f aca="false">設定!$B$39&amp;""</f>
        <v>130</v>
      </c>
      <c r="F177" s="5" t="str">
        <f aca="false">設定!$D$47&amp;""</f>
        <v>2109001014</v>
      </c>
      <c r="G177" s="5" t="str">
        <f aca="false">設定!$E$47&amp;""</f>
        <v>退職標報掛金</v>
      </c>
      <c r="H177" s="5" t="n">
        <f aca="false">IF(B177="",0,N(INDEX(報告入力!$AV$7:$AV$696,B177)))</f>
        <v>0</v>
      </c>
      <c r="I177" s="5" t="str">
        <f aca="false">設定!$C$39&amp;""</f>
        <v>1104001001</v>
      </c>
      <c r="J177" s="5" t="str">
        <f aca="false">設定!$D$39&amp;""</f>
        <v>普広銀市役所</v>
      </c>
      <c r="K177" s="5" t="n">
        <f aca="false">IF(AND(H177&lt;&gt;0,IF(設定!$B$6="入金確認済のみ",C177="入金確認済",OR(C177="入金確認済",C177="受領済"))),1,0)</f>
        <v>0</v>
      </c>
      <c r="L177" s="5" t="str">
        <f aca="false">1&amp;"|"&amp;35</f>
        <v>1|35</v>
      </c>
      <c r="M177" s="5" t="n">
        <f aca="false">IF(L177=L176,M176,0)+K177</f>
        <v>0</v>
      </c>
      <c r="N177" s="5" t="n">
        <f aca="false">IF(AND(K177=1,M177=1),1,0)</f>
        <v>0</v>
      </c>
      <c r="O177" s="5" t="str">
        <f aca="false">IF(K177=1,MAX($O$5:O176)+1,"")</f>
        <v/>
      </c>
      <c r="P177" s="5" t="str">
        <f aca="false">IF(K177=1,SUM($N$6:N177),"")</f>
        <v/>
      </c>
      <c r="Q177" s="5" t="str">
        <f aca="false">IF(K177=1,SUMIFS($H$6:$H$511,$L$6:$L$511,L177,$K$6:$K$511,1),"")</f>
        <v/>
      </c>
      <c r="R177" s="78" t="str">
        <f aca="false">IF(B177="","",IF(INDEX(報告入力!$X$7:$X$696,B177)="","",INDEX(報告入力!$X$7:$X$696,B177)))</f>
        <v/>
      </c>
      <c r="S177" s="5" t="str">
        <f aca="false">設定!$C$47</f>
        <v>長期：退職等年金掛金</v>
      </c>
    </row>
    <row r="178" customFormat="false" ht="15" hidden="false" customHeight="false" outlineLevel="0" collapsed="false">
      <c r="A178" s="5" t="str">
        <f aca="false">設定!B95</f>
        <v>社会福祉協議会</v>
      </c>
      <c r="B178" s="5" t="n">
        <f aca="false">IFERROR(MATCH(ホーム!$C$4&amp;"|"&amp;A178,報告入力!$CG$7:$CG$696,0),"")</f>
        <v>357</v>
      </c>
      <c r="C178" s="5" t="str">
        <f aca="false">IF(B178="","",INDEX(報告入力!$C$7:$C$696,B178))</f>
        <v>未受領</v>
      </c>
      <c r="D178" s="5" t="str">
        <f aca="false">設定!$A$39</f>
        <v>長期（厚生年金保険経理）</v>
      </c>
      <c r="E178" s="5" t="str">
        <f aca="false">設定!$B$39&amp;""</f>
        <v>130</v>
      </c>
      <c r="F178" s="5" t="str">
        <f aca="false">設定!$D$48&amp;""</f>
        <v>6101002000</v>
      </c>
      <c r="G178" s="5" t="str">
        <f aca="false">設定!$E$48&amp;""</f>
        <v>負担地方公共</v>
      </c>
      <c r="H178" s="5" t="n">
        <f aca="false">IF(B178="",0,N(INDEX(報告入力!$AW$7:$AW$696,B178)))</f>
        <v>245220</v>
      </c>
      <c r="I178" s="5" t="str">
        <f aca="false">設定!$C$39&amp;""</f>
        <v>1104001001</v>
      </c>
      <c r="J178" s="5" t="str">
        <f aca="false">設定!$D$39&amp;""</f>
        <v>普広銀市役所</v>
      </c>
      <c r="K178" s="5" t="n">
        <f aca="false">IF(AND(H178&lt;&gt;0,IF(設定!$B$6="入金確認済のみ",C178="入金確認済",OR(C178="入金確認済",C178="受領済"))),1,0)</f>
        <v>0</v>
      </c>
      <c r="L178" s="5" t="str">
        <f aca="false">1&amp;"|"&amp;35</f>
        <v>1|35</v>
      </c>
      <c r="M178" s="5" t="n">
        <f aca="false">IF(L178=L177,M177,0)+K178</f>
        <v>0</v>
      </c>
      <c r="N178" s="5" t="n">
        <f aca="false">IF(AND(K178=1,M178=1),1,0)</f>
        <v>0</v>
      </c>
      <c r="O178" s="5" t="str">
        <f aca="false">IF(K178=1,MAX($O$5:O177)+1,"")</f>
        <v/>
      </c>
      <c r="P178" s="5" t="str">
        <f aca="false">IF(K178=1,SUM($N$6:N178),"")</f>
        <v/>
      </c>
      <c r="Q178" s="5" t="str">
        <f aca="false">IF(K178=1,SUMIFS($H$6:$H$511,$L$6:$L$511,L178,$K$6:$K$511,1),"")</f>
        <v/>
      </c>
      <c r="R178" s="78" t="str">
        <f aca="false">IF(B178="","",IF(INDEX(報告入力!$X$7:$X$696,B178)="","",INDEX(報告入力!$X$7:$X$696,B178)))</f>
        <v/>
      </c>
      <c r="S178" s="5" t="str">
        <f aca="false">設定!$C$48</f>
        <v>長期：厚生年金保険料（事業主負担分）</v>
      </c>
    </row>
    <row r="179" customFormat="false" ht="15" hidden="false" customHeight="false" outlineLevel="0" collapsed="false">
      <c r="A179" s="5" t="str">
        <f aca="false">設定!B95</f>
        <v>社会福祉協議会</v>
      </c>
      <c r="B179" s="5" t="n">
        <f aca="false">IFERROR(MATCH(ホーム!$C$4&amp;"|"&amp;A179,報告入力!$CG$7:$CG$696,0),"")</f>
        <v>357</v>
      </c>
      <c r="C179" s="5" t="str">
        <f aca="false">IF(B179="","",INDEX(報告入力!$C$7:$C$696,B179))</f>
        <v>未受領</v>
      </c>
      <c r="D179" s="5" t="str">
        <f aca="false">設定!$A$39</f>
        <v>長期（厚生年金保険経理）</v>
      </c>
      <c r="E179" s="5" t="str">
        <f aca="false">設定!$B$39&amp;""</f>
        <v>130</v>
      </c>
      <c r="F179" s="5" t="str">
        <f aca="false">設定!$D$49&amp;""</f>
        <v>2109001015</v>
      </c>
      <c r="G179" s="5" t="str">
        <f aca="false">設定!$E$49&amp;""</f>
        <v>退職負担地方</v>
      </c>
      <c r="H179" s="5" t="n">
        <f aca="false">IF(B179="",0,N(INDEX(報告入力!$AX$7:$AX$696,B179)))</f>
        <v>20100</v>
      </c>
      <c r="I179" s="5" t="str">
        <f aca="false">設定!$C$39&amp;""</f>
        <v>1104001001</v>
      </c>
      <c r="J179" s="5" t="str">
        <f aca="false">設定!$D$39&amp;""</f>
        <v>普広銀市役所</v>
      </c>
      <c r="K179" s="5" t="n">
        <f aca="false">IF(AND(H179&lt;&gt;0,IF(設定!$B$6="入金確認済のみ",C179="入金確認済",OR(C179="入金確認済",C179="受領済"))),1,0)</f>
        <v>0</v>
      </c>
      <c r="L179" s="5" t="str">
        <f aca="false">1&amp;"|"&amp;35</f>
        <v>1|35</v>
      </c>
      <c r="M179" s="5" t="n">
        <f aca="false">IF(L179=L178,M178,0)+K179</f>
        <v>0</v>
      </c>
      <c r="N179" s="5" t="n">
        <f aca="false">IF(AND(K179=1,M179=1),1,0)</f>
        <v>0</v>
      </c>
      <c r="O179" s="5" t="str">
        <f aca="false">IF(K179=1,MAX($O$5:O178)+1,"")</f>
        <v/>
      </c>
      <c r="P179" s="5" t="str">
        <f aca="false">IF(K179=1,SUM($N$6:N179),"")</f>
        <v/>
      </c>
      <c r="Q179" s="5" t="str">
        <f aca="false">IF(K179=1,SUMIFS($H$6:$H$511,$L$6:$L$511,L179,$K$6:$K$511,1),"")</f>
        <v/>
      </c>
      <c r="R179" s="78" t="str">
        <f aca="false">IF(B179="","",IF(INDEX(報告入力!$X$7:$X$696,B179)="","",INDEX(報告入力!$X$7:$X$696,B179)))</f>
        <v/>
      </c>
      <c r="S179" s="5" t="str">
        <f aca="false">設定!$C$49</f>
        <v>長期：退職等年金負担金</v>
      </c>
    </row>
    <row r="180" customFormat="false" ht="15" hidden="false" customHeight="false" outlineLevel="0" collapsed="false">
      <c r="A180" s="5" t="str">
        <f aca="false">設定!B95</f>
        <v>社会福祉協議会</v>
      </c>
      <c r="B180" s="5" t="n">
        <f aca="false">IFERROR(MATCH(ホーム!$C$4&amp;"|"&amp;A180,報告入力!$CG$7:$CG$696,0),"")</f>
        <v>357</v>
      </c>
      <c r="C180" s="5" t="str">
        <f aca="false">IF(B180="","",INDEX(報告入力!$C$7:$C$696,B180))</f>
        <v>未受領</v>
      </c>
      <c r="D180" s="5" t="str">
        <f aca="false">設定!$A$39</f>
        <v>長期（厚生年金保険経理）</v>
      </c>
      <c r="E180" s="5" t="str">
        <f aca="false">設定!$B$39&amp;""</f>
        <v>130</v>
      </c>
      <c r="F180" s="5" t="str">
        <f aca="false">設定!$D$50&amp;""</f>
        <v>2109001017</v>
      </c>
      <c r="G180" s="5" t="str">
        <f aca="false">設定!$E$50&amp;""</f>
        <v>経過的負担金</v>
      </c>
      <c r="H180" s="5" t="n">
        <f aca="false">IF(B180="",0,N(INDEX(報告入力!$AY$7:$AY$696,B180)))</f>
        <v>251</v>
      </c>
      <c r="I180" s="5" t="str">
        <f aca="false">設定!$C$39&amp;""</f>
        <v>1104001001</v>
      </c>
      <c r="J180" s="5" t="str">
        <f aca="false">設定!$D$39&amp;""</f>
        <v>普広銀市役所</v>
      </c>
      <c r="K180" s="5" t="n">
        <f aca="false">IF(AND(H180&lt;&gt;0,IF(設定!$B$6="入金確認済のみ",C180="入金確認済",OR(C180="入金確認済",C180="受領済"))),1,0)</f>
        <v>0</v>
      </c>
      <c r="L180" s="5" t="str">
        <f aca="false">1&amp;"|"&amp;35</f>
        <v>1|35</v>
      </c>
      <c r="M180" s="5" t="n">
        <f aca="false">IF(L180=L179,M179,0)+K180</f>
        <v>0</v>
      </c>
      <c r="N180" s="5" t="n">
        <f aca="false">IF(AND(K180=1,M180=1),1,0)</f>
        <v>0</v>
      </c>
      <c r="O180" s="5" t="str">
        <f aca="false">IF(K180=1,MAX($O$5:O179)+1,"")</f>
        <v/>
      </c>
      <c r="P180" s="5" t="str">
        <f aca="false">IF(K180=1,SUM($N$6:N180),"")</f>
        <v/>
      </c>
      <c r="Q180" s="5" t="str">
        <f aca="false">IF(K180=1,SUMIFS($H$6:$H$511,$L$6:$L$511,L180,$K$6:$K$511,1),"")</f>
        <v/>
      </c>
      <c r="R180" s="78" t="str">
        <f aca="false">IF(B180="","",IF(INDEX(報告入力!$X$7:$X$696,B180)="","",INDEX(報告入力!$X$7:$X$696,B180)))</f>
        <v/>
      </c>
      <c r="S180" s="5" t="str">
        <f aca="false">設定!$C$50</f>
        <v>長期：経過的長期</v>
      </c>
    </row>
    <row r="181" customFormat="false" ht="15" hidden="false" customHeight="false" outlineLevel="0" collapsed="false">
      <c r="A181" s="5" t="str">
        <f aca="false">設定!B96</f>
        <v>市立病院機構</v>
      </c>
      <c r="B181" s="5" t="n">
        <f aca="false">IFERROR(MATCH(ホーム!$C$4&amp;"|"&amp;A181,報告入力!$CG$7:$CG$696,0),"")</f>
        <v>358</v>
      </c>
      <c r="C181" s="5" t="str">
        <f aca="false">IF(B181="","",INDEX(報告入力!$C$7:$C$696,B181))</f>
        <v>未受領</v>
      </c>
      <c r="D181" s="5" t="str">
        <f aca="false">設定!$A$39</f>
        <v>長期（厚生年金保険経理）</v>
      </c>
      <c r="E181" s="5" t="str">
        <f aca="false">設定!$B$39&amp;""</f>
        <v>130</v>
      </c>
      <c r="F181" s="5" t="str">
        <f aca="false">設定!$D$46&amp;""</f>
        <v>6102102000</v>
      </c>
      <c r="G181" s="5" t="str">
        <f aca="false">設定!$E$46&amp;""</f>
        <v>標月額保険料</v>
      </c>
      <c r="H181" s="5" t="n">
        <f aca="false">IF(B181="",0,N(INDEX(報告入力!$AU$7:$AU$696,B181)))</f>
        <v>124033466</v>
      </c>
      <c r="I181" s="5" t="str">
        <f aca="false">設定!$C$39&amp;""</f>
        <v>1104001001</v>
      </c>
      <c r="J181" s="5" t="str">
        <f aca="false">設定!$D$39&amp;""</f>
        <v>普広銀市役所</v>
      </c>
      <c r="K181" s="5" t="n">
        <f aca="false">IF(AND(H181&lt;&gt;0,IF(設定!$B$6="入金確認済のみ",C181="入金確認済",OR(C181="入金確認済",C181="受領済"))),1,0)</f>
        <v>0</v>
      </c>
      <c r="L181" s="5" t="str">
        <f aca="false">1&amp;"|"&amp;36</f>
        <v>1|36</v>
      </c>
      <c r="M181" s="5" t="n">
        <f aca="false">IF(L181=L180,M180,0)+K181</f>
        <v>0</v>
      </c>
      <c r="N181" s="5" t="n">
        <f aca="false">IF(AND(K181=1,M181=1),1,0)</f>
        <v>0</v>
      </c>
      <c r="O181" s="5" t="str">
        <f aca="false">IF(K181=1,MAX($O$5:O180)+1,"")</f>
        <v/>
      </c>
      <c r="P181" s="5" t="str">
        <f aca="false">IF(K181=1,SUM($N$6:N181),"")</f>
        <v/>
      </c>
      <c r="Q181" s="5" t="str">
        <f aca="false">IF(K181=1,SUMIFS($H$6:$H$511,$L$6:$L$511,L181,$K$6:$K$511,1),"")</f>
        <v/>
      </c>
      <c r="R181" s="78" t="str">
        <f aca="false">IF(B181="","",IF(INDEX(報告入力!$X$7:$X$696,B181)="","",INDEX(報告入力!$X$7:$X$696,B181)))</f>
        <v/>
      </c>
      <c r="S181" s="5" t="str">
        <f aca="false">設定!$C$46</f>
        <v>長期：厚生年金保険料（組合員負担分）</v>
      </c>
    </row>
    <row r="182" customFormat="false" ht="15" hidden="false" customHeight="false" outlineLevel="0" collapsed="false">
      <c r="A182" s="5" t="str">
        <f aca="false">設定!B96</f>
        <v>市立病院機構</v>
      </c>
      <c r="B182" s="5" t="n">
        <f aca="false">IFERROR(MATCH(ホーム!$C$4&amp;"|"&amp;A182,報告入力!$CG$7:$CG$696,0),"")</f>
        <v>358</v>
      </c>
      <c r="C182" s="5" t="str">
        <f aca="false">IF(B182="","",INDEX(報告入力!$C$7:$C$696,B182))</f>
        <v>未受領</v>
      </c>
      <c r="D182" s="5" t="str">
        <f aca="false">設定!$A$39</f>
        <v>長期（厚生年金保険経理）</v>
      </c>
      <c r="E182" s="5" t="str">
        <f aca="false">設定!$B$39&amp;""</f>
        <v>130</v>
      </c>
      <c r="F182" s="5" t="str">
        <f aca="false">設定!$D$47&amp;""</f>
        <v>2109001014</v>
      </c>
      <c r="G182" s="5" t="str">
        <f aca="false">設定!$E$47&amp;""</f>
        <v>退職標報掛金</v>
      </c>
      <c r="H182" s="5" t="n">
        <f aca="false">IF(B182="",0,N(INDEX(報告入力!$AV$7:$AV$696,B182)))</f>
        <v>10166678</v>
      </c>
      <c r="I182" s="5" t="str">
        <f aca="false">設定!$C$39&amp;""</f>
        <v>1104001001</v>
      </c>
      <c r="J182" s="5" t="str">
        <f aca="false">設定!$D$39&amp;""</f>
        <v>普広銀市役所</v>
      </c>
      <c r="K182" s="5" t="n">
        <f aca="false">IF(AND(H182&lt;&gt;0,IF(設定!$B$6="入金確認済のみ",C182="入金確認済",OR(C182="入金確認済",C182="受領済"))),1,0)</f>
        <v>0</v>
      </c>
      <c r="L182" s="5" t="str">
        <f aca="false">1&amp;"|"&amp;36</f>
        <v>1|36</v>
      </c>
      <c r="M182" s="5" t="n">
        <f aca="false">IF(L182=L181,M181,0)+K182</f>
        <v>0</v>
      </c>
      <c r="N182" s="5" t="n">
        <f aca="false">IF(AND(K182=1,M182=1),1,0)</f>
        <v>0</v>
      </c>
      <c r="O182" s="5" t="str">
        <f aca="false">IF(K182=1,MAX($O$5:O181)+1,"")</f>
        <v/>
      </c>
      <c r="P182" s="5" t="str">
        <f aca="false">IF(K182=1,SUM($N$6:N182),"")</f>
        <v/>
      </c>
      <c r="Q182" s="5" t="str">
        <f aca="false">IF(K182=1,SUMIFS($H$6:$H$511,$L$6:$L$511,L182,$K$6:$K$511,1),"")</f>
        <v/>
      </c>
      <c r="R182" s="78" t="str">
        <f aca="false">IF(B182="","",IF(INDEX(報告入力!$X$7:$X$696,B182)="","",INDEX(報告入力!$X$7:$X$696,B182)))</f>
        <v/>
      </c>
      <c r="S182" s="5" t="str">
        <f aca="false">設定!$C$47</f>
        <v>長期：退職等年金掛金</v>
      </c>
    </row>
    <row r="183" customFormat="false" ht="15" hidden="false" customHeight="false" outlineLevel="0" collapsed="false">
      <c r="A183" s="5" t="str">
        <f aca="false">設定!B96</f>
        <v>市立病院機構</v>
      </c>
      <c r="B183" s="5" t="n">
        <f aca="false">IFERROR(MATCH(ホーム!$C$4&amp;"|"&amp;A183,報告入力!$CG$7:$CG$696,0),"")</f>
        <v>358</v>
      </c>
      <c r="C183" s="5" t="str">
        <f aca="false">IF(B183="","",INDEX(報告入力!$C$7:$C$696,B183))</f>
        <v>未受領</v>
      </c>
      <c r="D183" s="5" t="str">
        <f aca="false">設定!$A$39</f>
        <v>長期（厚生年金保険経理）</v>
      </c>
      <c r="E183" s="5" t="str">
        <f aca="false">設定!$B$39&amp;""</f>
        <v>130</v>
      </c>
      <c r="F183" s="5" t="str">
        <f aca="false">設定!$D$48&amp;""</f>
        <v>6101002000</v>
      </c>
      <c r="G183" s="5" t="str">
        <f aca="false">設定!$E$48&amp;""</f>
        <v>負担地方公共</v>
      </c>
      <c r="H183" s="5" t="n">
        <f aca="false">IF(B183="",0,N(INDEX(報告入力!$AW$7:$AW$696,B183)))</f>
        <v>183571142</v>
      </c>
      <c r="I183" s="5" t="str">
        <f aca="false">設定!$C$39&amp;""</f>
        <v>1104001001</v>
      </c>
      <c r="J183" s="5" t="str">
        <f aca="false">設定!$D$39&amp;""</f>
        <v>普広銀市役所</v>
      </c>
      <c r="K183" s="5" t="n">
        <f aca="false">IF(AND(H183&lt;&gt;0,IF(設定!$B$6="入金確認済のみ",C183="入金確認済",OR(C183="入金確認済",C183="受領済"))),1,0)</f>
        <v>0</v>
      </c>
      <c r="L183" s="5" t="str">
        <f aca="false">1&amp;"|"&amp;36</f>
        <v>1|36</v>
      </c>
      <c r="M183" s="5" t="n">
        <f aca="false">IF(L183=L182,M182,0)+K183</f>
        <v>0</v>
      </c>
      <c r="N183" s="5" t="n">
        <f aca="false">IF(AND(K183=1,M183=1),1,0)</f>
        <v>0</v>
      </c>
      <c r="O183" s="5" t="str">
        <f aca="false">IF(K183=1,MAX($O$5:O182)+1,"")</f>
        <v/>
      </c>
      <c r="P183" s="5" t="str">
        <f aca="false">IF(K183=1,SUM($N$6:N183),"")</f>
        <v/>
      </c>
      <c r="Q183" s="5" t="str">
        <f aca="false">IF(K183=1,SUMIFS($H$6:$H$511,$L$6:$L$511,L183,$K$6:$K$511,1),"")</f>
        <v/>
      </c>
      <c r="R183" s="78" t="str">
        <f aca="false">IF(B183="","",IF(INDEX(報告入力!$X$7:$X$696,B183)="","",INDEX(報告入力!$X$7:$X$696,B183)))</f>
        <v/>
      </c>
      <c r="S183" s="5" t="str">
        <f aca="false">設定!$C$48</f>
        <v>長期：厚生年金保険料（事業主負担分）</v>
      </c>
    </row>
    <row r="184" customFormat="false" ht="15" hidden="false" customHeight="false" outlineLevel="0" collapsed="false">
      <c r="A184" s="5" t="str">
        <f aca="false">設定!B96</f>
        <v>市立病院機構</v>
      </c>
      <c r="B184" s="5" t="n">
        <f aca="false">IFERROR(MATCH(ホーム!$C$4&amp;"|"&amp;A184,報告入力!$CG$7:$CG$696,0),"")</f>
        <v>358</v>
      </c>
      <c r="C184" s="5" t="str">
        <f aca="false">IF(B184="","",INDEX(報告入力!$C$7:$C$696,B184))</f>
        <v>未受領</v>
      </c>
      <c r="D184" s="5" t="str">
        <f aca="false">設定!$A$39</f>
        <v>長期（厚生年金保険経理）</v>
      </c>
      <c r="E184" s="5" t="str">
        <f aca="false">設定!$B$39&amp;""</f>
        <v>130</v>
      </c>
      <c r="F184" s="5" t="str">
        <f aca="false">設定!$D$49&amp;""</f>
        <v>2109001015</v>
      </c>
      <c r="G184" s="5" t="str">
        <f aca="false">設定!$E$49&amp;""</f>
        <v>退職負担地方</v>
      </c>
      <c r="H184" s="5" t="n">
        <f aca="false">IF(B184="",0,N(INDEX(報告入力!$AX$7:$AX$696,B184)))</f>
        <v>10169978</v>
      </c>
      <c r="I184" s="5" t="str">
        <f aca="false">設定!$C$39&amp;""</f>
        <v>1104001001</v>
      </c>
      <c r="J184" s="5" t="str">
        <f aca="false">設定!$D$39&amp;""</f>
        <v>普広銀市役所</v>
      </c>
      <c r="K184" s="5" t="n">
        <f aca="false">IF(AND(H184&lt;&gt;0,IF(設定!$B$6="入金確認済のみ",C184="入金確認済",OR(C184="入金確認済",C184="受領済"))),1,0)</f>
        <v>0</v>
      </c>
      <c r="L184" s="5" t="str">
        <f aca="false">1&amp;"|"&amp;36</f>
        <v>1|36</v>
      </c>
      <c r="M184" s="5" t="n">
        <f aca="false">IF(L184=L183,M183,0)+K184</f>
        <v>0</v>
      </c>
      <c r="N184" s="5" t="n">
        <f aca="false">IF(AND(K184=1,M184=1),1,0)</f>
        <v>0</v>
      </c>
      <c r="O184" s="5" t="str">
        <f aca="false">IF(K184=1,MAX($O$5:O183)+1,"")</f>
        <v/>
      </c>
      <c r="P184" s="5" t="str">
        <f aca="false">IF(K184=1,SUM($N$6:N184),"")</f>
        <v/>
      </c>
      <c r="Q184" s="5" t="str">
        <f aca="false">IF(K184=1,SUMIFS($H$6:$H$511,$L$6:$L$511,L184,$K$6:$K$511,1),"")</f>
        <v/>
      </c>
      <c r="R184" s="78" t="str">
        <f aca="false">IF(B184="","",IF(INDEX(報告入力!$X$7:$X$696,B184)="","",INDEX(報告入力!$X$7:$X$696,B184)))</f>
        <v/>
      </c>
      <c r="S184" s="5" t="str">
        <f aca="false">設定!$C$49</f>
        <v>長期：退職等年金負担金</v>
      </c>
    </row>
    <row r="185" customFormat="false" ht="15" hidden="false" customHeight="false" outlineLevel="0" collapsed="false">
      <c r="A185" s="5" t="str">
        <f aca="false">設定!B96</f>
        <v>市立病院機構</v>
      </c>
      <c r="B185" s="5" t="n">
        <f aca="false">IFERROR(MATCH(ホーム!$C$4&amp;"|"&amp;A185,報告入力!$CG$7:$CG$696,0),"")</f>
        <v>358</v>
      </c>
      <c r="C185" s="5" t="str">
        <f aca="false">IF(B185="","",INDEX(報告入力!$C$7:$C$696,B185))</f>
        <v>未受領</v>
      </c>
      <c r="D185" s="5" t="str">
        <f aca="false">設定!$A$39</f>
        <v>長期（厚生年金保険経理）</v>
      </c>
      <c r="E185" s="5" t="str">
        <f aca="false">設定!$B$39&amp;""</f>
        <v>130</v>
      </c>
      <c r="F185" s="5" t="str">
        <f aca="false">設定!$D$50&amp;""</f>
        <v>2109001017</v>
      </c>
      <c r="G185" s="5" t="str">
        <f aca="false">設定!$E$50&amp;""</f>
        <v>経過的負担金</v>
      </c>
      <c r="H185" s="5" t="n">
        <f aca="false">IF(B185="",0,N(INDEX(報告入力!$AY$7:$AY$696,B185)))</f>
        <v>134503</v>
      </c>
      <c r="I185" s="5" t="str">
        <f aca="false">設定!$C$39&amp;""</f>
        <v>1104001001</v>
      </c>
      <c r="J185" s="5" t="str">
        <f aca="false">設定!$D$39&amp;""</f>
        <v>普広銀市役所</v>
      </c>
      <c r="K185" s="5" t="n">
        <f aca="false">IF(AND(H185&lt;&gt;0,IF(設定!$B$6="入金確認済のみ",C185="入金確認済",OR(C185="入金確認済",C185="受領済"))),1,0)</f>
        <v>0</v>
      </c>
      <c r="L185" s="5" t="str">
        <f aca="false">1&amp;"|"&amp;36</f>
        <v>1|36</v>
      </c>
      <c r="M185" s="5" t="n">
        <f aca="false">IF(L185=L184,M184,0)+K185</f>
        <v>0</v>
      </c>
      <c r="N185" s="5" t="n">
        <f aca="false">IF(AND(K185=1,M185=1),1,0)</f>
        <v>0</v>
      </c>
      <c r="O185" s="5" t="str">
        <f aca="false">IF(K185=1,MAX($O$5:O184)+1,"")</f>
        <v/>
      </c>
      <c r="P185" s="5" t="str">
        <f aca="false">IF(K185=1,SUM($N$6:N185),"")</f>
        <v/>
      </c>
      <c r="Q185" s="5" t="str">
        <f aca="false">IF(K185=1,SUMIFS($H$6:$H$511,$L$6:$L$511,L185,$K$6:$K$511,1),"")</f>
        <v/>
      </c>
      <c r="R185" s="78" t="str">
        <f aca="false">IF(B185="","",IF(INDEX(報告入力!$X$7:$X$696,B185)="","",INDEX(報告入力!$X$7:$X$696,B185)))</f>
        <v/>
      </c>
      <c r="S185" s="5" t="str">
        <f aca="false">設定!$C$50</f>
        <v>長期：経過的長期</v>
      </c>
    </row>
    <row r="186" customFormat="false" ht="15" hidden="false" customHeight="false" outlineLevel="0" collapsed="false">
      <c r="A186" s="5" t="str">
        <f aca="false">設定!B97</f>
        <v>職員共済組合</v>
      </c>
      <c r="B186" s="5" t="n">
        <f aca="false">IFERROR(MATCH(ホーム!$C$4&amp;"|"&amp;A186,報告入力!$CG$7:$CG$696,0),"")</f>
        <v>359</v>
      </c>
      <c r="C186" s="5" t="str">
        <f aca="false">IF(B186="","",INDEX(報告入力!$C$7:$C$696,B186))</f>
        <v>未受領</v>
      </c>
      <c r="D186" s="5" t="str">
        <f aca="false">設定!$A$39</f>
        <v>長期（厚生年金保険経理）</v>
      </c>
      <c r="E186" s="5" t="str">
        <f aca="false">設定!$B$39&amp;""</f>
        <v>130</v>
      </c>
      <c r="F186" s="5" t="str">
        <f aca="false">設定!$D$46&amp;""</f>
        <v>6102102000</v>
      </c>
      <c r="G186" s="5" t="str">
        <f aca="false">設定!$E$46&amp;""</f>
        <v>標月額保険料</v>
      </c>
      <c r="H186" s="5" t="n">
        <f aca="false">IF(B186="",0,N(INDEX(報告入力!$AU$7:$AU$696,B186)))</f>
        <v>0</v>
      </c>
      <c r="I186" s="5" t="str">
        <f aca="false">設定!$C$39&amp;""</f>
        <v>1104001001</v>
      </c>
      <c r="J186" s="5" t="str">
        <f aca="false">設定!$D$39&amp;""</f>
        <v>普広銀市役所</v>
      </c>
      <c r="K186" s="5" t="n">
        <f aca="false">IF(AND(H186&lt;&gt;0,IF(設定!$B$6="入金確認済のみ",C186="入金確認済",OR(C186="入金確認済",C186="受領済"))),1,0)</f>
        <v>0</v>
      </c>
      <c r="L186" s="5" t="str">
        <f aca="false">1&amp;"|"&amp;37</f>
        <v>1|37</v>
      </c>
      <c r="M186" s="5" t="n">
        <f aca="false">IF(L186=L185,M185,0)+K186</f>
        <v>0</v>
      </c>
      <c r="N186" s="5" t="n">
        <f aca="false">IF(AND(K186=1,M186=1),1,0)</f>
        <v>0</v>
      </c>
      <c r="O186" s="5" t="str">
        <f aca="false">IF(K186=1,MAX($O$5:O185)+1,"")</f>
        <v/>
      </c>
      <c r="P186" s="5" t="str">
        <f aca="false">IF(K186=1,SUM($N$6:N186),"")</f>
        <v/>
      </c>
      <c r="Q186" s="5" t="str">
        <f aca="false">IF(K186=1,SUMIFS($H$6:$H$511,$L$6:$L$511,L186,$K$6:$K$511,1),"")</f>
        <v/>
      </c>
      <c r="R186" s="78" t="str">
        <f aca="false">IF(B186="","",IF(INDEX(報告入力!$X$7:$X$696,B186)="","",INDEX(報告入力!$X$7:$X$696,B186)))</f>
        <v/>
      </c>
      <c r="S186" s="5" t="str">
        <f aca="false">設定!$C$46</f>
        <v>長期：厚生年金保険料（組合員負担分）</v>
      </c>
    </row>
    <row r="187" customFormat="false" ht="15" hidden="false" customHeight="false" outlineLevel="0" collapsed="false">
      <c r="A187" s="5" t="str">
        <f aca="false">設定!B97</f>
        <v>職員共済組合</v>
      </c>
      <c r="B187" s="5" t="n">
        <f aca="false">IFERROR(MATCH(ホーム!$C$4&amp;"|"&amp;A187,報告入力!$CG$7:$CG$696,0),"")</f>
        <v>359</v>
      </c>
      <c r="C187" s="5" t="str">
        <f aca="false">IF(B187="","",INDEX(報告入力!$C$7:$C$696,B187))</f>
        <v>未受領</v>
      </c>
      <c r="D187" s="5" t="str">
        <f aca="false">設定!$A$39</f>
        <v>長期（厚生年金保険経理）</v>
      </c>
      <c r="E187" s="5" t="str">
        <f aca="false">設定!$B$39&amp;""</f>
        <v>130</v>
      </c>
      <c r="F187" s="5" t="str">
        <f aca="false">設定!$D$47&amp;""</f>
        <v>2109001014</v>
      </c>
      <c r="G187" s="5" t="str">
        <f aca="false">設定!$E$47&amp;""</f>
        <v>退職標報掛金</v>
      </c>
      <c r="H187" s="5" t="n">
        <f aca="false">IF(B187="",0,N(INDEX(報告入力!$AV$7:$AV$696,B187)))</f>
        <v>0</v>
      </c>
      <c r="I187" s="5" t="str">
        <f aca="false">設定!$C$39&amp;""</f>
        <v>1104001001</v>
      </c>
      <c r="J187" s="5" t="str">
        <f aca="false">設定!$D$39&amp;""</f>
        <v>普広銀市役所</v>
      </c>
      <c r="K187" s="5" t="n">
        <f aca="false">IF(AND(H187&lt;&gt;0,IF(設定!$B$6="入金確認済のみ",C187="入金確認済",OR(C187="入金確認済",C187="受領済"))),1,0)</f>
        <v>0</v>
      </c>
      <c r="L187" s="5" t="str">
        <f aca="false">1&amp;"|"&amp;37</f>
        <v>1|37</v>
      </c>
      <c r="M187" s="5" t="n">
        <f aca="false">IF(L187=L186,M186,0)+K187</f>
        <v>0</v>
      </c>
      <c r="N187" s="5" t="n">
        <f aca="false">IF(AND(K187=1,M187=1),1,0)</f>
        <v>0</v>
      </c>
      <c r="O187" s="5" t="str">
        <f aca="false">IF(K187=1,MAX($O$5:O186)+1,"")</f>
        <v/>
      </c>
      <c r="P187" s="5" t="str">
        <f aca="false">IF(K187=1,SUM($N$6:N187),"")</f>
        <v/>
      </c>
      <c r="Q187" s="5" t="str">
        <f aca="false">IF(K187=1,SUMIFS($H$6:$H$511,$L$6:$L$511,L187,$K$6:$K$511,1),"")</f>
        <v/>
      </c>
      <c r="R187" s="78" t="str">
        <f aca="false">IF(B187="","",IF(INDEX(報告入力!$X$7:$X$696,B187)="","",INDEX(報告入力!$X$7:$X$696,B187)))</f>
        <v/>
      </c>
      <c r="S187" s="5" t="str">
        <f aca="false">設定!$C$47</f>
        <v>長期：退職等年金掛金</v>
      </c>
    </row>
    <row r="188" customFormat="false" ht="15" hidden="false" customHeight="false" outlineLevel="0" collapsed="false">
      <c r="A188" s="5" t="str">
        <f aca="false">設定!B97</f>
        <v>職員共済組合</v>
      </c>
      <c r="B188" s="5" t="n">
        <f aca="false">IFERROR(MATCH(ホーム!$C$4&amp;"|"&amp;A188,報告入力!$CG$7:$CG$696,0),"")</f>
        <v>359</v>
      </c>
      <c r="C188" s="5" t="str">
        <f aca="false">IF(B188="","",INDEX(報告入力!$C$7:$C$696,B188))</f>
        <v>未受領</v>
      </c>
      <c r="D188" s="5" t="str">
        <f aca="false">設定!$A$39</f>
        <v>長期（厚生年金保険経理）</v>
      </c>
      <c r="E188" s="5" t="str">
        <f aca="false">設定!$B$39&amp;""</f>
        <v>130</v>
      </c>
      <c r="F188" s="5" t="str">
        <f aca="false">設定!$D$48&amp;""</f>
        <v>6101002000</v>
      </c>
      <c r="G188" s="5" t="str">
        <f aca="false">設定!$E$48&amp;""</f>
        <v>負担地方公共</v>
      </c>
      <c r="H188" s="5" t="n">
        <f aca="false">IF(B188="",0,N(INDEX(報告入力!$AW$7:$AW$696,B188)))</f>
        <v>0</v>
      </c>
      <c r="I188" s="5" t="str">
        <f aca="false">設定!$C$39&amp;""</f>
        <v>1104001001</v>
      </c>
      <c r="J188" s="5" t="str">
        <f aca="false">設定!$D$39&amp;""</f>
        <v>普広銀市役所</v>
      </c>
      <c r="K188" s="5" t="n">
        <f aca="false">IF(AND(H188&lt;&gt;0,IF(設定!$B$6="入金確認済のみ",C188="入金確認済",OR(C188="入金確認済",C188="受領済"))),1,0)</f>
        <v>0</v>
      </c>
      <c r="L188" s="5" t="str">
        <f aca="false">1&amp;"|"&amp;37</f>
        <v>1|37</v>
      </c>
      <c r="M188" s="5" t="n">
        <f aca="false">IF(L188=L187,M187,0)+K188</f>
        <v>0</v>
      </c>
      <c r="N188" s="5" t="n">
        <f aca="false">IF(AND(K188=1,M188=1),1,0)</f>
        <v>0</v>
      </c>
      <c r="O188" s="5" t="str">
        <f aca="false">IF(K188=1,MAX($O$5:O187)+1,"")</f>
        <v/>
      </c>
      <c r="P188" s="5" t="str">
        <f aca="false">IF(K188=1,SUM($N$6:N188),"")</f>
        <v/>
      </c>
      <c r="Q188" s="5" t="str">
        <f aca="false">IF(K188=1,SUMIFS($H$6:$H$511,$L$6:$L$511,L188,$K$6:$K$511,1),"")</f>
        <v/>
      </c>
      <c r="R188" s="78" t="str">
        <f aca="false">IF(B188="","",IF(INDEX(報告入力!$X$7:$X$696,B188)="","",INDEX(報告入力!$X$7:$X$696,B188)))</f>
        <v/>
      </c>
      <c r="S188" s="5" t="str">
        <f aca="false">設定!$C$48</f>
        <v>長期：厚生年金保険料（事業主負担分）</v>
      </c>
    </row>
    <row r="189" customFormat="false" ht="15" hidden="false" customHeight="false" outlineLevel="0" collapsed="false">
      <c r="A189" s="5" t="str">
        <f aca="false">設定!B97</f>
        <v>職員共済組合</v>
      </c>
      <c r="B189" s="5" t="n">
        <f aca="false">IFERROR(MATCH(ホーム!$C$4&amp;"|"&amp;A189,報告入力!$CG$7:$CG$696,0),"")</f>
        <v>359</v>
      </c>
      <c r="C189" s="5" t="str">
        <f aca="false">IF(B189="","",INDEX(報告入力!$C$7:$C$696,B189))</f>
        <v>未受領</v>
      </c>
      <c r="D189" s="5" t="str">
        <f aca="false">設定!$A$39</f>
        <v>長期（厚生年金保険経理）</v>
      </c>
      <c r="E189" s="5" t="str">
        <f aca="false">設定!$B$39&amp;""</f>
        <v>130</v>
      </c>
      <c r="F189" s="5" t="str">
        <f aca="false">設定!$D$49&amp;""</f>
        <v>2109001015</v>
      </c>
      <c r="G189" s="5" t="str">
        <f aca="false">設定!$E$49&amp;""</f>
        <v>退職負担地方</v>
      </c>
      <c r="H189" s="5" t="n">
        <f aca="false">IF(B189="",0,N(INDEX(報告入力!$AX$7:$AX$696,B189)))</f>
        <v>0</v>
      </c>
      <c r="I189" s="5" t="str">
        <f aca="false">設定!$C$39&amp;""</f>
        <v>1104001001</v>
      </c>
      <c r="J189" s="5" t="str">
        <f aca="false">設定!$D$39&amp;""</f>
        <v>普広銀市役所</v>
      </c>
      <c r="K189" s="5" t="n">
        <f aca="false">IF(AND(H189&lt;&gt;0,IF(設定!$B$6="入金確認済のみ",C189="入金確認済",OR(C189="入金確認済",C189="受領済"))),1,0)</f>
        <v>0</v>
      </c>
      <c r="L189" s="5" t="str">
        <f aca="false">1&amp;"|"&amp;37</f>
        <v>1|37</v>
      </c>
      <c r="M189" s="5" t="n">
        <f aca="false">IF(L189=L188,M188,0)+K189</f>
        <v>0</v>
      </c>
      <c r="N189" s="5" t="n">
        <f aca="false">IF(AND(K189=1,M189=1),1,0)</f>
        <v>0</v>
      </c>
      <c r="O189" s="5" t="str">
        <f aca="false">IF(K189=1,MAX($O$5:O188)+1,"")</f>
        <v/>
      </c>
      <c r="P189" s="5" t="str">
        <f aca="false">IF(K189=1,SUM($N$6:N189),"")</f>
        <v/>
      </c>
      <c r="Q189" s="5" t="str">
        <f aca="false">IF(K189=1,SUMIFS($H$6:$H$511,$L$6:$L$511,L189,$K$6:$K$511,1),"")</f>
        <v/>
      </c>
      <c r="R189" s="78" t="str">
        <f aca="false">IF(B189="","",IF(INDEX(報告入力!$X$7:$X$696,B189)="","",INDEX(報告入力!$X$7:$X$696,B189)))</f>
        <v/>
      </c>
      <c r="S189" s="5" t="str">
        <f aca="false">設定!$C$49</f>
        <v>長期：退職等年金負担金</v>
      </c>
    </row>
    <row r="190" customFormat="false" ht="15" hidden="false" customHeight="false" outlineLevel="0" collapsed="false">
      <c r="A190" s="5" t="str">
        <f aca="false">設定!B97</f>
        <v>職員共済組合</v>
      </c>
      <c r="B190" s="5" t="n">
        <f aca="false">IFERROR(MATCH(ホーム!$C$4&amp;"|"&amp;A190,報告入力!$CG$7:$CG$696,0),"")</f>
        <v>359</v>
      </c>
      <c r="C190" s="5" t="str">
        <f aca="false">IF(B190="","",INDEX(報告入力!$C$7:$C$696,B190))</f>
        <v>未受領</v>
      </c>
      <c r="D190" s="5" t="str">
        <f aca="false">設定!$A$39</f>
        <v>長期（厚生年金保険経理）</v>
      </c>
      <c r="E190" s="5" t="str">
        <f aca="false">設定!$B$39&amp;""</f>
        <v>130</v>
      </c>
      <c r="F190" s="5" t="str">
        <f aca="false">設定!$D$50&amp;""</f>
        <v>2109001017</v>
      </c>
      <c r="G190" s="5" t="str">
        <f aca="false">設定!$E$50&amp;""</f>
        <v>経過的負担金</v>
      </c>
      <c r="H190" s="5" t="n">
        <f aca="false">IF(B190="",0,N(INDEX(報告入力!$AY$7:$AY$696,B190)))</f>
        <v>0</v>
      </c>
      <c r="I190" s="5" t="str">
        <f aca="false">設定!$C$39&amp;""</f>
        <v>1104001001</v>
      </c>
      <c r="J190" s="5" t="str">
        <f aca="false">設定!$D$39&amp;""</f>
        <v>普広銀市役所</v>
      </c>
      <c r="K190" s="5" t="n">
        <f aca="false">IF(AND(H190&lt;&gt;0,IF(設定!$B$6="入金確認済のみ",C190="入金確認済",OR(C190="入金確認済",C190="受領済"))),1,0)</f>
        <v>0</v>
      </c>
      <c r="L190" s="5" t="str">
        <f aca="false">1&amp;"|"&amp;37</f>
        <v>1|37</v>
      </c>
      <c r="M190" s="5" t="n">
        <f aca="false">IF(L190=L189,M189,0)+K190</f>
        <v>0</v>
      </c>
      <c r="N190" s="5" t="n">
        <f aca="false">IF(AND(K190=1,M190=1),1,0)</f>
        <v>0</v>
      </c>
      <c r="O190" s="5" t="str">
        <f aca="false">IF(K190=1,MAX($O$5:O189)+1,"")</f>
        <v/>
      </c>
      <c r="P190" s="5" t="str">
        <f aca="false">IF(K190=1,SUM($N$6:N190),"")</f>
        <v/>
      </c>
      <c r="Q190" s="5" t="str">
        <f aca="false">IF(K190=1,SUMIFS($H$6:$H$511,$L$6:$L$511,L190,$K$6:$K$511,1),"")</f>
        <v/>
      </c>
      <c r="R190" s="78" t="str">
        <f aca="false">IF(B190="","",IF(INDEX(報告入力!$X$7:$X$696,B190)="","",INDEX(報告入力!$X$7:$X$696,B190)))</f>
        <v/>
      </c>
      <c r="S190" s="5" t="str">
        <f aca="false">設定!$C$50</f>
        <v>長期：経過的長期</v>
      </c>
    </row>
    <row r="191" customFormat="false" ht="25.35" hidden="false" customHeight="false" outlineLevel="0" collapsed="false">
      <c r="A191" s="79" t="str">
        <f aca="false">設定!B98</f>
        <v>地方公共団体
情報システム機構</v>
      </c>
      <c r="B191" s="5" t="n">
        <f aca="false">IFERROR(MATCH(ホーム!$C$4&amp;"|"&amp;A191,報告入力!$CG$7:$CG$696,0),"")</f>
        <v>360</v>
      </c>
      <c r="C191" s="5" t="str">
        <f aca="false">IF(B191="","",INDEX(報告入力!$C$7:$C$696,B191))</f>
        <v>報告なし</v>
      </c>
      <c r="D191" s="5" t="str">
        <f aca="false">設定!$A$39</f>
        <v>長期（厚生年金保険経理）</v>
      </c>
      <c r="E191" s="5" t="str">
        <f aca="false">設定!$B$39&amp;""</f>
        <v>130</v>
      </c>
      <c r="F191" s="5" t="str">
        <f aca="false">設定!$D$46&amp;""</f>
        <v>6102102000</v>
      </c>
      <c r="G191" s="5" t="str">
        <f aca="false">設定!$E$46&amp;""</f>
        <v>標月額保険料</v>
      </c>
      <c r="H191" s="5" t="n">
        <f aca="false">IF(B191="",0,N(INDEX(報告入力!$AU$7:$AU$696,B191)))</f>
        <v>0</v>
      </c>
      <c r="I191" s="5" t="str">
        <f aca="false">設定!$C$39&amp;""</f>
        <v>1104001001</v>
      </c>
      <c r="J191" s="5" t="str">
        <f aca="false">設定!$D$39&amp;""</f>
        <v>普広銀市役所</v>
      </c>
      <c r="K191" s="5" t="n">
        <f aca="false">IF(AND(H191&lt;&gt;0,IF(設定!$B$6="入金確認済のみ",C191="入金確認済",OR(C191="入金確認済",C191="受領済"))),1,0)</f>
        <v>0</v>
      </c>
      <c r="L191" s="5" t="str">
        <f aca="false">1&amp;"|"&amp;38</f>
        <v>1|38</v>
      </c>
      <c r="M191" s="5" t="n">
        <f aca="false">IF(L191=L190,M190,0)+K191</f>
        <v>0</v>
      </c>
      <c r="N191" s="5" t="n">
        <f aca="false">IF(AND(K191=1,M191=1),1,0)</f>
        <v>0</v>
      </c>
      <c r="O191" s="5" t="str">
        <f aca="false">IF(K191=1,MAX($O$5:O190)+1,"")</f>
        <v/>
      </c>
      <c r="P191" s="5" t="str">
        <f aca="false">IF(K191=1,SUM($N$6:N191),"")</f>
        <v/>
      </c>
      <c r="Q191" s="5" t="str">
        <f aca="false">IF(K191=1,SUMIFS($H$6:$H$511,$L$6:$L$511,L191,$K$6:$K$511,1),"")</f>
        <v/>
      </c>
      <c r="R191" s="78" t="str">
        <f aca="false">IF(B191="","",IF(INDEX(報告入力!$X$7:$X$696,B191)="","",INDEX(報告入力!$X$7:$X$696,B191)))</f>
        <v/>
      </c>
      <c r="S191" s="5" t="str">
        <f aca="false">設定!$C$46</f>
        <v>長期：厚生年金保険料（組合員負担分）</v>
      </c>
    </row>
    <row r="192" customFormat="false" ht="25.35" hidden="false" customHeight="false" outlineLevel="0" collapsed="false">
      <c r="A192" s="79" t="str">
        <f aca="false">設定!B98</f>
        <v>地方公共団体
情報システム機構</v>
      </c>
      <c r="B192" s="5" t="n">
        <f aca="false">IFERROR(MATCH(ホーム!$C$4&amp;"|"&amp;A192,報告入力!$CG$7:$CG$696,0),"")</f>
        <v>360</v>
      </c>
      <c r="C192" s="5" t="str">
        <f aca="false">IF(B192="","",INDEX(報告入力!$C$7:$C$696,B192))</f>
        <v>報告なし</v>
      </c>
      <c r="D192" s="5" t="str">
        <f aca="false">設定!$A$39</f>
        <v>長期（厚生年金保険経理）</v>
      </c>
      <c r="E192" s="5" t="str">
        <f aca="false">設定!$B$39&amp;""</f>
        <v>130</v>
      </c>
      <c r="F192" s="5" t="str">
        <f aca="false">設定!$D$47&amp;""</f>
        <v>2109001014</v>
      </c>
      <c r="G192" s="5" t="str">
        <f aca="false">設定!$E$47&amp;""</f>
        <v>退職標報掛金</v>
      </c>
      <c r="H192" s="5" t="n">
        <f aca="false">IF(B192="",0,N(INDEX(報告入力!$AV$7:$AV$696,B192)))</f>
        <v>0</v>
      </c>
      <c r="I192" s="5" t="str">
        <f aca="false">設定!$C$39&amp;""</f>
        <v>1104001001</v>
      </c>
      <c r="J192" s="5" t="str">
        <f aca="false">設定!$D$39&amp;""</f>
        <v>普広銀市役所</v>
      </c>
      <c r="K192" s="5" t="n">
        <f aca="false">IF(AND(H192&lt;&gt;0,IF(設定!$B$6="入金確認済のみ",C192="入金確認済",OR(C192="入金確認済",C192="受領済"))),1,0)</f>
        <v>0</v>
      </c>
      <c r="L192" s="5" t="str">
        <f aca="false">1&amp;"|"&amp;38</f>
        <v>1|38</v>
      </c>
      <c r="M192" s="5" t="n">
        <f aca="false">IF(L192=L191,M191,0)+K192</f>
        <v>0</v>
      </c>
      <c r="N192" s="5" t="n">
        <f aca="false">IF(AND(K192=1,M192=1),1,0)</f>
        <v>0</v>
      </c>
      <c r="O192" s="5" t="str">
        <f aca="false">IF(K192=1,MAX($O$5:O191)+1,"")</f>
        <v/>
      </c>
      <c r="P192" s="5" t="str">
        <f aca="false">IF(K192=1,SUM($N$6:N192),"")</f>
        <v/>
      </c>
      <c r="Q192" s="5" t="str">
        <f aca="false">IF(K192=1,SUMIFS($H$6:$H$511,$L$6:$L$511,L192,$K$6:$K$511,1),"")</f>
        <v/>
      </c>
      <c r="R192" s="78" t="str">
        <f aca="false">IF(B192="","",IF(INDEX(報告入力!$X$7:$X$696,B192)="","",INDEX(報告入力!$X$7:$X$696,B192)))</f>
        <v/>
      </c>
      <c r="S192" s="5" t="str">
        <f aca="false">設定!$C$47</f>
        <v>長期：退職等年金掛金</v>
      </c>
    </row>
    <row r="193" customFormat="false" ht="25.35" hidden="false" customHeight="false" outlineLevel="0" collapsed="false">
      <c r="A193" s="79" t="str">
        <f aca="false">設定!B98</f>
        <v>地方公共団体
情報システム機構</v>
      </c>
      <c r="B193" s="5" t="n">
        <f aca="false">IFERROR(MATCH(ホーム!$C$4&amp;"|"&amp;A193,報告入力!$CG$7:$CG$696,0),"")</f>
        <v>360</v>
      </c>
      <c r="C193" s="5" t="str">
        <f aca="false">IF(B193="","",INDEX(報告入力!$C$7:$C$696,B193))</f>
        <v>報告なし</v>
      </c>
      <c r="D193" s="5" t="str">
        <f aca="false">設定!$A$39</f>
        <v>長期（厚生年金保険経理）</v>
      </c>
      <c r="E193" s="5" t="str">
        <f aca="false">設定!$B$39&amp;""</f>
        <v>130</v>
      </c>
      <c r="F193" s="5" t="str">
        <f aca="false">設定!$D$48&amp;""</f>
        <v>6101002000</v>
      </c>
      <c r="G193" s="5" t="str">
        <f aca="false">設定!$E$48&amp;""</f>
        <v>負担地方公共</v>
      </c>
      <c r="H193" s="5" t="n">
        <f aca="false">IF(B193="",0,N(INDEX(報告入力!$AW$7:$AW$696,B193)))</f>
        <v>0</v>
      </c>
      <c r="I193" s="5" t="str">
        <f aca="false">設定!$C$39&amp;""</f>
        <v>1104001001</v>
      </c>
      <c r="J193" s="5" t="str">
        <f aca="false">設定!$D$39&amp;""</f>
        <v>普広銀市役所</v>
      </c>
      <c r="K193" s="5" t="n">
        <f aca="false">IF(AND(H193&lt;&gt;0,IF(設定!$B$6="入金確認済のみ",C193="入金確認済",OR(C193="入金確認済",C193="受領済"))),1,0)</f>
        <v>0</v>
      </c>
      <c r="L193" s="5" t="str">
        <f aca="false">1&amp;"|"&amp;38</f>
        <v>1|38</v>
      </c>
      <c r="M193" s="5" t="n">
        <f aca="false">IF(L193=L192,M192,0)+K193</f>
        <v>0</v>
      </c>
      <c r="N193" s="5" t="n">
        <f aca="false">IF(AND(K193=1,M193=1),1,0)</f>
        <v>0</v>
      </c>
      <c r="O193" s="5" t="str">
        <f aca="false">IF(K193=1,MAX($O$5:O192)+1,"")</f>
        <v/>
      </c>
      <c r="P193" s="5" t="str">
        <f aca="false">IF(K193=1,SUM($N$6:N193),"")</f>
        <v/>
      </c>
      <c r="Q193" s="5" t="str">
        <f aca="false">IF(K193=1,SUMIFS($H$6:$H$511,$L$6:$L$511,L193,$K$6:$K$511,1),"")</f>
        <v/>
      </c>
      <c r="R193" s="78" t="str">
        <f aca="false">IF(B193="","",IF(INDEX(報告入力!$X$7:$X$696,B193)="","",INDEX(報告入力!$X$7:$X$696,B193)))</f>
        <v/>
      </c>
      <c r="S193" s="5" t="str">
        <f aca="false">設定!$C$48</f>
        <v>長期：厚生年金保険料（事業主負担分）</v>
      </c>
    </row>
    <row r="194" customFormat="false" ht="25.35" hidden="false" customHeight="false" outlineLevel="0" collapsed="false">
      <c r="A194" s="79" t="str">
        <f aca="false">設定!B98</f>
        <v>地方公共団体
情報システム機構</v>
      </c>
      <c r="B194" s="5" t="n">
        <f aca="false">IFERROR(MATCH(ホーム!$C$4&amp;"|"&amp;A194,報告入力!$CG$7:$CG$696,0),"")</f>
        <v>360</v>
      </c>
      <c r="C194" s="5" t="str">
        <f aca="false">IF(B194="","",INDEX(報告入力!$C$7:$C$696,B194))</f>
        <v>報告なし</v>
      </c>
      <c r="D194" s="5" t="str">
        <f aca="false">設定!$A$39</f>
        <v>長期（厚生年金保険経理）</v>
      </c>
      <c r="E194" s="5" t="str">
        <f aca="false">設定!$B$39&amp;""</f>
        <v>130</v>
      </c>
      <c r="F194" s="5" t="str">
        <f aca="false">設定!$D$49&amp;""</f>
        <v>2109001015</v>
      </c>
      <c r="G194" s="5" t="str">
        <f aca="false">設定!$E$49&amp;""</f>
        <v>退職負担地方</v>
      </c>
      <c r="H194" s="5" t="n">
        <f aca="false">IF(B194="",0,N(INDEX(報告入力!$AX$7:$AX$696,B194)))</f>
        <v>0</v>
      </c>
      <c r="I194" s="5" t="str">
        <f aca="false">設定!$C$39&amp;""</f>
        <v>1104001001</v>
      </c>
      <c r="J194" s="5" t="str">
        <f aca="false">設定!$D$39&amp;""</f>
        <v>普広銀市役所</v>
      </c>
      <c r="K194" s="5" t="n">
        <f aca="false">IF(AND(H194&lt;&gt;0,IF(設定!$B$6="入金確認済のみ",C194="入金確認済",OR(C194="入金確認済",C194="受領済"))),1,0)</f>
        <v>0</v>
      </c>
      <c r="L194" s="5" t="str">
        <f aca="false">1&amp;"|"&amp;38</f>
        <v>1|38</v>
      </c>
      <c r="M194" s="5" t="n">
        <f aca="false">IF(L194=L193,M193,0)+K194</f>
        <v>0</v>
      </c>
      <c r="N194" s="5" t="n">
        <f aca="false">IF(AND(K194=1,M194=1),1,0)</f>
        <v>0</v>
      </c>
      <c r="O194" s="5" t="str">
        <f aca="false">IF(K194=1,MAX($O$5:O193)+1,"")</f>
        <v/>
      </c>
      <c r="P194" s="5" t="str">
        <f aca="false">IF(K194=1,SUM($N$6:N194),"")</f>
        <v/>
      </c>
      <c r="Q194" s="5" t="str">
        <f aca="false">IF(K194=1,SUMIFS($H$6:$H$511,$L$6:$L$511,L194,$K$6:$K$511,1),"")</f>
        <v/>
      </c>
      <c r="R194" s="78" t="str">
        <f aca="false">IF(B194="","",IF(INDEX(報告入力!$X$7:$X$696,B194)="","",INDEX(報告入力!$X$7:$X$696,B194)))</f>
        <v/>
      </c>
      <c r="S194" s="5" t="str">
        <f aca="false">設定!$C$49</f>
        <v>長期：退職等年金負担金</v>
      </c>
    </row>
    <row r="195" customFormat="false" ht="25.35" hidden="false" customHeight="false" outlineLevel="0" collapsed="false">
      <c r="A195" s="79" t="str">
        <f aca="false">設定!B98</f>
        <v>地方公共団体
情報システム機構</v>
      </c>
      <c r="B195" s="5" t="n">
        <f aca="false">IFERROR(MATCH(ホーム!$C$4&amp;"|"&amp;A195,報告入力!$CG$7:$CG$696,0),"")</f>
        <v>360</v>
      </c>
      <c r="C195" s="5" t="str">
        <f aca="false">IF(B195="","",INDEX(報告入力!$C$7:$C$696,B195))</f>
        <v>報告なし</v>
      </c>
      <c r="D195" s="5" t="str">
        <f aca="false">設定!$A$39</f>
        <v>長期（厚生年金保険経理）</v>
      </c>
      <c r="E195" s="5" t="str">
        <f aca="false">設定!$B$39&amp;""</f>
        <v>130</v>
      </c>
      <c r="F195" s="5" t="str">
        <f aca="false">設定!$D$50&amp;""</f>
        <v>2109001017</v>
      </c>
      <c r="G195" s="5" t="str">
        <f aca="false">設定!$E$50&amp;""</f>
        <v>経過的負担金</v>
      </c>
      <c r="H195" s="5" t="n">
        <f aca="false">IF(B195="",0,N(INDEX(報告入力!$AY$7:$AY$696,B195)))</f>
        <v>0</v>
      </c>
      <c r="I195" s="5" t="str">
        <f aca="false">設定!$C$39&amp;""</f>
        <v>1104001001</v>
      </c>
      <c r="J195" s="5" t="str">
        <f aca="false">設定!$D$39&amp;""</f>
        <v>普広銀市役所</v>
      </c>
      <c r="K195" s="5" t="n">
        <f aca="false">IF(AND(H195&lt;&gt;0,IF(設定!$B$6="入金確認済のみ",C195="入金確認済",OR(C195="入金確認済",C195="受領済"))),1,0)</f>
        <v>0</v>
      </c>
      <c r="L195" s="5" t="str">
        <f aca="false">1&amp;"|"&amp;38</f>
        <v>1|38</v>
      </c>
      <c r="M195" s="5" t="n">
        <f aca="false">IF(L195=L194,M194,0)+K195</f>
        <v>0</v>
      </c>
      <c r="N195" s="5" t="n">
        <f aca="false">IF(AND(K195=1,M195=1),1,0)</f>
        <v>0</v>
      </c>
      <c r="O195" s="5" t="str">
        <f aca="false">IF(K195=1,MAX($O$5:O194)+1,"")</f>
        <v/>
      </c>
      <c r="P195" s="5" t="str">
        <f aca="false">IF(K195=1,SUM($N$6:N195),"")</f>
        <v/>
      </c>
      <c r="Q195" s="5" t="str">
        <f aca="false">IF(K195=1,SUMIFS($H$6:$H$511,$L$6:$L$511,L195,$K$6:$K$511,1),"")</f>
        <v/>
      </c>
      <c r="R195" s="78" t="str">
        <f aca="false">IF(B195="","",IF(INDEX(報告入力!$X$7:$X$696,B195)="","",INDEX(報告入力!$X$7:$X$696,B195)))</f>
        <v/>
      </c>
      <c r="S195" s="5" t="str">
        <f aca="false">設定!$C$50</f>
        <v>長期：経過的長期</v>
      </c>
    </row>
    <row r="196" customFormat="false" ht="15" hidden="false" customHeight="false" outlineLevel="0" collapsed="false">
      <c r="A196" s="5" t="str">
        <f aca="false">設定!B99</f>
        <v>全国市長会</v>
      </c>
      <c r="B196" s="5" t="n">
        <f aca="false">IFERROR(MATCH(ホーム!$C$4&amp;"|"&amp;A196,報告入力!$CG$7:$CG$696,0),"")</f>
        <v>361</v>
      </c>
      <c r="C196" s="5" t="str">
        <f aca="false">IF(B196="","",INDEX(報告入力!$C$7:$C$696,B196))</f>
        <v>受領済</v>
      </c>
      <c r="D196" s="5" t="str">
        <f aca="false">設定!$A$39</f>
        <v>長期（厚生年金保険経理）</v>
      </c>
      <c r="E196" s="5" t="str">
        <f aca="false">設定!$B$39&amp;""</f>
        <v>130</v>
      </c>
      <c r="F196" s="5" t="str">
        <f aca="false">設定!$D$46&amp;""</f>
        <v>6102102000</v>
      </c>
      <c r="G196" s="5" t="str">
        <f aca="false">設定!$E$46&amp;""</f>
        <v>標月額保険料</v>
      </c>
      <c r="H196" s="5" t="n">
        <f aca="false">IF(B196="",0,N(INDEX(報告入力!$AU$7:$AU$696,B196)))</f>
        <v>118950</v>
      </c>
      <c r="I196" s="5" t="str">
        <f aca="false">設定!$C$39&amp;""</f>
        <v>1104001001</v>
      </c>
      <c r="J196" s="5" t="str">
        <f aca="false">設定!$D$39&amp;""</f>
        <v>普広銀市役所</v>
      </c>
      <c r="K196" s="5" t="n">
        <f aca="false">IF(AND(H196&lt;&gt;0,IF(設定!$B$6="入金確認済のみ",C196="入金確認済",OR(C196="入金確認済",C196="受領済"))),1,0)</f>
        <v>0</v>
      </c>
      <c r="L196" s="5" t="str">
        <f aca="false">1&amp;"|"&amp;39</f>
        <v>1|39</v>
      </c>
      <c r="M196" s="5" t="n">
        <f aca="false">IF(L196=L195,M195,0)+K196</f>
        <v>0</v>
      </c>
      <c r="N196" s="5" t="n">
        <f aca="false">IF(AND(K196=1,M196=1),1,0)</f>
        <v>0</v>
      </c>
      <c r="O196" s="5" t="str">
        <f aca="false">IF(K196=1,MAX($O$5:O195)+1,"")</f>
        <v/>
      </c>
      <c r="P196" s="5" t="str">
        <f aca="false">IF(K196=1,SUM($N$6:N196),"")</f>
        <v/>
      </c>
      <c r="Q196" s="5" t="str">
        <f aca="false">IF(K196=1,SUMIFS($H$6:$H$511,$L$6:$L$511,L196,$K$6:$K$511,1),"")</f>
        <v/>
      </c>
      <c r="R196" s="78" t="str">
        <f aca="false">IF(B196="","",IF(INDEX(報告入力!$X$7:$X$696,B196)="","",INDEX(報告入力!$X$7:$X$696,B196)))</f>
        <v/>
      </c>
      <c r="S196" s="5" t="str">
        <f aca="false">設定!$C$46</f>
        <v>長期：厚生年金保険料（組合員負担分）</v>
      </c>
    </row>
    <row r="197" customFormat="false" ht="15" hidden="false" customHeight="false" outlineLevel="0" collapsed="false">
      <c r="A197" s="5" t="str">
        <f aca="false">設定!B99</f>
        <v>全国市長会</v>
      </c>
      <c r="B197" s="5" t="n">
        <f aca="false">IFERROR(MATCH(ホーム!$C$4&amp;"|"&amp;A197,報告入力!$CG$7:$CG$696,0),"")</f>
        <v>361</v>
      </c>
      <c r="C197" s="5" t="str">
        <f aca="false">IF(B197="","",INDEX(報告入力!$C$7:$C$696,B197))</f>
        <v>受領済</v>
      </c>
      <c r="D197" s="5" t="str">
        <f aca="false">設定!$A$39</f>
        <v>長期（厚生年金保険経理）</v>
      </c>
      <c r="E197" s="5" t="str">
        <f aca="false">設定!$B$39&amp;""</f>
        <v>130</v>
      </c>
      <c r="F197" s="5" t="str">
        <f aca="false">設定!$D$47&amp;""</f>
        <v>2109001014</v>
      </c>
      <c r="G197" s="5" t="str">
        <f aca="false">設定!$E$47&amp;""</f>
        <v>退職標報掛金</v>
      </c>
      <c r="H197" s="5" t="n">
        <f aca="false">IF(B197="",0,N(INDEX(報告入力!$AV$7:$AV$696,B197)))</f>
        <v>9750</v>
      </c>
      <c r="I197" s="5" t="str">
        <f aca="false">設定!$C$39&amp;""</f>
        <v>1104001001</v>
      </c>
      <c r="J197" s="5" t="str">
        <f aca="false">設定!$D$39&amp;""</f>
        <v>普広銀市役所</v>
      </c>
      <c r="K197" s="5" t="n">
        <f aca="false">IF(AND(H197&lt;&gt;0,IF(設定!$B$6="入金確認済のみ",C197="入金確認済",OR(C197="入金確認済",C197="受領済"))),1,0)</f>
        <v>0</v>
      </c>
      <c r="L197" s="5" t="str">
        <f aca="false">1&amp;"|"&amp;39</f>
        <v>1|39</v>
      </c>
      <c r="M197" s="5" t="n">
        <f aca="false">IF(L197=L196,M196,0)+K197</f>
        <v>0</v>
      </c>
      <c r="N197" s="5" t="n">
        <f aca="false">IF(AND(K197=1,M197=1),1,0)</f>
        <v>0</v>
      </c>
      <c r="O197" s="5" t="str">
        <f aca="false">IF(K197=1,MAX($O$5:O196)+1,"")</f>
        <v/>
      </c>
      <c r="P197" s="5" t="str">
        <f aca="false">IF(K197=1,SUM($N$6:N197),"")</f>
        <v/>
      </c>
      <c r="Q197" s="5" t="str">
        <f aca="false">IF(K197=1,SUMIFS($H$6:$H$511,$L$6:$L$511,L197,$K$6:$K$511,1),"")</f>
        <v/>
      </c>
      <c r="R197" s="78" t="str">
        <f aca="false">IF(B197="","",IF(INDEX(報告入力!$X$7:$X$696,B197)="","",INDEX(報告入力!$X$7:$X$696,B197)))</f>
        <v/>
      </c>
      <c r="S197" s="5" t="str">
        <f aca="false">設定!$C$47</f>
        <v>長期：退職等年金掛金</v>
      </c>
    </row>
    <row r="198" customFormat="false" ht="15" hidden="false" customHeight="false" outlineLevel="0" collapsed="false">
      <c r="A198" s="5" t="str">
        <f aca="false">設定!B99</f>
        <v>全国市長会</v>
      </c>
      <c r="B198" s="5" t="n">
        <f aca="false">IFERROR(MATCH(ホーム!$C$4&amp;"|"&amp;A198,報告入力!$CG$7:$CG$696,0),"")</f>
        <v>361</v>
      </c>
      <c r="C198" s="5" t="str">
        <f aca="false">IF(B198="","",INDEX(報告入力!$C$7:$C$696,B198))</f>
        <v>受領済</v>
      </c>
      <c r="D198" s="5" t="str">
        <f aca="false">設定!$A$39</f>
        <v>長期（厚生年金保険経理）</v>
      </c>
      <c r="E198" s="5" t="str">
        <f aca="false">設定!$B$39&amp;""</f>
        <v>130</v>
      </c>
      <c r="F198" s="5" t="str">
        <f aca="false">設定!$D$48&amp;""</f>
        <v>6101002000</v>
      </c>
      <c r="G198" s="5" t="str">
        <f aca="false">設定!$E$48&amp;""</f>
        <v>負担地方公共</v>
      </c>
      <c r="H198" s="5" t="n">
        <f aca="false">IF(B198="",0,N(INDEX(報告入力!$AW$7:$AW$696,B198)))</f>
        <v>118950</v>
      </c>
      <c r="I198" s="5" t="str">
        <f aca="false">設定!$C$39&amp;""</f>
        <v>1104001001</v>
      </c>
      <c r="J198" s="5" t="str">
        <f aca="false">設定!$D$39&amp;""</f>
        <v>普広銀市役所</v>
      </c>
      <c r="K198" s="5" t="n">
        <f aca="false">IF(AND(H198&lt;&gt;0,IF(設定!$B$6="入金確認済のみ",C198="入金確認済",OR(C198="入金確認済",C198="受領済"))),1,0)</f>
        <v>0</v>
      </c>
      <c r="L198" s="5" t="str">
        <f aca="false">1&amp;"|"&amp;39</f>
        <v>1|39</v>
      </c>
      <c r="M198" s="5" t="n">
        <f aca="false">IF(L198=L197,M197,0)+K198</f>
        <v>0</v>
      </c>
      <c r="N198" s="5" t="n">
        <f aca="false">IF(AND(K198=1,M198=1),1,0)</f>
        <v>0</v>
      </c>
      <c r="O198" s="5" t="str">
        <f aca="false">IF(K198=1,MAX($O$5:O197)+1,"")</f>
        <v/>
      </c>
      <c r="P198" s="5" t="str">
        <f aca="false">IF(K198=1,SUM($N$6:N198),"")</f>
        <v/>
      </c>
      <c r="Q198" s="5" t="str">
        <f aca="false">IF(K198=1,SUMIFS($H$6:$H$511,$L$6:$L$511,L198,$K$6:$K$511,1),"")</f>
        <v/>
      </c>
      <c r="R198" s="78" t="str">
        <f aca="false">IF(B198="","",IF(INDEX(報告入力!$X$7:$X$696,B198)="","",INDEX(報告入力!$X$7:$X$696,B198)))</f>
        <v/>
      </c>
      <c r="S198" s="5" t="str">
        <f aca="false">設定!$C$48</f>
        <v>長期：厚生年金保険料（事業主負担分）</v>
      </c>
    </row>
    <row r="199" customFormat="false" ht="15" hidden="false" customHeight="false" outlineLevel="0" collapsed="false">
      <c r="A199" s="5" t="str">
        <f aca="false">設定!B99</f>
        <v>全国市長会</v>
      </c>
      <c r="B199" s="5" t="n">
        <f aca="false">IFERROR(MATCH(ホーム!$C$4&amp;"|"&amp;A199,報告入力!$CG$7:$CG$696,0),"")</f>
        <v>361</v>
      </c>
      <c r="C199" s="5" t="str">
        <f aca="false">IF(B199="","",INDEX(報告入力!$C$7:$C$696,B199))</f>
        <v>受領済</v>
      </c>
      <c r="D199" s="5" t="str">
        <f aca="false">設定!$A$39</f>
        <v>長期（厚生年金保険経理）</v>
      </c>
      <c r="E199" s="5" t="str">
        <f aca="false">設定!$B$39&amp;""</f>
        <v>130</v>
      </c>
      <c r="F199" s="5" t="str">
        <f aca="false">設定!$D$49&amp;""</f>
        <v>2109001015</v>
      </c>
      <c r="G199" s="5" t="str">
        <f aca="false">設定!$E$49&amp;""</f>
        <v>退職負担地方</v>
      </c>
      <c r="H199" s="5" t="n">
        <f aca="false">IF(B199="",0,N(INDEX(報告入力!$AX$7:$AX$696,B199)))</f>
        <v>9750</v>
      </c>
      <c r="I199" s="5" t="str">
        <f aca="false">設定!$C$39&amp;""</f>
        <v>1104001001</v>
      </c>
      <c r="J199" s="5" t="str">
        <f aca="false">設定!$D$39&amp;""</f>
        <v>普広銀市役所</v>
      </c>
      <c r="K199" s="5" t="n">
        <f aca="false">IF(AND(H199&lt;&gt;0,IF(設定!$B$6="入金確認済のみ",C199="入金確認済",OR(C199="入金確認済",C199="受領済"))),1,0)</f>
        <v>0</v>
      </c>
      <c r="L199" s="5" t="str">
        <f aca="false">1&amp;"|"&amp;39</f>
        <v>1|39</v>
      </c>
      <c r="M199" s="5" t="n">
        <f aca="false">IF(L199=L198,M198,0)+K199</f>
        <v>0</v>
      </c>
      <c r="N199" s="5" t="n">
        <f aca="false">IF(AND(K199=1,M199=1),1,0)</f>
        <v>0</v>
      </c>
      <c r="O199" s="5" t="str">
        <f aca="false">IF(K199=1,MAX($O$5:O198)+1,"")</f>
        <v/>
      </c>
      <c r="P199" s="5" t="str">
        <f aca="false">IF(K199=1,SUM($N$6:N199),"")</f>
        <v/>
      </c>
      <c r="Q199" s="5" t="str">
        <f aca="false">IF(K199=1,SUMIFS($H$6:$H$511,$L$6:$L$511,L199,$K$6:$K$511,1),"")</f>
        <v/>
      </c>
      <c r="R199" s="78" t="str">
        <f aca="false">IF(B199="","",IF(INDEX(報告入力!$X$7:$X$696,B199)="","",INDEX(報告入力!$X$7:$X$696,B199)))</f>
        <v/>
      </c>
      <c r="S199" s="5" t="str">
        <f aca="false">設定!$C$49</f>
        <v>長期：退職等年金負担金</v>
      </c>
    </row>
    <row r="200" customFormat="false" ht="15" hidden="false" customHeight="false" outlineLevel="0" collapsed="false">
      <c r="A200" s="5" t="str">
        <f aca="false">設定!B99</f>
        <v>全国市長会</v>
      </c>
      <c r="B200" s="5" t="n">
        <f aca="false">IFERROR(MATCH(ホーム!$C$4&amp;"|"&amp;A200,報告入力!$CG$7:$CG$696,0),"")</f>
        <v>361</v>
      </c>
      <c r="C200" s="5" t="str">
        <f aca="false">IF(B200="","",INDEX(報告入力!$C$7:$C$696,B200))</f>
        <v>受領済</v>
      </c>
      <c r="D200" s="5" t="str">
        <f aca="false">設定!$A$39</f>
        <v>長期（厚生年金保険経理）</v>
      </c>
      <c r="E200" s="5" t="str">
        <f aca="false">設定!$B$39&amp;""</f>
        <v>130</v>
      </c>
      <c r="F200" s="5" t="str">
        <f aca="false">設定!$D$50&amp;""</f>
        <v>2109001017</v>
      </c>
      <c r="G200" s="5" t="str">
        <f aca="false">設定!$E$50&amp;""</f>
        <v>経過的負担金</v>
      </c>
      <c r="H200" s="5" t="n">
        <f aca="false">IF(B200="",0,N(INDEX(報告入力!$AY$7:$AY$696,B200)))</f>
        <v>112</v>
      </c>
      <c r="I200" s="5" t="str">
        <f aca="false">設定!$C$39&amp;""</f>
        <v>1104001001</v>
      </c>
      <c r="J200" s="5" t="str">
        <f aca="false">設定!$D$39&amp;""</f>
        <v>普広銀市役所</v>
      </c>
      <c r="K200" s="5" t="n">
        <f aca="false">IF(AND(H200&lt;&gt;0,IF(設定!$B$6="入金確認済のみ",C200="入金確認済",OR(C200="入金確認済",C200="受領済"))),1,0)</f>
        <v>0</v>
      </c>
      <c r="L200" s="5" t="str">
        <f aca="false">1&amp;"|"&amp;39</f>
        <v>1|39</v>
      </c>
      <c r="M200" s="5" t="n">
        <f aca="false">IF(L200=L199,M199,0)+K200</f>
        <v>0</v>
      </c>
      <c r="N200" s="5" t="n">
        <f aca="false">IF(AND(K200=1,M200=1),1,0)</f>
        <v>0</v>
      </c>
      <c r="O200" s="5" t="str">
        <f aca="false">IF(K200=1,MAX($O$5:O199)+1,"")</f>
        <v/>
      </c>
      <c r="P200" s="5" t="str">
        <f aca="false">IF(K200=1,SUM($N$6:N200),"")</f>
        <v/>
      </c>
      <c r="Q200" s="5" t="str">
        <f aca="false">IF(K200=1,SUMIFS($H$6:$H$511,$L$6:$L$511,L200,$K$6:$K$511,1),"")</f>
        <v/>
      </c>
      <c r="R200" s="78" t="str">
        <f aca="false">IF(B200="","",IF(INDEX(報告入力!$X$7:$X$696,B200)="","",INDEX(報告入力!$X$7:$X$696,B200)))</f>
        <v/>
      </c>
      <c r="S200" s="5" t="str">
        <f aca="false">設定!$C$50</f>
        <v>長期：経過的長期</v>
      </c>
    </row>
    <row r="201" customFormat="false" ht="15" hidden="false" customHeight="false" outlineLevel="0" collapsed="false">
      <c r="A201" s="5" t="str">
        <f aca="false">設定!B100</f>
        <v>高速交通（株）</v>
      </c>
      <c r="B201" s="5" t="n">
        <f aca="false">IFERROR(MATCH(ホーム!$C$4&amp;"|"&amp;A201,報告入力!$CG$7:$CG$696,0),"")</f>
        <v>362</v>
      </c>
      <c r="C201" s="5" t="str">
        <f aca="false">IF(B201="","",INDEX(報告入力!$C$7:$C$696,B201))</f>
        <v>未受領</v>
      </c>
      <c r="D201" s="5" t="str">
        <f aca="false">設定!$A$39</f>
        <v>長期（厚生年金保険経理）</v>
      </c>
      <c r="E201" s="5" t="str">
        <f aca="false">設定!$B$39&amp;""</f>
        <v>130</v>
      </c>
      <c r="F201" s="5" t="str">
        <f aca="false">設定!$D$46&amp;""</f>
        <v>6102102000</v>
      </c>
      <c r="G201" s="5" t="str">
        <f aca="false">設定!$E$46&amp;""</f>
        <v>標月額保険料</v>
      </c>
      <c r="H201" s="5" t="n">
        <f aca="false">IF(B201="",0,N(INDEX(報告入力!$AU$7:$AU$696,B201)))</f>
        <v>145485</v>
      </c>
      <c r="I201" s="5" t="str">
        <f aca="false">設定!$C$39&amp;""</f>
        <v>1104001001</v>
      </c>
      <c r="J201" s="5" t="str">
        <f aca="false">設定!$D$39&amp;""</f>
        <v>普広銀市役所</v>
      </c>
      <c r="K201" s="5" t="n">
        <f aca="false">IF(AND(H201&lt;&gt;0,IF(設定!$B$6="入金確認済のみ",C201="入金確認済",OR(C201="入金確認済",C201="受領済"))),1,0)</f>
        <v>0</v>
      </c>
      <c r="L201" s="5" t="str">
        <f aca="false">1&amp;"|"&amp;40</f>
        <v>1|40</v>
      </c>
      <c r="M201" s="5" t="n">
        <f aca="false">IF(L201=L200,M200,0)+K201</f>
        <v>0</v>
      </c>
      <c r="N201" s="5" t="n">
        <f aca="false">IF(AND(K201=1,M201=1),1,0)</f>
        <v>0</v>
      </c>
      <c r="O201" s="5" t="str">
        <f aca="false">IF(K201=1,MAX($O$5:O200)+1,"")</f>
        <v/>
      </c>
      <c r="P201" s="5" t="str">
        <f aca="false">IF(K201=1,SUM($N$6:N201),"")</f>
        <v/>
      </c>
      <c r="Q201" s="5" t="str">
        <f aca="false">IF(K201=1,SUMIFS($H$6:$H$511,$L$6:$L$511,L201,$K$6:$K$511,1),"")</f>
        <v/>
      </c>
      <c r="R201" s="78" t="str">
        <f aca="false">IF(B201="","",IF(INDEX(報告入力!$X$7:$X$696,B201)="","",INDEX(報告入力!$X$7:$X$696,B201)))</f>
        <v/>
      </c>
      <c r="S201" s="5" t="str">
        <f aca="false">設定!$C$46</f>
        <v>長期：厚生年金保険料（組合員負担分）</v>
      </c>
    </row>
    <row r="202" customFormat="false" ht="15" hidden="false" customHeight="false" outlineLevel="0" collapsed="false">
      <c r="A202" s="5" t="str">
        <f aca="false">設定!B100</f>
        <v>高速交通（株）</v>
      </c>
      <c r="B202" s="5" t="n">
        <f aca="false">IFERROR(MATCH(ホーム!$C$4&amp;"|"&amp;A202,報告入力!$CG$7:$CG$696,0),"")</f>
        <v>362</v>
      </c>
      <c r="C202" s="5" t="str">
        <f aca="false">IF(B202="","",INDEX(報告入力!$C$7:$C$696,B202))</f>
        <v>未受領</v>
      </c>
      <c r="D202" s="5" t="str">
        <f aca="false">設定!$A$39</f>
        <v>長期（厚生年金保険経理）</v>
      </c>
      <c r="E202" s="5" t="str">
        <f aca="false">設定!$B$39&amp;""</f>
        <v>130</v>
      </c>
      <c r="F202" s="5" t="str">
        <f aca="false">設定!$D$47&amp;""</f>
        <v>2109001014</v>
      </c>
      <c r="G202" s="5" t="str">
        <f aca="false">設定!$E$47&amp;""</f>
        <v>退職標報掛金</v>
      </c>
      <c r="H202" s="5" t="n">
        <f aca="false">IF(B202="",0,N(INDEX(報告入力!$AV$7:$AV$696,B202)))</f>
        <v>11925</v>
      </c>
      <c r="I202" s="5" t="str">
        <f aca="false">設定!$C$39&amp;""</f>
        <v>1104001001</v>
      </c>
      <c r="J202" s="5" t="str">
        <f aca="false">設定!$D$39&amp;""</f>
        <v>普広銀市役所</v>
      </c>
      <c r="K202" s="5" t="n">
        <f aca="false">IF(AND(H202&lt;&gt;0,IF(設定!$B$6="入金確認済のみ",C202="入金確認済",OR(C202="入金確認済",C202="受領済"))),1,0)</f>
        <v>0</v>
      </c>
      <c r="L202" s="5" t="str">
        <f aca="false">1&amp;"|"&amp;40</f>
        <v>1|40</v>
      </c>
      <c r="M202" s="5" t="n">
        <f aca="false">IF(L202=L201,M201,0)+K202</f>
        <v>0</v>
      </c>
      <c r="N202" s="5" t="n">
        <f aca="false">IF(AND(K202=1,M202=1),1,0)</f>
        <v>0</v>
      </c>
      <c r="O202" s="5" t="str">
        <f aca="false">IF(K202=1,MAX($O$5:O201)+1,"")</f>
        <v/>
      </c>
      <c r="P202" s="5" t="str">
        <f aca="false">IF(K202=1,SUM($N$6:N202),"")</f>
        <v/>
      </c>
      <c r="Q202" s="5" t="str">
        <f aca="false">IF(K202=1,SUMIFS($H$6:$H$511,$L$6:$L$511,L202,$K$6:$K$511,1),"")</f>
        <v/>
      </c>
      <c r="R202" s="78" t="str">
        <f aca="false">IF(B202="","",IF(INDEX(報告入力!$X$7:$X$696,B202)="","",INDEX(報告入力!$X$7:$X$696,B202)))</f>
        <v/>
      </c>
      <c r="S202" s="5" t="str">
        <f aca="false">設定!$C$47</f>
        <v>長期：退職等年金掛金</v>
      </c>
    </row>
    <row r="203" customFormat="false" ht="15" hidden="false" customHeight="false" outlineLevel="0" collapsed="false">
      <c r="A203" s="5" t="str">
        <f aca="false">設定!B100</f>
        <v>高速交通（株）</v>
      </c>
      <c r="B203" s="5" t="n">
        <f aca="false">IFERROR(MATCH(ホーム!$C$4&amp;"|"&amp;A203,報告入力!$CG$7:$CG$696,0),"")</f>
        <v>362</v>
      </c>
      <c r="C203" s="5" t="str">
        <f aca="false">IF(B203="","",INDEX(報告入力!$C$7:$C$696,B203))</f>
        <v>未受領</v>
      </c>
      <c r="D203" s="5" t="str">
        <f aca="false">設定!$A$39</f>
        <v>長期（厚生年金保険経理）</v>
      </c>
      <c r="E203" s="5" t="str">
        <f aca="false">設定!$B$39&amp;""</f>
        <v>130</v>
      </c>
      <c r="F203" s="5" t="str">
        <f aca="false">設定!$D$48&amp;""</f>
        <v>6101002000</v>
      </c>
      <c r="G203" s="5" t="str">
        <f aca="false">設定!$E$48&amp;""</f>
        <v>負担地方公共</v>
      </c>
      <c r="H203" s="5" t="n">
        <f aca="false">IF(B203="",0,N(INDEX(報告入力!$AW$7:$AW$696,B203)))</f>
        <v>145485</v>
      </c>
      <c r="I203" s="5" t="str">
        <f aca="false">設定!$C$39&amp;""</f>
        <v>1104001001</v>
      </c>
      <c r="J203" s="5" t="str">
        <f aca="false">設定!$D$39&amp;""</f>
        <v>普広銀市役所</v>
      </c>
      <c r="K203" s="5" t="n">
        <f aca="false">IF(AND(H203&lt;&gt;0,IF(設定!$B$6="入金確認済のみ",C203="入金確認済",OR(C203="入金確認済",C203="受領済"))),1,0)</f>
        <v>0</v>
      </c>
      <c r="L203" s="5" t="str">
        <f aca="false">1&amp;"|"&amp;40</f>
        <v>1|40</v>
      </c>
      <c r="M203" s="5" t="n">
        <f aca="false">IF(L203=L202,M202,0)+K203</f>
        <v>0</v>
      </c>
      <c r="N203" s="5" t="n">
        <f aca="false">IF(AND(K203=1,M203=1),1,0)</f>
        <v>0</v>
      </c>
      <c r="O203" s="5" t="str">
        <f aca="false">IF(K203=1,MAX($O$5:O202)+1,"")</f>
        <v/>
      </c>
      <c r="P203" s="5" t="str">
        <f aca="false">IF(K203=1,SUM($N$6:N203),"")</f>
        <v/>
      </c>
      <c r="Q203" s="5" t="str">
        <f aca="false">IF(K203=1,SUMIFS($H$6:$H$511,$L$6:$L$511,L203,$K$6:$K$511,1),"")</f>
        <v/>
      </c>
      <c r="R203" s="78" t="str">
        <f aca="false">IF(B203="","",IF(INDEX(報告入力!$X$7:$X$696,B203)="","",INDEX(報告入力!$X$7:$X$696,B203)))</f>
        <v/>
      </c>
      <c r="S203" s="5" t="str">
        <f aca="false">設定!$C$48</f>
        <v>長期：厚生年金保険料（事業主負担分）</v>
      </c>
    </row>
    <row r="204" customFormat="false" ht="15" hidden="false" customHeight="false" outlineLevel="0" collapsed="false">
      <c r="A204" s="5" t="str">
        <f aca="false">設定!B100</f>
        <v>高速交通（株）</v>
      </c>
      <c r="B204" s="5" t="n">
        <f aca="false">IFERROR(MATCH(ホーム!$C$4&amp;"|"&amp;A204,報告入力!$CG$7:$CG$696,0),"")</f>
        <v>362</v>
      </c>
      <c r="C204" s="5" t="str">
        <f aca="false">IF(B204="","",INDEX(報告入力!$C$7:$C$696,B204))</f>
        <v>未受領</v>
      </c>
      <c r="D204" s="5" t="str">
        <f aca="false">設定!$A$39</f>
        <v>長期（厚生年金保険経理）</v>
      </c>
      <c r="E204" s="5" t="str">
        <f aca="false">設定!$B$39&amp;""</f>
        <v>130</v>
      </c>
      <c r="F204" s="5" t="str">
        <f aca="false">設定!$D$49&amp;""</f>
        <v>2109001015</v>
      </c>
      <c r="G204" s="5" t="str">
        <f aca="false">設定!$E$49&amp;""</f>
        <v>退職負担地方</v>
      </c>
      <c r="H204" s="5" t="n">
        <f aca="false">IF(B204="",0,N(INDEX(報告入力!$AX$7:$AX$696,B204)))</f>
        <v>11925</v>
      </c>
      <c r="I204" s="5" t="str">
        <f aca="false">設定!$C$39&amp;""</f>
        <v>1104001001</v>
      </c>
      <c r="J204" s="5" t="str">
        <f aca="false">設定!$D$39&amp;""</f>
        <v>普広銀市役所</v>
      </c>
      <c r="K204" s="5" t="n">
        <f aca="false">IF(AND(H204&lt;&gt;0,IF(設定!$B$6="入金確認済のみ",C204="入金確認済",OR(C204="入金確認済",C204="受領済"))),1,0)</f>
        <v>0</v>
      </c>
      <c r="L204" s="5" t="str">
        <f aca="false">1&amp;"|"&amp;40</f>
        <v>1|40</v>
      </c>
      <c r="M204" s="5" t="n">
        <f aca="false">IF(L204=L203,M203,0)+K204</f>
        <v>0</v>
      </c>
      <c r="N204" s="5" t="n">
        <f aca="false">IF(AND(K204=1,M204=1),1,0)</f>
        <v>0</v>
      </c>
      <c r="O204" s="5" t="str">
        <f aca="false">IF(K204=1,MAX($O$5:O203)+1,"")</f>
        <v/>
      </c>
      <c r="P204" s="5" t="str">
        <f aca="false">IF(K204=1,SUM($N$6:N204),"")</f>
        <v/>
      </c>
      <c r="Q204" s="5" t="str">
        <f aca="false">IF(K204=1,SUMIFS($H$6:$H$511,$L$6:$L$511,L204,$K$6:$K$511,1),"")</f>
        <v/>
      </c>
      <c r="R204" s="78" t="str">
        <f aca="false">IF(B204="","",IF(INDEX(報告入力!$X$7:$X$696,B204)="","",INDEX(報告入力!$X$7:$X$696,B204)))</f>
        <v/>
      </c>
      <c r="S204" s="5" t="str">
        <f aca="false">設定!$C$49</f>
        <v>長期：退職等年金負担金</v>
      </c>
    </row>
    <row r="205" customFormat="false" ht="15" hidden="false" customHeight="false" outlineLevel="0" collapsed="false">
      <c r="A205" s="5" t="str">
        <f aca="false">設定!B100</f>
        <v>高速交通（株）</v>
      </c>
      <c r="B205" s="5" t="n">
        <f aca="false">IFERROR(MATCH(ホーム!$C$4&amp;"|"&amp;A205,報告入力!$CG$7:$CG$696,0),"")</f>
        <v>362</v>
      </c>
      <c r="C205" s="5" t="str">
        <f aca="false">IF(B205="","",INDEX(報告入力!$C$7:$C$696,B205))</f>
        <v>未受領</v>
      </c>
      <c r="D205" s="5" t="str">
        <f aca="false">設定!$A$39</f>
        <v>長期（厚生年金保険経理）</v>
      </c>
      <c r="E205" s="5" t="str">
        <f aca="false">設定!$B$39&amp;""</f>
        <v>130</v>
      </c>
      <c r="F205" s="5" t="str">
        <f aca="false">設定!$D$50&amp;""</f>
        <v>2109001017</v>
      </c>
      <c r="G205" s="5" t="str">
        <f aca="false">設定!$E$50&amp;""</f>
        <v>経過的負担金</v>
      </c>
      <c r="H205" s="5" t="n">
        <f aca="false">IF(B205="",0,N(INDEX(報告入力!$AY$7:$AY$696,B205)))</f>
        <v>149</v>
      </c>
      <c r="I205" s="5" t="str">
        <f aca="false">設定!$C$39&amp;""</f>
        <v>1104001001</v>
      </c>
      <c r="J205" s="5" t="str">
        <f aca="false">設定!$D$39&amp;""</f>
        <v>普広銀市役所</v>
      </c>
      <c r="K205" s="5" t="n">
        <f aca="false">IF(AND(H205&lt;&gt;0,IF(設定!$B$6="入金確認済のみ",C205="入金確認済",OR(C205="入金確認済",C205="受領済"))),1,0)</f>
        <v>0</v>
      </c>
      <c r="L205" s="5" t="str">
        <f aca="false">1&amp;"|"&amp;40</f>
        <v>1|40</v>
      </c>
      <c r="M205" s="5" t="n">
        <f aca="false">IF(L205=L204,M204,0)+K205</f>
        <v>0</v>
      </c>
      <c r="N205" s="5" t="n">
        <f aca="false">IF(AND(K205=1,M205=1),1,0)</f>
        <v>0</v>
      </c>
      <c r="O205" s="5" t="str">
        <f aca="false">IF(K205=1,MAX($O$5:O204)+1,"")</f>
        <v/>
      </c>
      <c r="P205" s="5" t="str">
        <f aca="false">IF(K205=1,SUM($N$6:N205),"")</f>
        <v/>
      </c>
      <c r="Q205" s="5" t="str">
        <f aca="false">IF(K205=1,SUMIFS($H$6:$H$511,$L$6:$L$511,L205,$K$6:$K$511,1),"")</f>
        <v/>
      </c>
      <c r="R205" s="78" t="str">
        <f aca="false">IF(B205="","",IF(INDEX(報告入力!$X$7:$X$696,B205)="","",INDEX(報告入力!$X$7:$X$696,B205)))</f>
        <v/>
      </c>
      <c r="S205" s="5" t="str">
        <f aca="false">設定!$C$50</f>
        <v>長期：経過的長期</v>
      </c>
    </row>
    <row r="206" customFormat="false" ht="15" hidden="false" customHeight="false" outlineLevel="0" collapsed="false">
      <c r="A206" s="5" t="str">
        <f aca="false">設定!B101</f>
        <v>広島駅南口開発（株）</v>
      </c>
      <c r="B206" s="5" t="n">
        <f aca="false">IFERROR(MATCH(ホーム!$C$4&amp;"|"&amp;A206,報告入力!$CG$7:$CG$696,0),"")</f>
        <v>363</v>
      </c>
      <c r="C206" s="5" t="str">
        <f aca="false">IF(B206="","",INDEX(報告入力!$C$7:$C$696,B206))</f>
        <v>受領済</v>
      </c>
      <c r="D206" s="5" t="str">
        <f aca="false">設定!$A$39</f>
        <v>長期（厚生年金保険経理）</v>
      </c>
      <c r="E206" s="5" t="str">
        <f aca="false">設定!$B$39&amp;""</f>
        <v>130</v>
      </c>
      <c r="F206" s="5" t="str">
        <f aca="false">設定!$D$46&amp;""</f>
        <v>6102102000</v>
      </c>
      <c r="G206" s="5" t="str">
        <f aca="false">設定!$E$46&amp;""</f>
        <v>標月額保険料</v>
      </c>
      <c r="H206" s="5" t="n">
        <f aca="false">IF(B206="",0,N(INDEX(報告入力!$AU$7:$AU$696,B206)))</f>
        <v>53985</v>
      </c>
      <c r="I206" s="5" t="str">
        <f aca="false">設定!$C$39&amp;""</f>
        <v>1104001001</v>
      </c>
      <c r="J206" s="5" t="str">
        <f aca="false">設定!$D$39&amp;""</f>
        <v>普広銀市役所</v>
      </c>
      <c r="K206" s="5" t="n">
        <f aca="false">IF(AND(H206&lt;&gt;0,IF(設定!$B$6="入金確認済のみ",C206="入金確認済",OR(C206="入金確認済",C206="受領済"))),1,0)</f>
        <v>0</v>
      </c>
      <c r="L206" s="5" t="str">
        <f aca="false">1&amp;"|"&amp;41</f>
        <v>1|41</v>
      </c>
      <c r="M206" s="5" t="n">
        <f aca="false">IF(L206=L205,M205,0)+K206</f>
        <v>0</v>
      </c>
      <c r="N206" s="5" t="n">
        <f aca="false">IF(AND(K206=1,M206=1),1,0)</f>
        <v>0</v>
      </c>
      <c r="O206" s="5" t="str">
        <f aca="false">IF(K206=1,MAX($O$5:O205)+1,"")</f>
        <v/>
      </c>
      <c r="P206" s="5" t="str">
        <f aca="false">IF(K206=1,SUM($N$6:N206),"")</f>
        <v/>
      </c>
      <c r="Q206" s="5" t="str">
        <f aca="false">IF(K206=1,SUMIFS($H$6:$H$511,$L$6:$L$511,L206,$K$6:$K$511,1),"")</f>
        <v/>
      </c>
      <c r="R206" s="78" t="str">
        <f aca="false">IF(B206="","",IF(INDEX(報告入力!$X$7:$X$696,B206)="","",INDEX(報告入力!$X$7:$X$696,B206)))</f>
        <v/>
      </c>
      <c r="S206" s="5" t="str">
        <f aca="false">設定!$C$46</f>
        <v>長期：厚生年金保険料（組合員負担分）</v>
      </c>
    </row>
    <row r="207" customFormat="false" ht="15" hidden="false" customHeight="false" outlineLevel="0" collapsed="false">
      <c r="A207" s="5" t="str">
        <f aca="false">設定!B101</f>
        <v>広島駅南口開発（株）</v>
      </c>
      <c r="B207" s="5" t="n">
        <f aca="false">IFERROR(MATCH(ホーム!$C$4&amp;"|"&amp;A207,報告入力!$CG$7:$CG$696,0),"")</f>
        <v>363</v>
      </c>
      <c r="C207" s="5" t="str">
        <f aca="false">IF(B207="","",INDEX(報告入力!$C$7:$C$696,B207))</f>
        <v>受領済</v>
      </c>
      <c r="D207" s="5" t="str">
        <f aca="false">設定!$A$39</f>
        <v>長期（厚生年金保険経理）</v>
      </c>
      <c r="E207" s="5" t="str">
        <f aca="false">設定!$B$39&amp;""</f>
        <v>130</v>
      </c>
      <c r="F207" s="5" t="str">
        <f aca="false">設定!$D$47&amp;""</f>
        <v>2109001014</v>
      </c>
      <c r="G207" s="5" t="str">
        <f aca="false">設定!$E$47&amp;""</f>
        <v>退職標報掛金</v>
      </c>
      <c r="H207" s="5" t="n">
        <f aca="false">IF(B207="",0,N(INDEX(報告入力!$AV$7:$AV$696,B207)))</f>
        <v>4425</v>
      </c>
      <c r="I207" s="5" t="str">
        <f aca="false">設定!$C$39&amp;""</f>
        <v>1104001001</v>
      </c>
      <c r="J207" s="5" t="str">
        <f aca="false">設定!$D$39&amp;""</f>
        <v>普広銀市役所</v>
      </c>
      <c r="K207" s="5" t="n">
        <f aca="false">IF(AND(H207&lt;&gt;0,IF(設定!$B$6="入金確認済のみ",C207="入金確認済",OR(C207="入金確認済",C207="受領済"))),1,0)</f>
        <v>0</v>
      </c>
      <c r="L207" s="5" t="str">
        <f aca="false">1&amp;"|"&amp;41</f>
        <v>1|41</v>
      </c>
      <c r="M207" s="5" t="n">
        <f aca="false">IF(L207=L206,M206,0)+K207</f>
        <v>0</v>
      </c>
      <c r="N207" s="5" t="n">
        <f aca="false">IF(AND(K207=1,M207=1),1,0)</f>
        <v>0</v>
      </c>
      <c r="O207" s="5" t="str">
        <f aca="false">IF(K207=1,MAX($O$5:O206)+1,"")</f>
        <v/>
      </c>
      <c r="P207" s="5" t="str">
        <f aca="false">IF(K207=1,SUM($N$6:N207),"")</f>
        <v/>
      </c>
      <c r="Q207" s="5" t="str">
        <f aca="false">IF(K207=1,SUMIFS($H$6:$H$511,$L$6:$L$511,L207,$K$6:$K$511,1),"")</f>
        <v/>
      </c>
      <c r="R207" s="78" t="str">
        <f aca="false">IF(B207="","",IF(INDEX(報告入力!$X$7:$X$696,B207)="","",INDEX(報告入力!$X$7:$X$696,B207)))</f>
        <v/>
      </c>
      <c r="S207" s="5" t="str">
        <f aca="false">設定!$C$47</f>
        <v>長期：退職等年金掛金</v>
      </c>
    </row>
    <row r="208" customFormat="false" ht="15" hidden="false" customHeight="false" outlineLevel="0" collapsed="false">
      <c r="A208" s="5" t="str">
        <f aca="false">設定!B101</f>
        <v>広島駅南口開発（株）</v>
      </c>
      <c r="B208" s="5" t="n">
        <f aca="false">IFERROR(MATCH(ホーム!$C$4&amp;"|"&amp;A208,報告入力!$CG$7:$CG$696,0),"")</f>
        <v>363</v>
      </c>
      <c r="C208" s="5" t="str">
        <f aca="false">IF(B208="","",INDEX(報告入力!$C$7:$C$696,B208))</f>
        <v>受領済</v>
      </c>
      <c r="D208" s="5" t="str">
        <f aca="false">設定!$A$39</f>
        <v>長期（厚生年金保険経理）</v>
      </c>
      <c r="E208" s="5" t="str">
        <f aca="false">設定!$B$39&amp;""</f>
        <v>130</v>
      </c>
      <c r="F208" s="5" t="str">
        <f aca="false">設定!$D$48&amp;""</f>
        <v>6101002000</v>
      </c>
      <c r="G208" s="5" t="str">
        <f aca="false">設定!$E$48&amp;""</f>
        <v>負担地方公共</v>
      </c>
      <c r="H208" s="5" t="n">
        <f aca="false">IF(B208="",0,N(INDEX(報告入力!$AW$7:$AW$696,B208)))</f>
        <v>53985</v>
      </c>
      <c r="I208" s="5" t="str">
        <f aca="false">設定!$C$39&amp;""</f>
        <v>1104001001</v>
      </c>
      <c r="J208" s="5" t="str">
        <f aca="false">設定!$D$39&amp;""</f>
        <v>普広銀市役所</v>
      </c>
      <c r="K208" s="5" t="n">
        <f aca="false">IF(AND(H208&lt;&gt;0,IF(設定!$B$6="入金確認済のみ",C208="入金確認済",OR(C208="入金確認済",C208="受領済"))),1,0)</f>
        <v>0</v>
      </c>
      <c r="L208" s="5" t="str">
        <f aca="false">1&amp;"|"&amp;41</f>
        <v>1|41</v>
      </c>
      <c r="M208" s="5" t="n">
        <f aca="false">IF(L208=L207,M207,0)+K208</f>
        <v>0</v>
      </c>
      <c r="N208" s="5" t="n">
        <f aca="false">IF(AND(K208=1,M208=1),1,0)</f>
        <v>0</v>
      </c>
      <c r="O208" s="5" t="str">
        <f aca="false">IF(K208=1,MAX($O$5:O207)+1,"")</f>
        <v/>
      </c>
      <c r="P208" s="5" t="str">
        <f aca="false">IF(K208=1,SUM($N$6:N208),"")</f>
        <v/>
      </c>
      <c r="Q208" s="5" t="str">
        <f aca="false">IF(K208=1,SUMIFS($H$6:$H$511,$L$6:$L$511,L208,$K$6:$K$511,1),"")</f>
        <v/>
      </c>
      <c r="R208" s="78" t="str">
        <f aca="false">IF(B208="","",IF(INDEX(報告入力!$X$7:$X$696,B208)="","",INDEX(報告入力!$X$7:$X$696,B208)))</f>
        <v/>
      </c>
      <c r="S208" s="5" t="str">
        <f aca="false">設定!$C$48</f>
        <v>長期：厚生年金保険料（事業主負担分）</v>
      </c>
    </row>
    <row r="209" customFormat="false" ht="15" hidden="false" customHeight="false" outlineLevel="0" collapsed="false">
      <c r="A209" s="5" t="str">
        <f aca="false">設定!B101</f>
        <v>広島駅南口開発（株）</v>
      </c>
      <c r="B209" s="5" t="n">
        <f aca="false">IFERROR(MATCH(ホーム!$C$4&amp;"|"&amp;A209,報告入力!$CG$7:$CG$696,0),"")</f>
        <v>363</v>
      </c>
      <c r="C209" s="5" t="str">
        <f aca="false">IF(B209="","",INDEX(報告入力!$C$7:$C$696,B209))</f>
        <v>受領済</v>
      </c>
      <c r="D209" s="5" t="str">
        <f aca="false">設定!$A$39</f>
        <v>長期（厚生年金保険経理）</v>
      </c>
      <c r="E209" s="5" t="str">
        <f aca="false">設定!$B$39&amp;""</f>
        <v>130</v>
      </c>
      <c r="F209" s="5" t="str">
        <f aca="false">設定!$D$49&amp;""</f>
        <v>2109001015</v>
      </c>
      <c r="G209" s="5" t="str">
        <f aca="false">設定!$E$49&amp;""</f>
        <v>退職負担地方</v>
      </c>
      <c r="H209" s="5" t="n">
        <f aca="false">IF(B209="",0,N(INDEX(報告入力!$AX$7:$AX$696,B209)))</f>
        <v>4425</v>
      </c>
      <c r="I209" s="5" t="str">
        <f aca="false">設定!$C$39&amp;""</f>
        <v>1104001001</v>
      </c>
      <c r="J209" s="5" t="str">
        <f aca="false">設定!$D$39&amp;""</f>
        <v>普広銀市役所</v>
      </c>
      <c r="K209" s="5" t="n">
        <f aca="false">IF(AND(H209&lt;&gt;0,IF(設定!$B$6="入金確認済のみ",C209="入金確認済",OR(C209="入金確認済",C209="受領済"))),1,0)</f>
        <v>0</v>
      </c>
      <c r="L209" s="5" t="str">
        <f aca="false">1&amp;"|"&amp;41</f>
        <v>1|41</v>
      </c>
      <c r="M209" s="5" t="n">
        <f aca="false">IF(L209=L208,M208,0)+K209</f>
        <v>0</v>
      </c>
      <c r="N209" s="5" t="n">
        <f aca="false">IF(AND(K209=1,M209=1),1,0)</f>
        <v>0</v>
      </c>
      <c r="O209" s="5" t="str">
        <f aca="false">IF(K209=1,MAX($O$5:O208)+1,"")</f>
        <v/>
      </c>
      <c r="P209" s="5" t="str">
        <f aca="false">IF(K209=1,SUM($N$6:N209),"")</f>
        <v/>
      </c>
      <c r="Q209" s="5" t="str">
        <f aca="false">IF(K209=1,SUMIFS($H$6:$H$511,$L$6:$L$511,L209,$K$6:$K$511,1),"")</f>
        <v/>
      </c>
      <c r="R209" s="78" t="str">
        <f aca="false">IF(B209="","",IF(INDEX(報告入力!$X$7:$X$696,B209)="","",INDEX(報告入力!$X$7:$X$696,B209)))</f>
        <v/>
      </c>
      <c r="S209" s="5" t="str">
        <f aca="false">設定!$C$49</f>
        <v>長期：退職等年金負担金</v>
      </c>
    </row>
    <row r="210" customFormat="false" ht="15" hidden="false" customHeight="false" outlineLevel="0" collapsed="false">
      <c r="A210" s="5" t="str">
        <f aca="false">設定!B101</f>
        <v>広島駅南口開発（株）</v>
      </c>
      <c r="B210" s="5" t="n">
        <f aca="false">IFERROR(MATCH(ホーム!$C$4&amp;"|"&amp;A210,報告入力!$CG$7:$CG$696,0),"")</f>
        <v>363</v>
      </c>
      <c r="C210" s="5" t="str">
        <f aca="false">IF(B210="","",INDEX(報告入力!$C$7:$C$696,B210))</f>
        <v>受領済</v>
      </c>
      <c r="D210" s="5" t="str">
        <f aca="false">設定!$A$39</f>
        <v>長期（厚生年金保険経理）</v>
      </c>
      <c r="E210" s="5" t="str">
        <f aca="false">設定!$B$39&amp;""</f>
        <v>130</v>
      </c>
      <c r="F210" s="5" t="str">
        <f aca="false">設定!$D$50&amp;""</f>
        <v>2109001017</v>
      </c>
      <c r="G210" s="5" t="str">
        <f aca="false">設定!$E$50&amp;""</f>
        <v>経過的負担金</v>
      </c>
      <c r="H210" s="5" t="n">
        <f aca="false">IF(B210="",0,N(INDEX(報告入力!$AY$7:$AY$696,B210)))</f>
        <v>51</v>
      </c>
      <c r="I210" s="5" t="str">
        <f aca="false">設定!$C$39&amp;""</f>
        <v>1104001001</v>
      </c>
      <c r="J210" s="5" t="str">
        <f aca="false">設定!$D$39&amp;""</f>
        <v>普広銀市役所</v>
      </c>
      <c r="K210" s="5" t="n">
        <f aca="false">IF(AND(H210&lt;&gt;0,IF(設定!$B$6="入金確認済のみ",C210="入金確認済",OR(C210="入金確認済",C210="受領済"))),1,0)</f>
        <v>0</v>
      </c>
      <c r="L210" s="5" t="str">
        <f aca="false">1&amp;"|"&amp;41</f>
        <v>1|41</v>
      </c>
      <c r="M210" s="5" t="n">
        <f aca="false">IF(L210=L209,M209,0)+K210</f>
        <v>0</v>
      </c>
      <c r="N210" s="5" t="n">
        <f aca="false">IF(AND(K210=1,M210=1),1,0)</f>
        <v>0</v>
      </c>
      <c r="O210" s="5" t="str">
        <f aca="false">IF(K210=1,MAX($O$5:O209)+1,"")</f>
        <v/>
      </c>
      <c r="P210" s="5" t="str">
        <f aca="false">IF(K210=1,SUM($N$6:N210),"")</f>
        <v/>
      </c>
      <c r="Q210" s="5" t="str">
        <f aca="false">IF(K210=1,SUMIFS($H$6:$H$511,$L$6:$L$511,L210,$K$6:$K$511,1),"")</f>
        <v/>
      </c>
      <c r="R210" s="78" t="str">
        <f aca="false">IF(B210="","",IF(INDEX(報告入力!$X$7:$X$696,B210)="","",INDEX(報告入力!$X$7:$X$696,B210)))</f>
        <v/>
      </c>
      <c r="S210" s="5" t="str">
        <f aca="false">設定!$C$50</f>
        <v>長期：経過的長期</v>
      </c>
    </row>
    <row r="211" customFormat="false" ht="15" hidden="false" customHeight="false" outlineLevel="0" collapsed="false">
      <c r="A211" s="5" t="str">
        <f aca="false">設定!B102</f>
        <v>市職員労働組合</v>
      </c>
      <c r="B211" s="5" t="n">
        <f aca="false">IFERROR(MATCH(ホーム!$C$4&amp;"|"&amp;A211,報告入力!$CG$7:$CG$696,0),"")</f>
        <v>364</v>
      </c>
      <c r="C211" s="5" t="str">
        <f aca="false">IF(B211="","",INDEX(報告入力!$C$7:$C$696,B211))</f>
        <v>未受領</v>
      </c>
      <c r="D211" s="5" t="str">
        <f aca="false">設定!$A$39</f>
        <v>長期（厚生年金保険経理）</v>
      </c>
      <c r="E211" s="5" t="str">
        <f aca="false">設定!$B$39&amp;""</f>
        <v>130</v>
      </c>
      <c r="F211" s="5" t="str">
        <f aca="false">設定!$D$46&amp;""</f>
        <v>6102102000</v>
      </c>
      <c r="G211" s="5" t="str">
        <f aca="false">設定!$E$46&amp;""</f>
        <v>標月額保険料</v>
      </c>
      <c r="H211" s="5" t="n">
        <f aca="false">IF(B211="",0,N(INDEX(報告入力!$AU$7:$AU$696,B211)))</f>
        <v>29280</v>
      </c>
      <c r="I211" s="5" t="str">
        <f aca="false">設定!$C$39&amp;""</f>
        <v>1104001001</v>
      </c>
      <c r="J211" s="5" t="str">
        <f aca="false">設定!$D$39&amp;""</f>
        <v>普広銀市役所</v>
      </c>
      <c r="K211" s="5" t="n">
        <f aca="false">IF(AND(H211&lt;&gt;0,IF(設定!$B$6="入金確認済のみ",C211="入金確認済",OR(C211="入金確認済",C211="受領済"))),1,0)</f>
        <v>0</v>
      </c>
      <c r="L211" s="5" t="str">
        <f aca="false">1&amp;"|"&amp;42</f>
        <v>1|42</v>
      </c>
      <c r="M211" s="5" t="n">
        <f aca="false">IF(L211=L210,M210,0)+K211</f>
        <v>0</v>
      </c>
      <c r="N211" s="5" t="n">
        <f aca="false">IF(AND(K211=1,M211=1),1,0)</f>
        <v>0</v>
      </c>
      <c r="O211" s="5" t="str">
        <f aca="false">IF(K211=1,MAX($O$5:O210)+1,"")</f>
        <v/>
      </c>
      <c r="P211" s="5" t="str">
        <f aca="false">IF(K211=1,SUM($N$6:N211),"")</f>
        <v/>
      </c>
      <c r="Q211" s="5" t="str">
        <f aca="false">IF(K211=1,SUMIFS($H$6:$H$511,$L$6:$L$511,L211,$K$6:$K$511,1),"")</f>
        <v/>
      </c>
      <c r="R211" s="78" t="str">
        <f aca="false">IF(B211="","",IF(INDEX(報告入力!$X$7:$X$696,B211)="","",INDEX(報告入力!$X$7:$X$696,B211)))</f>
        <v/>
      </c>
      <c r="S211" s="5" t="str">
        <f aca="false">設定!$C$46</f>
        <v>長期：厚生年金保険料（組合員負担分）</v>
      </c>
    </row>
    <row r="212" customFormat="false" ht="15" hidden="false" customHeight="false" outlineLevel="0" collapsed="false">
      <c r="A212" s="5" t="str">
        <f aca="false">設定!B102</f>
        <v>市職員労働組合</v>
      </c>
      <c r="B212" s="5" t="n">
        <f aca="false">IFERROR(MATCH(ホーム!$C$4&amp;"|"&amp;A212,報告入力!$CG$7:$CG$696,0),"")</f>
        <v>364</v>
      </c>
      <c r="C212" s="5" t="str">
        <f aca="false">IF(B212="","",INDEX(報告入力!$C$7:$C$696,B212))</f>
        <v>未受領</v>
      </c>
      <c r="D212" s="5" t="str">
        <f aca="false">設定!$A$39</f>
        <v>長期（厚生年金保険経理）</v>
      </c>
      <c r="E212" s="5" t="str">
        <f aca="false">設定!$B$39&amp;""</f>
        <v>130</v>
      </c>
      <c r="F212" s="5" t="str">
        <f aca="false">設定!$D$47&amp;""</f>
        <v>2109001014</v>
      </c>
      <c r="G212" s="5" t="str">
        <f aca="false">設定!$E$47&amp;""</f>
        <v>退職標報掛金</v>
      </c>
      <c r="H212" s="5" t="n">
        <f aca="false">IF(B212="",0,N(INDEX(報告入力!$AV$7:$AV$696,B212)))</f>
        <v>2400</v>
      </c>
      <c r="I212" s="5" t="str">
        <f aca="false">設定!$C$39&amp;""</f>
        <v>1104001001</v>
      </c>
      <c r="J212" s="5" t="str">
        <f aca="false">設定!$D$39&amp;""</f>
        <v>普広銀市役所</v>
      </c>
      <c r="K212" s="5" t="n">
        <f aca="false">IF(AND(H212&lt;&gt;0,IF(設定!$B$6="入金確認済のみ",C212="入金確認済",OR(C212="入金確認済",C212="受領済"))),1,0)</f>
        <v>0</v>
      </c>
      <c r="L212" s="5" t="str">
        <f aca="false">1&amp;"|"&amp;42</f>
        <v>1|42</v>
      </c>
      <c r="M212" s="5" t="n">
        <f aca="false">IF(L212=L211,M211,0)+K212</f>
        <v>0</v>
      </c>
      <c r="N212" s="5" t="n">
        <f aca="false">IF(AND(K212=1,M212=1),1,0)</f>
        <v>0</v>
      </c>
      <c r="O212" s="5" t="str">
        <f aca="false">IF(K212=1,MAX($O$5:O211)+1,"")</f>
        <v/>
      </c>
      <c r="P212" s="5" t="str">
        <f aca="false">IF(K212=1,SUM($N$6:N212),"")</f>
        <v/>
      </c>
      <c r="Q212" s="5" t="str">
        <f aca="false">IF(K212=1,SUMIFS($H$6:$H$511,$L$6:$L$511,L212,$K$6:$K$511,1),"")</f>
        <v/>
      </c>
      <c r="R212" s="78" t="str">
        <f aca="false">IF(B212="","",IF(INDEX(報告入力!$X$7:$X$696,B212)="","",INDEX(報告入力!$X$7:$X$696,B212)))</f>
        <v/>
      </c>
      <c r="S212" s="5" t="str">
        <f aca="false">設定!$C$47</f>
        <v>長期：退職等年金掛金</v>
      </c>
    </row>
    <row r="213" customFormat="false" ht="15" hidden="false" customHeight="false" outlineLevel="0" collapsed="false">
      <c r="A213" s="5" t="str">
        <f aca="false">設定!B102</f>
        <v>市職員労働組合</v>
      </c>
      <c r="B213" s="5" t="n">
        <f aca="false">IFERROR(MATCH(ホーム!$C$4&amp;"|"&amp;A213,報告入力!$CG$7:$CG$696,0),"")</f>
        <v>364</v>
      </c>
      <c r="C213" s="5" t="str">
        <f aca="false">IF(B213="","",INDEX(報告入力!$C$7:$C$696,B213))</f>
        <v>未受領</v>
      </c>
      <c r="D213" s="5" t="str">
        <f aca="false">設定!$A$39</f>
        <v>長期（厚生年金保険経理）</v>
      </c>
      <c r="E213" s="5" t="str">
        <f aca="false">設定!$B$39&amp;""</f>
        <v>130</v>
      </c>
      <c r="F213" s="5" t="str">
        <f aca="false">設定!$D$48&amp;""</f>
        <v>6101002000</v>
      </c>
      <c r="G213" s="5" t="str">
        <f aca="false">設定!$E$48&amp;""</f>
        <v>負担地方公共</v>
      </c>
      <c r="H213" s="5" t="n">
        <f aca="false">IF(B213="",0,N(INDEX(報告入力!$AW$7:$AW$696,B213)))</f>
        <v>29280</v>
      </c>
      <c r="I213" s="5" t="str">
        <f aca="false">設定!$C$39&amp;""</f>
        <v>1104001001</v>
      </c>
      <c r="J213" s="5" t="str">
        <f aca="false">設定!$D$39&amp;""</f>
        <v>普広銀市役所</v>
      </c>
      <c r="K213" s="5" t="n">
        <f aca="false">IF(AND(H213&lt;&gt;0,IF(設定!$B$6="入金確認済のみ",C213="入金確認済",OR(C213="入金確認済",C213="受領済"))),1,0)</f>
        <v>0</v>
      </c>
      <c r="L213" s="5" t="str">
        <f aca="false">1&amp;"|"&amp;42</f>
        <v>1|42</v>
      </c>
      <c r="M213" s="5" t="n">
        <f aca="false">IF(L213=L212,M212,0)+K213</f>
        <v>0</v>
      </c>
      <c r="N213" s="5" t="n">
        <f aca="false">IF(AND(K213=1,M213=1),1,0)</f>
        <v>0</v>
      </c>
      <c r="O213" s="5" t="str">
        <f aca="false">IF(K213=1,MAX($O$5:O212)+1,"")</f>
        <v/>
      </c>
      <c r="P213" s="5" t="str">
        <f aca="false">IF(K213=1,SUM($N$6:N213),"")</f>
        <v/>
      </c>
      <c r="Q213" s="5" t="str">
        <f aca="false">IF(K213=1,SUMIFS($H$6:$H$511,$L$6:$L$511,L213,$K$6:$K$511,1),"")</f>
        <v/>
      </c>
      <c r="R213" s="78" t="str">
        <f aca="false">IF(B213="","",IF(INDEX(報告入力!$X$7:$X$696,B213)="","",INDEX(報告入力!$X$7:$X$696,B213)))</f>
        <v/>
      </c>
      <c r="S213" s="5" t="str">
        <f aca="false">設定!$C$48</f>
        <v>長期：厚生年金保険料（事業主負担分）</v>
      </c>
    </row>
    <row r="214" customFormat="false" ht="15" hidden="false" customHeight="false" outlineLevel="0" collapsed="false">
      <c r="A214" s="5" t="str">
        <f aca="false">設定!B102</f>
        <v>市職員労働組合</v>
      </c>
      <c r="B214" s="5" t="n">
        <f aca="false">IFERROR(MATCH(ホーム!$C$4&amp;"|"&amp;A214,報告入力!$CG$7:$CG$696,0),"")</f>
        <v>364</v>
      </c>
      <c r="C214" s="5" t="str">
        <f aca="false">IF(B214="","",INDEX(報告入力!$C$7:$C$696,B214))</f>
        <v>未受領</v>
      </c>
      <c r="D214" s="5" t="str">
        <f aca="false">設定!$A$39</f>
        <v>長期（厚生年金保険経理）</v>
      </c>
      <c r="E214" s="5" t="str">
        <f aca="false">設定!$B$39&amp;""</f>
        <v>130</v>
      </c>
      <c r="F214" s="5" t="str">
        <f aca="false">設定!$D$49&amp;""</f>
        <v>2109001015</v>
      </c>
      <c r="G214" s="5" t="str">
        <f aca="false">設定!$E$49&amp;""</f>
        <v>退職負担地方</v>
      </c>
      <c r="H214" s="5" t="n">
        <f aca="false">IF(B214="",0,N(INDEX(報告入力!$AX$7:$AX$696,B214)))</f>
        <v>2400</v>
      </c>
      <c r="I214" s="5" t="str">
        <f aca="false">設定!$C$39&amp;""</f>
        <v>1104001001</v>
      </c>
      <c r="J214" s="5" t="str">
        <f aca="false">設定!$D$39&amp;""</f>
        <v>普広銀市役所</v>
      </c>
      <c r="K214" s="5" t="n">
        <f aca="false">IF(AND(H214&lt;&gt;0,IF(設定!$B$6="入金確認済のみ",C214="入金確認済",OR(C214="入金確認済",C214="受領済"))),1,0)</f>
        <v>0</v>
      </c>
      <c r="L214" s="5" t="str">
        <f aca="false">1&amp;"|"&amp;42</f>
        <v>1|42</v>
      </c>
      <c r="M214" s="5" t="n">
        <f aca="false">IF(L214=L213,M213,0)+K214</f>
        <v>0</v>
      </c>
      <c r="N214" s="5" t="n">
        <f aca="false">IF(AND(K214=1,M214=1),1,0)</f>
        <v>0</v>
      </c>
      <c r="O214" s="5" t="str">
        <f aca="false">IF(K214=1,MAX($O$5:O213)+1,"")</f>
        <v/>
      </c>
      <c r="P214" s="5" t="str">
        <f aca="false">IF(K214=1,SUM($N$6:N214),"")</f>
        <v/>
      </c>
      <c r="Q214" s="5" t="str">
        <f aca="false">IF(K214=1,SUMIFS($H$6:$H$511,$L$6:$L$511,L214,$K$6:$K$511,1),"")</f>
        <v/>
      </c>
      <c r="R214" s="78" t="str">
        <f aca="false">IF(B214="","",IF(INDEX(報告入力!$X$7:$X$696,B214)="","",INDEX(報告入力!$X$7:$X$696,B214)))</f>
        <v/>
      </c>
      <c r="S214" s="5" t="str">
        <f aca="false">設定!$C$49</f>
        <v>長期：退職等年金負担金</v>
      </c>
    </row>
    <row r="215" customFormat="false" ht="15" hidden="false" customHeight="false" outlineLevel="0" collapsed="false">
      <c r="A215" s="5" t="str">
        <f aca="false">設定!B102</f>
        <v>市職員労働組合</v>
      </c>
      <c r="B215" s="5" t="n">
        <f aca="false">IFERROR(MATCH(ホーム!$C$4&amp;"|"&amp;A215,報告入力!$CG$7:$CG$696,0),"")</f>
        <v>364</v>
      </c>
      <c r="C215" s="5" t="str">
        <f aca="false">IF(B215="","",INDEX(報告入力!$C$7:$C$696,B215))</f>
        <v>未受領</v>
      </c>
      <c r="D215" s="5" t="str">
        <f aca="false">設定!$A$39</f>
        <v>長期（厚生年金保険経理）</v>
      </c>
      <c r="E215" s="5" t="str">
        <f aca="false">設定!$B$39&amp;""</f>
        <v>130</v>
      </c>
      <c r="F215" s="5" t="str">
        <f aca="false">設定!$D$50&amp;""</f>
        <v>2109001017</v>
      </c>
      <c r="G215" s="5" t="str">
        <f aca="false">設定!$E$50&amp;""</f>
        <v>経過的負担金</v>
      </c>
      <c r="H215" s="5" t="n">
        <f aca="false">IF(B215="",0,N(INDEX(報告入力!$AY$7:$AY$696,B215)))</f>
        <v>0</v>
      </c>
      <c r="I215" s="5" t="str">
        <f aca="false">設定!$C$39&amp;""</f>
        <v>1104001001</v>
      </c>
      <c r="J215" s="5" t="str">
        <f aca="false">設定!$D$39&amp;""</f>
        <v>普広銀市役所</v>
      </c>
      <c r="K215" s="5" t="n">
        <f aca="false">IF(AND(H215&lt;&gt;0,IF(設定!$B$6="入金確認済のみ",C215="入金確認済",OR(C215="入金確認済",C215="受領済"))),1,0)</f>
        <v>0</v>
      </c>
      <c r="L215" s="5" t="str">
        <f aca="false">1&amp;"|"&amp;42</f>
        <v>1|42</v>
      </c>
      <c r="M215" s="5" t="n">
        <f aca="false">IF(L215=L214,M214,0)+K215</f>
        <v>0</v>
      </c>
      <c r="N215" s="5" t="n">
        <f aca="false">IF(AND(K215=1,M215=1),1,0)</f>
        <v>0</v>
      </c>
      <c r="O215" s="5" t="str">
        <f aca="false">IF(K215=1,MAX($O$5:O214)+1,"")</f>
        <v/>
      </c>
      <c r="P215" s="5" t="str">
        <f aca="false">IF(K215=1,SUM($N$6:N215),"")</f>
        <v/>
      </c>
      <c r="Q215" s="5" t="str">
        <f aca="false">IF(K215=1,SUMIFS($H$6:$H$511,$L$6:$L$511,L215,$K$6:$K$511,1),"")</f>
        <v/>
      </c>
      <c r="R215" s="78" t="str">
        <f aca="false">IF(B215="","",IF(INDEX(報告入力!$X$7:$X$696,B215)="","",INDEX(報告入力!$X$7:$X$696,B215)))</f>
        <v/>
      </c>
      <c r="S215" s="5" t="str">
        <f aca="false">設定!$C$50</f>
        <v>長期：経過的長期</v>
      </c>
    </row>
    <row r="216" customFormat="false" ht="15" hidden="false" customHeight="false" outlineLevel="0" collapsed="false">
      <c r="A216" s="5" t="str">
        <f aca="false">設定!B103</f>
        <v>自治労労働組合</v>
      </c>
      <c r="B216" s="5" t="n">
        <f aca="false">IFERROR(MATCH(ホーム!$C$4&amp;"|"&amp;A216,報告入力!$CG$7:$CG$696,0),"")</f>
        <v>365</v>
      </c>
      <c r="C216" s="5" t="str">
        <f aca="false">IF(B216="","",INDEX(報告入力!$C$7:$C$696,B216))</f>
        <v>未受領</v>
      </c>
      <c r="D216" s="5" t="str">
        <f aca="false">設定!$A$39</f>
        <v>長期（厚生年金保険経理）</v>
      </c>
      <c r="E216" s="5" t="str">
        <f aca="false">設定!$B$39&amp;""</f>
        <v>130</v>
      </c>
      <c r="F216" s="5" t="str">
        <f aca="false">設定!$D$46&amp;""</f>
        <v>6102102000</v>
      </c>
      <c r="G216" s="5" t="str">
        <f aca="false">設定!$E$46&amp;""</f>
        <v>標月額保険料</v>
      </c>
      <c r="H216" s="5" t="n">
        <f aca="false">IF(B216="",0,N(INDEX(報告入力!$AU$7:$AU$696,B216)))</f>
        <v>0</v>
      </c>
      <c r="I216" s="5" t="str">
        <f aca="false">設定!$C$39&amp;""</f>
        <v>1104001001</v>
      </c>
      <c r="J216" s="5" t="str">
        <f aca="false">設定!$D$39&amp;""</f>
        <v>普広銀市役所</v>
      </c>
      <c r="K216" s="5" t="n">
        <f aca="false">IF(AND(H216&lt;&gt;0,IF(設定!$B$6="入金確認済のみ",C216="入金確認済",OR(C216="入金確認済",C216="受領済"))),1,0)</f>
        <v>0</v>
      </c>
      <c r="L216" s="5" t="str">
        <f aca="false">1&amp;"|"&amp;43</f>
        <v>1|43</v>
      </c>
      <c r="M216" s="5" t="n">
        <f aca="false">IF(L216=L215,M215,0)+K216</f>
        <v>0</v>
      </c>
      <c r="N216" s="5" t="n">
        <f aca="false">IF(AND(K216=1,M216=1),1,0)</f>
        <v>0</v>
      </c>
      <c r="O216" s="5" t="str">
        <f aca="false">IF(K216=1,MAX($O$5:O215)+1,"")</f>
        <v/>
      </c>
      <c r="P216" s="5" t="str">
        <f aca="false">IF(K216=1,SUM($N$6:N216),"")</f>
        <v/>
      </c>
      <c r="Q216" s="5" t="str">
        <f aca="false">IF(K216=1,SUMIFS($H$6:$H$511,$L$6:$L$511,L216,$K$6:$K$511,1),"")</f>
        <v/>
      </c>
      <c r="R216" s="78" t="str">
        <f aca="false">IF(B216="","",IF(INDEX(報告入力!$X$7:$X$696,B216)="","",INDEX(報告入力!$X$7:$X$696,B216)))</f>
        <v/>
      </c>
      <c r="S216" s="5" t="str">
        <f aca="false">設定!$C$46</f>
        <v>長期：厚生年金保険料（組合員負担分）</v>
      </c>
    </row>
    <row r="217" customFormat="false" ht="15" hidden="false" customHeight="false" outlineLevel="0" collapsed="false">
      <c r="A217" s="5" t="str">
        <f aca="false">設定!B103</f>
        <v>自治労労働組合</v>
      </c>
      <c r="B217" s="5" t="n">
        <f aca="false">IFERROR(MATCH(ホーム!$C$4&amp;"|"&amp;A217,報告入力!$CG$7:$CG$696,0),"")</f>
        <v>365</v>
      </c>
      <c r="C217" s="5" t="str">
        <f aca="false">IF(B217="","",INDEX(報告入力!$C$7:$C$696,B217))</f>
        <v>未受領</v>
      </c>
      <c r="D217" s="5" t="str">
        <f aca="false">設定!$A$39</f>
        <v>長期（厚生年金保険経理）</v>
      </c>
      <c r="E217" s="5" t="str">
        <f aca="false">設定!$B$39&amp;""</f>
        <v>130</v>
      </c>
      <c r="F217" s="5" t="str">
        <f aca="false">設定!$D$47&amp;""</f>
        <v>2109001014</v>
      </c>
      <c r="G217" s="5" t="str">
        <f aca="false">設定!$E$47&amp;""</f>
        <v>退職標報掛金</v>
      </c>
      <c r="H217" s="5" t="n">
        <f aca="false">IF(B217="",0,N(INDEX(報告入力!$AV$7:$AV$696,B217)))</f>
        <v>0</v>
      </c>
      <c r="I217" s="5" t="str">
        <f aca="false">設定!$C$39&amp;""</f>
        <v>1104001001</v>
      </c>
      <c r="J217" s="5" t="str">
        <f aca="false">設定!$D$39&amp;""</f>
        <v>普広銀市役所</v>
      </c>
      <c r="K217" s="5" t="n">
        <f aca="false">IF(AND(H217&lt;&gt;0,IF(設定!$B$6="入金確認済のみ",C217="入金確認済",OR(C217="入金確認済",C217="受領済"))),1,0)</f>
        <v>0</v>
      </c>
      <c r="L217" s="5" t="str">
        <f aca="false">1&amp;"|"&amp;43</f>
        <v>1|43</v>
      </c>
      <c r="M217" s="5" t="n">
        <f aca="false">IF(L217=L216,M216,0)+K217</f>
        <v>0</v>
      </c>
      <c r="N217" s="5" t="n">
        <f aca="false">IF(AND(K217=1,M217=1),1,0)</f>
        <v>0</v>
      </c>
      <c r="O217" s="5" t="str">
        <f aca="false">IF(K217=1,MAX($O$5:O216)+1,"")</f>
        <v/>
      </c>
      <c r="P217" s="5" t="str">
        <f aca="false">IF(K217=1,SUM($N$6:N217),"")</f>
        <v/>
      </c>
      <c r="Q217" s="5" t="str">
        <f aca="false">IF(K217=1,SUMIFS($H$6:$H$511,$L$6:$L$511,L217,$K$6:$K$511,1),"")</f>
        <v/>
      </c>
      <c r="R217" s="78" t="str">
        <f aca="false">IF(B217="","",IF(INDEX(報告入力!$X$7:$X$696,B217)="","",INDEX(報告入力!$X$7:$X$696,B217)))</f>
        <v/>
      </c>
      <c r="S217" s="5" t="str">
        <f aca="false">設定!$C$47</f>
        <v>長期：退職等年金掛金</v>
      </c>
    </row>
    <row r="218" customFormat="false" ht="15" hidden="false" customHeight="false" outlineLevel="0" collapsed="false">
      <c r="A218" s="5" t="str">
        <f aca="false">設定!B103</f>
        <v>自治労労働組合</v>
      </c>
      <c r="B218" s="5" t="n">
        <f aca="false">IFERROR(MATCH(ホーム!$C$4&amp;"|"&amp;A218,報告入力!$CG$7:$CG$696,0),"")</f>
        <v>365</v>
      </c>
      <c r="C218" s="5" t="str">
        <f aca="false">IF(B218="","",INDEX(報告入力!$C$7:$C$696,B218))</f>
        <v>未受領</v>
      </c>
      <c r="D218" s="5" t="str">
        <f aca="false">設定!$A$39</f>
        <v>長期（厚生年金保険経理）</v>
      </c>
      <c r="E218" s="5" t="str">
        <f aca="false">設定!$B$39&amp;""</f>
        <v>130</v>
      </c>
      <c r="F218" s="5" t="str">
        <f aca="false">設定!$D$48&amp;""</f>
        <v>6101002000</v>
      </c>
      <c r="G218" s="5" t="str">
        <f aca="false">設定!$E$48&amp;""</f>
        <v>負担地方公共</v>
      </c>
      <c r="H218" s="5" t="n">
        <f aca="false">IF(B218="",0,N(INDEX(報告入力!$AW$7:$AW$696,B218)))</f>
        <v>0</v>
      </c>
      <c r="I218" s="5" t="str">
        <f aca="false">設定!$C$39&amp;""</f>
        <v>1104001001</v>
      </c>
      <c r="J218" s="5" t="str">
        <f aca="false">設定!$D$39&amp;""</f>
        <v>普広銀市役所</v>
      </c>
      <c r="K218" s="5" t="n">
        <f aca="false">IF(AND(H218&lt;&gt;0,IF(設定!$B$6="入金確認済のみ",C218="入金確認済",OR(C218="入金確認済",C218="受領済"))),1,0)</f>
        <v>0</v>
      </c>
      <c r="L218" s="5" t="str">
        <f aca="false">1&amp;"|"&amp;43</f>
        <v>1|43</v>
      </c>
      <c r="M218" s="5" t="n">
        <f aca="false">IF(L218=L217,M217,0)+K218</f>
        <v>0</v>
      </c>
      <c r="N218" s="5" t="n">
        <f aca="false">IF(AND(K218=1,M218=1),1,0)</f>
        <v>0</v>
      </c>
      <c r="O218" s="5" t="str">
        <f aca="false">IF(K218=1,MAX($O$5:O217)+1,"")</f>
        <v/>
      </c>
      <c r="P218" s="5" t="str">
        <f aca="false">IF(K218=1,SUM($N$6:N218),"")</f>
        <v/>
      </c>
      <c r="Q218" s="5" t="str">
        <f aca="false">IF(K218=1,SUMIFS($H$6:$H$511,$L$6:$L$511,L218,$K$6:$K$511,1),"")</f>
        <v/>
      </c>
      <c r="R218" s="78" t="str">
        <f aca="false">IF(B218="","",IF(INDEX(報告入力!$X$7:$X$696,B218)="","",INDEX(報告入力!$X$7:$X$696,B218)))</f>
        <v/>
      </c>
      <c r="S218" s="5" t="str">
        <f aca="false">設定!$C$48</f>
        <v>長期：厚生年金保険料（事業主負担分）</v>
      </c>
    </row>
    <row r="219" customFormat="false" ht="15" hidden="false" customHeight="false" outlineLevel="0" collapsed="false">
      <c r="A219" s="5" t="str">
        <f aca="false">設定!B103</f>
        <v>自治労労働組合</v>
      </c>
      <c r="B219" s="5" t="n">
        <f aca="false">IFERROR(MATCH(ホーム!$C$4&amp;"|"&amp;A219,報告入力!$CG$7:$CG$696,0),"")</f>
        <v>365</v>
      </c>
      <c r="C219" s="5" t="str">
        <f aca="false">IF(B219="","",INDEX(報告入力!$C$7:$C$696,B219))</f>
        <v>未受領</v>
      </c>
      <c r="D219" s="5" t="str">
        <f aca="false">設定!$A$39</f>
        <v>長期（厚生年金保険経理）</v>
      </c>
      <c r="E219" s="5" t="str">
        <f aca="false">設定!$B$39&amp;""</f>
        <v>130</v>
      </c>
      <c r="F219" s="5" t="str">
        <f aca="false">設定!$D$49&amp;""</f>
        <v>2109001015</v>
      </c>
      <c r="G219" s="5" t="str">
        <f aca="false">設定!$E$49&amp;""</f>
        <v>退職負担地方</v>
      </c>
      <c r="H219" s="5" t="n">
        <f aca="false">IF(B219="",0,N(INDEX(報告入力!$AX$7:$AX$696,B219)))</f>
        <v>0</v>
      </c>
      <c r="I219" s="5" t="str">
        <f aca="false">設定!$C$39&amp;""</f>
        <v>1104001001</v>
      </c>
      <c r="J219" s="5" t="str">
        <f aca="false">設定!$D$39&amp;""</f>
        <v>普広銀市役所</v>
      </c>
      <c r="K219" s="5" t="n">
        <f aca="false">IF(AND(H219&lt;&gt;0,IF(設定!$B$6="入金確認済のみ",C219="入金確認済",OR(C219="入金確認済",C219="受領済"))),1,0)</f>
        <v>0</v>
      </c>
      <c r="L219" s="5" t="str">
        <f aca="false">1&amp;"|"&amp;43</f>
        <v>1|43</v>
      </c>
      <c r="M219" s="5" t="n">
        <f aca="false">IF(L219=L218,M218,0)+K219</f>
        <v>0</v>
      </c>
      <c r="N219" s="5" t="n">
        <f aca="false">IF(AND(K219=1,M219=1),1,0)</f>
        <v>0</v>
      </c>
      <c r="O219" s="5" t="str">
        <f aca="false">IF(K219=1,MAX($O$5:O218)+1,"")</f>
        <v/>
      </c>
      <c r="P219" s="5" t="str">
        <f aca="false">IF(K219=1,SUM($N$6:N219),"")</f>
        <v/>
      </c>
      <c r="Q219" s="5" t="str">
        <f aca="false">IF(K219=1,SUMIFS($H$6:$H$511,$L$6:$L$511,L219,$K$6:$K$511,1),"")</f>
        <v/>
      </c>
      <c r="R219" s="78" t="str">
        <f aca="false">IF(B219="","",IF(INDEX(報告入力!$X$7:$X$696,B219)="","",INDEX(報告入力!$X$7:$X$696,B219)))</f>
        <v/>
      </c>
      <c r="S219" s="5" t="str">
        <f aca="false">設定!$C$49</f>
        <v>長期：退職等年金負担金</v>
      </c>
    </row>
    <row r="220" customFormat="false" ht="15" hidden="false" customHeight="false" outlineLevel="0" collapsed="false">
      <c r="A220" s="5" t="str">
        <f aca="false">設定!B103</f>
        <v>自治労労働組合</v>
      </c>
      <c r="B220" s="5" t="n">
        <f aca="false">IFERROR(MATCH(ホーム!$C$4&amp;"|"&amp;A220,報告入力!$CG$7:$CG$696,0),"")</f>
        <v>365</v>
      </c>
      <c r="C220" s="5" t="str">
        <f aca="false">IF(B220="","",INDEX(報告入力!$C$7:$C$696,B220))</f>
        <v>未受領</v>
      </c>
      <c r="D220" s="5" t="str">
        <f aca="false">設定!$A$39</f>
        <v>長期（厚生年金保険経理）</v>
      </c>
      <c r="E220" s="5" t="str">
        <f aca="false">設定!$B$39&amp;""</f>
        <v>130</v>
      </c>
      <c r="F220" s="5" t="str">
        <f aca="false">設定!$D$50&amp;""</f>
        <v>2109001017</v>
      </c>
      <c r="G220" s="5" t="str">
        <f aca="false">設定!$E$50&amp;""</f>
        <v>経過的負担金</v>
      </c>
      <c r="H220" s="5" t="n">
        <f aca="false">IF(B220="",0,N(INDEX(報告入力!$AY$7:$AY$696,B220)))</f>
        <v>0</v>
      </c>
      <c r="I220" s="5" t="str">
        <f aca="false">設定!$C$39&amp;""</f>
        <v>1104001001</v>
      </c>
      <c r="J220" s="5" t="str">
        <f aca="false">設定!$D$39&amp;""</f>
        <v>普広銀市役所</v>
      </c>
      <c r="K220" s="5" t="n">
        <f aca="false">IF(AND(H220&lt;&gt;0,IF(設定!$B$6="入金確認済のみ",C220="入金確認済",OR(C220="入金確認済",C220="受領済"))),1,0)</f>
        <v>0</v>
      </c>
      <c r="L220" s="5" t="str">
        <f aca="false">1&amp;"|"&amp;43</f>
        <v>1|43</v>
      </c>
      <c r="M220" s="5" t="n">
        <f aca="false">IF(L220=L219,M219,0)+K220</f>
        <v>0</v>
      </c>
      <c r="N220" s="5" t="n">
        <f aca="false">IF(AND(K220=1,M220=1),1,0)</f>
        <v>0</v>
      </c>
      <c r="O220" s="5" t="str">
        <f aca="false">IF(K220=1,MAX($O$5:O219)+1,"")</f>
        <v/>
      </c>
      <c r="P220" s="5" t="str">
        <f aca="false">IF(K220=1,SUM($N$6:N220),"")</f>
        <v/>
      </c>
      <c r="Q220" s="5" t="str">
        <f aca="false">IF(K220=1,SUMIFS($H$6:$H$511,$L$6:$L$511,L220,$K$6:$K$511,1),"")</f>
        <v/>
      </c>
      <c r="R220" s="78" t="str">
        <f aca="false">IF(B220="","",IF(INDEX(報告入力!$X$7:$X$696,B220)="","",INDEX(報告入力!$X$7:$X$696,B220)))</f>
        <v/>
      </c>
      <c r="S220" s="5" t="str">
        <f aca="false">設定!$C$50</f>
        <v>長期：経過的長期</v>
      </c>
    </row>
    <row r="221" customFormat="false" ht="15" hidden="false" customHeight="false" outlineLevel="0" collapsed="false">
      <c r="A221" s="5" t="str">
        <f aca="false">設定!B104</f>
        <v>病院労働組合</v>
      </c>
      <c r="B221" s="5" t="n">
        <f aca="false">IFERROR(MATCH(ホーム!$C$4&amp;"|"&amp;A221,報告入力!$CG$7:$CG$696,0),"")</f>
        <v>366</v>
      </c>
      <c r="C221" s="5" t="str">
        <f aca="false">IF(B221="","",INDEX(報告入力!$C$7:$C$696,B221))</f>
        <v>受領済</v>
      </c>
      <c r="D221" s="5" t="str">
        <f aca="false">設定!$A$39</f>
        <v>長期（厚生年金保険経理）</v>
      </c>
      <c r="E221" s="5" t="str">
        <f aca="false">設定!$B$39&amp;""</f>
        <v>130</v>
      </c>
      <c r="F221" s="5" t="str">
        <f aca="false">設定!$D$46&amp;""</f>
        <v>6102102000</v>
      </c>
      <c r="G221" s="5" t="str">
        <f aca="false">設定!$E$46&amp;""</f>
        <v>標月額保険料</v>
      </c>
      <c r="H221" s="5" t="n">
        <f aca="false">IF(B221="",0,N(INDEX(報告入力!$AU$7:$AU$696,B221)))</f>
        <v>29280</v>
      </c>
      <c r="I221" s="5" t="str">
        <f aca="false">設定!$C$39&amp;""</f>
        <v>1104001001</v>
      </c>
      <c r="J221" s="5" t="str">
        <f aca="false">設定!$D$39&amp;""</f>
        <v>普広銀市役所</v>
      </c>
      <c r="K221" s="5" t="n">
        <f aca="false">IF(AND(H221&lt;&gt;0,IF(設定!$B$6="入金確認済のみ",C221="入金確認済",OR(C221="入金確認済",C221="受領済"))),1,0)</f>
        <v>0</v>
      </c>
      <c r="L221" s="5" t="str">
        <f aca="false">1&amp;"|"&amp;44</f>
        <v>1|44</v>
      </c>
      <c r="M221" s="5" t="n">
        <f aca="false">IF(L221=L220,M220,0)+K221</f>
        <v>0</v>
      </c>
      <c r="N221" s="5" t="n">
        <f aca="false">IF(AND(K221=1,M221=1),1,0)</f>
        <v>0</v>
      </c>
      <c r="O221" s="5" t="str">
        <f aca="false">IF(K221=1,MAX($O$5:O220)+1,"")</f>
        <v/>
      </c>
      <c r="P221" s="5" t="str">
        <f aca="false">IF(K221=1,SUM($N$6:N221),"")</f>
        <v/>
      </c>
      <c r="Q221" s="5" t="str">
        <f aca="false">IF(K221=1,SUMIFS($H$6:$H$511,$L$6:$L$511,L221,$K$6:$K$511,1),"")</f>
        <v/>
      </c>
      <c r="R221" s="78" t="str">
        <f aca="false">IF(B221="","",IF(INDEX(報告入力!$X$7:$X$696,B221)="","",INDEX(報告入力!$X$7:$X$696,B221)))</f>
        <v/>
      </c>
      <c r="S221" s="5" t="str">
        <f aca="false">設定!$C$46</f>
        <v>長期：厚生年金保険料（組合員負担分）</v>
      </c>
    </row>
    <row r="222" customFormat="false" ht="15" hidden="false" customHeight="false" outlineLevel="0" collapsed="false">
      <c r="A222" s="5" t="str">
        <f aca="false">設定!B104</f>
        <v>病院労働組合</v>
      </c>
      <c r="B222" s="5" t="n">
        <f aca="false">IFERROR(MATCH(ホーム!$C$4&amp;"|"&amp;A222,報告入力!$CG$7:$CG$696,0),"")</f>
        <v>366</v>
      </c>
      <c r="C222" s="5" t="str">
        <f aca="false">IF(B222="","",INDEX(報告入力!$C$7:$C$696,B222))</f>
        <v>受領済</v>
      </c>
      <c r="D222" s="5" t="str">
        <f aca="false">設定!$A$39</f>
        <v>長期（厚生年金保険経理）</v>
      </c>
      <c r="E222" s="5" t="str">
        <f aca="false">設定!$B$39&amp;""</f>
        <v>130</v>
      </c>
      <c r="F222" s="5" t="str">
        <f aca="false">設定!$D$47&amp;""</f>
        <v>2109001014</v>
      </c>
      <c r="G222" s="5" t="str">
        <f aca="false">設定!$E$47&amp;""</f>
        <v>退職標報掛金</v>
      </c>
      <c r="H222" s="5" t="n">
        <f aca="false">IF(B222="",0,N(INDEX(報告入力!$AV$7:$AV$696,B222)))</f>
        <v>2400</v>
      </c>
      <c r="I222" s="5" t="str">
        <f aca="false">設定!$C$39&amp;""</f>
        <v>1104001001</v>
      </c>
      <c r="J222" s="5" t="str">
        <f aca="false">設定!$D$39&amp;""</f>
        <v>普広銀市役所</v>
      </c>
      <c r="K222" s="5" t="n">
        <f aca="false">IF(AND(H222&lt;&gt;0,IF(設定!$B$6="入金確認済のみ",C222="入金確認済",OR(C222="入金確認済",C222="受領済"))),1,0)</f>
        <v>0</v>
      </c>
      <c r="L222" s="5" t="str">
        <f aca="false">1&amp;"|"&amp;44</f>
        <v>1|44</v>
      </c>
      <c r="M222" s="5" t="n">
        <f aca="false">IF(L222=L221,M221,0)+K222</f>
        <v>0</v>
      </c>
      <c r="N222" s="5" t="n">
        <f aca="false">IF(AND(K222=1,M222=1),1,0)</f>
        <v>0</v>
      </c>
      <c r="O222" s="5" t="str">
        <f aca="false">IF(K222=1,MAX($O$5:O221)+1,"")</f>
        <v/>
      </c>
      <c r="P222" s="5" t="str">
        <f aca="false">IF(K222=1,SUM($N$6:N222),"")</f>
        <v/>
      </c>
      <c r="Q222" s="5" t="str">
        <f aca="false">IF(K222=1,SUMIFS($H$6:$H$511,$L$6:$L$511,L222,$K$6:$K$511,1),"")</f>
        <v/>
      </c>
      <c r="R222" s="78" t="str">
        <f aca="false">IF(B222="","",IF(INDEX(報告入力!$X$7:$X$696,B222)="","",INDEX(報告入力!$X$7:$X$696,B222)))</f>
        <v/>
      </c>
      <c r="S222" s="5" t="str">
        <f aca="false">設定!$C$47</f>
        <v>長期：退職等年金掛金</v>
      </c>
    </row>
    <row r="223" customFormat="false" ht="15" hidden="false" customHeight="false" outlineLevel="0" collapsed="false">
      <c r="A223" s="5" t="str">
        <f aca="false">設定!B104</f>
        <v>病院労働組合</v>
      </c>
      <c r="B223" s="5" t="n">
        <f aca="false">IFERROR(MATCH(ホーム!$C$4&amp;"|"&amp;A223,報告入力!$CG$7:$CG$696,0),"")</f>
        <v>366</v>
      </c>
      <c r="C223" s="5" t="str">
        <f aca="false">IF(B223="","",INDEX(報告入力!$C$7:$C$696,B223))</f>
        <v>受領済</v>
      </c>
      <c r="D223" s="5" t="str">
        <f aca="false">設定!$A$39</f>
        <v>長期（厚生年金保険経理）</v>
      </c>
      <c r="E223" s="5" t="str">
        <f aca="false">設定!$B$39&amp;""</f>
        <v>130</v>
      </c>
      <c r="F223" s="5" t="str">
        <f aca="false">設定!$D$48&amp;""</f>
        <v>6101002000</v>
      </c>
      <c r="G223" s="5" t="str">
        <f aca="false">設定!$E$48&amp;""</f>
        <v>負担地方公共</v>
      </c>
      <c r="H223" s="5" t="n">
        <f aca="false">IF(B223="",0,N(INDEX(報告入力!$AW$7:$AW$696,B223)))</f>
        <v>29280</v>
      </c>
      <c r="I223" s="5" t="str">
        <f aca="false">設定!$C$39&amp;""</f>
        <v>1104001001</v>
      </c>
      <c r="J223" s="5" t="str">
        <f aca="false">設定!$D$39&amp;""</f>
        <v>普広銀市役所</v>
      </c>
      <c r="K223" s="5" t="n">
        <f aca="false">IF(AND(H223&lt;&gt;0,IF(設定!$B$6="入金確認済のみ",C223="入金確認済",OR(C223="入金確認済",C223="受領済"))),1,0)</f>
        <v>0</v>
      </c>
      <c r="L223" s="5" t="str">
        <f aca="false">1&amp;"|"&amp;44</f>
        <v>1|44</v>
      </c>
      <c r="M223" s="5" t="n">
        <f aca="false">IF(L223=L222,M222,0)+K223</f>
        <v>0</v>
      </c>
      <c r="N223" s="5" t="n">
        <f aca="false">IF(AND(K223=1,M223=1),1,0)</f>
        <v>0</v>
      </c>
      <c r="O223" s="5" t="str">
        <f aca="false">IF(K223=1,MAX($O$5:O222)+1,"")</f>
        <v/>
      </c>
      <c r="P223" s="5" t="str">
        <f aca="false">IF(K223=1,SUM($N$6:N223),"")</f>
        <v/>
      </c>
      <c r="Q223" s="5" t="str">
        <f aca="false">IF(K223=1,SUMIFS($H$6:$H$511,$L$6:$L$511,L223,$K$6:$K$511,1),"")</f>
        <v/>
      </c>
      <c r="R223" s="78" t="str">
        <f aca="false">IF(B223="","",IF(INDEX(報告入力!$X$7:$X$696,B223)="","",INDEX(報告入力!$X$7:$X$696,B223)))</f>
        <v/>
      </c>
      <c r="S223" s="5" t="str">
        <f aca="false">設定!$C$48</f>
        <v>長期：厚生年金保険料（事業主負担分）</v>
      </c>
    </row>
    <row r="224" customFormat="false" ht="15" hidden="false" customHeight="false" outlineLevel="0" collapsed="false">
      <c r="A224" s="5" t="str">
        <f aca="false">設定!B104</f>
        <v>病院労働組合</v>
      </c>
      <c r="B224" s="5" t="n">
        <f aca="false">IFERROR(MATCH(ホーム!$C$4&amp;"|"&amp;A224,報告入力!$CG$7:$CG$696,0),"")</f>
        <v>366</v>
      </c>
      <c r="C224" s="5" t="str">
        <f aca="false">IF(B224="","",INDEX(報告入力!$C$7:$C$696,B224))</f>
        <v>受領済</v>
      </c>
      <c r="D224" s="5" t="str">
        <f aca="false">設定!$A$39</f>
        <v>長期（厚生年金保険経理）</v>
      </c>
      <c r="E224" s="5" t="str">
        <f aca="false">設定!$B$39&amp;""</f>
        <v>130</v>
      </c>
      <c r="F224" s="5" t="str">
        <f aca="false">設定!$D$49&amp;""</f>
        <v>2109001015</v>
      </c>
      <c r="G224" s="5" t="str">
        <f aca="false">設定!$E$49&amp;""</f>
        <v>退職負担地方</v>
      </c>
      <c r="H224" s="5" t="n">
        <f aca="false">IF(B224="",0,N(INDEX(報告入力!$AX$7:$AX$696,B224)))</f>
        <v>2400</v>
      </c>
      <c r="I224" s="5" t="str">
        <f aca="false">設定!$C$39&amp;""</f>
        <v>1104001001</v>
      </c>
      <c r="J224" s="5" t="str">
        <f aca="false">設定!$D$39&amp;""</f>
        <v>普広銀市役所</v>
      </c>
      <c r="K224" s="5" t="n">
        <f aca="false">IF(AND(H224&lt;&gt;0,IF(設定!$B$6="入金確認済のみ",C224="入金確認済",OR(C224="入金確認済",C224="受領済"))),1,0)</f>
        <v>0</v>
      </c>
      <c r="L224" s="5" t="str">
        <f aca="false">1&amp;"|"&amp;44</f>
        <v>1|44</v>
      </c>
      <c r="M224" s="5" t="n">
        <f aca="false">IF(L224=L223,M223,0)+K224</f>
        <v>0</v>
      </c>
      <c r="N224" s="5" t="n">
        <f aca="false">IF(AND(K224=1,M224=1),1,0)</f>
        <v>0</v>
      </c>
      <c r="O224" s="5" t="str">
        <f aca="false">IF(K224=1,MAX($O$5:O223)+1,"")</f>
        <v/>
      </c>
      <c r="P224" s="5" t="str">
        <f aca="false">IF(K224=1,SUM($N$6:N224),"")</f>
        <v/>
      </c>
      <c r="Q224" s="5" t="str">
        <f aca="false">IF(K224=1,SUMIFS($H$6:$H$511,$L$6:$L$511,L224,$K$6:$K$511,1),"")</f>
        <v/>
      </c>
      <c r="R224" s="78" t="str">
        <f aca="false">IF(B224="","",IF(INDEX(報告入力!$X$7:$X$696,B224)="","",INDEX(報告入力!$X$7:$X$696,B224)))</f>
        <v/>
      </c>
      <c r="S224" s="5" t="str">
        <f aca="false">設定!$C$49</f>
        <v>長期：退職等年金負担金</v>
      </c>
    </row>
    <row r="225" customFormat="false" ht="15" hidden="false" customHeight="false" outlineLevel="0" collapsed="false">
      <c r="A225" s="5" t="str">
        <f aca="false">設定!B104</f>
        <v>病院労働組合</v>
      </c>
      <c r="B225" s="5" t="n">
        <f aca="false">IFERROR(MATCH(ホーム!$C$4&amp;"|"&amp;A225,報告入力!$CG$7:$CG$696,0),"")</f>
        <v>366</v>
      </c>
      <c r="C225" s="5" t="str">
        <f aca="false">IF(B225="","",INDEX(報告入力!$C$7:$C$696,B225))</f>
        <v>受領済</v>
      </c>
      <c r="D225" s="5" t="str">
        <f aca="false">設定!$A$39</f>
        <v>長期（厚生年金保険経理）</v>
      </c>
      <c r="E225" s="5" t="str">
        <f aca="false">設定!$B$39&amp;""</f>
        <v>130</v>
      </c>
      <c r="F225" s="5" t="str">
        <f aca="false">設定!$D$50&amp;""</f>
        <v>2109001017</v>
      </c>
      <c r="G225" s="5" t="str">
        <f aca="false">設定!$E$50&amp;""</f>
        <v>経過的負担金</v>
      </c>
      <c r="H225" s="5" t="n">
        <f aca="false">IF(B225="",0,N(INDEX(報告入力!$AY$7:$AY$696,B225)))</f>
        <v>0</v>
      </c>
      <c r="I225" s="5" t="str">
        <f aca="false">設定!$C$39&amp;""</f>
        <v>1104001001</v>
      </c>
      <c r="J225" s="5" t="str">
        <f aca="false">設定!$D$39&amp;""</f>
        <v>普広銀市役所</v>
      </c>
      <c r="K225" s="5" t="n">
        <f aca="false">IF(AND(H225&lt;&gt;0,IF(設定!$B$6="入金確認済のみ",C225="入金確認済",OR(C225="入金確認済",C225="受領済"))),1,0)</f>
        <v>0</v>
      </c>
      <c r="L225" s="5" t="str">
        <f aca="false">1&amp;"|"&amp;44</f>
        <v>1|44</v>
      </c>
      <c r="M225" s="5" t="n">
        <f aca="false">IF(L225=L224,M224,0)+K225</f>
        <v>0</v>
      </c>
      <c r="N225" s="5" t="n">
        <f aca="false">IF(AND(K225=1,M225=1),1,0)</f>
        <v>0</v>
      </c>
      <c r="O225" s="5" t="str">
        <f aca="false">IF(K225=1,MAX($O$5:O224)+1,"")</f>
        <v/>
      </c>
      <c r="P225" s="5" t="str">
        <f aca="false">IF(K225=1,SUM($N$6:N225),"")</f>
        <v/>
      </c>
      <c r="Q225" s="5" t="str">
        <f aca="false">IF(K225=1,SUMIFS($H$6:$H$511,$L$6:$L$511,L225,$K$6:$K$511,1),"")</f>
        <v/>
      </c>
      <c r="R225" s="78" t="str">
        <f aca="false">IF(B225="","",IF(INDEX(報告入力!$X$7:$X$696,B225)="","",INDEX(報告入力!$X$7:$X$696,B225)))</f>
        <v/>
      </c>
      <c r="S225" s="5" t="str">
        <f aca="false">設定!$C$50</f>
        <v>長期：経過的長期</v>
      </c>
    </row>
    <row r="226" customFormat="false" ht="15" hidden="false" customHeight="false" outlineLevel="0" collapsed="false">
      <c r="A226" s="5" t="str">
        <f aca="false">設定!B105</f>
        <v>水道労働組合</v>
      </c>
      <c r="B226" s="5" t="n">
        <f aca="false">IFERROR(MATCH(ホーム!$C$4&amp;"|"&amp;A226,報告入力!$CG$7:$CG$696,0),"")</f>
        <v>367</v>
      </c>
      <c r="C226" s="5" t="str">
        <f aca="false">IF(B226="","",INDEX(報告入力!$C$7:$C$696,B226))</f>
        <v>報告なし</v>
      </c>
      <c r="D226" s="5" t="str">
        <f aca="false">設定!$A$39</f>
        <v>長期（厚生年金保険経理）</v>
      </c>
      <c r="E226" s="5" t="str">
        <f aca="false">設定!$B$39&amp;""</f>
        <v>130</v>
      </c>
      <c r="F226" s="5" t="str">
        <f aca="false">設定!$D$46&amp;""</f>
        <v>6102102000</v>
      </c>
      <c r="G226" s="5" t="str">
        <f aca="false">設定!$E$46&amp;""</f>
        <v>標月額保険料</v>
      </c>
      <c r="H226" s="5" t="n">
        <f aca="false">IF(B226="",0,N(INDEX(報告入力!$AU$7:$AU$696,B226)))</f>
        <v>0</v>
      </c>
      <c r="I226" s="5" t="str">
        <f aca="false">設定!$C$39&amp;""</f>
        <v>1104001001</v>
      </c>
      <c r="J226" s="5" t="str">
        <f aca="false">設定!$D$39&amp;""</f>
        <v>普広銀市役所</v>
      </c>
      <c r="K226" s="5" t="n">
        <f aca="false">IF(AND(H226&lt;&gt;0,IF(設定!$B$6="入金確認済のみ",C226="入金確認済",OR(C226="入金確認済",C226="受領済"))),1,0)</f>
        <v>0</v>
      </c>
      <c r="L226" s="5" t="str">
        <f aca="false">1&amp;"|"&amp;45</f>
        <v>1|45</v>
      </c>
      <c r="M226" s="5" t="n">
        <f aca="false">IF(L226=L225,M225,0)+K226</f>
        <v>0</v>
      </c>
      <c r="N226" s="5" t="n">
        <f aca="false">IF(AND(K226=1,M226=1),1,0)</f>
        <v>0</v>
      </c>
      <c r="O226" s="5" t="str">
        <f aca="false">IF(K226=1,MAX($O$5:O225)+1,"")</f>
        <v/>
      </c>
      <c r="P226" s="5" t="str">
        <f aca="false">IF(K226=1,SUM($N$6:N226),"")</f>
        <v/>
      </c>
      <c r="Q226" s="5" t="str">
        <f aca="false">IF(K226=1,SUMIFS($H$6:$H$511,$L$6:$L$511,L226,$K$6:$K$511,1),"")</f>
        <v/>
      </c>
      <c r="R226" s="78" t="str">
        <f aca="false">IF(B226="","",IF(INDEX(報告入力!$X$7:$X$696,B226)="","",INDEX(報告入力!$X$7:$X$696,B226)))</f>
        <v/>
      </c>
      <c r="S226" s="5" t="str">
        <f aca="false">設定!$C$46</f>
        <v>長期：厚生年金保険料（組合員負担分）</v>
      </c>
    </row>
    <row r="227" customFormat="false" ht="15" hidden="false" customHeight="false" outlineLevel="0" collapsed="false">
      <c r="A227" s="5" t="str">
        <f aca="false">設定!B105</f>
        <v>水道労働組合</v>
      </c>
      <c r="B227" s="5" t="n">
        <f aca="false">IFERROR(MATCH(ホーム!$C$4&amp;"|"&amp;A227,報告入力!$CG$7:$CG$696,0),"")</f>
        <v>367</v>
      </c>
      <c r="C227" s="5" t="str">
        <f aca="false">IF(B227="","",INDEX(報告入力!$C$7:$C$696,B227))</f>
        <v>報告なし</v>
      </c>
      <c r="D227" s="5" t="str">
        <f aca="false">設定!$A$39</f>
        <v>長期（厚生年金保険経理）</v>
      </c>
      <c r="E227" s="5" t="str">
        <f aca="false">設定!$B$39&amp;""</f>
        <v>130</v>
      </c>
      <c r="F227" s="5" t="str">
        <f aca="false">設定!$D$47&amp;""</f>
        <v>2109001014</v>
      </c>
      <c r="G227" s="5" t="str">
        <f aca="false">設定!$E$47&amp;""</f>
        <v>退職標報掛金</v>
      </c>
      <c r="H227" s="5" t="n">
        <f aca="false">IF(B227="",0,N(INDEX(報告入力!$AV$7:$AV$696,B227)))</f>
        <v>0</v>
      </c>
      <c r="I227" s="5" t="str">
        <f aca="false">設定!$C$39&amp;""</f>
        <v>1104001001</v>
      </c>
      <c r="J227" s="5" t="str">
        <f aca="false">設定!$D$39&amp;""</f>
        <v>普広銀市役所</v>
      </c>
      <c r="K227" s="5" t="n">
        <f aca="false">IF(AND(H227&lt;&gt;0,IF(設定!$B$6="入金確認済のみ",C227="入金確認済",OR(C227="入金確認済",C227="受領済"))),1,0)</f>
        <v>0</v>
      </c>
      <c r="L227" s="5" t="str">
        <f aca="false">1&amp;"|"&amp;45</f>
        <v>1|45</v>
      </c>
      <c r="M227" s="5" t="n">
        <f aca="false">IF(L227=L226,M226,0)+K227</f>
        <v>0</v>
      </c>
      <c r="N227" s="5" t="n">
        <f aca="false">IF(AND(K227=1,M227=1),1,0)</f>
        <v>0</v>
      </c>
      <c r="O227" s="5" t="str">
        <f aca="false">IF(K227=1,MAX($O$5:O226)+1,"")</f>
        <v/>
      </c>
      <c r="P227" s="5" t="str">
        <f aca="false">IF(K227=1,SUM($N$6:N227),"")</f>
        <v/>
      </c>
      <c r="Q227" s="5" t="str">
        <f aca="false">IF(K227=1,SUMIFS($H$6:$H$511,$L$6:$L$511,L227,$K$6:$K$511,1),"")</f>
        <v/>
      </c>
      <c r="R227" s="78" t="str">
        <f aca="false">IF(B227="","",IF(INDEX(報告入力!$X$7:$X$696,B227)="","",INDEX(報告入力!$X$7:$X$696,B227)))</f>
        <v/>
      </c>
      <c r="S227" s="5" t="str">
        <f aca="false">設定!$C$47</f>
        <v>長期：退職等年金掛金</v>
      </c>
    </row>
    <row r="228" customFormat="false" ht="15" hidden="false" customHeight="false" outlineLevel="0" collapsed="false">
      <c r="A228" s="5" t="str">
        <f aca="false">設定!B105</f>
        <v>水道労働組合</v>
      </c>
      <c r="B228" s="5" t="n">
        <f aca="false">IFERROR(MATCH(ホーム!$C$4&amp;"|"&amp;A228,報告入力!$CG$7:$CG$696,0),"")</f>
        <v>367</v>
      </c>
      <c r="C228" s="5" t="str">
        <f aca="false">IF(B228="","",INDEX(報告入力!$C$7:$C$696,B228))</f>
        <v>報告なし</v>
      </c>
      <c r="D228" s="5" t="str">
        <f aca="false">設定!$A$39</f>
        <v>長期（厚生年金保険経理）</v>
      </c>
      <c r="E228" s="5" t="str">
        <f aca="false">設定!$B$39&amp;""</f>
        <v>130</v>
      </c>
      <c r="F228" s="5" t="str">
        <f aca="false">設定!$D$48&amp;""</f>
        <v>6101002000</v>
      </c>
      <c r="G228" s="5" t="str">
        <f aca="false">設定!$E$48&amp;""</f>
        <v>負担地方公共</v>
      </c>
      <c r="H228" s="5" t="n">
        <f aca="false">IF(B228="",0,N(INDEX(報告入力!$AW$7:$AW$696,B228)))</f>
        <v>0</v>
      </c>
      <c r="I228" s="5" t="str">
        <f aca="false">設定!$C$39&amp;""</f>
        <v>1104001001</v>
      </c>
      <c r="J228" s="5" t="str">
        <f aca="false">設定!$D$39&amp;""</f>
        <v>普広銀市役所</v>
      </c>
      <c r="K228" s="5" t="n">
        <f aca="false">IF(AND(H228&lt;&gt;0,IF(設定!$B$6="入金確認済のみ",C228="入金確認済",OR(C228="入金確認済",C228="受領済"))),1,0)</f>
        <v>0</v>
      </c>
      <c r="L228" s="5" t="str">
        <f aca="false">1&amp;"|"&amp;45</f>
        <v>1|45</v>
      </c>
      <c r="M228" s="5" t="n">
        <f aca="false">IF(L228=L227,M227,0)+K228</f>
        <v>0</v>
      </c>
      <c r="N228" s="5" t="n">
        <f aca="false">IF(AND(K228=1,M228=1),1,0)</f>
        <v>0</v>
      </c>
      <c r="O228" s="5" t="str">
        <f aca="false">IF(K228=1,MAX($O$5:O227)+1,"")</f>
        <v/>
      </c>
      <c r="P228" s="5" t="str">
        <f aca="false">IF(K228=1,SUM($N$6:N228),"")</f>
        <v/>
      </c>
      <c r="Q228" s="5" t="str">
        <f aca="false">IF(K228=1,SUMIFS($H$6:$H$511,$L$6:$L$511,L228,$K$6:$K$511,1),"")</f>
        <v/>
      </c>
      <c r="R228" s="78" t="str">
        <f aca="false">IF(B228="","",IF(INDEX(報告入力!$X$7:$X$696,B228)="","",INDEX(報告入力!$X$7:$X$696,B228)))</f>
        <v/>
      </c>
      <c r="S228" s="5" t="str">
        <f aca="false">設定!$C$48</f>
        <v>長期：厚生年金保険料（事業主負担分）</v>
      </c>
    </row>
    <row r="229" customFormat="false" ht="15" hidden="false" customHeight="false" outlineLevel="0" collapsed="false">
      <c r="A229" s="5" t="str">
        <f aca="false">設定!B105</f>
        <v>水道労働組合</v>
      </c>
      <c r="B229" s="5" t="n">
        <f aca="false">IFERROR(MATCH(ホーム!$C$4&amp;"|"&amp;A229,報告入力!$CG$7:$CG$696,0),"")</f>
        <v>367</v>
      </c>
      <c r="C229" s="5" t="str">
        <f aca="false">IF(B229="","",INDEX(報告入力!$C$7:$C$696,B229))</f>
        <v>報告なし</v>
      </c>
      <c r="D229" s="5" t="str">
        <f aca="false">設定!$A$39</f>
        <v>長期（厚生年金保険経理）</v>
      </c>
      <c r="E229" s="5" t="str">
        <f aca="false">設定!$B$39&amp;""</f>
        <v>130</v>
      </c>
      <c r="F229" s="5" t="str">
        <f aca="false">設定!$D$49&amp;""</f>
        <v>2109001015</v>
      </c>
      <c r="G229" s="5" t="str">
        <f aca="false">設定!$E$49&amp;""</f>
        <v>退職負担地方</v>
      </c>
      <c r="H229" s="5" t="n">
        <f aca="false">IF(B229="",0,N(INDEX(報告入力!$AX$7:$AX$696,B229)))</f>
        <v>0</v>
      </c>
      <c r="I229" s="5" t="str">
        <f aca="false">設定!$C$39&amp;""</f>
        <v>1104001001</v>
      </c>
      <c r="J229" s="5" t="str">
        <f aca="false">設定!$D$39&amp;""</f>
        <v>普広銀市役所</v>
      </c>
      <c r="K229" s="5" t="n">
        <f aca="false">IF(AND(H229&lt;&gt;0,IF(設定!$B$6="入金確認済のみ",C229="入金確認済",OR(C229="入金確認済",C229="受領済"))),1,0)</f>
        <v>0</v>
      </c>
      <c r="L229" s="5" t="str">
        <f aca="false">1&amp;"|"&amp;45</f>
        <v>1|45</v>
      </c>
      <c r="M229" s="5" t="n">
        <f aca="false">IF(L229=L228,M228,0)+K229</f>
        <v>0</v>
      </c>
      <c r="N229" s="5" t="n">
        <f aca="false">IF(AND(K229=1,M229=1),1,0)</f>
        <v>0</v>
      </c>
      <c r="O229" s="5" t="str">
        <f aca="false">IF(K229=1,MAX($O$5:O228)+1,"")</f>
        <v/>
      </c>
      <c r="P229" s="5" t="str">
        <f aca="false">IF(K229=1,SUM($N$6:N229),"")</f>
        <v/>
      </c>
      <c r="Q229" s="5" t="str">
        <f aca="false">IF(K229=1,SUMIFS($H$6:$H$511,$L$6:$L$511,L229,$K$6:$K$511,1),"")</f>
        <v/>
      </c>
      <c r="R229" s="78" t="str">
        <f aca="false">IF(B229="","",IF(INDEX(報告入力!$X$7:$X$696,B229)="","",INDEX(報告入力!$X$7:$X$696,B229)))</f>
        <v/>
      </c>
      <c r="S229" s="5" t="str">
        <f aca="false">設定!$C$49</f>
        <v>長期：退職等年金負担金</v>
      </c>
    </row>
    <row r="230" customFormat="false" ht="15" hidden="false" customHeight="false" outlineLevel="0" collapsed="false">
      <c r="A230" s="5" t="str">
        <f aca="false">設定!B105</f>
        <v>水道労働組合</v>
      </c>
      <c r="B230" s="5" t="n">
        <f aca="false">IFERROR(MATCH(ホーム!$C$4&amp;"|"&amp;A230,報告入力!$CG$7:$CG$696,0),"")</f>
        <v>367</v>
      </c>
      <c r="C230" s="5" t="str">
        <f aca="false">IF(B230="","",INDEX(報告入力!$C$7:$C$696,B230))</f>
        <v>報告なし</v>
      </c>
      <c r="D230" s="5" t="str">
        <f aca="false">設定!$A$39</f>
        <v>長期（厚生年金保険経理）</v>
      </c>
      <c r="E230" s="5" t="str">
        <f aca="false">設定!$B$39&amp;""</f>
        <v>130</v>
      </c>
      <c r="F230" s="5" t="str">
        <f aca="false">設定!$D$50&amp;""</f>
        <v>2109001017</v>
      </c>
      <c r="G230" s="5" t="str">
        <f aca="false">設定!$E$50&amp;""</f>
        <v>経過的負担金</v>
      </c>
      <c r="H230" s="5" t="n">
        <f aca="false">IF(B230="",0,N(INDEX(報告入力!$AY$7:$AY$696,B230)))</f>
        <v>0</v>
      </c>
      <c r="I230" s="5" t="str">
        <f aca="false">設定!$C$39&amp;""</f>
        <v>1104001001</v>
      </c>
      <c r="J230" s="5" t="str">
        <f aca="false">設定!$D$39&amp;""</f>
        <v>普広銀市役所</v>
      </c>
      <c r="K230" s="5" t="n">
        <f aca="false">IF(AND(H230&lt;&gt;0,IF(設定!$B$6="入金確認済のみ",C230="入金確認済",OR(C230="入金確認済",C230="受領済"))),1,0)</f>
        <v>0</v>
      </c>
      <c r="L230" s="5" t="str">
        <f aca="false">1&amp;"|"&amp;45</f>
        <v>1|45</v>
      </c>
      <c r="M230" s="5" t="n">
        <f aca="false">IF(L230=L229,M229,0)+K230</f>
        <v>0</v>
      </c>
      <c r="N230" s="5" t="n">
        <f aca="false">IF(AND(K230=1,M230=1),1,0)</f>
        <v>0</v>
      </c>
      <c r="O230" s="5" t="str">
        <f aca="false">IF(K230=1,MAX($O$5:O229)+1,"")</f>
        <v/>
      </c>
      <c r="P230" s="5" t="str">
        <f aca="false">IF(K230=1,SUM($N$6:N230),"")</f>
        <v/>
      </c>
      <c r="Q230" s="5" t="str">
        <f aca="false">IF(K230=1,SUMIFS($H$6:$H$511,$L$6:$L$511,L230,$K$6:$K$511,1),"")</f>
        <v/>
      </c>
      <c r="R230" s="78" t="str">
        <f aca="false">IF(B230="","",IF(INDEX(報告入力!$X$7:$X$696,B230)="","",INDEX(報告入力!$X$7:$X$696,B230)))</f>
        <v/>
      </c>
      <c r="S230" s="5" t="str">
        <f aca="false">設定!$C$50</f>
        <v>長期：経過的長期</v>
      </c>
    </row>
    <row r="231" customFormat="false" ht="15" hidden="false" customHeight="false" outlineLevel="0" collapsed="false">
      <c r="A231" s="5" t="str">
        <f aca="false">設定!B106</f>
        <v>任意継続組合員</v>
      </c>
      <c r="B231" s="5" t="n">
        <f aca="false">IFERROR(MATCH(ホーム!$C$4&amp;"|"&amp;A231,報告入力!$CG$7:$CG$696,0),"")</f>
        <v>368</v>
      </c>
      <c r="C231" s="5" t="str">
        <f aca="false">IF(B231="","",INDEX(報告入力!$C$7:$C$696,B231))</f>
        <v>未受領</v>
      </c>
      <c r="D231" s="5" t="str">
        <f aca="false">設定!$A$39</f>
        <v>長期（厚生年金保険経理）</v>
      </c>
      <c r="E231" s="5" t="str">
        <f aca="false">設定!$B$39&amp;""</f>
        <v>130</v>
      </c>
      <c r="F231" s="5" t="str">
        <f aca="false">設定!$D$46&amp;""</f>
        <v>6102102000</v>
      </c>
      <c r="G231" s="5" t="str">
        <f aca="false">設定!$E$46&amp;""</f>
        <v>標月額保険料</v>
      </c>
      <c r="H231" s="5" t="n">
        <f aca="false">IF(B231="",0,N(INDEX(報告入力!$AU$7:$AU$696,B231)))</f>
        <v>0</v>
      </c>
      <c r="I231" s="5" t="str">
        <f aca="false">設定!$C$39&amp;""</f>
        <v>1104001001</v>
      </c>
      <c r="J231" s="5" t="str">
        <f aca="false">設定!$D$39&amp;""</f>
        <v>普広銀市役所</v>
      </c>
      <c r="K231" s="5" t="n">
        <f aca="false">IF(AND(H231&lt;&gt;0,IF(設定!$B$6="入金確認済のみ",C231="入金確認済",OR(C231="入金確認済",C231="受領済"))),1,0)</f>
        <v>0</v>
      </c>
      <c r="L231" s="5" t="str">
        <f aca="false">1&amp;"|"&amp;46</f>
        <v>1|46</v>
      </c>
      <c r="M231" s="5" t="n">
        <f aca="false">IF(L231=L230,M230,0)+K231</f>
        <v>0</v>
      </c>
      <c r="N231" s="5" t="n">
        <f aca="false">IF(AND(K231=1,M231=1),1,0)</f>
        <v>0</v>
      </c>
      <c r="O231" s="5" t="str">
        <f aca="false">IF(K231=1,MAX($O$5:O230)+1,"")</f>
        <v/>
      </c>
      <c r="P231" s="5" t="str">
        <f aca="false">IF(K231=1,SUM($N$6:N231),"")</f>
        <v/>
      </c>
      <c r="Q231" s="5" t="str">
        <f aca="false">IF(K231=1,SUMIFS($H$6:$H$511,$L$6:$L$511,L231,$K$6:$K$511,1),"")</f>
        <v/>
      </c>
      <c r="R231" s="78" t="str">
        <f aca="false">IF(B231="","",IF(INDEX(報告入力!$X$7:$X$696,B231)="","",INDEX(報告入力!$X$7:$X$696,B231)))</f>
        <v/>
      </c>
      <c r="S231" s="5" t="str">
        <f aca="false">設定!$C$46</f>
        <v>長期：厚生年金保険料（組合員負担分）</v>
      </c>
    </row>
    <row r="232" customFormat="false" ht="15" hidden="false" customHeight="false" outlineLevel="0" collapsed="false">
      <c r="A232" s="5" t="str">
        <f aca="false">設定!B106</f>
        <v>任意継続組合員</v>
      </c>
      <c r="B232" s="5" t="n">
        <f aca="false">IFERROR(MATCH(ホーム!$C$4&amp;"|"&amp;A232,報告入力!$CG$7:$CG$696,0),"")</f>
        <v>368</v>
      </c>
      <c r="C232" s="5" t="str">
        <f aca="false">IF(B232="","",INDEX(報告入力!$C$7:$C$696,B232))</f>
        <v>未受領</v>
      </c>
      <c r="D232" s="5" t="str">
        <f aca="false">設定!$A$39</f>
        <v>長期（厚生年金保険経理）</v>
      </c>
      <c r="E232" s="5" t="str">
        <f aca="false">設定!$B$39&amp;""</f>
        <v>130</v>
      </c>
      <c r="F232" s="5" t="str">
        <f aca="false">設定!$D$47&amp;""</f>
        <v>2109001014</v>
      </c>
      <c r="G232" s="5" t="str">
        <f aca="false">設定!$E$47&amp;""</f>
        <v>退職標報掛金</v>
      </c>
      <c r="H232" s="5" t="n">
        <f aca="false">IF(B232="",0,N(INDEX(報告入力!$AV$7:$AV$696,B232)))</f>
        <v>0</v>
      </c>
      <c r="I232" s="5" t="str">
        <f aca="false">設定!$C$39&amp;""</f>
        <v>1104001001</v>
      </c>
      <c r="J232" s="5" t="str">
        <f aca="false">設定!$D$39&amp;""</f>
        <v>普広銀市役所</v>
      </c>
      <c r="K232" s="5" t="n">
        <f aca="false">IF(AND(H232&lt;&gt;0,IF(設定!$B$6="入金確認済のみ",C232="入金確認済",OR(C232="入金確認済",C232="受領済"))),1,0)</f>
        <v>0</v>
      </c>
      <c r="L232" s="5" t="str">
        <f aca="false">1&amp;"|"&amp;46</f>
        <v>1|46</v>
      </c>
      <c r="M232" s="5" t="n">
        <f aca="false">IF(L232=L231,M231,0)+K232</f>
        <v>0</v>
      </c>
      <c r="N232" s="5" t="n">
        <f aca="false">IF(AND(K232=1,M232=1),1,0)</f>
        <v>0</v>
      </c>
      <c r="O232" s="5" t="str">
        <f aca="false">IF(K232=1,MAX($O$5:O231)+1,"")</f>
        <v/>
      </c>
      <c r="P232" s="5" t="str">
        <f aca="false">IF(K232=1,SUM($N$6:N232),"")</f>
        <v/>
      </c>
      <c r="Q232" s="5" t="str">
        <f aca="false">IF(K232=1,SUMIFS($H$6:$H$511,$L$6:$L$511,L232,$K$6:$K$511,1),"")</f>
        <v/>
      </c>
      <c r="R232" s="78" t="str">
        <f aca="false">IF(B232="","",IF(INDEX(報告入力!$X$7:$X$696,B232)="","",INDEX(報告入力!$X$7:$X$696,B232)))</f>
        <v/>
      </c>
      <c r="S232" s="5" t="str">
        <f aca="false">設定!$C$47</f>
        <v>長期：退職等年金掛金</v>
      </c>
    </row>
    <row r="233" customFormat="false" ht="15" hidden="false" customHeight="false" outlineLevel="0" collapsed="false">
      <c r="A233" s="5" t="str">
        <f aca="false">設定!B106</f>
        <v>任意継続組合員</v>
      </c>
      <c r="B233" s="5" t="n">
        <f aca="false">IFERROR(MATCH(ホーム!$C$4&amp;"|"&amp;A233,報告入力!$CG$7:$CG$696,0),"")</f>
        <v>368</v>
      </c>
      <c r="C233" s="5" t="str">
        <f aca="false">IF(B233="","",INDEX(報告入力!$C$7:$C$696,B233))</f>
        <v>未受領</v>
      </c>
      <c r="D233" s="5" t="str">
        <f aca="false">設定!$A$39</f>
        <v>長期（厚生年金保険経理）</v>
      </c>
      <c r="E233" s="5" t="str">
        <f aca="false">設定!$B$39&amp;""</f>
        <v>130</v>
      </c>
      <c r="F233" s="5" t="str">
        <f aca="false">設定!$D$48&amp;""</f>
        <v>6101002000</v>
      </c>
      <c r="G233" s="5" t="str">
        <f aca="false">設定!$E$48&amp;""</f>
        <v>負担地方公共</v>
      </c>
      <c r="H233" s="5" t="n">
        <f aca="false">IF(B233="",0,N(INDEX(報告入力!$AW$7:$AW$696,B233)))</f>
        <v>0</v>
      </c>
      <c r="I233" s="5" t="str">
        <f aca="false">設定!$C$39&amp;""</f>
        <v>1104001001</v>
      </c>
      <c r="J233" s="5" t="str">
        <f aca="false">設定!$D$39&amp;""</f>
        <v>普広銀市役所</v>
      </c>
      <c r="K233" s="5" t="n">
        <f aca="false">IF(AND(H233&lt;&gt;0,IF(設定!$B$6="入金確認済のみ",C233="入金確認済",OR(C233="入金確認済",C233="受領済"))),1,0)</f>
        <v>0</v>
      </c>
      <c r="L233" s="5" t="str">
        <f aca="false">1&amp;"|"&amp;46</f>
        <v>1|46</v>
      </c>
      <c r="M233" s="5" t="n">
        <f aca="false">IF(L233=L232,M232,0)+K233</f>
        <v>0</v>
      </c>
      <c r="N233" s="5" t="n">
        <f aca="false">IF(AND(K233=1,M233=1),1,0)</f>
        <v>0</v>
      </c>
      <c r="O233" s="5" t="str">
        <f aca="false">IF(K233=1,MAX($O$5:O232)+1,"")</f>
        <v/>
      </c>
      <c r="P233" s="5" t="str">
        <f aca="false">IF(K233=1,SUM($N$6:N233),"")</f>
        <v/>
      </c>
      <c r="Q233" s="5" t="str">
        <f aca="false">IF(K233=1,SUMIFS($H$6:$H$511,$L$6:$L$511,L233,$K$6:$K$511,1),"")</f>
        <v/>
      </c>
      <c r="R233" s="78" t="str">
        <f aca="false">IF(B233="","",IF(INDEX(報告入力!$X$7:$X$696,B233)="","",INDEX(報告入力!$X$7:$X$696,B233)))</f>
        <v/>
      </c>
      <c r="S233" s="5" t="str">
        <f aca="false">設定!$C$48</f>
        <v>長期：厚生年金保険料（事業主負担分）</v>
      </c>
    </row>
    <row r="234" customFormat="false" ht="15" hidden="false" customHeight="false" outlineLevel="0" collapsed="false">
      <c r="A234" s="5" t="str">
        <f aca="false">設定!B106</f>
        <v>任意継続組合員</v>
      </c>
      <c r="B234" s="5" t="n">
        <f aca="false">IFERROR(MATCH(ホーム!$C$4&amp;"|"&amp;A234,報告入力!$CG$7:$CG$696,0),"")</f>
        <v>368</v>
      </c>
      <c r="C234" s="5" t="str">
        <f aca="false">IF(B234="","",INDEX(報告入力!$C$7:$C$696,B234))</f>
        <v>未受領</v>
      </c>
      <c r="D234" s="5" t="str">
        <f aca="false">設定!$A$39</f>
        <v>長期（厚生年金保険経理）</v>
      </c>
      <c r="E234" s="5" t="str">
        <f aca="false">設定!$B$39&amp;""</f>
        <v>130</v>
      </c>
      <c r="F234" s="5" t="str">
        <f aca="false">設定!$D$49&amp;""</f>
        <v>2109001015</v>
      </c>
      <c r="G234" s="5" t="str">
        <f aca="false">設定!$E$49&amp;""</f>
        <v>退職負担地方</v>
      </c>
      <c r="H234" s="5" t="n">
        <f aca="false">IF(B234="",0,N(INDEX(報告入力!$AX$7:$AX$696,B234)))</f>
        <v>0</v>
      </c>
      <c r="I234" s="5" t="str">
        <f aca="false">設定!$C$39&amp;""</f>
        <v>1104001001</v>
      </c>
      <c r="J234" s="5" t="str">
        <f aca="false">設定!$D$39&amp;""</f>
        <v>普広銀市役所</v>
      </c>
      <c r="K234" s="5" t="n">
        <f aca="false">IF(AND(H234&lt;&gt;0,IF(設定!$B$6="入金確認済のみ",C234="入金確認済",OR(C234="入金確認済",C234="受領済"))),1,0)</f>
        <v>0</v>
      </c>
      <c r="L234" s="5" t="str">
        <f aca="false">1&amp;"|"&amp;46</f>
        <v>1|46</v>
      </c>
      <c r="M234" s="5" t="n">
        <f aca="false">IF(L234=L233,M233,0)+K234</f>
        <v>0</v>
      </c>
      <c r="N234" s="5" t="n">
        <f aca="false">IF(AND(K234=1,M234=1),1,0)</f>
        <v>0</v>
      </c>
      <c r="O234" s="5" t="str">
        <f aca="false">IF(K234=1,MAX($O$5:O233)+1,"")</f>
        <v/>
      </c>
      <c r="P234" s="5" t="str">
        <f aca="false">IF(K234=1,SUM($N$6:N234),"")</f>
        <v/>
      </c>
      <c r="Q234" s="5" t="str">
        <f aca="false">IF(K234=1,SUMIFS($H$6:$H$511,$L$6:$L$511,L234,$K$6:$K$511,1),"")</f>
        <v/>
      </c>
      <c r="R234" s="78" t="str">
        <f aca="false">IF(B234="","",IF(INDEX(報告入力!$X$7:$X$696,B234)="","",INDEX(報告入力!$X$7:$X$696,B234)))</f>
        <v/>
      </c>
      <c r="S234" s="5" t="str">
        <f aca="false">設定!$C$49</f>
        <v>長期：退職等年金負担金</v>
      </c>
    </row>
    <row r="235" customFormat="false" ht="15" hidden="false" customHeight="false" outlineLevel="0" collapsed="false">
      <c r="A235" s="5" t="str">
        <f aca="false">設定!B106</f>
        <v>任意継続組合員</v>
      </c>
      <c r="B235" s="5" t="n">
        <f aca="false">IFERROR(MATCH(ホーム!$C$4&amp;"|"&amp;A235,報告入力!$CG$7:$CG$696,0),"")</f>
        <v>368</v>
      </c>
      <c r="C235" s="5" t="str">
        <f aca="false">IF(B235="","",INDEX(報告入力!$C$7:$C$696,B235))</f>
        <v>未受領</v>
      </c>
      <c r="D235" s="5" t="str">
        <f aca="false">設定!$A$39</f>
        <v>長期（厚生年金保険経理）</v>
      </c>
      <c r="E235" s="5" t="str">
        <f aca="false">設定!$B$39&amp;""</f>
        <v>130</v>
      </c>
      <c r="F235" s="5" t="str">
        <f aca="false">設定!$D$50&amp;""</f>
        <v>2109001017</v>
      </c>
      <c r="G235" s="5" t="str">
        <f aca="false">設定!$E$50&amp;""</f>
        <v>経過的負担金</v>
      </c>
      <c r="H235" s="5" t="n">
        <f aca="false">IF(B235="",0,N(INDEX(報告入力!$AY$7:$AY$696,B235)))</f>
        <v>0</v>
      </c>
      <c r="I235" s="5" t="str">
        <f aca="false">設定!$C$39&amp;""</f>
        <v>1104001001</v>
      </c>
      <c r="J235" s="5" t="str">
        <f aca="false">設定!$D$39&amp;""</f>
        <v>普広銀市役所</v>
      </c>
      <c r="K235" s="5" t="n">
        <f aca="false">IF(AND(H235&lt;&gt;0,IF(設定!$B$6="入金確認済のみ",C235="入金確認済",OR(C235="入金確認済",C235="受領済"))),1,0)</f>
        <v>0</v>
      </c>
      <c r="L235" s="5" t="str">
        <f aca="false">1&amp;"|"&amp;46</f>
        <v>1|46</v>
      </c>
      <c r="M235" s="5" t="n">
        <f aca="false">IF(L235=L234,M234,0)+K235</f>
        <v>0</v>
      </c>
      <c r="N235" s="5" t="n">
        <f aca="false">IF(AND(K235=1,M235=1),1,0)</f>
        <v>0</v>
      </c>
      <c r="O235" s="5" t="str">
        <f aca="false">IF(K235=1,MAX($O$5:O234)+1,"")</f>
        <v/>
      </c>
      <c r="P235" s="5" t="str">
        <f aca="false">IF(K235=1,SUM($N$6:N235),"")</f>
        <v/>
      </c>
      <c r="Q235" s="5" t="str">
        <f aca="false">IF(K235=1,SUMIFS($H$6:$H$511,$L$6:$L$511,L235,$K$6:$K$511,1),"")</f>
        <v/>
      </c>
      <c r="R235" s="78" t="str">
        <f aca="false">IF(B235="","",IF(INDEX(報告入力!$X$7:$X$696,B235)="","",INDEX(報告入力!$X$7:$X$696,B235)))</f>
        <v/>
      </c>
      <c r="S235" s="5" t="str">
        <f aca="false">設定!$C$50</f>
        <v>長期：経過的長期</v>
      </c>
    </row>
    <row r="236" customFormat="false" ht="15" hidden="false" customHeight="false" outlineLevel="0" collapsed="false">
      <c r="A236" s="5" t="str">
        <f aca="false">設定!B61</f>
        <v>市長部局</v>
      </c>
      <c r="B236" s="5" t="n">
        <f aca="false">IFERROR(MATCH(ホーム!$C$4&amp;"|"&amp;A236,報告入力!$CG$7:$CG$696,0),"")</f>
        <v>323</v>
      </c>
      <c r="C236" s="5" t="str">
        <f aca="false">IF(B236="","",INDEX(報告入力!$C$7:$C$696,B236))</f>
        <v>未受領</v>
      </c>
      <c r="D236" s="5" t="str">
        <f aca="false">設定!$A$40</f>
        <v>短期経理</v>
      </c>
      <c r="E236" s="5" t="str">
        <f aca="false">設定!$B$40&amp;""</f>
        <v/>
      </c>
      <c r="F236" s="5" t="str">
        <f aca="false">設定!$D$51&amp;""</f>
        <v/>
      </c>
      <c r="G236" s="5" t="str">
        <f aca="false">設定!$E$51&amp;""</f>
        <v/>
      </c>
      <c r="H236" s="5" t="n">
        <f aca="false">IF(B236="",0,N(INDEX(報告入力!$AZ$7:$AZ$696,B236)))</f>
        <v>180562030</v>
      </c>
      <c r="I236" s="5" t="str">
        <f aca="false">設定!$C$40&amp;""</f>
        <v/>
      </c>
      <c r="J236" s="5" t="str">
        <f aca="false">設定!$D$40&amp;""</f>
        <v/>
      </c>
      <c r="K236" s="5" t="n">
        <f aca="false">IF(AND(H236&lt;&gt;0,IF(設定!$B$6="入金確認済のみ",C236="入金確認済",OR(C236="入金確認済",C236="受領済"))),1,0)</f>
        <v>0</v>
      </c>
      <c r="L236" s="5" t="str">
        <f aca="false">2&amp;"|"&amp;1</f>
        <v>2|1</v>
      </c>
      <c r="M236" s="5" t="n">
        <f aca="false">IF(L236=L235,M235,0)+K236</f>
        <v>0</v>
      </c>
      <c r="N236" s="5" t="n">
        <f aca="false">IF(AND(K236=1,M236=1),1,0)</f>
        <v>0</v>
      </c>
      <c r="O236" s="5" t="str">
        <f aca="false">IF(K236=1,MAX($O$5:O235)+1,"")</f>
        <v/>
      </c>
      <c r="P236" s="5" t="str">
        <f aca="false">IF(K236=1,SUM($N$6:N236),"")</f>
        <v/>
      </c>
      <c r="Q236" s="5" t="str">
        <f aca="false">IF(K236=1,SUMIFS($H$6:$H$511,$L$6:$L$511,L236,$K$6:$K$511,1),"")</f>
        <v/>
      </c>
      <c r="R236" s="78" t="str">
        <f aca="false">IF(B236="","",IF(INDEX(報告入力!$X$7:$X$696,B236)="","",INDEX(報告入力!$X$7:$X$696,B236)))</f>
        <v/>
      </c>
      <c r="S236" s="5" t="str">
        <f aca="false">設定!$C$51</f>
        <v>短期：掛金</v>
      </c>
    </row>
    <row r="237" customFormat="false" ht="15" hidden="false" customHeight="false" outlineLevel="0" collapsed="false">
      <c r="A237" s="5" t="str">
        <f aca="false">設定!B61</f>
        <v>市長部局</v>
      </c>
      <c r="B237" s="5" t="n">
        <f aca="false">IFERROR(MATCH(ホーム!$C$4&amp;"|"&amp;A237,報告入力!$CG$7:$CG$696,0),"")</f>
        <v>323</v>
      </c>
      <c r="C237" s="5" t="str">
        <f aca="false">IF(B237="","",INDEX(報告入力!$C$7:$C$696,B237))</f>
        <v>未受領</v>
      </c>
      <c r="D237" s="5" t="str">
        <f aca="false">設定!$A$40</f>
        <v>短期経理</v>
      </c>
      <c r="E237" s="5" t="str">
        <f aca="false">設定!$B$40&amp;""</f>
        <v/>
      </c>
      <c r="F237" s="5" t="str">
        <f aca="false">設定!$D$52&amp;""</f>
        <v/>
      </c>
      <c r="G237" s="5" t="str">
        <f aca="false">設定!$E$52&amp;""</f>
        <v/>
      </c>
      <c r="H237" s="5" t="n">
        <f aca="false">IF(B237="",0,N(INDEX(報告入力!$BA$7:$BA$696,B237)))</f>
        <v>179918563</v>
      </c>
      <c r="I237" s="5" t="str">
        <f aca="false">設定!$C$40&amp;""</f>
        <v/>
      </c>
      <c r="J237" s="5" t="str">
        <f aca="false">設定!$D$40&amp;""</f>
        <v/>
      </c>
      <c r="K237" s="5" t="n">
        <f aca="false">IF(AND(H237&lt;&gt;0,IF(設定!$B$6="入金確認済のみ",C237="入金確認済",OR(C237="入金確認済",C237="受領済"))),1,0)</f>
        <v>0</v>
      </c>
      <c r="L237" s="5" t="str">
        <f aca="false">2&amp;"|"&amp;1</f>
        <v>2|1</v>
      </c>
      <c r="M237" s="5" t="n">
        <f aca="false">IF(L237=L236,M236,0)+K237</f>
        <v>0</v>
      </c>
      <c r="N237" s="5" t="n">
        <f aca="false">IF(AND(K237=1,M237=1),1,0)</f>
        <v>0</v>
      </c>
      <c r="O237" s="5" t="str">
        <f aca="false">IF(K237=1,MAX($O$5:O236)+1,"")</f>
        <v/>
      </c>
      <c r="P237" s="5" t="str">
        <f aca="false">IF(K237=1,SUM($N$6:N237),"")</f>
        <v/>
      </c>
      <c r="Q237" s="5" t="str">
        <f aca="false">IF(K237=1,SUMIFS($H$6:$H$511,$L$6:$L$511,L237,$K$6:$K$511,1),"")</f>
        <v/>
      </c>
      <c r="R237" s="78" t="str">
        <f aca="false">IF(B237="","",IF(INDEX(報告入力!$X$7:$X$696,B237)="","",INDEX(報告入力!$X$7:$X$696,B237)))</f>
        <v/>
      </c>
      <c r="S237" s="5" t="str">
        <f aca="false">設定!$C$52</f>
        <v>短期：負担金</v>
      </c>
    </row>
    <row r="238" customFormat="false" ht="15" hidden="false" customHeight="false" outlineLevel="0" collapsed="false">
      <c r="A238" s="5" t="str">
        <f aca="false">設定!B62</f>
        <v>下水道局</v>
      </c>
      <c r="B238" s="5" t="n">
        <f aca="false">IFERROR(MATCH(ホーム!$C$4&amp;"|"&amp;A238,報告入力!$CG$7:$CG$696,0),"")</f>
        <v>324</v>
      </c>
      <c r="C238" s="5" t="str">
        <f aca="false">IF(B238="","",INDEX(報告入力!$C$7:$C$696,B238))</f>
        <v>未受領</v>
      </c>
      <c r="D238" s="5" t="str">
        <f aca="false">設定!$A$40</f>
        <v>短期経理</v>
      </c>
      <c r="E238" s="5" t="str">
        <f aca="false">設定!$B$40&amp;""</f>
        <v/>
      </c>
      <c r="F238" s="5" t="str">
        <f aca="false">設定!$D$51&amp;""</f>
        <v/>
      </c>
      <c r="G238" s="5" t="str">
        <f aca="false">設定!$E$51&amp;""</f>
        <v/>
      </c>
      <c r="H238" s="5" t="n">
        <f aca="false">IF(B238="",0,N(INDEX(報告入力!$AZ$7:$AZ$696,B238)))</f>
        <v>10398568</v>
      </c>
      <c r="I238" s="5" t="str">
        <f aca="false">設定!$C$40&amp;""</f>
        <v/>
      </c>
      <c r="J238" s="5" t="str">
        <f aca="false">設定!$D$40&amp;""</f>
        <v/>
      </c>
      <c r="K238" s="5" t="n">
        <f aca="false">IF(AND(H238&lt;&gt;0,IF(設定!$B$6="入金確認済のみ",C238="入金確認済",OR(C238="入金確認済",C238="受領済"))),1,0)</f>
        <v>0</v>
      </c>
      <c r="L238" s="5" t="str">
        <f aca="false">2&amp;"|"&amp;2</f>
        <v>2|2</v>
      </c>
      <c r="M238" s="5" t="n">
        <f aca="false">IF(L238=L237,M237,0)+K238</f>
        <v>0</v>
      </c>
      <c r="N238" s="5" t="n">
        <f aca="false">IF(AND(K238=1,M238=1),1,0)</f>
        <v>0</v>
      </c>
      <c r="O238" s="5" t="str">
        <f aca="false">IF(K238=1,MAX($O$5:O237)+1,"")</f>
        <v/>
      </c>
      <c r="P238" s="5" t="str">
        <f aca="false">IF(K238=1,SUM($N$6:N238),"")</f>
        <v/>
      </c>
      <c r="Q238" s="5" t="str">
        <f aca="false">IF(K238=1,SUMIFS($H$6:$H$511,$L$6:$L$511,L238,$K$6:$K$511,1),"")</f>
        <v/>
      </c>
      <c r="R238" s="78" t="str">
        <f aca="false">IF(B238="","",IF(INDEX(報告入力!$X$7:$X$696,B238)="","",INDEX(報告入力!$X$7:$X$696,B238)))</f>
        <v/>
      </c>
      <c r="S238" s="5" t="str">
        <f aca="false">設定!$C$51</f>
        <v>短期：掛金</v>
      </c>
    </row>
    <row r="239" customFormat="false" ht="15" hidden="false" customHeight="false" outlineLevel="0" collapsed="false">
      <c r="A239" s="5" t="str">
        <f aca="false">設定!B62</f>
        <v>下水道局</v>
      </c>
      <c r="B239" s="5" t="n">
        <f aca="false">IFERROR(MATCH(ホーム!$C$4&amp;"|"&amp;A239,報告入力!$CG$7:$CG$696,0),"")</f>
        <v>324</v>
      </c>
      <c r="C239" s="5" t="str">
        <f aca="false">IF(B239="","",INDEX(報告入力!$C$7:$C$696,B239))</f>
        <v>未受領</v>
      </c>
      <c r="D239" s="5" t="str">
        <f aca="false">設定!$A$40</f>
        <v>短期経理</v>
      </c>
      <c r="E239" s="5" t="str">
        <f aca="false">設定!$B$40&amp;""</f>
        <v/>
      </c>
      <c r="F239" s="5" t="str">
        <f aca="false">設定!$D$52&amp;""</f>
        <v/>
      </c>
      <c r="G239" s="5" t="str">
        <f aca="false">設定!$E$52&amp;""</f>
        <v/>
      </c>
      <c r="H239" s="5" t="n">
        <f aca="false">IF(B239="",0,N(INDEX(報告入力!$BA$7:$BA$696,B239)))</f>
        <v>10572334</v>
      </c>
      <c r="I239" s="5" t="str">
        <f aca="false">設定!$C$40&amp;""</f>
        <v/>
      </c>
      <c r="J239" s="5" t="str">
        <f aca="false">設定!$D$40&amp;""</f>
        <v/>
      </c>
      <c r="K239" s="5" t="n">
        <f aca="false">IF(AND(H239&lt;&gt;0,IF(設定!$B$6="入金確認済のみ",C239="入金確認済",OR(C239="入金確認済",C239="受領済"))),1,0)</f>
        <v>0</v>
      </c>
      <c r="L239" s="5" t="str">
        <f aca="false">2&amp;"|"&amp;2</f>
        <v>2|2</v>
      </c>
      <c r="M239" s="5" t="n">
        <f aca="false">IF(L239=L238,M238,0)+K239</f>
        <v>0</v>
      </c>
      <c r="N239" s="5" t="n">
        <f aca="false">IF(AND(K239=1,M239=1),1,0)</f>
        <v>0</v>
      </c>
      <c r="O239" s="5" t="str">
        <f aca="false">IF(K239=1,MAX($O$5:O238)+1,"")</f>
        <v/>
      </c>
      <c r="P239" s="5" t="str">
        <f aca="false">IF(K239=1,SUM($N$6:N239),"")</f>
        <v/>
      </c>
      <c r="Q239" s="5" t="str">
        <f aca="false">IF(K239=1,SUMIFS($H$6:$H$511,$L$6:$L$511,L239,$K$6:$K$511,1),"")</f>
        <v/>
      </c>
      <c r="R239" s="78" t="str">
        <f aca="false">IF(B239="","",IF(INDEX(報告入力!$X$7:$X$696,B239)="","",INDEX(報告入力!$X$7:$X$696,B239)))</f>
        <v/>
      </c>
      <c r="S239" s="5" t="str">
        <f aca="false">設定!$C$52</f>
        <v>短期：負担金</v>
      </c>
    </row>
    <row r="240" customFormat="false" ht="15" hidden="false" customHeight="false" outlineLevel="0" collapsed="false">
      <c r="A240" s="5" t="str">
        <f aca="false">設定!B63</f>
        <v>消防局</v>
      </c>
      <c r="B240" s="5" t="n">
        <f aca="false">IFERROR(MATCH(ホーム!$C$4&amp;"|"&amp;A240,報告入力!$CG$7:$CG$696,0),"")</f>
        <v>325</v>
      </c>
      <c r="C240" s="5" t="str">
        <f aca="false">IF(B240="","",INDEX(報告入力!$C$7:$C$696,B240))</f>
        <v>未受領</v>
      </c>
      <c r="D240" s="5" t="str">
        <f aca="false">設定!$A$40</f>
        <v>短期経理</v>
      </c>
      <c r="E240" s="5" t="str">
        <f aca="false">設定!$B$40&amp;""</f>
        <v/>
      </c>
      <c r="F240" s="5" t="str">
        <f aca="false">設定!$D$51&amp;""</f>
        <v/>
      </c>
      <c r="G240" s="5" t="str">
        <f aca="false">設定!$E$51&amp;""</f>
        <v/>
      </c>
      <c r="H240" s="5" t="n">
        <f aca="false">IF(B240="",0,N(INDEX(報告入力!$AZ$7:$AZ$696,B240)))</f>
        <v>33023349</v>
      </c>
      <c r="I240" s="5" t="str">
        <f aca="false">設定!$C$40&amp;""</f>
        <v/>
      </c>
      <c r="J240" s="5" t="str">
        <f aca="false">設定!$D$40&amp;""</f>
        <v/>
      </c>
      <c r="K240" s="5" t="n">
        <f aca="false">IF(AND(H240&lt;&gt;0,IF(設定!$B$6="入金確認済のみ",C240="入金確認済",OR(C240="入金確認済",C240="受領済"))),1,0)</f>
        <v>0</v>
      </c>
      <c r="L240" s="5" t="str">
        <f aca="false">2&amp;"|"&amp;3</f>
        <v>2|3</v>
      </c>
      <c r="M240" s="5" t="n">
        <f aca="false">IF(L240=L239,M239,0)+K240</f>
        <v>0</v>
      </c>
      <c r="N240" s="5" t="n">
        <f aca="false">IF(AND(K240=1,M240=1),1,0)</f>
        <v>0</v>
      </c>
      <c r="O240" s="5" t="str">
        <f aca="false">IF(K240=1,MAX($O$5:O239)+1,"")</f>
        <v/>
      </c>
      <c r="P240" s="5" t="str">
        <f aca="false">IF(K240=1,SUM($N$6:N240),"")</f>
        <v/>
      </c>
      <c r="Q240" s="5" t="str">
        <f aca="false">IF(K240=1,SUMIFS($H$6:$H$511,$L$6:$L$511,L240,$K$6:$K$511,1),"")</f>
        <v/>
      </c>
      <c r="R240" s="78" t="str">
        <f aca="false">IF(B240="","",IF(INDEX(報告入力!$X$7:$X$696,B240)="","",INDEX(報告入力!$X$7:$X$696,B240)))</f>
        <v/>
      </c>
      <c r="S240" s="5" t="str">
        <f aca="false">設定!$C$51</f>
        <v>短期：掛金</v>
      </c>
    </row>
    <row r="241" customFormat="false" ht="15" hidden="false" customHeight="false" outlineLevel="0" collapsed="false">
      <c r="A241" s="5" t="str">
        <f aca="false">設定!B63</f>
        <v>消防局</v>
      </c>
      <c r="B241" s="5" t="n">
        <f aca="false">IFERROR(MATCH(ホーム!$C$4&amp;"|"&amp;A241,報告入力!$CG$7:$CG$696,0),"")</f>
        <v>325</v>
      </c>
      <c r="C241" s="5" t="str">
        <f aca="false">IF(B241="","",INDEX(報告入力!$C$7:$C$696,B241))</f>
        <v>未受領</v>
      </c>
      <c r="D241" s="5" t="str">
        <f aca="false">設定!$A$40</f>
        <v>短期経理</v>
      </c>
      <c r="E241" s="5" t="str">
        <f aca="false">設定!$B$40&amp;""</f>
        <v/>
      </c>
      <c r="F241" s="5" t="str">
        <f aca="false">設定!$D$52&amp;""</f>
        <v/>
      </c>
      <c r="G241" s="5" t="str">
        <f aca="false">設定!$E$52&amp;""</f>
        <v/>
      </c>
      <c r="H241" s="5" t="n">
        <f aca="false">IF(B241="",0,N(INDEX(報告入力!$BA$7:$BA$696,B241)))</f>
        <v>33605263</v>
      </c>
      <c r="I241" s="5" t="str">
        <f aca="false">設定!$C$40&amp;""</f>
        <v/>
      </c>
      <c r="J241" s="5" t="str">
        <f aca="false">設定!$D$40&amp;""</f>
        <v/>
      </c>
      <c r="K241" s="5" t="n">
        <f aca="false">IF(AND(H241&lt;&gt;0,IF(設定!$B$6="入金確認済のみ",C241="入金確認済",OR(C241="入金確認済",C241="受領済"))),1,0)</f>
        <v>0</v>
      </c>
      <c r="L241" s="5" t="str">
        <f aca="false">2&amp;"|"&amp;3</f>
        <v>2|3</v>
      </c>
      <c r="M241" s="5" t="n">
        <f aca="false">IF(L241=L240,M240,0)+K241</f>
        <v>0</v>
      </c>
      <c r="N241" s="5" t="n">
        <f aca="false">IF(AND(K241=1,M241=1),1,0)</f>
        <v>0</v>
      </c>
      <c r="O241" s="5" t="str">
        <f aca="false">IF(K241=1,MAX($O$5:O240)+1,"")</f>
        <v/>
      </c>
      <c r="P241" s="5" t="str">
        <f aca="false">IF(K241=1,SUM($N$6:N241),"")</f>
        <v/>
      </c>
      <c r="Q241" s="5" t="str">
        <f aca="false">IF(K241=1,SUMIFS($H$6:$H$511,$L$6:$L$511,L241,$K$6:$K$511,1),"")</f>
        <v/>
      </c>
      <c r="R241" s="78" t="str">
        <f aca="false">IF(B241="","",IF(INDEX(報告入力!$X$7:$X$696,B241)="","",INDEX(報告入力!$X$7:$X$696,B241)))</f>
        <v/>
      </c>
      <c r="S241" s="5" t="str">
        <f aca="false">設定!$C$52</f>
        <v>短期：負担金</v>
      </c>
    </row>
    <row r="242" customFormat="false" ht="15" hidden="false" customHeight="false" outlineLevel="0" collapsed="false">
      <c r="A242" s="5" t="str">
        <f aca="false">設定!B64</f>
        <v>議会事務局</v>
      </c>
      <c r="B242" s="5" t="n">
        <f aca="false">IFERROR(MATCH(ホーム!$C$4&amp;"|"&amp;A242,報告入力!$CG$7:$CG$696,0),"")</f>
        <v>326</v>
      </c>
      <c r="C242" s="5" t="str">
        <f aca="false">IF(B242="","",INDEX(報告入力!$C$7:$C$696,B242))</f>
        <v>未受領</v>
      </c>
      <c r="D242" s="5" t="str">
        <f aca="false">設定!$A$40</f>
        <v>短期経理</v>
      </c>
      <c r="E242" s="5" t="str">
        <f aca="false">設定!$B$40&amp;""</f>
        <v/>
      </c>
      <c r="F242" s="5" t="str">
        <f aca="false">設定!$D$51&amp;""</f>
        <v/>
      </c>
      <c r="G242" s="5" t="str">
        <f aca="false">設定!$E$51&amp;""</f>
        <v/>
      </c>
      <c r="H242" s="5" t="n">
        <f aca="false">IF(B242="",0,N(INDEX(報告入力!$AZ$7:$AZ$696,B242)))</f>
        <v>1055074</v>
      </c>
      <c r="I242" s="5" t="str">
        <f aca="false">設定!$C$40&amp;""</f>
        <v/>
      </c>
      <c r="J242" s="5" t="str">
        <f aca="false">設定!$D$40&amp;""</f>
        <v/>
      </c>
      <c r="K242" s="5" t="n">
        <f aca="false">IF(AND(H242&lt;&gt;0,IF(設定!$B$6="入金確認済のみ",C242="入金確認済",OR(C242="入金確認済",C242="受領済"))),1,0)</f>
        <v>0</v>
      </c>
      <c r="L242" s="5" t="str">
        <f aca="false">2&amp;"|"&amp;4</f>
        <v>2|4</v>
      </c>
      <c r="M242" s="5" t="n">
        <f aca="false">IF(L242=L241,M241,0)+K242</f>
        <v>0</v>
      </c>
      <c r="N242" s="5" t="n">
        <f aca="false">IF(AND(K242=1,M242=1),1,0)</f>
        <v>0</v>
      </c>
      <c r="O242" s="5" t="str">
        <f aca="false">IF(K242=1,MAX($O$5:O241)+1,"")</f>
        <v/>
      </c>
      <c r="P242" s="5" t="str">
        <f aca="false">IF(K242=1,SUM($N$6:N242),"")</f>
        <v/>
      </c>
      <c r="Q242" s="5" t="str">
        <f aca="false">IF(K242=1,SUMIFS($H$6:$H$511,$L$6:$L$511,L242,$K$6:$K$511,1),"")</f>
        <v/>
      </c>
      <c r="R242" s="78" t="str">
        <f aca="false">IF(B242="","",IF(INDEX(報告入力!$X$7:$X$696,B242)="","",INDEX(報告入力!$X$7:$X$696,B242)))</f>
        <v/>
      </c>
      <c r="S242" s="5" t="str">
        <f aca="false">設定!$C$51</f>
        <v>短期：掛金</v>
      </c>
    </row>
    <row r="243" customFormat="false" ht="15" hidden="false" customHeight="false" outlineLevel="0" collapsed="false">
      <c r="A243" s="5" t="str">
        <f aca="false">設定!B64</f>
        <v>議会事務局</v>
      </c>
      <c r="B243" s="5" t="n">
        <f aca="false">IFERROR(MATCH(ホーム!$C$4&amp;"|"&amp;A243,報告入力!$CG$7:$CG$696,0),"")</f>
        <v>326</v>
      </c>
      <c r="C243" s="5" t="str">
        <f aca="false">IF(B243="","",INDEX(報告入力!$C$7:$C$696,B243))</f>
        <v>未受領</v>
      </c>
      <c r="D243" s="5" t="str">
        <f aca="false">設定!$A$40</f>
        <v>短期経理</v>
      </c>
      <c r="E243" s="5" t="str">
        <f aca="false">設定!$B$40&amp;""</f>
        <v/>
      </c>
      <c r="F243" s="5" t="str">
        <f aca="false">設定!$D$52&amp;""</f>
        <v/>
      </c>
      <c r="G243" s="5" t="str">
        <f aca="false">設定!$E$52&amp;""</f>
        <v/>
      </c>
      <c r="H243" s="5" t="n">
        <f aca="false">IF(B243="",0,N(INDEX(報告入力!$BA$7:$BA$696,B243)))</f>
        <v>1073929</v>
      </c>
      <c r="I243" s="5" t="str">
        <f aca="false">設定!$C$40&amp;""</f>
        <v/>
      </c>
      <c r="J243" s="5" t="str">
        <f aca="false">設定!$D$40&amp;""</f>
        <v/>
      </c>
      <c r="K243" s="5" t="n">
        <f aca="false">IF(AND(H243&lt;&gt;0,IF(設定!$B$6="入金確認済のみ",C243="入金確認済",OR(C243="入金確認済",C243="受領済"))),1,0)</f>
        <v>0</v>
      </c>
      <c r="L243" s="5" t="str">
        <f aca="false">2&amp;"|"&amp;4</f>
        <v>2|4</v>
      </c>
      <c r="M243" s="5" t="n">
        <f aca="false">IF(L243=L242,M242,0)+K243</f>
        <v>0</v>
      </c>
      <c r="N243" s="5" t="n">
        <f aca="false">IF(AND(K243=1,M243=1),1,0)</f>
        <v>0</v>
      </c>
      <c r="O243" s="5" t="str">
        <f aca="false">IF(K243=1,MAX($O$5:O242)+1,"")</f>
        <v/>
      </c>
      <c r="P243" s="5" t="str">
        <f aca="false">IF(K243=1,SUM($N$6:N243),"")</f>
        <v/>
      </c>
      <c r="Q243" s="5" t="str">
        <f aca="false">IF(K243=1,SUMIFS($H$6:$H$511,$L$6:$L$511,L243,$K$6:$K$511,1),"")</f>
        <v/>
      </c>
      <c r="R243" s="78" t="str">
        <f aca="false">IF(B243="","",IF(INDEX(報告入力!$X$7:$X$696,B243)="","",INDEX(報告入力!$X$7:$X$696,B243)))</f>
        <v/>
      </c>
      <c r="S243" s="5" t="str">
        <f aca="false">設定!$C$52</f>
        <v>短期：負担金</v>
      </c>
    </row>
    <row r="244" customFormat="false" ht="15" hidden="false" customHeight="false" outlineLevel="0" collapsed="false">
      <c r="A244" s="5" t="str">
        <f aca="false">設定!B65</f>
        <v>教育委員会（総務課）</v>
      </c>
      <c r="B244" s="5" t="n">
        <f aca="false">IFERROR(MATCH(ホーム!$C$4&amp;"|"&amp;A244,報告入力!$CG$7:$CG$696,0),"")</f>
        <v>327</v>
      </c>
      <c r="C244" s="5" t="str">
        <f aca="false">IF(B244="","",INDEX(報告入力!$C$7:$C$696,B244))</f>
        <v>未受領</v>
      </c>
      <c r="D244" s="5" t="str">
        <f aca="false">設定!$A$40</f>
        <v>短期経理</v>
      </c>
      <c r="E244" s="5" t="str">
        <f aca="false">設定!$B$40&amp;""</f>
        <v/>
      </c>
      <c r="F244" s="5" t="str">
        <f aca="false">設定!$D$51&amp;""</f>
        <v/>
      </c>
      <c r="G244" s="5" t="str">
        <f aca="false">設定!$E$51&amp;""</f>
        <v/>
      </c>
      <c r="H244" s="5" t="n">
        <f aca="false">IF(B244="",0,N(INDEX(報告入力!$AZ$7:$AZ$696,B244)))</f>
        <v>25754073</v>
      </c>
      <c r="I244" s="5" t="str">
        <f aca="false">設定!$C$40&amp;""</f>
        <v/>
      </c>
      <c r="J244" s="5" t="str">
        <f aca="false">設定!$D$40&amp;""</f>
        <v/>
      </c>
      <c r="K244" s="5" t="n">
        <f aca="false">IF(AND(H244&lt;&gt;0,IF(設定!$B$6="入金確認済のみ",C244="入金確認済",OR(C244="入金確認済",C244="受領済"))),1,0)</f>
        <v>0</v>
      </c>
      <c r="L244" s="5" t="str">
        <f aca="false">2&amp;"|"&amp;5</f>
        <v>2|5</v>
      </c>
      <c r="M244" s="5" t="n">
        <f aca="false">IF(L244=L243,M243,0)+K244</f>
        <v>0</v>
      </c>
      <c r="N244" s="5" t="n">
        <f aca="false">IF(AND(K244=1,M244=1),1,0)</f>
        <v>0</v>
      </c>
      <c r="O244" s="5" t="str">
        <f aca="false">IF(K244=1,MAX($O$5:O243)+1,"")</f>
        <v/>
      </c>
      <c r="P244" s="5" t="str">
        <f aca="false">IF(K244=1,SUM($N$6:N244),"")</f>
        <v/>
      </c>
      <c r="Q244" s="5" t="str">
        <f aca="false">IF(K244=1,SUMIFS($H$6:$H$511,$L$6:$L$511,L244,$K$6:$K$511,1),"")</f>
        <v/>
      </c>
      <c r="R244" s="78" t="str">
        <f aca="false">IF(B244="","",IF(INDEX(報告入力!$X$7:$X$696,B244)="","",INDEX(報告入力!$X$7:$X$696,B244)))</f>
        <v/>
      </c>
      <c r="S244" s="5" t="str">
        <f aca="false">設定!$C$51</f>
        <v>短期：掛金</v>
      </c>
    </row>
    <row r="245" customFormat="false" ht="15" hidden="false" customHeight="false" outlineLevel="0" collapsed="false">
      <c r="A245" s="5" t="str">
        <f aca="false">設定!B65</f>
        <v>教育委員会（総務課）</v>
      </c>
      <c r="B245" s="5" t="n">
        <f aca="false">IFERROR(MATCH(ホーム!$C$4&amp;"|"&amp;A245,報告入力!$CG$7:$CG$696,0),"")</f>
        <v>327</v>
      </c>
      <c r="C245" s="5" t="str">
        <f aca="false">IF(B245="","",INDEX(報告入力!$C$7:$C$696,B245))</f>
        <v>未受領</v>
      </c>
      <c r="D245" s="5" t="str">
        <f aca="false">設定!$A$40</f>
        <v>短期経理</v>
      </c>
      <c r="E245" s="5" t="str">
        <f aca="false">設定!$B$40&amp;""</f>
        <v/>
      </c>
      <c r="F245" s="5" t="str">
        <f aca="false">設定!$D$52&amp;""</f>
        <v/>
      </c>
      <c r="G245" s="5" t="str">
        <f aca="false">設定!$E$52&amp;""</f>
        <v/>
      </c>
      <c r="H245" s="5" t="n">
        <f aca="false">IF(B245="",0,N(INDEX(報告入力!$BA$7:$BA$696,B245)))</f>
        <v>26235747</v>
      </c>
      <c r="I245" s="5" t="str">
        <f aca="false">設定!$C$40&amp;""</f>
        <v/>
      </c>
      <c r="J245" s="5" t="str">
        <f aca="false">設定!$D$40&amp;""</f>
        <v/>
      </c>
      <c r="K245" s="5" t="n">
        <f aca="false">IF(AND(H245&lt;&gt;0,IF(設定!$B$6="入金確認済のみ",C245="入金確認済",OR(C245="入金確認済",C245="受領済"))),1,0)</f>
        <v>0</v>
      </c>
      <c r="L245" s="5" t="str">
        <f aca="false">2&amp;"|"&amp;5</f>
        <v>2|5</v>
      </c>
      <c r="M245" s="5" t="n">
        <f aca="false">IF(L245=L244,M244,0)+K245</f>
        <v>0</v>
      </c>
      <c r="N245" s="5" t="n">
        <f aca="false">IF(AND(K245=1,M245=1),1,0)</f>
        <v>0</v>
      </c>
      <c r="O245" s="5" t="str">
        <f aca="false">IF(K245=1,MAX($O$5:O244)+1,"")</f>
        <v/>
      </c>
      <c r="P245" s="5" t="str">
        <f aca="false">IF(K245=1,SUM($N$6:N245),"")</f>
        <v/>
      </c>
      <c r="Q245" s="5" t="str">
        <f aca="false">IF(K245=1,SUMIFS($H$6:$H$511,$L$6:$L$511,L245,$K$6:$K$511,1),"")</f>
        <v/>
      </c>
      <c r="R245" s="78" t="str">
        <f aca="false">IF(B245="","",IF(INDEX(報告入力!$X$7:$X$696,B245)="","",INDEX(報告入力!$X$7:$X$696,B245)))</f>
        <v/>
      </c>
      <c r="S245" s="5" t="str">
        <f aca="false">設定!$C$52</f>
        <v>短期：負担金</v>
      </c>
    </row>
    <row r="246" customFormat="false" ht="15" hidden="false" customHeight="false" outlineLevel="0" collapsed="false">
      <c r="A246" s="5" t="str">
        <f aca="false">設定!B66</f>
        <v>選挙管理委員会</v>
      </c>
      <c r="B246" s="5" t="n">
        <f aca="false">IFERROR(MATCH(ホーム!$C$4&amp;"|"&amp;A246,報告入力!$CG$7:$CG$696,0),"")</f>
        <v>328</v>
      </c>
      <c r="C246" s="5" t="str">
        <f aca="false">IF(B246="","",INDEX(報告入力!$C$7:$C$696,B246))</f>
        <v>未受領</v>
      </c>
      <c r="D246" s="5" t="str">
        <f aca="false">設定!$A$40</f>
        <v>短期経理</v>
      </c>
      <c r="E246" s="5" t="str">
        <f aca="false">設定!$B$40&amp;""</f>
        <v/>
      </c>
      <c r="F246" s="5" t="str">
        <f aca="false">設定!$D$51&amp;""</f>
        <v/>
      </c>
      <c r="G246" s="5" t="str">
        <f aca="false">設定!$E$51&amp;""</f>
        <v/>
      </c>
      <c r="H246" s="5" t="n">
        <f aca="false">IF(B246="",0,N(INDEX(報告入力!$AZ$7:$AZ$696,B246)))</f>
        <v>190331</v>
      </c>
      <c r="I246" s="5" t="str">
        <f aca="false">設定!$C$40&amp;""</f>
        <v/>
      </c>
      <c r="J246" s="5" t="str">
        <f aca="false">設定!$D$40&amp;""</f>
        <v/>
      </c>
      <c r="K246" s="5" t="n">
        <f aca="false">IF(AND(H246&lt;&gt;0,IF(設定!$B$6="入金確認済のみ",C246="入金確認済",OR(C246="入金確認済",C246="受領済"))),1,0)</f>
        <v>0</v>
      </c>
      <c r="L246" s="5" t="str">
        <f aca="false">2&amp;"|"&amp;6</f>
        <v>2|6</v>
      </c>
      <c r="M246" s="5" t="n">
        <f aca="false">IF(L246=L245,M245,0)+K246</f>
        <v>0</v>
      </c>
      <c r="N246" s="5" t="n">
        <f aca="false">IF(AND(K246=1,M246=1),1,0)</f>
        <v>0</v>
      </c>
      <c r="O246" s="5" t="str">
        <f aca="false">IF(K246=1,MAX($O$5:O245)+1,"")</f>
        <v/>
      </c>
      <c r="P246" s="5" t="str">
        <f aca="false">IF(K246=1,SUM($N$6:N246),"")</f>
        <v/>
      </c>
      <c r="Q246" s="5" t="str">
        <f aca="false">IF(K246=1,SUMIFS($H$6:$H$511,$L$6:$L$511,L246,$K$6:$K$511,1),"")</f>
        <v/>
      </c>
      <c r="R246" s="78" t="str">
        <f aca="false">IF(B246="","",IF(INDEX(報告入力!$X$7:$X$696,B246)="","",INDEX(報告入力!$X$7:$X$696,B246)))</f>
        <v/>
      </c>
      <c r="S246" s="5" t="str">
        <f aca="false">設定!$C$51</f>
        <v>短期：掛金</v>
      </c>
    </row>
    <row r="247" customFormat="false" ht="15" hidden="false" customHeight="false" outlineLevel="0" collapsed="false">
      <c r="A247" s="5" t="str">
        <f aca="false">設定!B66</f>
        <v>選挙管理委員会</v>
      </c>
      <c r="B247" s="5" t="n">
        <f aca="false">IFERROR(MATCH(ホーム!$C$4&amp;"|"&amp;A247,報告入力!$CG$7:$CG$696,0),"")</f>
        <v>328</v>
      </c>
      <c r="C247" s="5" t="str">
        <f aca="false">IF(B247="","",INDEX(報告入力!$C$7:$C$696,B247))</f>
        <v>未受領</v>
      </c>
      <c r="D247" s="5" t="str">
        <f aca="false">設定!$A$40</f>
        <v>短期経理</v>
      </c>
      <c r="E247" s="5" t="str">
        <f aca="false">設定!$B$40&amp;""</f>
        <v/>
      </c>
      <c r="F247" s="5" t="str">
        <f aca="false">設定!$D$52&amp;""</f>
        <v/>
      </c>
      <c r="G247" s="5" t="str">
        <f aca="false">設定!$E$52&amp;""</f>
        <v/>
      </c>
      <c r="H247" s="5" t="n">
        <f aca="false">IF(B247="",0,N(INDEX(報告入力!$BA$7:$BA$696,B247)))</f>
        <v>216641</v>
      </c>
      <c r="I247" s="5" t="str">
        <f aca="false">設定!$C$40&amp;""</f>
        <v/>
      </c>
      <c r="J247" s="5" t="str">
        <f aca="false">設定!$D$40&amp;""</f>
        <v/>
      </c>
      <c r="K247" s="5" t="n">
        <f aca="false">IF(AND(H247&lt;&gt;0,IF(設定!$B$6="入金確認済のみ",C247="入金確認済",OR(C247="入金確認済",C247="受領済"))),1,0)</f>
        <v>0</v>
      </c>
      <c r="L247" s="5" t="str">
        <f aca="false">2&amp;"|"&amp;6</f>
        <v>2|6</v>
      </c>
      <c r="M247" s="5" t="n">
        <f aca="false">IF(L247=L246,M246,0)+K247</f>
        <v>0</v>
      </c>
      <c r="N247" s="5" t="n">
        <f aca="false">IF(AND(K247=1,M247=1),1,0)</f>
        <v>0</v>
      </c>
      <c r="O247" s="5" t="str">
        <f aca="false">IF(K247=1,MAX($O$5:O246)+1,"")</f>
        <v/>
      </c>
      <c r="P247" s="5" t="str">
        <f aca="false">IF(K247=1,SUM($N$6:N247),"")</f>
        <v/>
      </c>
      <c r="Q247" s="5" t="str">
        <f aca="false">IF(K247=1,SUMIFS($H$6:$H$511,$L$6:$L$511,L247,$K$6:$K$511,1),"")</f>
        <v/>
      </c>
      <c r="R247" s="78" t="str">
        <f aca="false">IF(B247="","",IF(INDEX(報告入力!$X$7:$X$696,B247)="","",INDEX(報告入力!$X$7:$X$696,B247)))</f>
        <v/>
      </c>
      <c r="S247" s="5" t="str">
        <f aca="false">設定!$C$52</f>
        <v>短期：負担金</v>
      </c>
    </row>
    <row r="248" customFormat="false" ht="15" hidden="false" customHeight="false" outlineLevel="0" collapsed="false">
      <c r="A248" s="5" t="str">
        <f aca="false">設定!B67</f>
        <v>人事委員会</v>
      </c>
      <c r="B248" s="5" t="n">
        <f aca="false">IFERROR(MATCH(ホーム!$C$4&amp;"|"&amp;A248,報告入力!$CG$7:$CG$696,0),"")</f>
        <v>329</v>
      </c>
      <c r="C248" s="5" t="str">
        <f aca="false">IF(B248="","",INDEX(報告入力!$C$7:$C$696,B248))</f>
        <v>未受領</v>
      </c>
      <c r="D248" s="5" t="str">
        <f aca="false">設定!$A$40</f>
        <v>短期経理</v>
      </c>
      <c r="E248" s="5" t="str">
        <f aca="false">設定!$B$40&amp;""</f>
        <v/>
      </c>
      <c r="F248" s="5" t="str">
        <f aca="false">設定!$D$51&amp;""</f>
        <v/>
      </c>
      <c r="G248" s="5" t="str">
        <f aca="false">設定!$E$51&amp;""</f>
        <v/>
      </c>
      <c r="H248" s="5" t="n">
        <f aca="false">IF(B248="",0,N(INDEX(報告入力!$AZ$7:$AZ$696,B248)))</f>
        <v>351070</v>
      </c>
      <c r="I248" s="5" t="str">
        <f aca="false">設定!$C$40&amp;""</f>
        <v/>
      </c>
      <c r="J248" s="5" t="str">
        <f aca="false">設定!$D$40&amp;""</f>
        <v/>
      </c>
      <c r="K248" s="5" t="n">
        <f aca="false">IF(AND(H248&lt;&gt;0,IF(設定!$B$6="入金確認済のみ",C248="入金確認済",OR(C248="入金確認済",C248="受領済"))),1,0)</f>
        <v>0</v>
      </c>
      <c r="L248" s="5" t="str">
        <f aca="false">2&amp;"|"&amp;7</f>
        <v>2|7</v>
      </c>
      <c r="M248" s="5" t="n">
        <f aca="false">IF(L248=L247,M247,0)+K248</f>
        <v>0</v>
      </c>
      <c r="N248" s="5" t="n">
        <f aca="false">IF(AND(K248=1,M248=1),1,0)</f>
        <v>0</v>
      </c>
      <c r="O248" s="5" t="str">
        <f aca="false">IF(K248=1,MAX($O$5:O247)+1,"")</f>
        <v/>
      </c>
      <c r="P248" s="5" t="str">
        <f aca="false">IF(K248=1,SUM($N$6:N248),"")</f>
        <v/>
      </c>
      <c r="Q248" s="5" t="str">
        <f aca="false">IF(K248=1,SUMIFS($H$6:$H$511,$L$6:$L$511,L248,$K$6:$K$511,1),"")</f>
        <v/>
      </c>
      <c r="R248" s="78" t="str">
        <f aca="false">IF(B248="","",IF(INDEX(報告入力!$X$7:$X$696,B248)="","",INDEX(報告入力!$X$7:$X$696,B248)))</f>
        <v/>
      </c>
      <c r="S248" s="5" t="str">
        <f aca="false">設定!$C$51</f>
        <v>短期：掛金</v>
      </c>
    </row>
    <row r="249" customFormat="false" ht="15" hidden="false" customHeight="false" outlineLevel="0" collapsed="false">
      <c r="A249" s="5" t="str">
        <f aca="false">設定!B67</f>
        <v>人事委員会</v>
      </c>
      <c r="B249" s="5" t="n">
        <f aca="false">IFERROR(MATCH(ホーム!$C$4&amp;"|"&amp;A249,報告入力!$CG$7:$CG$696,0),"")</f>
        <v>329</v>
      </c>
      <c r="C249" s="5" t="str">
        <f aca="false">IF(B249="","",INDEX(報告入力!$C$7:$C$696,B249))</f>
        <v>未受領</v>
      </c>
      <c r="D249" s="5" t="str">
        <f aca="false">設定!$A$40</f>
        <v>短期経理</v>
      </c>
      <c r="E249" s="5" t="str">
        <f aca="false">設定!$B$40&amp;""</f>
        <v/>
      </c>
      <c r="F249" s="5" t="str">
        <f aca="false">設定!$D$52&amp;""</f>
        <v/>
      </c>
      <c r="G249" s="5" t="str">
        <f aca="false">設定!$E$52&amp;""</f>
        <v/>
      </c>
      <c r="H249" s="5" t="n">
        <f aca="false">IF(B249="",0,N(INDEX(報告入力!$BA$7:$BA$696,B249)))</f>
        <v>357264</v>
      </c>
      <c r="I249" s="5" t="str">
        <f aca="false">設定!$C$40&amp;""</f>
        <v/>
      </c>
      <c r="J249" s="5" t="str">
        <f aca="false">設定!$D$40&amp;""</f>
        <v/>
      </c>
      <c r="K249" s="5" t="n">
        <f aca="false">IF(AND(H249&lt;&gt;0,IF(設定!$B$6="入金確認済のみ",C249="入金確認済",OR(C249="入金確認済",C249="受領済"))),1,0)</f>
        <v>0</v>
      </c>
      <c r="L249" s="5" t="str">
        <f aca="false">2&amp;"|"&amp;7</f>
        <v>2|7</v>
      </c>
      <c r="M249" s="5" t="n">
        <f aca="false">IF(L249=L248,M248,0)+K249</f>
        <v>0</v>
      </c>
      <c r="N249" s="5" t="n">
        <f aca="false">IF(AND(K249=1,M249=1),1,0)</f>
        <v>0</v>
      </c>
      <c r="O249" s="5" t="str">
        <f aca="false">IF(K249=1,MAX($O$5:O248)+1,"")</f>
        <v/>
      </c>
      <c r="P249" s="5" t="str">
        <f aca="false">IF(K249=1,SUM($N$6:N249),"")</f>
        <v/>
      </c>
      <c r="Q249" s="5" t="str">
        <f aca="false">IF(K249=1,SUMIFS($H$6:$H$511,$L$6:$L$511,L249,$K$6:$K$511,1),"")</f>
        <v/>
      </c>
      <c r="R249" s="78" t="str">
        <f aca="false">IF(B249="","",IF(INDEX(報告入力!$X$7:$X$696,B249)="","",INDEX(報告入力!$X$7:$X$696,B249)))</f>
        <v/>
      </c>
      <c r="S249" s="5" t="str">
        <f aca="false">設定!$C$52</f>
        <v>短期：負担金</v>
      </c>
    </row>
    <row r="250" customFormat="false" ht="15" hidden="false" customHeight="false" outlineLevel="0" collapsed="false">
      <c r="A250" s="5" t="str">
        <f aca="false">設定!B68</f>
        <v>監査事務局</v>
      </c>
      <c r="B250" s="5" t="n">
        <f aca="false">IFERROR(MATCH(ホーム!$C$4&amp;"|"&amp;A250,報告入力!$CG$7:$CG$696,0),"")</f>
        <v>330</v>
      </c>
      <c r="C250" s="5" t="str">
        <f aca="false">IF(B250="","",INDEX(報告入力!$C$7:$C$696,B250))</f>
        <v>未受領</v>
      </c>
      <c r="D250" s="5" t="str">
        <f aca="false">設定!$A$40</f>
        <v>短期経理</v>
      </c>
      <c r="E250" s="5" t="str">
        <f aca="false">設定!$B$40&amp;""</f>
        <v/>
      </c>
      <c r="F250" s="5" t="str">
        <f aca="false">設定!$D$51&amp;""</f>
        <v/>
      </c>
      <c r="G250" s="5" t="str">
        <f aca="false">設定!$E$51&amp;""</f>
        <v/>
      </c>
      <c r="H250" s="5" t="n">
        <f aca="false">IF(B250="",0,N(INDEX(報告入力!$AZ$7:$AZ$696,B250)))</f>
        <v>836690</v>
      </c>
      <c r="I250" s="5" t="str">
        <f aca="false">設定!$C$40&amp;""</f>
        <v/>
      </c>
      <c r="J250" s="5" t="str">
        <f aca="false">設定!$D$40&amp;""</f>
        <v/>
      </c>
      <c r="K250" s="5" t="n">
        <f aca="false">IF(AND(H250&lt;&gt;0,IF(設定!$B$6="入金確認済のみ",C250="入金確認済",OR(C250="入金確認済",C250="受領済"))),1,0)</f>
        <v>0</v>
      </c>
      <c r="L250" s="5" t="str">
        <f aca="false">2&amp;"|"&amp;8</f>
        <v>2|8</v>
      </c>
      <c r="M250" s="5" t="n">
        <f aca="false">IF(L250=L249,M249,0)+K250</f>
        <v>0</v>
      </c>
      <c r="N250" s="5" t="n">
        <f aca="false">IF(AND(K250=1,M250=1),1,0)</f>
        <v>0</v>
      </c>
      <c r="O250" s="5" t="str">
        <f aca="false">IF(K250=1,MAX($O$5:O249)+1,"")</f>
        <v/>
      </c>
      <c r="P250" s="5" t="str">
        <f aca="false">IF(K250=1,SUM($N$6:N250),"")</f>
        <v/>
      </c>
      <c r="Q250" s="5" t="str">
        <f aca="false">IF(K250=1,SUMIFS($H$6:$H$511,$L$6:$L$511,L250,$K$6:$K$511,1),"")</f>
        <v/>
      </c>
      <c r="R250" s="78" t="str">
        <f aca="false">IF(B250="","",IF(INDEX(報告入力!$X$7:$X$696,B250)="","",INDEX(報告入力!$X$7:$X$696,B250)))</f>
        <v/>
      </c>
      <c r="S250" s="5" t="str">
        <f aca="false">設定!$C$51</f>
        <v>短期：掛金</v>
      </c>
    </row>
    <row r="251" customFormat="false" ht="15" hidden="false" customHeight="false" outlineLevel="0" collapsed="false">
      <c r="A251" s="5" t="str">
        <f aca="false">設定!B68</f>
        <v>監査事務局</v>
      </c>
      <c r="B251" s="5" t="n">
        <f aca="false">IFERROR(MATCH(ホーム!$C$4&amp;"|"&amp;A251,報告入力!$CG$7:$CG$696,0),"")</f>
        <v>330</v>
      </c>
      <c r="C251" s="5" t="str">
        <f aca="false">IF(B251="","",INDEX(報告入力!$C$7:$C$696,B251))</f>
        <v>未受領</v>
      </c>
      <c r="D251" s="5" t="str">
        <f aca="false">設定!$A$40</f>
        <v>短期経理</v>
      </c>
      <c r="E251" s="5" t="str">
        <f aca="false">設定!$B$40&amp;""</f>
        <v/>
      </c>
      <c r="F251" s="5" t="str">
        <f aca="false">設定!$D$52&amp;""</f>
        <v/>
      </c>
      <c r="G251" s="5" t="str">
        <f aca="false">設定!$E$52&amp;""</f>
        <v/>
      </c>
      <c r="H251" s="5" t="n">
        <f aca="false">IF(B251="",0,N(INDEX(報告入力!$BA$7:$BA$696,B251)))</f>
        <v>851727</v>
      </c>
      <c r="I251" s="5" t="str">
        <f aca="false">設定!$C$40&amp;""</f>
        <v/>
      </c>
      <c r="J251" s="5" t="str">
        <f aca="false">設定!$D$40&amp;""</f>
        <v/>
      </c>
      <c r="K251" s="5" t="n">
        <f aca="false">IF(AND(H251&lt;&gt;0,IF(設定!$B$6="入金確認済のみ",C251="入金確認済",OR(C251="入金確認済",C251="受領済"))),1,0)</f>
        <v>0</v>
      </c>
      <c r="L251" s="5" t="str">
        <f aca="false">2&amp;"|"&amp;8</f>
        <v>2|8</v>
      </c>
      <c r="M251" s="5" t="n">
        <f aca="false">IF(L251=L250,M250,0)+K251</f>
        <v>0</v>
      </c>
      <c r="N251" s="5" t="n">
        <f aca="false">IF(AND(K251=1,M251=1),1,0)</f>
        <v>0</v>
      </c>
      <c r="O251" s="5" t="str">
        <f aca="false">IF(K251=1,MAX($O$5:O250)+1,"")</f>
        <v/>
      </c>
      <c r="P251" s="5" t="str">
        <f aca="false">IF(K251=1,SUM($N$6:N251),"")</f>
        <v/>
      </c>
      <c r="Q251" s="5" t="str">
        <f aca="false">IF(K251=1,SUMIFS($H$6:$H$511,$L$6:$L$511,L251,$K$6:$K$511,1),"")</f>
        <v/>
      </c>
      <c r="R251" s="78" t="str">
        <f aca="false">IF(B251="","",IF(INDEX(報告入力!$X$7:$X$696,B251)="","",INDEX(報告入力!$X$7:$X$696,B251)))</f>
        <v/>
      </c>
      <c r="S251" s="5" t="str">
        <f aca="false">設定!$C$52</f>
        <v>短期：負担金</v>
      </c>
    </row>
    <row r="252" customFormat="false" ht="15" hidden="false" customHeight="false" outlineLevel="0" collapsed="false">
      <c r="A252" s="5" t="str">
        <f aca="false">設定!B69</f>
        <v>農業委員会</v>
      </c>
      <c r="B252" s="5" t="n">
        <f aca="false">IFERROR(MATCH(ホーム!$C$4&amp;"|"&amp;A252,報告入力!$CG$7:$CG$696,0),"")</f>
        <v>331</v>
      </c>
      <c r="C252" s="5" t="str">
        <f aca="false">IF(B252="","",INDEX(報告入力!$C$7:$C$696,B252))</f>
        <v>未受領</v>
      </c>
      <c r="D252" s="5" t="str">
        <f aca="false">設定!$A$40</f>
        <v>短期経理</v>
      </c>
      <c r="E252" s="5" t="str">
        <f aca="false">設定!$B$40&amp;""</f>
        <v/>
      </c>
      <c r="F252" s="5" t="str">
        <f aca="false">設定!$D$51&amp;""</f>
        <v/>
      </c>
      <c r="G252" s="5" t="str">
        <f aca="false">設定!$E$51&amp;""</f>
        <v/>
      </c>
      <c r="H252" s="5" t="n">
        <f aca="false">IF(B252="",0,N(INDEX(報告入力!$AZ$7:$AZ$696,B252)))</f>
        <v>308930</v>
      </c>
      <c r="I252" s="5" t="str">
        <f aca="false">設定!$C$40&amp;""</f>
        <v/>
      </c>
      <c r="J252" s="5" t="str">
        <f aca="false">設定!$D$40&amp;""</f>
        <v/>
      </c>
      <c r="K252" s="5" t="n">
        <f aca="false">IF(AND(H252&lt;&gt;0,IF(設定!$B$6="入金確認済のみ",C252="入金確認済",OR(C252="入金確認済",C252="受領済"))),1,0)</f>
        <v>0</v>
      </c>
      <c r="L252" s="5" t="str">
        <f aca="false">2&amp;"|"&amp;9</f>
        <v>2|9</v>
      </c>
      <c r="M252" s="5" t="n">
        <f aca="false">IF(L252=L251,M251,0)+K252</f>
        <v>0</v>
      </c>
      <c r="N252" s="5" t="n">
        <f aca="false">IF(AND(K252=1,M252=1),1,0)</f>
        <v>0</v>
      </c>
      <c r="O252" s="5" t="str">
        <f aca="false">IF(K252=1,MAX($O$5:O251)+1,"")</f>
        <v/>
      </c>
      <c r="P252" s="5" t="str">
        <f aca="false">IF(K252=1,SUM($N$6:N252),"")</f>
        <v/>
      </c>
      <c r="Q252" s="5" t="str">
        <f aca="false">IF(K252=1,SUMIFS($H$6:$H$511,$L$6:$L$511,L252,$K$6:$K$511,1),"")</f>
        <v/>
      </c>
      <c r="R252" s="78" t="str">
        <f aca="false">IF(B252="","",IF(INDEX(報告入力!$X$7:$X$696,B252)="","",INDEX(報告入力!$X$7:$X$696,B252)))</f>
        <v/>
      </c>
      <c r="S252" s="5" t="str">
        <f aca="false">設定!$C$51</f>
        <v>短期：掛金</v>
      </c>
    </row>
    <row r="253" customFormat="false" ht="15" hidden="false" customHeight="false" outlineLevel="0" collapsed="false">
      <c r="A253" s="5" t="str">
        <f aca="false">設定!B69</f>
        <v>農業委員会</v>
      </c>
      <c r="B253" s="5" t="n">
        <f aca="false">IFERROR(MATCH(ホーム!$C$4&amp;"|"&amp;A253,報告入力!$CG$7:$CG$696,0),"")</f>
        <v>331</v>
      </c>
      <c r="C253" s="5" t="str">
        <f aca="false">IF(B253="","",INDEX(報告入力!$C$7:$C$696,B253))</f>
        <v>未受領</v>
      </c>
      <c r="D253" s="5" t="str">
        <f aca="false">設定!$A$40</f>
        <v>短期経理</v>
      </c>
      <c r="E253" s="5" t="str">
        <f aca="false">設定!$B$40&amp;""</f>
        <v/>
      </c>
      <c r="F253" s="5" t="str">
        <f aca="false">設定!$D$52&amp;""</f>
        <v/>
      </c>
      <c r="G253" s="5" t="str">
        <f aca="false">設定!$E$52&amp;""</f>
        <v/>
      </c>
      <c r="H253" s="5" t="n">
        <f aca="false">IF(B253="",0,N(INDEX(報告入力!$BA$7:$BA$696,B253)))</f>
        <v>314382</v>
      </c>
      <c r="I253" s="5" t="str">
        <f aca="false">設定!$C$40&amp;""</f>
        <v/>
      </c>
      <c r="J253" s="5" t="str">
        <f aca="false">設定!$D$40&amp;""</f>
        <v/>
      </c>
      <c r="K253" s="5" t="n">
        <f aca="false">IF(AND(H253&lt;&gt;0,IF(設定!$B$6="入金確認済のみ",C253="入金確認済",OR(C253="入金確認済",C253="受領済"))),1,0)</f>
        <v>0</v>
      </c>
      <c r="L253" s="5" t="str">
        <f aca="false">2&amp;"|"&amp;9</f>
        <v>2|9</v>
      </c>
      <c r="M253" s="5" t="n">
        <f aca="false">IF(L253=L252,M252,0)+K253</f>
        <v>0</v>
      </c>
      <c r="N253" s="5" t="n">
        <f aca="false">IF(AND(K253=1,M253=1),1,0)</f>
        <v>0</v>
      </c>
      <c r="O253" s="5" t="str">
        <f aca="false">IF(K253=1,MAX($O$5:O252)+1,"")</f>
        <v/>
      </c>
      <c r="P253" s="5" t="str">
        <f aca="false">IF(K253=1,SUM($N$6:N253),"")</f>
        <v/>
      </c>
      <c r="Q253" s="5" t="str">
        <f aca="false">IF(K253=1,SUMIFS($H$6:$H$511,$L$6:$L$511,L253,$K$6:$K$511,1),"")</f>
        <v/>
      </c>
      <c r="R253" s="78" t="str">
        <f aca="false">IF(B253="","",IF(INDEX(報告入力!$X$7:$X$696,B253)="","",INDEX(報告入力!$X$7:$X$696,B253)))</f>
        <v/>
      </c>
      <c r="S253" s="5" t="str">
        <f aca="false">設定!$C$52</f>
        <v>短期：負担金</v>
      </c>
    </row>
    <row r="254" customFormat="false" ht="15" hidden="false" customHeight="false" outlineLevel="0" collapsed="false">
      <c r="A254" s="5" t="str">
        <f aca="false">設定!B70</f>
        <v>水道局</v>
      </c>
      <c r="B254" s="5" t="n">
        <f aca="false">IFERROR(MATCH(ホーム!$C$4&amp;"|"&amp;A254,報告入力!$CG$7:$CG$696,0),"")</f>
        <v>332</v>
      </c>
      <c r="C254" s="5" t="str">
        <f aca="false">IF(B254="","",INDEX(報告入力!$C$7:$C$696,B254))</f>
        <v>未受領</v>
      </c>
      <c r="D254" s="5" t="str">
        <f aca="false">設定!$A$40</f>
        <v>短期経理</v>
      </c>
      <c r="E254" s="5" t="str">
        <f aca="false">設定!$B$40&amp;""</f>
        <v/>
      </c>
      <c r="F254" s="5" t="str">
        <f aca="false">設定!$D$51&amp;""</f>
        <v/>
      </c>
      <c r="G254" s="5" t="str">
        <f aca="false">設定!$E$51&amp;""</f>
        <v/>
      </c>
      <c r="H254" s="5" t="n">
        <f aca="false">IF(B254="",0,N(INDEX(報告入力!$AZ$7:$AZ$696,B254)))</f>
        <v>14207723</v>
      </c>
      <c r="I254" s="5" t="str">
        <f aca="false">設定!$C$40&amp;""</f>
        <v/>
      </c>
      <c r="J254" s="5" t="str">
        <f aca="false">設定!$D$40&amp;""</f>
        <v/>
      </c>
      <c r="K254" s="5" t="n">
        <f aca="false">IF(AND(H254&lt;&gt;0,IF(設定!$B$6="入金確認済のみ",C254="入金確認済",OR(C254="入金確認済",C254="受領済"))),1,0)</f>
        <v>0</v>
      </c>
      <c r="L254" s="5" t="str">
        <f aca="false">2&amp;"|"&amp;10</f>
        <v>2|10</v>
      </c>
      <c r="M254" s="5" t="n">
        <f aca="false">IF(L254=L253,M253,0)+K254</f>
        <v>0</v>
      </c>
      <c r="N254" s="5" t="n">
        <f aca="false">IF(AND(K254=1,M254=1),1,0)</f>
        <v>0</v>
      </c>
      <c r="O254" s="5" t="str">
        <f aca="false">IF(K254=1,MAX($O$5:O253)+1,"")</f>
        <v/>
      </c>
      <c r="P254" s="5" t="str">
        <f aca="false">IF(K254=1,SUM($N$6:N254),"")</f>
        <v/>
      </c>
      <c r="Q254" s="5" t="str">
        <f aca="false">IF(K254=1,SUMIFS($H$6:$H$511,$L$6:$L$511,L254,$K$6:$K$511,1),"")</f>
        <v/>
      </c>
      <c r="R254" s="78" t="str">
        <f aca="false">IF(B254="","",IF(INDEX(報告入力!$X$7:$X$696,B254)="","",INDEX(報告入力!$X$7:$X$696,B254)))</f>
        <v/>
      </c>
      <c r="S254" s="5" t="str">
        <f aca="false">設定!$C$51</f>
        <v>短期：掛金</v>
      </c>
    </row>
    <row r="255" customFormat="false" ht="15" hidden="false" customHeight="false" outlineLevel="0" collapsed="false">
      <c r="A255" s="5" t="str">
        <f aca="false">設定!B70</f>
        <v>水道局</v>
      </c>
      <c r="B255" s="5" t="n">
        <f aca="false">IFERROR(MATCH(ホーム!$C$4&amp;"|"&amp;A255,報告入力!$CG$7:$CG$696,0),"")</f>
        <v>332</v>
      </c>
      <c r="C255" s="5" t="str">
        <f aca="false">IF(B255="","",INDEX(報告入力!$C$7:$C$696,B255))</f>
        <v>未受領</v>
      </c>
      <c r="D255" s="5" t="str">
        <f aca="false">設定!$A$40</f>
        <v>短期経理</v>
      </c>
      <c r="E255" s="5" t="str">
        <f aca="false">設定!$B$40&amp;""</f>
        <v/>
      </c>
      <c r="F255" s="5" t="str">
        <f aca="false">設定!$D$52&amp;""</f>
        <v/>
      </c>
      <c r="G255" s="5" t="str">
        <f aca="false">設定!$E$52&amp;""</f>
        <v/>
      </c>
      <c r="H255" s="5" t="n">
        <f aca="false">IF(B255="",0,N(INDEX(報告入力!$BA$7:$BA$696,B255)))</f>
        <v>14461569</v>
      </c>
      <c r="I255" s="5" t="str">
        <f aca="false">設定!$C$40&amp;""</f>
        <v/>
      </c>
      <c r="J255" s="5" t="str">
        <f aca="false">設定!$D$40&amp;""</f>
        <v/>
      </c>
      <c r="K255" s="5" t="n">
        <f aca="false">IF(AND(H255&lt;&gt;0,IF(設定!$B$6="入金確認済のみ",C255="入金確認済",OR(C255="入金確認済",C255="受領済"))),1,0)</f>
        <v>0</v>
      </c>
      <c r="L255" s="5" t="str">
        <f aca="false">2&amp;"|"&amp;10</f>
        <v>2|10</v>
      </c>
      <c r="M255" s="5" t="n">
        <f aca="false">IF(L255=L254,M254,0)+K255</f>
        <v>0</v>
      </c>
      <c r="N255" s="5" t="n">
        <f aca="false">IF(AND(K255=1,M255=1),1,0)</f>
        <v>0</v>
      </c>
      <c r="O255" s="5" t="str">
        <f aca="false">IF(K255=1,MAX($O$5:O254)+1,"")</f>
        <v/>
      </c>
      <c r="P255" s="5" t="str">
        <f aca="false">IF(K255=1,SUM($N$6:N255),"")</f>
        <v/>
      </c>
      <c r="Q255" s="5" t="str">
        <f aca="false">IF(K255=1,SUMIFS($H$6:$H$511,$L$6:$L$511,L255,$K$6:$K$511,1),"")</f>
        <v/>
      </c>
      <c r="R255" s="78" t="str">
        <f aca="false">IF(B255="","",IF(INDEX(報告入力!$X$7:$X$696,B255)="","",INDEX(報告入力!$X$7:$X$696,B255)))</f>
        <v/>
      </c>
      <c r="S255" s="5" t="str">
        <f aca="false">設定!$C$52</f>
        <v>短期：負担金</v>
      </c>
    </row>
    <row r="256" customFormat="false" ht="15" hidden="false" customHeight="false" outlineLevel="0" collapsed="false">
      <c r="A256" s="5" t="str">
        <f aca="false">設定!B71</f>
        <v>医療政策課(安芸市民)</v>
      </c>
      <c r="B256" s="5" t="n">
        <f aca="false">IFERROR(MATCH(ホーム!$C$4&amp;"|"&amp;A256,報告入力!$CG$7:$CG$696,0),"")</f>
        <v>333</v>
      </c>
      <c r="C256" s="5" t="str">
        <f aca="false">IF(B256="","",INDEX(報告入力!$C$7:$C$696,B256))</f>
        <v>未受領</v>
      </c>
      <c r="D256" s="5" t="str">
        <f aca="false">設定!$A$40</f>
        <v>短期経理</v>
      </c>
      <c r="E256" s="5" t="str">
        <f aca="false">設定!$B$40&amp;""</f>
        <v/>
      </c>
      <c r="F256" s="5" t="str">
        <f aca="false">設定!$D$51&amp;""</f>
        <v/>
      </c>
      <c r="G256" s="5" t="str">
        <f aca="false">設定!$E$51&amp;""</f>
        <v/>
      </c>
      <c r="H256" s="5" t="n">
        <f aca="false">IF(B256="",0,N(INDEX(報告入力!$AZ$7:$AZ$696,B256)))</f>
        <v>29155</v>
      </c>
      <c r="I256" s="5" t="str">
        <f aca="false">設定!$C$40&amp;""</f>
        <v/>
      </c>
      <c r="J256" s="5" t="str">
        <f aca="false">設定!$D$40&amp;""</f>
        <v/>
      </c>
      <c r="K256" s="5" t="n">
        <f aca="false">IF(AND(H256&lt;&gt;0,IF(設定!$B$6="入金確認済のみ",C256="入金確認済",OR(C256="入金確認済",C256="受領済"))),1,0)</f>
        <v>0</v>
      </c>
      <c r="L256" s="5" t="str">
        <f aca="false">2&amp;"|"&amp;11</f>
        <v>2|11</v>
      </c>
      <c r="M256" s="5" t="n">
        <f aca="false">IF(L256=L255,M255,0)+K256</f>
        <v>0</v>
      </c>
      <c r="N256" s="5" t="n">
        <f aca="false">IF(AND(K256=1,M256=1),1,0)</f>
        <v>0</v>
      </c>
      <c r="O256" s="5" t="str">
        <f aca="false">IF(K256=1,MAX($O$5:O255)+1,"")</f>
        <v/>
      </c>
      <c r="P256" s="5" t="str">
        <f aca="false">IF(K256=1,SUM($N$6:N256),"")</f>
        <v/>
      </c>
      <c r="Q256" s="5" t="str">
        <f aca="false">IF(K256=1,SUMIFS($H$6:$H$511,$L$6:$L$511,L256,$K$6:$K$511,1),"")</f>
        <v/>
      </c>
      <c r="R256" s="78" t="str">
        <f aca="false">IF(B256="","",IF(INDEX(報告入力!$X$7:$X$696,B256)="","",INDEX(報告入力!$X$7:$X$696,B256)))</f>
        <v/>
      </c>
      <c r="S256" s="5" t="str">
        <f aca="false">設定!$C$51</f>
        <v>短期：掛金</v>
      </c>
    </row>
    <row r="257" customFormat="false" ht="15" hidden="false" customHeight="false" outlineLevel="0" collapsed="false">
      <c r="A257" s="5" t="str">
        <f aca="false">設定!B71</f>
        <v>医療政策課(安芸市民)</v>
      </c>
      <c r="B257" s="5" t="n">
        <f aca="false">IFERROR(MATCH(ホーム!$C$4&amp;"|"&amp;A257,報告入力!$CG$7:$CG$696,0),"")</f>
        <v>333</v>
      </c>
      <c r="C257" s="5" t="str">
        <f aca="false">IF(B257="","",INDEX(報告入力!$C$7:$C$696,B257))</f>
        <v>未受領</v>
      </c>
      <c r="D257" s="5" t="str">
        <f aca="false">設定!$A$40</f>
        <v>短期経理</v>
      </c>
      <c r="E257" s="5" t="str">
        <f aca="false">設定!$B$40&amp;""</f>
        <v/>
      </c>
      <c r="F257" s="5" t="str">
        <f aca="false">設定!$D$52&amp;""</f>
        <v/>
      </c>
      <c r="G257" s="5" t="str">
        <f aca="false">設定!$E$52&amp;""</f>
        <v/>
      </c>
      <c r="H257" s="5" t="n">
        <f aca="false">IF(B257="",0,N(INDEX(報告入力!$BA$7:$BA$696,B257)))</f>
        <v>29669</v>
      </c>
      <c r="I257" s="5" t="str">
        <f aca="false">設定!$C$40&amp;""</f>
        <v/>
      </c>
      <c r="J257" s="5" t="str">
        <f aca="false">設定!$D$40&amp;""</f>
        <v/>
      </c>
      <c r="K257" s="5" t="n">
        <f aca="false">IF(AND(H257&lt;&gt;0,IF(設定!$B$6="入金確認済のみ",C257="入金確認済",OR(C257="入金確認済",C257="受領済"))),1,0)</f>
        <v>0</v>
      </c>
      <c r="L257" s="5" t="str">
        <f aca="false">2&amp;"|"&amp;11</f>
        <v>2|11</v>
      </c>
      <c r="M257" s="5" t="n">
        <f aca="false">IF(L257=L256,M256,0)+K257</f>
        <v>0</v>
      </c>
      <c r="N257" s="5" t="n">
        <f aca="false">IF(AND(K257=1,M257=1),1,0)</f>
        <v>0</v>
      </c>
      <c r="O257" s="5" t="str">
        <f aca="false">IF(K257=1,MAX($O$5:O256)+1,"")</f>
        <v/>
      </c>
      <c r="P257" s="5" t="str">
        <f aca="false">IF(K257=1,SUM($N$6:N257),"")</f>
        <v/>
      </c>
      <c r="Q257" s="5" t="str">
        <f aca="false">IF(K257=1,SUMIFS($H$6:$H$511,$L$6:$L$511,L257,$K$6:$K$511,1),"")</f>
        <v/>
      </c>
      <c r="R257" s="78" t="str">
        <f aca="false">IF(B257="","",IF(INDEX(報告入力!$X$7:$X$696,B257)="","",INDEX(報告入力!$X$7:$X$696,B257)))</f>
        <v/>
      </c>
      <c r="S257" s="5" t="str">
        <f aca="false">設定!$C$52</f>
        <v>短期：負担金</v>
      </c>
    </row>
    <row r="258" customFormat="false" ht="15" hidden="false" customHeight="false" outlineLevel="0" collapsed="false">
      <c r="A258" s="5" t="str">
        <f aca="false">設定!B72</f>
        <v>教育委員会（教育給与課）</v>
      </c>
      <c r="B258" s="5" t="n">
        <f aca="false">IFERROR(MATCH(ホーム!$C$4&amp;"|"&amp;A258,報告入力!$CG$7:$CG$696,0),"")</f>
        <v>334</v>
      </c>
      <c r="C258" s="5" t="str">
        <f aca="false">IF(B258="","",INDEX(報告入力!$C$7:$C$696,B258))</f>
        <v>未受領</v>
      </c>
      <c r="D258" s="5" t="str">
        <f aca="false">設定!$A$40</f>
        <v>短期経理</v>
      </c>
      <c r="E258" s="5" t="str">
        <f aca="false">設定!$B$40&amp;""</f>
        <v/>
      </c>
      <c r="F258" s="5" t="str">
        <f aca="false">設定!$D$51&amp;""</f>
        <v/>
      </c>
      <c r="G258" s="5" t="str">
        <f aca="false">設定!$E$51&amp;""</f>
        <v/>
      </c>
      <c r="H258" s="5" t="n">
        <f aca="false">IF(B258="",0,N(INDEX(報告入力!$AZ$7:$AZ$696,B258)))</f>
        <v>264840</v>
      </c>
      <c r="I258" s="5" t="str">
        <f aca="false">設定!$C$40&amp;""</f>
        <v/>
      </c>
      <c r="J258" s="5" t="str">
        <f aca="false">設定!$D$40&amp;""</f>
        <v/>
      </c>
      <c r="K258" s="5" t="n">
        <f aca="false">IF(AND(H258&lt;&gt;0,IF(設定!$B$6="入金確認済のみ",C258="入金確認済",OR(C258="入金確認済",C258="受領済"))),1,0)</f>
        <v>0</v>
      </c>
      <c r="L258" s="5" t="str">
        <f aca="false">2&amp;"|"&amp;12</f>
        <v>2|12</v>
      </c>
      <c r="M258" s="5" t="n">
        <f aca="false">IF(L258=L257,M257,0)+K258</f>
        <v>0</v>
      </c>
      <c r="N258" s="5" t="n">
        <f aca="false">IF(AND(K258=1,M258=1),1,0)</f>
        <v>0</v>
      </c>
      <c r="O258" s="5" t="str">
        <f aca="false">IF(K258=1,MAX($O$5:O257)+1,"")</f>
        <v/>
      </c>
      <c r="P258" s="5" t="str">
        <f aca="false">IF(K258=1,SUM($N$6:N258),"")</f>
        <v/>
      </c>
      <c r="Q258" s="5" t="str">
        <f aca="false">IF(K258=1,SUMIFS($H$6:$H$511,$L$6:$L$511,L258,$K$6:$K$511,1),"")</f>
        <v/>
      </c>
      <c r="R258" s="78" t="str">
        <f aca="false">IF(B258="","",IF(INDEX(報告入力!$X$7:$X$696,B258)="","",INDEX(報告入力!$X$7:$X$696,B258)))</f>
        <v/>
      </c>
      <c r="S258" s="5" t="str">
        <f aca="false">設定!$C$51</f>
        <v>短期：掛金</v>
      </c>
    </row>
    <row r="259" customFormat="false" ht="15" hidden="false" customHeight="false" outlineLevel="0" collapsed="false">
      <c r="A259" s="5" t="str">
        <f aca="false">設定!B72</f>
        <v>教育委員会（教育給与課）</v>
      </c>
      <c r="B259" s="5" t="n">
        <f aca="false">IFERROR(MATCH(ホーム!$C$4&amp;"|"&amp;A259,報告入力!$CG$7:$CG$696,0),"")</f>
        <v>334</v>
      </c>
      <c r="C259" s="5" t="str">
        <f aca="false">IF(B259="","",INDEX(報告入力!$C$7:$C$696,B259))</f>
        <v>未受領</v>
      </c>
      <c r="D259" s="5" t="str">
        <f aca="false">設定!$A$40</f>
        <v>短期経理</v>
      </c>
      <c r="E259" s="5" t="str">
        <f aca="false">設定!$B$40&amp;""</f>
        <v/>
      </c>
      <c r="F259" s="5" t="str">
        <f aca="false">設定!$D$52&amp;""</f>
        <v/>
      </c>
      <c r="G259" s="5" t="str">
        <f aca="false">設定!$E$52&amp;""</f>
        <v/>
      </c>
      <c r="H259" s="5" t="n">
        <f aca="false">IF(B259="",0,N(INDEX(報告入力!$BA$7:$BA$696,B259)))</f>
        <v>257493</v>
      </c>
      <c r="I259" s="5" t="str">
        <f aca="false">設定!$C$40&amp;""</f>
        <v/>
      </c>
      <c r="J259" s="5" t="str">
        <f aca="false">設定!$D$40&amp;""</f>
        <v/>
      </c>
      <c r="K259" s="5" t="n">
        <f aca="false">IF(AND(H259&lt;&gt;0,IF(設定!$B$6="入金確認済のみ",C259="入金確認済",OR(C259="入金確認済",C259="受領済"))),1,0)</f>
        <v>0</v>
      </c>
      <c r="L259" s="5" t="str">
        <f aca="false">2&amp;"|"&amp;12</f>
        <v>2|12</v>
      </c>
      <c r="M259" s="5" t="n">
        <f aca="false">IF(L259=L258,M258,0)+K259</f>
        <v>0</v>
      </c>
      <c r="N259" s="5" t="n">
        <f aca="false">IF(AND(K259=1,M259=1),1,0)</f>
        <v>0</v>
      </c>
      <c r="O259" s="5" t="str">
        <f aca="false">IF(K259=1,MAX($O$5:O258)+1,"")</f>
        <v/>
      </c>
      <c r="P259" s="5" t="str">
        <f aca="false">IF(K259=1,SUM($N$6:N259),"")</f>
        <v/>
      </c>
      <c r="Q259" s="5" t="str">
        <f aca="false">IF(K259=1,SUMIFS($H$6:$H$511,$L$6:$L$511,L259,$K$6:$K$511,1),"")</f>
        <v/>
      </c>
      <c r="R259" s="78" t="str">
        <f aca="false">IF(B259="","",IF(INDEX(報告入力!$X$7:$X$696,B259)="","",INDEX(報告入力!$X$7:$X$696,B259)))</f>
        <v/>
      </c>
      <c r="S259" s="5" t="str">
        <f aca="false">設定!$C$52</f>
        <v>短期：負担金</v>
      </c>
    </row>
    <row r="260" customFormat="false" ht="15" hidden="false" customHeight="false" outlineLevel="0" collapsed="false">
      <c r="A260" s="5" t="str">
        <f aca="false">設定!B73</f>
        <v>地方税共同機構</v>
      </c>
      <c r="B260" s="5" t="n">
        <f aca="false">IFERROR(MATCH(ホーム!$C$4&amp;"|"&amp;A260,報告入力!$CG$7:$CG$696,0),"")</f>
        <v>335</v>
      </c>
      <c r="C260" s="5" t="str">
        <f aca="false">IF(B260="","",INDEX(報告入力!$C$7:$C$696,B260))</f>
        <v>報告なし</v>
      </c>
      <c r="D260" s="5" t="str">
        <f aca="false">設定!$A$40</f>
        <v>短期経理</v>
      </c>
      <c r="E260" s="5" t="str">
        <f aca="false">設定!$B$40&amp;""</f>
        <v/>
      </c>
      <c r="F260" s="5" t="str">
        <f aca="false">設定!$D$51&amp;""</f>
        <v/>
      </c>
      <c r="G260" s="5" t="str">
        <f aca="false">設定!$E$51&amp;""</f>
        <v/>
      </c>
      <c r="H260" s="5" t="n">
        <f aca="false">IF(B260="",0,N(INDEX(報告入力!$AZ$7:$AZ$696,B260)))</f>
        <v>0</v>
      </c>
      <c r="I260" s="5" t="str">
        <f aca="false">設定!$C$40&amp;""</f>
        <v/>
      </c>
      <c r="J260" s="5" t="str">
        <f aca="false">設定!$D$40&amp;""</f>
        <v/>
      </c>
      <c r="K260" s="5" t="n">
        <f aca="false">IF(AND(H260&lt;&gt;0,IF(設定!$B$6="入金確認済のみ",C260="入金確認済",OR(C260="入金確認済",C260="受領済"))),1,0)</f>
        <v>0</v>
      </c>
      <c r="L260" s="5" t="str">
        <f aca="false">2&amp;"|"&amp;13</f>
        <v>2|13</v>
      </c>
      <c r="M260" s="5" t="n">
        <f aca="false">IF(L260=L259,M259,0)+K260</f>
        <v>0</v>
      </c>
      <c r="N260" s="5" t="n">
        <f aca="false">IF(AND(K260=1,M260=1),1,0)</f>
        <v>0</v>
      </c>
      <c r="O260" s="5" t="str">
        <f aca="false">IF(K260=1,MAX($O$5:O259)+1,"")</f>
        <v/>
      </c>
      <c r="P260" s="5" t="str">
        <f aca="false">IF(K260=1,SUM($N$6:N260),"")</f>
        <v/>
      </c>
      <c r="Q260" s="5" t="str">
        <f aca="false">IF(K260=1,SUMIFS($H$6:$H$511,$L$6:$L$511,L260,$K$6:$K$511,1),"")</f>
        <v/>
      </c>
      <c r="R260" s="78" t="str">
        <f aca="false">IF(B260="","",IF(INDEX(報告入力!$X$7:$X$696,B260)="","",INDEX(報告入力!$X$7:$X$696,B260)))</f>
        <v/>
      </c>
      <c r="S260" s="5" t="str">
        <f aca="false">設定!$C$51</f>
        <v>短期：掛金</v>
      </c>
    </row>
    <row r="261" customFormat="false" ht="15" hidden="false" customHeight="false" outlineLevel="0" collapsed="false">
      <c r="A261" s="5" t="str">
        <f aca="false">設定!B73</f>
        <v>地方税共同機構</v>
      </c>
      <c r="B261" s="5" t="n">
        <f aca="false">IFERROR(MATCH(ホーム!$C$4&amp;"|"&amp;A261,報告入力!$CG$7:$CG$696,0),"")</f>
        <v>335</v>
      </c>
      <c r="C261" s="5" t="str">
        <f aca="false">IF(B261="","",INDEX(報告入力!$C$7:$C$696,B261))</f>
        <v>報告なし</v>
      </c>
      <c r="D261" s="5" t="str">
        <f aca="false">設定!$A$40</f>
        <v>短期経理</v>
      </c>
      <c r="E261" s="5" t="str">
        <f aca="false">設定!$B$40&amp;""</f>
        <v/>
      </c>
      <c r="F261" s="5" t="str">
        <f aca="false">設定!$D$52&amp;""</f>
        <v/>
      </c>
      <c r="G261" s="5" t="str">
        <f aca="false">設定!$E$52&amp;""</f>
        <v/>
      </c>
      <c r="H261" s="5" t="n">
        <f aca="false">IF(B261="",0,N(INDEX(報告入力!$BA$7:$BA$696,B261)))</f>
        <v>0</v>
      </c>
      <c r="I261" s="5" t="str">
        <f aca="false">設定!$C$40&amp;""</f>
        <v/>
      </c>
      <c r="J261" s="5" t="str">
        <f aca="false">設定!$D$40&amp;""</f>
        <v/>
      </c>
      <c r="K261" s="5" t="n">
        <f aca="false">IF(AND(H261&lt;&gt;0,IF(設定!$B$6="入金確認済のみ",C261="入金確認済",OR(C261="入金確認済",C261="受領済"))),1,0)</f>
        <v>0</v>
      </c>
      <c r="L261" s="5" t="str">
        <f aca="false">2&amp;"|"&amp;13</f>
        <v>2|13</v>
      </c>
      <c r="M261" s="5" t="n">
        <f aca="false">IF(L261=L260,M260,0)+K261</f>
        <v>0</v>
      </c>
      <c r="N261" s="5" t="n">
        <f aca="false">IF(AND(K261=1,M261=1),1,0)</f>
        <v>0</v>
      </c>
      <c r="O261" s="5" t="str">
        <f aca="false">IF(K261=1,MAX($O$5:O260)+1,"")</f>
        <v/>
      </c>
      <c r="P261" s="5" t="str">
        <f aca="false">IF(K261=1,SUM($N$6:N261),"")</f>
        <v/>
      </c>
      <c r="Q261" s="5" t="str">
        <f aca="false">IF(K261=1,SUMIFS($H$6:$H$511,$L$6:$L$511,L261,$K$6:$K$511,1),"")</f>
        <v/>
      </c>
      <c r="R261" s="78" t="str">
        <f aca="false">IF(B261="","",IF(INDEX(報告入力!$X$7:$X$696,B261)="","",INDEX(報告入力!$X$7:$X$696,B261)))</f>
        <v/>
      </c>
      <c r="S261" s="5" t="str">
        <f aca="false">設定!$C$52</f>
        <v>短期：負担金</v>
      </c>
    </row>
    <row r="262" customFormat="false" ht="15" hidden="false" customHeight="false" outlineLevel="0" collapsed="false">
      <c r="A262" s="5" t="str">
        <f aca="false">設定!B74</f>
        <v>平和文化センター</v>
      </c>
      <c r="B262" s="5" t="n">
        <f aca="false">IFERROR(MATCH(ホーム!$C$4&amp;"|"&amp;A262,報告入力!$CG$7:$CG$696,0),"")</f>
        <v>336</v>
      </c>
      <c r="C262" s="5" t="str">
        <f aca="false">IF(B262="","",INDEX(報告入力!$C$7:$C$696,B262))</f>
        <v>未受領</v>
      </c>
      <c r="D262" s="5" t="str">
        <f aca="false">設定!$A$40</f>
        <v>短期経理</v>
      </c>
      <c r="E262" s="5" t="str">
        <f aca="false">設定!$B$40&amp;""</f>
        <v/>
      </c>
      <c r="F262" s="5" t="str">
        <f aca="false">設定!$D$51&amp;""</f>
        <v/>
      </c>
      <c r="G262" s="5" t="str">
        <f aca="false">設定!$E$51&amp;""</f>
        <v/>
      </c>
      <c r="H262" s="5" t="n">
        <f aca="false">IF(B262="",0,N(INDEX(報告入力!$AZ$7:$AZ$696,B262)))</f>
        <v>0</v>
      </c>
      <c r="I262" s="5" t="str">
        <f aca="false">設定!$C$40&amp;""</f>
        <v/>
      </c>
      <c r="J262" s="5" t="str">
        <f aca="false">設定!$D$40&amp;""</f>
        <v/>
      </c>
      <c r="K262" s="5" t="n">
        <f aca="false">IF(AND(H262&lt;&gt;0,IF(設定!$B$6="入金確認済のみ",C262="入金確認済",OR(C262="入金確認済",C262="受領済"))),1,0)</f>
        <v>0</v>
      </c>
      <c r="L262" s="5" t="str">
        <f aca="false">2&amp;"|"&amp;14</f>
        <v>2|14</v>
      </c>
      <c r="M262" s="5" t="n">
        <f aca="false">IF(L262=L261,M261,0)+K262</f>
        <v>0</v>
      </c>
      <c r="N262" s="5" t="n">
        <f aca="false">IF(AND(K262=1,M262=1),1,0)</f>
        <v>0</v>
      </c>
      <c r="O262" s="5" t="str">
        <f aca="false">IF(K262=1,MAX($O$5:O261)+1,"")</f>
        <v/>
      </c>
      <c r="P262" s="5" t="str">
        <f aca="false">IF(K262=1,SUM($N$6:N262),"")</f>
        <v/>
      </c>
      <c r="Q262" s="5" t="str">
        <f aca="false">IF(K262=1,SUMIFS($H$6:$H$511,$L$6:$L$511,L262,$K$6:$K$511,1),"")</f>
        <v/>
      </c>
      <c r="R262" s="78" t="str">
        <f aca="false">IF(B262="","",IF(INDEX(報告入力!$X$7:$X$696,B262)="","",INDEX(報告入力!$X$7:$X$696,B262)))</f>
        <v/>
      </c>
      <c r="S262" s="5" t="str">
        <f aca="false">設定!$C$51</f>
        <v>短期：掛金</v>
      </c>
    </row>
    <row r="263" customFormat="false" ht="15" hidden="false" customHeight="false" outlineLevel="0" collapsed="false">
      <c r="A263" s="5" t="str">
        <f aca="false">設定!B74</f>
        <v>平和文化センター</v>
      </c>
      <c r="B263" s="5" t="n">
        <f aca="false">IFERROR(MATCH(ホーム!$C$4&amp;"|"&amp;A263,報告入力!$CG$7:$CG$696,0),"")</f>
        <v>336</v>
      </c>
      <c r="C263" s="5" t="str">
        <f aca="false">IF(B263="","",INDEX(報告入力!$C$7:$C$696,B263))</f>
        <v>未受領</v>
      </c>
      <c r="D263" s="5" t="str">
        <f aca="false">設定!$A$40</f>
        <v>短期経理</v>
      </c>
      <c r="E263" s="5" t="str">
        <f aca="false">設定!$B$40&amp;""</f>
        <v/>
      </c>
      <c r="F263" s="5" t="str">
        <f aca="false">設定!$D$52&amp;""</f>
        <v/>
      </c>
      <c r="G263" s="5" t="str">
        <f aca="false">設定!$E$52&amp;""</f>
        <v/>
      </c>
      <c r="H263" s="5" t="n">
        <f aca="false">IF(B263="",0,N(INDEX(報告入力!$BA$7:$BA$696,B263)))</f>
        <v>420489</v>
      </c>
      <c r="I263" s="5" t="str">
        <f aca="false">設定!$C$40&amp;""</f>
        <v/>
      </c>
      <c r="J263" s="5" t="str">
        <f aca="false">設定!$D$40&amp;""</f>
        <v/>
      </c>
      <c r="K263" s="5" t="n">
        <f aca="false">IF(AND(H263&lt;&gt;0,IF(設定!$B$6="入金確認済のみ",C263="入金確認済",OR(C263="入金確認済",C263="受領済"))),1,0)</f>
        <v>0</v>
      </c>
      <c r="L263" s="5" t="str">
        <f aca="false">2&amp;"|"&amp;14</f>
        <v>2|14</v>
      </c>
      <c r="M263" s="5" t="n">
        <f aca="false">IF(L263=L262,M262,0)+K263</f>
        <v>0</v>
      </c>
      <c r="N263" s="5" t="n">
        <f aca="false">IF(AND(K263=1,M263=1),1,0)</f>
        <v>0</v>
      </c>
      <c r="O263" s="5" t="str">
        <f aca="false">IF(K263=1,MAX($O$5:O262)+1,"")</f>
        <v/>
      </c>
      <c r="P263" s="5" t="str">
        <f aca="false">IF(K263=1,SUM($N$6:N263),"")</f>
        <v/>
      </c>
      <c r="Q263" s="5" t="str">
        <f aca="false">IF(K263=1,SUMIFS($H$6:$H$511,$L$6:$L$511,L263,$K$6:$K$511,1),"")</f>
        <v/>
      </c>
      <c r="R263" s="78" t="str">
        <f aca="false">IF(B263="","",IF(INDEX(報告入力!$X$7:$X$696,B263)="","",INDEX(報告入力!$X$7:$X$696,B263)))</f>
        <v/>
      </c>
      <c r="S263" s="5" t="str">
        <f aca="false">設定!$C$52</f>
        <v>短期：負担金</v>
      </c>
    </row>
    <row r="264" customFormat="false" ht="15" hidden="false" customHeight="false" outlineLevel="0" collapsed="false">
      <c r="A264" s="5" t="str">
        <f aca="false">設定!B75</f>
        <v>社会福祉事業団</v>
      </c>
      <c r="B264" s="5" t="n">
        <f aca="false">IFERROR(MATCH(ホーム!$C$4&amp;"|"&amp;A264,報告入力!$CG$7:$CG$696,0),"")</f>
        <v>337</v>
      </c>
      <c r="C264" s="5" t="str">
        <f aca="false">IF(B264="","",INDEX(報告入力!$C$7:$C$696,B264))</f>
        <v>未受領</v>
      </c>
      <c r="D264" s="5" t="str">
        <f aca="false">設定!$A$40</f>
        <v>短期経理</v>
      </c>
      <c r="E264" s="5" t="str">
        <f aca="false">設定!$B$40&amp;""</f>
        <v/>
      </c>
      <c r="F264" s="5" t="str">
        <f aca="false">設定!$D$51&amp;""</f>
        <v/>
      </c>
      <c r="G264" s="5" t="str">
        <f aca="false">設定!$E$51&amp;""</f>
        <v/>
      </c>
      <c r="H264" s="5" t="n">
        <f aca="false">IF(B264="",0,N(INDEX(報告入力!$AZ$7:$AZ$696,B264)))</f>
        <v>0</v>
      </c>
      <c r="I264" s="5" t="str">
        <f aca="false">設定!$C$40&amp;""</f>
        <v/>
      </c>
      <c r="J264" s="5" t="str">
        <f aca="false">設定!$D$40&amp;""</f>
        <v/>
      </c>
      <c r="K264" s="5" t="n">
        <f aca="false">IF(AND(H264&lt;&gt;0,IF(設定!$B$6="入金確認済のみ",C264="入金確認済",OR(C264="入金確認済",C264="受領済"))),1,0)</f>
        <v>0</v>
      </c>
      <c r="L264" s="5" t="str">
        <f aca="false">2&amp;"|"&amp;15</f>
        <v>2|15</v>
      </c>
      <c r="M264" s="5" t="n">
        <f aca="false">IF(L264=L263,M263,0)+K264</f>
        <v>0</v>
      </c>
      <c r="N264" s="5" t="n">
        <f aca="false">IF(AND(K264=1,M264=1),1,0)</f>
        <v>0</v>
      </c>
      <c r="O264" s="5" t="str">
        <f aca="false">IF(K264=1,MAX($O$5:O263)+1,"")</f>
        <v/>
      </c>
      <c r="P264" s="5" t="str">
        <f aca="false">IF(K264=1,SUM($N$6:N264),"")</f>
        <v/>
      </c>
      <c r="Q264" s="5" t="str">
        <f aca="false">IF(K264=1,SUMIFS($H$6:$H$511,$L$6:$L$511,L264,$K$6:$K$511,1),"")</f>
        <v/>
      </c>
      <c r="R264" s="78" t="str">
        <f aca="false">IF(B264="","",IF(INDEX(報告入力!$X$7:$X$696,B264)="","",INDEX(報告入力!$X$7:$X$696,B264)))</f>
        <v/>
      </c>
      <c r="S264" s="5" t="str">
        <f aca="false">設定!$C$51</f>
        <v>短期：掛金</v>
      </c>
    </row>
    <row r="265" customFormat="false" ht="15" hidden="false" customHeight="false" outlineLevel="0" collapsed="false">
      <c r="A265" s="5" t="str">
        <f aca="false">設定!B75</f>
        <v>社会福祉事業団</v>
      </c>
      <c r="B265" s="5" t="n">
        <f aca="false">IFERROR(MATCH(ホーム!$C$4&amp;"|"&amp;A265,報告入力!$CG$7:$CG$696,0),"")</f>
        <v>337</v>
      </c>
      <c r="C265" s="5" t="str">
        <f aca="false">IF(B265="","",INDEX(報告入力!$C$7:$C$696,B265))</f>
        <v>未受領</v>
      </c>
      <c r="D265" s="5" t="str">
        <f aca="false">設定!$A$40</f>
        <v>短期経理</v>
      </c>
      <c r="E265" s="5" t="str">
        <f aca="false">設定!$B$40&amp;""</f>
        <v/>
      </c>
      <c r="F265" s="5" t="str">
        <f aca="false">設定!$D$52&amp;""</f>
        <v/>
      </c>
      <c r="G265" s="5" t="str">
        <f aca="false">設定!$E$52&amp;""</f>
        <v/>
      </c>
      <c r="H265" s="5" t="n">
        <f aca="false">IF(B265="",0,N(INDEX(報告入力!$BA$7:$BA$696,B265)))</f>
        <v>1271974</v>
      </c>
      <c r="I265" s="5" t="str">
        <f aca="false">設定!$C$40&amp;""</f>
        <v/>
      </c>
      <c r="J265" s="5" t="str">
        <f aca="false">設定!$D$40&amp;""</f>
        <v/>
      </c>
      <c r="K265" s="5" t="n">
        <f aca="false">IF(AND(H265&lt;&gt;0,IF(設定!$B$6="入金確認済のみ",C265="入金確認済",OR(C265="入金確認済",C265="受領済"))),1,0)</f>
        <v>0</v>
      </c>
      <c r="L265" s="5" t="str">
        <f aca="false">2&amp;"|"&amp;15</f>
        <v>2|15</v>
      </c>
      <c r="M265" s="5" t="n">
        <f aca="false">IF(L265=L264,M264,0)+K265</f>
        <v>0</v>
      </c>
      <c r="N265" s="5" t="n">
        <f aca="false">IF(AND(K265=1,M265=1),1,0)</f>
        <v>0</v>
      </c>
      <c r="O265" s="5" t="str">
        <f aca="false">IF(K265=1,MAX($O$5:O264)+1,"")</f>
        <v/>
      </c>
      <c r="P265" s="5" t="str">
        <f aca="false">IF(K265=1,SUM($N$6:N265),"")</f>
        <v/>
      </c>
      <c r="Q265" s="5" t="str">
        <f aca="false">IF(K265=1,SUMIFS($H$6:$H$511,$L$6:$L$511,L265,$K$6:$K$511,1),"")</f>
        <v/>
      </c>
      <c r="R265" s="78" t="str">
        <f aca="false">IF(B265="","",IF(INDEX(報告入力!$X$7:$X$696,B265)="","",INDEX(報告入力!$X$7:$X$696,B265)))</f>
        <v/>
      </c>
      <c r="S265" s="5" t="str">
        <f aca="false">設定!$C$52</f>
        <v>短期：負担金</v>
      </c>
    </row>
    <row r="266" customFormat="false" ht="15" hidden="false" customHeight="false" outlineLevel="0" collapsed="false">
      <c r="A266" s="5" t="str">
        <f aca="false">設定!B76</f>
        <v>原爆障害対策協議会</v>
      </c>
      <c r="B266" s="5" t="n">
        <f aca="false">IFERROR(MATCH(ホーム!$C$4&amp;"|"&amp;A266,報告入力!$CG$7:$CG$696,0),"")</f>
        <v>338</v>
      </c>
      <c r="C266" s="5" t="str">
        <f aca="false">IF(B266="","",INDEX(報告入力!$C$7:$C$696,B266))</f>
        <v>未受領</v>
      </c>
      <c r="D266" s="5" t="str">
        <f aca="false">設定!$A$40</f>
        <v>短期経理</v>
      </c>
      <c r="E266" s="5" t="str">
        <f aca="false">設定!$B$40&amp;""</f>
        <v/>
      </c>
      <c r="F266" s="5" t="str">
        <f aca="false">設定!$D$51&amp;""</f>
        <v/>
      </c>
      <c r="G266" s="5" t="str">
        <f aca="false">設定!$E$51&amp;""</f>
        <v/>
      </c>
      <c r="H266" s="5" t="n">
        <f aca="false">IF(B266="",0,N(INDEX(報告入力!$AZ$7:$AZ$696,B266)))</f>
        <v>0</v>
      </c>
      <c r="I266" s="5" t="str">
        <f aca="false">設定!$C$40&amp;""</f>
        <v/>
      </c>
      <c r="J266" s="5" t="str">
        <f aca="false">設定!$D$40&amp;""</f>
        <v/>
      </c>
      <c r="K266" s="5" t="n">
        <f aca="false">IF(AND(H266&lt;&gt;0,IF(設定!$B$6="入金確認済のみ",C266="入金確認済",OR(C266="入金確認済",C266="受領済"))),1,0)</f>
        <v>0</v>
      </c>
      <c r="L266" s="5" t="str">
        <f aca="false">2&amp;"|"&amp;16</f>
        <v>2|16</v>
      </c>
      <c r="M266" s="5" t="n">
        <f aca="false">IF(L266=L265,M265,0)+K266</f>
        <v>0</v>
      </c>
      <c r="N266" s="5" t="n">
        <f aca="false">IF(AND(K266=1,M266=1),1,0)</f>
        <v>0</v>
      </c>
      <c r="O266" s="5" t="str">
        <f aca="false">IF(K266=1,MAX($O$5:O265)+1,"")</f>
        <v/>
      </c>
      <c r="P266" s="5" t="str">
        <f aca="false">IF(K266=1,SUM($N$6:N266),"")</f>
        <v/>
      </c>
      <c r="Q266" s="5" t="str">
        <f aca="false">IF(K266=1,SUMIFS($H$6:$H$511,$L$6:$L$511,L266,$K$6:$K$511,1),"")</f>
        <v/>
      </c>
      <c r="R266" s="78" t="str">
        <f aca="false">IF(B266="","",IF(INDEX(報告入力!$X$7:$X$696,B266)="","",INDEX(報告入力!$X$7:$X$696,B266)))</f>
        <v/>
      </c>
      <c r="S266" s="5" t="str">
        <f aca="false">設定!$C$51</f>
        <v>短期：掛金</v>
      </c>
    </row>
    <row r="267" customFormat="false" ht="15" hidden="false" customHeight="false" outlineLevel="0" collapsed="false">
      <c r="A267" s="5" t="str">
        <f aca="false">設定!B76</f>
        <v>原爆障害対策協議会</v>
      </c>
      <c r="B267" s="5" t="n">
        <f aca="false">IFERROR(MATCH(ホーム!$C$4&amp;"|"&amp;A267,報告入力!$CG$7:$CG$696,0),"")</f>
        <v>338</v>
      </c>
      <c r="C267" s="5" t="str">
        <f aca="false">IF(B267="","",INDEX(報告入力!$C$7:$C$696,B267))</f>
        <v>未受領</v>
      </c>
      <c r="D267" s="5" t="str">
        <f aca="false">設定!$A$40</f>
        <v>短期経理</v>
      </c>
      <c r="E267" s="5" t="str">
        <f aca="false">設定!$B$40&amp;""</f>
        <v/>
      </c>
      <c r="F267" s="5" t="str">
        <f aca="false">設定!$D$52&amp;""</f>
        <v/>
      </c>
      <c r="G267" s="5" t="str">
        <f aca="false">設定!$E$52&amp;""</f>
        <v/>
      </c>
      <c r="H267" s="5" t="n">
        <f aca="false">IF(B267="",0,N(INDEX(報告入力!$BA$7:$BA$696,B267)))</f>
        <v>29208</v>
      </c>
      <c r="I267" s="5" t="str">
        <f aca="false">設定!$C$40&amp;""</f>
        <v/>
      </c>
      <c r="J267" s="5" t="str">
        <f aca="false">設定!$D$40&amp;""</f>
        <v/>
      </c>
      <c r="K267" s="5" t="n">
        <f aca="false">IF(AND(H267&lt;&gt;0,IF(設定!$B$6="入金確認済のみ",C267="入金確認済",OR(C267="入金確認済",C267="受領済"))),1,0)</f>
        <v>0</v>
      </c>
      <c r="L267" s="5" t="str">
        <f aca="false">2&amp;"|"&amp;16</f>
        <v>2|16</v>
      </c>
      <c r="M267" s="5" t="n">
        <f aca="false">IF(L267=L266,M266,0)+K267</f>
        <v>0</v>
      </c>
      <c r="N267" s="5" t="n">
        <f aca="false">IF(AND(K267=1,M267=1),1,0)</f>
        <v>0</v>
      </c>
      <c r="O267" s="5" t="str">
        <f aca="false">IF(K267=1,MAX($O$5:O266)+1,"")</f>
        <v/>
      </c>
      <c r="P267" s="5" t="str">
        <f aca="false">IF(K267=1,SUM($N$6:N267),"")</f>
        <v/>
      </c>
      <c r="Q267" s="5" t="str">
        <f aca="false">IF(K267=1,SUMIFS($H$6:$H$511,$L$6:$L$511,L267,$K$6:$K$511,1),"")</f>
        <v/>
      </c>
      <c r="R267" s="78" t="str">
        <f aca="false">IF(B267="","",IF(INDEX(報告入力!$X$7:$X$696,B267)="","",INDEX(報告入力!$X$7:$X$696,B267)))</f>
        <v/>
      </c>
      <c r="S267" s="5" t="str">
        <f aca="false">設定!$C$52</f>
        <v>短期：負担金</v>
      </c>
    </row>
    <row r="268" customFormat="false" ht="15" hidden="false" customHeight="false" outlineLevel="0" collapsed="false">
      <c r="A268" s="5" t="str">
        <f aca="false">設定!B77</f>
        <v>産業振興センター</v>
      </c>
      <c r="B268" s="5" t="n">
        <f aca="false">IFERROR(MATCH(ホーム!$C$4&amp;"|"&amp;A268,報告入力!$CG$7:$CG$696,0),"")</f>
        <v>339</v>
      </c>
      <c r="C268" s="5" t="str">
        <f aca="false">IF(B268="","",INDEX(報告入力!$C$7:$C$696,B268))</f>
        <v>未受領</v>
      </c>
      <c r="D268" s="5" t="str">
        <f aca="false">設定!$A$40</f>
        <v>短期経理</v>
      </c>
      <c r="E268" s="5" t="str">
        <f aca="false">設定!$B$40&amp;""</f>
        <v/>
      </c>
      <c r="F268" s="5" t="str">
        <f aca="false">設定!$D$51&amp;""</f>
        <v/>
      </c>
      <c r="G268" s="5" t="str">
        <f aca="false">設定!$E$51&amp;""</f>
        <v/>
      </c>
      <c r="H268" s="5" t="n">
        <f aca="false">IF(B268="",0,N(INDEX(報告入力!$AZ$7:$AZ$696,B268)))</f>
        <v>0</v>
      </c>
      <c r="I268" s="5" t="str">
        <f aca="false">設定!$C$40&amp;""</f>
        <v/>
      </c>
      <c r="J268" s="5" t="str">
        <f aca="false">設定!$D$40&amp;""</f>
        <v/>
      </c>
      <c r="K268" s="5" t="n">
        <f aca="false">IF(AND(H268&lt;&gt;0,IF(設定!$B$6="入金確認済のみ",C268="入金確認済",OR(C268="入金確認済",C268="受領済"))),1,0)</f>
        <v>0</v>
      </c>
      <c r="L268" s="5" t="str">
        <f aca="false">2&amp;"|"&amp;17</f>
        <v>2|17</v>
      </c>
      <c r="M268" s="5" t="n">
        <f aca="false">IF(L268=L267,M267,0)+K268</f>
        <v>0</v>
      </c>
      <c r="N268" s="5" t="n">
        <f aca="false">IF(AND(K268=1,M268=1),1,0)</f>
        <v>0</v>
      </c>
      <c r="O268" s="5" t="str">
        <f aca="false">IF(K268=1,MAX($O$5:O267)+1,"")</f>
        <v/>
      </c>
      <c r="P268" s="5" t="str">
        <f aca="false">IF(K268=1,SUM($N$6:N268),"")</f>
        <v/>
      </c>
      <c r="Q268" s="5" t="str">
        <f aca="false">IF(K268=1,SUMIFS($H$6:$H$511,$L$6:$L$511,L268,$K$6:$K$511,1),"")</f>
        <v/>
      </c>
      <c r="R268" s="78" t="str">
        <f aca="false">IF(B268="","",IF(INDEX(報告入力!$X$7:$X$696,B268)="","",INDEX(報告入力!$X$7:$X$696,B268)))</f>
        <v/>
      </c>
      <c r="S268" s="5" t="str">
        <f aca="false">設定!$C$51</f>
        <v>短期：掛金</v>
      </c>
    </row>
    <row r="269" customFormat="false" ht="15" hidden="false" customHeight="false" outlineLevel="0" collapsed="false">
      <c r="A269" s="5" t="str">
        <f aca="false">設定!B77</f>
        <v>産業振興センター</v>
      </c>
      <c r="B269" s="5" t="n">
        <f aca="false">IFERROR(MATCH(ホーム!$C$4&amp;"|"&amp;A269,報告入力!$CG$7:$CG$696,0),"")</f>
        <v>339</v>
      </c>
      <c r="C269" s="5" t="str">
        <f aca="false">IF(B269="","",INDEX(報告入力!$C$7:$C$696,B269))</f>
        <v>未受領</v>
      </c>
      <c r="D269" s="5" t="str">
        <f aca="false">設定!$A$40</f>
        <v>短期経理</v>
      </c>
      <c r="E269" s="5" t="str">
        <f aca="false">設定!$B$40&amp;""</f>
        <v/>
      </c>
      <c r="F269" s="5" t="str">
        <f aca="false">設定!$D$52&amp;""</f>
        <v/>
      </c>
      <c r="G269" s="5" t="str">
        <f aca="false">設定!$E$52&amp;""</f>
        <v/>
      </c>
      <c r="H269" s="5" t="n">
        <f aca="false">IF(B269="",0,N(INDEX(報告入力!$BA$7:$BA$696,B269)))</f>
        <v>256260</v>
      </c>
      <c r="I269" s="5" t="str">
        <f aca="false">設定!$C$40&amp;""</f>
        <v/>
      </c>
      <c r="J269" s="5" t="str">
        <f aca="false">設定!$D$40&amp;""</f>
        <v/>
      </c>
      <c r="K269" s="5" t="n">
        <f aca="false">IF(AND(H269&lt;&gt;0,IF(設定!$B$6="入金確認済のみ",C269="入金確認済",OR(C269="入金確認済",C269="受領済"))),1,0)</f>
        <v>0</v>
      </c>
      <c r="L269" s="5" t="str">
        <f aca="false">2&amp;"|"&amp;17</f>
        <v>2|17</v>
      </c>
      <c r="M269" s="5" t="n">
        <f aca="false">IF(L269=L268,M268,0)+K269</f>
        <v>0</v>
      </c>
      <c r="N269" s="5" t="n">
        <f aca="false">IF(AND(K269=1,M269=1),1,0)</f>
        <v>0</v>
      </c>
      <c r="O269" s="5" t="str">
        <f aca="false">IF(K269=1,MAX($O$5:O268)+1,"")</f>
        <v/>
      </c>
      <c r="P269" s="5" t="str">
        <f aca="false">IF(K269=1,SUM($N$6:N269),"")</f>
        <v/>
      </c>
      <c r="Q269" s="5" t="str">
        <f aca="false">IF(K269=1,SUMIFS($H$6:$H$511,$L$6:$L$511,L269,$K$6:$K$511,1),"")</f>
        <v/>
      </c>
      <c r="R269" s="78" t="str">
        <f aca="false">IF(B269="","",IF(INDEX(報告入力!$X$7:$X$696,B269)="","",INDEX(報告入力!$X$7:$X$696,B269)))</f>
        <v/>
      </c>
      <c r="S269" s="5" t="str">
        <f aca="false">設定!$C$52</f>
        <v>短期：負担金</v>
      </c>
    </row>
    <row r="270" customFormat="false" ht="15" hidden="false" customHeight="false" outlineLevel="0" collapsed="false">
      <c r="A270" s="5" t="str">
        <f aca="false">設定!B78</f>
        <v>ひろしま産業振興</v>
      </c>
      <c r="B270" s="5" t="n">
        <f aca="false">IFERROR(MATCH(ホーム!$C$4&amp;"|"&amp;A270,報告入力!$CG$7:$CG$696,0),"")</f>
        <v>340</v>
      </c>
      <c r="C270" s="5" t="str">
        <f aca="false">IF(B270="","",INDEX(報告入力!$C$7:$C$696,B270))</f>
        <v>未受領</v>
      </c>
      <c r="D270" s="5" t="str">
        <f aca="false">設定!$A$40</f>
        <v>短期経理</v>
      </c>
      <c r="E270" s="5" t="str">
        <f aca="false">設定!$B$40&amp;""</f>
        <v/>
      </c>
      <c r="F270" s="5" t="str">
        <f aca="false">設定!$D$51&amp;""</f>
        <v/>
      </c>
      <c r="G270" s="5" t="str">
        <f aca="false">設定!$E$51&amp;""</f>
        <v/>
      </c>
      <c r="H270" s="5" t="n">
        <f aca="false">IF(B270="",0,N(INDEX(報告入力!$AZ$7:$AZ$696,B270)))</f>
        <v>0</v>
      </c>
      <c r="I270" s="5" t="str">
        <f aca="false">設定!$C$40&amp;""</f>
        <v/>
      </c>
      <c r="J270" s="5" t="str">
        <f aca="false">設定!$D$40&amp;""</f>
        <v/>
      </c>
      <c r="K270" s="5" t="n">
        <f aca="false">IF(AND(H270&lt;&gt;0,IF(設定!$B$6="入金確認済のみ",C270="入金確認済",OR(C270="入金確認済",C270="受領済"))),1,0)</f>
        <v>0</v>
      </c>
      <c r="L270" s="5" t="str">
        <f aca="false">2&amp;"|"&amp;18</f>
        <v>2|18</v>
      </c>
      <c r="M270" s="5" t="n">
        <f aca="false">IF(L270=L269,M269,0)+K270</f>
        <v>0</v>
      </c>
      <c r="N270" s="5" t="n">
        <f aca="false">IF(AND(K270=1,M270=1),1,0)</f>
        <v>0</v>
      </c>
      <c r="O270" s="5" t="str">
        <f aca="false">IF(K270=1,MAX($O$5:O269)+1,"")</f>
        <v/>
      </c>
      <c r="P270" s="5" t="str">
        <f aca="false">IF(K270=1,SUM($N$6:N270),"")</f>
        <v/>
      </c>
      <c r="Q270" s="5" t="str">
        <f aca="false">IF(K270=1,SUMIFS($H$6:$H$511,$L$6:$L$511,L270,$K$6:$K$511,1),"")</f>
        <v/>
      </c>
      <c r="R270" s="78" t="str">
        <f aca="false">IF(B270="","",IF(INDEX(報告入力!$X$7:$X$696,B270)="","",INDEX(報告入力!$X$7:$X$696,B270)))</f>
        <v/>
      </c>
      <c r="S270" s="5" t="str">
        <f aca="false">設定!$C$51</f>
        <v>短期：掛金</v>
      </c>
    </row>
    <row r="271" customFormat="false" ht="15" hidden="false" customHeight="false" outlineLevel="0" collapsed="false">
      <c r="A271" s="5" t="str">
        <f aca="false">設定!B78</f>
        <v>ひろしま産業振興</v>
      </c>
      <c r="B271" s="5" t="n">
        <f aca="false">IFERROR(MATCH(ホーム!$C$4&amp;"|"&amp;A271,報告入力!$CG$7:$CG$696,0),"")</f>
        <v>340</v>
      </c>
      <c r="C271" s="5" t="str">
        <f aca="false">IF(B271="","",INDEX(報告入力!$C$7:$C$696,B271))</f>
        <v>未受領</v>
      </c>
      <c r="D271" s="5" t="str">
        <f aca="false">設定!$A$40</f>
        <v>短期経理</v>
      </c>
      <c r="E271" s="5" t="str">
        <f aca="false">設定!$B$40&amp;""</f>
        <v/>
      </c>
      <c r="F271" s="5" t="str">
        <f aca="false">設定!$D$52&amp;""</f>
        <v/>
      </c>
      <c r="G271" s="5" t="str">
        <f aca="false">設定!$E$52&amp;""</f>
        <v/>
      </c>
      <c r="H271" s="5" t="n">
        <f aca="false">IF(B271="",0,N(INDEX(報告入力!$BA$7:$BA$696,B271)))</f>
        <v>51803</v>
      </c>
      <c r="I271" s="5" t="str">
        <f aca="false">設定!$C$40&amp;""</f>
        <v/>
      </c>
      <c r="J271" s="5" t="str">
        <f aca="false">設定!$D$40&amp;""</f>
        <v/>
      </c>
      <c r="K271" s="5" t="n">
        <f aca="false">IF(AND(H271&lt;&gt;0,IF(設定!$B$6="入金確認済のみ",C271="入金確認済",OR(C271="入金確認済",C271="受領済"))),1,0)</f>
        <v>0</v>
      </c>
      <c r="L271" s="5" t="str">
        <f aca="false">2&amp;"|"&amp;18</f>
        <v>2|18</v>
      </c>
      <c r="M271" s="5" t="n">
        <f aca="false">IF(L271=L270,M270,0)+K271</f>
        <v>0</v>
      </c>
      <c r="N271" s="5" t="n">
        <f aca="false">IF(AND(K271=1,M271=1),1,0)</f>
        <v>0</v>
      </c>
      <c r="O271" s="5" t="str">
        <f aca="false">IF(K271=1,MAX($O$5:O270)+1,"")</f>
        <v/>
      </c>
      <c r="P271" s="5" t="str">
        <f aca="false">IF(K271=1,SUM($N$6:N271),"")</f>
        <v/>
      </c>
      <c r="Q271" s="5" t="str">
        <f aca="false">IF(K271=1,SUMIFS($H$6:$H$511,$L$6:$L$511,L271,$K$6:$K$511,1),"")</f>
        <v/>
      </c>
      <c r="R271" s="78" t="str">
        <f aca="false">IF(B271="","",IF(INDEX(報告入力!$X$7:$X$696,B271)="","",INDEX(報告入力!$X$7:$X$696,B271)))</f>
        <v/>
      </c>
      <c r="S271" s="5" t="str">
        <f aca="false">設定!$C$52</f>
        <v>短期：負担金</v>
      </c>
    </row>
    <row r="272" customFormat="false" ht="15" hidden="false" customHeight="false" outlineLevel="0" collapsed="false">
      <c r="A272" s="5" t="str">
        <f aca="false">設定!B79</f>
        <v>都市整備公社　市</v>
      </c>
      <c r="B272" s="5" t="n">
        <f aca="false">IFERROR(MATCH(ホーム!$C$4&amp;"|"&amp;A272,報告入力!$CG$7:$CG$696,0),"")</f>
        <v>341</v>
      </c>
      <c r="C272" s="5" t="str">
        <f aca="false">IF(B272="","",INDEX(報告入力!$C$7:$C$696,B272))</f>
        <v>未受領</v>
      </c>
      <c r="D272" s="5" t="str">
        <f aca="false">設定!$A$40</f>
        <v>短期経理</v>
      </c>
      <c r="E272" s="5" t="str">
        <f aca="false">設定!$B$40&amp;""</f>
        <v/>
      </c>
      <c r="F272" s="5" t="str">
        <f aca="false">設定!$D$51&amp;""</f>
        <v/>
      </c>
      <c r="G272" s="5" t="str">
        <f aca="false">設定!$E$51&amp;""</f>
        <v/>
      </c>
      <c r="H272" s="5" t="n">
        <f aca="false">IF(B272="",0,N(INDEX(報告入力!$AZ$7:$AZ$696,B272)))</f>
        <v>0</v>
      </c>
      <c r="I272" s="5" t="str">
        <f aca="false">設定!$C$40&amp;""</f>
        <v/>
      </c>
      <c r="J272" s="5" t="str">
        <f aca="false">設定!$D$40&amp;""</f>
        <v/>
      </c>
      <c r="K272" s="5" t="n">
        <f aca="false">IF(AND(H272&lt;&gt;0,IF(設定!$B$6="入金確認済のみ",C272="入金確認済",OR(C272="入金確認済",C272="受領済"))),1,0)</f>
        <v>0</v>
      </c>
      <c r="L272" s="5" t="str">
        <f aca="false">2&amp;"|"&amp;19</f>
        <v>2|19</v>
      </c>
      <c r="M272" s="5" t="n">
        <f aca="false">IF(L272=L271,M271,0)+K272</f>
        <v>0</v>
      </c>
      <c r="N272" s="5" t="n">
        <f aca="false">IF(AND(K272=1,M272=1),1,0)</f>
        <v>0</v>
      </c>
      <c r="O272" s="5" t="str">
        <f aca="false">IF(K272=1,MAX($O$5:O271)+1,"")</f>
        <v/>
      </c>
      <c r="P272" s="5" t="str">
        <f aca="false">IF(K272=1,SUM($N$6:N272),"")</f>
        <v/>
      </c>
      <c r="Q272" s="5" t="str">
        <f aca="false">IF(K272=1,SUMIFS($H$6:$H$511,$L$6:$L$511,L272,$K$6:$K$511,1),"")</f>
        <v/>
      </c>
      <c r="R272" s="78" t="str">
        <f aca="false">IF(B272="","",IF(INDEX(報告入力!$X$7:$X$696,B272)="","",INDEX(報告入力!$X$7:$X$696,B272)))</f>
        <v/>
      </c>
      <c r="S272" s="5" t="str">
        <f aca="false">設定!$C$51</f>
        <v>短期：掛金</v>
      </c>
    </row>
    <row r="273" customFormat="false" ht="15" hidden="false" customHeight="false" outlineLevel="0" collapsed="false">
      <c r="A273" s="5" t="str">
        <f aca="false">設定!B79</f>
        <v>都市整備公社　市</v>
      </c>
      <c r="B273" s="5" t="n">
        <f aca="false">IFERROR(MATCH(ホーム!$C$4&amp;"|"&amp;A273,報告入力!$CG$7:$CG$696,0),"")</f>
        <v>341</v>
      </c>
      <c r="C273" s="5" t="str">
        <f aca="false">IF(B273="","",INDEX(報告入力!$C$7:$C$696,B273))</f>
        <v>未受領</v>
      </c>
      <c r="D273" s="5" t="str">
        <f aca="false">設定!$A$40</f>
        <v>短期経理</v>
      </c>
      <c r="E273" s="5" t="str">
        <f aca="false">設定!$B$40&amp;""</f>
        <v/>
      </c>
      <c r="F273" s="5" t="str">
        <f aca="false">設定!$D$52&amp;""</f>
        <v/>
      </c>
      <c r="G273" s="5" t="str">
        <f aca="false">設定!$E$52&amp;""</f>
        <v/>
      </c>
      <c r="H273" s="5" t="n">
        <f aca="false">IF(B273="",0,N(INDEX(報告入力!$BA$7:$BA$696,B273)))</f>
        <v>29208</v>
      </c>
      <c r="I273" s="5" t="str">
        <f aca="false">設定!$C$40&amp;""</f>
        <v/>
      </c>
      <c r="J273" s="5" t="str">
        <f aca="false">設定!$D$40&amp;""</f>
        <v/>
      </c>
      <c r="K273" s="5" t="n">
        <f aca="false">IF(AND(H273&lt;&gt;0,IF(設定!$B$6="入金確認済のみ",C273="入金確認済",OR(C273="入金確認済",C273="受領済"))),1,0)</f>
        <v>0</v>
      </c>
      <c r="L273" s="5" t="str">
        <f aca="false">2&amp;"|"&amp;19</f>
        <v>2|19</v>
      </c>
      <c r="M273" s="5" t="n">
        <f aca="false">IF(L273=L272,M272,0)+K273</f>
        <v>0</v>
      </c>
      <c r="N273" s="5" t="n">
        <f aca="false">IF(AND(K273=1,M273=1),1,0)</f>
        <v>0</v>
      </c>
      <c r="O273" s="5" t="str">
        <f aca="false">IF(K273=1,MAX($O$5:O272)+1,"")</f>
        <v/>
      </c>
      <c r="P273" s="5" t="str">
        <f aca="false">IF(K273=1,SUM($N$6:N273),"")</f>
        <v/>
      </c>
      <c r="Q273" s="5" t="str">
        <f aca="false">IF(K273=1,SUMIFS($H$6:$H$511,$L$6:$L$511,L273,$K$6:$K$511,1),"")</f>
        <v/>
      </c>
      <c r="R273" s="78" t="str">
        <f aca="false">IF(B273="","",IF(INDEX(報告入力!$X$7:$X$696,B273)="","",INDEX(報告入力!$X$7:$X$696,B273)))</f>
        <v/>
      </c>
      <c r="S273" s="5" t="str">
        <f aca="false">設定!$C$52</f>
        <v>短期：負担金</v>
      </c>
    </row>
    <row r="274" customFormat="false" ht="15" hidden="false" customHeight="false" outlineLevel="0" collapsed="false">
      <c r="A274" s="5" t="str">
        <f aca="false">設定!B80</f>
        <v>都市整備公社　消防</v>
      </c>
      <c r="B274" s="5" t="n">
        <f aca="false">IFERROR(MATCH(ホーム!$C$4&amp;"|"&amp;A274,報告入力!$CG$7:$CG$696,0),"")</f>
        <v>342</v>
      </c>
      <c r="C274" s="5" t="str">
        <f aca="false">IF(B274="","",INDEX(報告入力!$C$7:$C$696,B274))</f>
        <v>未受領</v>
      </c>
      <c r="D274" s="5" t="str">
        <f aca="false">設定!$A$40</f>
        <v>短期経理</v>
      </c>
      <c r="E274" s="5" t="str">
        <f aca="false">設定!$B$40&amp;""</f>
        <v/>
      </c>
      <c r="F274" s="5" t="str">
        <f aca="false">設定!$D$51&amp;""</f>
        <v/>
      </c>
      <c r="G274" s="5" t="str">
        <f aca="false">設定!$E$51&amp;""</f>
        <v/>
      </c>
      <c r="H274" s="5" t="n">
        <f aca="false">IF(B274="",0,N(INDEX(報告入力!$AZ$7:$AZ$696,B274)))</f>
        <v>0</v>
      </c>
      <c r="I274" s="5" t="str">
        <f aca="false">設定!$C$40&amp;""</f>
        <v/>
      </c>
      <c r="J274" s="5" t="str">
        <f aca="false">設定!$D$40&amp;""</f>
        <v/>
      </c>
      <c r="K274" s="5" t="n">
        <f aca="false">IF(AND(H274&lt;&gt;0,IF(設定!$B$6="入金確認済のみ",C274="入金確認済",OR(C274="入金確認済",C274="受領済"))),1,0)</f>
        <v>0</v>
      </c>
      <c r="L274" s="5" t="str">
        <f aca="false">2&amp;"|"&amp;20</f>
        <v>2|20</v>
      </c>
      <c r="M274" s="5" t="n">
        <f aca="false">IF(L274=L273,M273,0)+K274</f>
        <v>0</v>
      </c>
      <c r="N274" s="5" t="n">
        <f aca="false">IF(AND(K274=1,M274=1),1,0)</f>
        <v>0</v>
      </c>
      <c r="O274" s="5" t="str">
        <f aca="false">IF(K274=1,MAX($O$5:O273)+1,"")</f>
        <v/>
      </c>
      <c r="P274" s="5" t="str">
        <f aca="false">IF(K274=1,SUM($N$6:N274),"")</f>
        <v/>
      </c>
      <c r="Q274" s="5" t="str">
        <f aca="false">IF(K274=1,SUMIFS($H$6:$H$511,$L$6:$L$511,L274,$K$6:$K$511,1),"")</f>
        <v/>
      </c>
      <c r="R274" s="78" t="str">
        <f aca="false">IF(B274="","",IF(INDEX(報告入力!$X$7:$X$696,B274)="","",INDEX(報告入力!$X$7:$X$696,B274)))</f>
        <v/>
      </c>
      <c r="S274" s="5" t="str">
        <f aca="false">設定!$C$51</f>
        <v>短期：掛金</v>
      </c>
    </row>
    <row r="275" customFormat="false" ht="15" hidden="false" customHeight="false" outlineLevel="0" collapsed="false">
      <c r="A275" s="5" t="str">
        <f aca="false">設定!B80</f>
        <v>都市整備公社　消防</v>
      </c>
      <c r="B275" s="5" t="n">
        <f aca="false">IFERROR(MATCH(ホーム!$C$4&amp;"|"&amp;A275,報告入力!$CG$7:$CG$696,0),"")</f>
        <v>342</v>
      </c>
      <c r="C275" s="5" t="str">
        <f aca="false">IF(B275="","",INDEX(報告入力!$C$7:$C$696,B275))</f>
        <v>未受領</v>
      </c>
      <c r="D275" s="5" t="str">
        <f aca="false">設定!$A$40</f>
        <v>短期経理</v>
      </c>
      <c r="E275" s="5" t="str">
        <f aca="false">設定!$B$40&amp;""</f>
        <v/>
      </c>
      <c r="F275" s="5" t="str">
        <f aca="false">設定!$D$52&amp;""</f>
        <v/>
      </c>
      <c r="G275" s="5" t="str">
        <f aca="false">設定!$E$52&amp;""</f>
        <v/>
      </c>
      <c r="H275" s="5" t="n">
        <f aca="false">IF(B275="",0,N(INDEX(報告入力!$BA$7:$BA$696,B275)))</f>
        <v>74949</v>
      </c>
      <c r="I275" s="5" t="str">
        <f aca="false">設定!$C$40&amp;""</f>
        <v/>
      </c>
      <c r="J275" s="5" t="str">
        <f aca="false">設定!$D$40&amp;""</f>
        <v/>
      </c>
      <c r="K275" s="5" t="n">
        <f aca="false">IF(AND(H275&lt;&gt;0,IF(設定!$B$6="入金確認済のみ",C275="入金確認済",OR(C275="入金確認済",C275="受領済"))),1,0)</f>
        <v>0</v>
      </c>
      <c r="L275" s="5" t="str">
        <f aca="false">2&amp;"|"&amp;20</f>
        <v>2|20</v>
      </c>
      <c r="M275" s="5" t="n">
        <f aca="false">IF(L275=L274,M274,0)+K275</f>
        <v>0</v>
      </c>
      <c r="N275" s="5" t="n">
        <f aca="false">IF(AND(K275=1,M275=1),1,0)</f>
        <v>0</v>
      </c>
      <c r="O275" s="5" t="str">
        <f aca="false">IF(K275=1,MAX($O$5:O274)+1,"")</f>
        <v/>
      </c>
      <c r="P275" s="5" t="str">
        <f aca="false">IF(K275=1,SUM($N$6:N275),"")</f>
        <v/>
      </c>
      <c r="Q275" s="5" t="str">
        <f aca="false">IF(K275=1,SUMIFS($H$6:$H$511,$L$6:$L$511,L275,$K$6:$K$511,1),"")</f>
        <v/>
      </c>
      <c r="R275" s="78" t="str">
        <f aca="false">IF(B275="","",IF(INDEX(報告入力!$X$7:$X$696,B275)="","",INDEX(報告入力!$X$7:$X$696,B275)))</f>
        <v/>
      </c>
      <c r="S275" s="5" t="str">
        <f aca="false">設定!$C$52</f>
        <v>短期：負担金</v>
      </c>
    </row>
    <row r="276" customFormat="false" ht="15" hidden="false" customHeight="false" outlineLevel="0" collapsed="false">
      <c r="A276" s="5" t="str">
        <f aca="false">設定!B81</f>
        <v>日本下水道事業団</v>
      </c>
      <c r="B276" s="5" t="n">
        <f aca="false">IFERROR(MATCH(ホーム!$C$4&amp;"|"&amp;A276,報告入力!$CG$7:$CG$696,0),"")</f>
        <v>343</v>
      </c>
      <c r="C276" s="5" t="str">
        <f aca="false">IF(B276="","",INDEX(報告入力!$C$7:$C$696,B276))</f>
        <v>受領済</v>
      </c>
      <c r="D276" s="5" t="str">
        <f aca="false">設定!$A$40</f>
        <v>短期経理</v>
      </c>
      <c r="E276" s="5" t="str">
        <f aca="false">設定!$B$40&amp;""</f>
        <v/>
      </c>
      <c r="F276" s="5" t="str">
        <f aca="false">設定!$D$51&amp;""</f>
        <v/>
      </c>
      <c r="G276" s="5" t="str">
        <f aca="false">設定!$E$51&amp;""</f>
        <v/>
      </c>
      <c r="H276" s="5" t="n">
        <f aca="false">IF(B276="",0,N(INDEX(報告入力!$AZ$7:$AZ$696,B276)))</f>
        <v>140021</v>
      </c>
      <c r="I276" s="5" t="str">
        <f aca="false">設定!$C$40&amp;""</f>
        <v/>
      </c>
      <c r="J276" s="5" t="str">
        <f aca="false">設定!$D$40&amp;""</f>
        <v/>
      </c>
      <c r="K276" s="5" t="n">
        <f aca="false">IF(AND(H276&lt;&gt;0,IF(設定!$B$6="入金確認済のみ",C276="入金確認済",OR(C276="入金確認済",C276="受領済"))),1,0)</f>
        <v>0</v>
      </c>
      <c r="L276" s="5" t="str">
        <f aca="false">2&amp;"|"&amp;21</f>
        <v>2|21</v>
      </c>
      <c r="M276" s="5" t="n">
        <f aca="false">IF(L276=L275,M275,0)+K276</f>
        <v>0</v>
      </c>
      <c r="N276" s="5" t="n">
        <f aca="false">IF(AND(K276=1,M276=1),1,0)</f>
        <v>0</v>
      </c>
      <c r="O276" s="5" t="str">
        <f aca="false">IF(K276=1,MAX($O$5:O275)+1,"")</f>
        <v/>
      </c>
      <c r="P276" s="5" t="str">
        <f aca="false">IF(K276=1,SUM($N$6:N276),"")</f>
        <v/>
      </c>
      <c r="Q276" s="5" t="str">
        <f aca="false">IF(K276=1,SUMIFS($H$6:$H$511,$L$6:$L$511,L276,$K$6:$K$511,1),"")</f>
        <v/>
      </c>
      <c r="R276" s="78" t="str">
        <f aca="false">IF(B276="","",IF(INDEX(報告入力!$X$7:$X$696,B276)="","",INDEX(報告入力!$X$7:$X$696,B276)))</f>
        <v/>
      </c>
      <c r="S276" s="5" t="str">
        <f aca="false">設定!$C$51</f>
        <v>短期：掛金</v>
      </c>
    </row>
    <row r="277" customFormat="false" ht="15" hidden="false" customHeight="false" outlineLevel="0" collapsed="false">
      <c r="A277" s="5" t="str">
        <f aca="false">設定!B81</f>
        <v>日本下水道事業団</v>
      </c>
      <c r="B277" s="5" t="n">
        <f aca="false">IFERROR(MATCH(ホーム!$C$4&amp;"|"&amp;A277,報告入力!$CG$7:$CG$696,0),"")</f>
        <v>343</v>
      </c>
      <c r="C277" s="5" t="str">
        <f aca="false">IF(B277="","",INDEX(報告入力!$C$7:$C$696,B277))</f>
        <v>受領済</v>
      </c>
      <c r="D277" s="5" t="str">
        <f aca="false">設定!$A$40</f>
        <v>短期経理</v>
      </c>
      <c r="E277" s="5" t="str">
        <f aca="false">設定!$B$40&amp;""</f>
        <v/>
      </c>
      <c r="F277" s="5" t="str">
        <f aca="false">設定!$D$52&amp;""</f>
        <v/>
      </c>
      <c r="G277" s="5" t="str">
        <f aca="false">設定!$E$52&amp;""</f>
        <v/>
      </c>
      <c r="H277" s="5" t="n">
        <f aca="false">IF(B277="",0,N(INDEX(報告入力!$BA$7:$BA$696,B277)))</f>
        <v>140157</v>
      </c>
      <c r="I277" s="5" t="str">
        <f aca="false">設定!$C$40&amp;""</f>
        <v/>
      </c>
      <c r="J277" s="5" t="str">
        <f aca="false">設定!$D$40&amp;""</f>
        <v/>
      </c>
      <c r="K277" s="5" t="n">
        <f aca="false">IF(AND(H277&lt;&gt;0,IF(設定!$B$6="入金確認済のみ",C277="入金確認済",OR(C277="入金確認済",C277="受領済"))),1,0)</f>
        <v>0</v>
      </c>
      <c r="L277" s="5" t="str">
        <f aca="false">2&amp;"|"&amp;21</f>
        <v>2|21</v>
      </c>
      <c r="M277" s="5" t="n">
        <f aca="false">IF(L277=L276,M276,0)+K277</f>
        <v>0</v>
      </c>
      <c r="N277" s="5" t="n">
        <f aca="false">IF(AND(K277=1,M277=1),1,0)</f>
        <v>0</v>
      </c>
      <c r="O277" s="5" t="str">
        <f aca="false">IF(K277=1,MAX($O$5:O276)+1,"")</f>
        <v/>
      </c>
      <c r="P277" s="5" t="str">
        <f aca="false">IF(K277=1,SUM($N$6:N277),"")</f>
        <v/>
      </c>
      <c r="Q277" s="5" t="str">
        <f aca="false">IF(K277=1,SUMIFS($H$6:$H$511,$L$6:$L$511,L277,$K$6:$K$511,1),"")</f>
        <v/>
      </c>
      <c r="R277" s="78" t="str">
        <f aca="false">IF(B277="","",IF(INDEX(報告入力!$X$7:$X$696,B277)="","",INDEX(報告入力!$X$7:$X$696,B277)))</f>
        <v/>
      </c>
      <c r="S277" s="5" t="str">
        <f aca="false">設定!$C$52</f>
        <v>短期：負担金</v>
      </c>
    </row>
    <row r="278" customFormat="false" ht="15" hidden="false" customHeight="false" outlineLevel="0" collapsed="false">
      <c r="A278" s="5" t="str">
        <f aca="false">設定!B82</f>
        <v>地方公務員災害補償基金本部</v>
      </c>
      <c r="B278" s="5" t="n">
        <f aca="false">IFERROR(MATCH(ホーム!$C$4&amp;"|"&amp;A278,報告入力!$CG$7:$CG$696,0),"")</f>
        <v>344</v>
      </c>
      <c r="C278" s="5" t="str">
        <f aca="false">IF(B278="","",INDEX(報告入力!$C$7:$C$696,B278))</f>
        <v>受領済</v>
      </c>
      <c r="D278" s="5" t="str">
        <f aca="false">設定!$A$40</f>
        <v>短期経理</v>
      </c>
      <c r="E278" s="5" t="str">
        <f aca="false">設定!$B$40&amp;""</f>
        <v/>
      </c>
      <c r="F278" s="5" t="str">
        <f aca="false">設定!$D$51&amp;""</f>
        <v/>
      </c>
      <c r="G278" s="5" t="str">
        <f aca="false">設定!$E$51&amp;""</f>
        <v/>
      </c>
      <c r="H278" s="5" t="n">
        <f aca="false">IF(B278="",0,N(INDEX(報告入力!$AZ$7:$AZ$696,B278)))</f>
        <v>24374</v>
      </c>
      <c r="I278" s="5" t="str">
        <f aca="false">設定!$C$40&amp;""</f>
        <v/>
      </c>
      <c r="J278" s="5" t="str">
        <f aca="false">設定!$D$40&amp;""</f>
        <v/>
      </c>
      <c r="K278" s="5" t="n">
        <f aca="false">IF(AND(H278&lt;&gt;0,IF(設定!$B$6="入金確認済のみ",C278="入金確認済",OR(C278="入金確認済",C278="受領済"))),1,0)</f>
        <v>0</v>
      </c>
      <c r="L278" s="5" t="str">
        <f aca="false">2&amp;"|"&amp;22</f>
        <v>2|22</v>
      </c>
      <c r="M278" s="5" t="n">
        <f aca="false">IF(L278=L277,M277,0)+K278</f>
        <v>0</v>
      </c>
      <c r="N278" s="5" t="n">
        <f aca="false">IF(AND(K278=1,M278=1),1,0)</f>
        <v>0</v>
      </c>
      <c r="O278" s="5" t="str">
        <f aca="false">IF(K278=1,MAX($O$5:O277)+1,"")</f>
        <v/>
      </c>
      <c r="P278" s="5" t="str">
        <f aca="false">IF(K278=1,SUM($N$6:N278),"")</f>
        <v/>
      </c>
      <c r="Q278" s="5" t="str">
        <f aca="false">IF(K278=1,SUMIFS($H$6:$H$511,$L$6:$L$511,L278,$K$6:$K$511,1),"")</f>
        <v/>
      </c>
      <c r="R278" s="78" t="str">
        <f aca="false">IF(B278="","",IF(INDEX(報告入力!$X$7:$X$696,B278)="","",INDEX(報告入力!$X$7:$X$696,B278)))</f>
        <v/>
      </c>
      <c r="S278" s="5" t="str">
        <f aca="false">設定!$C$51</f>
        <v>短期：掛金</v>
      </c>
    </row>
    <row r="279" customFormat="false" ht="15" hidden="false" customHeight="false" outlineLevel="0" collapsed="false">
      <c r="A279" s="5" t="str">
        <f aca="false">設定!B82</f>
        <v>地方公務員災害補償基金本部</v>
      </c>
      <c r="B279" s="5" t="n">
        <f aca="false">IFERROR(MATCH(ホーム!$C$4&amp;"|"&amp;A279,報告入力!$CG$7:$CG$696,0),"")</f>
        <v>344</v>
      </c>
      <c r="C279" s="5" t="str">
        <f aca="false">IF(B279="","",INDEX(報告入力!$C$7:$C$696,B279))</f>
        <v>受領済</v>
      </c>
      <c r="D279" s="5" t="str">
        <f aca="false">設定!$A$40</f>
        <v>短期経理</v>
      </c>
      <c r="E279" s="5" t="str">
        <f aca="false">設定!$B$40&amp;""</f>
        <v/>
      </c>
      <c r="F279" s="5" t="str">
        <f aca="false">設定!$D$52&amp;""</f>
        <v/>
      </c>
      <c r="G279" s="5" t="str">
        <f aca="false">設定!$E$52&amp;""</f>
        <v/>
      </c>
      <c r="H279" s="5" t="n">
        <f aca="false">IF(B279="",0,N(INDEX(報告入力!$BA$7:$BA$696,B279)))</f>
        <v>24397</v>
      </c>
      <c r="I279" s="5" t="str">
        <f aca="false">設定!$C$40&amp;""</f>
        <v/>
      </c>
      <c r="J279" s="5" t="str">
        <f aca="false">設定!$D$40&amp;""</f>
        <v/>
      </c>
      <c r="K279" s="5" t="n">
        <f aca="false">IF(AND(H279&lt;&gt;0,IF(設定!$B$6="入金確認済のみ",C279="入金確認済",OR(C279="入金確認済",C279="受領済"))),1,0)</f>
        <v>0</v>
      </c>
      <c r="L279" s="5" t="str">
        <f aca="false">2&amp;"|"&amp;22</f>
        <v>2|22</v>
      </c>
      <c r="M279" s="5" t="n">
        <f aca="false">IF(L279=L278,M278,0)+K279</f>
        <v>0</v>
      </c>
      <c r="N279" s="5" t="n">
        <f aca="false">IF(AND(K279=1,M279=1),1,0)</f>
        <v>0</v>
      </c>
      <c r="O279" s="5" t="str">
        <f aca="false">IF(K279=1,MAX($O$5:O278)+1,"")</f>
        <v/>
      </c>
      <c r="P279" s="5" t="str">
        <f aca="false">IF(K279=1,SUM($N$6:N279),"")</f>
        <v/>
      </c>
      <c r="Q279" s="5" t="str">
        <f aca="false">IF(K279=1,SUMIFS($H$6:$H$511,$L$6:$L$511,L279,$K$6:$K$511,1),"")</f>
        <v/>
      </c>
      <c r="R279" s="78" t="str">
        <f aca="false">IF(B279="","",IF(INDEX(報告入力!$X$7:$X$696,B279)="","",INDEX(報告入力!$X$7:$X$696,B279)))</f>
        <v/>
      </c>
      <c r="S279" s="5" t="str">
        <f aca="false">設定!$C$52</f>
        <v>短期：負担金</v>
      </c>
    </row>
    <row r="280" customFormat="false" ht="15" hidden="false" customHeight="false" outlineLevel="0" collapsed="false">
      <c r="A280" s="5" t="str">
        <f aca="false">設定!B83</f>
        <v>救急振興財団</v>
      </c>
      <c r="B280" s="5" t="n">
        <f aca="false">IFERROR(MATCH(ホーム!$C$4&amp;"|"&amp;A280,報告入力!$CG$7:$CG$696,0),"")</f>
        <v>345</v>
      </c>
      <c r="C280" s="5" t="str">
        <f aca="false">IF(B280="","",INDEX(報告入力!$C$7:$C$696,B280))</f>
        <v>未受領</v>
      </c>
      <c r="D280" s="5" t="str">
        <f aca="false">設定!$A$40</f>
        <v>短期経理</v>
      </c>
      <c r="E280" s="5" t="str">
        <f aca="false">設定!$B$40&amp;""</f>
        <v/>
      </c>
      <c r="F280" s="5" t="str">
        <f aca="false">設定!$D$51&amp;""</f>
        <v/>
      </c>
      <c r="G280" s="5" t="str">
        <f aca="false">設定!$E$51&amp;""</f>
        <v/>
      </c>
      <c r="H280" s="5" t="n">
        <f aca="false">IF(B280="",0,N(INDEX(報告入力!$AZ$7:$AZ$696,B280)))</f>
        <v>61610</v>
      </c>
      <c r="I280" s="5" t="str">
        <f aca="false">設定!$C$40&amp;""</f>
        <v/>
      </c>
      <c r="J280" s="5" t="str">
        <f aca="false">設定!$D$40&amp;""</f>
        <v/>
      </c>
      <c r="K280" s="5" t="n">
        <f aca="false">IF(AND(H280&lt;&gt;0,IF(設定!$B$6="入金確認済のみ",C280="入金確認済",OR(C280="入金確認済",C280="受領済"))),1,0)</f>
        <v>0</v>
      </c>
      <c r="L280" s="5" t="str">
        <f aca="false">2&amp;"|"&amp;23</f>
        <v>2|23</v>
      </c>
      <c r="M280" s="5" t="n">
        <f aca="false">IF(L280=L279,M279,0)+K280</f>
        <v>0</v>
      </c>
      <c r="N280" s="5" t="n">
        <f aca="false">IF(AND(K280=1,M280=1),1,0)</f>
        <v>0</v>
      </c>
      <c r="O280" s="5" t="str">
        <f aca="false">IF(K280=1,MAX($O$5:O279)+1,"")</f>
        <v/>
      </c>
      <c r="P280" s="5" t="str">
        <f aca="false">IF(K280=1,SUM($N$6:N280),"")</f>
        <v/>
      </c>
      <c r="Q280" s="5" t="str">
        <f aca="false">IF(K280=1,SUMIFS($H$6:$H$511,$L$6:$L$511,L280,$K$6:$K$511,1),"")</f>
        <v/>
      </c>
      <c r="R280" s="78" t="str">
        <f aca="false">IF(B280="","",IF(INDEX(報告入力!$X$7:$X$696,B280)="","",INDEX(報告入力!$X$7:$X$696,B280)))</f>
        <v/>
      </c>
      <c r="S280" s="5" t="str">
        <f aca="false">設定!$C$51</f>
        <v>短期：掛金</v>
      </c>
    </row>
    <row r="281" customFormat="false" ht="15" hidden="false" customHeight="false" outlineLevel="0" collapsed="false">
      <c r="A281" s="5" t="str">
        <f aca="false">設定!B83</f>
        <v>救急振興財団</v>
      </c>
      <c r="B281" s="5" t="n">
        <f aca="false">IFERROR(MATCH(ホーム!$C$4&amp;"|"&amp;A281,報告入力!$CG$7:$CG$696,0),"")</f>
        <v>345</v>
      </c>
      <c r="C281" s="5" t="str">
        <f aca="false">IF(B281="","",INDEX(報告入力!$C$7:$C$696,B281))</f>
        <v>未受領</v>
      </c>
      <c r="D281" s="5" t="str">
        <f aca="false">設定!$A$40</f>
        <v>短期経理</v>
      </c>
      <c r="E281" s="5" t="str">
        <f aca="false">設定!$B$40&amp;""</f>
        <v/>
      </c>
      <c r="F281" s="5" t="str">
        <f aca="false">設定!$D$52&amp;""</f>
        <v/>
      </c>
      <c r="G281" s="5" t="str">
        <f aca="false">設定!$E$52&amp;""</f>
        <v/>
      </c>
      <c r="H281" s="5" t="n">
        <f aca="false">IF(B281="",0,N(INDEX(報告入力!$BA$7:$BA$696,B281)))</f>
        <v>61723</v>
      </c>
      <c r="I281" s="5" t="str">
        <f aca="false">設定!$C$40&amp;""</f>
        <v/>
      </c>
      <c r="J281" s="5" t="str">
        <f aca="false">設定!$D$40&amp;""</f>
        <v/>
      </c>
      <c r="K281" s="5" t="n">
        <f aca="false">IF(AND(H281&lt;&gt;0,IF(設定!$B$6="入金確認済のみ",C281="入金確認済",OR(C281="入金確認済",C281="受領済"))),1,0)</f>
        <v>0</v>
      </c>
      <c r="L281" s="5" t="str">
        <f aca="false">2&amp;"|"&amp;23</f>
        <v>2|23</v>
      </c>
      <c r="M281" s="5" t="n">
        <f aca="false">IF(L281=L280,M280,0)+K281</f>
        <v>0</v>
      </c>
      <c r="N281" s="5" t="n">
        <f aca="false">IF(AND(K281=1,M281=1),1,0)</f>
        <v>0</v>
      </c>
      <c r="O281" s="5" t="str">
        <f aca="false">IF(K281=1,MAX($O$5:O280)+1,"")</f>
        <v/>
      </c>
      <c r="P281" s="5" t="str">
        <f aca="false">IF(K281=1,SUM($N$6:N281),"")</f>
        <v/>
      </c>
      <c r="Q281" s="5" t="str">
        <f aca="false">IF(K281=1,SUMIFS($H$6:$H$511,$L$6:$L$511,L281,$K$6:$K$511,1),"")</f>
        <v/>
      </c>
      <c r="R281" s="78" t="str">
        <f aca="false">IF(B281="","",IF(INDEX(報告入力!$X$7:$X$696,B281)="","",INDEX(報告入力!$X$7:$X$696,B281)))</f>
        <v/>
      </c>
      <c r="S281" s="5" t="str">
        <f aca="false">設定!$C$52</f>
        <v>短期：負担金</v>
      </c>
    </row>
    <row r="282" customFormat="false" ht="15" hidden="false" customHeight="false" outlineLevel="0" collapsed="false">
      <c r="A282" s="5" t="str">
        <f aca="false">設定!B84</f>
        <v>高速道路公社</v>
      </c>
      <c r="B282" s="5" t="n">
        <f aca="false">IFERROR(MATCH(ホーム!$C$4&amp;"|"&amp;A282,報告入力!$CG$7:$CG$696,0),"")</f>
        <v>346</v>
      </c>
      <c r="C282" s="5" t="str">
        <f aca="false">IF(B282="","",INDEX(報告入力!$C$7:$C$696,B282))</f>
        <v>未受領</v>
      </c>
      <c r="D282" s="5" t="str">
        <f aca="false">設定!$A$40</f>
        <v>短期経理</v>
      </c>
      <c r="E282" s="5" t="str">
        <f aca="false">設定!$B$40&amp;""</f>
        <v/>
      </c>
      <c r="F282" s="5" t="str">
        <f aca="false">設定!$D$51&amp;""</f>
        <v/>
      </c>
      <c r="G282" s="5" t="str">
        <f aca="false">設定!$E$51&amp;""</f>
        <v/>
      </c>
      <c r="H282" s="5" t="n">
        <f aca="false">IF(B282="",0,N(INDEX(報告入力!$AZ$7:$AZ$696,B282)))</f>
        <v>548442</v>
      </c>
      <c r="I282" s="5" t="str">
        <f aca="false">設定!$C$40&amp;""</f>
        <v/>
      </c>
      <c r="J282" s="5" t="str">
        <f aca="false">設定!$D$40&amp;""</f>
        <v/>
      </c>
      <c r="K282" s="5" t="n">
        <f aca="false">IF(AND(H282&lt;&gt;0,IF(設定!$B$6="入金確認済のみ",C282="入金確認済",OR(C282="入金確認済",C282="受領済"))),1,0)</f>
        <v>0</v>
      </c>
      <c r="L282" s="5" t="str">
        <f aca="false">2&amp;"|"&amp;24</f>
        <v>2|24</v>
      </c>
      <c r="M282" s="5" t="n">
        <f aca="false">IF(L282=L281,M281,0)+K282</f>
        <v>0</v>
      </c>
      <c r="N282" s="5" t="n">
        <f aca="false">IF(AND(K282=1,M282=1),1,0)</f>
        <v>0</v>
      </c>
      <c r="O282" s="5" t="str">
        <f aca="false">IF(K282=1,MAX($O$5:O281)+1,"")</f>
        <v/>
      </c>
      <c r="P282" s="5" t="str">
        <f aca="false">IF(K282=1,SUM($N$6:N282),"")</f>
        <v/>
      </c>
      <c r="Q282" s="5" t="str">
        <f aca="false">IF(K282=1,SUMIFS($H$6:$H$511,$L$6:$L$511,L282,$K$6:$K$511,1),"")</f>
        <v/>
      </c>
      <c r="R282" s="78" t="str">
        <f aca="false">IF(B282="","",IF(INDEX(報告入力!$X$7:$X$696,B282)="","",INDEX(報告入力!$X$7:$X$696,B282)))</f>
        <v/>
      </c>
      <c r="S282" s="5" t="str">
        <f aca="false">設定!$C$51</f>
        <v>短期：掛金</v>
      </c>
    </row>
    <row r="283" customFormat="false" ht="15" hidden="false" customHeight="false" outlineLevel="0" collapsed="false">
      <c r="A283" s="5" t="str">
        <f aca="false">設定!B84</f>
        <v>高速道路公社</v>
      </c>
      <c r="B283" s="5" t="n">
        <f aca="false">IFERROR(MATCH(ホーム!$C$4&amp;"|"&amp;A283,報告入力!$CG$7:$CG$696,0),"")</f>
        <v>346</v>
      </c>
      <c r="C283" s="5" t="str">
        <f aca="false">IF(B283="","",INDEX(報告入力!$C$7:$C$696,B283))</f>
        <v>未受領</v>
      </c>
      <c r="D283" s="5" t="str">
        <f aca="false">設定!$A$40</f>
        <v>短期経理</v>
      </c>
      <c r="E283" s="5" t="str">
        <f aca="false">設定!$B$40&amp;""</f>
        <v/>
      </c>
      <c r="F283" s="5" t="str">
        <f aca="false">設定!$D$52&amp;""</f>
        <v/>
      </c>
      <c r="G283" s="5" t="str">
        <f aca="false">設定!$E$52&amp;""</f>
        <v/>
      </c>
      <c r="H283" s="5" t="n">
        <f aca="false">IF(B283="",0,N(INDEX(報告入力!$BA$7:$BA$696,B283)))</f>
        <v>549446</v>
      </c>
      <c r="I283" s="5" t="str">
        <f aca="false">設定!$C$40&amp;""</f>
        <v/>
      </c>
      <c r="J283" s="5" t="str">
        <f aca="false">設定!$D$40&amp;""</f>
        <v/>
      </c>
      <c r="K283" s="5" t="n">
        <f aca="false">IF(AND(H283&lt;&gt;0,IF(設定!$B$6="入金確認済のみ",C283="入金確認済",OR(C283="入金確認済",C283="受領済"))),1,0)</f>
        <v>0</v>
      </c>
      <c r="L283" s="5" t="str">
        <f aca="false">2&amp;"|"&amp;24</f>
        <v>2|24</v>
      </c>
      <c r="M283" s="5" t="n">
        <f aca="false">IF(L283=L282,M282,0)+K283</f>
        <v>0</v>
      </c>
      <c r="N283" s="5" t="n">
        <f aca="false">IF(AND(K283=1,M283=1),1,0)</f>
        <v>0</v>
      </c>
      <c r="O283" s="5" t="str">
        <f aca="false">IF(K283=1,MAX($O$5:O282)+1,"")</f>
        <v/>
      </c>
      <c r="P283" s="5" t="str">
        <f aca="false">IF(K283=1,SUM($N$6:N283),"")</f>
        <v/>
      </c>
      <c r="Q283" s="5" t="str">
        <f aca="false">IF(K283=1,SUMIFS($H$6:$H$511,$L$6:$L$511,L283,$K$6:$K$511,1),"")</f>
        <v/>
      </c>
      <c r="R283" s="78" t="str">
        <f aca="false">IF(B283="","",IF(INDEX(報告入力!$X$7:$X$696,B283)="","",INDEX(報告入力!$X$7:$X$696,B283)))</f>
        <v/>
      </c>
      <c r="S283" s="5" t="str">
        <f aca="false">設定!$C$52</f>
        <v>短期：負担金</v>
      </c>
    </row>
    <row r="284" customFormat="false" ht="15" hidden="false" customHeight="false" outlineLevel="0" collapsed="false">
      <c r="A284" s="5" t="str">
        <f aca="false">設定!B85</f>
        <v>農林水産振興センタ</v>
      </c>
      <c r="B284" s="5" t="n">
        <f aca="false">IFERROR(MATCH(ホーム!$C$4&amp;"|"&amp;A284,報告入力!$CG$7:$CG$696,0),"")</f>
        <v>347</v>
      </c>
      <c r="C284" s="5" t="str">
        <f aca="false">IF(B284="","",INDEX(報告入力!$C$7:$C$696,B284))</f>
        <v>未受領</v>
      </c>
      <c r="D284" s="5" t="str">
        <f aca="false">設定!$A$40</f>
        <v>短期経理</v>
      </c>
      <c r="E284" s="5" t="str">
        <f aca="false">設定!$B$40&amp;""</f>
        <v/>
      </c>
      <c r="F284" s="5" t="str">
        <f aca="false">設定!$D$51&amp;""</f>
        <v/>
      </c>
      <c r="G284" s="5" t="str">
        <f aca="false">設定!$E$51&amp;""</f>
        <v/>
      </c>
      <c r="H284" s="5" t="n">
        <f aca="false">IF(B284="",0,N(INDEX(報告入力!$AZ$7:$AZ$696,B284)))</f>
        <v>0</v>
      </c>
      <c r="I284" s="5" t="str">
        <f aca="false">設定!$C$40&amp;""</f>
        <v/>
      </c>
      <c r="J284" s="5" t="str">
        <f aca="false">設定!$D$40&amp;""</f>
        <v/>
      </c>
      <c r="K284" s="5" t="n">
        <f aca="false">IF(AND(H284&lt;&gt;0,IF(設定!$B$6="入金確認済のみ",C284="入金確認済",OR(C284="入金確認済",C284="受領済"))),1,0)</f>
        <v>0</v>
      </c>
      <c r="L284" s="5" t="str">
        <f aca="false">2&amp;"|"&amp;25</f>
        <v>2|25</v>
      </c>
      <c r="M284" s="5" t="n">
        <f aca="false">IF(L284=L283,M283,0)+K284</f>
        <v>0</v>
      </c>
      <c r="N284" s="5" t="n">
        <f aca="false">IF(AND(K284=1,M284=1),1,0)</f>
        <v>0</v>
      </c>
      <c r="O284" s="5" t="str">
        <f aca="false">IF(K284=1,MAX($O$5:O283)+1,"")</f>
        <v/>
      </c>
      <c r="P284" s="5" t="str">
        <f aca="false">IF(K284=1,SUM($N$6:N284),"")</f>
        <v/>
      </c>
      <c r="Q284" s="5" t="str">
        <f aca="false">IF(K284=1,SUMIFS($H$6:$H$511,$L$6:$L$511,L284,$K$6:$K$511,1),"")</f>
        <v/>
      </c>
      <c r="R284" s="78" t="str">
        <f aca="false">IF(B284="","",IF(INDEX(報告入力!$X$7:$X$696,B284)="","",INDEX(報告入力!$X$7:$X$696,B284)))</f>
        <v/>
      </c>
      <c r="S284" s="5" t="str">
        <f aca="false">設定!$C$51</f>
        <v>短期：掛金</v>
      </c>
    </row>
    <row r="285" customFormat="false" ht="15" hidden="false" customHeight="false" outlineLevel="0" collapsed="false">
      <c r="A285" s="5" t="str">
        <f aca="false">設定!B85</f>
        <v>農林水産振興センタ</v>
      </c>
      <c r="B285" s="5" t="n">
        <f aca="false">IFERROR(MATCH(ホーム!$C$4&amp;"|"&amp;A285,報告入力!$CG$7:$CG$696,0),"")</f>
        <v>347</v>
      </c>
      <c r="C285" s="5" t="str">
        <f aca="false">IF(B285="","",INDEX(報告入力!$C$7:$C$696,B285))</f>
        <v>未受領</v>
      </c>
      <c r="D285" s="5" t="str">
        <f aca="false">設定!$A$40</f>
        <v>短期経理</v>
      </c>
      <c r="E285" s="5" t="str">
        <f aca="false">設定!$B$40&amp;""</f>
        <v/>
      </c>
      <c r="F285" s="5" t="str">
        <f aca="false">設定!$D$52&amp;""</f>
        <v/>
      </c>
      <c r="G285" s="5" t="str">
        <f aca="false">設定!$E$52&amp;""</f>
        <v/>
      </c>
      <c r="H285" s="5" t="n">
        <f aca="false">IF(B285="",0,N(INDEX(報告入力!$BA$7:$BA$696,B285)))</f>
        <v>362070</v>
      </c>
      <c r="I285" s="5" t="str">
        <f aca="false">設定!$C$40&amp;""</f>
        <v/>
      </c>
      <c r="J285" s="5" t="str">
        <f aca="false">設定!$D$40&amp;""</f>
        <v/>
      </c>
      <c r="K285" s="5" t="n">
        <f aca="false">IF(AND(H285&lt;&gt;0,IF(設定!$B$6="入金確認済のみ",C285="入金確認済",OR(C285="入金確認済",C285="受領済"))),1,0)</f>
        <v>0</v>
      </c>
      <c r="L285" s="5" t="str">
        <f aca="false">2&amp;"|"&amp;25</f>
        <v>2|25</v>
      </c>
      <c r="M285" s="5" t="n">
        <f aca="false">IF(L285=L284,M284,0)+K285</f>
        <v>0</v>
      </c>
      <c r="N285" s="5" t="n">
        <f aca="false">IF(AND(K285=1,M285=1),1,0)</f>
        <v>0</v>
      </c>
      <c r="O285" s="5" t="str">
        <f aca="false">IF(K285=1,MAX($O$5:O284)+1,"")</f>
        <v/>
      </c>
      <c r="P285" s="5" t="str">
        <f aca="false">IF(K285=1,SUM($N$6:N285),"")</f>
        <v/>
      </c>
      <c r="Q285" s="5" t="str">
        <f aca="false">IF(K285=1,SUMIFS($H$6:$H$511,$L$6:$L$511,L285,$K$6:$K$511,1),"")</f>
        <v/>
      </c>
      <c r="R285" s="78" t="str">
        <f aca="false">IF(B285="","",IF(INDEX(報告入力!$X$7:$X$696,B285)="","",INDEX(報告入力!$X$7:$X$696,B285)))</f>
        <v/>
      </c>
      <c r="S285" s="5" t="str">
        <f aca="false">設定!$C$52</f>
        <v>短期：負担金</v>
      </c>
    </row>
    <row r="286" customFormat="false" ht="15" hidden="false" customHeight="false" outlineLevel="0" collapsed="false">
      <c r="A286" s="5" t="str">
        <f aca="false">設定!B86</f>
        <v>文化財団　市長部局</v>
      </c>
      <c r="B286" s="5" t="n">
        <f aca="false">IFERROR(MATCH(ホーム!$C$4&amp;"|"&amp;A286,報告入力!$CG$7:$CG$696,0),"")</f>
        <v>348</v>
      </c>
      <c r="C286" s="5" t="str">
        <f aca="false">IF(B286="","",INDEX(報告入力!$C$7:$C$696,B286))</f>
        <v>未受領</v>
      </c>
      <c r="D286" s="5" t="str">
        <f aca="false">設定!$A$40</f>
        <v>短期経理</v>
      </c>
      <c r="E286" s="5" t="str">
        <f aca="false">設定!$B$40&amp;""</f>
        <v/>
      </c>
      <c r="F286" s="5" t="str">
        <f aca="false">設定!$D$51&amp;""</f>
        <v/>
      </c>
      <c r="G286" s="5" t="str">
        <f aca="false">設定!$E$51&amp;""</f>
        <v/>
      </c>
      <c r="H286" s="5" t="n">
        <f aca="false">IF(B286="",0,N(INDEX(報告入力!$AZ$7:$AZ$696,B286)))</f>
        <v>0</v>
      </c>
      <c r="I286" s="5" t="str">
        <f aca="false">設定!$C$40&amp;""</f>
        <v/>
      </c>
      <c r="J286" s="5" t="str">
        <f aca="false">設定!$D$40&amp;""</f>
        <v/>
      </c>
      <c r="K286" s="5" t="n">
        <f aca="false">IF(AND(H286&lt;&gt;0,IF(設定!$B$6="入金確認済のみ",C286="入金確認済",OR(C286="入金確認済",C286="受領済"))),1,0)</f>
        <v>0</v>
      </c>
      <c r="L286" s="5" t="str">
        <f aca="false">2&amp;"|"&amp;26</f>
        <v>2|26</v>
      </c>
      <c r="M286" s="5" t="n">
        <f aca="false">IF(L286=L285,M285,0)+K286</f>
        <v>0</v>
      </c>
      <c r="N286" s="5" t="n">
        <f aca="false">IF(AND(K286=1,M286=1),1,0)</f>
        <v>0</v>
      </c>
      <c r="O286" s="5" t="str">
        <f aca="false">IF(K286=1,MAX($O$5:O285)+1,"")</f>
        <v/>
      </c>
      <c r="P286" s="5" t="str">
        <f aca="false">IF(K286=1,SUM($N$6:N286),"")</f>
        <v/>
      </c>
      <c r="Q286" s="5" t="str">
        <f aca="false">IF(K286=1,SUMIFS($H$6:$H$511,$L$6:$L$511,L286,$K$6:$K$511,1),"")</f>
        <v/>
      </c>
      <c r="R286" s="78" t="str">
        <f aca="false">IF(B286="","",IF(INDEX(報告入力!$X$7:$X$696,B286)="","",INDEX(報告入力!$X$7:$X$696,B286)))</f>
        <v/>
      </c>
      <c r="S286" s="5" t="str">
        <f aca="false">設定!$C$51</f>
        <v>短期：掛金</v>
      </c>
    </row>
    <row r="287" customFormat="false" ht="15" hidden="false" customHeight="false" outlineLevel="0" collapsed="false">
      <c r="A287" s="5" t="str">
        <f aca="false">設定!B86</f>
        <v>文化財団　市長部局</v>
      </c>
      <c r="B287" s="5" t="n">
        <f aca="false">IFERROR(MATCH(ホーム!$C$4&amp;"|"&amp;A287,報告入力!$CG$7:$CG$696,0),"")</f>
        <v>348</v>
      </c>
      <c r="C287" s="5" t="str">
        <f aca="false">IF(B287="","",INDEX(報告入力!$C$7:$C$696,B287))</f>
        <v>未受領</v>
      </c>
      <c r="D287" s="5" t="str">
        <f aca="false">設定!$A$40</f>
        <v>短期経理</v>
      </c>
      <c r="E287" s="5" t="str">
        <f aca="false">設定!$B$40&amp;""</f>
        <v/>
      </c>
      <c r="F287" s="5" t="str">
        <f aca="false">設定!$D$52&amp;""</f>
        <v/>
      </c>
      <c r="G287" s="5" t="str">
        <f aca="false">設定!$E$52&amp;""</f>
        <v/>
      </c>
      <c r="H287" s="5" t="n">
        <f aca="false">IF(B287="",0,N(INDEX(報告入力!$BA$7:$BA$696,B287)))</f>
        <v>698790</v>
      </c>
      <c r="I287" s="5" t="str">
        <f aca="false">設定!$C$40&amp;""</f>
        <v/>
      </c>
      <c r="J287" s="5" t="str">
        <f aca="false">設定!$D$40&amp;""</f>
        <v/>
      </c>
      <c r="K287" s="5" t="n">
        <f aca="false">IF(AND(H287&lt;&gt;0,IF(設定!$B$6="入金確認済のみ",C287="入金確認済",OR(C287="入金確認済",C287="受領済"))),1,0)</f>
        <v>0</v>
      </c>
      <c r="L287" s="5" t="str">
        <f aca="false">2&amp;"|"&amp;26</f>
        <v>2|26</v>
      </c>
      <c r="M287" s="5" t="n">
        <f aca="false">IF(L287=L286,M286,0)+K287</f>
        <v>0</v>
      </c>
      <c r="N287" s="5" t="n">
        <f aca="false">IF(AND(K287=1,M287=1),1,0)</f>
        <v>0</v>
      </c>
      <c r="O287" s="5" t="str">
        <f aca="false">IF(K287=1,MAX($O$5:O286)+1,"")</f>
        <v/>
      </c>
      <c r="P287" s="5" t="str">
        <f aca="false">IF(K287=1,SUM($N$6:N287),"")</f>
        <v/>
      </c>
      <c r="Q287" s="5" t="str">
        <f aca="false">IF(K287=1,SUMIFS($H$6:$H$511,$L$6:$L$511,L287,$K$6:$K$511,1),"")</f>
        <v/>
      </c>
      <c r="R287" s="78" t="str">
        <f aca="false">IF(B287="","",IF(INDEX(報告入力!$X$7:$X$696,B287)="","",INDEX(報告入力!$X$7:$X$696,B287)))</f>
        <v/>
      </c>
      <c r="S287" s="5" t="str">
        <f aca="false">設定!$C$52</f>
        <v>短期：負担金</v>
      </c>
    </row>
    <row r="288" customFormat="false" ht="15" hidden="false" customHeight="false" outlineLevel="0" collapsed="false">
      <c r="A288" s="5" t="str">
        <f aca="false">設定!B87</f>
        <v>文化財団　教育委員会</v>
      </c>
      <c r="B288" s="5" t="n">
        <f aca="false">IFERROR(MATCH(ホーム!$C$4&amp;"|"&amp;A288,報告入力!$CG$7:$CG$696,0),"")</f>
        <v>349</v>
      </c>
      <c r="C288" s="5" t="str">
        <f aca="false">IF(B288="","",INDEX(報告入力!$C$7:$C$696,B288))</f>
        <v>未受領</v>
      </c>
      <c r="D288" s="5" t="str">
        <f aca="false">設定!$A$40</f>
        <v>短期経理</v>
      </c>
      <c r="E288" s="5" t="str">
        <f aca="false">設定!$B$40&amp;""</f>
        <v/>
      </c>
      <c r="F288" s="5" t="str">
        <f aca="false">設定!$D$51&amp;""</f>
        <v/>
      </c>
      <c r="G288" s="5" t="str">
        <f aca="false">設定!$E$51&amp;""</f>
        <v/>
      </c>
      <c r="H288" s="5" t="n">
        <f aca="false">IF(B288="",0,N(INDEX(報告入力!$AZ$7:$AZ$696,B288)))</f>
        <v>0</v>
      </c>
      <c r="I288" s="5" t="str">
        <f aca="false">設定!$C$40&amp;""</f>
        <v/>
      </c>
      <c r="J288" s="5" t="str">
        <f aca="false">設定!$D$40&amp;""</f>
        <v/>
      </c>
      <c r="K288" s="5" t="n">
        <f aca="false">IF(AND(H288&lt;&gt;0,IF(設定!$B$6="入金確認済のみ",C288="入金確認済",OR(C288="入金確認済",C288="受領済"))),1,0)</f>
        <v>0</v>
      </c>
      <c r="L288" s="5" t="str">
        <f aca="false">2&amp;"|"&amp;27</f>
        <v>2|27</v>
      </c>
      <c r="M288" s="5" t="n">
        <f aca="false">IF(L288=L287,M287,0)+K288</f>
        <v>0</v>
      </c>
      <c r="N288" s="5" t="n">
        <f aca="false">IF(AND(K288=1,M288=1),1,0)</f>
        <v>0</v>
      </c>
      <c r="O288" s="5" t="str">
        <f aca="false">IF(K288=1,MAX($O$5:O287)+1,"")</f>
        <v/>
      </c>
      <c r="P288" s="5" t="str">
        <f aca="false">IF(K288=1,SUM($N$6:N288),"")</f>
        <v/>
      </c>
      <c r="Q288" s="5" t="str">
        <f aca="false">IF(K288=1,SUMIFS($H$6:$H$511,$L$6:$L$511,L288,$K$6:$K$511,1),"")</f>
        <v/>
      </c>
      <c r="R288" s="78" t="str">
        <f aca="false">IF(B288="","",IF(INDEX(報告入力!$X$7:$X$696,B288)="","",INDEX(報告入力!$X$7:$X$696,B288)))</f>
        <v/>
      </c>
      <c r="S288" s="5" t="str">
        <f aca="false">設定!$C$51</f>
        <v>短期：掛金</v>
      </c>
    </row>
    <row r="289" customFormat="false" ht="15" hidden="false" customHeight="false" outlineLevel="0" collapsed="false">
      <c r="A289" s="5" t="str">
        <f aca="false">設定!B87</f>
        <v>文化財団　教育委員会</v>
      </c>
      <c r="B289" s="5" t="n">
        <f aca="false">IFERROR(MATCH(ホーム!$C$4&amp;"|"&amp;A289,報告入力!$CG$7:$CG$696,0),"")</f>
        <v>349</v>
      </c>
      <c r="C289" s="5" t="str">
        <f aca="false">IF(B289="","",INDEX(報告入力!$C$7:$C$696,B289))</f>
        <v>未受領</v>
      </c>
      <c r="D289" s="5" t="str">
        <f aca="false">設定!$A$40</f>
        <v>短期経理</v>
      </c>
      <c r="E289" s="5" t="str">
        <f aca="false">設定!$B$40&amp;""</f>
        <v/>
      </c>
      <c r="F289" s="5" t="str">
        <f aca="false">設定!$D$52&amp;""</f>
        <v/>
      </c>
      <c r="G289" s="5" t="str">
        <f aca="false">設定!$E$52&amp;""</f>
        <v/>
      </c>
      <c r="H289" s="5" t="n">
        <f aca="false">IF(B289="",0,N(INDEX(報告入力!$BA$7:$BA$696,B289)))</f>
        <v>0</v>
      </c>
      <c r="I289" s="5" t="str">
        <f aca="false">設定!$C$40&amp;""</f>
        <v/>
      </c>
      <c r="J289" s="5" t="str">
        <f aca="false">設定!$D$40&amp;""</f>
        <v/>
      </c>
      <c r="K289" s="5" t="n">
        <f aca="false">IF(AND(H289&lt;&gt;0,IF(設定!$B$6="入金確認済のみ",C289="入金確認済",OR(C289="入金確認済",C289="受領済"))),1,0)</f>
        <v>0</v>
      </c>
      <c r="L289" s="5" t="str">
        <f aca="false">2&amp;"|"&amp;27</f>
        <v>2|27</v>
      </c>
      <c r="M289" s="5" t="n">
        <f aca="false">IF(L289=L288,M288,0)+K289</f>
        <v>0</v>
      </c>
      <c r="N289" s="5" t="n">
        <f aca="false">IF(AND(K289=1,M289=1),1,0)</f>
        <v>0</v>
      </c>
      <c r="O289" s="5" t="str">
        <f aca="false">IF(K289=1,MAX($O$5:O288)+1,"")</f>
        <v/>
      </c>
      <c r="P289" s="5" t="str">
        <f aca="false">IF(K289=1,SUM($N$6:N289),"")</f>
        <v/>
      </c>
      <c r="Q289" s="5" t="str">
        <f aca="false">IF(K289=1,SUMIFS($H$6:$H$511,$L$6:$L$511,L289,$K$6:$K$511,1),"")</f>
        <v/>
      </c>
      <c r="R289" s="78" t="str">
        <f aca="false">IF(B289="","",IF(INDEX(報告入力!$X$7:$X$696,B289)="","",INDEX(報告入力!$X$7:$X$696,B289)))</f>
        <v/>
      </c>
      <c r="S289" s="5" t="str">
        <f aca="false">設定!$C$52</f>
        <v>短期：負担金</v>
      </c>
    </row>
    <row r="290" customFormat="false" ht="15" hidden="false" customHeight="false" outlineLevel="0" collapsed="false">
      <c r="A290" s="5" t="str">
        <f aca="false">設定!B88</f>
        <v>みどり生きもの協会</v>
      </c>
      <c r="B290" s="5" t="n">
        <f aca="false">IFERROR(MATCH(ホーム!$C$4&amp;"|"&amp;A290,報告入力!$CG$7:$CG$696,0),"")</f>
        <v>350</v>
      </c>
      <c r="C290" s="5" t="str">
        <f aca="false">IF(B290="","",INDEX(報告入力!$C$7:$C$696,B290))</f>
        <v>未受領</v>
      </c>
      <c r="D290" s="5" t="str">
        <f aca="false">設定!$A$40</f>
        <v>短期経理</v>
      </c>
      <c r="E290" s="5" t="str">
        <f aca="false">設定!$B$40&amp;""</f>
        <v/>
      </c>
      <c r="F290" s="5" t="str">
        <f aca="false">設定!$D$51&amp;""</f>
        <v/>
      </c>
      <c r="G290" s="5" t="str">
        <f aca="false">設定!$E$51&amp;""</f>
        <v/>
      </c>
      <c r="H290" s="5" t="n">
        <f aca="false">IF(B290="",0,N(INDEX(報告入力!$AZ$7:$AZ$696,B290)))</f>
        <v>0</v>
      </c>
      <c r="I290" s="5" t="str">
        <f aca="false">設定!$C$40&amp;""</f>
        <v/>
      </c>
      <c r="J290" s="5" t="str">
        <f aca="false">設定!$D$40&amp;""</f>
        <v/>
      </c>
      <c r="K290" s="5" t="n">
        <f aca="false">IF(AND(H290&lt;&gt;0,IF(設定!$B$6="入金確認済のみ",C290="入金確認済",OR(C290="入金確認済",C290="受領済"))),1,0)</f>
        <v>0</v>
      </c>
      <c r="L290" s="5" t="str">
        <f aca="false">2&amp;"|"&amp;28</f>
        <v>2|28</v>
      </c>
      <c r="M290" s="5" t="n">
        <f aca="false">IF(L290=L289,M289,0)+K290</f>
        <v>0</v>
      </c>
      <c r="N290" s="5" t="n">
        <f aca="false">IF(AND(K290=1,M290=1),1,0)</f>
        <v>0</v>
      </c>
      <c r="O290" s="5" t="str">
        <f aca="false">IF(K290=1,MAX($O$5:O289)+1,"")</f>
        <v/>
      </c>
      <c r="P290" s="5" t="str">
        <f aca="false">IF(K290=1,SUM($N$6:N290),"")</f>
        <v/>
      </c>
      <c r="Q290" s="5" t="str">
        <f aca="false">IF(K290=1,SUMIFS($H$6:$H$511,$L$6:$L$511,L290,$K$6:$K$511,1),"")</f>
        <v/>
      </c>
      <c r="R290" s="78" t="str">
        <f aca="false">IF(B290="","",IF(INDEX(報告入力!$X$7:$X$696,B290)="","",INDEX(報告入力!$X$7:$X$696,B290)))</f>
        <v/>
      </c>
      <c r="S290" s="5" t="str">
        <f aca="false">設定!$C$51</f>
        <v>短期：掛金</v>
      </c>
    </row>
    <row r="291" customFormat="false" ht="15" hidden="false" customHeight="false" outlineLevel="0" collapsed="false">
      <c r="A291" s="5" t="str">
        <f aca="false">設定!B88</f>
        <v>みどり生きもの協会</v>
      </c>
      <c r="B291" s="5" t="n">
        <f aca="false">IFERROR(MATCH(ホーム!$C$4&amp;"|"&amp;A291,報告入力!$CG$7:$CG$696,0),"")</f>
        <v>350</v>
      </c>
      <c r="C291" s="5" t="str">
        <f aca="false">IF(B291="","",INDEX(報告入力!$C$7:$C$696,B291))</f>
        <v>未受領</v>
      </c>
      <c r="D291" s="5" t="str">
        <f aca="false">設定!$A$40</f>
        <v>短期経理</v>
      </c>
      <c r="E291" s="5" t="str">
        <f aca="false">設定!$B$40&amp;""</f>
        <v/>
      </c>
      <c r="F291" s="5" t="str">
        <f aca="false">設定!$D$52&amp;""</f>
        <v/>
      </c>
      <c r="G291" s="5" t="str">
        <f aca="false">設定!$E$52&amp;""</f>
        <v/>
      </c>
      <c r="H291" s="5" t="n">
        <f aca="false">IF(B291="",0,N(INDEX(報告入力!$BA$7:$BA$696,B291)))</f>
        <v>237523</v>
      </c>
      <c r="I291" s="5" t="str">
        <f aca="false">設定!$C$40&amp;""</f>
        <v/>
      </c>
      <c r="J291" s="5" t="str">
        <f aca="false">設定!$D$40&amp;""</f>
        <v/>
      </c>
      <c r="K291" s="5" t="n">
        <f aca="false">IF(AND(H291&lt;&gt;0,IF(設定!$B$6="入金確認済のみ",C291="入金確認済",OR(C291="入金確認済",C291="受領済"))),1,0)</f>
        <v>0</v>
      </c>
      <c r="L291" s="5" t="str">
        <f aca="false">2&amp;"|"&amp;28</f>
        <v>2|28</v>
      </c>
      <c r="M291" s="5" t="n">
        <f aca="false">IF(L291=L290,M290,0)+K291</f>
        <v>0</v>
      </c>
      <c r="N291" s="5" t="n">
        <f aca="false">IF(AND(K291=1,M291=1),1,0)</f>
        <v>0</v>
      </c>
      <c r="O291" s="5" t="str">
        <f aca="false">IF(K291=1,MAX($O$5:O290)+1,"")</f>
        <v/>
      </c>
      <c r="P291" s="5" t="str">
        <f aca="false">IF(K291=1,SUM($N$6:N291),"")</f>
        <v/>
      </c>
      <c r="Q291" s="5" t="str">
        <f aca="false">IF(K291=1,SUMIFS($H$6:$H$511,$L$6:$L$511,L291,$K$6:$K$511,1),"")</f>
        <v/>
      </c>
      <c r="R291" s="78" t="str">
        <f aca="false">IF(B291="","",IF(INDEX(報告入力!$X$7:$X$696,B291)="","",INDEX(報告入力!$X$7:$X$696,B291)))</f>
        <v/>
      </c>
      <c r="S291" s="5" t="str">
        <f aca="false">設定!$C$52</f>
        <v>短期：負担金</v>
      </c>
    </row>
    <row r="292" customFormat="false" ht="15" hidden="false" customHeight="false" outlineLevel="0" collapsed="false">
      <c r="A292" s="5" t="str">
        <f aca="false">設定!B89</f>
        <v>県下水道公社</v>
      </c>
      <c r="B292" s="5" t="n">
        <f aca="false">IFERROR(MATCH(ホーム!$C$4&amp;"|"&amp;A292,報告入力!$CG$7:$CG$696,0),"")</f>
        <v>351</v>
      </c>
      <c r="C292" s="5" t="str">
        <f aca="false">IF(B292="","",INDEX(報告入力!$C$7:$C$696,B292))</f>
        <v>未受領</v>
      </c>
      <c r="D292" s="5" t="str">
        <f aca="false">設定!$A$40</f>
        <v>短期経理</v>
      </c>
      <c r="E292" s="5" t="str">
        <f aca="false">設定!$B$40&amp;""</f>
        <v/>
      </c>
      <c r="F292" s="5" t="str">
        <f aca="false">設定!$D$51&amp;""</f>
        <v/>
      </c>
      <c r="G292" s="5" t="str">
        <f aca="false">設定!$E$51&amp;""</f>
        <v/>
      </c>
      <c r="H292" s="5" t="n">
        <f aca="false">IF(B292="",0,N(INDEX(報告入力!$AZ$7:$AZ$696,B292)))</f>
        <v>82514</v>
      </c>
      <c r="I292" s="5" t="str">
        <f aca="false">設定!$C$40&amp;""</f>
        <v/>
      </c>
      <c r="J292" s="5" t="str">
        <f aca="false">設定!$D$40&amp;""</f>
        <v/>
      </c>
      <c r="K292" s="5" t="n">
        <f aca="false">IF(AND(H292&lt;&gt;0,IF(設定!$B$6="入金確認済のみ",C292="入金確認済",OR(C292="入金確認済",C292="受領済"))),1,0)</f>
        <v>0</v>
      </c>
      <c r="L292" s="5" t="str">
        <f aca="false">2&amp;"|"&amp;29</f>
        <v>2|29</v>
      </c>
      <c r="M292" s="5" t="n">
        <f aca="false">IF(L292=L291,M291,0)+K292</f>
        <v>0</v>
      </c>
      <c r="N292" s="5" t="n">
        <f aca="false">IF(AND(K292=1,M292=1),1,0)</f>
        <v>0</v>
      </c>
      <c r="O292" s="5" t="str">
        <f aca="false">IF(K292=1,MAX($O$5:O291)+1,"")</f>
        <v/>
      </c>
      <c r="P292" s="5" t="str">
        <f aca="false">IF(K292=1,SUM($N$6:N292),"")</f>
        <v/>
      </c>
      <c r="Q292" s="5" t="str">
        <f aca="false">IF(K292=1,SUMIFS($H$6:$H$511,$L$6:$L$511,L292,$K$6:$K$511,1),"")</f>
        <v/>
      </c>
      <c r="R292" s="78" t="str">
        <f aca="false">IF(B292="","",IF(INDEX(報告入力!$X$7:$X$696,B292)="","",INDEX(報告入力!$X$7:$X$696,B292)))</f>
        <v/>
      </c>
      <c r="S292" s="5" t="str">
        <f aca="false">設定!$C$51</f>
        <v>短期：掛金</v>
      </c>
    </row>
    <row r="293" customFormat="false" ht="15" hidden="false" customHeight="false" outlineLevel="0" collapsed="false">
      <c r="A293" s="5" t="str">
        <f aca="false">設定!B89</f>
        <v>県下水道公社</v>
      </c>
      <c r="B293" s="5" t="n">
        <f aca="false">IFERROR(MATCH(ホーム!$C$4&amp;"|"&amp;A293,報告入力!$CG$7:$CG$696,0),"")</f>
        <v>351</v>
      </c>
      <c r="C293" s="5" t="str">
        <f aca="false">IF(B293="","",INDEX(報告入力!$C$7:$C$696,B293))</f>
        <v>未受領</v>
      </c>
      <c r="D293" s="5" t="str">
        <f aca="false">設定!$A$40</f>
        <v>短期経理</v>
      </c>
      <c r="E293" s="5" t="str">
        <f aca="false">設定!$B$40&amp;""</f>
        <v/>
      </c>
      <c r="F293" s="5" t="str">
        <f aca="false">設定!$D$52&amp;""</f>
        <v/>
      </c>
      <c r="G293" s="5" t="str">
        <f aca="false">設定!$E$52&amp;""</f>
        <v/>
      </c>
      <c r="H293" s="5" t="n">
        <f aca="false">IF(B293="",0,N(INDEX(報告入力!$BA$7:$BA$696,B293)))</f>
        <v>82665</v>
      </c>
      <c r="I293" s="5" t="str">
        <f aca="false">設定!$C$40&amp;""</f>
        <v/>
      </c>
      <c r="J293" s="5" t="str">
        <f aca="false">設定!$D$40&amp;""</f>
        <v/>
      </c>
      <c r="K293" s="5" t="n">
        <f aca="false">IF(AND(H293&lt;&gt;0,IF(設定!$B$6="入金確認済のみ",C293="入金確認済",OR(C293="入金確認済",C293="受領済"))),1,0)</f>
        <v>0</v>
      </c>
      <c r="L293" s="5" t="str">
        <f aca="false">2&amp;"|"&amp;29</f>
        <v>2|29</v>
      </c>
      <c r="M293" s="5" t="n">
        <f aca="false">IF(L293=L292,M292,0)+K293</f>
        <v>0</v>
      </c>
      <c r="N293" s="5" t="n">
        <f aca="false">IF(AND(K293=1,M293=1),1,0)</f>
        <v>0</v>
      </c>
      <c r="O293" s="5" t="str">
        <f aca="false">IF(K293=1,MAX($O$5:O292)+1,"")</f>
        <v/>
      </c>
      <c r="P293" s="5" t="str">
        <f aca="false">IF(K293=1,SUM($N$6:N293),"")</f>
        <v/>
      </c>
      <c r="Q293" s="5" t="str">
        <f aca="false">IF(K293=1,SUMIFS($H$6:$H$511,$L$6:$L$511,L293,$K$6:$K$511,1),"")</f>
        <v/>
      </c>
      <c r="R293" s="78" t="str">
        <f aca="false">IF(B293="","",IF(INDEX(報告入力!$X$7:$X$696,B293)="","",INDEX(報告入力!$X$7:$X$696,B293)))</f>
        <v/>
      </c>
      <c r="S293" s="5" t="str">
        <f aca="false">設定!$C$52</f>
        <v>短期：負担金</v>
      </c>
    </row>
    <row r="294" customFormat="false" ht="25.35" hidden="false" customHeight="false" outlineLevel="0" collapsed="false">
      <c r="A294" s="79" t="str">
        <f aca="false">設定!B90</f>
        <v>バス協調・共創
プラットフォーム</v>
      </c>
      <c r="B294" s="5" t="n">
        <f aca="false">IFERROR(MATCH(ホーム!$C$4&amp;"|"&amp;A294,報告入力!$CG$7:$CG$696,0),"")</f>
        <v>352</v>
      </c>
      <c r="C294" s="5" t="str">
        <f aca="false">IF(B294="","",INDEX(報告入力!$C$7:$C$696,B294))</f>
        <v>未受領</v>
      </c>
      <c r="D294" s="5" t="str">
        <f aca="false">設定!$A$40</f>
        <v>短期経理</v>
      </c>
      <c r="E294" s="5" t="str">
        <f aca="false">設定!$B$40&amp;""</f>
        <v/>
      </c>
      <c r="F294" s="5" t="str">
        <f aca="false">設定!$D$51&amp;""</f>
        <v/>
      </c>
      <c r="G294" s="5" t="str">
        <f aca="false">設定!$E$51&amp;""</f>
        <v/>
      </c>
      <c r="H294" s="5" t="n">
        <f aca="false">IF(B294="",0,N(INDEX(報告入力!$AZ$7:$AZ$696,B294)))</f>
        <v>0</v>
      </c>
      <c r="I294" s="5" t="str">
        <f aca="false">設定!$C$40&amp;""</f>
        <v/>
      </c>
      <c r="J294" s="5" t="str">
        <f aca="false">設定!$D$40&amp;""</f>
        <v/>
      </c>
      <c r="K294" s="5" t="n">
        <f aca="false">IF(AND(H294&lt;&gt;0,IF(設定!$B$6="入金確認済のみ",C294="入金確認済",OR(C294="入金確認済",C294="受領済"))),1,0)</f>
        <v>0</v>
      </c>
      <c r="L294" s="5" t="str">
        <f aca="false">2&amp;"|"&amp;30</f>
        <v>2|30</v>
      </c>
      <c r="M294" s="5" t="n">
        <f aca="false">IF(L294=L293,M293,0)+K294</f>
        <v>0</v>
      </c>
      <c r="N294" s="5" t="n">
        <f aca="false">IF(AND(K294=1,M294=1),1,0)</f>
        <v>0</v>
      </c>
      <c r="O294" s="5" t="str">
        <f aca="false">IF(K294=1,MAX($O$5:O293)+1,"")</f>
        <v/>
      </c>
      <c r="P294" s="5" t="str">
        <f aca="false">IF(K294=1,SUM($N$6:N294),"")</f>
        <v/>
      </c>
      <c r="Q294" s="5" t="str">
        <f aca="false">IF(K294=1,SUMIFS($H$6:$H$511,$L$6:$L$511,L294,$K$6:$K$511,1),"")</f>
        <v/>
      </c>
      <c r="R294" s="78" t="str">
        <f aca="false">IF(B294="","",IF(INDEX(報告入力!$X$7:$X$696,B294)="","",INDEX(報告入力!$X$7:$X$696,B294)))</f>
        <v/>
      </c>
      <c r="S294" s="5" t="str">
        <f aca="false">設定!$C$51</f>
        <v>短期：掛金</v>
      </c>
    </row>
    <row r="295" customFormat="false" ht="25.35" hidden="false" customHeight="false" outlineLevel="0" collapsed="false">
      <c r="A295" s="79" t="str">
        <f aca="false">設定!B90</f>
        <v>バス協調・共創
プラットフォーム</v>
      </c>
      <c r="B295" s="5" t="n">
        <f aca="false">IFERROR(MATCH(ホーム!$C$4&amp;"|"&amp;A295,報告入力!$CG$7:$CG$696,0),"")</f>
        <v>352</v>
      </c>
      <c r="C295" s="5" t="str">
        <f aca="false">IF(B295="","",INDEX(報告入力!$C$7:$C$696,B295))</f>
        <v>未受領</v>
      </c>
      <c r="D295" s="5" t="str">
        <f aca="false">設定!$A$40</f>
        <v>短期経理</v>
      </c>
      <c r="E295" s="5" t="str">
        <f aca="false">設定!$B$40&amp;""</f>
        <v/>
      </c>
      <c r="F295" s="5" t="str">
        <f aca="false">設定!$D$52&amp;""</f>
        <v/>
      </c>
      <c r="G295" s="5" t="str">
        <f aca="false">設定!$E$52&amp;""</f>
        <v/>
      </c>
      <c r="H295" s="5" t="n">
        <f aca="false">IF(B295="",0,N(INDEX(報告入力!$BA$7:$BA$696,B295)))</f>
        <v>289878</v>
      </c>
      <c r="I295" s="5" t="str">
        <f aca="false">設定!$C$40&amp;""</f>
        <v/>
      </c>
      <c r="J295" s="5" t="str">
        <f aca="false">設定!$D$40&amp;""</f>
        <v/>
      </c>
      <c r="K295" s="5" t="n">
        <f aca="false">IF(AND(H295&lt;&gt;0,IF(設定!$B$6="入金確認済のみ",C295="入金確認済",OR(C295="入金確認済",C295="受領済"))),1,0)</f>
        <v>0</v>
      </c>
      <c r="L295" s="5" t="str">
        <f aca="false">2&amp;"|"&amp;30</f>
        <v>2|30</v>
      </c>
      <c r="M295" s="5" t="n">
        <f aca="false">IF(L295=L294,M294,0)+K295</f>
        <v>0</v>
      </c>
      <c r="N295" s="5" t="n">
        <f aca="false">IF(AND(K295=1,M295=1),1,0)</f>
        <v>0</v>
      </c>
      <c r="O295" s="5" t="str">
        <f aca="false">IF(K295=1,MAX($O$5:O294)+1,"")</f>
        <v/>
      </c>
      <c r="P295" s="5" t="str">
        <f aca="false">IF(K295=1,SUM($N$6:N295),"")</f>
        <v/>
      </c>
      <c r="Q295" s="5" t="str">
        <f aca="false">IF(K295=1,SUMIFS($H$6:$H$511,$L$6:$L$511,L295,$K$6:$K$511,1),"")</f>
        <v/>
      </c>
      <c r="R295" s="78" t="str">
        <f aca="false">IF(B295="","",IF(INDEX(報告入力!$X$7:$X$696,B295)="","",INDEX(報告入力!$X$7:$X$696,B295)))</f>
        <v/>
      </c>
      <c r="S295" s="5" t="str">
        <f aca="false">設定!$C$52</f>
        <v>短期：負担金</v>
      </c>
    </row>
    <row r="296" customFormat="false" ht="15" hidden="false" customHeight="false" outlineLevel="0" collapsed="false">
      <c r="A296" s="5" t="str">
        <f aca="false">設定!B91</f>
        <v>広島県市長会</v>
      </c>
      <c r="B296" s="5" t="n">
        <f aca="false">IFERROR(MATCH(ホーム!$C$4&amp;"|"&amp;A296,報告入力!$CG$7:$CG$696,0),"")</f>
        <v>353</v>
      </c>
      <c r="C296" s="5" t="str">
        <f aca="false">IF(B296="","",INDEX(報告入力!$C$7:$C$696,B296))</f>
        <v>受領済</v>
      </c>
      <c r="D296" s="5" t="str">
        <f aca="false">設定!$A$40</f>
        <v>短期経理</v>
      </c>
      <c r="E296" s="5" t="str">
        <f aca="false">設定!$B$40&amp;""</f>
        <v/>
      </c>
      <c r="F296" s="5" t="str">
        <f aca="false">設定!$D$51&amp;""</f>
        <v/>
      </c>
      <c r="G296" s="5" t="str">
        <f aca="false">設定!$E$51&amp;""</f>
        <v/>
      </c>
      <c r="H296" s="5" t="n">
        <f aca="false">IF(B296="",0,N(INDEX(報告入力!$AZ$7:$AZ$696,B296)))</f>
        <v>30597</v>
      </c>
      <c r="I296" s="5" t="str">
        <f aca="false">設定!$C$40&amp;""</f>
        <v/>
      </c>
      <c r="J296" s="5" t="str">
        <f aca="false">設定!$D$40&amp;""</f>
        <v/>
      </c>
      <c r="K296" s="5" t="n">
        <f aca="false">IF(AND(H296&lt;&gt;0,IF(設定!$B$6="入金確認済のみ",C296="入金確認済",OR(C296="入金確認済",C296="受領済"))),1,0)</f>
        <v>0</v>
      </c>
      <c r="L296" s="5" t="str">
        <f aca="false">2&amp;"|"&amp;31</f>
        <v>2|31</v>
      </c>
      <c r="M296" s="5" t="n">
        <f aca="false">IF(L296=L295,M295,0)+K296</f>
        <v>0</v>
      </c>
      <c r="N296" s="5" t="n">
        <f aca="false">IF(AND(K296=1,M296=1),1,0)</f>
        <v>0</v>
      </c>
      <c r="O296" s="5" t="str">
        <f aca="false">IF(K296=1,MAX($O$5:O295)+1,"")</f>
        <v/>
      </c>
      <c r="P296" s="5" t="str">
        <f aca="false">IF(K296=1,SUM($N$6:N296),"")</f>
        <v/>
      </c>
      <c r="Q296" s="5" t="str">
        <f aca="false">IF(K296=1,SUMIFS($H$6:$H$511,$L$6:$L$511,L296,$K$6:$K$511,1),"")</f>
        <v/>
      </c>
      <c r="R296" s="78" t="str">
        <f aca="false">IF(B296="","",IF(INDEX(報告入力!$X$7:$X$696,B296)="","",INDEX(報告入力!$X$7:$X$696,B296)))</f>
        <v/>
      </c>
      <c r="S296" s="5" t="str">
        <f aca="false">設定!$C$51</f>
        <v>短期：掛金</v>
      </c>
    </row>
    <row r="297" customFormat="false" ht="15" hidden="false" customHeight="false" outlineLevel="0" collapsed="false">
      <c r="A297" s="5" t="str">
        <f aca="false">設定!B91</f>
        <v>広島県市長会</v>
      </c>
      <c r="B297" s="5" t="n">
        <f aca="false">IFERROR(MATCH(ホーム!$C$4&amp;"|"&amp;A297,報告入力!$CG$7:$CG$696,0),"")</f>
        <v>353</v>
      </c>
      <c r="C297" s="5" t="str">
        <f aca="false">IF(B297="","",INDEX(報告入力!$C$7:$C$696,B297))</f>
        <v>受領済</v>
      </c>
      <c r="D297" s="5" t="str">
        <f aca="false">設定!$A$40</f>
        <v>短期経理</v>
      </c>
      <c r="E297" s="5" t="str">
        <f aca="false">設定!$B$40&amp;""</f>
        <v/>
      </c>
      <c r="F297" s="5" t="str">
        <f aca="false">設定!$D$52&amp;""</f>
        <v/>
      </c>
      <c r="G297" s="5" t="str">
        <f aca="false">設定!$E$52&amp;""</f>
        <v/>
      </c>
      <c r="H297" s="5" t="n">
        <f aca="false">IF(B297="",0,N(INDEX(報告入力!$BA$7:$BA$696,B297)))</f>
        <v>30626</v>
      </c>
      <c r="I297" s="5" t="str">
        <f aca="false">設定!$C$40&amp;""</f>
        <v/>
      </c>
      <c r="J297" s="5" t="str">
        <f aca="false">設定!$D$40&amp;""</f>
        <v/>
      </c>
      <c r="K297" s="5" t="n">
        <f aca="false">IF(AND(H297&lt;&gt;0,IF(設定!$B$6="入金確認済のみ",C297="入金確認済",OR(C297="入金確認済",C297="受領済"))),1,0)</f>
        <v>0</v>
      </c>
      <c r="L297" s="5" t="str">
        <f aca="false">2&amp;"|"&amp;31</f>
        <v>2|31</v>
      </c>
      <c r="M297" s="5" t="n">
        <f aca="false">IF(L297=L296,M296,0)+K297</f>
        <v>0</v>
      </c>
      <c r="N297" s="5" t="n">
        <f aca="false">IF(AND(K297=1,M297=1),1,0)</f>
        <v>0</v>
      </c>
      <c r="O297" s="5" t="str">
        <f aca="false">IF(K297=1,MAX($O$5:O296)+1,"")</f>
        <v/>
      </c>
      <c r="P297" s="5" t="str">
        <f aca="false">IF(K297=1,SUM($N$6:N297),"")</f>
        <v/>
      </c>
      <c r="Q297" s="5" t="str">
        <f aca="false">IF(K297=1,SUMIFS($H$6:$H$511,$L$6:$L$511,L297,$K$6:$K$511,1),"")</f>
        <v/>
      </c>
      <c r="R297" s="78" t="str">
        <f aca="false">IF(B297="","",IF(INDEX(報告入力!$X$7:$X$696,B297)="","",INDEX(報告入力!$X$7:$X$696,B297)))</f>
        <v/>
      </c>
      <c r="S297" s="5" t="str">
        <f aca="false">設定!$C$52</f>
        <v>短期：負担金</v>
      </c>
    </row>
    <row r="298" customFormat="false" ht="15" hidden="false" customHeight="false" outlineLevel="0" collapsed="false">
      <c r="A298" s="5" t="str">
        <f aca="false">設定!B92</f>
        <v>全国市町村研修財団</v>
      </c>
      <c r="B298" s="5" t="n">
        <f aca="false">IFERROR(MATCH(ホーム!$C$4&amp;"|"&amp;A298,報告入力!$CG$7:$CG$696,0),"")</f>
        <v>354</v>
      </c>
      <c r="C298" s="5" t="str">
        <f aca="false">IF(B298="","",INDEX(報告入力!$C$7:$C$696,B298))</f>
        <v>受領済</v>
      </c>
      <c r="D298" s="5" t="str">
        <f aca="false">設定!$A$40</f>
        <v>短期経理</v>
      </c>
      <c r="E298" s="5" t="str">
        <f aca="false">設定!$B$40&amp;""</f>
        <v/>
      </c>
      <c r="F298" s="5" t="str">
        <f aca="false">設定!$D$51&amp;""</f>
        <v/>
      </c>
      <c r="G298" s="5" t="str">
        <f aca="false">設定!$E$51&amp;""</f>
        <v/>
      </c>
      <c r="H298" s="5" t="n">
        <f aca="false">IF(B298="",0,N(INDEX(報告入力!$AZ$7:$AZ$696,B298)))</f>
        <v>36820</v>
      </c>
      <c r="I298" s="5" t="str">
        <f aca="false">設定!$C$40&amp;""</f>
        <v/>
      </c>
      <c r="J298" s="5" t="str">
        <f aca="false">設定!$D$40&amp;""</f>
        <v/>
      </c>
      <c r="K298" s="5" t="n">
        <f aca="false">IF(AND(H298&lt;&gt;0,IF(設定!$B$6="入金確認済のみ",C298="入金確認済",OR(C298="入金確認済",C298="受領済"))),1,0)</f>
        <v>0</v>
      </c>
      <c r="L298" s="5" t="str">
        <f aca="false">2&amp;"|"&amp;32</f>
        <v>2|32</v>
      </c>
      <c r="M298" s="5" t="n">
        <f aca="false">IF(L298=L297,M297,0)+K298</f>
        <v>0</v>
      </c>
      <c r="N298" s="5" t="n">
        <f aca="false">IF(AND(K298=1,M298=1),1,0)</f>
        <v>0</v>
      </c>
      <c r="O298" s="5" t="str">
        <f aca="false">IF(K298=1,MAX($O$5:O297)+1,"")</f>
        <v/>
      </c>
      <c r="P298" s="5" t="str">
        <f aca="false">IF(K298=1,SUM($N$6:N298),"")</f>
        <v/>
      </c>
      <c r="Q298" s="5" t="str">
        <f aca="false">IF(K298=1,SUMIFS($H$6:$H$511,$L$6:$L$511,L298,$K$6:$K$511,1),"")</f>
        <v/>
      </c>
      <c r="R298" s="78" t="str">
        <f aca="false">IF(B298="","",IF(INDEX(報告入力!$X$7:$X$696,B298)="","",INDEX(報告入力!$X$7:$X$696,B298)))</f>
        <v/>
      </c>
      <c r="S298" s="5" t="str">
        <f aca="false">設定!$C$51</f>
        <v>短期：掛金</v>
      </c>
    </row>
    <row r="299" customFormat="false" ht="15" hidden="false" customHeight="false" outlineLevel="0" collapsed="false">
      <c r="A299" s="5" t="str">
        <f aca="false">設定!B92</f>
        <v>全国市町村研修財団</v>
      </c>
      <c r="B299" s="5" t="n">
        <f aca="false">IFERROR(MATCH(ホーム!$C$4&amp;"|"&amp;A299,報告入力!$CG$7:$CG$696,0),"")</f>
        <v>354</v>
      </c>
      <c r="C299" s="5" t="str">
        <f aca="false">IF(B299="","",INDEX(報告入力!$C$7:$C$696,B299))</f>
        <v>受領済</v>
      </c>
      <c r="D299" s="5" t="str">
        <f aca="false">設定!$A$40</f>
        <v>短期経理</v>
      </c>
      <c r="E299" s="5" t="str">
        <f aca="false">設定!$B$40&amp;""</f>
        <v/>
      </c>
      <c r="F299" s="5" t="str">
        <f aca="false">設定!$D$52&amp;""</f>
        <v/>
      </c>
      <c r="G299" s="5" t="str">
        <f aca="false">設定!$E$52&amp;""</f>
        <v/>
      </c>
      <c r="H299" s="5" t="n">
        <f aca="false">IF(B299="",0,N(INDEX(報告入力!$BA$7:$BA$696,B299)))</f>
        <v>36856</v>
      </c>
      <c r="I299" s="5" t="str">
        <f aca="false">設定!$C$40&amp;""</f>
        <v/>
      </c>
      <c r="J299" s="5" t="str">
        <f aca="false">設定!$D$40&amp;""</f>
        <v/>
      </c>
      <c r="K299" s="5" t="n">
        <f aca="false">IF(AND(H299&lt;&gt;0,IF(設定!$B$6="入金確認済のみ",C299="入金確認済",OR(C299="入金確認済",C299="受領済"))),1,0)</f>
        <v>0</v>
      </c>
      <c r="L299" s="5" t="str">
        <f aca="false">2&amp;"|"&amp;32</f>
        <v>2|32</v>
      </c>
      <c r="M299" s="5" t="n">
        <f aca="false">IF(L299=L298,M298,0)+K299</f>
        <v>0</v>
      </c>
      <c r="N299" s="5" t="n">
        <f aca="false">IF(AND(K299=1,M299=1),1,0)</f>
        <v>0</v>
      </c>
      <c r="O299" s="5" t="str">
        <f aca="false">IF(K299=1,MAX($O$5:O298)+1,"")</f>
        <v/>
      </c>
      <c r="P299" s="5" t="str">
        <f aca="false">IF(K299=1,SUM($N$6:N299),"")</f>
        <v/>
      </c>
      <c r="Q299" s="5" t="str">
        <f aca="false">IF(K299=1,SUMIFS($H$6:$H$511,$L$6:$L$511,L299,$K$6:$K$511,1),"")</f>
        <v/>
      </c>
      <c r="R299" s="78" t="str">
        <f aca="false">IF(B299="","",IF(INDEX(報告入力!$X$7:$X$696,B299)="","",INDEX(報告入力!$X$7:$X$696,B299)))</f>
        <v/>
      </c>
      <c r="S299" s="5" t="str">
        <f aca="false">設定!$C$52</f>
        <v>短期：負担金</v>
      </c>
    </row>
    <row r="300" customFormat="false" ht="15" hidden="false" customHeight="false" outlineLevel="0" collapsed="false">
      <c r="A300" s="5" t="str">
        <f aca="false">設定!B93</f>
        <v>都市再生機構</v>
      </c>
      <c r="B300" s="5" t="n">
        <f aca="false">IFERROR(MATCH(ホーム!$C$4&amp;"|"&amp;A300,報告入力!$CG$7:$CG$696,0),"")</f>
        <v>355</v>
      </c>
      <c r="C300" s="5" t="str">
        <f aca="false">IF(B300="","",INDEX(報告入力!$C$7:$C$696,B300))</f>
        <v>受領済</v>
      </c>
      <c r="D300" s="5" t="str">
        <f aca="false">設定!$A$40</f>
        <v>短期経理</v>
      </c>
      <c r="E300" s="5" t="str">
        <f aca="false">設定!$B$40&amp;""</f>
        <v/>
      </c>
      <c r="F300" s="5" t="str">
        <f aca="false">設定!$D$51&amp;""</f>
        <v/>
      </c>
      <c r="G300" s="5" t="str">
        <f aca="false">設定!$E$51&amp;""</f>
        <v/>
      </c>
      <c r="H300" s="5" t="n">
        <f aca="false">IF(B300="",0,N(INDEX(報告入力!$AZ$7:$AZ$696,B300)))</f>
        <v>25930</v>
      </c>
      <c r="I300" s="5" t="str">
        <f aca="false">設定!$C$40&amp;""</f>
        <v/>
      </c>
      <c r="J300" s="5" t="str">
        <f aca="false">設定!$D$40&amp;""</f>
        <v/>
      </c>
      <c r="K300" s="5" t="n">
        <f aca="false">IF(AND(H300&lt;&gt;0,IF(設定!$B$6="入金確認済のみ",C300="入金確認済",OR(C300="入金確認済",C300="受領済"))),1,0)</f>
        <v>0</v>
      </c>
      <c r="L300" s="5" t="str">
        <f aca="false">2&amp;"|"&amp;33</f>
        <v>2|33</v>
      </c>
      <c r="M300" s="5" t="n">
        <f aca="false">IF(L300=L299,M299,0)+K300</f>
        <v>0</v>
      </c>
      <c r="N300" s="5" t="n">
        <f aca="false">IF(AND(K300=1,M300=1),1,0)</f>
        <v>0</v>
      </c>
      <c r="O300" s="5" t="str">
        <f aca="false">IF(K300=1,MAX($O$5:O299)+1,"")</f>
        <v/>
      </c>
      <c r="P300" s="5" t="str">
        <f aca="false">IF(K300=1,SUM($N$6:N300),"")</f>
        <v/>
      </c>
      <c r="Q300" s="5" t="str">
        <f aca="false">IF(K300=1,SUMIFS($H$6:$H$511,$L$6:$L$511,L300,$K$6:$K$511,1),"")</f>
        <v/>
      </c>
      <c r="R300" s="78" t="str">
        <f aca="false">IF(B300="","",IF(INDEX(報告入力!$X$7:$X$696,B300)="","",INDEX(報告入力!$X$7:$X$696,B300)))</f>
        <v/>
      </c>
      <c r="S300" s="5" t="str">
        <f aca="false">設定!$C$51</f>
        <v>短期：掛金</v>
      </c>
    </row>
    <row r="301" customFormat="false" ht="15" hidden="false" customHeight="false" outlineLevel="0" collapsed="false">
      <c r="A301" s="5" t="str">
        <f aca="false">設定!B93</f>
        <v>都市再生機構</v>
      </c>
      <c r="B301" s="5" t="n">
        <f aca="false">IFERROR(MATCH(ホーム!$C$4&amp;"|"&amp;A301,報告入力!$CG$7:$CG$696,0),"")</f>
        <v>355</v>
      </c>
      <c r="C301" s="5" t="str">
        <f aca="false">IF(B301="","",INDEX(報告入力!$C$7:$C$696,B301))</f>
        <v>受領済</v>
      </c>
      <c r="D301" s="5" t="str">
        <f aca="false">設定!$A$40</f>
        <v>短期経理</v>
      </c>
      <c r="E301" s="5" t="str">
        <f aca="false">設定!$B$40&amp;""</f>
        <v/>
      </c>
      <c r="F301" s="5" t="str">
        <f aca="false">設定!$D$52&amp;""</f>
        <v/>
      </c>
      <c r="G301" s="5" t="str">
        <f aca="false">設定!$E$52&amp;""</f>
        <v/>
      </c>
      <c r="H301" s="5" t="n">
        <f aca="false">IF(B301="",0,N(INDEX(報告入力!$BA$7:$BA$696,B301)))</f>
        <v>25955</v>
      </c>
      <c r="I301" s="5" t="str">
        <f aca="false">設定!$C$40&amp;""</f>
        <v/>
      </c>
      <c r="J301" s="5" t="str">
        <f aca="false">設定!$D$40&amp;""</f>
        <v/>
      </c>
      <c r="K301" s="5" t="n">
        <f aca="false">IF(AND(H301&lt;&gt;0,IF(設定!$B$6="入金確認済のみ",C301="入金確認済",OR(C301="入金確認済",C301="受領済"))),1,0)</f>
        <v>0</v>
      </c>
      <c r="L301" s="5" t="str">
        <f aca="false">2&amp;"|"&amp;33</f>
        <v>2|33</v>
      </c>
      <c r="M301" s="5" t="n">
        <f aca="false">IF(L301=L300,M300,0)+K301</f>
        <v>0</v>
      </c>
      <c r="N301" s="5" t="n">
        <f aca="false">IF(AND(K301=1,M301=1),1,0)</f>
        <v>0</v>
      </c>
      <c r="O301" s="5" t="str">
        <f aca="false">IF(K301=1,MAX($O$5:O300)+1,"")</f>
        <v/>
      </c>
      <c r="P301" s="5" t="str">
        <f aca="false">IF(K301=1,SUM($N$6:N301),"")</f>
        <v/>
      </c>
      <c r="Q301" s="5" t="str">
        <f aca="false">IF(K301=1,SUMIFS($H$6:$H$511,$L$6:$L$511,L301,$K$6:$K$511,1),"")</f>
        <v/>
      </c>
      <c r="R301" s="78" t="str">
        <f aca="false">IF(B301="","",IF(INDEX(報告入力!$X$7:$X$696,B301)="","",INDEX(報告入力!$X$7:$X$696,B301)))</f>
        <v/>
      </c>
      <c r="S301" s="5" t="str">
        <f aca="false">設定!$C$52</f>
        <v>短期：負担金</v>
      </c>
    </row>
    <row r="302" customFormat="false" ht="15" hidden="false" customHeight="false" outlineLevel="0" collapsed="false">
      <c r="A302" s="5" t="str">
        <f aca="false">設定!B94</f>
        <v>広島市立大学</v>
      </c>
      <c r="B302" s="5" t="n">
        <f aca="false">IFERROR(MATCH(ホーム!$C$4&amp;"|"&amp;A302,報告入力!$CG$7:$CG$696,0),"")</f>
        <v>356</v>
      </c>
      <c r="C302" s="5" t="str">
        <f aca="false">IF(B302="","",INDEX(報告入力!$C$7:$C$696,B302))</f>
        <v>未受領</v>
      </c>
      <c r="D302" s="5" t="str">
        <f aca="false">設定!$A$40</f>
        <v>短期経理</v>
      </c>
      <c r="E302" s="5" t="str">
        <f aca="false">設定!$B$40&amp;""</f>
        <v/>
      </c>
      <c r="F302" s="5" t="str">
        <f aca="false">設定!$D$51&amp;""</f>
        <v/>
      </c>
      <c r="G302" s="5" t="str">
        <f aca="false">設定!$E$51&amp;""</f>
        <v/>
      </c>
      <c r="H302" s="5" t="n">
        <f aca="false">IF(B302="",0,N(INDEX(報告入力!$AZ$7:$AZ$696,B302)))</f>
        <v>742074</v>
      </c>
      <c r="I302" s="5" t="str">
        <f aca="false">設定!$C$40&amp;""</f>
        <v/>
      </c>
      <c r="J302" s="5" t="str">
        <f aca="false">設定!$D$40&amp;""</f>
        <v/>
      </c>
      <c r="K302" s="5" t="n">
        <f aca="false">IF(AND(H302&lt;&gt;0,IF(設定!$B$6="入金確認済のみ",C302="入金確認済",OR(C302="入金確認済",C302="受領済"))),1,0)</f>
        <v>0</v>
      </c>
      <c r="L302" s="5" t="str">
        <f aca="false">2&amp;"|"&amp;34</f>
        <v>2|34</v>
      </c>
      <c r="M302" s="5" t="n">
        <f aca="false">IF(L302=L301,M301,0)+K302</f>
        <v>0</v>
      </c>
      <c r="N302" s="5" t="n">
        <f aca="false">IF(AND(K302=1,M302=1),1,0)</f>
        <v>0</v>
      </c>
      <c r="O302" s="5" t="str">
        <f aca="false">IF(K302=1,MAX($O$5:O301)+1,"")</f>
        <v/>
      </c>
      <c r="P302" s="5" t="str">
        <f aca="false">IF(K302=1,SUM($N$6:N302),"")</f>
        <v/>
      </c>
      <c r="Q302" s="5" t="str">
        <f aca="false">IF(K302=1,SUMIFS($H$6:$H$511,$L$6:$L$511,L302,$K$6:$K$511,1),"")</f>
        <v/>
      </c>
      <c r="R302" s="78" t="str">
        <f aca="false">IF(B302="","",IF(INDEX(報告入力!$X$7:$X$696,B302)="","",INDEX(報告入力!$X$7:$X$696,B302)))</f>
        <v/>
      </c>
      <c r="S302" s="5" t="str">
        <f aca="false">設定!$C$51</f>
        <v>短期：掛金</v>
      </c>
    </row>
    <row r="303" customFormat="false" ht="15" hidden="false" customHeight="false" outlineLevel="0" collapsed="false">
      <c r="A303" s="5" t="str">
        <f aca="false">設定!B94</f>
        <v>広島市立大学</v>
      </c>
      <c r="B303" s="5" t="n">
        <f aca="false">IFERROR(MATCH(ホーム!$C$4&amp;"|"&amp;A303,報告入力!$CG$7:$CG$696,0),"")</f>
        <v>356</v>
      </c>
      <c r="C303" s="5" t="str">
        <f aca="false">IF(B303="","",INDEX(報告入力!$C$7:$C$696,B303))</f>
        <v>未受領</v>
      </c>
      <c r="D303" s="5" t="str">
        <f aca="false">設定!$A$40</f>
        <v>短期経理</v>
      </c>
      <c r="E303" s="5" t="str">
        <f aca="false">設定!$B$40&amp;""</f>
        <v/>
      </c>
      <c r="F303" s="5" t="str">
        <f aca="false">設定!$D$52&amp;""</f>
        <v/>
      </c>
      <c r="G303" s="5" t="str">
        <f aca="false">設定!$E$52&amp;""</f>
        <v/>
      </c>
      <c r="H303" s="5" t="n">
        <f aca="false">IF(B303="",0,N(INDEX(報告入力!$BA$7:$BA$696,B303)))</f>
        <v>743509</v>
      </c>
      <c r="I303" s="5" t="str">
        <f aca="false">設定!$C$40&amp;""</f>
        <v/>
      </c>
      <c r="J303" s="5" t="str">
        <f aca="false">設定!$D$40&amp;""</f>
        <v/>
      </c>
      <c r="K303" s="5" t="n">
        <f aca="false">IF(AND(H303&lt;&gt;0,IF(設定!$B$6="入金確認済のみ",C303="入金確認済",OR(C303="入金確認済",C303="受領済"))),1,0)</f>
        <v>0</v>
      </c>
      <c r="L303" s="5" t="str">
        <f aca="false">2&amp;"|"&amp;34</f>
        <v>2|34</v>
      </c>
      <c r="M303" s="5" t="n">
        <f aca="false">IF(L303=L302,M302,0)+K303</f>
        <v>0</v>
      </c>
      <c r="N303" s="5" t="n">
        <f aca="false">IF(AND(K303=1,M303=1),1,0)</f>
        <v>0</v>
      </c>
      <c r="O303" s="5" t="str">
        <f aca="false">IF(K303=1,MAX($O$5:O302)+1,"")</f>
        <v/>
      </c>
      <c r="P303" s="5" t="str">
        <f aca="false">IF(K303=1,SUM($N$6:N303),"")</f>
        <v/>
      </c>
      <c r="Q303" s="5" t="str">
        <f aca="false">IF(K303=1,SUMIFS($H$6:$H$511,$L$6:$L$511,L303,$K$6:$K$511,1),"")</f>
        <v/>
      </c>
      <c r="R303" s="78" t="str">
        <f aca="false">IF(B303="","",IF(INDEX(報告入力!$X$7:$X$696,B303)="","",INDEX(報告入力!$X$7:$X$696,B303)))</f>
        <v/>
      </c>
      <c r="S303" s="5" t="str">
        <f aca="false">設定!$C$52</f>
        <v>短期：負担金</v>
      </c>
    </row>
    <row r="304" customFormat="false" ht="15" hidden="false" customHeight="false" outlineLevel="0" collapsed="false">
      <c r="A304" s="5" t="str">
        <f aca="false">設定!B95</f>
        <v>社会福祉協議会</v>
      </c>
      <c r="B304" s="5" t="n">
        <f aca="false">IFERROR(MATCH(ホーム!$C$4&amp;"|"&amp;A304,報告入力!$CG$7:$CG$696,0),"")</f>
        <v>357</v>
      </c>
      <c r="C304" s="5" t="str">
        <f aca="false">IF(B304="","",INDEX(報告入力!$C$7:$C$696,B304))</f>
        <v>未受領</v>
      </c>
      <c r="D304" s="5" t="str">
        <f aca="false">設定!$A$40</f>
        <v>短期経理</v>
      </c>
      <c r="E304" s="5" t="str">
        <f aca="false">設定!$B$40&amp;""</f>
        <v/>
      </c>
      <c r="F304" s="5" t="str">
        <f aca="false">設定!$D$51&amp;""</f>
        <v/>
      </c>
      <c r="G304" s="5" t="str">
        <f aca="false">設定!$E$51&amp;""</f>
        <v/>
      </c>
      <c r="H304" s="5" t="n">
        <f aca="false">IF(B304="",0,N(INDEX(報告入力!$AZ$7:$AZ$696,B304)))</f>
        <v>0</v>
      </c>
      <c r="I304" s="5" t="str">
        <f aca="false">設定!$C$40&amp;""</f>
        <v/>
      </c>
      <c r="J304" s="5" t="str">
        <f aca="false">設定!$D$40&amp;""</f>
        <v/>
      </c>
      <c r="K304" s="5" t="n">
        <f aca="false">IF(AND(H304&lt;&gt;0,IF(設定!$B$6="入金確認済のみ",C304="入金確認済",OR(C304="入金確認済",C304="受領済"))),1,0)</f>
        <v>0</v>
      </c>
      <c r="L304" s="5" t="str">
        <f aca="false">2&amp;"|"&amp;35</f>
        <v>2|35</v>
      </c>
      <c r="M304" s="5" t="n">
        <f aca="false">IF(L304=L303,M303,0)+K304</f>
        <v>0</v>
      </c>
      <c r="N304" s="5" t="n">
        <f aca="false">IF(AND(K304=1,M304=1),1,0)</f>
        <v>0</v>
      </c>
      <c r="O304" s="5" t="str">
        <f aca="false">IF(K304=1,MAX($O$5:O303)+1,"")</f>
        <v/>
      </c>
      <c r="P304" s="5" t="str">
        <f aca="false">IF(K304=1,SUM($N$6:N304),"")</f>
        <v/>
      </c>
      <c r="Q304" s="5" t="str">
        <f aca="false">IF(K304=1,SUMIFS($H$6:$H$511,$L$6:$L$511,L304,$K$6:$K$511,1),"")</f>
        <v/>
      </c>
      <c r="R304" s="78" t="str">
        <f aca="false">IF(B304="","",IF(INDEX(報告入力!$X$7:$X$696,B304)="","",INDEX(報告入力!$X$7:$X$696,B304)))</f>
        <v/>
      </c>
      <c r="S304" s="5" t="str">
        <f aca="false">設定!$C$51</f>
        <v>短期：掛金</v>
      </c>
    </row>
    <row r="305" customFormat="false" ht="15" hidden="false" customHeight="false" outlineLevel="0" collapsed="false">
      <c r="A305" s="5" t="str">
        <f aca="false">設定!B95</f>
        <v>社会福祉協議会</v>
      </c>
      <c r="B305" s="5" t="n">
        <f aca="false">IFERROR(MATCH(ホーム!$C$4&amp;"|"&amp;A305,報告入力!$CG$7:$CG$696,0),"")</f>
        <v>357</v>
      </c>
      <c r="C305" s="5" t="str">
        <f aca="false">IF(B305="","",INDEX(報告入力!$C$7:$C$696,B305))</f>
        <v>未受領</v>
      </c>
      <c r="D305" s="5" t="str">
        <f aca="false">設定!$A$40</f>
        <v>短期経理</v>
      </c>
      <c r="E305" s="5" t="str">
        <f aca="false">設定!$B$40&amp;""</f>
        <v/>
      </c>
      <c r="F305" s="5" t="str">
        <f aca="false">設定!$D$52&amp;""</f>
        <v/>
      </c>
      <c r="G305" s="5" t="str">
        <f aca="false">設定!$E$52&amp;""</f>
        <v/>
      </c>
      <c r="H305" s="5" t="n">
        <f aca="false">IF(B305="",0,N(INDEX(報告入力!$BA$7:$BA$696,B305)))</f>
        <v>151001</v>
      </c>
      <c r="I305" s="5" t="str">
        <f aca="false">設定!$C$40&amp;""</f>
        <v/>
      </c>
      <c r="J305" s="5" t="str">
        <f aca="false">設定!$D$40&amp;""</f>
        <v/>
      </c>
      <c r="K305" s="5" t="n">
        <f aca="false">IF(AND(H305&lt;&gt;0,IF(設定!$B$6="入金確認済のみ",C305="入金確認済",OR(C305="入金確認済",C305="受領済"))),1,0)</f>
        <v>0</v>
      </c>
      <c r="L305" s="5" t="str">
        <f aca="false">2&amp;"|"&amp;35</f>
        <v>2|35</v>
      </c>
      <c r="M305" s="5" t="n">
        <f aca="false">IF(L305=L304,M304,0)+K305</f>
        <v>0</v>
      </c>
      <c r="N305" s="5" t="n">
        <f aca="false">IF(AND(K305=1,M305=1),1,0)</f>
        <v>0</v>
      </c>
      <c r="O305" s="5" t="str">
        <f aca="false">IF(K305=1,MAX($O$5:O304)+1,"")</f>
        <v/>
      </c>
      <c r="P305" s="5" t="str">
        <f aca="false">IF(K305=1,SUM($N$6:N305),"")</f>
        <v/>
      </c>
      <c r="Q305" s="5" t="str">
        <f aca="false">IF(K305=1,SUMIFS($H$6:$H$511,$L$6:$L$511,L305,$K$6:$K$511,1),"")</f>
        <v/>
      </c>
      <c r="R305" s="78" t="str">
        <f aca="false">IF(B305="","",IF(INDEX(報告入力!$X$7:$X$696,B305)="","",INDEX(報告入力!$X$7:$X$696,B305)))</f>
        <v/>
      </c>
      <c r="S305" s="5" t="str">
        <f aca="false">設定!$C$52</f>
        <v>短期：負担金</v>
      </c>
    </row>
    <row r="306" customFormat="false" ht="15" hidden="false" customHeight="false" outlineLevel="0" collapsed="false">
      <c r="A306" s="5" t="str">
        <f aca="false">設定!B96</f>
        <v>市立病院機構</v>
      </c>
      <c r="B306" s="5" t="n">
        <f aca="false">IFERROR(MATCH(ホーム!$C$4&amp;"|"&amp;A306,報告入力!$CG$7:$CG$696,0),"")</f>
        <v>358</v>
      </c>
      <c r="C306" s="5" t="str">
        <f aca="false">IF(B306="","",INDEX(報告入力!$C$7:$C$696,B306))</f>
        <v>未受領</v>
      </c>
      <c r="D306" s="5" t="str">
        <f aca="false">設定!$A$40</f>
        <v>短期経理</v>
      </c>
      <c r="E306" s="5" t="str">
        <f aca="false">設定!$B$40&amp;""</f>
        <v/>
      </c>
      <c r="F306" s="5" t="str">
        <f aca="false">設定!$D$51&amp;""</f>
        <v/>
      </c>
      <c r="G306" s="5" t="str">
        <f aca="false">設定!$E$51&amp;""</f>
        <v/>
      </c>
      <c r="H306" s="5" t="n">
        <f aca="false">IF(B306="",0,N(INDEX(報告入力!$AZ$7:$AZ$696,B306)))</f>
        <v>96329196</v>
      </c>
      <c r="I306" s="5" t="str">
        <f aca="false">設定!$C$40&amp;""</f>
        <v/>
      </c>
      <c r="J306" s="5" t="str">
        <f aca="false">設定!$D$40&amp;""</f>
        <v/>
      </c>
      <c r="K306" s="5" t="n">
        <f aca="false">IF(AND(H306&lt;&gt;0,IF(設定!$B$6="入金確認済のみ",C306="入金確認済",OR(C306="入金確認済",C306="受領済"))),1,0)</f>
        <v>0</v>
      </c>
      <c r="L306" s="5" t="str">
        <f aca="false">2&amp;"|"&amp;36</f>
        <v>2|36</v>
      </c>
      <c r="M306" s="5" t="n">
        <f aca="false">IF(L306=L305,M305,0)+K306</f>
        <v>0</v>
      </c>
      <c r="N306" s="5" t="n">
        <f aca="false">IF(AND(K306=1,M306=1),1,0)</f>
        <v>0</v>
      </c>
      <c r="O306" s="5" t="str">
        <f aca="false">IF(K306=1,MAX($O$5:O305)+1,"")</f>
        <v/>
      </c>
      <c r="P306" s="5" t="str">
        <f aca="false">IF(K306=1,SUM($N$6:N306),"")</f>
        <v/>
      </c>
      <c r="Q306" s="5" t="str">
        <f aca="false">IF(K306=1,SUMIFS($H$6:$H$511,$L$6:$L$511,L306,$K$6:$K$511,1),"")</f>
        <v/>
      </c>
      <c r="R306" s="78" t="str">
        <f aca="false">IF(B306="","",IF(INDEX(報告入力!$X$7:$X$696,B306)="","",INDEX(報告入力!$X$7:$X$696,B306)))</f>
        <v/>
      </c>
      <c r="S306" s="5" t="str">
        <f aca="false">設定!$C$51</f>
        <v>短期：掛金</v>
      </c>
    </row>
    <row r="307" customFormat="false" ht="15" hidden="false" customHeight="false" outlineLevel="0" collapsed="false">
      <c r="A307" s="5" t="str">
        <f aca="false">設定!B96</f>
        <v>市立病院機構</v>
      </c>
      <c r="B307" s="5" t="n">
        <f aca="false">IFERROR(MATCH(ホーム!$C$4&amp;"|"&amp;A307,報告入力!$CG$7:$CG$696,0),"")</f>
        <v>358</v>
      </c>
      <c r="C307" s="5" t="str">
        <f aca="false">IF(B307="","",INDEX(報告入力!$C$7:$C$696,B307))</f>
        <v>未受領</v>
      </c>
      <c r="D307" s="5" t="str">
        <f aca="false">設定!$A$40</f>
        <v>短期経理</v>
      </c>
      <c r="E307" s="5" t="str">
        <f aca="false">設定!$B$40&amp;""</f>
        <v/>
      </c>
      <c r="F307" s="5" t="str">
        <f aca="false">設定!$D$52&amp;""</f>
        <v/>
      </c>
      <c r="G307" s="5" t="str">
        <f aca="false">設定!$E$52&amp;""</f>
        <v/>
      </c>
      <c r="H307" s="5" t="n">
        <f aca="false">IF(B307="",0,N(INDEX(報告入力!$BA$7:$BA$696,B307)))</f>
        <v>96541373</v>
      </c>
      <c r="I307" s="5" t="str">
        <f aca="false">設定!$C$40&amp;""</f>
        <v/>
      </c>
      <c r="J307" s="5" t="str">
        <f aca="false">設定!$D$40&amp;""</f>
        <v/>
      </c>
      <c r="K307" s="5" t="n">
        <f aca="false">IF(AND(H307&lt;&gt;0,IF(設定!$B$6="入金確認済のみ",C307="入金確認済",OR(C307="入金確認済",C307="受領済"))),1,0)</f>
        <v>0</v>
      </c>
      <c r="L307" s="5" t="str">
        <f aca="false">2&amp;"|"&amp;36</f>
        <v>2|36</v>
      </c>
      <c r="M307" s="5" t="n">
        <f aca="false">IF(L307=L306,M306,0)+K307</f>
        <v>0</v>
      </c>
      <c r="N307" s="5" t="n">
        <f aca="false">IF(AND(K307=1,M307=1),1,0)</f>
        <v>0</v>
      </c>
      <c r="O307" s="5" t="str">
        <f aca="false">IF(K307=1,MAX($O$5:O306)+1,"")</f>
        <v/>
      </c>
      <c r="P307" s="5" t="str">
        <f aca="false">IF(K307=1,SUM($N$6:N307),"")</f>
        <v/>
      </c>
      <c r="Q307" s="5" t="str">
        <f aca="false">IF(K307=1,SUMIFS($H$6:$H$511,$L$6:$L$511,L307,$K$6:$K$511,1),"")</f>
        <v/>
      </c>
      <c r="R307" s="78" t="str">
        <f aca="false">IF(B307="","",IF(INDEX(報告入力!$X$7:$X$696,B307)="","",INDEX(報告入力!$X$7:$X$696,B307)))</f>
        <v/>
      </c>
      <c r="S307" s="5" t="str">
        <f aca="false">設定!$C$52</f>
        <v>短期：負担金</v>
      </c>
    </row>
    <row r="308" customFormat="false" ht="15" hidden="false" customHeight="false" outlineLevel="0" collapsed="false">
      <c r="A308" s="5" t="str">
        <f aca="false">設定!B97</f>
        <v>職員共済組合</v>
      </c>
      <c r="B308" s="5" t="n">
        <f aca="false">IFERROR(MATCH(ホーム!$C$4&amp;"|"&amp;A308,報告入力!$CG$7:$CG$696,0),"")</f>
        <v>359</v>
      </c>
      <c r="C308" s="5" t="str">
        <f aca="false">IF(B308="","",INDEX(報告入力!$C$7:$C$696,B308))</f>
        <v>未受領</v>
      </c>
      <c r="D308" s="5" t="str">
        <f aca="false">設定!$A$40</f>
        <v>短期経理</v>
      </c>
      <c r="E308" s="5" t="str">
        <f aca="false">設定!$B$40&amp;""</f>
        <v/>
      </c>
      <c r="F308" s="5" t="str">
        <f aca="false">設定!$D$51&amp;""</f>
        <v/>
      </c>
      <c r="G308" s="5" t="str">
        <f aca="false">設定!$E$51&amp;""</f>
        <v/>
      </c>
      <c r="H308" s="5" t="n">
        <f aca="false">IF(B308="",0,N(INDEX(報告入力!$AZ$7:$AZ$696,B308)))</f>
        <v>88012</v>
      </c>
      <c r="I308" s="5" t="str">
        <f aca="false">設定!$C$40&amp;""</f>
        <v/>
      </c>
      <c r="J308" s="5" t="str">
        <f aca="false">設定!$D$40&amp;""</f>
        <v/>
      </c>
      <c r="K308" s="5" t="n">
        <f aca="false">IF(AND(H308&lt;&gt;0,IF(設定!$B$6="入金確認済のみ",C308="入金確認済",OR(C308="入金確認済",C308="受領済"))),1,0)</f>
        <v>0</v>
      </c>
      <c r="L308" s="5" t="str">
        <f aca="false">2&amp;"|"&amp;37</f>
        <v>2|37</v>
      </c>
      <c r="M308" s="5" t="n">
        <f aca="false">IF(L308=L307,M307,0)+K308</f>
        <v>0</v>
      </c>
      <c r="N308" s="5" t="n">
        <f aca="false">IF(AND(K308=1,M308=1),1,0)</f>
        <v>0</v>
      </c>
      <c r="O308" s="5" t="str">
        <f aca="false">IF(K308=1,MAX($O$5:O307)+1,"")</f>
        <v/>
      </c>
      <c r="P308" s="5" t="str">
        <f aca="false">IF(K308=1,SUM($N$6:N308),"")</f>
        <v/>
      </c>
      <c r="Q308" s="5" t="str">
        <f aca="false">IF(K308=1,SUMIFS($H$6:$H$511,$L$6:$L$511,L308,$K$6:$K$511,1),"")</f>
        <v/>
      </c>
      <c r="R308" s="78" t="str">
        <f aca="false">IF(B308="","",IF(INDEX(報告入力!$X$7:$X$696,B308)="","",INDEX(報告入力!$X$7:$X$696,B308)))</f>
        <v/>
      </c>
      <c r="S308" s="5" t="str">
        <f aca="false">設定!$C$51</f>
        <v>短期：掛金</v>
      </c>
    </row>
    <row r="309" customFormat="false" ht="15" hidden="false" customHeight="false" outlineLevel="0" collapsed="false">
      <c r="A309" s="5" t="str">
        <f aca="false">設定!B97</f>
        <v>職員共済組合</v>
      </c>
      <c r="B309" s="5" t="n">
        <f aca="false">IFERROR(MATCH(ホーム!$C$4&amp;"|"&amp;A309,報告入力!$CG$7:$CG$696,0),"")</f>
        <v>359</v>
      </c>
      <c r="C309" s="5" t="str">
        <f aca="false">IF(B309="","",INDEX(報告入力!$C$7:$C$696,B309))</f>
        <v>未受領</v>
      </c>
      <c r="D309" s="5" t="str">
        <f aca="false">設定!$A$40</f>
        <v>短期経理</v>
      </c>
      <c r="E309" s="5" t="str">
        <f aca="false">設定!$B$40&amp;""</f>
        <v/>
      </c>
      <c r="F309" s="5" t="str">
        <f aca="false">設定!$D$52&amp;""</f>
        <v/>
      </c>
      <c r="G309" s="5" t="str">
        <f aca="false">設定!$E$52&amp;""</f>
        <v/>
      </c>
      <c r="H309" s="5" t="n">
        <f aca="false">IF(B309="",0,N(INDEX(報告入力!$BA$7:$BA$696,B309)))</f>
        <v>108566</v>
      </c>
      <c r="I309" s="5" t="str">
        <f aca="false">設定!$C$40&amp;""</f>
        <v/>
      </c>
      <c r="J309" s="5" t="str">
        <f aca="false">設定!$D$40&amp;""</f>
        <v/>
      </c>
      <c r="K309" s="5" t="n">
        <f aca="false">IF(AND(H309&lt;&gt;0,IF(設定!$B$6="入金確認済のみ",C309="入金確認済",OR(C309="入金確認済",C309="受領済"))),1,0)</f>
        <v>0</v>
      </c>
      <c r="L309" s="5" t="str">
        <f aca="false">2&amp;"|"&amp;37</f>
        <v>2|37</v>
      </c>
      <c r="M309" s="5" t="n">
        <f aca="false">IF(L309=L308,M308,0)+K309</f>
        <v>0</v>
      </c>
      <c r="N309" s="5" t="n">
        <f aca="false">IF(AND(K309=1,M309=1),1,0)</f>
        <v>0</v>
      </c>
      <c r="O309" s="5" t="str">
        <f aca="false">IF(K309=1,MAX($O$5:O308)+1,"")</f>
        <v/>
      </c>
      <c r="P309" s="5" t="str">
        <f aca="false">IF(K309=1,SUM($N$6:N309),"")</f>
        <v/>
      </c>
      <c r="Q309" s="5" t="str">
        <f aca="false">IF(K309=1,SUMIFS($H$6:$H$511,$L$6:$L$511,L309,$K$6:$K$511,1),"")</f>
        <v/>
      </c>
      <c r="R309" s="78" t="str">
        <f aca="false">IF(B309="","",IF(INDEX(報告入力!$X$7:$X$696,B309)="","",INDEX(報告入力!$X$7:$X$696,B309)))</f>
        <v/>
      </c>
      <c r="S309" s="5" t="str">
        <f aca="false">設定!$C$52</f>
        <v>短期：負担金</v>
      </c>
    </row>
    <row r="310" customFormat="false" ht="25.35" hidden="false" customHeight="false" outlineLevel="0" collapsed="false">
      <c r="A310" s="79" t="str">
        <f aca="false">設定!B98</f>
        <v>地方公共団体
情報システム機構</v>
      </c>
      <c r="B310" s="5" t="n">
        <f aca="false">IFERROR(MATCH(ホーム!$C$4&amp;"|"&amp;A310,報告入力!$CG$7:$CG$696,0),"")</f>
        <v>360</v>
      </c>
      <c r="C310" s="5" t="str">
        <f aca="false">IF(B310="","",INDEX(報告入力!$C$7:$C$696,B310))</f>
        <v>報告なし</v>
      </c>
      <c r="D310" s="5" t="str">
        <f aca="false">設定!$A$40</f>
        <v>短期経理</v>
      </c>
      <c r="E310" s="5" t="str">
        <f aca="false">設定!$B$40&amp;""</f>
        <v/>
      </c>
      <c r="F310" s="5" t="str">
        <f aca="false">設定!$D$51&amp;""</f>
        <v/>
      </c>
      <c r="G310" s="5" t="str">
        <f aca="false">設定!$E$51&amp;""</f>
        <v/>
      </c>
      <c r="H310" s="5" t="n">
        <f aca="false">IF(B310="",0,N(INDEX(報告入力!$AZ$7:$AZ$696,B310)))</f>
        <v>0</v>
      </c>
      <c r="I310" s="5" t="str">
        <f aca="false">設定!$C$40&amp;""</f>
        <v/>
      </c>
      <c r="J310" s="5" t="str">
        <f aca="false">設定!$D$40&amp;""</f>
        <v/>
      </c>
      <c r="K310" s="5" t="n">
        <f aca="false">IF(AND(H310&lt;&gt;0,IF(設定!$B$6="入金確認済のみ",C310="入金確認済",OR(C310="入金確認済",C310="受領済"))),1,0)</f>
        <v>0</v>
      </c>
      <c r="L310" s="5" t="str">
        <f aca="false">2&amp;"|"&amp;38</f>
        <v>2|38</v>
      </c>
      <c r="M310" s="5" t="n">
        <f aca="false">IF(L310=L309,M309,0)+K310</f>
        <v>0</v>
      </c>
      <c r="N310" s="5" t="n">
        <f aca="false">IF(AND(K310=1,M310=1),1,0)</f>
        <v>0</v>
      </c>
      <c r="O310" s="5" t="str">
        <f aca="false">IF(K310=1,MAX($O$5:O309)+1,"")</f>
        <v/>
      </c>
      <c r="P310" s="5" t="str">
        <f aca="false">IF(K310=1,SUM($N$6:N310),"")</f>
        <v/>
      </c>
      <c r="Q310" s="5" t="str">
        <f aca="false">IF(K310=1,SUMIFS($H$6:$H$511,$L$6:$L$511,L310,$K$6:$K$511,1),"")</f>
        <v/>
      </c>
      <c r="R310" s="78" t="str">
        <f aca="false">IF(B310="","",IF(INDEX(報告入力!$X$7:$X$696,B310)="","",INDEX(報告入力!$X$7:$X$696,B310)))</f>
        <v/>
      </c>
      <c r="S310" s="5" t="str">
        <f aca="false">設定!$C$51</f>
        <v>短期：掛金</v>
      </c>
    </row>
    <row r="311" customFormat="false" ht="25.35" hidden="false" customHeight="false" outlineLevel="0" collapsed="false">
      <c r="A311" s="79" t="str">
        <f aca="false">設定!B98</f>
        <v>地方公共団体
情報システム機構</v>
      </c>
      <c r="B311" s="5" t="n">
        <f aca="false">IFERROR(MATCH(ホーム!$C$4&amp;"|"&amp;A311,報告入力!$CG$7:$CG$696,0),"")</f>
        <v>360</v>
      </c>
      <c r="C311" s="5" t="str">
        <f aca="false">IF(B311="","",INDEX(報告入力!$C$7:$C$696,B311))</f>
        <v>報告なし</v>
      </c>
      <c r="D311" s="5" t="str">
        <f aca="false">設定!$A$40</f>
        <v>短期経理</v>
      </c>
      <c r="E311" s="5" t="str">
        <f aca="false">設定!$B$40&amp;""</f>
        <v/>
      </c>
      <c r="F311" s="5" t="str">
        <f aca="false">設定!$D$52&amp;""</f>
        <v/>
      </c>
      <c r="G311" s="5" t="str">
        <f aca="false">設定!$E$52&amp;""</f>
        <v/>
      </c>
      <c r="H311" s="5" t="n">
        <f aca="false">IF(B311="",0,N(INDEX(報告入力!$BA$7:$BA$696,B311)))</f>
        <v>0</v>
      </c>
      <c r="I311" s="5" t="str">
        <f aca="false">設定!$C$40&amp;""</f>
        <v/>
      </c>
      <c r="J311" s="5" t="str">
        <f aca="false">設定!$D$40&amp;""</f>
        <v/>
      </c>
      <c r="K311" s="5" t="n">
        <f aca="false">IF(AND(H311&lt;&gt;0,IF(設定!$B$6="入金確認済のみ",C311="入金確認済",OR(C311="入金確認済",C311="受領済"))),1,0)</f>
        <v>0</v>
      </c>
      <c r="L311" s="5" t="str">
        <f aca="false">2&amp;"|"&amp;38</f>
        <v>2|38</v>
      </c>
      <c r="M311" s="5" t="n">
        <f aca="false">IF(L311=L310,M310,0)+K311</f>
        <v>0</v>
      </c>
      <c r="N311" s="5" t="n">
        <f aca="false">IF(AND(K311=1,M311=1),1,0)</f>
        <v>0</v>
      </c>
      <c r="O311" s="5" t="str">
        <f aca="false">IF(K311=1,MAX($O$5:O310)+1,"")</f>
        <v/>
      </c>
      <c r="P311" s="5" t="str">
        <f aca="false">IF(K311=1,SUM($N$6:N311),"")</f>
        <v/>
      </c>
      <c r="Q311" s="5" t="str">
        <f aca="false">IF(K311=1,SUMIFS($H$6:$H$511,$L$6:$L$511,L311,$K$6:$K$511,1),"")</f>
        <v/>
      </c>
      <c r="R311" s="78" t="str">
        <f aca="false">IF(B311="","",IF(INDEX(報告入力!$X$7:$X$696,B311)="","",INDEX(報告入力!$X$7:$X$696,B311)))</f>
        <v/>
      </c>
      <c r="S311" s="5" t="str">
        <f aca="false">設定!$C$52</f>
        <v>短期：負担金</v>
      </c>
    </row>
    <row r="312" customFormat="false" ht="15" hidden="false" customHeight="false" outlineLevel="0" collapsed="false">
      <c r="A312" s="5" t="str">
        <f aca="false">設定!B99</f>
        <v>全国市長会</v>
      </c>
      <c r="B312" s="5" t="n">
        <f aca="false">IFERROR(MATCH(ホーム!$C$4&amp;"|"&amp;A312,報告入力!$CG$7:$CG$696,0),"")</f>
        <v>361</v>
      </c>
      <c r="C312" s="5" t="str">
        <f aca="false">IF(B312="","",INDEX(報告入力!$C$7:$C$696,B312))</f>
        <v>受領済</v>
      </c>
      <c r="D312" s="5" t="str">
        <f aca="false">設定!$A$40</f>
        <v>短期経理</v>
      </c>
      <c r="E312" s="5" t="str">
        <f aca="false">設定!$B$40&amp;""</f>
        <v/>
      </c>
      <c r="F312" s="5" t="str">
        <f aca="false">設定!$D$51&amp;""</f>
        <v/>
      </c>
      <c r="G312" s="5" t="str">
        <f aca="false">設定!$E$51&amp;""</f>
        <v/>
      </c>
      <c r="H312" s="5" t="n">
        <f aca="false">IF(B312="",0,N(INDEX(報告入力!$AZ$7:$AZ$696,B312)))</f>
        <v>86605</v>
      </c>
      <c r="I312" s="5" t="str">
        <f aca="false">設定!$C$40&amp;""</f>
        <v/>
      </c>
      <c r="J312" s="5" t="str">
        <f aca="false">設定!$D$40&amp;""</f>
        <v/>
      </c>
      <c r="K312" s="5" t="n">
        <f aca="false">IF(AND(H312&lt;&gt;0,IF(設定!$B$6="入金確認済のみ",C312="入金確認済",OR(C312="入金確認済",C312="受領済"))),1,0)</f>
        <v>0</v>
      </c>
      <c r="L312" s="5" t="str">
        <f aca="false">2&amp;"|"&amp;39</f>
        <v>2|39</v>
      </c>
      <c r="M312" s="5" t="n">
        <f aca="false">IF(L312=L311,M311,0)+K312</f>
        <v>0</v>
      </c>
      <c r="N312" s="5" t="n">
        <f aca="false">IF(AND(K312=1,M312=1),1,0)</f>
        <v>0</v>
      </c>
      <c r="O312" s="5" t="str">
        <f aca="false">IF(K312=1,MAX($O$5:O311)+1,"")</f>
        <v/>
      </c>
      <c r="P312" s="5" t="str">
        <f aca="false">IF(K312=1,SUM($N$6:N312),"")</f>
        <v/>
      </c>
      <c r="Q312" s="5" t="str">
        <f aca="false">IF(K312=1,SUMIFS($H$6:$H$511,$L$6:$L$511,L312,$K$6:$K$511,1),"")</f>
        <v/>
      </c>
      <c r="R312" s="78" t="str">
        <f aca="false">IF(B312="","",IF(INDEX(報告入力!$X$7:$X$696,B312)="","",INDEX(報告入力!$X$7:$X$696,B312)))</f>
        <v/>
      </c>
      <c r="S312" s="5" t="str">
        <f aca="false">設定!$C$51</f>
        <v>短期：掛金</v>
      </c>
    </row>
    <row r="313" customFormat="false" ht="15" hidden="false" customHeight="false" outlineLevel="0" collapsed="false">
      <c r="A313" s="5" t="str">
        <f aca="false">設定!B99</f>
        <v>全国市長会</v>
      </c>
      <c r="B313" s="5" t="n">
        <f aca="false">IFERROR(MATCH(ホーム!$C$4&amp;"|"&amp;A313,報告入力!$CG$7:$CG$696,0),"")</f>
        <v>361</v>
      </c>
      <c r="C313" s="5" t="str">
        <f aca="false">IF(B313="","",INDEX(報告入力!$C$7:$C$696,B313))</f>
        <v>受領済</v>
      </c>
      <c r="D313" s="5" t="str">
        <f aca="false">設定!$A$40</f>
        <v>短期経理</v>
      </c>
      <c r="E313" s="5" t="str">
        <f aca="false">設定!$B$40&amp;""</f>
        <v/>
      </c>
      <c r="F313" s="5" t="str">
        <f aca="false">設定!$D$52&amp;""</f>
        <v/>
      </c>
      <c r="G313" s="5" t="str">
        <f aca="false">設定!$E$52&amp;""</f>
        <v/>
      </c>
      <c r="H313" s="5" t="n">
        <f aca="false">IF(B313="",0,N(INDEX(報告入力!$BA$7:$BA$696,B313)))</f>
        <v>86689</v>
      </c>
      <c r="I313" s="5" t="str">
        <f aca="false">設定!$C$40&amp;""</f>
        <v/>
      </c>
      <c r="J313" s="5" t="str">
        <f aca="false">設定!$D$40&amp;""</f>
        <v/>
      </c>
      <c r="K313" s="5" t="n">
        <f aca="false">IF(AND(H313&lt;&gt;0,IF(設定!$B$6="入金確認済のみ",C313="入金確認済",OR(C313="入金確認済",C313="受領済"))),1,0)</f>
        <v>0</v>
      </c>
      <c r="L313" s="5" t="str">
        <f aca="false">2&amp;"|"&amp;39</f>
        <v>2|39</v>
      </c>
      <c r="M313" s="5" t="n">
        <f aca="false">IF(L313=L312,M312,0)+K313</f>
        <v>0</v>
      </c>
      <c r="N313" s="5" t="n">
        <f aca="false">IF(AND(K313=1,M313=1),1,0)</f>
        <v>0</v>
      </c>
      <c r="O313" s="5" t="str">
        <f aca="false">IF(K313=1,MAX($O$5:O312)+1,"")</f>
        <v/>
      </c>
      <c r="P313" s="5" t="str">
        <f aca="false">IF(K313=1,SUM($N$6:N313),"")</f>
        <v/>
      </c>
      <c r="Q313" s="5" t="str">
        <f aca="false">IF(K313=1,SUMIFS($H$6:$H$511,$L$6:$L$511,L313,$K$6:$K$511,1),"")</f>
        <v/>
      </c>
      <c r="R313" s="78" t="str">
        <f aca="false">IF(B313="","",IF(INDEX(報告入力!$X$7:$X$696,B313)="","",INDEX(報告入力!$X$7:$X$696,B313)))</f>
        <v/>
      </c>
      <c r="S313" s="5" t="str">
        <f aca="false">設定!$C$52</f>
        <v>短期：負担金</v>
      </c>
    </row>
    <row r="314" customFormat="false" ht="15" hidden="false" customHeight="false" outlineLevel="0" collapsed="false">
      <c r="A314" s="5" t="str">
        <f aca="false">設定!B100</f>
        <v>高速交通（株）</v>
      </c>
      <c r="B314" s="5" t="n">
        <f aca="false">IFERROR(MATCH(ホーム!$C$4&amp;"|"&amp;A314,報告入力!$CG$7:$CG$696,0),"")</f>
        <v>362</v>
      </c>
      <c r="C314" s="5" t="str">
        <f aca="false">IF(B314="","",INDEX(報告入力!$C$7:$C$696,B314))</f>
        <v>未受領</v>
      </c>
      <c r="D314" s="5" t="str">
        <f aca="false">設定!$A$40</f>
        <v>短期経理</v>
      </c>
      <c r="E314" s="5" t="str">
        <f aca="false">設定!$B$40&amp;""</f>
        <v/>
      </c>
      <c r="F314" s="5" t="str">
        <f aca="false">設定!$D$51&amp;""</f>
        <v/>
      </c>
      <c r="G314" s="5" t="str">
        <f aca="false">設定!$E$51&amp;""</f>
        <v/>
      </c>
      <c r="H314" s="5" t="n">
        <f aca="false">IF(B314="",0,N(INDEX(報告入力!$AZ$7:$AZ$696,B314)))</f>
        <v>0</v>
      </c>
      <c r="I314" s="5" t="str">
        <f aca="false">設定!$C$40&amp;""</f>
        <v/>
      </c>
      <c r="J314" s="5" t="str">
        <f aca="false">設定!$D$40&amp;""</f>
        <v/>
      </c>
      <c r="K314" s="5" t="n">
        <f aca="false">IF(AND(H314&lt;&gt;0,IF(設定!$B$6="入金確認済のみ",C314="入金確認済",OR(C314="入金確認済",C314="受領済"))),1,0)</f>
        <v>0</v>
      </c>
      <c r="L314" s="5" t="str">
        <f aca="false">2&amp;"|"&amp;40</f>
        <v>2|40</v>
      </c>
      <c r="M314" s="5" t="n">
        <f aca="false">IF(L314=L313,M313,0)+K314</f>
        <v>0</v>
      </c>
      <c r="N314" s="5" t="n">
        <f aca="false">IF(AND(K314=1,M314=1),1,0)</f>
        <v>0</v>
      </c>
      <c r="O314" s="5" t="str">
        <f aca="false">IF(K314=1,MAX($O$5:O313)+1,"")</f>
        <v/>
      </c>
      <c r="P314" s="5" t="str">
        <f aca="false">IF(K314=1,SUM($N$6:N314),"")</f>
        <v/>
      </c>
      <c r="Q314" s="5" t="str">
        <f aca="false">IF(K314=1,SUMIFS($H$6:$H$511,$L$6:$L$511,L314,$K$6:$K$511,1),"")</f>
        <v/>
      </c>
      <c r="R314" s="78" t="str">
        <f aca="false">IF(B314="","",IF(INDEX(報告入力!$X$7:$X$696,B314)="","",INDEX(報告入力!$X$7:$X$696,B314)))</f>
        <v/>
      </c>
      <c r="S314" s="5" t="str">
        <f aca="false">設定!$C$51</f>
        <v>短期：掛金</v>
      </c>
    </row>
    <row r="315" customFormat="false" ht="15" hidden="false" customHeight="false" outlineLevel="0" collapsed="false">
      <c r="A315" s="5" t="str">
        <f aca="false">設定!B100</f>
        <v>高速交通（株）</v>
      </c>
      <c r="B315" s="5" t="n">
        <f aca="false">IFERROR(MATCH(ホーム!$C$4&amp;"|"&amp;A315,報告入力!$CG$7:$CG$696,0),"")</f>
        <v>362</v>
      </c>
      <c r="C315" s="5" t="str">
        <f aca="false">IF(B315="","",INDEX(報告入力!$C$7:$C$696,B315))</f>
        <v>未受領</v>
      </c>
      <c r="D315" s="5" t="str">
        <f aca="false">設定!$A$40</f>
        <v>短期経理</v>
      </c>
      <c r="E315" s="5" t="str">
        <f aca="false">設定!$B$40&amp;""</f>
        <v/>
      </c>
      <c r="F315" s="5" t="str">
        <f aca="false">設定!$D$52&amp;""</f>
        <v/>
      </c>
      <c r="G315" s="5" t="str">
        <f aca="false">設定!$E$52&amp;""</f>
        <v/>
      </c>
      <c r="H315" s="5" t="n">
        <f aca="false">IF(B315="",0,N(INDEX(報告入力!$BA$7:$BA$696,B315)))</f>
        <v>0</v>
      </c>
      <c r="I315" s="5" t="str">
        <f aca="false">設定!$C$40&amp;""</f>
        <v/>
      </c>
      <c r="J315" s="5" t="str">
        <f aca="false">設定!$D$40&amp;""</f>
        <v/>
      </c>
      <c r="K315" s="5" t="n">
        <f aca="false">IF(AND(H315&lt;&gt;0,IF(設定!$B$6="入金確認済のみ",C315="入金確認済",OR(C315="入金確認済",C315="受領済"))),1,0)</f>
        <v>0</v>
      </c>
      <c r="L315" s="5" t="str">
        <f aca="false">2&amp;"|"&amp;40</f>
        <v>2|40</v>
      </c>
      <c r="M315" s="5" t="n">
        <f aca="false">IF(L315=L314,M314,0)+K315</f>
        <v>0</v>
      </c>
      <c r="N315" s="5" t="n">
        <f aca="false">IF(AND(K315=1,M315=1),1,0)</f>
        <v>0</v>
      </c>
      <c r="O315" s="5" t="str">
        <f aca="false">IF(K315=1,MAX($O$5:O314)+1,"")</f>
        <v/>
      </c>
      <c r="P315" s="5" t="str">
        <f aca="false">IF(K315=1,SUM($N$6:N315),"")</f>
        <v/>
      </c>
      <c r="Q315" s="5" t="str">
        <f aca="false">IF(K315=1,SUMIFS($H$6:$H$511,$L$6:$L$511,L315,$K$6:$K$511,1),"")</f>
        <v/>
      </c>
      <c r="R315" s="78" t="str">
        <f aca="false">IF(B315="","",IF(INDEX(報告入力!$X$7:$X$696,B315)="","",INDEX(報告入力!$X$7:$X$696,B315)))</f>
        <v/>
      </c>
      <c r="S315" s="5" t="str">
        <f aca="false">設定!$C$52</f>
        <v>短期：負担金</v>
      </c>
    </row>
    <row r="316" customFormat="false" ht="15" hidden="false" customHeight="false" outlineLevel="0" collapsed="false">
      <c r="A316" s="5" t="str">
        <f aca="false">設定!B101</f>
        <v>広島駅南口開発（株）</v>
      </c>
      <c r="B316" s="5" t="n">
        <f aca="false">IFERROR(MATCH(ホーム!$C$4&amp;"|"&amp;A316,報告入力!$CG$7:$CG$696,0),"")</f>
        <v>363</v>
      </c>
      <c r="C316" s="5" t="str">
        <f aca="false">IF(B316="","",INDEX(報告入力!$C$7:$C$696,B316))</f>
        <v>受領済</v>
      </c>
      <c r="D316" s="5" t="str">
        <f aca="false">設定!$A$40</f>
        <v>短期経理</v>
      </c>
      <c r="E316" s="5" t="str">
        <f aca="false">設定!$B$40&amp;""</f>
        <v/>
      </c>
      <c r="F316" s="5" t="str">
        <f aca="false">設定!$D$51&amp;""</f>
        <v/>
      </c>
      <c r="G316" s="5" t="str">
        <f aca="false">設定!$E$51&amp;""</f>
        <v/>
      </c>
      <c r="H316" s="5" t="n">
        <f aca="false">IF(B316="",0,N(INDEX(報告入力!$AZ$7:$AZ$696,B316)))</f>
        <v>0</v>
      </c>
      <c r="I316" s="5" t="str">
        <f aca="false">設定!$C$40&amp;""</f>
        <v/>
      </c>
      <c r="J316" s="5" t="str">
        <f aca="false">設定!$D$40&amp;""</f>
        <v/>
      </c>
      <c r="K316" s="5" t="n">
        <f aca="false">IF(AND(H316&lt;&gt;0,IF(設定!$B$6="入金確認済のみ",C316="入金確認済",OR(C316="入金確認済",C316="受領済"))),1,0)</f>
        <v>0</v>
      </c>
      <c r="L316" s="5" t="str">
        <f aca="false">2&amp;"|"&amp;41</f>
        <v>2|41</v>
      </c>
      <c r="M316" s="5" t="n">
        <f aca="false">IF(L316=L315,M315,0)+K316</f>
        <v>0</v>
      </c>
      <c r="N316" s="5" t="n">
        <f aca="false">IF(AND(K316=1,M316=1),1,0)</f>
        <v>0</v>
      </c>
      <c r="O316" s="5" t="str">
        <f aca="false">IF(K316=1,MAX($O$5:O315)+1,"")</f>
        <v/>
      </c>
      <c r="P316" s="5" t="str">
        <f aca="false">IF(K316=1,SUM($N$6:N316),"")</f>
        <v/>
      </c>
      <c r="Q316" s="5" t="str">
        <f aca="false">IF(K316=1,SUMIFS($H$6:$H$511,$L$6:$L$511,L316,$K$6:$K$511,1),"")</f>
        <v/>
      </c>
      <c r="R316" s="78" t="str">
        <f aca="false">IF(B316="","",IF(INDEX(報告入力!$X$7:$X$696,B316)="","",INDEX(報告入力!$X$7:$X$696,B316)))</f>
        <v/>
      </c>
      <c r="S316" s="5" t="str">
        <f aca="false">設定!$C$51</f>
        <v>短期：掛金</v>
      </c>
    </row>
    <row r="317" customFormat="false" ht="15" hidden="false" customHeight="false" outlineLevel="0" collapsed="false">
      <c r="A317" s="5" t="str">
        <f aca="false">設定!B101</f>
        <v>広島駅南口開発（株）</v>
      </c>
      <c r="B317" s="5" t="n">
        <f aca="false">IFERROR(MATCH(ホーム!$C$4&amp;"|"&amp;A317,報告入力!$CG$7:$CG$696,0),"")</f>
        <v>363</v>
      </c>
      <c r="C317" s="5" t="str">
        <f aca="false">IF(B317="","",INDEX(報告入力!$C$7:$C$696,B317))</f>
        <v>受領済</v>
      </c>
      <c r="D317" s="5" t="str">
        <f aca="false">設定!$A$40</f>
        <v>短期経理</v>
      </c>
      <c r="E317" s="5" t="str">
        <f aca="false">設定!$B$40&amp;""</f>
        <v/>
      </c>
      <c r="F317" s="5" t="str">
        <f aca="false">設定!$D$52&amp;""</f>
        <v/>
      </c>
      <c r="G317" s="5" t="str">
        <f aca="false">設定!$E$52&amp;""</f>
        <v/>
      </c>
      <c r="H317" s="5" t="n">
        <f aca="false">IF(B317="",0,N(INDEX(報告入力!$BA$7:$BA$696,B317)))</f>
        <v>0</v>
      </c>
      <c r="I317" s="5" t="str">
        <f aca="false">設定!$C$40&amp;""</f>
        <v/>
      </c>
      <c r="J317" s="5" t="str">
        <f aca="false">設定!$D$40&amp;""</f>
        <v/>
      </c>
      <c r="K317" s="5" t="n">
        <f aca="false">IF(AND(H317&lt;&gt;0,IF(設定!$B$6="入金確認済のみ",C317="入金確認済",OR(C317="入金確認済",C317="受領済"))),1,0)</f>
        <v>0</v>
      </c>
      <c r="L317" s="5" t="str">
        <f aca="false">2&amp;"|"&amp;41</f>
        <v>2|41</v>
      </c>
      <c r="M317" s="5" t="n">
        <f aca="false">IF(L317=L316,M316,0)+K317</f>
        <v>0</v>
      </c>
      <c r="N317" s="5" t="n">
        <f aca="false">IF(AND(K317=1,M317=1),1,0)</f>
        <v>0</v>
      </c>
      <c r="O317" s="5" t="str">
        <f aca="false">IF(K317=1,MAX($O$5:O316)+1,"")</f>
        <v/>
      </c>
      <c r="P317" s="5" t="str">
        <f aca="false">IF(K317=1,SUM($N$6:N317),"")</f>
        <v/>
      </c>
      <c r="Q317" s="5" t="str">
        <f aca="false">IF(K317=1,SUMIFS($H$6:$H$511,$L$6:$L$511,L317,$K$6:$K$511,1),"")</f>
        <v/>
      </c>
      <c r="R317" s="78" t="str">
        <f aca="false">IF(B317="","",IF(INDEX(報告入力!$X$7:$X$696,B317)="","",INDEX(報告入力!$X$7:$X$696,B317)))</f>
        <v/>
      </c>
      <c r="S317" s="5" t="str">
        <f aca="false">設定!$C$52</f>
        <v>短期：負担金</v>
      </c>
    </row>
    <row r="318" customFormat="false" ht="15" hidden="false" customHeight="false" outlineLevel="0" collapsed="false">
      <c r="A318" s="5" t="str">
        <f aca="false">設定!B102</f>
        <v>市職員労働組合</v>
      </c>
      <c r="B318" s="5" t="n">
        <f aca="false">IFERROR(MATCH(ホーム!$C$4&amp;"|"&amp;A318,報告入力!$CG$7:$CG$696,0),"")</f>
        <v>364</v>
      </c>
      <c r="C318" s="5" t="str">
        <f aca="false">IF(B318="","",INDEX(報告入力!$C$7:$C$696,B318))</f>
        <v>未受領</v>
      </c>
      <c r="D318" s="5" t="str">
        <f aca="false">設定!$A$40</f>
        <v>短期経理</v>
      </c>
      <c r="E318" s="5" t="str">
        <f aca="false">設定!$B$40&amp;""</f>
        <v/>
      </c>
      <c r="F318" s="5" t="str">
        <f aca="false">設定!$D$51&amp;""</f>
        <v/>
      </c>
      <c r="G318" s="5" t="str">
        <f aca="false">設定!$E$51&amp;""</f>
        <v/>
      </c>
      <c r="H318" s="5" t="n">
        <f aca="false">IF(B318="",0,N(INDEX(報告入力!$AZ$7:$AZ$696,B318)))</f>
        <v>17603</v>
      </c>
      <c r="I318" s="5" t="str">
        <f aca="false">設定!$C$40&amp;""</f>
        <v/>
      </c>
      <c r="J318" s="5" t="str">
        <f aca="false">設定!$D$40&amp;""</f>
        <v/>
      </c>
      <c r="K318" s="5" t="n">
        <f aca="false">IF(AND(H318&lt;&gt;0,IF(設定!$B$6="入金確認済のみ",C318="入金確認済",OR(C318="入金確認済",C318="受領済"))),1,0)</f>
        <v>0</v>
      </c>
      <c r="L318" s="5" t="str">
        <f aca="false">2&amp;"|"&amp;42</f>
        <v>2|42</v>
      </c>
      <c r="M318" s="5" t="n">
        <f aca="false">IF(L318=L317,M317,0)+K318</f>
        <v>0</v>
      </c>
      <c r="N318" s="5" t="n">
        <f aca="false">IF(AND(K318=1,M318=1),1,0)</f>
        <v>0</v>
      </c>
      <c r="O318" s="5" t="str">
        <f aca="false">IF(K318=1,MAX($O$5:O317)+1,"")</f>
        <v/>
      </c>
      <c r="P318" s="5" t="str">
        <f aca="false">IF(K318=1,SUM($N$6:N318),"")</f>
        <v/>
      </c>
      <c r="Q318" s="5" t="str">
        <f aca="false">IF(K318=1,SUMIFS($H$6:$H$511,$L$6:$L$511,L318,$K$6:$K$511,1),"")</f>
        <v/>
      </c>
      <c r="R318" s="78" t="str">
        <f aca="false">IF(B318="","",IF(INDEX(報告入力!$X$7:$X$696,B318)="","",INDEX(報告入力!$X$7:$X$696,B318)))</f>
        <v/>
      </c>
      <c r="S318" s="5" t="str">
        <f aca="false">設定!$C$51</f>
        <v>短期：掛金</v>
      </c>
    </row>
    <row r="319" customFormat="false" ht="15" hidden="false" customHeight="false" outlineLevel="0" collapsed="false">
      <c r="A319" s="5" t="str">
        <f aca="false">設定!B102</f>
        <v>市職員労働組合</v>
      </c>
      <c r="B319" s="5" t="n">
        <f aca="false">IFERROR(MATCH(ホーム!$C$4&amp;"|"&amp;A319,報告入力!$CG$7:$CG$696,0),"")</f>
        <v>364</v>
      </c>
      <c r="C319" s="5" t="str">
        <f aca="false">IF(B319="","",INDEX(報告入力!$C$7:$C$696,B319))</f>
        <v>未受領</v>
      </c>
      <c r="D319" s="5" t="str">
        <f aca="false">設定!$A$40</f>
        <v>短期経理</v>
      </c>
      <c r="E319" s="5" t="str">
        <f aca="false">設定!$B$40&amp;""</f>
        <v/>
      </c>
      <c r="F319" s="5" t="str">
        <f aca="false">設定!$D$52&amp;""</f>
        <v/>
      </c>
      <c r="G319" s="5" t="str">
        <f aca="false">設定!$E$52&amp;""</f>
        <v/>
      </c>
      <c r="H319" s="5" t="n">
        <f aca="false">IF(B319="",0,N(INDEX(報告入力!$BA$7:$BA$696,B319)))</f>
        <v>17635</v>
      </c>
      <c r="I319" s="5" t="str">
        <f aca="false">設定!$C$40&amp;""</f>
        <v/>
      </c>
      <c r="J319" s="5" t="str">
        <f aca="false">設定!$D$40&amp;""</f>
        <v/>
      </c>
      <c r="K319" s="5" t="n">
        <f aca="false">IF(AND(H319&lt;&gt;0,IF(設定!$B$6="入金確認済のみ",C319="入金確認済",OR(C319="入金確認済",C319="受領済"))),1,0)</f>
        <v>0</v>
      </c>
      <c r="L319" s="5" t="str">
        <f aca="false">2&amp;"|"&amp;42</f>
        <v>2|42</v>
      </c>
      <c r="M319" s="5" t="n">
        <f aca="false">IF(L319=L318,M318,0)+K319</f>
        <v>0</v>
      </c>
      <c r="N319" s="5" t="n">
        <f aca="false">IF(AND(K319=1,M319=1),1,0)</f>
        <v>0</v>
      </c>
      <c r="O319" s="5" t="str">
        <f aca="false">IF(K319=1,MAX($O$5:O318)+1,"")</f>
        <v/>
      </c>
      <c r="P319" s="5" t="str">
        <f aca="false">IF(K319=1,SUM($N$6:N319),"")</f>
        <v/>
      </c>
      <c r="Q319" s="5" t="str">
        <f aca="false">IF(K319=1,SUMIFS($H$6:$H$511,$L$6:$L$511,L319,$K$6:$K$511,1),"")</f>
        <v/>
      </c>
      <c r="R319" s="78" t="str">
        <f aca="false">IF(B319="","",IF(INDEX(報告入力!$X$7:$X$696,B319)="","",INDEX(報告入力!$X$7:$X$696,B319)))</f>
        <v/>
      </c>
      <c r="S319" s="5" t="str">
        <f aca="false">設定!$C$52</f>
        <v>短期：負担金</v>
      </c>
    </row>
    <row r="320" customFormat="false" ht="15" hidden="false" customHeight="false" outlineLevel="0" collapsed="false">
      <c r="A320" s="5" t="str">
        <f aca="false">設定!B103</f>
        <v>自治労労働組合</v>
      </c>
      <c r="B320" s="5" t="n">
        <f aca="false">IFERROR(MATCH(ホーム!$C$4&amp;"|"&amp;A320,報告入力!$CG$7:$CG$696,0),"")</f>
        <v>365</v>
      </c>
      <c r="C320" s="5" t="str">
        <f aca="false">IF(B320="","",INDEX(報告入力!$C$7:$C$696,B320))</f>
        <v>未受領</v>
      </c>
      <c r="D320" s="5" t="str">
        <f aca="false">設定!$A$40</f>
        <v>短期経理</v>
      </c>
      <c r="E320" s="5" t="str">
        <f aca="false">設定!$B$40&amp;""</f>
        <v/>
      </c>
      <c r="F320" s="5" t="str">
        <f aca="false">設定!$D$51&amp;""</f>
        <v/>
      </c>
      <c r="G320" s="5" t="str">
        <f aca="false">設定!$E$51&amp;""</f>
        <v/>
      </c>
      <c r="H320" s="5" t="n">
        <f aca="false">IF(B320="",0,N(INDEX(報告入力!$AZ$7:$AZ$696,B320)))</f>
        <v>0</v>
      </c>
      <c r="I320" s="5" t="str">
        <f aca="false">設定!$C$40&amp;""</f>
        <v/>
      </c>
      <c r="J320" s="5" t="str">
        <f aca="false">設定!$D$40&amp;""</f>
        <v/>
      </c>
      <c r="K320" s="5" t="n">
        <f aca="false">IF(AND(H320&lt;&gt;0,IF(設定!$B$6="入金確認済のみ",C320="入金確認済",OR(C320="入金確認済",C320="受領済"))),1,0)</f>
        <v>0</v>
      </c>
      <c r="L320" s="5" t="str">
        <f aca="false">2&amp;"|"&amp;43</f>
        <v>2|43</v>
      </c>
      <c r="M320" s="5" t="n">
        <f aca="false">IF(L320=L319,M319,0)+K320</f>
        <v>0</v>
      </c>
      <c r="N320" s="5" t="n">
        <f aca="false">IF(AND(K320=1,M320=1),1,0)</f>
        <v>0</v>
      </c>
      <c r="O320" s="5" t="str">
        <f aca="false">IF(K320=1,MAX($O$5:O319)+1,"")</f>
        <v/>
      </c>
      <c r="P320" s="5" t="str">
        <f aca="false">IF(K320=1,SUM($N$6:N320),"")</f>
        <v/>
      </c>
      <c r="Q320" s="5" t="str">
        <f aca="false">IF(K320=1,SUMIFS($H$6:$H$511,$L$6:$L$511,L320,$K$6:$K$511,1),"")</f>
        <v/>
      </c>
      <c r="R320" s="78" t="str">
        <f aca="false">IF(B320="","",IF(INDEX(報告入力!$X$7:$X$696,B320)="","",INDEX(報告入力!$X$7:$X$696,B320)))</f>
        <v/>
      </c>
      <c r="S320" s="5" t="str">
        <f aca="false">設定!$C$51</f>
        <v>短期：掛金</v>
      </c>
    </row>
    <row r="321" customFormat="false" ht="15" hidden="false" customHeight="false" outlineLevel="0" collapsed="false">
      <c r="A321" s="5" t="str">
        <f aca="false">設定!B103</f>
        <v>自治労労働組合</v>
      </c>
      <c r="B321" s="5" t="n">
        <f aca="false">IFERROR(MATCH(ホーム!$C$4&amp;"|"&amp;A321,報告入力!$CG$7:$CG$696,0),"")</f>
        <v>365</v>
      </c>
      <c r="C321" s="5" t="str">
        <f aca="false">IF(B321="","",INDEX(報告入力!$C$7:$C$696,B321))</f>
        <v>未受領</v>
      </c>
      <c r="D321" s="5" t="str">
        <f aca="false">設定!$A$40</f>
        <v>短期経理</v>
      </c>
      <c r="E321" s="5" t="str">
        <f aca="false">設定!$B$40&amp;""</f>
        <v/>
      </c>
      <c r="F321" s="5" t="str">
        <f aca="false">設定!$D$52&amp;""</f>
        <v/>
      </c>
      <c r="G321" s="5" t="str">
        <f aca="false">設定!$E$52&amp;""</f>
        <v/>
      </c>
      <c r="H321" s="5" t="n">
        <f aca="false">IF(B321="",0,N(INDEX(報告入力!$BA$7:$BA$696,B321)))</f>
        <v>0</v>
      </c>
      <c r="I321" s="5" t="str">
        <f aca="false">設定!$C$40&amp;""</f>
        <v/>
      </c>
      <c r="J321" s="5" t="str">
        <f aca="false">設定!$D$40&amp;""</f>
        <v/>
      </c>
      <c r="K321" s="5" t="n">
        <f aca="false">IF(AND(H321&lt;&gt;0,IF(設定!$B$6="入金確認済のみ",C321="入金確認済",OR(C321="入金確認済",C321="受領済"))),1,0)</f>
        <v>0</v>
      </c>
      <c r="L321" s="5" t="str">
        <f aca="false">2&amp;"|"&amp;43</f>
        <v>2|43</v>
      </c>
      <c r="M321" s="5" t="n">
        <f aca="false">IF(L321=L320,M320,0)+K321</f>
        <v>0</v>
      </c>
      <c r="N321" s="5" t="n">
        <f aca="false">IF(AND(K321=1,M321=1),1,0)</f>
        <v>0</v>
      </c>
      <c r="O321" s="5" t="str">
        <f aca="false">IF(K321=1,MAX($O$5:O320)+1,"")</f>
        <v/>
      </c>
      <c r="P321" s="5" t="str">
        <f aca="false">IF(K321=1,SUM($N$6:N321),"")</f>
        <v/>
      </c>
      <c r="Q321" s="5" t="str">
        <f aca="false">IF(K321=1,SUMIFS($H$6:$H$511,$L$6:$L$511,L321,$K$6:$K$511,1),"")</f>
        <v/>
      </c>
      <c r="R321" s="78" t="str">
        <f aca="false">IF(B321="","",IF(INDEX(報告入力!$X$7:$X$696,B321)="","",INDEX(報告入力!$X$7:$X$696,B321)))</f>
        <v/>
      </c>
      <c r="S321" s="5" t="str">
        <f aca="false">設定!$C$52</f>
        <v>短期：負担金</v>
      </c>
    </row>
    <row r="322" customFormat="false" ht="15" hidden="false" customHeight="false" outlineLevel="0" collapsed="false">
      <c r="A322" s="5" t="str">
        <f aca="false">設定!B104</f>
        <v>病院労働組合</v>
      </c>
      <c r="B322" s="5" t="n">
        <f aca="false">IFERROR(MATCH(ホーム!$C$4&amp;"|"&amp;A322,報告入力!$CG$7:$CG$696,0),"")</f>
        <v>366</v>
      </c>
      <c r="C322" s="5" t="str">
        <f aca="false">IF(B322="","",INDEX(報告入力!$C$7:$C$696,B322))</f>
        <v>受領済</v>
      </c>
      <c r="D322" s="5" t="str">
        <f aca="false">設定!$A$40</f>
        <v>短期経理</v>
      </c>
      <c r="E322" s="5" t="str">
        <f aca="false">設定!$B$40&amp;""</f>
        <v/>
      </c>
      <c r="F322" s="5" t="str">
        <f aca="false">設定!$D$51&amp;""</f>
        <v/>
      </c>
      <c r="G322" s="5" t="str">
        <f aca="false">設定!$E$51&amp;""</f>
        <v/>
      </c>
      <c r="H322" s="5" t="n">
        <f aca="false">IF(B322="",0,N(INDEX(報告入力!$AZ$7:$AZ$696,B322)))</f>
        <v>32153</v>
      </c>
      <c r="I322" s="5" t="str">
        <f aca="false">設定!$C$40&amp;""</f>
        <v/>
      </c>
      <c r="J322" s="5" t="str">
        <f aca="false">設定!$D$40&amp;""</f>
        <v/>
      </c>
      <c r="K322" s="5" t="n">
        <f aca="false">IF(AND(H322&lt;&gt;0,IF(設定!$B$6="入金確認済のみ",C322="入金確認済",OR(C322="入金確認済",C322="受領済"))),1,0)</f>
        <v>0</v>
      </c>
      <c r="L322" s="5" t="str">
        <f aca="false">2&amp;"|"&amp;44</f>
        <v>2|44</v>
      </c>
      <c r="M322" s="5" t="n">
        <f aca="false">IF(L322=L321,M321,0)+K322</f>
        <v>0</v>
      </c>
      <c r="N322" s="5" t="n">
        <f aca="false">IF(AND(K322=1,M322=1),1,0)</f>
        <v>0</v>
      </c>
      <c r="O322" s="5" t="str">
        <f aca="false">IF(K322=1,MAX($O$5:O321)+1,"")</f>
        <v/>
      </c>
      <c r="P322" s="5" t="str">
        <f aca="false">IF(K322=1,SUM($N$6:N322),"")</f>
        <v/>
      </c>
      <c r="Q322" s="5" t="str">
        <f aca="false">IF(K322=1,SUMIFS($H$6:$H$511,$L$6:$L$511,L322,$K$6:$K$511,1),"")</f>
        <v/>
      </c>
      <c r="R322" s="78" t="str">
        <f aca="false">IF(B322="","",IF(INDEX(報告入力!$X$7:$X$696,B322)="","",INDEX(報告入力!$X$7:$X$696,B322)))</f>
        <v/>
      </c>
      <c r="S322" s="5" t="str">
        <f aca="false">設定!$C$51</f>
        <v>短期：掛金</v>
      </c>
    </row>
    <row r="323" customFormat="false" ht="15" hidden="false" customHeight="false" outlineLevel="0" collapsed="false">
      <c r="A323" s="5" t="str">
        <f aca="false">設定!B104</f>
        <v>病院労働組合</v>
      </c>
      <c r="B323" s="5" t="n">
        <f aca="false">IFERROR(MATCH(ホーム!$C$4&amp;"|"&amp;A323,報告入力!$CG$7:$CG$696,0),"")</f>
        <v>366</v>
      </c>
      <c r="C323" s="5" t="str">
        <f aca="false">IF(B323="","",INDEX(報告入力!$C$7:$C$696,B323))</f>
        <v>受領済</v>
      </c>
      <c r="D323" s="5" t="str">
        <f aca="false">設定!$A$40</f>
        <v>短期経理</v>
      </c>
      <c r="E323" s="5" t="str">
        <f aca="false">設定!$B$40&amp;""</f>
        <v/>
      </c>
      <c r="F323" s="5" t="str">
        <f aca="false">設定!$D$52&amp;""</f>
        <v/>
      </c>
      <c r="G323" s="5" t="str">
        <f aca="false">設定!$E$52&amp;""</f>
        <v/>
      </c>
      <c r="H323" s="5" t="n">
        <f aca="false">IF(B323="",0,N(INDEX(報告入力!$BA$7:$BA$696,B323)))</f>
        <v>32184</v>
      </c>
      <c r="I323" s="5" t="str">
        <f aca="false">設定!$C$40&amp;""</f>
        <v/>
      </c>
      <c r="J323" s="5" t="str">
        <f aca="false">設定!$D$40&amp;""</f>
        <v/>
      </c>
      <c r="K323" s="5" t="n">
        <f aca="false">IF(AND(H323&lt;&gt;0,IF(設定!$B$6="入金確認済のみ",C323="入金確認済",OR(C323="入金確認済",C323="受領済"))),1,0)</f>
        <v>0</v>
      </c>
      <c r="L323" s="5" t="str">
        <f aca="false">2&amp;"|"&amp;44</f>
        <v>2|44</v>
      </c>
      <c r="M323" s="5" t="n">
        <f aca="false">IF(L323=L322,M322,0)+K323</f>
        <v>0</v>
      </c>
      <c r="N323" s="5" t="n">
        <f aca="false">IF(AND(K323=1,M323=1),1,0)</f>
        <v>0</v>
      </c>
      <c r="O323" s="5" t="str">
        <f aca="false">IF(K323=1,MAX($O$5:O322)+1,"")</f>
        <v/>
      </c>
      <c r="P323" s="5" t="str">
        <f aca="false">IF(K323=1,SUM($N$6:N323),"")</f>
        <v/>
      </c>
      <c r="Q323" s="5" t="str">
        <f aca="false">IF(K323=1,SUMIFS($H$6:$H$511,$L$6:$L$511,L323,$K$6:$K$511,1),"")</f>
        <v/>
      </c>
      <c r="R323" s="78" t="str">
        <f aca="false">IF(B323="","",IF(INDEX(報告入力!$X$7:$X$696,B323)="","",INDEX(報告入力!$X$7:$X$696,B323)))</f>
        <v/>
      </c>
      <c r="S323" s="5" t="str">
        <f aca="false">設定!$C$52</f>
        <v>短期：負担金</v>
      </c>
    </row>
    <row r="324" customFormat="false" ht="15" hidden="false" customHeight="false" outlineLevel="0" collapsed="false">
      <c r="A324" s="5" t="str">
        <f aca="false">設定!B105</f>
        <v>水道労働組合</v>
      </c>
      <c r="B324" s="5" t="n">
        <f aca="false">IFERROR(MATCH(ホーム!$C$4&amp;"|"&amp;A324,報告入力!$CG$7:$CG$696,0),"")</f>
        <v>367</v>
      </c>
      <c r="C324" s="5" t="str">
        <f aca="false">IF(B324="","",INDEX(報告入力!$C$7:$C$696,B324))</f>
        <v>報告なし</v>
      </c>
      <c r="D324" s="5" t="str">
        <f aca="false">設定!$A$40</f>
        <v>短期経理</v>
      </c>
      <c r="E324" s="5" t="str">
        <f aca="false">設定!$B$40&amp;""</f>
        <v/>
      </c>
      <c r="F324" s="5" t="str">
        <f aca="false">設定!$D$51&amp;""</f>
        <v/>
      </c>
      <c r="G324" s="5" t="str">
        <f aca="false">設定!$E$51&amp;""</f>
        <v/>
      </c>
      <c r="H324" s="5" t="n">
        <f aca="false">IF(B324="",0,N(INDEX(報告入力!$AZ$7:$AZ$696,B324)))</f>
        <v>0</v>
      </c>
      <c r="I324" s="5" t="str">
        <f aca="false">設定!$C$40&amp;""</f>
        <v/>
      </c>
      <c r="J324" s="5" t="str">
        <f aca="false">設定!$D$40&amp;""</f>
        <v/>
      </c>
      <c r="K324" s="5" t="n">
        <f aca="false">IF(AND(H324&lt;&gt;0,IF(設定!$B$6="入金確認済のみ",C324="入金確認済",OR(C324="入金確認済",C324="受領済"))),1,0)</f>
        <v>0</v>
      </c>
      <c r="L324" s="5" t="str">
        <f aca="false">2&amp;"|"&amp;45</f>
        <v>2|45</v>
      </c>
      <c r="M324" s="5" t="n">
        <f aca="false">IF(L324=L323,M323,0)+K324</f>
        <v>0</v>
      </c>
      <c r="N324" s="5" t="n">
        <f aca="false">IF(AND(K324=1,M324=1),1,0)</f>
        <v>0</v>
      </c>
      <c r="O324" s="5" t="str">
        <f aca="false">IF(K324=1,MAX($O$5:O323)+1,"")</f>
        <v/>
      </c>
      <c r="P324" s="5" t="str">
        <f aca="false">IF(K324=1,SUM($N$6:N324),"")</f>
        <v/>
      </c>
      <c r="Q324" s="5" t="str">
        <f aca="false">IF(K324=1,SUMIFS($H$6:$H$511,$L$6:$L$511,L324,$K$6:$K$511,1),"")</f>
        <v/>
      </c>
      <c r="R324" s="78" t="str">
        <f aca="false">IF(B324="","",IF(INDEX(報告入力!$X$7:$X$696,B324)="","",INDEX(報告入力!$X$7:$X$696,B324)))</f>
        <v/>
      </c>
      <c r="S324" s="5" t="str">
        <f aca="false">設定!$C$51</f>
        <v>短期：掛金</v>
      </c>
    </row>
    <row r="325" customFormat="false" ht="15" hidden="false" customHeight="false" outlineLevel="0" collapsed="false">
      <c r="A325" s="5" t="str">
        <f aca="false">設定!B105</f>
        <v>水道労働組合</v>
      </c>
      <c r="B325" s="5" t="n">
        <f aca="false">IFERROR(MATCH(ホーム!$C$4&amp;"|"&amp;A325,報告入力!$CG$7:$CG$696,0),"")</f>
        <v>367</v>
      </c>
      <c r="C325" s="5" t="str">
        <f aca="false">IF(B325="","",INDEX(報告入力!$C$7:$C$696,B325))</f>
        <v>報告なし</v>
      </c>
      <c r="D325" s="5" t="str">
        <f aca="false">設定!$A$40</f>
        <v>短期経理</v>
      </c>
      <c r="E325" s="5" t="str">
        <f aca="false">設定!$B$40&amp;""</f>
        <v/>
      </c>
      <c r="F325" s="5" t="str">
        <f aca="false">設定!$D$52&amp;""</f>
        <v/>
      </c>
      <c r="G325" s="5" t="str">
        <f aca="false">設定!$E$52&amp;""</f>
        <v/>
      </c>
      <c r="H325" s="5" t="n">
        <f aca="false">IF(B325="",0,N(INDEX(報告入力!$BA$7:$BA$696,B325)))</f>
        <v>0</v>
      </c>
      <c r="I325" s="5" t="str">
        <f aca="false">設定!$C$40&amp;""</f>
        <v/>
      </c>
      <c r="J325" s="5" t="str">
        <f aca="false">設定!$D$40&amp;""</f>
        <v/>
      </c>
      <c r="K325" s="5" t="n">
        <f aca="false">IF(AND(H325&lt;&gt;0,IF(設定!$B$6="入金確認済のみ",C325="入金確認済",OR(C325="入金確認済",C325="受領済"))),1,0)</f>
        <v>0</v>
      </c>
      <c r="L325" s="5" t="str">
        <f aca="false">2&amp;"|"&amp;45</f>
        <v>2|45</v>
      </c>
      <c r="M325" s="5" t="n">
        <f aca="false">IF(L325=L324,M324,0)+K325</f>
        <v>0</v>
      </c>
      <c r="N325" s="5" t="n">
        <f aca="false">IF(AND(K325=1,M325=1),1,0)</f>
        <v>0</v>
      </c>
      <c r="O325" s="5" t="str">
        <f aca="false">IF(K325=1,MAX($O$5:O324)+1,"")</f>
        <v/>
      </c>
      <c r="P325" s="5" t="str">
        <f aca="false">IF(K325=1,SUM($N$6:N325),"")</f>
        <v/>
      </c>
      <c r="Q325" s="5" t="str">
        <f aca="false">IF(K325=1,SUMIFS($H$6:$H$511,$L$6:$L$511,L325,$K$6:$K$511,1),"")</f>
        <v/>
      </c>
      <c r="R325" s="78" t="str">
        <f aca="false">IF(B325="","",IF(INDEX(報告入力!$X$7:$X$696,B325)="","",INDEX(報告入力!$X$7:$X$696,B325)))</f>
        <v/>
      </c>
      <c r="S325" s="5" t="str">
        <f aca="false">設定!$C$52</f>
        <v>短期：負担金</v>
      </c>
    </row>
    <row r="326" customFormat="false" ht="15" hidden="false" customHeight="false" outlineLevel="0" collapsed="false">
      <c r="A326" s="5" t="str">
        <f aca="false">設定!B106</f>
        <v>任意継続組合員</v>
      </c>
      <c r="B326" s="5" t="n">
        <f aca="false">IFERROR(MATCH(ホーム!$C$4&amp;"|"&amp;A326,報告入力!$CG$7:$CG$696,0),"")</f>
        <v>368</v>
      </c>
      <c r="C326" s="5" t="str">
        <f aca="false">IF(B326="","",INDEX(報告入力!$C$7:$C$696,B326))</f>
        <v>未受領</v>
      </c>
      <c r="D326" s="5" t="str">
        <f aca="false">設定!$A$40</f>
        <v>短期経理</v>
      </c>
      <c r="E326" s="5" t="str">
        <f aca="false">設定!$B$40&amp;""</f>
        <v/>
      </c>
      <c r="F326" s="5" t="str">
        <f aca="false">設定!$D$51&amp;""</f>
        <v/>
      </c>
      <c r="G326" s="5" t="str">
        <f aca="false">設定!$E$51&amp;""</f>
        <v/>
      </c>
      <c r="H326" s="5" t="n">
        <f aca="false">IF(B326="",0,N(INDEX(報告入力!$AZ$7:$AZ$696,B326)))</f>
        <v>2637097</v>
      </c>
      <c r="I326" s="5" t="str">
        <f aca="false">設定!$C$40&amp;""</f>
        <v/>
      </c>
      <c r="J326" s="5" t="str">
        <f aca="false">設定!$D$40&amp;""</f>
        <v/>
      </c>
      <c r="K326" s="5" t="n">
        <f aca="false">IF(AND(H326&lt;&gt;0,IF(設定!$B$6="入金確認済のみ",C326="入金確認済",OR(C326="入金確認済",C326="受領済"))),1,0)</f>
        <v>0</v>
      </c>
      <c r="L326" s="5" t="str">
        <f aca="false">2&amp;"|"&amp;46</f>
        <v>2|46</v>
      </c>
      <c r="M326" s="5" t="n">
        <f aca="false">IF(L326=L325,M325,0)+K326</f>
        <v>0</v>
      </c>
      <c r="N326" s="5" t="n">
        <f aca="false">IF(AND(K326=1,M326=1),1,0)</f>
        <v>0</v>
      </c>
      <c r="O326" s="5" t="str">
        <f aca="false">IF(K326=1,MAX($O$5:O325)+1,"")</f>
        <v/>
      </c>
      <c r="P326" s="5" t="str">
        <f aca="false">IF(K326=1,SUM($N$6:N326),"")</f>
        <v/>
      </c>
      <c r="Q326" s="5" t="str">
        <f aca="false">IF(K326=1,SUMIFS($H$6:$H$511,$L$6:$L$511,L326,$K$6:$K$511,1),"")</f>
        <v/>
      </c>
      <c r="R326" s="78" t="str">
        <f aca="false">IF(B326="","",IF(INDEX(報告入力!$X$7:$X$696,B326)="","",INDEX(報告入力!$X$7:$X$696,B326)))</f>
        <v/>
      </c>
      <c r="S326" s="5" t="str">
        <f aca="false">設定!$C$51</f>
        <v>短期：掛金</v>
      </c>
    </row>
    <row r="327" customFormat="false" ht="15" hidden="false" customHeight="false" outlineLevel="0" collapsed="false">
      <c r="A327" s="5" t="str">
        <f aca="false">設定!B106</f>
        <v>任意継続組合員</v>
      </c>
      <c r="B327" s="5" t="n">
        <f aca="false">IFERROR(MATCH(ホーム!$C$4&amp;"|"&amp;A327,報告入力!$CG$7:$CG$696,0),"")</f>
        <v>368</v>
      </c>
      <c r="C327" s="5" t="str">
        <f aca="false">IF(B327="","",INDEX(報告入力!$C$7:$C$696,B327))</f>
        <v>未受領</v>
      </c>
      <c r="D327" s="5" t="str">
        <f aca="false">設定!$A$40</f>
        <v>短期経理</v>
      </c>
      <c r="E327" s="5" t="str">
        <f aca="false">設定!$B$40&amp;""</f>
        <v/>
      </c>
      <c r="F327" s="5" t="str">
        <f aca="false">設定!$D$52&amp;""</f>
        <v/>
      </c>
      <c r="G327" s="5" t="str">
        <f aca="false">設定!$E$52&amp;""</f>
        <v/>
      </c>
      <c r="H327" s="5" t="n">
        <f aca="false">IF(B327="",0,N(INDEX(報告入力!$BA$7:$BA$696,B327)))</f>
        <v>0</v>
      </c>
      <c r="I327" s="5" t="str">
        <f aca="false">設定!$C$40&amp;""</f>
        <v/>
      </c>
      <c r="J327" s="5" t="str">
        <f aca="false">設定!$D$40&amp;""</f>
        <v/>
      </c>
      <c r="K327" s="5" t="n">
        <f aca="false">IF(AND(H327&lt;&gt;0,IF(設定!$B$6="入金確認済のみ",C327="入金確認済",OR(C327="入金確認済",C327="受領済"))),1,0)</f>
        <v>0</v>
      </c>
      <c r="L327" s="5" t="str">
        <f aca="false">2&amp;"|"&amp;46</f>
        <v>2|46</v>
      </c>
      <c r="M327" s="5" t="n">
        <f aca="false">IF(L327=L326,M326,0)+K327</f>
        <v>0</v>
      </c>
      <c r="N327" s="5" t="n">
        <f aca="false">IF(AND(K327=1,M327=1),1,0)</f>
        <v>0</v>
      </c>
      <c r="O327" s="5" t="str">
        <f aca="false">IF(K327=1,MAX($O$5:O326)+1,"")</f>
        <v/>
      </c>
      <c r="P327" s="5" t="str">
        <f aca="false">IF(K327=1,SUM($N$6:N327),"")</f>
        <v/>
      </c>
      <c r="Q327" s="5" t="str">
        <f aca="false">IF(K327=1,SUMIFS($H$6:$H$511,$L$6:$L$511,L327,$K$6:$K$511,1),"")</f>
        <v/>
      </c>
      <c r="R327" s="78" t="str">
        <f aca="false">IF(B327="","",IF(INDEX(報告入力!$X$7:$X$696,B327)="","",INDEX(報告入力!$X$7:$X$696,B327)))</f>
        <v/>
      </c>
      <c r="S327" s="5" t="str">
        <f aca="false">設定!$C$52</f>
        <v>短期：負担金</v>
      </c>
    </row>
    <row r="328" customFormat="false" ht="15" hidden="false" customHeight="false" outlineLevel="0" collapsed="false">
      <c r="A328" s="5" t="str">
        <f aca="false">設定!B61</f>
        <v>市長部局</v>
      </c>
      <c r="B328" s="5" t="n">
        <f aca="false">IFERROR(MATCH(ホーム!$C$4&amp;"|"&amp;A328,報告入力!$CG$7:$CG$696,0),"")</f>
        <v>323</v>
      </c>
      <c r="C328" s="5" t="str">
        <f aca="false">IF(B328="","",INDEX(報告入力!$C$7:$C$696,B328))</f>
        <v>未受領</v>
      </c>
      <c r="D328" s="5" t="str">
        <f aca="false">設定!$A$41</f>
        <v>介護経理</v>
      </c>
      <c r="E328" s="5" t="str">
        <f aca="false">設定!$B$41&amp;""</f>
        <v/>
      </c>
      <c r="F328" s="5" t="str">
        <f aca="false">設定!$D$53&amp;""</f>
        <v/>
      </c>
      <c r="G328" s="5" t="str">
        <f aca="false">設定!$E$53&amp;""</f>
        <v/>
      </c>
      <c r="H328" s="5" t="n">
        <f aca="false">IF(B328="",0,N(INDEX(報告入力!$BB$7:$BB$696,B328)))</f>
        <v>15720292</v>
      </c>
      <c r="I328" s="5" t="str">
        <f aca="false">設定!$C$41&amp;""</f>
        <v/>
      </c>
      <c r="J328" s="5" t="str">
        <f aca="false">設定!$D$41&amp;""</f>
        <v/>
      </c>
      <c r="K328" s="5" t="n">
        <f aca="false">IF(AND(H328&lt;&gt;0,IF(設定!$B$6="入金確認済のみ",C328="入金確認済",OR(C328="入金確認済",C328="受領済"))),1,0)</f>
        <v>0</v>
      </c>
      <c r="L328" s="5" t="str">
        <f aca="false">3&amp;"|"&amp;1</f>
        <v>3|1</v>
      </c>
      <c r="M328" s="5" t="n">
        <f aca="false">IF(L328=L327,M327,0)+K328</f>
        <v>0</v>
      </c>
      <c r="N328" s="5" t="n">
        <f aca="false">IF(AND(K328=1,M328=1),1,0)</f>
        <v>0</v>
      </c>
      <c r="O328" s="5" t="str">
        <f aca="false">IF(K328=1,MAX($O$5:O327)+1,"")</f>
        <v/>
      </c>
      <c r="P328" s="5" t="str">
        <f aca="false">IF(K328=1,SUM($N$6:N328),"")</f>
        <v/>
      </c>
      <c r="Q328" s="5" t="str">
        <f aca="false">IF(K328=1,SUMIFS($H$6:$H$511,$L$6:$L$511,L328,$K$6:$K$511,1),"")</f>
        <v/>
      </c>
      <c r="R328" s="78" t="str">
        <f aca="false">IF(B328="","",IF(INDEX(報告入力!$X$7:$X$696,B328)="","",INDEX(報告入力!$X$7:$X$696,B328)))</f>
        <v/>
      </c>
      <c r="S328" s="5" t="str">
        <f aca="false">設定!$C$53</f>
        <v>介護：掛金</v>
      </c>
    </row>
    <row r="329" customFormat="false" ht="15" hidden="false" customHeight="false" outlineLevel="0" collapsed="false">
      <c r="A329" s="5" t="str">
        <f aca="false">設定!B61</f>
        <v>市長部局</v>
      </c>
      <c r="B329" s="5" t="n">
        <f aca="false">IFERROR(MATCH(ホーム!$C$4&amp;"|"&amp;A329,報告入力!$CG$7:$CG$696,0),"")</f>
        <v>323</v>
      </c>
      <c r="C329" s="5" t="str">
        <f aca="false">IF(B329="","",INDEX(報告入力!$C$7:$C$696,B329))</f>
        <v>未受領</v>
      </c>
      <c r="D329" s="5" t="str">
        <f aca="false">設定!$A$41</f>
        <v>介護経理</v>
      </c>
      <c r="E329" s="5" t="str">
        <f aca="false">設定!$B$41&amp;""</f>
        <v/>
      </c>
      <c r="F329" s="5" t="str">
        <f aca="false">設定!$D$54&amp;""</f>
        <v/>
      </c>
      <c r="G329" s="5" t="str">
        <f aca="false">設定!$E$54&amp;""</f>
        <v/>
      </c>
      <c r="H329" s="5" t="n">
        <f aca="false">IF(B329="",0,N(INDEX(報告入力!$BC$7:$BC$696,B329)))</f>
        <v>15284428</v>
      </c>
      <c r="I329" s="5" t="str">
        <f aca="false">設定!$C$41&amp;""</f>
        <v/>
      </c>
      <c r="J329" s="5" t="str">
        <f aca="false">設定!$D$41&amp;""</f>
        <v/>
      </c>
      <c r="K329" s="5" t="n">
        <f aca="false">IF(AND(H329&lt;&gt;0,IF(設定!$B$6="入金確認済のみ",C329="入金確認済",OR(C329="入金確認済",C329="受領済"))),1,0)</f>
        <v>0</v>
      </c>
      <c r="L329" s="5" t="str">
        <f aca="false">3&amp;"|"&amp;1</f>
        <v>3|1</v>
      </c>
      <c r="M329" s="5" t="n">
        <f aca="false">IF(L329=L328,M328,0)+K329</f>
        <v>0</v>
      </c>
      <c r="N329" s="5" t="n">
        <f aca="false">IF(AND(K329=1,M329=1),1,0)</f>
        <v>0</v>
      </c>
      <c r="O329" s="5" t="str">
        <f aca="false">IF(K329=1,MAX($O$5:O328)+1,"")</f>
        <v/>
      </c>
      <c r="P329" s="5" t="str">
        <f aca="false">IF(K329=1,SUM($N$6:N329),"")</f>
        <v/>
      </c>
      <c r="Q329" s="5" t="str">
        <f aca="false">IF(K329=1,SUMIFS($H$6:$H$511,$L$6:$L$511,L329,$K$6:$K$511,1),"")</f>
        <v/>
      </c>
      <c r="R329" s="78" t="str">
        <f aca="false">IF(B329="","",IF(INDEX(報告入力!$X$7:$X$696,B329)="","",INDEX(報告入力!$X$7:$X$696,B329)))</f>
        <v/>
      </c>
      <c r="S329" s="5" t="str">
        <f aca="false">設定!$C$54</f>
        <v>介護：負担金</v>
      </c>
    </row>
    <row r="330" customFormat="false" ht="15" hidden="false" customHeight="false" outlineLevel="0" collapsed="false">
      <c r="A330" s="5" t="str">
        <f aca="false">設定!B62</f>
        <v>下水道局</v>
      </c>
      <c r="B330" s="5" t="n">
        <f aca="false">IFERROR(MATCH(ホーム!$C$4&amp;"|"&amp;A330,報告入力!$CG$7:$CG$696,0),"")</f>
        <v>324</v>
      </c>
      <c r="C330" s="5" t="str">
        <f aca="false">IF(B330="","",INDEX(報告入力!$C$7:$C$696,B330))</f>
        <v>未受領</v>
      </c>
      <c r="D330" s="5" t="str">
        <f aca="false">設定!$A$41</f>
        <v>介護経理</v>
      </c>
      <c r="E330" s="5" t="str">
        <f aca="false">設定!$B$41&amp;""</f>
        <v/>
      </c>
      <c r="F330" s="5" t="str">
        <f aca="false">設定!$D$53&amp;""</f>
        <v/>
      </c>
      <c r="G330" s="5" t="str">
        <f aca="false">設定!$E$53&amp;""</f>
        <v/>
      </c>
      <c r="H330" s="5" t="n">
        <f aca="false">IF(B330="",0,N(INDEX(報告入力!$BB$7:$BB$696,B330)))</f>
        <v>1038485</v>
      </c>
      <c r="I330" s="5" t="str">
        <f aca="false">設定!$C$41&amp;""</f>
        <v/>
      </c>
      <c r="J330" s="5" t="str">
        <f aca="false">設定!$D$41&amp;""</f>
        <v/>
      </c>
      <c r="K330" s="5" t="n">
        <f aca="false">IF(AND(H330&lt;&gt;0,IF(設定!$B$6="入金確認済のみ",C330="入金確認済",OR(C330="入金確認済",C330="受領済"))),1,0)</f>
        <v>0</v>
      </c>
      <c r="L330" s="5" t="str">
        <f aca="false">3&amp;"|"&amp;2</f>
        <v>3|2</v>
      </c>
      <c r="M330" s="5" t="n">
        <f aca="false">IF(L330=L329,M329,0)+K330</f>
        <v>0</v>
      </c>
      <c r="N330" s="5" t="n">
        <f aca="false">IF(AND(K330=1,M330=1),1,0)</f>
        <v>0</v>
      </c>
      <c r="O330" s="5" t="str">
        <f aca="false">IF(K330=1,MAX($O$5:O329)+1,"")</f>
        <v/>
      </c>
      <c r="P330" s="5" t="str">
        <f aca="false">IF(K330=1,SUM($N$6:N330),"")</f>
        <v/>
      </c>
      <c r="Q330" s="5" t="str">
        <f aca="false">IF(K330=1,SUMIFS($H$6:$H$511,$L$6:$L$511,L330,$K$6:$K$511,1),"")</f>
        <v/>
      </c>
      <c r="R330" s="78" t="str">
        <f aca="false">IF(B330="","",IF(INDEX(報告入力!$X$7:$X$696,B330)="","",INDEX(報告入力!$X$7:$X$696,B330)))</f>
        <v/>
      </c>
      <c r="S330" s="5" t="str">
        <f aca="false">設定!$C$53</f>
        <v>介護：掛金</v>
      </c>
    </row>
    <row r="331" customFormat="false" ht="15" hidden="false" customHeight="false" outlineLevel="0" collapsed="false">
      <c r="A331" s="5" t="str">
        <f aca="false">設定!B62</f>
        <v>下水道局</v>
      </c>
      <c r="B331" s="5" t="n">
        <f aca="false">IFERROR(MATCH(ホーム!$C$4&amp;"|"&amp;A331,報告入力!$CG$7:$CG$696,0),"")</f>
        <v>324</v>
      </c>
      <c r="C331" s="5" t="str">
        <f aca="false">IF(B331="","",INDEX(報告入力!$C$7:$C$696,B331))</f>
        <v>未受領</v>
      </c>
      <c r="D331" s="5" t="str">
        <f aca="false">設定!$A$41</f>
        <v>介護経理</v>
      </c>
      <c r="E331" s="5" t="str">
        <f aca="false">設定!$B$41&amp;""</f>
        <v/>
      </c>
      <c r="F331" s="5" t="str">
        <f aca="false">設定!$D$54&amp;""</f>
        <v/>
      </c>
      <c r="G331" s="5" t="str">
        <f aca="false">設定!$E$54&amp;""</f>
        <v/>
      </c>
      <c r="H331" s="5" t="n">
        <f aca="false">IF(B331="",0,N(INDEX(報告入力!$BC$7:$BC$696,B331)))</f>
        <v>1038485</v>
      </c>
      <c r="I331" s="5" t="str">
        <f aca="false">設定!$C$41&amp;""</f>
        <v/>
      </c>
      <c r="J331" s="5" t="str">
        <f aca="false">設定!$D$41&amp;""</f>
        <v/>
      </c>
      <c r="K331" s="5" t="n">
        <f aca="false">IF(AND(H331&lt;&gt;0,IF(設定!$B$6="入金確認済のみ",C331="入金確認済",OR(C331="入金確認済",C331="受領済"))),1,0)</f>
        <v>0</v>
      </c>
      <c r="L331" s="5" t="str">
        <f aca="false">3&amp;"|"&amp;2</f>
        <v>3|2</v>
      </c>
      <c r="M331" s="5" t="n">
        <f aca="false">IF(L331=L330,M330,0)+K331</f>
        <v>0</v>
      </c>
      <c r="N331" s="5" t="n">
        <f aca="false">IF(AND(K331=1,M331=1),1,0)</f>
        <v>0</v>
      </c>
      <c r="O331" s="5" t="str">
        <f aca="false">IF(K331=1,MAX($O$5:O330)+1,"")</f>
        <v/>
      </c>
      <c r="P331" s="5" t="str">
        <f aca="false">IF(K331=1,SUM($N$6:N331),"")</f>
        <v/>
      </c>
      <c r="Q331" s="5" t="str">
        <f aca="false">IF(K331=1,SUMIFS($H$6:$H$511,$L$6:$L$511,L331,$K$6:$K$511,1),"")</f>
        <v/>
      </c>
      <c r="R331" s="78" t="str">
        <f aca="false">IF(B331="","",IF(INDEX(報告入力!$X$7:$X$696,B331)="","",INDEX(報告入力!$X$7:$X$696,B331)))</f>
        <v/>
      </c>
      <c r="S331" s="5" t="str">
        <f aca="false">設定!$C$54</f>
        <v>介護：負担金</v>
      </c>
    </row>
    <row r="332" customFormat="false" ht="15" hidden="false" customHeight="false" outlineLevel="0" collapsed="false">
      <c r="A332" s="5" t="str">
        <f aca="false">設定!B63</f>
        <v>消防局</v>
      </c>
      <c r="B332" s="5" t="n">
        <f aca="false">IFERROR(MATCH(ホーム!$C$4&amp;"|"&amp;A332,報告入力!$CG$7:$CG$696,0),"")</f>
        <v>325</v>
      </c>
      <c r="C332" s="5" t="str">
        <f aca="false">IF(B332="","",INDEX(報告入力!$C$7:$C$696,B332))</f>
        <v>未受領</v>
      </c>
      <c r="D332" s="5" t="str">
        <f aca="false">設定!$A$41</f>
        <v>介護経理</v>
      </c>
      <c r="E332" s="5" t="str">
        <f aca="false">設定!$B$41&amp;""</f>
        <v/>
      </c>
      <c r="F332" s="5" t="str">
        <f aca="false">設定!$D$53&amp;""</f>
        <v/>
      </c>
      <c r="G332" s="5" t="str">
        <f aca="false">設定!$E$53&amp;""</f>
        <v/>
      </c>
      <c r="H332" s="5" t="n">
        <f aca="false">IF(B332="",0,N(INDEX(報告入力!$BB$7:$BB$696,B332)))</f>
        <v>1962484</v>
      </c>
      <c r="I332" s="5" t="str">
        <f aca="false">設定!$C$41&amp;""</f>
        <v/>
      </c>
      <c r="J332" s="5" t="str">
        <f aca="false">設定!$D$41&amp;""</f>
        <v/>
      </c>
      <c r="K332" s="5" t="n">
        <f aca="false">IF(AND(H332&lt;&gt;0,IF(設定!$B$6="入金確認済のみ",C332="入金確認済",OR(C332="入金確認済",C332="受領済"))),1,0)</f>
        <v>0</v>
      </c>
      <c r="L332" s="5" t="str">
        <f aca="false">3&amp;"|"&amp;3</f>
        <v>3|3</v>
      </c>
      <c r="M332" s="5" t="n">
        <f aca="false">IF(L332=L331,M331,0)+K332</f>
        <v>0</v>
      </c>
      <c r="N332" s="5" t="n">
        <f aca="false">IF(AND(K332=1,M332=1),1,0)</f>
        <v>0</v>
      </c>
      <c r="O332" s="5" t="str">
        <f aca="false">IF(K332=1,MAX($O$5:O331)+1,"")</f>
        <v/>
      </c>
      <c r="P332" s="5" t="str">
        <f aca="false">IF(K332=1,SUM($N$6:N332),"")</f>
        <v/>
      </c>
      <c r="Q332" s="5" t="str">
        <f aca="false">IF(K332=1,SUMIFS($H$6:$H$511,$L$6:$L$511,L332,$K$6:$K$511,1),"")</f>
        <v/>
      </c>
      <c r="R332" s="78" t="str">
        <f aca="false">IF(B332="","",IF(INDEX(報告入力!$X$7:$X$696,B332)="","",INDEX(報告入力!$X$7:$X$696,B332)))</f>
        <v/>
      </c>
      <c r="S332" s="5" t="str">
        <f aca="false">設定!$C$53</f>
        <v>介護：掛金</v>
      </c>
    </row>
    <row r="333" customFormat="false" ht="15" hidden="false" customHeight="false" outlineLevel="0" collapsed="false">
      <c r="A333" s="5" t="str">
        <f aca="false">設定!B63</f>
        <v>消防局</v>
      </c>
      <c r="B333" s="5" t="n">
        <f aca="false">IFERROR(MATCH(ホーム!$C$4&amp;"|"&amp;A333,報告入力!$CG$7:$CG$696,0),"")</f>
        <v>325</v>
      </c>
      <c r="C333" s="5" t="str">
        <f aca="false">IF(B333="","",INDEX(報告入力!$C$7:$C$696,B333))</f>
        <v>未受領</v>
      </c>
      <c r="D333" s="5" t="str">
        <f aca="false">設定!$A$41</f>
        <v>介護経理</v>
      </c>
      <c r="E333" s="5" t="str">
        <f aca="false">設定!$B$41&amp;""</f>
        <v/>
      </c>
      <c r="F333" s="5" t="str">
        <f aca="false">設定!$D$54&amp;""</f>
        <v/>
      </c>
      <c r="G333" s="5" t="str">
        <f aca="false">設定!$E$54&amp;""</f>
        <v/>
      </c>
      <c r="H333" s="5" t="n">
        <f aca="false">IF(B333="",0,N(INDEX(報告入力!$BC$7:$BC$696,B333)))</f>
        <v>1955455</v>
      </c>
      <c r="I333" s="5" t="str">
        <f aca="false">設定!$C$41&amp;""</f>
        <v/>
      </c>
      <c r="J333" s="5" t="str">
        <f aca="false">設定!$D$41&amp;""</f>
        <v/>
      </c>
      <c r="K333" s="5" t="n">
        <f aca="false">IF(AND(H333&lt;&gt;0,IF(設定!$B$6="入金確認済のみ",C333="入金確認済",OR(C333="入金確認済",C333="受領済"))),1,0)</f>
        <v>0</v>
      </c>
      <c r="L333" s="5" t="str">
        <f aca="false">3&amp;"|"&amp;3</f>
        <v>3|3</v>
      </c>
      <c r="M333" s="5" t="n">
        <f aca="false">IF(L333=L332,M332,0)+K333</f>
        <v>0</v>
      </c>
      <c r="N333" s="5" t="n">
        <f aca="false">IF(AND(K333=1,M333=1),1,0)</f>
        <v>0</v>
      </c>
      <c r="O333" s="5" t="str">
        <f aca="false">IF(K333=1,MAX($O$5:O332)+1,"")</f>
        <v/>
      </c>
      <c r="P333" s="5" t="str">
        <f aca="false">IF(K333=1,SUM($N$6:N333),"")</f>
        <v/>
      </c>
      <c r="Q333" s="5" t="str">
        <f aca="false">IF(K333=1,SUMIFS($H$6:$H$511,$L$6:$L$511,L333,$K$6:$K$511,1),"")</f>
        <v/>
      </c>
      <c r="R333" s="78" t="str">
        <f aca="false">IF(B333="","",IF(INDEX(報告入力!$X$7:$X$696,B333)="","",INDEX(報告入力!$X$7:$X$696,B333)))</f>
        <v/>
      </c>
      <c r="S333" s="5" t="str">
        <f aca="false">設定!$C$54</f>
        <v>介護：負担金</v>
      </c>
    </row>
    <row r="334" customFormat="false" ht="15" hidden="false" customHeight="false" outlineLevel="0" collapsed="false">
      <c r="A334" s="5" t="str">
        <f aca="false">設定!B64</f>
        <v>議会事務局</v>
      </c>
      <c r="B334" s="5" t="n">
        <f aca="false">IFERROR(MATCH(ホーム!$C$4&amp;"|"&amp;A334,報告入力!$CG$7:$CG$696,0),"")</f>
        <v>326</v>
      </c>
      <c r="C334" s="5" t="str">
        <f aca="false">IF(B334="","",INDEX(報告入力!$C$7:$C$696,B334))</f>
        <v>未受領</v>
      </c>
      <c r="D334" s="5" t="str">
        <f aca="false">設定!$A$41</f>
        <v>介護経理</v>
      </c>
      <c r="E334" s="5" t="str">
        <f aca="false">設定!$B$41&amp;""</f>
        <v/>
      </c>
      <c r="F334" s="5" t="str">
        <f aca="false">設定!$D$53&amp;""</f>
        <v/>
      </c>
      <c r="G334" s="5" t="str">
        <f aca="false">設定!$E$53&amp;""</f>
        <v/>
      </c>
      <c r="H334" s="5" t="n">
        <f aca="false">IF(B334="",0,N(INDEX(報告入力!$BB$7:$BB$696,B334)))</f>
        <v>96696</v>
      </c>
      <c r="I334" s="5" t="str">
        <f aca="false">設定!$C$41&amp;""</f>
        <v/>
      </c>
      <c r="J334" s="5" t="str">
        <f aca="false">設定!$D$41&amp;""</f>
        <v/>
      </c>
      <c r="K334" s="5" t="n">
        <f aca="false">IF(AND(H334&lt;&gt;0,IF(設定!$B$6="入金確認済のみ",C334="入金確認済",OR(C334="入金確認済",C334="受領済"))),1,0)</f>
        <v>0</v>
      </c>
      <c r="L334" s="5" t="str">
        <f aca="false">3&amp;"|"&amp;4</f>
        <v>3|4</v>
      </c>
      <c r="M334" s="5" t="n">
        <f aca="false">IF(L334=L333,M333,0)+K334</f>
        <v>0</v>
      </c>
      <c r="N334" s="5" t="n">
        <f aca="false">IF(AND(K334=1,M334=1),1,0)</f>
        <v>0</v>
      </c>
      <c r="O334" s="5" t="str">
        <f aca="false">IF(K334=1,MAX($O$5:O333)+1,"")</f>
        <v/>
      </c>
      <c r="P334" s="5" t="str">
        <f aca="false">IF(K334=1,SUM($N$6:N334),"")</f>
        <v/>
      </c>
      <c r="Q334" s="5" t="str">
        <f aca="false">IF(K334=1,SUMIFS($H$6:$H$511,$L$6:$L$511,L334,$K$6:$K$511,1),"")</f>
        <v/>
      </c>
      <c r="R334" s="78" t="str">
        <f aca="false">IF(B334="","",IF(INDEX(報告入力!$X$7:$X$696,B334)="","",INDEX(報告入力!$X$7:$X$696,B334)))</f>
        <v/>
      </c>
      <c r="S334" s="5" t="str">
        <f aca="false">設定!$C$53</f>
        <v>介護：掛金</v>
      </c>
    </row>
    <row r="335" customFormat="false" ht="15" hidden="false" customHeight="false" outlineLevel="0" collapsed="false">
      <c r="A335" s="5" t="str">
        <f aca="false">設定!B64</f>
        <v>議会事務局</v>
      </c>
      <c r="B335" s="5" t="n">
        <f aca="false">IFERROR(MATCH(ホーム!$C$4&amp;"|"&amp;A335,報告入力!$CG$7:$CG$696,0),"")</f>
        <v>326</v>
      </c>
      <c r="C335" s="5" t="str">
        <f aca="false">IF(B335="","",INDEX(報告入力!$C$7:$C$696,B335))</f>
        <v>未受領</v>
      </c>
      <c r="D335" s="5" t="str">
        <f aca="false">設定!$A$41</f>
        <v>介護経理</v>
      </c>
      <c r="E335" s="5" t="str">
        <f aca="false">設定!$B$41&amp;""</f>
        <v/>
      </c>
      <c r="F335" s="5" t="str">
        <f aca="false">設定!$D$54&amp;""</f>
        <v/>
      </c>
      <c r="G335" s="5" t="str">
        <f aca="false">設定!$E$54&amp;""</f>
        <v/>
      </c>
      <c r="H335" s="5" t="n">
        <f aca="false">IF(B335="",0,N(INDEX(報告入力!$BC$7:$BC$696,B335)))</f>
        <v>96696</v>
      </c>
      <c r="I335" s="5" t="str">
        <f aca="false">設定!$C$41&amp;""</f>
        <v/>
      </c>
      <c r="J335" s="5" t="str">
        <f aca="false">設定!$D$41&amp;""</f>
        <v/>
      </c>
      <c r="K335" s="5" t="n">
        <f aca="false">IF(AND(H335&lt;&gt;0,IF(設定!$B$6="入金確認済のみ",C335="入金確認済",OR(C335="入金確認済",C335="受領済"))),1,0)</f>
        <v>0</v>
      </c>
      <c r="L335" s="5" t="str">
        <f aca="false">3&amp;"|"&amp;4</f>
        <v>3|4</v>
      </c>
      <c r="M335" s="5" t="n">
        <f aca="false">IF(L335=L334,M334,0)+K335</f>
        <v>0</v>
      </c>
      <c r="N335" s="5" t="n">
        <f aca="false">IF(AND(K335=1,M335=1),1,0)</f>
        <v>0</v>
      </c>
      <c r="O335" s="5" t="str">
        <f aca="false">IF(K335=1,MAX($O$5:O334)+1,"")</f>
        <v/>
      </c>
      <c r="P335" s="5" t="str">
        <f aca="false">IF(K335=1,SUM($N$6:N335),"")</f>
        <v/>
      </c>
      <c r="Q335" s="5" t="str">
        <f aca="false">IF(K335=1,SUMIFS($H$6:$H$511,$L$6:$L$511,L335,$K$6:$K$511,1),"")</f>
        <v/>
      </c>
      <c r="R335" s="78" t="str">
        <f aca="false">IF(B335="","",IF(INDEX(報告入力!$X$7:$X$696,B335)="","",INDEX(報告入力!$X$7:$X$696,B335)))</f>
        <v/>
      </c>
      <c r="S335" s="5" t="str">
        <f aca="false">設定!$C$54</f>
        <v>介護：負担金</v>
      </c>
    </row>
    <row r="336" customFormat="false" ht="15" hidden="false" customHeight="false" outlineLevel="0" collapsed="false">
      <c r="A336" s="5" t="str">
        <f aca="false">設定!B65</f>
        <v>教育委員会（総務課）</v>
      </c>
      <c r="B336" s="5" t="n">
        <f aca="false">IFERROR(MATCH(ホーム!$C$4&amp;"|"&amp;A336,報告入力!$CG$7:$CG$696,0),"")</f>
        <v>327</v>
      </c>
      <c r="C336" s="5" t="str">
        <f aca="false">IF(B336="","",INDEX(報告入力!$C$7:$C$696,B336))</f>
        <v>未受領</v>
      </c>
      <c r="D336" s="5" t="str">
        <f aca="false">設定!$A$41</f>
        <v>介護経理</v>
      </c>
      <c r="E336" s="5" t="str">
        <f aca="false">設定!$B$41&amp;""</f>
        <v/>
      </c>
      <c r="F336" s="5" t="str">
        <f aca="false">設定!$D$53&amp;""</f>
        <v/>
      </c>
      <c r="G336" s="5" t="str">
        <f aca="false">設定!$E$53&amp;""</f>
        <v/>
      </c>
      <c r="H336" s="5" t="n">
        <f aca="false">IF(B336="",0,N(INDEX(報告入力!$BB$7:$BB$696,B336)))</f>
        <v>2801103</v>
      </c>
      <c r="I336" s="5" t="str">
        <f aca="false">設定!$C$41&amp;""</f>
        <v/>
      </c>
      <c r="J336" s="5" t="str">
        <f aca="false">設定!$D$41&amp;""</f>
        <v/>
      </c>
      <c r="K336" s="5" t="n">
        <f aca="false">IF(AND(H336&lt;&gt;0,IF(設定!$B$6="入金確認済のみ",C336="入金確認済",OR(C336="入金確認済",C336="受領済"))),1,0)</f>
        <v>0</v>
      </c>
      <c r="L336" s="5" t="str">
        <f aca="false">3&amp;"|"&amp;5</f>
        <v>3|5</v>
      </c>
      <c r="M336" s="5" t="n">
        <f aca="false">IF(L336=L335,M335,0)+K336</f>
        <v>0</v>
      </c>
      <c r="N336" s="5" t="n">
        <f aca="false">IF(AND(K336=1,M336=1),1,0)</f>
        <v>0</v>
      </c>
      <c r="O336" s="5" t="str">
        <f aca="false">IF(K336=1,MAX($O$5:O335)+1,"")</f>
        <v/>
      </c>
      <c r="P336" s="5" t="str">
        <f aca="false">IF(K336=1,SUM($N$6:N336),"")</f>
        <v/>
      </c>
      <c r="Q336" s="5" t="str">
        <f aca="false">IF(K336=1,SUMIFS($H$6:$H$511,$L$6:$L$511,L336,$K$6:$K$511,1),"")</f>
        <v/>
      </c>
      <c r="R336" s="78" t="str">
        <f aca="false">IF(B336="","",IF(INDEX(報告入力!$X$7:$X$696,B336)="","",INDEX(報告入力!$X$7:$X$696,B336)))</f>
        <v/>
      </c>
      <c r="S336" s="5" t="str">
        <f aca="false">設定!$C$53</f>
        <v>介護：掛金</v>
      </c>
    </row>
    <row r="337" customFormat="false" ht="15" hidden="false" customHeight="false" outlineLevel="0" collapsed="false">
      <c r="A337" s="5" t="str">
        <f aca="false">設定!B65</f>
        <v>教育委員会（総務課）</v>
      </c>
      <c r="B337" s="5" t="n">
        <f aca="false">IFERROR(MATCH(ホーム!$C$4&amp;"|"&amp;A337,報告入力!$CG$7:$CG$696,0),"")</f>
        <v>327</v>
      </c>
      <c r="C337" s="5" t="str">
        <f aca="false">IF(B337="","",INDEX(報告入力!$C$7:$C$696,B337))</f>
        <v>未受領</v>
      </c>
      <c r="D337" s="5" t="str">
        <f aca="false">設定!$A$41</f>
        <v>介護経理</v>
      </c>
      <c r="E337" s="5" t="str">
        <f aca="false">設定!$B$41&amp;""</f>
        <v/>
      </c>
      <c r="F337" s="5" t="str">
        <f aca="false">設定!$D$54&amp;""</f>
        <v/>
      </c>
      <c r="G337" s="5" t="str">
        <f aca="false">設定!$E$54&amp;""</f>
        <v/>
      </c>
      <c r="H337" s="5" t="n">
        <f aca="false">IF(B337="",0,N(INDEX(報告入力!$BC$7:$BC$696,B337)))</f>
        <v>2793876</v>
      </c>
      <c r="I337" s="5" t="str">
        <f aca="false">設定!$C$41&amp;""</f>
        <v/>
      </c>
      <c r="J337" s="5" t="str">
        <f aca="false">設定!$D$41&amp;""</f>
        <v/>
      </c>
      <c r="K337" s="5" t="n">
        <f aca="false">IF(AND(H337&lt;&gt;0,IF(設定!$B$6="入金確認済のみ",C337="入金確認済",OR(C337="入金確認済",C337="受領済"))),1,0)</f>
        <v>0</v>
      </c>
      <c r="L337" s="5" t="str">
        <f aca="false">3&amp;"|"&amp;5</f>
        <v>3|5</v>
      </c>
      <c r="M337" s="5" t="n">
        <f aca="false">IF(L337=L336,M336,0)+K337</f>
        <v>0</v>
      </c>
      <c r="N337" s="5" t="n">
        <f aca="false">IF(AND(K337=1,M337=1),1,0)</f>
        <v>0</v>
      </c>
      <c r="O337" s="5" t="str">
        <f aca="false">IF(K337=1,MAX($O$5:O336)+1,"")</f>
        <v/>
      </c>
      <c r="P337" s="5" t="str">
        <f aca="false">IF(K337=1,SUM($N$6:N337),"")</f>
        <v/>
      </c>
      <c r="Q337" s="5" t="str">
        <f aca="false">IF(K337=1,SUMIFS($H$6:$H$511,$L$6:$L$511,L337,$K$6:$K$511,1),"")</f>
        <v/>
      </c>
      <c r="R337" s="78" t="str">
        <f aca="false">IF(B337="","",IF(INDEX(報告入力!$X$7:$X$696,B337)="","",INDEX(報告入力!$X$7:$X$696,B337)))</f>
        <v/>
      </c>
      <c r="S337" s="5" t="str">
        <f aca="false">設定!$C$54</f>
        <v>介護：負担金</v>
      </c>
    </row>
    <row r="338" customFormat="false" ht="15" hidden="false" customHeight="false" outlineLevel="0" collapsed="false">
      <c r="A338" s="5" t="str">
        <f aca="false">設定!B66</f>
        <v>選挙管理委員会</v>
      </c>
      <c r="B338" s="5" t="n">
        <f aca="false">IFERROR(MATCH(ホーム!$C$4&amp;"|"&amp;A338,報告入力!$CG$7:$CG$696,0),"")</f>
        <v>328</v>
      </c>
      <c r="C338" s="5" t="str">
        <f aca="false">IF(B338="","",INDEX(報告入力!$C$7:$C$696,B338))</f>
        <v>未受領</v>
      </c>
      <c r="D338" s="5" t="str">
        <f aca="false">設定!$A$41</f>
        <v>介護経理</v>
      </c>
      <c r="E338" s="5" t="str">
        <f aca="false">設定!$B$41&amp;""</f>
        <v/>
      </c>
      <c r="F338" s="5" t="str">
        <f aca="false">設定!$D$53&amp;""</f>
        <v/>
      </c>
      <c r="G338" s="5" t="str">
        <f aca="false">設定!$E$53&amp;""</f>
        <v/>
      </c>
      <c r="H338" s="5" t="n">
        <f aca="false">IF(B338="",0,N(INDEX(報告入力!$BB$7:$BB$696,B338)))</f>
        <v>15326</v>
      </c>
      <c r="I338" s="5" t="str">
        <f aca="false">設定!$C$41&amp;""</f>
        <v/>
      </c>
      <c r="J338" s="5" t="str">
        <f aca="false">設定!$D$41&amp;""</f>
        <v/>
      </c>
      <c r="K338" s="5" t="n">
        <f aca="false">IF(AND(H338&lt;&gt;0,IF(設定!$B$6="入金確認済のみ",C338="入金確認済",OR(C338="入金確認済",C338="受領済"))),1,0)</f>
        <v>0</v>
      </c>
      <c r="L338" s="5" t="str">
        <f aca="false">3&amp;"|"&amp;6</f>
        <v>3|6</v>
      </c>
      <c r="M338" s="5" t="n">
        <f aca="false">IF(L338=L337,M337,0)+K338</f>
        <v>0</v>
      </c>
      <c r="N338" s="5" t="n">
        <f aca="false">IF(AND(K338=1,M338=1),1,0)</f>
        <v>0</v>
      </c>
      <c r="O338" s="5" t="str">
        <f aca="false">IF(K338=1,MAX($O$5:O337)+1,"")</f>
        <v/>
      </c>
      <c r="P338" s="5" t="str">
        <f aca="false">IF(K338=1,SUM($N$6:N338),"")</f>
        <v/>
      </c>
      <c r="Q338" s="5" t="str">
        <f aca="false">IF(K338=1,SUMIFS($H$6:$H$511,$L$6:$L$511,L338,$K$6:$K$511,1),"")</f>
        <v/>
      </c>
      <c r="R338" s="78" t="str">
        <f aca="false">IF(B338="","",IF(INDEX(報告入力!$X$7:$X$696,B338)="","",INDEX(報告入力!$X$7:$X$696,B338)))</f>
        <v/>
      </c>
      <c r="S338" s="5" t="str">
        <f aca="false">設定!$C$53</f>
        <v>介護：掛金</v>
      </c>
    </row>
    <row r="339" customFormat="false" ht="15" hidden="false" customHeight="false" outlineLevel="0" collapsed="false">
      <c r="A339" s="5" t="str">
        <f aca="false">設定!B66</f>
        <v>選挙管理委員会</v>
      </c>
      <c r="B339" s="5" t="n">
        <f aca="false">IFERROR(MATCH(ホーム!$C$4&amp;"|"&amp;A339,報告入力!$CG$7:$CG$696,0),"")</f>
        <v>328</v>
      </c>
      <c r="C339" s="5" t="str">
        <f aca="false">IF(B339="","",INDEX(報告入力!$C$7:$C$696,B339))</f>
        <v>未受領</v>
      </c>
      <c r="D339" s="5" t="str">
        <f aca="false">設定!$A$41</f>
        <v>介護経理</v>
      </c>
      <c r="E339" s="5" t="str">
        <f aca="false">設定!$B$41&amp;""</f>
        <v/>
      </c>
      <c r="F339" s="5" t="str">
        <f aca="false">設定!$D$54&amp;""</f>
        <v/>
      </c>
      <c r="G339" s="5" t="str">
        <f aca="false">設定!$E$54&amp;""</f>
        <v/>
      </c>
      <c r="H339" s="5" t="n">
        <f aca="false">IF(B339="",0,N(INDEX(報告入力!$BC$7:$BC$696,B339)))</f>
        <v>18565</v>
      </c>
      <c r="I339" s="5" t="str">
        <f aca="false">設定!$C$41&amp;""</f>
        <v/>
      </c>
      <c r="J339" s="5" t="str">
        <f aca="false">設定!$D$41&amp;""</f>
        <v/>
      </c>
      <c r="K339" s="5" t="n">
        <f aca="false">IF(AND(H339&lt;&gt;0,IF(設定!$B$6="入金確認済のみ",C339="入金確認済",OR(C339="入金確認済",C339="受領済"))),1,0)</f>
        <v>0</v>
      </c>
      <c r="L339" s="5" t="str">
        <f aca="false">3&amp;"|"&amp;6</f>
        <v>3|6</v>
      </c>
      <c r="M339" s="5" t="n">
        <f aca="false">IF(L339=L338,M338,0)+K339</f>
        <v>0</v>
      </c>
      <c r="N339" s="5" t="n">
        <f aca="false">IF(AND(K339=1,M339=1),1,0)</f>
        <v>0</v>
      </c>
      <c r="O339" s="5" t="str">
        <f aca="false">IF(K339=1,MAX($O$5:O338)+1,"")</f>
        <v/>
      </c>
      <c r="P339" s="5" t="str">
        <f aca="false">IF(K339=1,SUM($N$6:N339),"")</f>
        <v/>
      </c>
      <c r="Q339" s="5" t="str">
        <f aca="false">IF(K339=1,SUMIFS($H$6:$H$511,$L$6:$L$511,L339,$K$6:$K$511,1),"")</f>
        <v/>
      </c>
      <c r="R339" s="78" t="str">
        <f aca="false">IF(B339="","",IF(INDEX(報告入力!$X$7:$X$696,B339)="","",INDEX(報告入力!$X$7:$X$696,B339)))</f>
        <v/>
      </c>
      <c r="S339" s="5" t="str">
        <f aca="false">設定!$C$54</f>
        <v>介護：負担金</v>
      </c>
    </row>
    <row r="340" customFormat="false" ht="15" hidden="false" customHeight="false" outlineLevel="0" collapsed="false">
      <c r="A340" s="5" t="str">
        <f aca="false">設定!B67</f>
        <v>人事委員会</v>
      </c>
      <c r="B340" s="5" t="n">
        <f aca="false">IFERROR(MATCH(ホーム!$C$4&amp;"|"&amp;A340,報告入力!$CG$7:$CG$696,0),"")</f>
        <v>329</v>
      </c>
      <c r="C340" s="5" t="str">
        <f aca="false">IF(B340="","",INDEX(報告入力!$C$7:$C$696,B340))</f>
        <v>未受領</v>
      </c>
      <c r="D340" s="5" t="str">
        <f aca="false">設定!$A$41</f>
        <v>介護経理</v>
      </c>
      <c r="E340" s="5" t="str">
        <f aca="false">設定!$B$41&amp;""</f>
        <v/>
      </c>
      <c r="F340" s="5" t="str">
        <f aca="false">設定!$D$53&amp;""</f>
        <v/>
      </c>
      <c r="G340" s="5" t="str">
        <f aca="false">設定!$E$53&amp;""</f>
        <v/>
      </c>
      <c r="H340" s="5" t="n">
        <f aca="false">IF(B340="",0,N(INDEX(報告入力!$BB$7:$BB$696,B340)))</f>
        <v>33353</v>
      </c>
      <c r="I340" s="5" t="str">
        <f aca="false">設定!$C$41&amp;""</f>
        <v/>
      </c>
      <c r="J340" s="5" t="str">
        <f aca="false">設定!$D$41&amp;""</f>
        <v/>
      </c>
      <c r="K340" s="5" t="n">
        <f aca="false">IF(AND(H340&lt;&gt;0,IF(設定!$B$6="入金確認済のみ",C340="入金確認済",OR(C340="入金確認済",C340="受領済"))),1,0)</f>
        <v>0</v>
      </c>
      <c r="L340" s="5" t="str">
        <f aca="false">3&amp;"|"&amp;7</f>
        <v>3|7</v>
      </c>
      <c r="M340" s="5" t="n">
        <f aca="false">IF(L340=L339,M339,0)+K340</f>
        <v>0</v>
      </c>
      <c r="N340" s="5" t="n">
        <f aca="false">IF(AND(K340=1,M340=1),1,0)</f>
        <v>0</v>
      </c>
      <c r="O340" s="5" t="str">
        <f aca="false">IF(K340=1,MAX($O$5:O339)+1,"")</f>
        <v/>
      </c>
      <c r="P340" s="5" t="str">
        <f aca="false">IF(K340=1,SUM($N$6:N340),"")</f>
        <v/>
      </c>
      <c r="Q340" s="5" t="str">
        <f aca="false">IF(K340=1,SUMIFS($H$6:$H$511,$L$6:$L$511,L340,$K$6:$K$511,1),"")</f>
        <v/>
      </c>
      <c r="R340" s="78" t="str">
        <f aca="false">IF(B340="","",IF(INDEX(報告入力!$X$7:$X$696,B340)="","",INDEX(報告入力!$X$7:$X$696,B340)))</f>
        <v/>
      </c>
      <c r="S340" s="5" t="str">
        <f aca="false">設定!$C$53</f>
        <v>介護：掛金</v>
      </c>
    </row>
    <row r="341" customFormat="false" ht="15" hidden="false" customHeight="false" outlineLevel="0" collapsed="false">
      <c r="A341" s="5" t="str">
        <f aca="false">設定!B67</f>
        <v>人事委員会</v>
      </c>
      <c r="B341" s="5" t="n">
        <f aca="false">IFERROR(MATCH(ホーム!$C$4&amp;"|"&amp;A341,報告入力!$CG$7:$CG$696,0),"")</f>
        <v>329</v>
      </c>
      <c r="C341" s="5" t="str">
        <f aca="false">IF(B341="","",INDEX(報告入力!$C$7:$C$696,B341))</f>
        <v>未受領</v>
      </c>
      <c r="D341" s="5" t="str">
        <f aca="false">設定!$A$41</f>
        <v>介護経理</v>
      </c>
      <c r="E341" s="5" t="str">
        <f aca="false">設定!$B$41&amp;""</f>
        <v/>
      </c>
      <c r="F341" s="5" t="str">
        <f aca="false">設定!$D$54&amp;""</f>
        <v/>
      </c>
      <c r="G341" s="5" t="str">
        <f aca="false">設定!$E$54&amp;""</f>
        <v/>
      </c>
      <c r="H341" s="5" t="n">
        <f aca="false">IF(B341="",0,N(INDEX(報告入力!$BC$7:$BC$696,B341)))</f>
        <v>33353</v>
      </c>
      <c r="I341" s="5" t="str">
        <f aca="false">設定!$C$41&amp;""</f>
        <v/>
      </c>
      <c r="J341" s="5" t="str">
        <f aca="false">設定!$D$41&amp;""</f>
        <v/>
      </c>
      <c r="K341" s="5" t="n">
        <f aca="false">IF(AND(H341&lt;&gt;0,IF(設定!$B$6="入金確認済のみ",C341="入金確認済",OR(C341="入金確認済",C341="受領済"))),1,0)</f>
        <v>0</v>
      </c>
      <c r="L341" s="5" t="str">
        <f aca="false">3&amp;"|"&amp;7</f>
        <v>3|7</v>
      </c>
      <c r="M341" s="5" t="n">
        <f aca="false">IF(L341=L340,M340,0)+K341</f>
        <v>0</v>
      </c>
      <c r="N341" s="5" t="n">
        <f aca="false">IF(AND(K341=1,M341=1),1,0)</f>
        <v>0</v>
      </c>
      <c r="O341" s="5" t="str">
        <f aca="false">IF(K341=1,MAX($O$5:O340)+1,"")</f>
        <v/>
      </c>
      <c r="P341" s="5" t="str">
        <f aca="false">IF(K341=1,SUM($N$6:N341),"")</f>
        <v/>
      </c>
      <c r="Q341" s="5" t="str">
        <f aca="false">IF(K341=1,SUMIFS($H$6:$H$511,$L$6:$L$511,L341,$K$6:$K$511,1),"")</f>
        <v/>
      </c>
      <c r="R341" s="78" t="str">
        <f aca="false">IF(B341="","",IF(INDEX(報告入力!$X$7:$X$696,B341)="","",INDEX(報告入力!$X$7:$X$696,B341)))</f>
        <v/>
      </c>
      <c r="S341" s="5" t="str">
        <f aca="false">設定!$C$54</f>
        <v>介護：負担金</v>
      </c>
    </row>
    <row r="342" customFormat="false" ht="15" hidden="false" customHeight="false" outlineLevel="0" collapsed="false">
      <c r="A342" s="5" t="str">
        <f aca="false">設定!B68</f>
        <v>監査事務局</v>
      </c>
      <c r="B342" s="5" t="n">
        <f aca="false">IFERROR(MATCH(ホーム!$C$4&amp;"|"&amp;A342,報告入力!$CG$7:$CG$696,0),"")</f>
        <v>330</v>
      </c>
      <c r="C342" s="5" t="str">
        <f aca="false">IF(B342="","",INDEX(報告入力!$C$7:$C$696,B342))</f>
        <v>未受領</v>
      </c>
      <c r="D342" s="5" t="str">
        <f aca="false">設定!$A$41</f>
        <v>介護経理</v>
      </c>
      <c r="E342" s="5" t="str">
        <f aca="false">設定!$B$41&amp;""</f>
        <v/>
      </c>
      <c r="F342" s="5" t="str">
        <f aca="false">設定!$D$53&amp;""</f>
        <v/>
      </c>
      <c r="G342" s="5" t="str">
        <f aca="false">設定!$E$53&amp;""</f>
        <v/>
      </c>
      <c r="H342" s="5" t="n">
        <f aca="false">IF(B342="",0,N(INDEX(報告入力!$BB$7:$BB$696,B342)))</f>
        <v>108309</v>
      </c>
      <c r="I342" s="5" t="str">
        <f aca="false">設定!$C$41&amp;""</f>
        <v/>
      </c>
      <c r="J342" s="5" t="str">
        <f aca="false">設定!$D$41&amp;""</f>
        <v/>
      </c>
      <c r="K342" s="5" t="n">
        <f aca="false">IF(AND(H342&lt;&gt;0,IF(設定!$B$6="入金確認済のみ",C342="入金確認済",OR(C342="入金確認済",C342="受領済"))),1,0)</f>
        <v>0</v>
      </c>
      <c r="L342" s="5" t="str">
        <f aca="false">3&amp;"|"&amp;8</f>
        <v>3|8</v>
      </c>
      <c r="M342" s="5" t="n">
        <f aca="false">IF(L342=L341,M341,0)+K342</f>
        <v>0</v>
      </c>
      <c r="N342" s="5" t="n">
        <f aca="false">IF(AND(K342=1,M342=1),1,0)</f>
        <v>0</v>
      </c>
      <c r="O342" s="5" t="str">
        <f aca="false">IF(K342=1,MAX($O$5:O341)+1,"")</f>
        <v/>
      </c>
      <c r="P342" s="5" t="str">
        <f aca="false">IF(K342=1,SUM($N$6:N342),"")</f>
        <v/>
      </c>
      <c r="Q342" s="5" t="str">
        <f aca="false">IF(K342=1,SUMIFS($H$6:$H$511,$L$6:$L$511,L342,$K$6:$K$511,1),"")</f>
        <v/>
      </c>
      <c r="R342" s="78" t="str">
        <f aca="false">IF(B342="","",IF(INDEX(報告入力!$X$7:$X$696,B342)="","",INDEX(報告入力!$X$7:$X$696,B342)))</f>
        <v/>
      </c>
      <c r="S342" s="5" t="str">
        <f aca="false">設定!$C$53</f>
        <v>介護：掛金</v>
      </c>
    </row>
    <row r="343" customFormat="false" ht="15" hidden="false" customHeight="false" outlineLevel="0" collapsed="false">
      <c r="A343" s="5" t="str">
        <f aca="false">設定!B68</f>
        <v>監査事務局</v>
      </c>
      <c r="B343" s="5" t="n">
        <f aca="false">IFERROR(MATCH(ホーム!$C$4&amp;"|"&amp;A343,報告入力!$CG$7:$CG$696,0),"")</f>
        <v>330</v>
      </c>
      <c r="C343" s="5" t="str">
        <f aca="false">IF(B343="","",INDEX(報告入力!$C$7:$C$696,B343))</f>
        <v>未受領</v>
      </c>
      <c r="D343" s="5" t="str">
        <f aca="false">設定!$A$41</f>
        <v>介護経理</v>
      </c>
      <c r="E343" s="5" t="str">
        <f aca="false">設定!$B$41&amp;""</f>
        <v/>
      </c>
      <c r="F343" s="5" t="str">
        <f aca="false">設定!$D$54&amp;""</f>
        <v/>
      </c>
      <c r="G343" s="5" t="str">
        <f aca="false">設定!$E$54&amp;""</f>
        <v/>
      </c>
      <c r="H343" s="5" t="n">
        <f aca="false">IF(B343="",0,N(INDEX(報告入力!$BC$7:$BC$696,B343)))</f>
        <v>108309</v>
      </c>
      <c r="I343" s="5" t="str">
        <f aca="false">設定!$C$41&amp;""</f>
        <v/>
      </c>
      <c r="J343" s="5" t="str">
        <f aca="false">設定!$D$41&amp;""</f>
        <v/>
      </c>
      <c r="K343" s="5" t="n">
        <f aca="false">IF(AND(H343&lt;&gt;0,IF(設定!$B$6="入金確認済のみ",C343="入金確認済",OR(C343="入金確認済",C343="受領済"))),1,0)</f>
        <v>0</v>
      </c>
      <c r="L343" s="5" t="str">
        <f aca="false">3&amp;"|"&amp;8</f>
        <v>3|8</v>
      </c>
      <c r="M343" s="5" t="n">
        <f aca="false">IF(L343=L342,M342,0)+K343</f>
        <v>0</v>
      </c>
      <c r="N343" s="5" t="n">
        <f aca="false">IF(AND(K343=1,M343=1),1,0)</f>
        <v>0</v>
      </c>
      <c r="O343" s="5" t="str">
        <f aca="false">IF(K343=1,MAX($O$5:O342)+1,"")</f>
        <v/>
      </c>
      <c r="P343" s="5" t="str">
        <f aca="false">IF(K343=1,SUM($N$6:N343),"")</f>
        <v/>
      </c>
      <c r="Q343" s="5" t="str">
        <f aca="false">IF(K343=1,SUMIFS($H$6:$H$511,$L$6:$L$511,L343,$K$6:$K$511,1),"")</f>
        <v/>
      </c>
      <c r="R343" s="78" t="str">
        <f aca="false">IF(B343="","",IF(INDEX(報告入力!$X$7:$X$696,B343)="","",INDEX(報告入力!$X$7:$X$696,B343)))</f>
        <v/>
      </c>
      <c r="S343" s="5" t="str">
        <f aca="false">設定!$C$54</f>
        <v>介護：負担金</v>
      </c>
    </row>
    <row r="344" customFormat="false" ht="15" hidden="false" customHeight="false" outlineLevel="0" collapsed="false">
      <c r="A344" s="5" t="str">
        <f aca="false">設定!B69</f>
        <v>農業委員会</v>
      </c>
      <c r="B344" s="5" t="n">
        <f aca="false">IFERROR(MATCH(ホーム!$C$4&amp;"|"&amp;A344,報告入力!$CG$7:$CG$696,0),"")</f>
        <v>331</v>
      </c>
      <c r="C344" s="5" t="str">
        <f aca="false">IF(B344="","",INDEX(報告入力!$C$7:$C$696,B344))</f>
        <v>未受領</v>
      </c>
      <c r="D344" s="5" t="str">
        <f aca="false">設定!$A$41</f>
        <v>介護経理</v>
      </c>
      <c r="E344" s="5" t="str">
        <f aca="false">設定!$B$41&amp;""</f>
        <v/>
      </c>
      <c r="F344" s="5" t="str">
        <f aca="false">設定!$D$53&amp;""</f>
        <v/>
      </c>
      <c r="G344" s="5" t="str">
        <f aca="false">設定!$E$53&amp;""</f>
        <v/>
      </c>
      <c r="H344" s="5" t="n">
        <f aca="false">IF(B344="",0,N(INDEX(報告入力!$BB$7:$BB$696,B344)))</f>
        <v>34410</v>
      </c>
      <c r="I344" s="5" t="str">
        <f aca="false">設定!$C$41&amp;""</f>
        <v/>
      </c>
      <c r="J344" s="5" t="str">
        <f aca="false">設定!$D$41&amp;""</f>
        <v/>
      </c>
      <c r="K344" s="5" t="n">
        <f aca="false">IF(AND(H344&lt;&gt;0,IF(設定!$B$6="入金確認済のみ",C344="入金確認済",OR(C344="入金確認済",C344="受領済"))),1,0)</f>
        <v>0</v>
      </c>
      <c r="L344" s="5" t="str">
        <f aca="false">3&amp;"|"&amp;9</f>
        <v>3|9</v>
      </c>
      <c r="M344" s="5" t="n">
        <f aca="false">IF(L344=L343,M343,0)+K344</f>
        <v>0</v>
      </c>
      <c r="N344" s="5" t="n">
        <f aca="false">IF(AND(K344=1,M344=1),1,0)</f>
        <v>0</v>
      </c>
      <c r="O344" s="5" t="str">
        <f aca="false">IF(K344=1,MAX($O$5:O343)+1,"")</f>
        <v/>
      </c>
      <c r="P344" s="5" t="str">
        <f aca="false">IF(K344=1,SUM($N$6:N344),"")</f>
        <v/>
      </c>
      <c r="Q344" s="5" t="str">
        <f aca="false">IF(K344=1,SUMIFS($H$6:$H$511,$L$6:$L$511,L344,$K$6:$K$511,1),"")</f>
        <v/>
      </c>
      <c r="R344" s="78" t="str">
        <f aca="false">IF(B344="","",IF(INDEX(報告入力!$X$7:$X$696,B344)="","",INDEX(報告入力!$X$7:$X$696,B344)))</f>
        <v/>
      </c>
      <c r="S344" s="5" t="str">
        <f aca="false">設定!$C$53</f>
        <v>介護：掛金</v>
      </c>
    </row>
    <row r="345" customFormat="false" ht="15" hidden="false" customHeight="false" outlineLevel="0" collapsed="false">
      <c r="A345" s="5" t="str">
        <f aca="false">設定!B69</f>
        <v>農業委員会</v>
      </c>
      <c r="B345" s="5" t="n">
        <f aca="false">IFERROR(MATCH(ホーム!$C$4&amp;"|"&amp;A345,報告入力!$CG$7:$CG$696,0),"")</f>
        <v>331</v>
      </c>
      <c r="C345" s="5" t="str">
        <f aca="false">IF(B345="","",INDEX(報告入力!$C$7:$C$696,B345))</f>
        <v>未受領</v>
      </c>
      <c r="D345" s="5" t="str">
        <f aca="false">設定!$A$41</f>
        <v>介護経理</v>
      </c>
      <c r="E345" s="5" t="str">
        <f aca="false">設定!$B$41&amp;""</f>
        <v/>
      </c>
      <c r="F345" s="5" t="str">
        <f aca="false">設定!$D$54&amp;""</f>
        <v/>
      </c>
      <c r="G345" s="5" t="str">
        <f aca="false">設定!$E$54&amp;""</f>
        <v/>
      </c>
      <c r="H345" s="5" t="n">
        <f aca="false">IF(B345="",0,N(INDEX(報告入力!$BC$7:$BC$696,B345)))</f>
        <v>34412</v>
      </c>
      <c r="I345" s="5" t="str">
        <f aca="false">設定!$C$41&amp;""</f>
        <v/>
      </c>
      <c r="J345" s="5" t="str">
        <f aca="false">設定!$D$41&amp;""</f>
        <v/>
      </c>
      <c r="K345" s="5" t="n">
        <f aca="false">IF(AND(H345&lt;&gt;0,IF(設定!$B$6="入金確認済のみ",C345="入金確認済",OR(C345="入金確認済",C345="受領済"))),1,0)</f>
        <v>0</v>
      </c>
      <c r="L345" s="5" t="str">
        <f aca="false">3&amp;"|"&amp;9</f>
        <v>3|9</v>
      </c>
      <c r="M345" s="5" t="n">
        <f aca="false">IF(L345=L344,M344,0)+K345</f>
        <v>0</v>
      </c>
      <c r="N345" s="5" t="n">
        <f aca="false">IF(AND(K345=1,M345=1),1,0)</f>
        <v>0</v>
      </c>
      <c r="O345" s="5" t="str">
        <f aca="false">IF(K345=1,MAX($O$5:O344)+1,"")</f>
        <v/>
      </c>
      <c r="P345" s="5" t="str">
        <f aca="false">IF(K345=1,SUM($N$6:N345),"")</f>
        <v/>
      </c>
      <c r="Q345" s="5" t="str">
        <f aca="false">IF(K345=1,SUMIFS($H$6:$H$511,$L$6:$L$511,L345,$K$6:$K$511,1),"")</f>
        <v/>
      </c>
      <c r="R345" s="78" t="str">
        <f aca="false">IF(B345="","",IF(INDEX(報告入力!$X$7:$X$696,B345)="","",INDEX(報告入力!$X$7:$X$696,B345)))</f>
        <v/>
      </c>
      <c r="S345" s="5" t="str">
        <f aca="false">設定!$C$54</f>
        <v>介護：負担金</v>
      </c>
    </row>
    <row r="346" customFormat="false" ht="15" hidden="false" customHeight="false" outlineLevel="0" collapsed="false">
      <c r="A346" s="5" t="str">
        <f aca="false">設定!B70</f>
        <v>水道局</v>
      </c>
      <c r="B346" s="5" t="n">
        <f aca="false">IFERROR(MATCH(ホーム!$C$4&amp;"|"&amp;A346,報告入力!$CG$7:$CG$696,0),"")</f>
        <v>332</v>
      </c>
      <c r="C346" s="5" t="str">
        <f aca="false">IF(B346="","",INDEX(報告入力!$C$7:$C$696,B346))</f>
        <v>未受領</v>
      </c>
      <c r="D346" s="5" t="str">
        <f aca="false">設定!$A$41</f>
        <v>介護経理</v>
      </c>
      <c r="E346" s="5" t="str">
        <f aca="false">設定!$B$41&amp;""</f>
        <v/>
      </c>
      <c r="F346" s="5" t="str">
        <f aca="false">設定!$D$53&amp;""</f>
        <v/>
      </c>
      <c r="G346" s="5" t="str">
        <f aca="false">設定!$E$53&amp;""</f>
        <v/>
      </c>
      <c r="H346" s="5" t="n">
        <f aca="false">IF(B346="",0,N(INDEX(報告入力!$BB$7:$BB$696,B346)))</f>
        <v>1349557</v>
      </c>
      <c r="I346" s="5" t="str">
        <f aca="false">設定!$C$41&amp;""</f>
        <v/>
      </c>
      <c r="J346" s="5" t="str">
        <f aca="false">設定!$D$41&amp;""</f>
        <v/>
      </c>
      <c r="K346" s="5" t="n">
        <f aca="false">IF(AND(H346&lt;&gt;0,IF(設定!$B$6="入金確認済のみ",C346="入金確認済",OR(C346="入金確認済",C346="受領済"))),1,0)</f>
        <v>0</v>
      </c>
      <c r="L346" s="5" t="str">
        <f aca="false">3&amp;"|"&amp;10</f>
        <v>3|10</v>
      </c>
      <c r="M346" s="5" t="n">
        <f aca="false">IF(L346=L345,M345,0)+K346</f>
        <v>0</v>
      </c>
      <c r="N346" s="5" t="n">
        <f aca="false">IF(AND(K346=1,M346=1),1,0)</f>
        <v>0</v>
      </c>
      <c r="O346" s="5" t="str">
        <f aca="false">IF(K346=1,MAX($O$5:O345)+1,"")</f>
        <v/>
      </c>
      <c r="P346" s="5" t="str">
        <f aca="false">IF(K346=1,SUM($N$6:N346),"")</f>
        <v/>
      </c>
      <c r="Q346" s="5" t="str">
        <f aca="false">IF(K346=1,SUMIFS($H$6:$H$511,$L$6:$L$511,L346,$K$6:$K$511,1),"")</f>
        <v/>
      </c>
      <c r="R346" s="78" t="str">
        <f aca="false">IF(B346="","",IF(INDEX(報告入力!$X$7:$X$696,B346)="","",INDEX(報告入力!$X$7:$X$696,B346)))</f>
        <v/>
      </c>
      <c r="S346" s="5" t="str">
        <f aca="false">設定!$C$53</f>
        <v>介護：掛金</v>
      </c>
    </row>
    <row r="347" customFormat="false" ht="15" hidden="false" customHeight="false" outlineLevel="0" collapsed="false">
      <c r="A347" s="5" t="str">
        <f aca="false">設定!B70</f>
        <v>水道局</v>
      </c>
      <c r="B347" s="5" t="n">
        <f aca="false">IFERROR(MATCH(ホーム!$C$4&amp;"|"&amp;A347,報告入力!$CG$7:$CG$696,0),"")</f>
        <v>332</v>
      </c>
      <c r="C347" s="5" t="str">
        <f aca="false">IF(B347="","",INDEX(報告入力!$C$7:$C$696,B347))</f>
        <v>未受領</v>
      </c>
      <c r="D347" s="5" t="str">
        <f aca="false">設定!$A$41</f>
        <v>介護経理</v>
      </c>
      <c r="E347" s="5" t="str">
        <f aca="false">設定!$B$41&amp;""</f>
        <v/>
      </c>
      <c r="F347" s="5" t="str">
        <f aca="false">設定!$D$54&amp;""</f>
        <v/>
      </c>
      <c r="G347" s="5" t="str">
        <f aca="false">設定!$E$54&amp;""</f>
        <v/>
      </c>
      <c r="H347" s="5" t="n">
        <f aca="false">IF(B347="",0,N(INDEX(報告入力!$BC$7:$BC$696,B347)))</f>
        <v>1349557</v>
      </c>
      <c r="I347" s="5" t="str">
        <f aca="false">設定!$C$41&amp;""</f>
        <v/>
      </c>
      <c r="J347" s="5" t="str">
        <f aca="false">設定!$D$41&amp;""</f>
        <v/>
      </c>
      <c r="K347" s="5" t="n">
        <f aca="false">IF(AND(H347&lt;&gt;0,IF(設定!$B$6="入金確認済のみ",C347="入金確認済",OR(C347="入金確認済",C347="受領済"))),1,0)</f>
        <v>0</v>
      </c>
      <c r="L347" s="5" t="str">
        <f aca="false">3&amp;"|"&amp;10</f>
        <v>3|10</v>
      </c>
      <c r="M347" s="5" t="n">
        <f aca="false">IF(L347=L346,M346,0)+K347</f>
        <v>0</v>
      </c>
      <c r="N347" s="5" t="n">
        <f aca="false">IF(AND(K347=1,M347=1),1,0)</f>
        <v>0</v>
      </c>
      <c r="O347" s="5" t="str">
        <f aca="false">IF(K347=1,MAX($O$5:O346)+1,"")</f>
        <v/>
      </c>
      <c r="P347" s="5" t="str">
        <f aca="false">IF(K347=1,SUM($N$6:N347),"")</f>
        <v/>
      </c>
      <c r="Q347" s="5" t="str">
        <f aca="false">IF(K347=1,SUMIFS($H$6:$H$511,$L$6:$L$511,L347,$K$6:$K$511,1),"")</f>
        <v/>
      </c>
      <c r="R347" s="78" t="str">
        <f aca="false">IF(B347="","",IF(INDEX(報告入力!$X$7:$X$696,B347)="","",INDEX(報告入力!$X$7:$X$696,B347)))</f>
        <v/>
      </c>
      <c r="S347" s="5" t="str">
        <f aca="false">設定!$C$54</f>
        <v>介護：負担金</v>
      </c>
    </row>
    <row r="348" customFormat="false" ht="15" hidden="false" customHeight="false" outlineLevel="0" collapsed="false">
      <c r="A348" s="5" t="str">
        <f aca="false">設定!B71</f>
        <v>医療政策課(安芸市民)</v>
      </c>
      <c r="B348" s="5" t="n">
        <f aca="false">IFERROR(MATCH(ホーム!$C$4&amp;"|"&amp;A348,報告入力!$CG$7:$CG$696,0),"")</f>
        <v>333</v>
      </c>
      <c r="C348" s="5" t="str">
        <f aca="false">IF(B348="","",INDEX(報告入力!$C$7:$C$696,B348))</f>
        <v>未受領</v>
      </c>
      <c r="D348" s="5" t="str">
        <f aca="false">設定!$A$41</f>
        <v>介護経理</v>
      </c>
      <c r="E348" s="5" t="str">
        <f aca="false">設定!$B$41&amp;""</f>
        <v/>
      </c>
      <c r="F348" s="5" t="str">
        <f aca="false">設定!$D$53&amp;""</f>
        <v/>
      </c>
      <c r="G348" s="5" t="str">
        <f aca="false">設定!$E$53&amp;""</f>
        <v/>
      </c>
      <c r="H348" s="5" t="n">
        <f aca="false">IF(B348="",0,N(INDEX(報告入力!$BB$7:$BB$696,B348)))</f>
        <v>4187</v>
      </c>
      <c r="I348" s="5" t="str">
        <f aca="false">設定!$C$41&amp;""</f>
        <v/>
      </c>
      <c r="J348" s="5" t="str">
        <f aca="false">設定!$D$41&amp;""</f>
        <v/>
      </c>
      <c r="K348" s="5" t="n">
        <f aca="false">IF(AND(H348&lt;&gt;0,IF(設定!$B$6="入金確認済のみ",C348="入金確認済",OR(C348="入金確認済",C348="受領済"))),1,0)</f>
        <v>0</v>
      </c>
      <c r="L348" s="5" t="str">
        <f aca="false">3&amp;"|"&amp;11</f>
        <v>3|11</v>
      </c>
      <c r="M348" s="5" t="n">
        <f aca="false">IF(L348=L347,M347,0)+K348</f>
        <v>0</v>
      </c>
      <c r="N348" s="5" t="n">
        <f aca="false">IF(AND(K348=1,M348=1),1,0)</f>
        <v>0</v>
      </c>
      <c r="O348" s="5" t="str">
        <f aca="false">IF(K348=1,MAX($O$5:O347)+1,"")</f>
        <v/>
      </c>
      <c r="P348" s="5" t="str">
        <f aca="false">IF(K348=1,SUM($N$6:N348),"")</f>
        <v/>
      </c>
      <c r="Q348" s="5" t="str">
        <f aca="false">IF(K348=1,SUMIFS($H$6:$H$511,$L$6:$L$511,L348,$K$6:$K$511,1),"")</f>
        <v/>
      </c>
      <c r="R348" s="78" t="str">
        <f aca="false">IF(B348="","",IF(INDEX(報告入力!$X$7:$X$696,B348)="","",INDEX(報告入力!$X$7:$X$696,B348)))</f>
        <v/>
      </c>
      <c r="S348" s="5" t="str">
        <f aca="false">設定!$C$53</f>
        <v>介護：掛金</v>
      </c>
    </row>
    <row r="349" customFormat="false" ht="15" hidden="false" customHeight="false" outlineLevel="0" collapsed="false">
      <c r="A349" s="5" t="str">
        <f aca="false">設定!B71</f>
        <v>医療政策課(安芸市民)</v>
      </c>
      <c r="B349" s="5" t="n">
        <f aca="false">IFERROR(MATCH(ホーム!$C$4&amp;"|"&amp;A349,報告入力!$CG$7:$CG$696,0),"")</f>
        <v>333</v>
      </c>
      <c r="C349" s="5" t="str">
        <f aca="false">IF(B349="","",INDEX(報告入力!$C$7:$C$696,B349))</f>
        <v>未受領</v>
      </c>
      <c r="D349" s="5" t="str">
        <f aca="false">設定!$A$41</f>
        <v>介護経理</v>
      </c>
      <c r="E349" s="5" t="str">
        <f aca="false">設定!$B$41&amp;""</f>
        <v/>
      </c>
      <c r="F349" s="5" t="str">
        <f aca="false">設定!$D$54&amp;""</f>
        <v/>
      </c>
      <c r="G349" s="5" t="str">
        <f aca="false">設定!$E$54&amp;""</f>
        <v/>
      </c>
      <c r="H349" s="5" t="n">
        <f aca="false">IF(B349="",0,N(INDEX(報告入力!$BC$7:$BC$696,B349)))</f>
        <v>4187</v>
      </c>
      <c r="I349" s="5" t="str">
        <f aca="false">設定!$C$41&amp;""</f>
        <v/>
      </c>
      <c r="J349" s="5" t="str">
        <f aca="false">設定!$D$41&amp;""</f>
        <v/>
      </c>
      <c r="K349" s="5" t="n">
        <f aca="false">IF(AND(H349&lt;&gt;0,IF(設定!$B$6="入金確認済のみ",C349="入金確認済",OR(C349="入金確認済",C349="受領済"))),1,0)</f>
        <v>0</v>
      </c>
      <c r="L349" s="5" t="str">
        <f aca="false">3&amp;"|"&amp;11</f>
        <v>3|11</v>
      </c>
      <c r="M349" s="5" t="n">
        <f aca="false">IF(L349=L348,M348,0)+K349</f>
        <v>0</v>
      </c>
      <c r="N349" s="5" t="n">
        <f aca="false">IF(AND(K349=1,M349=1),1,0)</f>
        <v>0</v>
      </c>
      <c r="O349" s="5" t="str">
        <f aca="false">IF(K349=1,MAX($O$5:O348)+1,"")</f>
        <v/>
      </c>
      <c r="P349" s="5" t="str">
        <f aca="false">IF(K349=1,SUM($N$6:N349),"")</f>
        <v/>
      </c>
      <c r="Q349" s="5" t="str">
        <f aca="false">IF(K349=1,SUMIFS($H$6:$H$511,$L$6:$L$511,L349,$K$6:$K$511,1),"")</f>
        <v/>
      </c>
      <c r="R349" s="78" t="str">
        <f aca="false">IF(B349="","",IF(INDEX(報告入力!$X$7:$X$696,B349)="","",INDEX(報告入力!$X$7:$X$696,B349)))</f>
        <v/>
      </c>
      <c r="S349" s="5" t="str">
        <f aca="false">設定!$C$54</f>
        <v>介護：負担金</v>
      </c>
    </row>
    <row r="350" customFormat="false" ht="15" hidden="false" customHeight="false" outlineLevel="0" collapsed="false">
      <c r="A350" s="5" t="str">
        <f aca="false">設定!B72</f>
        <v>教育委員会（教育給与課）</v>
      </c>
      <c r="B350" s="5" t="n">
        <f aca="false">IFERROR(MATCH(ホーム!$C$4&amp;"|"&amp;A350,報告入力!$CG$7:$CG$696,0),"")</f>
        <v>334</v>
      </c>
      <c r="C350" s="5" t="str">
        <f aca="false">IF(B350="","",INDEX(報告入力!$C$7:$C$696,B350))</f>
        <v>未受領</v>
      </c>
      <c r="D350" s="5" t="str">
        <f aca="false">設定!$A$41</f>
        <v>介護経理</v>
      </c>
      <c r="E350" s="5" t="str">
        <f aca="false">設定!$B$41&amp;""</f>
        <v/>
      </c>
      <c r="F350" s="5" t="str">
        <f aca="false">設定!$D$53&amp;""</f>
        <v/>
      </c>
      <c r="G350" s="5" t="str">
        <f aca="false">設定!$E$53&amp;""</f>
        <v/>
      </c>
      <c r="H350" s="5" t="n">
        <f aca="false">IF(B350="",0,N(INDEX(報告入力!$BB$7:$BB$696,B350)))</f>
        <v>8068</v>
      </c>
      <c r="I350" s="5" t="str">
        <f aca="false">設定!$C$41&amp;""</f>
        <v/>
      </c>
      <c r="J350" s="5" t="str">
        <f aca="false">設定!$D$41&amp;""</f>
        <v/>
      </c>
      <c r="K350" s="5" t="n">
        <f aca="false">IF(AND(H350&lt;&gt;0,IF(設定!$B$6="入金確認済のみ",C350="入金確認済",OR(C350="入金確認済",C350="受領済"))),1,0)</f>
        <v>0</v>
      </c>
      <c r="L350" s="5" t="str">
        <f aca="false">3&amp;"|"&amp;12</f>
        <v>3|12</v>
      </c>
      <c r="M350" s="5" t="n">
        <f aca="false">IF(L350=L349,M349,0)+K350</f>
        <v>0</v>
      </c>
      <c r="N350" s="5" t="n">
        <f aca="false">IF(AND(K350=1,M350=1),1,0)</f>
        <v>0</v>
      </c>
      <c r="O350" s="5" t="str">
        <f aca="false">IF(K350=1,MAX($O$5:O349)+1,"")</f>
        <v/>
      </c>
      <c r="P350" s="5" t="str">
        <f aca="false">IF(K350=1,SUM($N$6:N350),"")</f>
        <v/>
      </c>
      <c r="Q350" s="5" t="str">
        <f aca="false">IF(K350=1,SUMIFS($H$6:$H$511,$L$6:$L$511,L350,$K$6:$K$511,1),"")</f>
        <v/>
      </c>
      <c r="R350" s="78" t="str">
        <f aca="false">IF(B350="","",IF(INDEX(報告入力!$X$7:$X$696,B350)="","",INDEX(報告入力!$X$7:$X$696,B350)))</f>
        <v/>
      </c>
      <c r="S350" s="5" t="str">
        <f aca="false">設定!$C$53</f>
        <v>介護：掛金</v>
      </c>
    </row>
    <row r="351" customFormat="false" ht="15" hidden="false" customHeight="false" outlineLevel="0" collapsed="false">
      <c r="A351" s="5" t="str">
        <f aca="false">設定!B72</f>
        <v>教育委員会（教育給与課）</v>
      </c>
      <c r="B351" s="5" t="n">
        <f aca="false">IFERROR(MATCH(ホーム!$C$4&amp;"|"&amp;A351,報告入力!$CG$7:$CG$696,0),"")</f>
        <v>334</v>
      </c>
      <c r="C351" s="5" t="str">
        <f aca="false">IF(B351="","",INDEX(報告入力!$C$7:$C$696,B351))</f>
        <v>未受領</v>
      </c>
      <c r="D351" s="5" t="str">
        <f aca="false">設定!$A$41</f>
        <v>介護経理</v>
      </c>
      <c r="E351" s="5" t="str">
        <f aca="false">設定!$B$41&amp;""</f>
        <v/>
      </c>
      <c r="F351" s="5" t="str">
        <f aca="false">設定!$D$54&amp;""</f>
        <v/>
      </c>
      <c r="G351" s="5" t="str">
        <f aca="false">設定!$E$54&amp;""</f>
        <v/>
      </c>
      <c r="H351" s="5" t="n">
        <f aca="false">IF(B351="",0,N(INDEX(報告入力!$BC$7:$BC$696,B351)))</f>
        <v>8068</v>
      </c>
      <c r="I351" s="5" t="str">
        <f aca="false">設定!$C$41&amp;""</f>
        <v/>
      </c>
      <c r="J351" s="5" t="str">
        <f aca="false">設定!$D$41&amp;""</f>
        <v/>
      </c>
      <c r="K351" s="5" t="n">
        <f aca="false">IF(AND(H351&lt;&gt;0,IF(設定!$B$6="入金確認済のみ",C351="入金確認済",OR(C351="入金確認済",C351="受領済"))),1,0)</f>
        <v>0</v>
      </c>
      <c r="L351" s="5" t="str">
        <f aca="false">3&amp;"|"&amp;12</f>
        <v>3|12</v>
      </c>
      <c r="M351" s="5" t="n">
        <f aca="false">IF(L351=L350,M350,0)+K351</f>
        <v>0</v>
      </c>
      <c r="N351" s="5" t="n">
        <f aca="false">IF(AND(K351=1,M351=1),1,0)</f>
        <v>0</v>
      </c>
      <c r="O351" s="5" t="str">
        <f aca="false">IF(K351=1,MAX($O$5:O350)+1,"")</f>
        <v/>
      </c>
      <c r="P351" s="5" t="str">
        <f aca="false">IF(K351=1,SUM($N$6:N351),"")</f>
        <v/>
      </c>
      <c r="Q351" s="5" t="str">
        <f aca="false">IF(K351=1,SUMIFS($H$6:$H$511,$L$6:$L$511,L351,$K$6:$K$511,1),"")</f>
        <v/>
      </c>
      <c r="R351" s="78" t="str">
        <f aca="false">IF(B351="","",IF(INDEX(報告入力!$X$7:$X$696,B351)="","",INDEX(報告入力!$X$7:$X$696,B351)))</f>
        <v/>
      </c>
      <c r="S351" s="5" t="str">
        <f aca="false">設定!$C$54</f>
        <v>介護：負担金</v>
      </c>
    </row>
    <row r="352" customFormat="false" ht="15" hidden="false" customHeight="false" outlineLevel="0" collapsed="false">
      <c r="A352" s="5" t="str">
        <f aca="false">設定!B73</f>
        <v>地方税共同機構</v>
      </c>
      <c r="B352" s="5" t="n">
        <f aca="false">IFERROR(MATCH(ホーム!$C$4&amp;"|"&amp;A352,報告入力!$CG$7:$CG$696,0),"")</f>
        <v>335</v>
      </c>
      <c r="C352" s="5" t="str">
        <f aca="false">IF(B352="","",INDEX(報告入力!$C$7:$C$696,B352))</f>
        <v>報告なし</v>
      </c>
      <c r="D352" s="5" t="str">
        <f aca="false">設定!$A$41</f>
        <v>介護経理</v>
      </c>
      <c r="E352" s="5" t="str">
        <f aca="false">設定!$B$41&amp;""</f>
        <v/>
      </c>
      <c r="F352" s="5" t="str">
        <f aca="false">設定!$D$53&amp;""</f>
        <v/>
      </c>
      <c r="G352" s="5" t="str">
        <f aca="false">設定!$E$53&amp;""</f>
        <v/>
      </c>
      <c r="H352" s="5" t="n">
        <f aca="false">IF(B352="",0,N(INDEX(報告入力!$BB$7:$BB$696,B352)))</f>
        <v>0</v>
      </c>
      <c r="I352" s="5" t="str">
        <f aca="false">設定!$C$41&amp;""</f>
        <v/>
      </c>
      <c r="J352" s="5" t="str">
        <f aca="false">設定!$D$41&amp;""</f>
        <v/>
      </c>
      <c r="K352" s="5" t="n">
        <f aca="false">IF(AND(H352&lt;&gt;0,IF(設定!$B$6="入金確認済のみ",C352="入金確認済",OR(C352="入金確認済",C352="受領済"))),1,0)</f>
        <v>0</v>
      </c>
      <c r="L352" s="5" t="str">
        <f aca="false">3&amp;"|"&amp;13</f>
        <v>3|13</v>
      </c>
      <c r="M352" s="5" t="n">
        <f aca="false">IF(L352=L351,M351,0)+K352</f>
        <v>0</v>
      </c>
      <c r="N352" s="5" t="n">
        <f aca="false">IF(AND(K352=1,M352=1),1,0)</f>
        <v>0</v>
      </c>
      <c r="O352" s="5" t="str">
        <f aca="false">IF(K352=1,MAX($O$5:O351)+1,"")</f>
        <v/>
      </c>
      <c r="P352" s="5" t="str">
        <f aca="false">IF(K352=1,SUM($N$6:N352),"")</f>
        <v/>
      </c>
      <c r="Q352" s="5" t="str">
        <f aca="false">IF(K352=1,SUMIFS($H$6:$H$511,$L$6:$L$511,L352,$K$6:$K$511,1),"")</f>
        <v/>
      </c>
      <c r="R352" s="78" t="str">
        <f aca="false">IF(B352="","",IF(INDEX(報告入力!$X$7:$X$696,B352)="","",INDEX(報告入力!$X$7:$X$696,B352)))</f>
        <v/>
      </c>
      <c r="S352" s="5" t="str">
        <f aca="false">設定!$C$53</f>
        <v>介護：掛金</v>
      </c>
    </row>
    <row r="353" customFormat="false" ht="15" hidden="false" customHeight="false" outlineLevel="0" collapsed="false">
      <c r="A353" s="5" t="str">
        <f aca="false">設定!B73</f>
        <v>地方税共同機構</v>
      </c>
      <c r="B353" s="5" t="n">
        <f aca="false">IFERROR(MATCH(ホーム!$C$4&amp;"|"&amp;A353,報告入力!$CG$7:$CG$696,0),"")</f>
        <v>335</v>
      </c>
      <c r="C353" s="5" t="str">
        <f aca="false">IF(B353="","",INDEX(報告入力!$C$7:$C$696,B353))</f>
        <v>報告なし</v>
      </c>
      <c r="D353" s="5" t="str">
        <f aca="false">設定!$A$41</f>
        <v>介護経理</v>
      </c>
      <c r="E353" s="5" t="str">
        <f aca="false">設定!$B$41&amp;""</f>
        <v/>
      </c>
      <c r="F353" s="5" t="str">
        <f aca="false">設定!$D$54&amp;""</f>
        <v/>
      </c>
      <c r="G353" s="5" t="str">
        <f aca="false">設定!$E$54&amp;""</f>
        <v/>
      </c>
      <c r="H353" s="5" t="n">
        <f aca="false">IF(B353="",0,N(INDEX(報告入力!$BC$7:$BC$696,B353)))</f>
        <v>0</v>
      </c>
      <c r="I353" s="5" t="str">
        <f aca="false">設定!$C$41&amp;""</f>
        <v/>
      </c>
      <c r="J353" s="5" t="str">
        <f aca="false">設定!$D$41&amp;""</f>
        <v/>
      </c>
      <c r="K353" s="5" t="n">
        <f aca="false">IF(AND(H353&lt;&gt;0,IF(設定!$B$6="入金確認済のみ",C353="入金確認済",OR(C353="入金確認済",C353="受領済"))),1,0)</f>
        <v>0</v>
      </c>
      <c r="L353" s="5" t="str">
        <f aca="false">3&amp;"|"&amp;13</f>
        <v>3|13</v>
      </c>
      <c r="M353" s="5" t="n">
        <f aca="false">IF(L353=L352,M352,0)+K353</f>
        <v>0</v>
      </c>
      <c r="N353" s="5" t="n">
        <f aca="false">IF(AND(K353=1,M353=1),1,0)</f>
        <v>0</v>
      </c>
      <c r="O353" s="5" t="str">
        <f aca="false">IF(K353=1,MAX($O$5:O352)+1,"")</f>
        <v/>
      </c>
      <c r="P353" s="5" t="str">
        <f aca="false">IF(K353=1,SUM($N$6:N353),"")</f>
        <v/>
      </c>
      <c r="Q353" s="5" t="str">
        <f aca="false">IF(K353=1,SUMIFS($H$6:$H$511,$L$6:$L$511,L353,$K$6:$K$511,1),"")</f>
        <v/>
      </c>
      <c r="R353" s="78" t="str">
        <f aca="false">IF(B353="","",IF(INDEX(報告入力!$X$7:$X$696,B353)="","",INDEX(報告入力!$X$7:$X$696,B353)))</f>
        <v/>
      </c>
      <c r="S353" s="5" t="str">
        <f aca="false">設定!$C$54</f>
        <v>介護：負担金</v>
      </c>
    </row>
    <row r="354" customFormat="false" ht="15" hidden="false" customHeight="false" outlineLevel="0" collapsed="false">
      <c r="A354" s="5" t="str">
        <f aca="false">設定!B74</f>
        <v>平和文化センター</v>
      </c>
      <c r="B354" s="5" t="n">
        <f aca="false">IFERROR(MATCH(ホーム!$C$4&amp;"|"&amp;A354,報告入力!$CG$7:$CG$696,0),"")</f>
        <v>336</v>
      </c>
      <c r="C354" s="5" t="str">
        <f aca="false">IF(B354="","",INDEX(報告入力!$C$7:$C$696,B354))</f>
        <v>未受領</v>
      </c>
      <c r="D354" s="5" t="str">
        <f aca="false">設定!$A$41</f>
        <v>介護経理</v>
      </c>
      <c r="E354" s="5" t="str">
        <f aca="false">設定!$B$41&amp;""</f>
        <v/>
      </c>
      <c r="F354" s="5" t="str">
        <f aca="false">設定!$D$53&amp;""</f>
        <v/>
      </c>
      <c r="G354" s="5" t="str">
        <f aca="false">設定!$E$53&amp;""</f>
        <v/>
      </c>
      <c r="H354" s="5" t="n">
        <f aca="false">IF(B354="",0,N(INDEX(報告入力!$BB$7:$BB$696,B354)))</f>
        <v>0</v>
      </c>
      <c r="I354" s="5" t="str">
        <f aca="false">設定!$C$41&amp;""</f>
        <v/>
      </c>
      <c r="J354" s="5" t="str">
        <f aca="false">設定!$D$41&amp;""</f>
        <v/>
      </c>
      <c r="K354" s="5" t="n">
        <f aca="false">IF(AND(H354&lt;&gt;0,IF(設定!$B$6="入金確認済のみ",C354="入金確認済",OR(C354="入金確認済",C354="受領済"))),1,0)</f>
        <v>0</v>
      </c>
      <c r="L354" s="5" t="str">
        <f aca="false">3&amp;"|"&amp;14</f>
        <v>3|14</v>
      </c>
      <c r="M354" s="5" t="n">
        <f aca="false">IF(L354=L353,M353,0)+K354</f>
        <v>0</v>
      </c>
      <c r="N354" s="5" t="n">
        <f aca="false">IF(AND(K354=1,M354=1),1,0)</f>
        <v>0</v>
      </c>
      <c r="O354" s="5" t="str">
        <f aca="false">IF(K354=1,MAX($O$5:O353)+1,"")</f>
        <v/>
      </c>
      <c r="P354" s="5" t="str">
        <f aca="false">IF(K354=1,SUM($N$6:N354),"")</f>
        <v/>
      </c>
      <c r="Q354" s="5" t="str">
        <f aca="false">IF(K354=1,SUMIFS($H$6:$H$511,$L$6:$L$511,L354,$K$6:$K$511,1),"")</f>
        <v/>
      </c>
      <c r="R354" s="78" t="str">
        <f aca="false">IF(B354="","",IF(INDEX(報告入力!$X$7:$X$696,B354)="","",INDEX(報告入力!$X$7:$X$696,B354)))</f>
        <v/>
      </c>
      <c r="S354" s="5" t="str">
        <f aca="false">設定!$C$53</f>
        <v>介護：掛金</v>
      </c>
    </row>
    <row r="355" customFormat="false" ht="15" hidden="false" customHeight="false" outlineLevel="0" collapsed="false">
      <c r="A355" s="5" t="str">
        <f aca="false">設定!B74</f>
        <v>平和文化センター</v>
      </c>
      <c r="B355" s="5" t="n">
        <f aca="false">IFERROR(MATCH(ホーム!$C$4&amp;"|"&amp;A355,報告入力!$CG$7:$CG$696,0),"")</f>
        <v>336</v>
      </c>
      <c r="C355" s="5" t="str">
        <f aca="false">IF(B355="","",INDEX(報告入力!$C$7:$C$696,B355))</f>
        <v>未受領</v>
      </c>
      <c r="D355" s="5" t="str">
        <f aca="false">設定!$A$41</f>
        <v>介護経理</v>
      </c>
      <c r="E355" s="5" t="str">
        <f aca="false">設定!$B$41&amp;""</f>
        <v/>
      </c>
      <c r="F355" s="5" t="str">
        <f aca="false">設定!$D$54&amp;""</f>
        <v/>
      </c>
      <c r="G355" s="5" t="str">
        <f aca="false">設定!$E$54&amp;""</f>
        <v/>
      </c>
      <c r="H355" s="5" t="n">
        <f aca="false">IF(B355="",0,N(INDEX(報告入力!$BC$7:$BC$696,B355)))</f>
        <v>51903</v>
      </c>
      <c r="I355" s="5" t="str">
        <f aca="false">設定!$C$41&amp;""</f>
        <v/>
      </c>
      <c r="J355" s="5" t="str">
        <f aca="false">設定!$D$41&amp;""</f>
        <v/>
      </c>
      <c r="K355" s="5" t="n">
        <f aca="false">IF(AND(H355&lt;&gt;0,IF(設定!$B$6="入金確認済のみ",C355="入金確認済",OR(C355="入金確認済",C355="受領済"))),1,0)</f>
        <v>0</v>
      </c>
      <c r="L355" s="5" t="str">
        <f aca="false">3&amp;"|"&amp;14</f>
        <v>3|14</v>
      </c>
      <c r="M355" s="5" t="n">
        <f aca="false">IF(L355=L354,M354,0)+K355</f>
        <v>0</v>
      </c>
      <c r="N355" s="5" t="n">
        <f aca="false">IF(AND(K355=1,M355=1),1,0)</f>
        <v>0</v>
      </c>
      <c r="O355" s="5" t="str">
        <f aca="false">IF(K355=1,MAX($O$5:O354)+1,"")</f>
        <v/>
      </c>
      <c r="P355" s="5" t="str">
        <f aca="false">IF(K355=1,SUM($N$6:N355),"")</f>
        <v/>
      </c>
      <c r="Q355" s="5" t="str">
        <f aca="false">IF(K355=1,SUMIFS($H$6:$H$511,$L$6:$L$511,L355,$K$6:$K$511,1),"")</f>
        <v/>
      </c>
      <c r="R355" s="78" t="str">
        <f aca="false">IF(B355="","",IF(INDEX(報告入力!$X$7:$X$696,B355)="","",INDEX(報告入力!$X$7:$X$696,B355)))</f>
        <v/>
      </c>
      <c r="S355" s="5" t="str">
        <f aca="false">設定!$C$54</f>
        <v>介護：負担金</v>
      </c>
    </row>
    <row r="356" customFormat="false" ht="15" hidden="false" customHeight="false" outlineLevel="0" collapsed="false">
      <c r="A356" s="5" t="str">
        <f aca="false">設定!B75</f>
        <v>社会福祉事業団</v>
      </c>
      <c r="B356" s="5" t="n">
        <f aca="false">IFERROR(MATCH(ホーム!$C$4&amp;"|"&amp;A356,報告入力!$CG$7:$CG$696,0),"")</f>
        <v>337</v>
      </c>
      <c r="C356" s="5" t="str">
        <f aca="false">IF(B356="","",INDEX(報告入力!$C$7:$C$696,B356))</f>
        <v>未受領</v>
      </c>
      <c r="D356" s="5" t="str">
        <f aca="false">設定!$A$41</f>
        <v>介護経理</v>
      </c>
      <c r="E356" s="5" t="str">
        <f aca="false">設定!$B$41&amp;""</f>
        <v/>
      </c>
      <c r="F356" s="5" t="str">
        <f aca="false">設定!$D$53&amp;""</f>
        <v/>
      </c>
      <c r="G356" s="5" t="str">
        <f aca="false">設定!$E$53&amp;""</f>
        <v/>
      </c>
      <c r="H356" s="5" t="n">
        <f aca="false">IF(B356="",0,N(INDEX(報告入力!$BB$7:$BB$696,B356)))</f>
        <v>0</v>
      </c>
      <c r="I356" s="5" t="str">
        <f aca="false">設定!$C$41&amp;""</f>
        <v/>
      </c>
      <c r="J356" s="5" t="str">
        <f aca="false">設定!$D$41&amp;""</f>
        <v/>
      </c>
      <c r="K356" s="5" t="n">
        <f aca="false">IF(AND(H356&lt;&gt;0,IF(設定!$B$6="入金確認済のみ",C356="入金確認済",OR(C356="入金確認済",C356="受領済"))),1,0)</f>
        <v>0</v>
      </c>
      <c r="L356" s="5" t="str">
        <f aca="false">3&amp;"|"&amp;15</f>
        <v>3|15</v>
      </c>
      <c r="M356" s="5" t="n">
        <f aca="false">IF(L356=L355,M355,0)+K356</f>
        <v>0</v>
      </c>
      <c r="N356" s="5" t="n">
        <f aca="false">IF(AND(K356=1,M356=1),1,0)</f>
        <v>0</v>
      </c>
      <c r="O356" s="5" t="str">
        <f aca="false">IF(K356=1,MAX($O$5:O355)+1,"")</f>
        <v/>
      </c>
      <c r="P356" s="5" t="str">
        <f aca="false">IF(K356=1,SUM($N$6:N356),"")</f>
        <v/>
      </c>
      <c r="Q356" s="5" t="str">
        <f aca="false">IF(K356=1,SUMIFS($H$6:$H$511,$L$6:$L$511,L356,$K$6:$K$511,1),"")</f>
        <v/>
      </c>
      <c r="R356" s="78" t="str">
        <f aca="false">IF(B356="","",IF(INDEX(報告入力!$X$7:$X$696,B356)="","",INDEX(報告入力!$X$7:$X$696,B356)))</f>
        <v/>
      </c>
      <c r="S356" s="5" t="str">
        <f aca="false">設定!$C$53</f>
        <v>介護：掛金</v>
      </c>
    </row>
    <row r="357" customFormat="false" ht="15" hidden="false" customHeight="false" outlineLevel="0" collapsed="false">
      <c r="A357" s="5" t="str">
        <f aca="false">設定!B75</f>
        <v>社会福祉事業団</v>
      </c>
      <c r="B357" s="5" t="n">
        <f aca="false">IFERROR(MATCH(ホーム!$C$4&amp;"|"&amp;A357,報告入力!$CG$7:$CG$696,0),"")</f>
        <v>337</v>
      </c>
      <c r="C357" s="5" t="str">
        <f aca="false">IF(B357="","",INDEX(報告入力!$C$7:$C$696,B357))</f>
        <v>未受領</v>
      </c>
      <c r="D357" s="5" t="str">
        <f aca="false">設定!$A$41</f>
        <v>介護経理</v>
      </c>
      <c r="E357" s="5" t="str">
        <f aca="false">設定!$B$41&amp;""</f>
        <v/>
      </c>
      <c r="F357" s="5" t="str">
        <f aca="false">設定!$D$54&amp;""</f>
        <v/>
      </c>
      <c r="G357" s="5" t="str">
        <f aca="false">設定!$E$54&amp;""</f>
        <v/>
      </c>
      <c r="H357" s="5" t="n">
        <f aca="false">IF(B357="",0,N(INDEX(報告入力!$BC$7:$BC$696,B357)))</f>
        <v>141252</v>
      </c>
      <c r="I357" s="5" t="str">
        <f aca="false">設定!$C$41&amp;""</f>
        <v/>
      </c>
      <c r="J357" s="5" t="str">
        <f aca="false">設定!$D$41&amp;""</f>
        <v/>
      </c>
      <c r="K357" s="5" t="n">
        <f aca="false">IF(AND(H357&lt;&gt;0,IF(設定!$B$6="入金確認済のみ",C357="入金確認済",OR(C357="入金確認済",C357="受領済"))),1,0)</f>
        <v>0</v>
      </c>
      <c r="L357" s="5" t="str">
        <f aca="false">3&amp;"|"&amp;15</f>
        <v>3|15</v>
      </c>
      <c r="M357" s="5" t="n">
        <f aca="false">IF(L357=L356,M356,0)+K357</f>
        <v>0</v>
      </c>
      <c r="N357" s="5" t="n">
        <f aca="false">IF(AND(K357=1,M357=1),1,0)</f>
        <v>0</v>
      </c>
      <c r="O357" s="5" t="str">
        <f aca="false">IF(K357=1,MAX($O$5:O356)+1,"")</f>
        <v/>
      </c>
      <c r="P357" s="5" t="str">
        <f aca="false">IF(K357=1,SUM($N$6:N357),"")</f>
        <v/>
      </c>
      <c r="Q357" s="5" t="str">
        <f aca="false">IF(K357=1,SUMIFS($H$6:$H$511,$L$6:$L$511,L357,$K$6:$K$511,1),"")</f>
        <v/>
      </c>
      <c r="R357" s="78" t="str">
        <f aca="false">IF(B357="","",IF(INDEX(報告入力!$X$7:$X$696,B357)="","",INDEX(報告入力!$X$7:$X$696,B357)))</f>
        <v/>
      </c>
      <c r="S357" s="5" t="str">
        <f aca="false">設定!$C$54</f>
        <v>介護：負担金</v>
      </c>
    </row>
    <row r="358" customFormat="false" ht="15" hidden="false" customHeight="false" outlineLevel="0" collapsed="false">
      <c r="A358" s="5" t="str">
        <f aca="false">設定!B76</f>
        <v>原爆障害対策協議会</v>
      </c>
      <c r="B358" s="5" t="n">
        <f aca="false">IFERROR(MATCH(ホーム!$C$4&amp;"|"&amp;A358,報告入力!$CG$7:$CG$696,0),"")</f>
        <v>338</v>
      </c>
      <c r="C358" s="5" t="str">
        <f aca="false">IF(B358="","",INDEX(報告入力!$C$7:$C$696,B358))</f>
        <v>未受領</v>
      </c>
      <c r="D358" s="5" t="str">
        <f aca="false">設定!$A$41</f>
        <v>介護経理</v>
      </c>
      <c r="E358" s="5" t="str">
        <f aca="false">設定!$B$41&amp;""</f>
        <v/>
      </c>
      <c r="F358" s="5" t="str">
        <f aca="false">設定!$D$53&amp;""</f>
        <v/>
      </c>
      <c r="G358" s="5" t="str">
        <f aca="false">設定!$E$53&amp;""</f>
        <v/>
      </c>
      <c r="H358" s="5" t="n">
        <f aca="false">IF(B358="",0,N(INDEX(報告入力!$BB$7:$BB$696,B358)))</f>
        <v>0</v>
      </c>
      <c r="I358" s="5" t="str">
        <f aca="false">設定!$C$41&amp;""</f>
        <v/>
      </c>
      <c r="J358" s="5" t="str">
        <f aca="false">設定!$D$41&amp;""</f>
        <v/>
      </c>
      <c r="K358" s="5" t="n">
        <f aca="false">IF(AND(H358&lt;&gt;0,IF(設定!$B$6="入金確認済のみ",C358="入金確認済",OR(C358="入金確認済",C358="受領済"))),1,0)</f>
        <v>0</v>
      </c>
      <c r="L358" s="5" t="str">
        <f aca="false">3&amp;"|"&amp;16</f>
        <v>3|16</v>
      </c>
      <c r="M358" s="5" t="n">
        <f aca="false">IF(L358=L357,M357,0)+K358</f>
        <v>0</v>
      </c>
      <c r="N358" s="5" t="n">
        <f aca="false">IF(AND(K358=1,M358=1),1,0)</f>
        <v>0</v>
      </c>
      <c r="O358" s="5" t="str">
        <f aca="false">IF(K358=1,MAX($O$5:O357)+1,"")</f>
        <v/>
      </c>
      <c r="P358" s="5" t="str">
        <f aca="false">IF(K358=1,SUM($N$6:N358),"")</f>
        <v/>
      </c>
      <c r="Q358" s="5" t="str">
        <f aca="false">IF(K358=1,SUMIFS($H$6:$H$511,$L$6:$L$511,L358,$K$6:$K$511,1),"")</f>
        <v/>
      </c>
      <c r="R358" s="78" t="str">
        <f aca="false">IF(B358="","",IF(INDEX(報告入力!$X$7:$X$696,B358)="","",INDEX(報告入力!$X$7:$X$696,B358)))</f>
        <v/>
      </c>
      <c r="S358" s="5" t="str">
        <f aca="false">設定!$C$53</f>
        <v>介護：掛金</v>
      </c>
    </row>
    <row r="359" customFormat="false" ht="15" hidden="false" customHeight="false" outlineLevel="0" collapsed="false">
      <c r="A359" s="5" t="str">
        <f aca="false">設定!B76</f>
        <v>原爆障害対策協議会</v>
      </c>
      <c r="B359" s="5" t="n">
        <f aca="false">IFERROR(MATCH(ホーム!$C$4&amp;"|"&amp;A359,報告入力!$CG$7:$CG$696,0),"")</f>
        <v>338</v>
      </c>
      <c r="C359" s="5" t="str">
        <f aca="false">IF(B359="","",INDEX(報告入力!$C$7:$C$696,B359))</f>
        <v>未受領</v>
      </c>
      <c r="D359" s="5" t="str">
        <f aca="false">設定!$A$41</f>
        <v>介護経理</v>
      </c>
      <c r="E359" s="5" t="str">
        <f aca="false">設定!$B$41&amp;""</f>
        <v/>
      </c>
      <c r="F359" s="5" t="str">
        <f aca="false">設定!$D$54&amp;""</f>
        <v/>
      </c>
      <c r="G359" s="5" t="str">
        <f aca="false">設定!$E$54&amp;""</f>
        <v/>
      </c>
      <c r="H359" s="5" t="n">
        <f aca="false">IF(B359="",0,N(INDEX(報告入力!$BC$7:$BC$696,B359)))</f>
        <v>4187</v>
      </c>
      <c r="I359" s="5" t="str">
        <f aca="false">設定!$C$41&amp;""</f>
        <v/>
      </c>
      <c r="J359" s="5" t="str">
        <f aca="false">設定!$D$41&amp;""</f>
        <v/>
      </c>
      <c r="K359" s="5" t="n">
        <f aca="false">IF(AND(H359&lt;&gt;0,IF(設定!$B$6="入金確認済のみ",C359="入金確認済",OR(C359="入金確認済",C359="受領済"))),1,0)</f>
        <v>0</v>
      </c>
      <c r="L359" s="5" t="str">
        <f aca="false">3&amp;"|"&amp;16</f>
        <v>3|16</v>
      </c>
      <c r="M359" s="5" t="n">
        <f aca="false">IF(L359=L358,M358,0)+K359</f>
        <v>0</v>
      </c>
      <c r="N359" s="5" t="n">
        <f aca="false">IF(AND(K359=1,M359=1),1,0)</f>
        <v>0</v>
      </c>
      <c r="O359" s="5" t="str">
        <f aca="false">IF(K359=1,MAX($O$5:O358)+1,"")</f>
        <v/>
      </c>
      <c r="P359" s="5" t="str">
        <f aca="false">IF(K359=1,SUM($N$6:N359),"")</f>
        <v/>
      </c>
      <c r="Q359" s="5" t="str">
        <f aca="false">IF(K359=1,SUMIFS($H$6:$H$511,$L$6:$L$511,L359,$K$6:$K$511,1),"")</f>
        <v/>
      </c>
      <c r="R359" s="78" t="str">
        <f aca="false">IF(B359="","",IF(INDEX(報告入力!$X$7:$X$696,B359)="","",INDEX(報告入力!$X$7:$X$696,B359)))</f>
        <v/>
      </c>
      <c r="S359" s="5" t="str">
        <f aca="false">設定!$C$54</f>
        <v>介護：負担金</v>
      </c>
    </row>
    <row r="360" customFormat="false" ht="15" hidden="false" customHeight="false" outlineLevel="0" collapsed="false">
      <c r="A360" s="5" t="str">
        <f aca="false">設定!B77</f>
        <v>産業振興センター</v>
      </c>
      <c r="B360" s="5" t="n">
        <f aca="false">IFERROR(MATCH(ホーム!$C$4&amp;"|"&amp;A360,報告入力!$CG$7:$CG$696,0),"")</f>
        <v>339</v>
      </c>
      <c r="C360" s="5" t="str">
        <f aca="false">IF(B360="","",INDEX(報告入力!$C$7:$C$696,B360))</f>
        <v>未受領</v>
      </c>
      <c r="D360" s="5" t="str">
        <f aca="false">設定!$A$41</f>
        <v>介護経理</v>
      </c>
      <c r="E360" s="5" t="str">
        <f aca="false">設定!$B$41&amp;""</f>
        <v/>
      </c>
      <c r="F360" s="5" t="str">
        <f aca="false">設定!$D$53&amp;""</f>
        <v/>
      </c>
      <c r="G360" s="5" t="str">
        <f aca="false">設定!$E$53&amp;""</f>
        <v/>
      </c>
      <c r="H360" s="5" t="n">
        <f aca="false">IF(B360="",0,N(INDEX(報告入力!$BB$7:$BB$696,B360)))</f>
        <v>0</v>
      </c>
      <c r="I360" s="5" t="str">
        <f aca="false">設定!$C$41&amp;""</f>
        <v/>
      </c>
      <c r="J360" s="5" t="str">
        <f aca="false">設定!$D$41&amp;""</f>
        <v/>
      </c>
      <c r="K360" s="5" t="n">
        <f aca="false">IF(AND(H360&lt;&gt;0,IF(設定!$B$6="入金確認済のみ",C360="入金確認済",OR(C360="入金確認済",C360="受領済"))),1,0)</f>
        <v>0</v>
      </c>
      <c r="L360" s="5" t="str">
        <f aca="false">3&amp;"|"&amp;17</f>
        <v>3|17</v>
      </c>
      <c r="M360" s="5" t="n">
        <f aca="false">IF(L360=L359,M359,0)+K360</f>
        <v>0</v>
      </c>
      <c r="N360" s="5" t="n">
        <f aca="false">IF(AND(K360=1,M360=1),1,0)</f>
        <v>0</v>
      </c>
      <c r="O360" s="5" t="str">
        <f aca="false">IF(K360=1,MAX($O$5:O359)+1,"")</f>
        <v/>
      </c>
      <c r="P360" s="5" t="str">
        <f aca="false">IF(K360=1,SUM($N$6:N360),"")</f>
        <v/>
      </c>
      <c r="Q360" s="5" t="str">
        <f aca="false">IF(K360=1,SUMIFS($H$6:$H$511,$L$6:$L$511,L360,$K$6:$K$511,1),"")</f>
        <v/>
      </c>
      <c r="R360" s="78" t="str">
        <f aca="false">IF(B360="","",IF(INDEX(報告入力!$X$7:$X$696,B360)="","",INDEX(報告入力!$X$7:$X$696,B360)))</f>
        <v/>
      </c>
      <c r="S360" s="5" t="str">
        <f aca="false">設定!$C$53</f>
        <v>介護：掛金</v>
      </c>
    </row>
    <row r="361" customFormat="false" ht="15" hidden="false" customHeight="false" outlineLevel="0" collapsed="false">
      <c r="A361" s="5" t="str">
        <f aca="false">設定!B77</f>
        <v>産業振興センター</v>
      </c>
      <c r="B361" s="5" t="n">
        <f aca="false">IFERROR(MATCH(ホーム!$C$4&amp;"|"&amp;A361,報告入力!$CG$7:$CG$696,0),"")</f>
        <v>339</v>
      </c>
      <c r="C361" s="5" t="str">
        <f aca="false">IF(B361="","",INDEX(報告入力!$C$7:$C$696,B361))</f>
        <v>未受領</v>
      </c>
      <c r="D361" s="5" t="str">
        <f aca="false">設定!$A$41</f>
        <v>介護経理</v>
      </c>
      <c r="E361" s="5" t="str">
        <f aca="false">設定!$B$41&amp;""</f>
        <v/>
      </c>
      <c r="F361" s="5" t="str">
        <f aca="false">設定!$D$54&amp;""</f>
        <v/>
      </c>
      <c r="G361" s="5" t="str">
        <f aca="false">設定!$E$54&amp;""</f>
        <v/>
      </c>
      <c r="H361" s="5" t="n">
        <f aca="false">IF(B361="",0,N(INDEX(報告入力!$BC$7:$BC$696,B361)))</f>
        <v>34207</v>
      </c>
      <c r="I361" s="5" t="str">
        <f aca="false">設定!$C$41&amp;""</f>
        <v/>
      </c>
      <c r="J361" s="5" t="str">
        <f aca="false">設定!$D$41&amp;""</f>
        <v/>
      </c>
      <c r="K361" s="5" t="n">
        <f aca="false">IF(AND(H361&lt;&gt;0,IF(設定!$B$6="入金確認済のみ",C361="入金確認済",OR(C361="入金確認済",C361="受領済"))),1,0)</f>
        <v>0</v>
      </c>
      <c r="L361" s="5" t="str">
        <f aca="false">3&amp;"|"&amp;17</f>
        <v>3|17</v>
      </c>
      <c r="M361" s="5" t="n">
        <f aca="false">IF(L361=L360,M360,0)+K361</f>
        <v>0</v>
      </c>
      <c r="N361" s="5" t="n">
        <f aca="false">IF(AND(K361=1,M361=1),1,0)</f>
        <v>0</v>
      </c>
      <c r="O361" s="5" t="str">
        <f aca="false">IF(K361=1,MAX($O$5:O360)+1,"")</f>
        <v/>
      </c>
      <c r="P361" s="5" t="str">
        <f aca="false">IF(K361=1,SUM($N$6:N361),"")</f>
        <v/>
      </c>
      <c r="Q361" s="5" t="str">
        <f aca="false">IF(K361=1,SUMIFS($H$6:$H$511,$L$6:$L$511,L361,$K$6:$K$511,1),"")</f>
        <v/>
      </c>
      <c r="R361" s="78" t="str">
        <f aca="false">IF(B361="","",IF(INDEX(報告入力!$X$7:$X$696,B361)="","",INDEX(報告入力!$X$7:$X$696,B361)))</f>
        <v/>
      </c>
      <c r="S361" s="5" t="str">
        <f aca="false">設定!$C$54</f>
        <v>介護：負担金</v>
      </c>
    </row>
    <row r="362" customFormat="false" ht="15" hidden="false" customHeight="false" outlineLevel="0" collapsed="false">
      <c r="A362" s="5" t="str">
        <f aca="false">設定!B78</f>
        <v>ひろしま産業振興</v>
      </c>
      <c r="B362" s="5" t="n">
        <f aca="false">IFERROR(MATCH(ホーム!$C$4&amp;"|"&amp;A362,報告入力!$CG$7:$CG$696,0),"")</f>
        <v>340</v>
      </c>
      <c r="C362" s="5" t="str">
        <f aca="false">IF(B362="","",INDEX(報告入力!$C$7:$C$696,B362))</f>
        <v>未受領</v>
      </c>
      <c r="D362" s="5" t="str">
        <f aca="false">設定!$A$41</f>
        <v>介護経理</v>
      </c>
      <c r="E362" s="5" t="str">
        <f aca="false">設定!$B$41&amp;""</f>
        <v/>
      </c>
      <c r="F362" s="5" t="str">
        <f aca="false">設定!$D$53&amp;""</f>
        <v/>
      </c>
      <c r="G362" s="5" t="str">
        <f aca="false">設定!$E$53&amp;""</f>
        <v/>
      </c>
      <c r="H362" s="5" t="n">
        <f aca="false">IF(B362="",0,N(INDEX(報告入力!$BB$7:$BB$696,B362)))</f>
        <v>0</v>
      </c>
      <c r="I362" s="5" t="str">
        <f aca="false">設定!$C$41&amp;""</f>
        <v/>
      </c>
      <c r="J362" s="5" t="str">
        <f aca="false">設定!$D$41&amp;""</f>
        <v/>
      </c>
      <c r="K362" s="5" t="n">
        <f aca="false">IF(AND(H362&lt;&gt;0,IF(設定!$B$6="入金確認済のみ",C362="入金確認済",OR(C362="入金確認済",C362="受領済"))),1,0)</f>
        <v>0</v>
      </c>
      <c r="L362" s="5" t="str">
        <f aca="false">3&amp;"|"&amp;18</f>
        <v>3|18</v>
      </c>
      <c r="M362" s="5" t="n">
        <f aca="false">IF(L362=L361,M361,0)+K362</f>
        <v>0</v>
      </c>
      <c r="N362" s="5" t="n">
        <f aca="false">IF(AND(K362=1,M362=1),1,0)</f>
        <v>0</v>
      </c>
      <c r="O362" s="5" t="str">
        <f aca="false">IF(K362=1,MAX($O$5:O361)+1,"")</f>
        <v/>
      </c>
      <c r="P362" s="5" t="str">
        <f aca="false">IF(K362=1,SUM($N$6:N362),"")</f>
        <v/>
      </c>
      <c r="Q362" s="5" t="str">
        <f aca="false">IF(K362=1,SUMIFS($H$6:$H$511,$L$6:$L$511,L362,$K$6:$K$511,1),"")</f>
        <v/>
      </c>
      <c r="R362" s="78" t="str">
        <f aca="false">IF(B362="","",IF(INDEX(報告入力!$X$7:$X$696,B362)="","",INDEX(報告入力!$X$7:$X$696,B362)))</f>
        <v/>
      </c>
      <c r="S362" s="5" t="str">
        <f aca="false">設定!$C$53</f>
        <v>介護：掛金</v>
      </c>
    </row>
    <row r="363" customFormat="false" ht="15" hidden="false" customHeight="false" outlineLevel="0" collapsed="false">
      <c r="A363" s="5" t="str">
        <f aca="false">設定!B78</f>
        <v>ひろしま産業振興</v>
      </c>
      <c r="B363" s="5" t="n">
        <f aca="false">IFERROR(MATCH(ホーム!$C$4&amp;"|"&amp;A363,報告入力!$CG$7:$CG$696,0),"")</f>
        <v>340</v>
      </c>
      <c r="C363" s="5" t="str">
        <f aca="false">IF(B363="","",INDEX(報告入力!$C$7:$C$696,B363))</f>
        <v>未受領</v>
      </c>
      <c r="D363" s="5" t="str">
        <f aca="false">設定!$A$41</f>
        <v>介護経理</v>
      </c>
      <c r="E363" s="5" t="str">
        <f aca="false">設定!$B$41&amp;""</f>
        <v/>
      </c>
      <c r="F363" s="5" t="str">
        <f aca="false">設定!$D$54&amp;""</f>
        <v/>
      </c>
      <c r="G363" s="5" t="str">
        <f aca="false">設定!$E$54&amp;""</f>
        <v/>
      </c>
      <c r="H363" s="5" t="n">
        <f aca="false">IF(B363="",0,N(INDEX(報告入力!$BC$7:$BC$696,B363)))</f>
        <v>7426</v>
      </c>
      <c r="I363" s="5" t="str">
        <f aca="false">設定!$C$41&amp;""</f>
        <v/>
      </c>
      <c r="J363" s="5" t="str">
        <f aca="false">設定!$D$41&amp;""</f>
        <v/>
      </c>
      <c r="K363" s="5" t="n">
        <f aca="false">IF(AND(H363&lt;&gt;0,IF(設定!$B$6="入金確認済のみ",C363="入金確認済",OR(C363="入金確認済",C363="受領済"))),1,0)</f>
        <v>0</v>
      </c>
      <c r="L363" s="5" t="str">
        <f aca="false">3&amp;"|"&amp;18</f>
        <v>3|18</v>
      </c>
      <c r="M363" s="5" t="n">
        <f aca="false">IF(L363=L362,M362,0)+K363</f>
        <v>0</v>
      </c>
      <c r="N363" s="5" t="n">
        <f aca="false">IF(AND(K363=1,M363=1),1,0)</f>
        <v>0</v>
      </c>
      <c r="O363" s="5" t="str">
        <f aca="false">IF(K363=1,MAX($O$5:O362)+1,"")</f>
        <v/>
      </c>
      <c r="P363" s="5" t="str">
        <f aca="false">IF(K363=1,SUM($N$6:N363),"")</f>
        <v/>
      </c>
      <c r="Q363" s="5" t="str">
        <f aca="false">IF(K363=1,SUMIFS($H$6:$H$511,$L$6:$L$511,L363,$K$6:$K$511,1),"")</f>
        <v/>
      </c>
      <c r="R363" s="78" t="str">
        <f aca="false">IF(B363="","",IF(INDEX(報告入力!$X$7:$X$696,B363)="","",INDEX(報告入力!$X$7:$X$696,B363)))</f>
        <v/>
      </c>
      <c r="S363" s="5" t="str">
        <f aca="false">設定!$C$54</f>
        <v>介護：負担金</v>
      </c>
    </row>
    <row r="364" customFormat="false" ht="15" hidden="false" customHeight="false" outlineLevel="0" collapsed="false">
      <c r="A364" s="5" t="str">
        <f aca="false">設定!B79</f>
        <v>都市整備公社　市</v>
      </c>
      <c r="B364" s="5" t="n">
        <f aca="false">IFERROR(MATCH(ホーム!$C$4&amp;"|"&amp;A364,報告入力!$CG$7:$CG$696,0),"")</f>
        <v>341</v>
      </c>
      <c r="C364" s="5" t="str">
        <f aca="false">IF(B364="","",INDEX(報告入力!$C$7:$C$696,B364))</f>
        <v>未受領</v>
      </c>
      <c r="D364" s="5" t="str">
        <f aca="false">設定!$A$41</f>
        <v>介護経理</v>
      </c>
      <c r="E364" s="5" t="str">
        <f aca="false">設定!$B$41&amp;""</f>
        <v/>
      </c>
      <c r="F364" s="5" t="str">
        <f aca="false">設定!$D$53&amp;""</f>
        <v/>
      </c>
      <c r="G364" s="5" t="str">
        <f aca="false">設定!$E$53&amp;""</f>
        <v/>
      </c>
      <c r="H364" s="5" t="n">
        <f aca="false">IF(B364="",0,N(INDEX(報告入力!$BB$7:$BB$696,B364)))</f>
        <v>0</v>
      </c>
      <c r="I364" s="5" t="str">
        <f aca="false">設定!$C$41&amp;""</f>
        <v/>
      </c>
      <c r="J364" s="5" t="str">
        <f aca="false">設定!$D$41&amp;""</f>
        <v/>
      </c>
      <c r="K364" s="5" t="n">
        <f aca="false">IF(AND(H364&lt;&gt;0,IF(設定!$B$6="入金確認済のみ",C364="入金確認済",OR(C364="入金確認済",C364="受領済"))),1,0)</f>
        <v>0</v>
      </c>
      <c r="L364" s="5" t="str">
        <f aca="false">3&amp;"|"&amp;19</f>
        <v>3|19</v>
      </c>
      <c r="M364" s="5" t="n">
        <f aca="false">IF(L364=L363,M363,0)+K364</f>
        <v>0</v>
      </c>
      <c r="N364" s="5" t="n">
        <f aca="false">IF(AND(K364=1,M364=1),1,0)</f>
        <v>0</v>
      </c>
      <c r="O364" s="5" t="str">
        <f aca="false">IF(K364=1,MAX($O$5:O363)+1,"")</f>
        <v/>
      </c>
      <c r="P364" s="5" t="str">
        <f aca="false">IF(K364=1,SUM($N$6:N364),"")</f>
        <v/>
      </c>
      <c r="Q364" s="5" t="str">
        <f aca="false">IF(K364=1,SUMIFS($H$6:$H$511,$L$6:$L$511,L364,$K$6:$K$511,1),"")</f>
        <v/>
      </c>
      <c r="R364" s="78" t="str">
        <f aca="false">IF(B364="","",IF(INDEX(報告入力!$X$7:$X$696,B364)="","",INDEX(報告入力!$X$7:$X$696,B364)))</f>
        <v/>
      </c>
      <c r="S364" s="5" t="str">
        <f aca="false">設定!$C$53</f>
        <v>介護：掛金</v>
      </c>
    </row>
    <row r="365" customFormat="false" ht="15" hidden="false" customHeight="false" outlineLevel="0" collapsed="false">
      <c r="A365" s="5" t="str">
        <f aca="false">設定!B79</f>
        <v>都市整備公社　市</v>
      </c>
      <c r="B365" s="5" t="n">
        <f aca="false">IFERROR(MATCH(ホーム!$C$4&amp;"|"&amp;A365,報告入力!$CG$7:$CG$696,0),"")</f>
        <v>341</v>
      </c>
      <c r="C365" s="5" t="str">
        <f aca="false">IF(B365="","",INDEX(報告入力!$C$7:$C$696,B365))</f>
        <v>未受領</v>
      </c>
      <c r="D365" s="5" t="str">
        <f aca="false">設定!$A$41</f>
        <v>介護経理</v>
      </c>
      <c r="E365" s="5" t="str">
        <f aca="false">設定!$B$41&amp;""</f>
        <v/>
      </c>
      <c r="F365" s="5" t="str">
        <f aca="false">設定!$D$54&amp;""</f>
        <v/>
      </c>
      <c r="G365" s="5" t="str">
        <f aca="false">設定!$E$54&amp;""</f>
        <v/>
      </c>
      <c r="H365" s="5" t="n">
        <f aca="false">IF(B365="",0,N(INDEX(報告入力!$BC$7:$BC$696,B365)))</f>
        <v>4187</v>
      </c>
      <c r="I365" s="5" t="str">
        <f aca="false">設定!$C$41&amp;""</f>
        <v/>
      </c>
      <c r="J365" s="5" t="str">
        <f aca="false">設定!$D$41&amp;""</f>
        <v/>
      </c>
      <c r="K365" s="5" t="n">
        <f aca="false">IF(AND(H365&lt;&gt;0,IF(設定!$B$6="入金確認済のみ",C365="入金確認済",OR(C365="入金確認済",C365="受領済"))),1,0)</f>
        <v>0</v>
      </c>
      <c r="L365" s="5" t="str">
        <f aca="false">3&amp;"|"&amp;19</f>
        <v>3|19</v>
      </c>
      <c r="M365" s="5" t="n">
        <f aca="false">IF(L365=L364,M364,0)+K365</f>
        <v>0</v>
      </c>
      <c r="N365" s="5" t="n">
        <f aca="false">IF(AND(K365=1,M365=1),1,0)</f>
        <v>0</v>
      </c>
      <c r="O365" s="5" t="str">
        <f aca="false">IF(K365=1,MAX($O$5:O364)+1,"")</f>
        <v/>
      </c>
      <c r="P365" s="5" t="str">
        <f aca="false">IF(K365=1,SUM($N$6:N365),"")</f>
        <v/>
      </c>
      <c r="Q365" s="5" t="str">
        <f aca="false">IF(K365=1,SUMIFS($H$6:$H$511,$L$6:$L$511,L365,$K$6:$K$511,1),"")</f>
        <v/>
      </c>
      <c r="R365" s="78" t="str">
        <f aca="false">IF(B365="","",IF(INDEX(報告入力!$X$7:$X$696,B365)="","",INDEX(報告入力!$X$7:$X$696,B365)))</f>
        <v/>
      </c>
      <c r="S365" s="5" t="str">
        <f aca="false">設定!$C$54</f>
        <v>介護：負担金</v>
      </c>
    </row>
    <row r="366" customFormat="false" ht="15" hidden="false" customHeight="false" outlineLevel="0" collapsed="false">
      <c r="A366" s="5" t="str">
        <f aca="false">設定!B80</f>
        <v>都市整備公社　消防</v>
      </c>
      <c r="B366" s="5" t="n">
        <f aca="false">IFERROR(MATCH(ホーム!$C$4&amp;"|"&amp;A366,報告入力!$CG$7:$CG$696,0),"")</f>
        <v>342</v>
      </c>
      <c r="C366" s="5" t="str">
        <f aca="false">IF(B366="","",INDEX(報告入力!$C$7:$C$696,B366))</f>
        <v>未受領</v>
      </c>
      <c r="D366" s="5" t="str">
        <f aca="false">設定!$A$41</f>
        <v>介護経理</v>
      </c>
      <c r="E366" s="5" t="str">
        <f aca="false">設定!$B$41&amp;""</f>
        <v/>
      </c>
      <c r="F366" s="5" t="str">
        <f aca="false">設定!$D$53&amp;""</f>
        <v/>
      </c>
      <c r="G366" s="5" t="str">
        <f aca="false">設定!$E$53&amp;""</f>
        <v/>
      </c>
      <c r="H366" s="5" t="n">
        <f aca="false">IF(B366="",0,N(INDEX(報告入力!$BB$7:$BB$696,B366)))</f>
        <v>0</v>
      </c>
      <c r="I366" s="5" t="str">
        <f aca="false">設定!$C$41&amp;""</f>
        <v/>
      </c>
      <c r="J366" s="5" t="str">
        <f aca="false">設定!$D$41&amp;""</f>
        <v/>
      </c>
      <c r="K366" s="5" t="n">
        <f aca="false">IF(AND(H366&lt;&gt;0,IF(設定!$B$6="入金確認済のみ",C366="入金確認済",OR(C366="入金確認済",C366="受領済"))),1,0)</f>
        <v>0</v>
      </c>
      <c r="L366" s="5" t="str">
        <f aca="false">3&amp;"|"&amp;20</f>
        <v>3|20</v>
      </c>
      <c r="M366" s="5" t="n">
        <f aca="false">IF(L366=L365,M365,0)+K366</f>
        <v>0</v>
      </c>
      <c r="N366" s="5" t="n">
        <f aca="false">IF(AND(K366=1,M366=1),1,0)</f>
        <v>0</v>
      </c>
      <c r="O366" s="5" t="str">
        <f aca="false">IF(K366=1,MAX($O$5:O365)+1,"")</f>
        <v/>
      </c>
      <c r="P366" s="5" t="str">
        <f aca="false">IF(K366=1,SUM($N$6:N366),"")</f>
        <v/>
      </c>
      <c r="Q366" s="5" t="str">
        <f aca="false">IF(K366=1,SUMIFS($H$6:$H$511,$L$6:$L$511,L366,$K$6:$K$511,1),"")</f>
        <v/>
      </c>
      <c r="R366" s="78" t="str">
        <f aca="false">IF(B366="","",IF(INDEX(報告入力!$X$7:$X$696,B366)="","",INDEX(報告入力!$X$7:$X$696,B366)))</f>
        <v/>
      </c>
      <c r="S366" s="5" t="str">
        <f aca="false">設定!$C$53</f>
        <v>介護：掛金</v>
      </c>
    </row>
    <row r="367" customFormat="false" ht="15" hidden="false" customHeight="false" outlineLevel="0" collapsed="false">
      <c r="A367" s="5" t="str">
        <f aca="false">設定!B80</f>
        <v>都市整備公社　消防</v>
      </c>
      <c r="B367" s="5" t="n">
        <f aca="false">IFERROR(MATCH(ホーム!$C$4&amp;"|"&amp;A367,報告入力!$CG$7:$CG$696,0),"")</f>
        <v>342</v>
      </c>
      <c r="C367" s="5" t="str">
        <f aca="false">IF(B367="","",INDEX(報告入力!$C$7:$C$696,B367))</f>
        <v>未受領</v>
      </c>
      <c r="D367" s="5" t="str">
        <f aca="false">設定!$A$41</f>
        <v>介護経理</v>
      </c>
      <c r="E367" s="5" t="str">
        <f aca="false">設定!$B$41&amp;""</f>
        <v/>
      </c>
      <c r="F367" s="5" t="str">
        <f aca="false">設定!$D$54&amp;""</f>
        <v/>
      </c>
      <c r="G367" s="5" t="str">
        <f aca="false">設定!$E$54&amp;""</f>
        <v/>
      </c>
      <c r="H367" s="5" t="n">
        <f aca="false">IF(B367="",0,N(INDEX(報告入力!$BC$7:$BC$696,B367)))</f>
        <v>7031</v>
      </c>
      <c r="I367" s="5" t="str">
        <f aca="false">設定!$C$41&amp;""</f>
        <v/>
      </c>
      <c r="J367" s="5" t="str">
        <f aca="false">設定!$D$41&amp;""</f>
        <v/>
      </c>
      <c r="K367" s="5" t="n">
        <f aca="false">IF(AND(H367&lt;&gt;0,IF(設定!$B$6="入金確認済のみ",C367="入金確認済",OR(C367="入金確認済",C367="受領済"))),1,0)</f>
        <v>0</v>
      </c>
      <c r="L367" s="5" t="str">
        <f aca="false">3&amp;"|"&amp;20</f>
        <v>3|20</v>
      </c>
      <c r="M367" s="5" t="n">
        <f aca="false">IF(L367=L366,M366,0)+K367</f>
        <v>0</v>
      </c>
      <c r="N367" s="5" t="n">
        <f aca="false">IF(AND(K367=1,M367=1),1,0)</f>
        <v>0</v>
      </c>
      <c r="O367" s="5" t="str">
        <f aca="false">IF(K367=1,MAX($O$5:O366)+1,"")</f>
        <v/>
      </c>
      <c r="P367" s="5" t="str">
        <f aca="false">IF(K367=1,SUM($N$6:N367),"")</f>
        <v/>
      </c>
      <c r="Q367" s="5" t="str">
        <f aca="false">IF(K367=1,SUMIFS($H$6:$H$511,$L$6:$L$511,L367,$K$6:$K$511,1),"")</f>
        <v/>
      </c>
      <c r="R367" s="78" t="str">
        <f aca="false">IF(B367="","",IF(INDEX(報告入力!$X$7:$X$696,B367)="","",INDEX(報告入力!$X$7:$X$696,B367)))</f>
        <v/>
      </c>
      <c r="S367" s="5" t="str">
        <f aca="false">設定!$C$54</f>
        <v>介護：負担金</v>
      </c>
    </row>
    <row r="368" customFormat="false" ht="15" hidden="false" customHeight="false" outlineLevel="0" collapsed="false">
      <c r="A368" s="5" t="str">
        <f aca="false">設定!B81</f>
        <v>日本下水道事業団</v>
      </c>
      <c r="B368" s="5" t="n">
        <f aca="false">IFERROR(MATCH(ホーム!$C$4&amp;"|"&amp;A368,報告入力!$CG$7:$CG$696,0),"")</f>
        <v>343</v>
      </c>
      <c r="C368" s="5" t="str">
        <f aca="false">IF(B368="","",INDEX(報告入力!$C$7:$C$696,B368))</f>
        <v>受領済</v>
      </c>
      <c r="D368" s="5" t="str">
        <f aca="false">設定!$A$41</f>
        <v>介護経理</v>
      </c>
      <c r="E368" s="5" t="str">
        <f aca="false">設定!$B$41&amp;""</f>
        <v/>
      </c>
      <c r="F368" s="5" t="str">
        <f aca="false">設定!$D$53&amp;""</f>
        <v/>
      </c>
      <c r="G368" s="5" t="str">
        <f aca="false">設定!$E$53&amp;""</f>
        <v/>
      </c>
      <c r="H368" s="5" t="n">
        <f aca="false">IF(B368="",0,N(INDEX(報告入力!$BB$7:$BB$696,B368)))</f>
        <v>10270</v>
      </c>
      <c r="I368" s="5" t="str">
        <f aca="false">設定!$C$41&amp;""</f>
        <v/>
      </c>
      <c r="J368" s="5" t="str">
        <f aca="false">設定!$D$41&amp;""</f>
        <v/>
      </c>
      <c r="K368" s="5" t="n">
        <f aca="false">IF(AND(H368&lt;&gt;0,IF(設定!$B$6="入金確認済のみ",C368="入金確認済",OR(C368="入金確認済",C368="受領済"))),1,0)</f>
        <v>0</v>
      </c>
      <c r="L368" s="5" t="str">
        <f aca="false">3&amp;"|"&amp;21</f>
        <v>3|21</v>
      </c>
      <c r="M368" s="5" t="n">
        <f aca="false">IF(L368=L367,M367,0)+K368</f>
        <v>0</v>
      </c>
      <c r="N368" s="5" t="n">
        <f aca="false">IF(AND(K368=1,M368=1),1,0)</f>
        <v>0</v>
      </c>
      <c r="O368" s="5" t="str">
        <f aca="false">IF(K368=1,MAX($O$5:O367)+1,"")</f>
        <v/>
      </c>
      <c r="P368" s="5" t="str">
        <f aca="false">IF(K368=1,SUM($N$6:N368),"")</f>
        <v/>
      </c>
      <c r="Q368" s="5" t="str">
        <f aca="false">IF(K368=1,SUMIFS($H$6:$H$511,$L$6:$L$511,L368,$K$6:$K$511,1),"")</f>
        <v/>
      </c>
      <c r="R368" s="78" t="str">
        <f aca="false">IF(B368="","",IF(INDEX(報告入力!$X$7:$X$696,B368)="","",INDEX(報告入力!$X$7:$X$696,B368)))</f>
        <v/>
      </c>
      <c r="S368" s="5" t="str">
        <f aca="false">設定!$C$53</f>
        <v>介護：掛金</v>
      </c>
    </row>
    <row r="369" customFormat="false" ht="15" hidden="false" customHeight="false" outlineLevel="0" collapsed="false">
      <c r="A369" s="5" t="str">
        <f aca="false">設定!B81</f>
        <v>日本下水道事業団</v>
      </c>
      <c r="B369" s="5" t="n">
        <f aca="false">IFERROR(MATCH(ホーム!$C$4&amp;"|"&amp;A369,報告入力!$CG$7:$CG$696,0),"")</f>
        <v>343</v>
      </c>
      <c r="C369" s="5" t="str">
        <f aca="false">IF(B369="","",INDEX(報告入力!$C$7:$C$696,B369))</f>
        <v>受領済</v>
      </c>
      <c r="D369" s="5" t="str">
        <f aca="false">設定!$A$41</f>
        <v>介護経理</v>
      </c>
      <c r="E369" s="5" t="str">
        <f aca="false">設定!$B$41&amp;""</f>
        <v/>
      </c>
      <c r="F369" s="5" t="str">
        <f aca="false">設定!$D$54&amp;""</f>
        <v/>
      </c>
      <c r="G369" s="5" t="str">
        <f aca="false">設定!$E$54&amp;""</f>
        <v/>
      </c>
      <c r="H369" s="5" t="n">
        <f aca="false">IF(B369="",0,N(INDEX(報告入力!$BC$7:$BC$696,B369)))</f>
        <v>10270</v>
      </c>
      <c r="I369" s="5" t="str">
        <f aca="false">設定!$C$41&amp;""</f>
        <v/>
      </c>
      <c r="J369" s="5" t="str">
        <f aca="false">設定!$D$41&amp;""</f>
        <v/>
      </c>
      <c r="K369" s="5" t="n">
        <f aca="false">IF(AND(H369&lt;&gt;0,IF(設定!$B$6="入金確認済のみ",C369="入金確認済",OR(C369="入金確認済",C369="受領済"))),1,0)</f>
        <v>0</v>
      </c>
      <c r="L369" s="5" t="str">
        <f aca="false">3&amp;"|"&amp;21</f>
        <v>3|21</v>
      </c>
      <c r="M369" s="5" t="n">
        <f aca="false">IF(L369=L368,M368,0)+K369</f>
        <v>0</v>
      </c>
      <c r="N369" s="5" t="n">
        <f aca="false">IF(AND(K369=1,M369=1),1,0)</f>
        <v>0</v>
      </c>
      <c r="O369" s="5" t="str">
        <f aca="false">IF(K369=1,MAX($O$5:O368)+1,"")</f>
        <v/>
      </c>
      <c r="P369" s="5" t="str">
        <f aca="false">IF(K369=1,SUM($N$6:N369),"")</f>
        <v/>
      </c>
      <c r="Q369" s="5" t="str">
        <f aca="false">IF(K369=1,SUMIFS($H$6:$H$511,$L$6:$L$511,L369,$K$6:$K$511,1),"")</f>
        <v/>
      </c>
      <c r="R369" s="78" t="str">
        <f aca="false">IF(B369="","",IF(INDEX(報告入力!$X$7:$X$696,B369)="","",INDEX(報告入力!$X$7:$X$696,B369)))</f>
        <v/>
      </c>
      <c r="S369" s="5" t="str">
        <f aca="false">設定!$C$54</f>
        <v>介護：負担金</v>
      </c>
    </row>
    <row r="370" customFormat="false" ht="15" hidden="false" customHeight="false" outlineLevel="0" collapsed="false">
      <c r="A370" s="5" t="str">
        <f aca="false">設定!B82</f>
        <v>地方公務員災害補償基金本部</v>
      </c>
      <c r="B370" s="5" t="n">
        <f aca="false">IFERROR(MATCH(ホーム!$C$4&amp;"|"&amp;A370,報告入力!$CG$7:$CG$696,0),"")</f>
        <v>344</v>
      </c>
      <c r="C370" s="5" t="str">
        <f aca="false">IF(B370="","",INDEX(報告入力!$C$7:$C$696,B370))</f>
        <v>受領済</v>
      </c>
      <c r="D370" s="5" t="str">
        <f aca="false">設定!$A$41</f>
        <v>介護経理</v>
      </c>
      <c r="E370" s="5" t="str">
        <f aca="false">設定!$B$41&amp;""</f>
        <v/>
      </c>
      <c r="F370" s="5" t="str">
        <f aca="false">設定!$D$53&amp;""</f>
        <v/>
      </c>
      <c r="G370" s="5" t="str">
        <f aca="false">設定!$E$53&amp;""</f>
        <v/>
      </c>
      <c r="H370" s="5" t="n">
        <f aca="false">IF(B370="",0,N(INDEX(報告入力!$BB$7:$BB$696,B370)))</f>
        <v>0</v>
      </c>
      <c r="I370" s="5" t="str">
        <f aca="false">設定!$C$41&amp;""</f>
        <v/>
      </c>
      <c r="J370" s="5" t="str">
        <f aca="false">設定!$D$41&amp;""</f>
        <v/>
      </c>
      <c r="K370" s="5" t="n">
        <f aca="false">IF(AND(H370&lt;&gt;0,IF(設定!$B$6="入金確認済のみ",C370="入金確認済",OR(C370="入金確認済",C370="受領済"))),1,0)</f>
        <v>0</v>
      </c>
      <c r="L370" s="5" t="str">
        <f aca="false">3&amp;"|"&amp;22</f>
        <v>3|22</v>
      </c>
      <c r="M370" s="5" t="n">
        <f aca="false">IF(L370=L369,M369,0)+K370</f>
        <v>0</v>
      </c>
      <c r="N370" s="5" t="n">
        <f aca="false">IF(AND(K370=1,M370=1),1,0)</f>
        <v>0</v>
      </c>
      <c r="O370" s="5" t="str">
        <f aca="false">IF(K370=1,MAX($O$5:O369)+1,"")</f>
        <v/>
      </c>
      <c r="P370" s="5" t="str">
        <f aca="false">IF(K370=1,SUM($N$6:N370),"")</f>
        <v/>
      </c>
      <c r="Q370" s="5" t="str">
        <f aca="false">IF(K370=1,SUMIFS($H$6:$H$511,$L$6:$L$511,L370,$K$6:$K$511,1),"")</f>
        <v/>
      </c>
      <c r="R370" s="78" t="str">
        <f aca="false">IF(B370="","",IF(INDEX(報告入力!$X$7:$X$696,B370)="","",INDEX(報告入力!$X$7:$X$696,B370)))</f>
        <v/>
      </c>
      <c r="S370" s="5" t="str">
        <f aca="false">設定!$C$53</f>
        <v>介護：掛金</v>
      </c>
    </row>
    <row r="371" customFormat="false" ht="15" hidden="false" customHeight="false" outlineLevel="0" collapsed="false">
      <c r="A371" s="5" t="str">
        <f aca="false">設定!B82</f>
        <v>地方公務員災害補償基金本部</v>
      </c>
      <c r="B371" s="5" t="n">
        <f aca="false">IFERROR(MATCH(ホーム!$C$4&amp;"|"&amp;A371,報告入力!$CG$7:$CG$696,0),"")</f>
        <v>344</v>
      </c>
      <c r="C371" s="5" t="str">
        <f aca="false">IF(B371="","",INDEX(報告入力!$C$7:$C$696,B371))</f>
        <v>受領済</v>
      </c>
      <c r="D371" s="5" t="str">
        <f aca="false">設定!$A$41</f>
        <v>介護経理</v>
      </c>
      <c r="E371" s="5" t="str">
        <f aca="false">設定!$B$41&amp;""</f>
        <v/>
      </c>
      <c r="F371" s="5" t="str">
        <f aca="false">設定!$D$54&amp;""</f>
        <v/>
      </c>
      <c r="G371" s="5" t="str">
        <f aca="false">設定!$E$54&amp;""</f>
        <v/>
      </c>
      <c r="H371" s="5" t="n">
        <f aca="false">IF(B371="",0,N(INDEX(報告入力!$BC$7:$BC$696,B371)))</f>
        <v>0</v>
      </c>
      <c r="I371" s="5" t="str">
        <f aca="false">設定!$C$41&amp;""</f>
        <v/>
      </c>
      <c r="J371" s="5" t="str">
        <f aca="false">設定!$D$41&amp;""</f>
        <v/>
      </c>
      <c r="K371" s="5" t="n">
        <f aca="false">IF(AND(H371&lt;&gt;0,IF(設定!$B$6="入金確認済のみ",C371="入金確認済",OR(C371="入金確認済",C371="受領済"))),1,0)</f>
        <v>0</v>
      </c>
      <c r="L371" s="5" t="str">
        <f aca="false">3&amp;"|"&amp;22</f>
        <v>3|22</v>
      </c>
      <c r="M371" s="5" t="n">
        <f aca="false">IF(L371=L370,M370,0)+K371</f>
        <v>0</v>
      </c>
      <c r="N371" s="5" t="n">
        <f aca="false">IF(AND(K371=1,M371=1),1,0)</f>
        <v>0</v>
      </c>
      <c r="O371" s="5" t="str">
        <f aca="false">IF(K371=1,MAX($O$5:O370)+1,"")</f>
        <v/>
      </c>
      <c r="P371" s="5" t="str">
        <f aca="false">IF(K371=1,SUM($N$6:N371),"")</f>
        <v/>
      </c>
      <c r="Q371" s="5" t="str">
        <f aca="false">IF(K371=1,SUMIFS($H$6:$H$511,$L$6:$L$511,L371,$K$6:$K$511,1),"")</f>
        <v/>
      </c>
      <c r="R371" s="78" t="str">
        <f aca="false">IF(B371="","",IF(INDEX(報告入力!$X$7:$X$696,B371)="","",INDEX(報告入力!$X$7:$X$696,B371)))</f>
        <v/>
      </c>
      <c r="S371" s="5" t="str">
        <f aca="false">設定!$C$54</f>
        <v>介護：負担金</v>
      </c>
    </row>
    <row r="372" customFormat="false" ht="15" hidden="false" customHeight="false" outlineLevel="0" collapsed="false">
      <c r="A372" s="5" t="str">
        <f aca="false">設定!B83</f>
        <v>救急振興財団</v>
      </c>
      <c r="B372" s="5" t="n">
        <f aca="false">IFERROR(MATCH(ホーム!$C$4&amp;"|"&amp;A372,報告入力!$CG$7:$CG$696,0),"")</f>
        <v>345</v>
      </c>
      <c r="C372" s="5" t="str">
        <f aca="false">IF(B372="","",INDEX(報告入力!$C$7:$C$696,B372))</f>
        <v>未受領</v>
      </c>
      <c r="D372" s="5" t="str">
        <f aca="false">設定!$A$41</f>
        <v>介護経理</v>
      </c>
      <c r="E372" s="5" t="str">
        <f aca="false">設定!$B$41&amp;""</f>
        <v/>
      </c>
      <c r="F372" s="5" t="str">
        <f aca="false">設定!$D$53&amp;""</f>
        <v/>
      </c>
      <c r="G372" s="5" t="str">
        <f aca="false">設定!$E$53&amp;""</f>
        <v/>
      </c>
      <c r="H372" s="5" t="n">
        <f aca="false">IF(B372="",0,N(INDEX(報告入力!$BB$7:$BB$696,B372)))</f>
        <v>4661</v>
      </c>
      <c r="I372" s="5" t="str">
        <f aca="false">設定!$C$41&amp;""</f>
        <v/>
      </c>
      <c r="J372" s="5" t="str">
        <f aca="false">設定!$D$41&amp;""</f>
        <v/>
      </c>
      <c r="K372" s="5" t="n">
        <f aca="false">IF(AND(H372&lt;&gt;0,IF(設定!$B$6="入金確認済のみ",C372="入金確認済",OR(C372="入金確認済",C372="受領済"))),1,0)</f>
        <v>0</v>
      </c>
      <c r="L372" s="5" t="str">
        <f aca="false">3&amp;"|"&amp;23</f>
        <v>3|23</v>
      </c>
      <c r="M372" s="5" t="n">
        <f aca="false">IF(L372=L371,M371,0)+K372</f>
        <v>0</v>
      </c>
      <c r="N372" s="5" t="n">
        <f aca="false">IF(AND(K372=1,M372=1),1,0)</f>
        <v>0</v>
      </c>
      <c r="O372" s="5" t="str">
        <f aca="false">IF(K372=1,MAX($O$5:O371)+1,"")</f>
        <v/>
      </c>
      <c r="P372" s="5" t="str">
        <f aca="false">IF(K372=1,SUM($N$6:N372),"")</f>
        <v/>
      </c>
      <c r="Q372" s="5" t="str">
        <f aca="false">IF(K372=1,SUMIFS($H$6:$H$511,$L$6:$L$511,L372,$K$6:$K$511,1),"")</f>
        <v/>
      </c>
      <c r="R372" s="78" t="str">
        <f aca="false">IF(B372="","",IF(INDEX(報告入力!$X$7:$X$696,B372)="","",INDEX(報告入力!$X$7:$X$696,B372)))</f>
        <v/>
      </c>
      <c r="S372" s="5" t="str">
        <f aca="false">設定!$C$53</f>
        <v>介護：掛金</v>
      </c>
    </row>
    <row r="373" customFormat="false" ht="15" hidden="false" customHeight="false" outlineLevel="0" collapsed="false">
      <c r="A373" s="5" t="str">
        <f aca="false">設定!B83</f>
        <v>救急振興財団</v>
      </c>
      <c r="B373" s="5" t="n">
        <f aca="false">IFERROR(MATCH(ホーム!$C$4&amp;"|"&amp;A373,報告入力!$CG$7:$CG$696,0),"")</f>
        <v>345</v>
      </c>
      <c r="C373" s="5" t="str">
        <f aca="false">IF(B373="","",INDEX(報告入力!$C$7:$C$696,B373))</f>
        <v>未受領</v>
      </c>
      <c r="D373" s="5" t="str">
        <f aca="false">設定!$A$41</f>
        <v>介護経理</v>
      </c>
      <c r="E373" s="5" t="str">
        <f aca="false">設定!$B$41&amp;""</f>
        <v/>
      </c>
      <c r="F373" s="5" t="str">
        <f aca="false">設定!$D$54&amp;""</f>
        <v/>
      </c>
      <c r="G373" s="5" t="str">
        <f aca="false">設定!$E$54&amp;""</f>
        <v/>
      </c>
      <c r="H373" s="5" t="n">
        <f aca="false">IF(B373="",0,N(INDEX(報告入力!$BC$7:$BC$696,B373)))</f>
        <v>4661</v>
      </c>
      <c r="I373" s="5" t="str">
        <f aca="false">設定!$C$41&amp;""</f>
        <v/>
      </c>
      <c r="J373" s="5" t="str">
        <f aca="false">設定!$D$41&amp;""</f>
        <v/>
      </c>
      <c r="K373" s="5" t="n">
        <f aca="false">IF(AND(H373&lt;&gt;0,IF(設定!$B$6="入金確認済のみ",C373="入金確認済",OR(C373="入金確認済",C373="受領済"))),1,0)</f>
        <v>0</v>
      </c>
      <c r="L373" s="5" t="str">
        <f aca="false">3&amp;"|"&amp;23</f>
        <v>3|23</v>
      </c>
      <c r="M373" s="5" t="n">
        <f aca="false">IF(L373=L372,M372,0)+K373</f>
        <v>0</v>
      </c>
      <c r="N373" s="5" t="n">
        <f aca="false">IF(AND(K373=1,M373=1),1,0)</f>
        <v>0</v>
      </c>
      <c r="O373" s="5" t="str">
        <f aca="false">IF(K373=1,MAX($O$5:O372)+1,"")</f>
        <v/>
      </c>
      <c r="P373" s="5" t="str">
        <f aca="false">IF(K373=1,SUM($N$6:N373),"")</f>
        <v/>
      </c>
      <c r="Q373" s="5" t="str">
        <f aca="false">IF(K373=1,SUMIFS($H$6:$H$511,$L$6:$L$511,L373,$K$6:$K$511,1),"")</f>
        <v/>
      </c>
      <c r="R373" s="78" t="str">
        <f aca="false">IF(B373="","",IF(INDEX(報告入力!$X$7:$X$696,B373)="","",INDEX(報告入力!$X$7:$X$696,B373)))</f>
        <v/>
      </c>
      <c r="S373" s="5" t="str">
        <f aca="false">設定!$C$54</f>
        <v>介護：負担金</v>
      </c>
    </row>
    <row r="374" customFormat="false" ht="15" hidden="false" customHeight="false" outlineLevel="0" collapsed="false">
      <c r="A374" s="5" t="str">
        <f aca="false">設定!B84</f>
        <v>高速道路公社</v>
      </c>
      <c r="B374" s="5" t="n">
        <f aca="false">IFERROR(MATCH(ホーム!$C$4&amp;"|"&amp;A374,報告入力!$CG$7:$CG$696,0),"")</f>
        <v>346</v>
      </c>
      <c r="C374" s="5" t="str">
        <f aca="false">IF(B374="","",INDEX(報告入力!$C$7:$C$696,B374))</f>
        <v>未受領</v>
      </c>
      <c r="D374" s="5" t="str">
        <f aca="false">設定!$A$41</f>
        <v>介護経理</v>
      </c>
      <c r="E374" s="5" t="str">
        <f aca="false">設定!$B$41&amp;""</f>
        <v/>
      </c>
      <c r="F374" s="5" t="str">
        <f aca="false">設定!$D$53&amp;""</f>
        <v/>
      </c>
      <c r="G374" s="5" t="str">
        <f aca="false">設定!$E$53&amp;""</f>
        <v/>
      </c>
      <c r="H374" s="5" t="n">
        <f aca="false">IF(B374="",0,N(INDEX(報告入力!$BB$7:$BB$696,B374)))</f>
        <v>50086</v>
      </c>
      <c r="I374" s="5" t="str">
        <f aca="false">設定!$C$41&amp;""</f>
        <v/>
      </c>
      <c r="J374" s="5" t="str">
        <f aca="false">設定!$D$41&amp;""</f>
        <v/>
      </c>
      <c r="K374" s="5" t="n">
        <f aca="false">IF(AND(H374&lt;&gt;0,IF(設定!$B$6="入金確認済のみ",C374="入金確認済",OR(C374="入金確認済",C374="受領済"))),1,0)</f>
        <v>0</v>
      </c>
      <c r="L374" s="5" t="str">
        <f aca="false">3&amp;"|"&amp;24</f>
        <v>3|24</v>
      </c>
      <c r="M374" s="5" t="n">
        <f aca="false">IF(L374=L373,M373,0)+K374</f>
        <v>0</v>
      </c>
      <c r="N374" s="5" t="n">
        <f aca="false">IF(AND(K374=1,M374=1),1,0)</f>
        <v>0</v>
      </c>
      <c r="O374" s="5" t="str">
        <f aca="false">IF(K374=1,MAX($O$5:O373)+1,"")</f>
        <v/>
      </c>
      <c r="P374" s="5" t="str">
        <f aca="false">IF(K374=1,SUM($N$6:N374),"")</f>
        <v/>
      </c>
      <c r="Q374" s="5" t="str">
        <f aca="false">IF(K374=1,SUMIFS($H$6:$H$511,$L$6:$L$511,L374,$K$6:$K$511,1),"")</f>
        <v/>
      </c>
      <c r="R374" s="78" t="str">
        <f aca="false">IF(B374="","",IF(INDEX(報告入力!$X$7:$X$696,B374)="","",INDEX(報告入力!$X$7:$X$696,B374)))</f>
        <v/>
      </c>
      <c r="S374" s="5" t="str">
        <f aca="false">設定!$C$53</f>
        <v>介護：掛金</v>
      </c>
    </row>
    <row r="375" customFormat="false" ht="15" hidden="false" customHeight="false" outlineLevel="0" collapsed="false">
      <c r="A375" s="5" t="str">
        <f aca="false">設定!B84</f>
        <v>高速道路公社</v>
      </c>
      <c r="B375" s="5" t="n">
        <f aca="false">IFERROR(MATCH(ホーム!$C$4&amp;"|"&amp;A375,報告入力!$CG$7:$CG$696,0),"")</f>
        <v>346</v>
      </c>
      <c r="C375" s="5" t="str">
        <f aca="false">IF(B375="","",INDEX(報告入力!$C$7:$C$696,B375))</f>
        <v>未受領</v>
      </c>
      <c r="D375" s="5" t="str">
        <f aca="false">設定!$A$41</f>
        <v>介護経理</v>
      </c>
      <c r="E375" s="5" t="str">
        <f aca="false">設定!$B$41&amp;""</f>
        <v/>
      </c>
      <c r="F375" s="5" t="str">
        <f aca="false">設定!$D$54&amp;""</f>
        <v/>
      </c>
      <c r="G375" s="5" t="str">
        <f aca="false">設定!$E$54&amp;""</f>
        <v/>
      </c>
      <c r="H375" s="5" t="n">
        <f aca="false">IF(B375="",0,N(INDEX(報告入力!$BC$7:$BC$696,B375)))</f>
        <v>50086</v>
      </c>
      <c r="I375" s="5" t="str">
        <f aca="false">設定!$C$41&amp;""</f>
        <v/>
      </c>
      <c r="J375" s="5" t="str">
        <f aca="false">設定!$D$41&amp;""</f>
        <v/>
      </c>
      <c r="K375" s="5" t="n">
        <f aca="false">IF(AND(H375&lt;&gt;0,IF(設定!$B$6="入金確認済のみ",C375="入金確認済",OR(C375="入金確認済",C375="受領済"))),1,0)</f>
        <v>0</v>
      </c>
      <c r="L375" s="5" t="str">
        <f aca="false">3&amp;"|"&amp;24</f>
        <v>3|24</v>
      </c>
      <c r="M375" s="5" t="n">
        <f aca="false">IF(L375=L374,M374,0)+K375</f>
        <v>0</v>
      </c>
      <c r="N375" s="5" t="n">
        <f aca="false">IF(AND(K375=1,M375=1),1,0)</f>
        <v>0</v>
      </c>
      <c r="O375" s="5" t="str">
        <f aca="false">IF(K375=1,MAX($O$5:O374)+1,"")</f>
        <v/>
      </c>
      <c r="P375" s="5" t="str">
        <f aca="false">IF(K375=1,SUM($N$6:N375),"")</f>
        <v/>
      </c>
      <c r="Q375" s="5" t="str">
        <f aca="false">IF(K375=1,SUMIFS($H$6:$H$511,$L$6:$L$511,L375,$K$6:$K$511,1),"")</f>
        <v/>
      </c>
      <c r="R375" s="78" t="str">
        <f aca="false">IF(B375="","",IF(INDEX(報告入力!$X$7:$X$696,B375)="","",INDEX(報告入力!$X$7:$X$696,B375)))</f>
        <v/>
      </c>
      <c r="S375" s="5" t="str">
        <f aca="false">設定!$C$54</f>
        <v>介護：負担金</v>
      </c>
    </row>
    <row r="376" customFormat="false" ht="15" hidden="false" customHeight="false" outlineLevel="0" collapsed="false">
      <c r="A376" s="5" t="str">
        <f aca="false">設定!B85</f>
        <v>農林水産振興センタ</v>
      </c>
      <c r="B376" s="5" t="n">
        <f aca="false">IFERROR(MATCH(ホーム!$C$4&amp;"|"&amp;A376,報告入力!$CG$7:$CG$696,0),"")</f>
        <v>347</v>
      </c>
      <c r="C376" s="5" t="str">
        <f aca="false">IF(B376="","",INDEX(報告入力!$C$7:$C$696,B376))</f>
        <v>未受領</v>
      </c>
      <c r="D376" s="5" t="str">
        <f aca="false">設定!$A$41</f>
        <v>介護経理</v>
      </c>
      <c r="E376" s="5" t="str">
        <f aca="false">設定!$B$41&amp;""</f>
        <v/>
      </c>
      <c r="F376" s="5" t="str">
        <f aca="false">設定!$D$53&amp;""</f>
        <v/>
      </c>
      <c r="G376" s="5" t="str">
        <f aca="false">設定!$E$53&amp;""</f>
        <v/>
      </c>
      <c r="H376" s="5" t="n">
        <f aca="false">IF(B376="",0,N(INDEX(報告入力!$BB$7:$BB$696,B376)))</f>
        <v>0</v>
      </c>
      <c r="I376" s="5" t="str">
        <f aca="false">設定!$C$41&amp;""</f>
        <v/>
      </c>
      <c r="J376" s="5" t="str">
        <f aca="false">設定!$D$41&amp;""</f>
        <v/>
      </c>
      <c r="K376" s="5" t="n">
        <f aca="false">IF(AND(H376&lt;&gt;0,IF(設定!$B$6="入金確認済のみ",C376="入金確認済",OR(C376="入金確認済",C376="受領済"))),1,0)</f>
        <v>0</v>
      </c>
      <c r="L376" s="5" t="str">
        <f aca="false">3&amp;"|"&amp;25</f>
        <v>3|25</v>
      </c>
      <c r="M376" s="5" t="n">
        <f aca="false">IF(L376=L375,M375,0)+K376</f>
        <v>0</v>
      </c>
      <c r="N376" s="5" t="n">
        <f aca="false">IF(AND(K376=1,M376=1),1,0)</f>
        <v>0</v>
      </c>
      <c r="O376" s="5" t="str">
        <f aca="false">IF(K376=1,MAX($O$5:O375)+1,"")</f>
        <v/>
      </c>
      <c r="P376" s="5" t="str">
        <f aca="false">IF(K376=1,SUM($N$6:N376),"")</f>
        <v/>
      </c>
      <c r="Q376" s="5" t="str">
        <f aca="false">IF(K376=1,SUMIFS($H$6:$H$511,$L$6:$L$511,L376,$K$6:$K$511,1),"")</f>
        <v/>
      </c>
      <c r="R376" s="78" t="str">
        <f aca="false">IF(B376="","",IF(INDEX(報告入力!$X$7:$X$696,B376)="","",INDEX(報告入力!$X$7:$X$696,B376)))</f>
        <v/>
      </c>
      <c r="S376" s="5" t="str">
        <f aca="false">設定!$C$53</f>
        <v>介護：掛金</v>
      </c>
    </row>
    <row r="377" customFormat="false" ht="15" hidden="false" customHeight="false" outlineLevel="0" collapsed="false">
      <c r="A377" s="5" t="str">
        <f aca="false">設定!B85</f>
        <v>農林水産振興センタ</v>
      </c>
      <c r="B377" s="5" t="n">
        <f aca="false">IFERROR(MATCH(ホーム!$C$4&amp;"|"&amp;A377,報告入力!$CG$7:$CG$696,0),"")</f>
        <v>347</v>
      </c>
      <c r="C377" s="5" t="str">
        <f aca="false">IF(B377="","",INDEX(報告入力!$C$7:$C$696,B377))</f>
        <v>未受領</v>
      </c>
      <c r="D377" s="5" t="str">
        <f aca="false">設定!$A$41</f>
        <v>介護経理</v>
      </c>
      <c r="E377" s="5" t="str">
        <f aca="false">設定!$B$41&amp;""</f>
        <v/>
      </c>
      <c r="F377" s="5" t="str">
        <f aca="false">設定!$D$54&amp;""</f>
        <v/>
      </c>
      <c r="G377" s="5" t="str">
        <f aca="false">設定!$E$54&amp;""</f>
        <v/>
      </c>
      <c r="H377" s="5" t="n">
        <f aca="false">IF(B377="",0,N(INDEX(報告入力!$BC$7:$BC$696,B377)))</f>
        <v>27255</v>
      </c>
      <c r="I377" s="5" t="str">
        <f aca="false">設定!$C$41&amp;""</f>
        <v/>
      </c>
      <c r="J377" s="5" t="str">
        <f aca="false">設定!$D$41&amp;""</f>
        <v/>
      </c>
      <c r="K377" s="5" t="n">
        <f aca="false">IF(AND(H377&lt;&gt;0,IF(設定!$B$6="入金確認済のみ",C377="入金確認済",OR(C377="入金確認済",C377="受領済"))),1,0)</f>
        <v>0</v>
      </c>
      <c r="L377" s="5" t="str">
        <f aca="false">3&amp;"|"&amp;25</f>
        <v>3|25</v>
      </c>
      <c r="M377" s="5" t="n">
        <f aca="false">IF(L377=L376,M376,0)+K377</f>
        <v>0</v>
      </c>
      <c r="N377" s="5" t="n">
        <f aca="false">IF(AND(K377=1,M377=1),1,0)</f>
        <v>0</v>
      </c>
      <c r="O377" s="5" t="str">
        <f aca="false">IF(K377=1,MAX($O$5:O376)+1,"")</f>
        <v/>
      </c>
      <c r="P377" s="5" t="str">
        <f aca="false">IF(K377=1,SUM($N$6:N377),"")</f>
        <v/>
      </c>
      <c r="Q377" s="5" t="str">
        <f aca="false">IF(K377=1,SUMIFS($H$6:$H$511,$L$6:$L$511,L377,$K$6:$K$511,1),"")</f>
        <v/>
      </c>
      <c r="R377" s="78" t="str">
        <f aca="false">IF(B377="","",IF(INDEX(報告入力!$X$7:$X$696,B377)="","",INDEX(報告入力!$X$7:$X$696,B377)))</f>
        <v/>
      </c>
      <c r="S377" s="5" t="str">
        <f aca="false">設定!$C$54</f>
        <v>介護：負担金</v>
      </c>
    </row>
    <row r="378" customFormat="false" ht="15" hidden="false" customHeight="false" outlineLevel="0" collapsed="false">
      <c r="A378" s="5" t="str">
        <f aca="false">設定!B86</f>
        <v>文化財団　市長部局</v>
      </c>
      <c r="B378" s="5" t="n">
        <f aca="false">IFERROR(MATCH(ホーム!$C$4&amp;"|"&amp;A378,報告入力!$CG$7:$CG$696,0),"")</f>
        <v>348</v>
      </c>
      <c r="C378" s="5" t="str">
        <f aca="false">IF(B378="","",INDEX(報告入力!$C$7:$C$696,B378))</f>
        <v>未受領</v>
      </c>
      <c r="D378" s="5" t="str">
        <f aca="false">設定!$A$41</f>
        <v>介護経理</v>
      </c>
      <c r="E378" s="5" t="str">
        <f aca="false">設定!$B$41&amp;""</f>
        <v/>
      </c>
      <c r="F378" s="5" t="str">
        <f aca="false">設定!$D$53&amp;""</f>
        <v/>
      </c>
      <c r="G378" s="5" t="str">
        <f aca="false">設定!$E$53&amp;""</f>
        <v/>
      </c>
      <c r="H378" s="5" t="n">
        <f aca="false">IF(B378="",0,N(INDEX(報告入力!$BB$7:$BB$696,B378)))</f>
        <v>0</v>
      </c>
      <c r="I378" s="5" t="str">
        <f aca="false">設定!$C$41&amp;""</f>
        <v/>
      </c>
      <c r="J378" s="5" t="str">
        <f aca="false">設定!$D$41&amp;""</f>
        <v/>
      </c>
      <c r="K378" s="5" t="n">
        <f aca="false">IF(AND(H378&lt;&gt;0,IF(設定!$B$6="入金確認済のみ",C378="入金確認済",OR(C378="入金確認済",C378="受領済"))),1,0)</f>
        <v>0</v>
      </c>
      <c r="L378" s="5" t="str">
        <f aca="false">3&amp;"|"&amp;26</f>
        <v>3|26</v>
      </c>
      <c r="M378" s="5" t="n">
        <f aca="false">IF(L378=L377,M377,0)+K378</f>
        <v>0</v>
      </c>
      <c r="N378" s="5" t="n">
        <f aca="false">IF(AND(K378=1,M378=1),1,0)</f>
        <v>0</v>
      </c>
      <c r="O378" s="5" t="str">
        <f aca="false">IF(K378=1,MAX($O$5:O377)+1,"")</f>
        <v/>
      </c>
      <c r="P378" s="5" t="str">
        <f aca="false">IF(K378=1,SUM($N$6:N378),"")</f>
        <v/>
      </c>
      <c r="Q378" s="5" t="str">
        <f aca="false">IF(K378=1,SUMIFS($H$6:$H$511,$L$6:$L$511,L378,$K$6:$K$511,1),"")</f>
        <v/>
      </c>
      <c r="R378" s="78" t="str">
        <f aca="false">IF(B378="","",IF(INDEX(報告入力!$X$7:$X$696,B378)="","",INDEX(報告入力!$X$7:$X$696,B378)))</f>
        <v/>
      </c>
      <c r="S378" s="5" t="str">
        <f aca="false">設定!$C$53</f>
        <v>介護：掛金</v>
      </c>
    </row>
    <row r="379" customFormat="false" ht="15" hidden="false" customHeight="false" outlineLevel="0" collapsed="false">
      <c r="A379" s="5" t="str">
        <f aca="false">設定!B86</f>
        <v>文化財団　市長部局</v>
      </c>
      <c r="B379" s="5" t="n">
        <f aca="false">IFERROR(MATCH(ホーム!$C$4&amp;"|"&amp;A379,報告入力!$CG$7:$CG$696,0),"")</f>
        <v>348</v>
      </c>
      <c r="C379" s="5" t="str">
        <f aca="false">IF(B379="","",INDEX(報告入力!$C$7:$C$696,B379))</f>
        <v>未受領</v>
      </c>
      <c r="D379" s="5" t="str">
        <f aca="false">設定!$A$41</f>
        <v>介護経理</v>
      </c>
      <c r="E379" s="5" t="str">
        <f aca="false">設定!$B$41&amp;""</f>
        <v/>
      </c>
      <c r="F379" s="5" t="str">
        <f aca="false">設定!$D$54&amp;""</f>
        <v/>
      </c>
      <c r="G379" s="5" t="str">
        <f aca="false">設定!$E$54&amp;""</f>
        <v/>
      </c>
      <c r="H379" s="5" t="n">
        <f aca="false">IF(B379="",0,N(INDEX(報告入力!$BC$7:$BC$696,B379)))</f>
        <v>94721</v>
      </c>
      <c r="I379" s="5" t="str">
        <f aca="false">設定!$C$41&amp;""</f>
        <v/>
      </c>
      <c r="J379" s="5" t="str">
        <f aca="false">設定!$D$41&amp;""</f>
        <v/>
      </c>
      <c r="K379" s="5" t="n">
        <f aca="false">IF(AND(H379&lt;&gt;0,IF(設定!$B$6="入金確認済のみ",C379="入金確認済",OR(C379="入金確認済",C379="受領済"))),1,0)</f>
        <v>0</v>
      </c>
      <c r="L379" s="5" t="str">
        <f aca="false">3&amp;"|"&amp;26</f>
        <v>3|26</v>
      </c>
      <c r="M379" s="5" t="n">
        <f aca="false">IF(L379=L378,M378,0)+K379</f>
        <v>0</v>
      </c>
      <c r="N379" s="5" t="n">
        <f aca="false">IF(AND(K379=1,M379=1),1,0)</f>
        <v>0</v>
      </c>
      <c r="O379" s="5" t="str">
        <f aca="false">IF(K379=1,MAX($O$5:O378)+1,"")</f>
        <v/>
      </c>
      <c r="P379" s="5" t="str">
        <f aca="false">IF(K379=1,SUM($N$6:N379),"")</f>
        <v/>
      </c>
      <c r="Q379" s="5" t="str">
        <f aca="false">IF(K379=1,SUMIFS($H$6:$H$511,$L$6:$L$511,L379,$K$6:$K$511,1),"")</f>
        <v/>
      </c>
      <c r="R379" s="78" t="str">
        <f aca="false">IF(B379="","",IF(INDEX(報告入力!$X$7:$X$696,B379)="","",INDEX(報告入力!$X$7:$X$696,B379)))</f>
        <v/>
      </c>
      <c r="S379" s="5" t="str">
        <f aca="false">設定!$C$54</f>
        <v>介護：負担金</v>
      </c>
    </row>
    <row r="380" customFormat="false" ht="15" hidden="false" customHeight="false" outlineLevel="0" collapsed="false">
      <c r="A380" s="5" t="str">
        <f aca="false">設定!B87</f>
        <v>文化財団　教育委員会</v>
      </c>
      <c r="B380" s="5" t="n">
        <f aca="false">IFERROR(MATCH(ホーム!$C$4&amp;"|"&amp;A380,報告入力!$CG$7:$CG$696,0),"")</f>
        <v>349</v>
      </c>
      <c r="C380" s="5" t="str">
        <f aca="false">IF(B380="","",INDEX(報告入力!$C$7:$C$696,B380))</f>
        <v>未受領</v>
      </c>
      <c r="D380" s="5" t="str">
        <f aca="false">設定!$A$41</f>
        <v>介護経理</v>
      </c>
      <c r="E380" s="5" t="str">
        <f aca="false">設定!$B$41&amp;""</f>
        <v/>
      </c>
      <c r="F380" s="5" t="str">
        <f aca="false">設定!$D$53&amp;""</f>
        <v/>
      </c>
      <c r="G380" s="5" t="str">
        <f aca="false">設定!$E$53&amp;""</f>
        <v/>
      </c>
      <c r="H380" s="5" t="n">
        <f aca="false">IF(B380="",0,N(INDEX(報告入力!$BB$7:$BB$696,B380)))</f>
        <v>0</v>
      </c>
      <c r="I380" s="5" t="str">
        <f aca="false">設定!$C$41&amp;""</f>
        <v/>
      </c>
      <c r="J380" s="5" t="str">
        <f aca="false">設定!$D$41&amp;""</f>
        <v/>
      </c>
      <c r="K380" s="5" t="n">
        <f aca="false">IF(AND(H380&lt;&gt;0,IF(設定!$B$6="入金確認済のみ",C380="入金確認済",OR(C380="入金確認済",C380="受領済"))),1,0)</f>
        <v>0</v>
      </c>
      <c r="L380" s="5" t="str">
        <f aca="false">3&amp;"|"&amp;27</f>
        <v>3|27</v>
      </c>
      <c r="M380" s="5" t="n">
        <f aca="false">IF(L380=L379,M379,0)+K380</f>
        <v>0</v>
      </c>
      <c r="N380" s="5" t="n">
        <f aca="false">IF(AND(K380=1,M380=1),1,0)</f>
        <v>0</v>
      </c>
      <c r="O380" s="5" t="str">
        <f aca="false">IF(K380=1,MAX($O$5:O379)+1,"")</f>
        <v/>
      </c>
      <c r="P380" s="5" t="str">
        <f aca="false">IF(K380=1,SUM($N$6:N380),"")</f>
        <v/>
      </c>
      <c r="Q380" s="5" t="str">
        <f aca="false">IF(K380=1,SUMIFS($H$6:$H$511,$L$6:$L$511,L380,$K$6:$K$511,1),"")</f>
        <v/>
      </c>
      <c r="R380" s="78" t="str">
        <f aca="false">IF(B380="","",IF(INDEX(報告入力!$X$7:$X$696,B380)="","",INDEX(報告入力!$X$7:$X$696,B380)))</f>
        <v/>
      </c>
      <c r="S380" s="5" t="str">
        <f aca="false">設定!$C$53</f>
        <v>介護：掛金</v>
      </c>
    </row>
    <row r="381" customFormat="false" ht="15" hidden="false" customHeight="false" outlineLevel="0" collapsed="false">
      <c r="A381" s="5" t="str">
        <f aca="false">設定!B87</f>
        <v>文化財団　教育委員会</v>
      </c>
      <c r="B381" s="5" t="n">
        <f aca="false">IFERROR(MATCH(ホーム!$C$4&amp;"|"&amp;A381,報告入力!$CG$7:$CG$696,0),"")</f>
        <v>349</v>
      </c>
      <c r="C381" s="5" t="str">
        <f aca="false">IF(B381="","",INDEX(報告入力!$C$7:$C$696,B381))</f>
        <v>未受領</v>
      </c>
      <c r="D381" s="5" t="str">
        <f aca="false">設定!$A$41</f>
        <v>介護経理</v>
      </c>
      <c r="E381" s="5" t="str">
        <f aca="false">設定!$B$41&amp;""</f>
        <v/>
      </c>
      <c r="F381" s="5" t="str">
        <f aca="false">設定!$D$54&amp;""</f>
        <v/>
      </c>
      <c r="G381" s="5" t="str">
        <f aca="false">設定!$E$54&amp;""</f>
        <v/>
      </c>
      <c r="H381" s="5" t="n">
        <f aca="false">IF(B381="",0,N(INDEX(報告入力!$BC$7:$BC$696,B381)))</f>
        <v>0</v>
      </c>
      <c r="I381" s="5" t="str">
        <f aca="false">設定!$C$41&amp;""</f>
        <v/>
      </c>
      <c r="J381" s="5" t="str">
        <f aca="false">設定!$D$41&amp;""</f>
        <v/>
      </c>
      <c r="K381" s="5" t="n">
        <f aca="false">IF(AND(H381&lt;&gt;0,IF(設定!$B$6="入金確認済のみ",C381="入金確認済",OR(C381="入金確認済",C381="受領済"))),1,0)</f>
        <v>0</v>
      </c>
      <c r="L381" s="5" t="str">
        <f aca="false">3&amp;"|"&amp;27</f>
        <v>3|27</v>
      </c>
      <c r="M381" s="5" t="n">
        <f aca="false">IF(L381=L380,M380,0)+K381</f>
        <v>0</v>
      </c>
      <c r="N381" s="5" t="n">
        <f aca="false">IF(AND(K381=1,M381=1),1,0)</f>
        <v>0</v>
      </c>
      <c r="O381" s="5" t="str">
        <f aca="false">IF(K381=1,MAX($O$5:O380)+1,"")</f>
        <v/>
      </c>
      <c r="P381" s="5" t="str">
        <f aca="false">IF(K381=1,SUM($N$6:N381),"")</f>
        <v/>
      </c>
      <c r="Q381" s="5" t="str">
        <f aca="false">IF(K381=1,SUMIFS($H$6:$H$511,$L$6:$L$511,L381,$K$6:$K$511,1),"")</f>
        <v/>
      </c>
      <c r="R381" s="78" t="str">
        <f aca="false">IF(B381="","",IF(INDEX(報告入力!$X$7:$X$696,B381)="","",INDEX(報告入力!$X$7:$X$696,B381)))</f>
        <v/>
      </c>
      <c r="S381" s="5" t="str">
        <f aca="false">設定!$C$54</f>
        <v>介護：負担金</v>
      </c>
    </row>
    <row r="382" customFormat="false" ht="15" hidden="false" customHeight="false" outlineLevel="0" collapsed="false">
      <c r="A382" s="5" t="str">
        <f aca="false">設定!B88</f>
        <v>みどり生きもの協会</v>
      </c>
      <c r="B382" s="5" t="n">
        <f aca="false">IFERROR(MATCH(ホーム!$C$4&amp;"|"&amp;A382,報告入力!$CG$7:$CG$696,0),"")</f>
        <v>350</v>
      </c>
      <c r="C382" s="5" t="str">
        <f aca="false">IF(B382="","",INDEX(報告入力!$C$7:$C$696,B382))</f>
        <v>未受領</v>
      </c>
      <c r="D382" s="5" t="str">
        <f aca="false">設定!$A$41</f>
        <v>介護経理</v>
      </c>
      <c r="E382" s="5" t="str">
        <f aca="false">設定!$B$41&amp;""</f>
        <v/>
      </c>
      <c r="F382" s="5" t="str">
        <f aca="false">設定!$D$53&amp;""</f>
        <v/>
      </c>
      <c r="G382" s="5" t="str">
        <f aca="false">設定!$E$53&amp;""</f>
        <v/>
      </c>
      <c r="H382" s="5" t="n">
        <f aca="false">IF(B382="",0,N(INDEX(報告入力!$BB$7:$BB$696,B382)))</f>
        <v>0</v>
      </c>
      <c r="I382" s="5" t="str">
        <f aca="false">設定!$C$41&amp;""</f>
        <v/>
      </c>
      <c r="J382" s="5" t="str">
        <f aca="false">設定!$D$41&amp;""</f>
        <v/>
      </c>
      <c r="K382" s="5" t="n">
        <f aca="false">IF(AND(H382&lt;&gt;0,IF(設定!$B$6="入金確認済のみ",C382="入金確認済",OR(C382="入金確認済",C382="受領済"))),1,0)</f>
        <v>0</v>
      </c>
      <c r="L382" s="5" t="str">
        <f aca="false">3&amp;"|"&amp;28</f>
        <v>3|28</v>
      </c>
      <c r="M382" s="5" t="n">
        <f aca="false">IF(L382=L381,M381,0)+K382</f>
        <v>0</v>
      </c>
      <c r="N382" s="5" t="n">
        <f aca="false">IF(AND(K382=1,M382=1),1,0)</f>
        <v>0</v>
      </c>
      <c r="O382" s="5" t="str">
        <f aca="false">IF(K382=1,MAX($O$5:O381)+1,"")</f>
        <v/>
      </c>
      <c r="P382" s="5" t="str">
        <f aca="false">IF(K382=1,SUM($N$6:N382),"")</f>
        <v/>
      </c>
      <c r="Q382" s="5" t="str">
        <f aca="false">IF(K382=1,SUMIFS($H$6:$H$511,$L$6:$L$511,L382,$K$6:$K$511,1),"")</f>
        <v/>
      </c>
      <c r="R382" s="78" t="str">
        <f aca="false">IF(B382="","",IF(INDEX(報告入力!$X$7:$X$696,B382)="","",INDEX(報告入力!$X$7:$X$696,B382)))</f>
        <v/>
      </c>
      <c r="S382" s="5" t="str">
        <f aca="false">設定!$C$53</f>
        <v>介護：掛金</v>
      </c>
    </row>
    <row r="383" customFormat="false" ht="15" hidden="false" customHeight="false" outlineLevel="0" collapsed="false">
      <c r="A383" s="5" t="str">
        <f aca="false">設定!B88</f>
        <v>みどり生きもの協会</v>
      </c>
      <c r="B383" s="5" t="n">
        <f aca="false">IFERROR(MATCH(ホーム!$C$4&amp;"|"&amp;A383,報告入力!$CG$7:$CG$696,0),"")</f>
        <v>350</v>
      </c>
      <c r="C383" s="5" t="str">
        <f aca="false">IF(B383="","",INDEX(報告入力!$C$7:$C$696,B383))</f>
        <v>未受領</v>
      </c>
      <c r="D383" s="5" t="str">
        <f aca="false">設定!$A$41</f>
        <v>介護経理</v>
      </c>
      <c r="E383" s="5" t="str">
        <f aca="false">設定!$B$41&amp;""</f>
        <v/>
      </c>
      <c r="F383" s="5" t="str">
        <f aca="false">設定!$D$54&amp;""</f>
        <v/>
      </c>
      <c r="G383" s="5" t="str">
        <f aca="false">設定!$E$54&amp;""</f>
        <v/>
      </c>
      <c r="H383" s="5" t="n">
        <f aca="false">IF(B383="",0,N(INDEX(報告入力!$BC$7:$BC$696,B383)))</f>
        <v>34049</v>
      </c>
      <c r="I383" s="5" t="str">
        <f aca="false">設定!$C$41&amp;""</f>
        <v/>
      </c>
      <c r="J383" s="5" t="str">
        <f aca="false">設定!$D$41&amp;""</f>
        <v/>
      </c>
      <c r="K383" s="5" t="n">
        <f aca="false">IF(AND(H383&lt;&gt;0,IF(設定!$B$6="入金確認済のみ",C383="入金確認済",OR(C383="入金確認済",C383="受領済"))),1,0)</f>
        <v>0</v>
      </c>
      <c r="L383" s="5" t="str">
        <f aca="false">3&amp;"|"&amp;28</f>
        <v>3|28</v>
      </c>
      <c r="M383" s="5" t="n">
        <f aca="false">IF(L383=L382,M382,0)+K383</f>
        <v>0</v>
      </c>
      <c r="N383" s="5" t="n">
        <f aca="false">IF(AND(K383=1,M383=1),1,0)</f>
        <v>0</v>
      </c>
      <c r="O383" s="5" t="str">
        <f aca="false">IF(K383=1,MAX($O$5:O382)+1,"")</f>
        <v/>
      </c>
      <c r="P383" s="5" t="str">
        <f aca="false">IF(K383=1,SUM($N$6:N383),"")</f>
        <v/>
      </c>
      <c r="Q383" s="5" t="str">
        <f aca="false">IF(K383=1,SUMIFS($H$6:$H$511,$L$6:$L$511,L383,$K$6:$K$511,1),"")</f>
        <v/>
      </c>
      <c r="R383" s="78" t="str">
        <f aca="false">IF(B383="","",IF(INDEX(報告入力!$X$7:$X$696,B383)="","",INDEX(報告入力!$X$7:$X$696,B383)))</f>
        <v/>
      </c>
      <c r="S383" s="5" t="str">
        <f aca="false">設定!$C$54</f>
        <v>介護：負担金</v>
      </c>
    </row>
    <row r="384" customFormat="false" ht="15" hidden="false" customHeight="false" outlineLevel="0" collapsed="false">
      <c r="A384" s="5" t="str">
        <f aca="false">設定!B89</f>
        <v>県下水道公社</v>
      </c>
      <c r="B384" s="5" t="n">
        <f aca="false">IFERROR(MATCH(ホーム!$C$4&amp;"|"&amp;A384,報告入力!$CG$7:$CG$696,0),"")</f>
        <v>351</v>
      </c>
      <c r="C384" s="5" t="str">
        <f aca="false">IF(B384="","",INDEX(報告入力!$C$7:$C$696,B384))</f>
        <v>未受領</v>
      </c>
      <c r="D384" s="5" t="str">
        <f aca="false">設定!$A$41</f>
        <v>介護経理</v>
      </c>
      <c r="E384" s="5" t="str">
        <f aca="false">設定!$B$41&amp;""</f>
        <v/>
      </c>
      <c r="F384" s="5" t="str">
        <f aca="false">設定!$D$53&amp;""</f>
        <v/>
      </c>
      <c r="G384" s="5" t="str">
        <f aca="false">設定!$E$53&amp;""</f>
        <v/>
      </c>
      <c r="H384" s="5" t="n">
        <f aca="false">IF(B384="",0,N(INDEX(報告入力!$BB$7:$BB$696,B384)))</f>
        <v>8611</v>
      </c>
      <c r="I384" s="5" t="str">
        <f aca="false">設定!$C$41&amp;""</f>
        <v/>
      </c>
      <c r="J384" s="5" t="str">
        <f aca="false">設定!$D$41&amp;""</f>
        <v/>
      </c>
      <c r="K384" s="5" t="n">
        <f aca="false">IF(AND(H384&lt;&gt;0,IF(設定!$B$6="入金確認済のみ",C384="入金確認済",OR(C384="入金確認済",C384="受領済"))),1,0)</f>
        <v>0</v>
      </c>
      <c r="L384" s="5" t="str">
        <f aca="false">3&amp;"|"&amp;29</f>
        <v>3|29</v>
      </c>
      <c r="M384" s="5" t="n">
        <f aca="false">IF(L384=L383,M383,0)+K384</f>
        <v>0</v>
      </c>
      <c r="N384" s="5" t="n">
        <f aca="false">IF(AND(K384=1,M384=1),1,0)</f>
        <v>0</v>
      </c>
      <c r="O384" s="5" t="str">
        <f aca="false">IF(K384=1,MAX($O$5:O383)+1,"")</f>
        <v/>
      </c>
      <c r="P384" s="5" t="str">
        <f aca="false">IF(K384=1,SUM($N$6:N384),"")</f>
        <v/>
      </c>
      <c r="Q384" s="5" t="str">
        <f aca="false">IF(K384=1,SUMIFS($H$6:$H$511,$L$6:$L$511,L384,$K$6:$K$511,1),"")</f>
        <v/>
      </c>
      <c r="R384" s="78" t="str">
        <f aca="false">IF(B384="","",IF(INDEX(報告入力!$X$7:$X$696,B384)="","",INDEX(報告入力!$X$7:$X$696,B384)))</f>
        <v/>
      </c>
      <c r="S384" s="5" t="str">
        <f aca="false">設定!$C$53</f>
        <v>介護：掛金</v>
      </c>
    </row>
    <row r="385" customFormat="false" ht="15" hidden="false" customHeight="false" outlineLevel="0" collapsed="false">
      <c r="A385" s="5" t="str">
        <f aca="false">設定!B89</f>
        <v>県下水道公社</v>
      </c>
      <c r="B385" s="5" t="n">
        <f aca="false">IFERROR(MATCH(ホーム!$C$4&amp;"|"&amp;A385,報告入力!$CG$7:$CG$696,0),"")</f>
        <v>351</v>
      </c>
      <c r="C385" s="5" t="str">
        <f aca="false">IF(B385="","",INDEX(報告入力!$C$7:$C$696,B385))</f>
        <v>未受領</v>
      </c>
      <c r="D385" s="5" t="str">
        <f aca="false">設定!$A$41</f>
        <v>介護経理</v>
      </c>
      <c r="E385" s="5" t="str">
        <f aca="false">設定!$B$41&amp;""</f>
        <v/>
      </c>
      <c r="F385" s="5" t="str">
        <f aca="false">設定!$D$54&amp;""</f>
        <v/>
      </c>
      <c r="G385" s="5" t="str">
        <f aca="false">設定!$E$54&amp;""</f>
        <v/>
      </c>
      <c r="H385" s="5" t="n">
        <f aca="false">IF(B385="",0,N(INDEX(報告入力!$BC$7:$BC$696,B385)))</f>
        <v>8611</v>
      </c>
      <c r="I385" s="5" t="str">
        <f aca="false">設定!$C$41&amp;""</f>
        <v/>
      </c>
      <c r="J385" s="5" t="str">
        <f aca="false">設定!$D$41&amp;""</f>
        <v/>
      </c>
      <c r="K385" s="5" t="n">
        <f aca="false">IF(AND(H385&lt;&gt;0,IF(設定!$B$6="入金確認済のみ",C385="入金確認済",OR(C385="入金確認済",C385="受領済"))),1,0)</f>
        <v>0</v>
      </c>
      <c r="L385" s="5" t="str">
        <f aca="false">3&amp;"|"&amp;29</f>
        <v>3|29</v>
      </c>
      <c r="M385" s="5" t="n">
        <f aca="false">IF(L385=L384,M384,0)+K385</f>
        <v>0</v>
      </c>
      <c r="N385" s="5" t="n">
        <f aca="false">IF(AND(K385=1,M385=1),1,0)</f>
        <v>0</v>
      </c>
      <c r="O385" s="5" t="str">
        <f aca="false">IF(K385=1,MAX($O$5:O384)+1,"")</f>
        <v/>
      </c>
      <c r="P385" s="5" t="str">
        <f aca="false">IF(K385=1,SUM($N$6:N385),"")</f>
        <v/>
      </c>
      <c r="Q385" s="5" t="str">
        <f aca="false">IF(K385=1,SUMIFS($H$6:$H$511,$L$6:$L$511,L385,$K$6:$K$511,1),"")</f>
        <v/>
      </c>
      <c r="R385" s="78" t="str">
        <f aca="false">IF(B385="","",IF(INDEX(報告入力!$X$7:$X$696,B385)="","",INDEX(報告入力!$X$7:$X$696,B385)))</f>
        <v/>
      </c>
      <c r="S385" s="5" t="str">
        <f aca="false">設定!$C$54</f>
        <v>介護：負担金</v>
      </c>
    </row>
    <row r="386" customFormat="false" ht="25.35" hidden="false" customHeight="false" outlineLevel="0" collapsed="false">
      <c r="A386" s="79" t="str">
        <f aca="false">設定!B90</f>
        <v>バス協調・共創
プラットフォーム</v>
      </c>
      <c r="B386" s="5" t="n">
        <f aca="false">IFERROR(MATCH(ホーム!$C$4&amp;"|"&amp;A386,報告入力!$CG$7:$CG$696,0),"")</f>
        <v>352</v>
      </c>
      <c r="C386" s="5" t="str">
        <f aca="false">IF(B386="","",INDEX(報告入力!$C$7:$C$696,B386))</f>
        <v>未受領</v>
      </c>
      <c r="D386" s="5" t="str">
        <f aca="false">設定!$A$41</f>
        <v>介護経理</v>
      </c>
      <c r="E386" s="5" t="str">
        <f aca="false">設定!$B$41&amp;""</f>
        <v/>
      </c>
      <c r="F386" s="5" t="str">
        <f aca="false">設定!$D$53&amp;""</f>
        <v/>
      </c>
      <c r="G386" s="5" t="str">
        <f aca="false">設定!$E$53&amp;""</f>
        <v/>
      </c>
      <c r="H386" s="5" t="n">
        <f aca="false">IF(B386="",0,N(INDEX(報告入力!$BB$7:$BB$696,B386)))</f>
        <v>0</v>
      </c>
      <c r="I386" s="5" t="str">
        <f aca="false">設定!$C$41&amp;""</f>
        <v/>
      </c>
      <c r="J386" s="5" t="str">
        <f aca="false">設定!$D$41&amp;""</f>
        <v/>
      </c>
      <c r="K386" s="5" t="n">
        <f aca="false">IF(AND(H386&lt;&gt;0,IF(設定!$B$6="入金確認済のみ",C386="入金確認済",OR(C386="入金確認済",C386="受領済"))),1,0)</f>
        <v>0</v>
      </c>
      <c r="L386" s="5" t="str">
        <f aca="false">3&amp;"|"&amp;30</f>
        <v>3|30</v>
      </c>
      <c r="M386" s="5" t="n">
        <f aca="false">IF(L386=L385,M385,0)+K386</f>
        <v>0</v>
      </c>
      <c r="N386" s="5" t="n">
        <f aca="false">IF(AND(K386=1,M386=1),1,0)</f>
        <v>0</v>
      </c>
      <c r="O386" s="5" t="str">
        <f aca="false">IF(K386=1,MAX($O$5:O385)+1,"")</f>
        <v/>
      </c>
      <c r="P386" s="5" t="str">
        <f aca="false">IF(K386=1,SUM($N$6:N386),"")</f>
        <v/>
      </c>
      <c r="Q386" s="5" t="str">
        <f aca="false">IF(K386=1,SUMIFS($H$6:$H$511,$L$6:$L$511,L386,$K$6:$K$511,1),"")</f>
        <v/>
      </c>
      <c r="R386" s="78" t="str">
        <f aca="false">IF(B386="","",IF(INDEX(報告入力!$X$7:$X$696,B386)="","",INDEX(報告入力!$X$7:$X$696,B386)))</f>
        <v/>
      </c>
      <c r="S386" s="5" t="str">
        <f aca="false">設定!$C$53</f>
        <v>介護：掛金</v>
      </c>
    </row>
    <row r="387" customFormat="false" ht="25.35" hidden="false" customHeight="false" outlineLevel="0" collapsed="false">
      <c r="A387" s="79" t="str">
        <f aca="false">設定!B90</f>
        <v>バス協調・共創
プラットフォーム</v>
      </c>
      <c r="B387" s="5" t="n">
        <f aca="false">IFERROR(MATCH(ホーム!$C$4&amp;"|"&amp;A387,報告入力!$CG$7:$CG$696,0),"")</f>
        <v>352</v>
      </c>
      <c r="C387" s="5" t="str">
        <f aca="false">IF(B387="","",INDEX(報告入力!$C$7:$C$696,B387))</f>
        <v>未受領</v>
      </c>
      <c r="D387" s="5" t="str">
        <f aca="false">設定!$A$41</f>
        <v>介護経理</v>
      </c>
      <c r="E387" s="5" t="str">
        <f aca="false">設定!$B$41&amp;""</f>
        <v/>
      </c>
      <c r="F387" s="5" t="str">
        <f aca="false">設定!$D$54&amp;""</f>
        <v/>
      </c>
      <c r="G387" s="5" t="str">
        <f aca="false">設定!$E$54&amp;""</f>
        <v/>
      </c>
      <c r="H387" s="5" t="n">
        <f aca="false">IF(B387="",0,N(INDEX(報告入力!$BC$7:$BC$696,B387)))</f>
        <v>25517</v>
      </c>
      <c r="I387" s="5" t="str">
        <f aca="false">設定!$C$41&amp;""</f>
        <v/>
      </c>
      <c r="J387" s="5" t="str">
        <f aca="false">設定!$D$41&amp;""</f>
        <v/>
      </c>
      <c r="K387" s="5" t="n">
        <f aca="false">IF(AND(H387&lt;&gt;0,IF(設定!$B$6="入金確認済のみ",C387="入金確認済",OR(C387="入金確認済",C387="受領済"))),1,0)</f>
        <v>0</v>
      </c>
      <c r="L387" s="5" t="str">
        <f aca="false">3&amp;"|"&amp;30</f>
        <v>3|30</v>
      </c>
      <c r="M387" s="5" t="n">
        <f aca="false">IF(L387=L386,M386,0)+K387</f>
        <v>0</v>
      </c>
      <c r="N387" s="5" t="n">
        <f aca="false">IF(AND(K387=1,M387=1),1,0)</f>
        <v>0</v>
      </c>
      <c r="O387" s="5" t="str">
        <f aca="false">IF(K387=1,MAX($O$5:O386)+1,"")</f>
        <v/>
      </c>
      <c r="P387" s="5" t="str">
        <f aca="false">IF(K387=1,SUM($N$6:N387),"")</f>
        <v/>
      </c>
      <c r="Q387" s="5" t="str">
        <f aca="false">IF(K387=1,SUMIFS($H$6:$H$511,$L$6:$L$511,L387,$K$6:$K$511,1),"")</f>
        <v/>
      </c>
      <c r="R387" s="78" t="str">
        <f aca="false">IF(B387="","",IF(INDEX(報告入力!$X$7:$X$696,B387)="","",INDEX(報告入力!$X$7:$X$696,B387)))</f>
        <v/>
      </c>
      <c r="S387" s="5" t="str">
        <f aca="false">設定!$C$54</f>
        <v>介護：負担金</v>
      </c>
    </row>
    <row r="388" customFormat="false" ht="15" hidden="false" customHeight="false" outlineLevel="0" collapsed="false">
      <c r="A388" s="5" t="str">
        <f aca="false">設定!B91</f>
        <v>広島県市長会</v>
      </c>
      <c r="B388" s="5" t="n">
        <f aca="false">IFERROR(MATCH(ホーム!$C$4&amp;"|"&amp;A388,報告入力!$CG$7:$CG$696,0),"")</f>
        <v>353</v>
      </c>
      <c r="C388" s="5" t="str">
        <f aca="false">IF(B388="","",INDEX(報告入力!$C$7:$C$696,B388))</f>
        <v>受領済</v>
      </c>
      <c r="D388" s="5" t="str">
        <f aca="false">設定!$A$41</f>
        <v>介護経理</v>
      </c>
      <c r="E388" s="5" t="str">
        <f aca="false">設定!$B$41&amp;""</f>
        <v/>
      </c>
      <c r="F388" s="5" t="str">
        <f aca="false">設定!$D$53&amp;""</f>
        <v/>
      </c>
      <c r="G388" s="5" t="str">
        <f aca="false">設定!$E$53&amp;""</f>
        <v/>
      </c>
      <c r="H388" s="5" t="n">
        <f aca="false">IF(B388="",0,N(INDEX(報告入力!$BB$7:$BB$696,B388)))</f>
        <v>4661</v>
      </c>
      <c r="I388" s="5" t="str">
        <f aca="false">設定!$C$41&amp;""</f>
        <v/>
      </c>
      <c r="J388" s="5" t="str">
        <f aca="false">設定!$D$41&amp;""</f>
        <v/>
      </c>
      <c r="K388" s="5" t="n">
        <f aca="false">IF(AND(H388&lt;&gt;0,IF(設定!$B$6="入金確認済のみ",C388="入金確認済",OR(C388="入金確認済",C388="受領済"))),1,0)</f>
        <v>0</v>
      </c>
      <c r="L388" s="5" t="str">
        <f aca="false">3&amp;"|"&amp;31</f>
        <v>3|31</v>
      </c>
      <c r="M388" s="5" t="n">
        <f aca="false">IF(L388=L387,M387,0)+K388</f>
        <v>0</v>
      </c>
      <c r="N388" s="5" t="n">
        <f aca="false">IF(AND(K388=1,M388=1),1,0)</f>
        <v>0</v>
      </c>
      <c r="O388" s="5" t="str">
        <f aca="false">IF(K388=1,MAX($O$5:O387)+1,"")</f>
        <v/>
      </c>
      <c r="P388" s="5" t="str">
        <f aca="false">IF(K388=1,SUM($N$6:N388),"")</f>
        <v/>
      </c>
      <c r="Q388" s="5" t="str">
        <f aca="false">IF(K388=1,SUMIFS($H$6:$H$511,$L$6:$L$511,L388,$K$6:$K$511,1),"")</f>
        <v/>
      </c>
      <c r="R388" s="78" t="str">
        <f aca="false">IF(B388="","",IF(INDEX(報告入力!$X$7:$X$696,B388)="","",INDEX(報告入力!$X$7:$X$696,B388)))</f>
        <v/>
      </c>
      <c r="S388" s="5" t="str">
        <f aca="false">設定!$C$53</f>
        <v>介護：掛金</v>
      </c>
    </row>
    <row r="389" customFormat="false" ht="15" hidden="false" customHeight="false" outlineLevel="0" collapsed="false">
      <c r="A389" s="5" t="str">
        <f aca="false">設定!B91</f>
        <v>広島県市長会</v>
      </c>
      <c r="B389" s="5" t="n">
        <f aca="false">IFERROR(MATCH(ホーム!$C$4&amp;"|"&amp;A389,報告入力!$CG$7:$CG$696,0),"")</f>
        <v>353</v>
      </c>
      <c r="C389" s="5" t="str">
        <f aca="false">IF(B389="","",INDEX(報告入力!$C$7:$C$696,B389))</f>
        <v>受領済</v>
      </c>
      <c r="D389" s="5" t="str">
        <f aca="false">設定!$A$41</f>
        <v>介護経理</v>
      </c>
      <c r="E389" s="5" t="str">
        <f aca="false">設定!$B$41&amp;""</f>
        <v/>
      </c>
      <c r="F389" s="5" t="str">
        <f aca="false">設定!$D$54&amp;""</f>
        <v/>
      </c>
      <c r="G389" s="5" t="str">
        <f aca="false">設定!$E$54&amp;""</f>
        <v/>
      </c>
      <c r="H389" s="5" t="n">
        <f aca="false">IF(B389="",0,N(INDEX(報告入力!$BC$7:$BC$696,B389)))</f>
        <v>4661</v>
      </c>
      <c r="I389" s="5" t="str">
        <f aca="false">設定!$C$41&amp;""</f>
        <v/>
      </c>
      <c r="J389" s="5" t="str">
        <f aca="false">設定!$D$41&amp;""</f>
        <v/>
      </c>
      <c r="K389" s="5" t="n">
        <f aca="false">IF(AND(H389&lt;&gt;0,IF(設定!$B$6="入金確認済のみ",C389="入金確認済",OR(C389="入金確認済",C389="受領済"))),1,0)</f>
        <v>0</v>
      </c>
      <c r="L389" s="5" t="str">
        <f aca="false">3&amp;"|"&amp;31</f>
        <v>3|31</v>
      </c>
      <c r="M389" s="5" t="n">
        <f aca="false">IF(L389=L388,M388,0)+K389</f>
        <v>0</v>
      </c>
      <c r="N389" s="5" t="n">
        <f aca="false">IF(AND(K389=1,M389=1),1,0)</f>
        <v>0</v>
      </c>
      <c r="O389" s="5" t="str">
        <f aca="false">IF(K389=1,MAX($O$5:O388)+1,"")</f>
        <v/>
      </c>
      <c r="P389" s="5" t="str">
        <f aca="false">IF(K389=1,SUM($N$6:N389),"")</f>
        <v/>
      </c>
      <c r="Q389" s="5" t="str">
        <f aca="false">IF(K389=1,SUMIFS($H$6:$H$511,$L$6:$L$511,L389,$K$6:$K$511,1),"")</f>
        <v/>
      </c>
      <c r="R389" s="78" t="str">
        <f aca="false">IF(B389="","",IF(INDEX(報告入力!$X$7:$X$696,B389)="","",INDEX(報告入力!$X$7:$X$696,B389)))</f>
        <v/>
      </c>
      <c r="S389" s="5" t="str">
        <f aca="false">設定!$C$54</f>
        <v>介護：負担金</v>
      </c>
    </row>
    <row r="390" customFormat="false" ht="15" hidden="false" customHeight="false" outlineLevel="0" collapsed="false">
      <c r="A390" s="5" t="str">
        <f aca="false">設定!B92</f>
        <v>全国市町村研修財団</v>
      </c>
      <c r="B390" s="5" t="n">
        <f aca="false">IFERROR(MATCH(ホーム!$C$4&amp;"|"&amp;A390,報告入力!$CG$7:$CG$696,0),"")</f>
        <v>354</v>
      </c>
      <c r="C390" s="5" t="str">
        <f aca="false">IF(B390="","",INDEX(報告入力!$C$7:$C$696,B390))</f>
        <v>受領済</v>
      </c>
      <c r="D390" s="5" t="str">
        <f aca="false">設定!$A$41</f>
        <v>介護経理</v>
      </c>
      <c r="E390" s="5" t="str">
        <f aca="false">設定!$B$41&amp;""</f>
        <v/>
      </c>
      <c r="F390" s="5" t="str">
        <f aca="false">設定!$D$53&amp;""</f>
        <v/>
      </c>
      <c r="G390" s="5" t="str">
        <f aca="false">設定!$E$53&amp;""</f>
        <v/>
      </c>
      <c r="H390" s="5" t="n">
        <f aca="false">IF(B390="",0,N(INDEX(報告入力!$BB$7:$BB$696,B390)))</f>
        <v>5609</v>
      </c>
      <c r="I390" s="5" t="str">
        <f aca="false">設定!$C$41&amp;""</f>
        <v/>
      </c>
      <c r="J390" s="5" t="str">
        <f aca="false">設定!$D$41&amp;""</f>
        <v/>
      </c>
      <c r="K390" s="5" t="n">
        <f aca="false">IF(AND(H390&lt;&gt;0,IF(設定!$B$6="入金確認済のみ",C390="入金確認済",OR(C390="入金確認済",C390="受領済"))),1,0)</f>
        <v>0</v>
      </c>
      <c r="L390" s="5" t="str">
        <f aca="false">3&amp;"|"&amp;32</f>
        <v>3|32</v>
      </c>
      <c r="M390" s="5" t="n">
        <f aca="false">IF(L390=L389,M389,0)+K390</f>
        <v>0</v>
      </c>
      <c r="N390" s="5" t="n">
        <f aca="false">IF(AND(K390=1,M390=1),1,0)</f>
        <v>0</v>
      </c>
      <c r="O390" s="5" t="str">
        <f aca="false">IF(K390=1,MAX($O$5:O389)+1,"")</f>
        <v/>
      </c>
      <c r="P390" s="5" t="str">
        <f aca="false">IF(K390=1,SUM($N$6:N390),"")</f>
        <v/>
      </c>
      <c r="Q390" s="5" t="str">
        <f aca="false">IF(K390=1,SUMIFS($H$6:$H$511,$L$6:$L$511,L390,$K$6:$K$511,1),"")</f>
        <v/>
      </c>
      <c r="R390" s="78" t="str">
        <f aca="false">IF(B390="","",IF(INDEX(報告入力!$X$7:$X$696,B390)="","",INDEX(報告入力!$X$7:$X$696,B390)))</f>
        <v/>
      </c>
      <c r="S390" s="5" t="str">
        <f aca="false">設定!$C$53</f>
        <v>介護：掛金</v>
      </c>
    </row>
    <row r="391" customFormat="false" ht="15" hidden="false" customHeight="false" outlineLevel="0" collapsed="false">
      <c r="A391" s="5" t="str">
        <f aca="false">設定!B92</f>
        <v>全国市町村研修財団</v>
      </c>
      <c r="B391" s="5" t="n">
        <f aca="false">IFERROR(MATCH(ホーム!$C$4&amp;"|"&amp;A391,報告入力!$CG$7:$CG$696,0),"")</f>
        <v>354</v>
      </c>
      <c r="C391" s="5" t="str">
        <f aca="false">IF(B391="","",INDEX(報告入力!$C$7:$C$696,B391))</f>
        <v>受領済</v>
      </c>
      <c r="D391" s="5" t="str">
        <f aca="false">設定!$A$41</f>
        <v>介護経理</v>
      </c>
      <c r="E391" s="5" t="str">
        <f aca="false">設定!$B$41&amp;""</f>
        <v/>
      </c>
      <c r="F391" s="5" t="str">
        <f aca="false">設定!$D$54&amp;""</f>
        <v/>
      </c>
      <c r="G391" s="5" t="str">
        <f aca="false">設定!$E$54&amp;""</f>
        <v/>
      </c>
      <c r="H391" s="5" t="n">
        <f aca="false">IF(B391="",0,N(INDEX(報告入力!$BC$7:$BC$696,B391)))</f>
        <v>5609</v>
      </c>
      <c r="I391" s="5" t="str">
        <f aca="false">設定!$C$41&amp;""</f>
        <v/>
      </c>
      <c r="J391" s="5" t="str">
        <f aca="false">設定!$D$41&amp;""</f>
        <v/>
      </c>
      <c r="K391" s="5" t="n">
        <f aca="false">IF(AND(H391&lt;&gt;0,IF(設定!$B$6="入金確認済のみ",C391="入金確認済",OR(C391="入金確認済",C391="受領済"))),1,0)</f>
        <v>0</v>
      </c>
      <c r="L391" s="5" t="str">
        <f aca="false">3&amp;"|"&amp;32</f>
        <v>3|32</v>
      </c>
      <c r="M391" s="5" t="n">
        <f aca="false">IF(L391=L390,M390,0)+K391</f>
        <v>0</v>
      </c>
      <c r="N391" s="5" t="n">
        <f aca="false">IF(AND(K391=1,M391=1),1,0)</f>
        <v>0</v>
      </c>
      <c r="O391" s="5" t="str">
        <f aca="false">IF(K391=1,MAX($O$5:O390)+1,"")</f>
        <v/>
      </c>
      <c r="P391" s="5" t="str">
        <f aca="false">IF(K391=1,SUM($N$6:N391),"")</f>
        <v/>
      </c>
      <c r="Q391" s="5" t="str">
        <f aca="false">IF(K391=1,SUMIFS($H$6:$H$511,$L$6:$L$511,L391,$K$6:$K$511,1),"")</f>
        <v/>
      </c>
      <c r="R391" s="78" t="str">
        <f aca="false">IF(B391="","",IF(INDEX(報告入力!$X$7:$X$696,B391)="","",INDEX(報告入力!$X$7:$X$696,B391)))</f>
        <v/>
      </c>
      <c r="S391" s="5" t="str">
        <f aca="false">設定!$C$54</f>
        <v>介護：負担金</v>
      </c>
    </row>
    <row r="392" customFormat="false" ht="15" hidden="false" customHeight="false" outlineLevel="0" collapsed="false">
      <c r="A392" s="5" t="str">
        <f aca="false">設定!B93</f>
        <v>都市再生機構</v>
      </c>
      <c r="B392" s="5" t="n">
        <f aca="false">IFERROR(MATCH(ホーム!$C$4&amp;"|"&amp;A392,報告入力!$CG$7:$CG$696,0),"")</f>
        <v>355</v>
      </c>
      <c r="C392" s="5" t="str">
        <f aca="false">IF(B392="","",INDEX(報告入力!$C$7:$C$696,B392))</f>
        <v>受領済</v>
      </c>
      <c r="D392" s="5" t="str">
        <f aca="false">設定!$A$41</f>
        <v>介護経理</v>
      </c>
      <c r="E392" s="5" t="str">
        <f aca="false">設定!$B$41&amp;""</f>
        <v/>
      </c>
      <c r="F392" s="5" t="str">
        <f aca="false">設定!$D$53&amp;""</f>
        <v/>
      </c>
      <c r="G392" s="5" t="str">
        <f aca="false">設定!$E$53&amp;""</f>
        <v/>
      </c>
      <c r="H392" s="5" t="n">
        <f aca="false">IF(B392="",0,N(INDEX(報告入力!$BB$7:$BB$696,B392)))</f>
        <v>0</v>
      </c>
      <c r="I392" s="5" t="str">
        <f aca="false">設定!$C$41&amp;""</f>
        <v/>
      </c>
      <c r="J392" s="5" t="str">
        <f aca="false">設定!$D$41&amp;""</f>
        <v/>
      </c>
      <c r="K392" s="5" t="n">
        <f aca="false">IF(AND(H392&lt;&gt;0,IF(設定!$B$6="入金確認済のみ",C392="入金確認済",OR(C392="入金確認済",C392="受領済"))),1,0)</f>
        <v>0</v>
      </c>
      <c r="L392" s="5" t="str">
        <f aca="false">3&amp;"|"&amp;33</f>
        <v>3|33</v>
      </c>
      <c r="M392" s="5" t="n">
        <f aca="false">IF(L392=L391,M391,0)+K392</f>
        <v>0</v>
      </c>
      <c r="N392" s="5" t="n">
        <f aca="false">IF(AND(K392=1,M392=1),1,0)</f>
        <v>0</v>
      </c>
      <c r="O392" s="5" t="str">
        <f aca="false">IF(K392=1,MAX($O$5:O391)+1,"")</f>
        <v/>
      </c>
      <c r="P392" s="5" t="str">
        <f aca="false">IF(K392=1,SUM($N$6:N392),"")</f>
        <v/>
      </c>
      <c r="Q392" s="5" t="str">
        <f aca="false">IF(K392=1,SUMIFS($H$6:$H$511,$L$6:$L$511,L392,$K$6:$K$511,1),"")</f>
        <v/>
      </c>
      <c r="R392" s="78" t="str">
        <f aca="false">IF(B392="","",IF(INDEX(報告入力!$X$7:$X$696,B392)="","",INDEX(報告入力!$X$7:$X$696,B392)))</f>
        <v/>
      </c>
      <c r="S392" s="5" t="str">
        <f aca="false">設定!$C$53</f>
        <v>介護：掛金</v>
      </c>
    </row>
    <row r="393" customFormat="false" ht="15" hidden="false" customHeight="false" outlineLevel="0" collapsed="false">
      <c r="A393" s="5" t="str">
        <f aca="false">設定!B93</f>
        <v>都市再生機構</v>
      </c>
      <c r="B393" s="5" t="n">
        <f aca="false">IFERROR(MATCH(ホーム!$C$4&amp;"|"&amp;A393,報告入力!$CG$7:$CG$696,0),"")</f>
        <v>355</v>
      </c>
      <c r="C393" s="5" t="str">
        <f aca="false">IF(B393="","",INDEX(報告入力!$C$7:$C$696,B393))</f>
        <v>受領済</v>
      </c>
      <c r="D393" s="5" t="str">
        <f aca="false">設定!$A$41</f>
        <v>介護経理</v>
      </c>
      <c r="E393" s="5" t="str">
        <f aca="false">設定!$B$41&amp;""</f>
        <v/>
      </c>
      <c r="F393" s="5" t="str">
        <f aca="false">設定!$D$54&amp;""</f>
        <v/>
      </c>
      <c r="G393" s="5" t="str">
        <f aca="false">設定!$E$54&amp;""</f>
        <v/>
      </c>
      <c r="H393" s="5" t="n">
        <f aca="false">IF(B393="",0,N(INDEX(報告入力!$BC$7:$BC$696,B393)))</f>
        <v>0</v>
      </c>
      <c r="I393" s="5" t="str">
        <f aca="false">設定!$C$41&amp;""</f>
        <v/>
      </c>
      <c r="J393" s="5" t="str">
        <f aca="false">設定!$D$41&amp;""</f>
        <v/>
      </c>
      <c r="K393" s="5" t="n">
        <f aca="false">IF(AND(H393&lt;&gt;0,IF(設定!$B$6="入金確認済のみ",C393="入金確認済",OR(C393="入金確認済",C393="受領済"))),1,0)</f>
        <v>0</v>
      </c>
      <c r="L393" s="5" t="str">
        <f aca="false">3&amp;"|"&amp;33</f>
        <v>3|33</v>
      </c>
      <c r="M393" s="5" t="n">
        <f aca="false">IF(L393=L392,M392,0)+K393</f>
        <v>0</v>
      </c>
      <c r="N393" s="5" t="n">
        <f aca="false">IF(AND(K393=1,M393=1),1,0)</f>
        <v>0</v>
      </c>
      <c r="O393" s="5" t="str">
        <f aca="false">IF(K393=1,MAX($O$5:O392)+1,"")</f>
        <v/>
      </c>
      <c r="P393" s="5" t="str">
        <f aca="false">IF(K393=1,SUM($N$6:N393),"")</f>
        <v/>
      </c>
      <c r="Q393" s="5" t="str">
        <f aca="false">IF(K393=1,SUMIFS($H$6:$H$511,$L$6:$L$511,L393,$K$6:$K$511,1),"")</f>
        <v/>
      </c>
      <c r="R393" s="78" t="str">
        <f aca="false">IF(B393="","",IF(INDEX(報告入力!$X$7:$X$696,B393)="","",INDEX(報告入力!$X$7:$X$696,B393)))</f>
        <v/>
      </c>
      <c r="S393" s="5" t="str">
        <f aca="false">設定!$C$54</f>
        <v>介護：負担金</v>
      </c>
    </row>
    <row r="394" customFormat="false" ht="15" hidden="false" customHeight="false" outlineLevel="0" collapsed="false">
      <c r="A394" s="5" t="str">
        <f aca="false">設定!B94</f>
        <v>広島市立大学</v>
      </c>
      <c r="B394" s="5" t="n">
        <f aca="false">IFERROR(MATCH(ホーム!$C$4&amp;"|"&amp;A394,報告入力!$CG$7:$CG$696,0),"")</f>
        <v>356</v>
      </c>
      <c r="C394" s="5" t="str">
        <f aca="false">IF(B394="","",INDEX(報告入力!$C$7:$C$696,B394))</f>
        <v>未受領</v>
      </c>
      <c r="D394" s="5" t="str">
        <f aca="false">設定!$A$41</f>
        <v>介護経理</v>
      </c>
      <c r="E394" s="5" t="str">
        <f aca="false">設定!$B$41&amp;""</f>
        <v/>
      </c>
      <c r="F394" s="5" t="str">
        <f aca="false">設定!$D$53&amp;""</f>
        <v/>
      </c>
      <c r="G394" s="5" t="str">
        <f aca="false">設定!$E$53&amp;""</f>
        <v/>
      </c>
      <c r="H394" s="5" t="n">
        <f aca="false">IF(B394="",0,N(INDEX(報告入力!$BB$7:$BB$696,B394)))</f>
        <v>64227</v>
      </c>
      <c r="I394" s="5" t="str">
        <f aca="false">設定!$C$41&amp;""</f>
        <v/>
      </c>
      <c r="J394" s="5" t="str">
        <f aca="false">設定!$D$41&amp;""</f>
        <v/>
      </c>
      <c r="K394" s="5" t="n">
        <f aca="false">IF(AND(H394&lt;&gt;0,IF(設定!$B$6="入金確認済のみ",C394="入金確認済",OR(C394="入金確認済",C394="受領済"))),1,0)</f>
        <v>0</v>
      </c>
      <c r="L394" s="5" t="str">
        <f aca="false">3&amp;"|"&amp;34</f>
        <v>3|34</v>
      </c>
      <c r="M394" s="5" t="n">
        <f aca="false">IF(L394=L393,M393,0)+K394</f>
        <v>0</v>
      </c>
      <c r="N394" s="5" t="n">
        <f aca="false">IF(AND(K394=1,M394=1),1,0)</f>
        <v>0</v>
      </c>
      <c r="O394" s="5" t="str">
        <f aca="false">IF(K394=1,MAX($O$5:O393)+1,"")</f>
        <v/>
      </c>
      <c r="P394" s="5" t="str">
        <f aca="false">IF(K394=1,SUM($N$6:N394),"")</f>
        <v/>
      </c>
      <c r="Q394" s="5" t="str">
        <f aca="false">IF(K394=1,SUMIFS($H$6:$H$511,$L$6:$L$511,L394,$K$6:$K$511,1),"")</f>
        <v/>
      </c>
      <c r="R394" s="78" t="str">
        <f aca="false">IF(B394="","",IF(INDEX(報告入力!$X$7:$X$696,B394)="","",INDEX(報告入力!$X$7:$X$696,B394)))</f>
        <v/>
      </c>
      <c r="S394" s="5" t="str">
        <f aca="false">設定!$C$53</f>
        <v>介護：掛金</v>
      </c>
    </row>
    <row r="395" customFormat="false" ht="15" hidden="false" customHeight="false" outlineLevel="0" collapsed="false">
      <c r="A395" s="5" t="str">
        <f aca="false">設定!B94</f>
        <v>広島市立大学</v>
      </c>
      <c r="B395" s="5" t="n">
        <f aca="false">IFERROR(MATCH(ホーム!$C$4&amp;"|"&amp;A395,報告入力!$CG$7:$CG$696,0),"")</f>
        <v>356</v>
      </c>
      <c r="C395" s="5" t="str">
        <f aca="false">IF(B395="","",INDEX(報告入力!$C$7:$C$696,B395))</f>
        <v>未受領</v>
      </c>
      <c r="D395" s="5" t="str">
        <f aca="false">設定!$A$41</f>
        <v>介護経理</v>
      </c>
      <c r="E395" s="5" t="str">
        <f aca="false">設定!$B$41&amp;""</f>
        <v/>
      </c>
      <c r="F395" s="5" t="str">
        <f aca="false">設定!$D$54&amp;""</f>
        <v/>
      </c>
      <c r="G395" s="5" t="str">
        <f aca="false">設定!$E$54&amp;""</f>
        <v/>
      </c>
      <c r="H395" s="5" t="n">
        <f aca="false">IF(B395="",0,N(INDEX(報告入力!$BC$7:$BC$696,B395)))</f>
        <v>64227</v>
      </c>
      <c r="I395" s="5" t="str">
        <f aca="false">設定!$C$41&amp;""</f>
        <v/>
      </c>
      <c r="J395" s="5" t="str">
        <f aca="false">設定!$D$41&amp;""</f>
        <v/>
      </c>
      <c r="K395" s="5" t="n">
        <f aca="false">IF(AND(H395&lt;&gt;0,IF(設定!$B$6="入金確認済のみ",C395="入金確認済",OR(C395="入金確認済",C395="受領済"))),1,0)</f>
        <v>0</v>
      </c>
      <c r="L395" s="5" t="str">
        <f aca="false">3&amp;"|"&amp;34</f>
        <v>3|34</v>
      </c>
      <c r="M395" s="5" t="n">
        <f aca="false">IF(L395=L394,M394,0)+K395</f>
        <v>0</v>
      </c>
      <c r="N395" s="5" t="n">
        <f aca="false">IF(AND(K395=1,M395=1),1,0)</f>
        <v>0</v>
      </c>
      <c r="O395" s="5" t="str">
        <f aca="false">IF(K395=1,MAX($O$5:O394)+1,"")</f>
        <v/>
      </c>
      <c r="P395" s="5" t="str">
        <f aca="false">IF(K395=1,SUM($N$6:N395),"")</f>
        <v/>
      </c>
      <c r="Q395" s="5" t="str">
        <f aca="false">IF(K395=1,SUMIFS($H$6:$H$511,$L$6:$L$511,L395,$K$6:$K$511,1),"")</f>
        <v/>
      </c>
      <c r="R395" s="78" t="str">
        <f aca="false">IF(B395="","",IF(INDEX(報告入力!$X$7:$X$696,B395)="","",INDEX(報告入力!$X$7:$X$696,B395)))</f>
        <v/>
      </c>
      <c r="S395" s="5" t="str">
        <f aca="false">設定!$C$54</f>
        <v>介護：負担金</v>
      </c>
    </row>
    <row r="396" customFormat="false" ht="15" hidden="false" customHeight="false" outlineLevel="0" collapsed="false">
      <c r="A396" s="5" t="str">
        <f aca="false">設定!B95</f>
        <v>社会福祉協議会</v>
      </c>
      <c r="B396" s="5" t="n">
        <f aca="false">IFERROR(MATCH(ホーム!$C$4&amp;"|"&amp;A396,報告入力!$CG$7:$CG$696,0),"")</f>
        <v>357</v>
      </c>
      <c r="C396" s="5" t="str">
        <f aca="false">IF(B396="","",INDEX(報告入力!$C$7:$C$696,B396))</f>
        <v>未受領</v>
      </c>
      <c r="D396" s="5" t="str">
        <f aca="false">設定!$A$41</f>
        <v>介護経理</v>
      </c>
      <c r="E396" s="5" t="str">
        <f aca="false">設定!$B$41&amp;""</f>
        <v/>
      </c>
      <c r="F396" s="5" t="str">
        <f aca="false">設定!$D$53&amp;""</f>
        <v/>
      </c>
      <c r="G396" s="5" t="str">
        <f aca="false">設定!$E$53&amp;""</f>
        <v/>
      </c>
      <c r="H396" s="5" t="n">
        <f aca="false">IF(B396="",0,N(INDEX(報告入力!$BB$7:$BB$696,B396)))</f>
        <v>0</v>
      </c>
      <c r="I396" s="5" t="str">
        <f aca="false">設定!$C$41&amp;""</f>
        <v/>
      </c>
      <c r="J396" s="5" t="str">
        <f aca="false">設定!$D$41&amp;""</f>
        <v/>
      </c>
      <c r="K396" s="5" t="n">
        <f aca="false">IF(AND(H396&lt;&gt;0,IF(設定!$B$6="入金確認済のみ",C396="入金確認済",OR(C396="入金確認済",C396="受領済"))),1,0)</f>
        <v>0</v>
      </c>
      <c r="L396" s="5" t="str">
        <f aca="false">3&amp;"|"&amp;35</f>
        <v>3|35</v>
      </c>
      <c r="M396" s="5" t="n">
        <f aca="false">IF(L396=L395,M395,0)+K396</f>
        <v>0</v>
      </c>
      <c r="N396" s="5" t="n">
        <f aca="false">IF(AND(K396=1,M396=1),1,0)</f>
        <v>0</v>
      </c>
      <c r="O396" s="5" t="str">
        <f aca="false">IF(K396=1,MAX($O$5:O395)+1,"")</f>
        <v/>
      </c>
      <c r="P396" s="5" t="str">
        <f aca="false">IF(K396=1,SUM($N$6:N396),"")</f>
        <v/>
      </c>
      <c r="Q396" s="5" t="str">
        <f aca="false">IF(K396=1,SUMIFS($H$6:$H$511,$L$6:$L$511,L396,$K$6:$K$511,1),"")</f>
        <v/>
      </c>
      <c r="R396" s="78" t="str">
        <f aca="false">IF(B396="","",IF(INDEX(報告入力!$X$7:$X$696,B396)="","",INDEX(報告入力!$X$7:$X$696,B396)))</f>
        <v/>
      </c>
      <c r="S396" s="5" t="str">
        <f aca="false">設定!$C$53</f>
        <v>介護：掛金</v>
      </c>
    </row>
    <row r="397" customFormat="false" ht="15" hidden="false" customHeight="false" outlineLevel="0" collapsed="false">
      <c r="A397" s="5" t="str">
        <f aca="false">設定!B95</f>
        <v>社会福祉協議会</v>
      </c>
      <c r="B397" s="5" t="n">
        <f aca="false">IFERROR(MATCH(ホーム!$C$4&amp;"|"&amp;A397,報告入力!$CG$7:$CG$696,0),"")</f>
        <v>357</v>
      </c>
      <c r="C397" s="5" t="str">
        <f aca="false">IF(B397="","",INDEX(報告入力!$C$7:$C$696,B397))</f>
        <v>未受領</v>
      </c>
      <c r="D397" s="5" t="str">
        <f aca="false">設定!$A$41</f>
        <v>介護経理</v>
      </c>
      <c r="E397" s="5" t="str">
        <f aca="false">設定!$B$41&amp;""</f>
        <v/>
      </c>
      <c r="F397" s="5" t="str">
        <f aca="false">設定!$D$54&amp;""</f>
        <v/>
      </c>
      <c r="G397" s="5" t="str">
        <f aca="false">設定!$E$54&amp;""</f>
        <v/>
      </c>
      <c r="H397" s="5" t="n">
        <f aca="false">IF(B397="",0,N(INDEX(報告入力!$BC$7:$BC$696,B397)))</f>
        <v>10744</v>
      </c>
      <c r="I397" s="5" t="str">
        <f aca="false">設定!$C$41&amp;""</f>
        <v/>
      </c>
      <c r="J397" s="5" t="str">
        <f aca="false">設定!$D$41&amp;""</f>
        <v/>
      </c>
      <c r="K397" s="5" t="n">
        <f aca="false">IF(AND(H397&lt;&gt;0,IF(設定!$B$6="入金確認済のみ",C397="入金確認済",OR(C397="入金確認済",C397="受領済"))),1,0)</f>
        <v>0</v>
      </c>
      <c r="L397" s="5" t="str">
        <f aca="false">3&amp;"|"&amp;35</f>
        <v>3|35</v>
      </c>
      <c r="M397" s="5" t="n">
        <f aca="false">IF(L397=L396,M396,0)+K397</f>
        <v>0</v>
      </c>
      <c r="N397" s="5" t="n">
        <f aca="false">IF(AND(K397=1,M397=1),1,0)</f>
        <v>0</v>
      </c>
      <c r="O397" s="5" t="str">
        <f aca="false">IF(K397=1,MAX($O$5:O396)+1,"")</f>
        <v/>
      </c>
      <c r="P397" s="5" t="str">
        <f aca="false">IF(K397=1,SUM($N$6:N397),"")</f>
        <v/>
      </c>
      <c r="Q397" s="5" t="str">
        <f aca="false">IF(K397=1,SUMIFS($H$6:$H$511,$L$6:$L$511,L397,$K$6:$K$511,1),"")</f>
        <v/>
      </c>
      <c r="R397" s="78" t="str">
        <f aca="false">IF(B397="","",IF(INDEX(報告入力!$X$7:$X$696,B397)="","",INDEX(報告入力!$X$7:$X$696,B397)))</f>
        <v/>
      </c>
      <c r="S397" s="5" t="str">
        <f aca="false">設定!$C$54</f>
        <v>介護：負担金</v>
      </c>
    </row>
    <row r="398" customFormat="false" ht="15" hidden="false" customHeight="false" outlineLevel="0" collapsed="false">
      <c r="A398" s="5" t="str">
        <f aca="false">設定!B96</f>
        <v>市立病院機構</v>
      </c>
      <c r="B398" s="5" t="n">
        <f aca="false">IFERROR(MATCH(ホーム!$C$4&amp;"|"&amp;A398,報告入力!$CG$7:$CG$696,0),"")</f>
        <v>358</v>
      </c>
      <c r="C398" s="5" t="str">
        <f aca="false">IF(B398="","",INDEX(報告入力!$C$7:$C$696,B398))</f>
        <v>未受領</v>
      </c>
      <c r="D398" s="5" t="str">
        <f aca="false">設定!$A$41</f>
        <v>介護経理</v>
      </c>
      <c r="E398" s="5" t="str">
        <f aca="false">設定!$B$41&amp;""</f>
        <v/>
      </c>
      <c r="F398" s="5" t="str">
        <f aca="false">設定!$D$53&amp;""</f>
        <v/>
      </c>
      <c r="G398" s="5" t="str">
        <f aca="false">設定!$E$53&amp;""</f>
        <v/>
      </c>
      <c r="H398" s="5" t="n">
        <f aca="false">IF(B398="",0,N(INDEX(報告入力!$BB$7:$BB$696,B398)))</f>
        <v>7758167</v>
      </c>
      <c r="I398" s="5" t="str">
        <f aca="false">設定!$C$41&amp;""</f>
        <v/>
      </c>
      <c r="J398" s="5" t="str">
        <f aca="false">設定!$D$41&amp;""</f>
        <v/>
      </c>
      <c r="K398" s="5" t="n">
        <f aca="false">IF(AND(H398&lt;&gt;0,IF(設定!$B$6="入金確認済のみ",C398="入金確認済",OR(C398="入金確認済",C398="受領済"))),1,0)</f>
        <v>0</v>
      </c>
      <c r="L398" s="5" t="str">
        <f aca="false">3&amp;"|"&amp;36</f>
        <v>3|36</v>
      </c>
      <c r="M398" s="5" t="n">
        <f aca="false">IF(L398=L397,M397,0)+K398</f>
        <v>0</v>
      </c>
      <c r="N398" s="5" t="n">
        <f aca="false">IF(AND(K398=1,M398=1),1,0)</f>
        <v>0</v>
      </c>
      <c r="O398" s="5" t="str">
        <f aca="false">IF(K398=1,MAX($O$5:O397)+1,"")</f>
        <v/>
      </c>
      <c r="P398" s="5" t="str">
        <f aca="false">IF(K398=1,SUM($N$6:N398),"")</f>
        <v/>
      </c>
      <c r="Q398" s="5" t="str">
        <f aca="false">IF(K398=1,SUMIFS($H$6:$H$511,$L$6:$L$511,L398,$K$6:$K$511,1),"")</f>
        <v/>
      </c>
      <c r="R398" s="78" t="str">
        <f aca="false">IF(B398="","",IF(INDEX(報告入力!$X$7:$X$696,B398)="","",INDEX(報告入力!$X$7:$X$696,B398)))</f>
        <v/>
      </c>
      <c r="S398" s="5" t="str">
        <f aca="false">設定!$C$53</f>
        <v>介護：掛金</v>
      </c>
    </row>
    <row r="399" customFormat="false" ht="15" hidden="false" customHeight="false" outlineLevel="0" collapsed="false">
      <c r="A399" s="5" t="str">
        <f aca="false">設定!B96</f>
        <v>市立病院機構</v>
      </c>
      <c r="B399" s="5" t="n">
        <f aca="false">IFERROR(MATCH(ホーム!$C$4&amp;"|"&amp;A399,報告入力!$CG$7:$CG$696,0),"")</f>
        <v>358</v>
      </c>
      <c r="C399" s="5" t="str">
        <f aca="false">IF(B399="","",INDEX(報告入力!$C$7:$C$696,B399))</f>
        <v>未受領</v>
      </c>
      <c r="D399" s="5" t="str">
        <f aca="false">設定!$A$41</f>
        <v>介護経理</v>
      </c>
      <c r="E399" s="5" t="str">
        <f aca="false">設定!$B$41&amp;""</f>
        <v/>
      </c>
      <c r="F399" s="5" t="str">
        <f aca="false">設定!$D$54&amp;""</f>
        <v/>
      </c>
      <c r="G399" s="5" t="str">
        <f aca="false">設定!$E$54&amp;""</f>
        <v/>
      </c>
      <c r="H399" s="5" t="n">
        <f aca="false">IF(B399="",0,N(INDEX(報告入力!$BC$7:$BC$696,B399)))</f>
        <v>7761643</v>
      </c>
      <c r="I399" s="5" t="str">
        <f aca="false">設定!$C$41&amp;""</f>
        <v/>
      </c>
      <c r="J399" s="5" t="str">
        <f aca="false">設定!$D$41&amp;""</f>
        <v/>
      </c>
      <c r="K399" s="5" t="n">
        <f aca="false">IF(AND(H399&lt;&gt;0,IF(設定!$B$6="入金確認済のみ",C399="入金確認済",OR(C399="入金確認済",C399="受領済"))),1,0)</f>
        <v>0</v>
      </c>
      <c r="L399" s="5" t="str">
        <f aca="false">3&amp;"|"&amp;36</f>
        <v>3|36</v>
      </c>
      <c r="M399" s="5" t="n">
        <f aca="false">IF(L399=L398,M398,0)+K399</f>
        <v>0</v>
      </c>
      <c r="N399" s="5" t="n">
        <f aca="false">IF(AND(K399=1,M399=1),1,0)</f>
        <v>0</v>
      </c>
      <c r="O399" s="5" t="str">
        <f aca="false">IF(K399=1,MAX($O$5:O398)+1,"")</f>
        <v/>
      </c>
      <c r="P399" s="5" t="str">
        <f aca="false">IF(K399=1,SUM($N$6:N399),"")</f>
        <v/>
      </c>
      <c r="Q399" s="5" t="str">
        <f aca="false">IF(K399=1,SUMIFS($H$6:$H$511,$L$6:$L$511,L399,$K$6:$K$511,1),"")</f>
        <v/>
      </c>
      <c r="R399" s="78" t="str">
        <f aca="false">IF(B399="","",IF(INDEX(報告入力!$X$7:$X$696,B399)="","",INDEX(報告入力!$X$7:$X$696,B399)))</f>
        <v/>
      </c>
      <c r="S399" s="5" t="str">
        <f aca="false">設定!$C$54</f>
        <v>介護：負担金</v>
      </c>
    </row>
    <row r="400" customFormat="false" ht="15" hidden="false" customHeight="false" outlineLevel="0" collapsed="false">
      <c r="A400" s="5" t="str">
        <f aca="false">設定!B97</f>
        <v>職員共済組合</v>
      </c>
      <c r="B400" s="5" t="n">
        <f aca="false">IFERROR(MATCH(ホーム!$C$4&amp;"|"&amp;A400,報告入力!$CG$7:$CG$696,0),"")</f>
        <v>359</v>
      </c>
      <c r="C400" s="5" t="str">
        <f aca="false">IF(B400="","",INDEX(報告入力!$C$7:$C$696,B400))</f>
        <v>未受領</v>
      </c>
      <c r="D400" s="5" t="str">
        <f aca="false">設定!$A$41</f>
        <v>介護経理</v>
      </c>
      <c r="E400" s="5" t="str">
        <f aca="false">設定!$B$41&amp;""</f>
        <v/>
      </c>
      <c r="F400" s="5" t="str">
        <f aca="false">設定!$D$53&amp;""</f>
        <v/>
      </c>
      <c r="G400" s="5" t="str">
        <f aca="false">設定!$E$53&amp;""</f>
        <v/>
      </c>
      <c r="H400" s="5" t="n">
        <f aca="false">IF(B400="",0,N(INDEX(報告入力!$BB$7:$BB$696,B400)))</f>
        <v>9322</v>
      </c>
      <c r="I400" s="5" t="str">
        <f aca="false">設定!$C$41&amp;""</f>
        <v/>
      </c>
      <c r="J400" s="5" t="str">
        <f aca="false">設定!$D$41&amp;""</f>
        <v/>
      </c>
      <c r="K400" s="5" t="n">
        <f aca="false">IF(AND(H400&lt;&gt;0,IF(設定!$B$6="入金確認済のみ",C400="入金確認済",OR(C400="入金確認済",C400="受領済"))),1,0)</f>
        <v>0</v>
      </c>
      <c r="L400" s="5" t="str">
        <f aca="false">3&amp;"|"&amp;37</f>
        <v>3|37</v>
      </c>
      <c r="M400" s="5" t="n">
        <f aca="false">IF(L400=L399,M399,0)+K400</f>
        <v>0</v>
      </c>
      <c r="N400" s="5" t="n">
        <f aca="false">IF(AND(K400=1,M400=1),1,0)</f>
        <v>0</v>
      </c>
      <c r="O400" s="5" t="str">
        <f aca="false">IF(K400=1,MAX($O$5:O399)+1,"")</f>
        <v/>
      </c>
      <c r="P400" s="5" t="str">
        <f aca="false">IF(K400=1,SUM($N$6:N400),"")</f>
        <v/>
      </c>
      <c r="Q400" s="5" t="str">
        <f aca="false">IF(K400=1,SUMIFS($H$6:$H$511,$L$6:$L$511,L400,$K$6:$K$511,1),"")</f>
        <v/>
      </c>
      <c r="R400" s="78" t="str">
        <f aca="false">IF(B400="","",IF(INDEX(報告入力!$X$7:$X$696,B400)="","",INDEX(報告入力!$X$7:$X$696,B400)))</f>
        <v/>
      </c>
      <c r="S400" s="5" t="str">
        <f aca="false">設定!$C$53</f>
        <v>介護：掛金</v>
      </c>
    </row>
    <row r="401" customFormat="false" ht="15" hidden="false" customHeight="false" outlineLevel="0" collapsed="false">
      <c r="A401" s="5" t="str">
        <f aca="false">設定!B97</f>
        <v>職員共済組合</v>
      </c>
      <c r="B401" s="5" t="n">
        <f aca="false">IFERROR(MATCH(ホーム!$C$4&amp;"|"&amp;A401,報告入力!$CG$7:$CG$696,0),"")</f>
        <v>359</v>
      </c>
      <c r="C401" s="5" t="str">
        <f aca="false">IF(B401="","",INDEX(報告入力!$C$7:$C$696,B401))</f>
        <v>未受領</v>
      </c>
      <c r="D401" s="5" t="str">
        <f aca="false">設定!$A$41</f>
        <v>介護経理</v>
      </c>
      <c r="E401" s="5" t="str">
        <f aca="false">設定!$B$41&amp;""</f>
        <v/>
      </c>
      <c r="F401" s="5" t="str">
        <f aca="false">設定!$D$54&amp;""</f>
        <v/>
      </c>
      <c r="G401" s="5" t="str">
        <f aca="false">設定!$E$54&amp;""</f>
        <v/>
      </c>
      <c r="H401" s="5" t="n">
        <f aca="false">IF(B401="",0,N(INDEX(報告入力!$BC$7:$BC$696,B401)))</f>
        <v>12245</v>
      </c>
      <c r="I401" s="5" t="str">
        <f aca="false">設定!$C$41&amp;""</f>
        <v/>
      </c>
      <c r="J401" s="5" t="str">
        <f aca="false">設定!$D$41&amp;""</f>
        <v/>
      </c>
      <c r="K401" s="5" t="n">
        <f aca="false">IF(AND(H401&lt;&gt;0,IF(設定!$B$6="入金確認済のみ",C401="入金確認済",OR(C401="入金確認済",C401="受領済"))),1,0)</f>
        <v>0</v>
      </c>
      <c r="L401" s="5" t="str">
        <f aca="false">3&amp;"|"&amp;37</f>
        <v>3|37</v>
      </c>
      <c r="M401" s="5" t="n">
        <f aca="false">IF(L401=L400,M400,0)+K401</f>
        <v>0</v>
      </c>
      <c r="N401" s="5" t="n">
        <f aca="false">IF(AND(K401=1,M401=1),1,0)</f>
        <v>0</v>
      </c>
      <c r="O401" s="5" t="str">
        <f aca="false">IF(K401=1,MAX($O$5:O400)+1,"")</f>
        <v/>
      </c>
      <c r="P401" s="5" t="str">
        <f aca="false">IF(K401=1,SUM($N$6:N401),"")</f>
        <v/>
      </c>
      <c r="Q401" s="5" t="str">
        <f aca="false">IF(K401=1,SUMIFS($H$6:$H$511,$L$6:$L$511,L401,$K$6:$K$511,1),"")</f>
        <v/>
      </c>
      <c r="R401" s="78" t="str">
        <f aca="false">IF(B401="","",IF(INDEX(報告入力!$X$7:$X$696,B401)="","",INDEX(報告入力!$X$7:$X$696,B401)))</f>
        <v/>
      </c>
      <c r="S401" s="5" t="str">
        <f aca="false">設定!$C$54</f>
        <v>介護：負担金</v>
      </c>
    </row>
    <row r="402" customFormat="false" ht="25.35" hidden="false" customHeight="false" outlineLevel="0" collapsed="false">
      <c r="A402" s="79" t="str">
        <f aca="false">設定!B98</f>
        <v>地方公共団体
情報システム機構</v>
      </c>
      <c r="B402" s="5" t="n">
        <f aca="false">IFERROR(MATCH(ホーム!$C$4&amp;"|"&amp;A402,報告入力!$CG$7:$CG$696,0),"")</f>
        <v>360</v>
      </c>
      <c r="C402" s="5" t="str">
        <f aca="false">IF(B402="","",INDEX(報告入力!$C$7:$C$696,B402))</f>
        <v>報告なし</v>
      </c>
      <c r="D402" s="5" t="str">
        <f aca="false">設定!$A$41</f>
        <v>介護経理</v>
      </c>
      <c r="E402" s="5" t="str">
        <f aca="false">設定!$B$41&amp;""</f>
        <v/>
      </c>
      <c r="F402" s="5" t="str">
        <f aca="false">設定!$D$53&amp;""</f>
        <v/>
      </c>
      <c r="G402" s="5" t="str">
        <f aca="false">設定!$E$53&amp;""</f>
        <v/>
      </c>
      <c r="H402" s="5" t="n">
        <f aca="false">IF(B402="",0,N(INDEX(報告入力!$BB$7:$BB$696,B402)))</f>
        <v>0</v>
      </c>
      <c r="I402" s="5" t="str">
        <f aca="false">設定!$C$41&amp;""</f>
        <v/>
      </c>
      <c r="J402" s="5" t="str">
        <f aca="false">設定!$D$41&amp;""</f>
        <v/>
      </c>
      <c r="K402" s="5" t="n">
        <f aca="false">IF(AND(H402&lt;&gt;0,IF(設定!$B$6="入金確認済のみ",C402="入金確認済",OR(C402="入金確認済",C402="受領済"))),1,0)</f>
        <v>0</v>
      </c>
      <c r="L402" s="5" t="str">
        <f aca="false">3&amp;"|"&amp;38</f>
        <v>3|38</v>
      </c>
      <c r="M402" s="5" t="n">
        <f aca="false">IF(L402=L401,M401,0)+K402</f>
        <v>0</v>
      </c>
      <c r="N402" s="5" t="n">
        <f aca="false">IF(AND(K402=1,M402=1),1,0)</f>
        <v>0</v>
      </c>
      <c r="O402" s="5" t="str">
        <f aca="false">IF(K402=1,MAX($O$5:O401)+1,"")</f>
        <v/>
      </c>
      <c r="P402" s="5" t="str">
        <f aca="false">IF(K402=1,SUM($N$6:N402),"")</f>
        <v/>
      </c>
      <c r="Q402" s="5" t="str">
        <f aca="false">IF(K402=1,SUMIFS($H$6:$H$511,$L$6:$L$511,L402,$K$6:$K$511,1),"")</f>
        <v/>
      </c>
      <c r="R402" s="78" t="str">
        <f aca="false">IF(B402="","",IF(INDEX(報告入力!$X$7:$X$696,B402)="","",INDEX(報告入力!$X$7:$X$696,B402)))</f>
        <v/>
      </c>
      <c r="S402" s="5" t="str">
        <f aca="false">設定!$C$53</f>
        <v>介護：掛金</v>
      </c>
    </row>
    <row r="403" customFormat="false" ht="25.35" hidden="false" customHeight="false" outlineLevel="0" collapsed="false">
      <c r="A403" s="79" t="str">
        <f aca="false">設定!B98</f>
        <v>地方公共団体
情報システム機構</v>
      </c>
      <c r="B403" s="5" t="n">
        <f aca="false">IFERROR(MATCH(ホーム!$C$4&amp;"|"&amp;A403,報告入力!$CG$7:$CG$696,0),"")</f>
        <v>360</v>
      </c>
      <c r="C403" s="5" t="str">
        <f aca="false">IF(B403="","",INDEX(報告入力!$C$7:$C$696,B403))</f>
        <v>報告なし</v>
      </c>
      <c r="D403" s="5" t="str">
        <f aca="false">設定!$A$41</f>
        <v>介護経理</v>
      </c>
      <c r="E403" s="5" t="str">
        <f aca="false">設定!$B$41&amp;""</f>
        <v/>
      </c>
      <c r="F403" s="5" t="str">
        <f aca="false">設定!$D$54&amp;""</f>
        <v/>
      </c>
      <c r="G403" s="5" t="str">
        <f aca="false">設定!$E$54&amp;""</f>
        <v/>
      </c>
      <c r="H403" s="5" t="n">
        <f aca="false">IF(B403="",0,N(INDEX(報告入力!$BC$7:$BC$696,B403)))</f>
        <v>0</v>
      </c>
      <c r="I403" s="5" t="str">
        <f aca="false">設定!$C$41&amp;""</f>
        <v/>
      </c>
      <c r="J403" s="5" t="str">
        <f aca="false">設定!$D$41&amp;""</f>
        <v/>
      </c>
      <c r="K403" s="5" t="n">
        <f aca="false">IF(AND(H403&lt;&gt;0,IF(設定!$B$6="入金確認済のみ",C403="入金確認済",OR(C403="入金確認済",C403="受領済"))),1,0)</f>
        <v>0</v>
      </c>
      <c r="L403" s="5" t="str">
        <f aca="false">3&amp;"|"&amp;38</f>
        <v>3|38</v>
      </c>
      <c r="M403" s="5" t="n">
        <f aca="false">IF(L403=L402,M402,0)+K403</f>
        <v>0</v>
      </c>
      <c r="N403" s="5" t="n">
        <f aca="false">IF(AND(K403=1,M403=1),1,0)</f>
        <v>0</v>
      </c>
      <c r="O403" s="5" t="str">
        <f aca="false">IF(K403=1,MAX($O$5:O402)+1,"")</f>
        <v/>
      </c>
      <c r="P403" s="5" t="str">
        <f aca="false">IF(K403=1,SUM($N$6:N403),"")</f>
        <v/>
      </c>
      <c r="Q403" s="5" t="str">
        <f aca="false">IF(K403=1,SUMIFS($H$6:$H$511,$L$6:$L$511,L403,$K$6:$K$511,1),"")</f>
        <v/>
      </c>
      <c r="R403" s="78" t="str">
        <f aca="false">IF(B403="","",IF(INDEX(報告入力!$X$7:$X$696,B403)="","",INDEX(報告入力!$X$7:$X$696,B403)))</f>
        <v/>
      </c>
      <c r="S403" s="5" t="str">
        <f aca="false">設定!$C$54</f>
        <v>介護：負担金</v>
      </c>
    </row>
    <row r="404" customFormat="false" ht="15" hidden="false" customHeight="false" outlineLevel="0" collapsed="false">
      <c r="A404" s="5" t="str">
        <f aca="false">設定!B99</f>
        <v>全国市長会</v>
      </c>
      <c r="B404" s="5" t="n">
        <f aca="false">IFERROR(MATCH(ホーム!$C$4&amp;"|"&amp;A404,報告入力!$CG$7:$CG$696,0),"")</f>
        <v>361</v>
      </c>
      <c r="C404" s="5" t="str">
        <f aca="false">IF(B404="","",INDEX(報告入力!$C$7:$C$696,B404))</f>
        <v>受領済</v>
      </c>
      <c r="D404" s="5" t="str">
        <f aca="false">設定!$A$41</f>
        <v>介護経理</v>
      </c>
      <c r="E404" s="5" t="str">
        <f aca="false">設定!$B$41&amp;""</f>
        <v/>
      </c>
      <c r="F404" s="5" t="str">
        <f aca="false">設定!$D$53&amp;""</f>
        <v/>
      </c>
      <c r="G404" s="5" t="str">
        <f aca="false">設定!$E$53&amp;""</f>
        <v/>
      </c>
      <c r="H404" s="5" t="n">
        <f aca="false">IF(B404="",0,N(INDEX(報告入力!$BB$7:$BB$696,B404)))</f>
        <v>13193</v>
      </c>
      <c r="I404" s="5" t="str">
        <f aca="false">設定!$C$41&amp;""</f>
        <v/>
      </c>
      <c r="J404" s="5" t="str">
        <f aca="false">設定!$D$41&amp;""</f>
        <v/>
      </c>
      <c r="K404" s="5" t="n">
        <f aca="false">IF(AND(H404&lt;&gt;0,IF(設定!$B$6="入金確認済のみ",C404="入金確認済",OR(C404="入金確認済",C404="受領済"))),1,0)</f>
        <v>0</v>
      </c>
      <c r="L404" s="5" t="str">
        <f aca="false">3&amp;"|"&amp;39</f>
        <v>3|39</v>
      </c>
      <c r="M404" s="5" t="n">
        <f aca="false">IF(L404=L403,M403,0)+K404</f>
        <v>0</v>
      </c>
      <c r="N404" s="5" t="n">
        <f aca="false">IF(AND(K404=1,M404=1),1,0)</f>
        <v>0</v>
      </c>
      <c r="O404" s="5" t="str">
        <f aca="false">IF(K404=1,MAX($O$5:O403)+1,"")</f>
        <v/>
      </c>
      <c r="P404" s="5" t="str">
        <f aca="false">IF(K404=1,SUM($N$6:N404),"")</f>
        <v/>
      </c>
      <c r="Q404" s="5" t="str">
        <f aca="false">IF(K404=1,SUMIFS($H$6:$H$511,$L$6:$L$511,L404,$K$6:$K$511,1),"")</f>
        <v/>
      </c>
      <c r="R404" s="78" t="str">
        <f aca="false">IF(B404="","",IF(INDEX(報告入力!$X$7:$X$696,B404)="","",INDEX(報告入力!$X$7:$X$696,B404)))</f>
        <v/>
      </c>
      <c r="S404" s="5" t="str">
        <f aca="false">設定!$C$53</f>
        <v>介護：掛金</v>
      </c>
    </row>
    <row r="405" customFormat="false" ht="15" hidden="false" customHeight="false" outlineLevel="0" collapsed="false">
      <c r="A405" s="5" t="str">
        <f aca="false">設定!B99</f>
        <v>全国市長会</v>
      </c>
      <c r="B405" s="5" t="n">
        <f aca="false">IFERROR(MATCH(ホーム!$C$4&amp;"|"&amp;A405,報告入力!$CG$7:$CG$696,0),"")</f>
        <v>361</v>
      </c>
      <c r="C405" s="5" t="str">
        <f aca="false">IF(B405="","",INDEX(報告入力!$C$7:$C$696,B405))</f>
        <v>受領済</v>
      </c>
      <c r="D405" s="5" t="str">
        <f aca="false">設定!$A$41</f>
        <v>介護経理</v>
      </c>
      <c r="E405" s="5" t="str">
        <f aca="false">設定!$B$41&amp;""</f>
        <v/>
      </c>
      <c r="F405" s="5" t="str">
        <f aca="false">設定!$D$54&amp;""</f>
        <v/>
      </c>
      <c r="G405" s="5" t="str">
        <f aca="false">設定!$E$54&amp;""</f>
        <v/>
      </c>
      <c r="H405" s="5" t="n">
        <f aca="false">IF(B405="",0,N(INDEX(報告入力!$BC$7:$BC$696,B405)))</f>
        <v>13193</v>
      </c>
      <c r="I405" s="5" t="str">
        <f aca="false">設定!$C$41&amp;""</f>
        <v/>
      </c>
      <c r="J405" s="5" t="str">
        <f aca="false">設定!$D$41&amp;""</f>
        <v/>
      </c>
      <c r="K405" s="5" t="n">
        <f aca="false">IF(AND(H405&lt;&gt;0,IF(設定!$B$6="入金確認済のみ",C405="入金確認済",OR(C405="入金確認済",C405="受領済"))),1,0)</f>
        <v>0</v>
      </c>
      <c r="L405" s="5" t="str">
        <f aca="false">3&amp;"|"&amp;39</f>
        <v>3|39</v>
      </c>
      <c r="M405" s="5" t="n">
        <f aca="false">IF(L405=L404,M404,0)+K405</f>
        <v>0</v>
      </c>
      <c r="N405" s="5" t="n">
        <f aca="false">IF(AND(K405=1,M405=1),1,0)</f>
        <v>0</v>
      </c>
      <c r="O405" s="5" t="str">
        <f aca="false">IF(K405=1,MAX($O$5:O404)+1,"")</f>
        <v/>
      </c>
      <c r="P405" s="5" t="str">
        <f aca="false">IF(K405=1,SUM($N$6:N405),"")</f>
        <v/>
      </c>
      <c r="Q405" s="5" t="str">
        <f aca="false">IF(K405=1,SUMIFS($H$6:$H$511,$L$6:$L$511,L405,$K$6:$K$511,1),"")</f>
        <v/>
      </c>
      <c r="R405" s="78" t="str">
        <f aca="false">IF(B405="","",IF(INDEX(報告入力!$X$7:$X$696,B405)="","",INDEX(報告入力!$X$7:$X$696,B405)))</f>
        <v/>
      </c>
      <c r="S405" s="5" t="str">
        <f aca="false">設定!$C$54</f>
        <v>介護：負担金</v>
      </c>
    </row>
    <row r="406" customFormat="false" ht="15" hidden="false" customHeight="false" outlineLevel="0" collapsed="false">
      <c r="A406" s="5" t="str">
        <f aca="false">設定!B100</f>
        <v>高速交通（株）</v>
      </c>
      <c r="B406" s="5" t="n">
        <f aca="false">IFERROR(MATCH(ホーム!$C$4&amp;"|"&amp;A406,報告入力!$CG$7:$CG$696,0),"")</f>
        <v>362</v>
      </c>
      <c r="C406" s="5" t="str">
        <f aca="false">IF(B406="","",INDEX(報告入力!$C$7:$C$696,B406))</f>
        <v>未受領</v>
      </c>
      <c r="D406" s="5" t="str">
        <f aca="false">設定!$A$41</f>
        <v>介護経理</v>
      </c>
      <c r="E406" s="5" t="str">
        <f aca="false">設定!$B$41&amp;""</f>
        <v/>
      </c>
      <c r="F406" s="5" t="str">
        <f aca="false">設定!$D$53&amp;""</f>
        <v/>
      </c>
      <c r="G406" s="5" t="str">
        <f aca="false">設定!$E$53&amp;""</f>
        <v/>
      </c>
      <c r="H406" s="5" t="n">
        <f aca="false">IF(B406="",0,N(INDEX(報告入力!$BB$7:$BB$696,B406)))</f>
        <v>0</v>
      </c>
      <c r="I406" s="5" t="str">
        <f aca="false">設定!$C$41&amp;""</f>
        <v/>
      </c>
      <c r="J406" s="5" t="str">
        <f aca="false">設定!$D$41&amp;""</f>
        <v/>
      </c>
      <c r="K406" s="5" t="n">
        <f aca="false">IF(AND(H406&lt;&gt;0,IF(設定!$B$6="入金確認済のみ",C406="入金確認済",OR(C406="入金確認済",C406="受領済"))),1,0)</f>
        <v>0</v>
      </c>
      <c r="L406" s="5" t="str">
        <f aca="false">3&amp;"|"&amp;40</f>
        <v>3|40</v>
      </c>
      <c r="M406" s="5" t="n">
        <f aca="false">IF(L406=L405,M405,0)+K406</f>
        <v>0</v>
      </c>
      <c r="N406" s="5" t="n">
        <f aca="false">IF(AND(K406=1,M406=1),1,0)</f>
        <v>0</v>
      </c>
      <c r="O406" s="5" t="str">
        <f aca="false">IF(K406=1,MAX($O$5:O405)+1,"")</f>
        <v/>
      </c>
      <c r="P406" s="5" t="str">
        <f aca="false">IF(K406=1,SUM($N$6:N406),"")</f>
        <v/>
      </c>
      <c r="Q406" s="5" t="str">
        <f aca="false">IF(K406=1,SUMIFS($H$6:$H$511,$L$6:$L$511,L406,$K$6:$K$511,1),"")</f>
        <v/>
      </c>
      <c r="R406" s="78" t="str">
        <f aca="false">IF(B406="","",IF(INDEX(報告入力!$X$7:$X$696,B406)="","",INDEX(報告入力!$X$7:$X$696,B406)))</f>
        <v/>
      </c>
      <c r="S406" s="5" t="str">
        <f aca="false">設定!$C$53</f>
        <v>介護：掛金</v>
      </c>
    </row>
    <row r="407" customFormat="false" ht="15" hidden="false" customHeight="false" outlineLevel="0" collapsed="false">
      <c r="A407" s="5" t="str">
        <f aca="false">設定!B100</f>
        <v>高速交通（株）</v>
      </c>
      <c r="B407" s="5" t="n">
        <f aca="false">IFERROR(MATCH(ホーム!$C$4&amp;"|"&amp;A407,報告入力!$CG$7:$CG$696,0),"")</f>
        <v>362</v>
      </c>
      <c r="C407" s="5" t="str">
        <f aca="false">IF(B407="","",INDEX(報告入力!$C$7:$C$696,B407))</f>
        <v>未受領</v>
      </c>
      <c r="D407" s="5" t="str">
        <f aca="false">設定!$A$41</f>
        <v>介護経理</v>
      </c>
      <c r="E407" s="5" t="str">
        <f aca="false">設定!$B$41&amp;""</f>
        <v/>
      </c>
      <c r="F407" s="5" t="str">
        <f aca="false">設定!$D$54&amp;""</f>
        <v/>
      </c>
      <c r="G407" s="5" t="str">
        <f aca="false">設定!$E$54&amp;""</f>
        <v/>
      </c>
      <c r="H407" s="5" t="n">
        <f aca="false">IF(B407="",0,N(INDEX(報告入力!$BC$7:$BC$696,B407)))</f>
        <v>0</v>
      </c>
      <c r="I407" s="5" t="str">
        <f aca="false">設定!$C$41&amp;""</f>
        <v/>
      </c>
      <c r="J407" s="5" t="str">
        <f aca="false">設定!$D$41&amp;""</f>
        <v/>
      </c>
      <c r="K407" s="5" t="n">
        <f aca="false">IF(AND(H407&lt;&gt;0,IF(設定!$B$6="入金確認済のみ",C407="入金確認済",OR(C407="入金確認済",C407="受領済"))),1,0)</f>
        <v>0</v>
      </c>
      <c r="L407" s="5" t="str">
        <f aca="false">3&amp;"|"&amp;40</f>
        <v>3|40</v>
      </c>
      <c r="M407" s="5" t="n">
        <f aca="false">IF(L407=L406,M406,0)+K407</f>
        <v>0</v>
      </c>
      <c r="N407" s="5" t="n">
        <f aca="false">IF(AND(K407=1,M407=1),1,0)</f>
        <v>0</v>
      </c>
      <c r="O407" s="5" t="str">
        <f aca="false">IF(K407=1,MAX($O$5:O406)+1,"")</f>
        <v/>
      </c>
      <c r="P407" s="5" t="str">
        <f aca="false">IF(K407=1,SUM($N$6:N407),"")</f>
        <v/>
      </c>
      <c r="Q407" s="5" t="str">
        <f aca="false">IF(K407=1,SUMIFS($H$6:$H$511,$L$6:$L$511,L407,$K$6:$K$511,1),"")</f>
        <v/>
      </c>
      <c r="R407" s="78" t="str">
        <f aca="false">IF(B407="","",IF(INDEX(報告入力!$X$7:$X$696,B407)="","",INDEX(報告入力!$X$7:$X$696,B407)))</f>
        <v/>
      </c>
      <c r="S407" s="5" t="str">
        <f aca="false">設定!$C$54</f>
        <v>介護：負担金</v>
      </c>
    </row>
    <row r="408" customFormat="false" ht="15" hidden="false" customHeight="false" outlineLevel="0" collapsed="false">
      <c r="A408" s="5" t="str">
        <f aca="false">設定!B101</f>
        <v>広島駅南口開発（株）</v>
      </c>
      <c r="B408" s="5" t="n">
        <f aca="false">IFERROR(MATCH(ホーム!$C$4&amp;"|"&amp;A408,報告入力!$CG$7:$CG$696,0),"")</f>
        <v>363</v>
      </c>
      <c r="C408" s="5" t="str">
        <f aca="false">IF(B408="","",INDEX(報告入力!$C$7:$C$696,B408))</f>
        <v>受領済</v>
      </c>
      <c r="D408" s="5" t="str">
        <f aca="false">設定!$A$41</f>
        <v>介護経理</v>
      </c>
      <c r="E408" s="5" t="str">
        <f aca="false">設定!$B$41&amp;""</f>
        <v/>
      </c>
      <c r="F408" s="5" t="str">
        <f aca="false">設定!$D$53&amp;""</f>
        <v/>
      </c>
      <c r="G408" s="5" t="str">
        <f aca="false">設定!$E$53&amp;""</f>
        <v/>
      </c>
      <c r="H408" s="5" t="n">
        <f aca="false">IF(B408="",0,N(INDEX(報告入力!$BB$7:$BB$696,B408)))</f>
        <v>0</v>
      </c>
      <c r="I408" s="5" t="str">
        <f aca="false">設定!$C$41&amp;""</f>
        <v/>
      </c>
      <c r="J408" s="5" t="str">
        <f aca="false">設定!$D$41&amp;""</f>
        <v/>
      </c>
      <c r="K408" s="5" t="n">
        <f aca="false">IF(AND(H408&lt;&gt;0,IF(設定!$B$6="入金確認済のみ",C408="入金確認済",OR(C408="入金確認済",C408="受領済"))),1,0)</f>
        <v>0</v>
      </c>
      <c r="L408" s="5" t="str">
        <f aca="false">3&amp;"|"&amp;41</f>
        <v>3|41</v>
      </c>
      <c r="M408" s="5" t="n">
        <f aca="false">IF(L408=L407,M407,0)+K408</f>
        <v>0</v>
      </c>
      <c r="N408" s="5" t="n">
        <f aca="false">IF(AND(K408=1,M408=1),1,0)</f>
        <v>0</v>
      </c>
      <c r="O408" s="5" t="str">
        <f aca="false">IF(K408=1,MAX($O$5:O407)+1,"")</f>
        <v/>
      </c>
      <c r="P408" s="5" t="str">
        <f aca="false">IF(K408=1,SUM($N$6:N408),"")</f>
        <v/>
      </c>
      <c r="Q408" s="5" t="str">
        <f aca="false">IF(K408=1,SUMIFS($H$6:$H$511,$L$6:$L$511,L408,$K$6:$K$511,1),"")</f>
        <v/>
      </c>
      <c r="R408" s="78" t="str">
        <f aca="false">IF(B408="","",IF(INDEX(報告入力!$X$7:$X$696,B408)="","",INDEX(報告入力!$X$7:$X$696,B408)))</f>
        <v/>
      </c>
      <c r="S408" s="5" t="str">
        <f aca="false">設定!$C$53</f>
        <v>介護：掛金</v>
      </c>
    </row>
    <row r="409" customFormat="false" ht="15" hidden="false" customHeight="false" outlineLevel="0" collapsed="false">
      <c r="A409" s="5" t="str">
        <f aca="false">設定!B101</f>
        <v>広島駅南口開発（株）</v>
      </c>
      <c r="B409" s="5" t="n">
        <f aca="false">IFERROR(MATCH(ホーム!$C$4&amp;"|"&amp;A409,報告入力!$CG$7:$CG$696,0),"")</f>
        <v>363</v>
      </c>
      <c r="C409" s="5" t="str">
        <f aca="false">IF(B409="","",INDEX(報告入力!$C$7:$C$696,B409))</f>
        <v>受領済</v>
      </c>
      <c r="D409" s="5" t="str">
        <f aca="false">設定!$A$41</f>
        <v>介護経理</v>
      </c>
      <c r="E409" s="5" t="str">
        <f aca="false">設定!$B$41&amp;""</f>
        <v/>
      </c>
      <c r="F409" s="5" t="str">
        <f aca="false">設定!$D$54&amp;""</f>
        <v/>
      </c>
      <c r="G409" s="5" t="str">
        <f aca="false">設定!$E$54&amp;""</f>
        <v/>
      </c>
      <c r="H409" s="5" t="n">
        <f aca="false">IF(B409="",0,N(INDEX(報告入力!$BC$7:$BC$696,B409)))</f>
        <v>0</v>
      </c>
      <c r="I409" s="5" t="str">
        <f aca="false">設定!$C$41&amp;""</f>
        <v/>
      </c>
      <c r="J409" s="5" t="str">
        <f aca="false">設定!$D$41&amp;""</f>
        <v/>
      </c>
      <c r="K409" s="5" t="n">
        <f aca="false">IF(AND(H409&lt;&gt;0,IF(設定!$B$6="入金確認済のみ",C409="入金確認済",OR(C409="入金確認済",C409="受領済"))),1,0)</f>
        <v>0</v>
      </c>
      <c r="L409" s="5" t="str">
        <f aca="false">3&amp;"|"&amp;41</f>
        <v>3|41</v>
      </c>
      <c r="M409" s="5" t="n">
        <f aca="false">IF(L409=L408,M408,0)+K409</f>
        <v>0</v>
      </c>
      <c r="N409" s="5" t="n">
        <f aca="false">IF(AND(K409=1,M409=1),1,0)</f>
        <v>0</v>
      </c>
      <c r="O409" s="5" t="str">
        <f aca="false">IF(K409=1,MAX($O$5:O408)+1,"")</f>
        <v/>
      </c>
      <c r="P409" s="5" t="str">
        <f aca="false">IF(K409=1,SUM($N$6:N409),"")</f>
        <v/>
      </c>
      <c r="Q409" s="5" t="str">
        <f aca="false">IF(K409=1,SUMIFS($H$6:$H$511,$L$6:$L$511,L409,$K$6:$K$511,1),"")</f>
        <v/>
      </c>
      <c r="R409" s="78" t="str">
        <f aca="false">IF(B409="","",IF(INDEX(報告入力!$X$7:$X$696,B409)="","",INDEX(報告入力!$X$7:$X$696,B409)))</f>
        <v/>
      </c>
      <c r="S409" s="5" t="str">
        <f aca="false">設定!$C$54</f>
        <v>介護：負担金</v>
      </c>
    </row>
    <row r="410" customFormat="false" ht="15" hidden="false" customHeight="false" outlineLevel="0" collapsed="false">
      <c r="A410" s="5" t="str">
        <f aca="false">設定!B102</f>
        <v>市職員労働組合</v>
      </c>
      <c r="B410" s="5" t="n">
        <f aca="false">IFERROR(MATCH(ホーム!$C$4&amp;"|"&amp;A410,報告入力!$CG$7:$CG$696,0),"")</f>
        <v>364</v>
      </c>
      <c r="C410" s="5" t="str">
        <f aca="false">IF(B410="","",INDEX(報告入力!$C$7:$C$696,B410))</f>
        <v>未受領</v>
      </c>
      <c r="D410" s="5" t="str">
        <f aca="false">設定!$A$41</f>
        <v>介護経理</v>
      </c>
      <c r="E410" s="5" t="str">
        <f aca="false">設定!$B$41&amp;""</f>
        <v/>
      </c>
      <c r="F410" s="5" t="str">
        <f aca="false">設定!$D$53&amp;""</f>
        <v/>
      </c>
      <c r="G410" s="5" t="str">
        <f aca="false">設定!$E$53&amp;""</f>
        <v/>
      </c>
      <c r="H410" s="5" t="n">
        <f aca="false">IF(B410="",0,N(INDEX(報告入力!$BB$7:$BB$696,B410)))</f>
        <v>2528</v>
      </c>
      <c r="I410" s="5" t="str">
        <f aca="false">設定!$C$41&amp;""</f>
        <v/>
      </c>
      <c r="J410" s="5" t="str">
        <f aca="false">設定!$D$41&amp;""</f>
        <v/>
      </c>
      <c r="K410" s="5" t="n">
        <f aca="false">IF(AND(H410&lt;&gt;0,IF(設定!$B$6="入金確認済のみ",C410="入金確認済",OR(C410="入金確認済",C410="受領済"))),1,0)</f>
        <v>0</v>
      </c>
      <c r="L410" s="5" t="str">
        <f aca="false">3&amp;"|"&amp;42</f>
        <v>3|42</v>
      </c>
      <c r="M410" s="5" t="n">
        <f aca="false">IF(L410=L409,M409,0)+K410</f>
        <v>0</v>
      </c>
      <c r="N410" s="5" t="n">
        <f aca="false">IF(AND(K410=1,M410=1),1,0)</f>
        <v>0</v>
      </c>
      <c r="O410" s="5" t="str">
        <f aca="false">IF(K410=1,MAX($O$5:O409)+1,"")</f>
        <v/>
      </c>
      <c r="P410" s="5" t="str">
        <f aca="false">IF(K410=1,SUM($N$6:N410),"")</f>
        <v/>
      </c>
      <c r="Q410" s="5" t="str">
        <f aca="false">IF(K410=1,SUMIFS($H$6:$H$511,$L$6:$L$511,L410,$K$6:$K$511,1),"")</f>
        <v/>
      </c>
      <c r="R410" s="78" t="str">
        <f aca="false">IF(B410="","",IF(INDEX(報告入力!$X$7:$X$696,B410)="","",INDEX(報告入力!$X$7:$X$696,B410)))</f>
        <v/>
      </c>
      <c r="S410" s="5" t="str">
        <f aca="false">設定!$C$53</f>
        <v>介護：掛金</v>
      </c>
    </row>
    <row r="411" customFormat="false" ht="15" hidden="false" customHeight="false" outlineLevel="0" collapsed="false">
      <c r="A411" s="5" t="str">
        <f aca="false">設定!B102</f>
        <v>市職員労働組合</v>
      </c>
      <c r="B411" s="5" t="n">
        <f aca="false">IFERROR(MATCH(ホーム!$C$4&amp;"|"&amp;A411,報告入力!$CG$7:$CG$696,0),"")</f>
        <v>364</v>
      </c>
      <c r="C411" s="5" t="str">
        <f aca="false">IF(B411="","",INDEX(報告入力!$C$7:$C$696,B411))</f>
        <v>未受領</v>
      </c>
      <c r="D411" s="5" t="str">
        <f aca="false">設定!$A$41</f>
        <v>介護経理</v>
      </c>
      <c r="E411" s="5" t="str">
        <f aca="false">設定!$B$41&amp;""</f>
        <v/>
      </c>
      <c r="F411" s="5" t="str">
        <f aca="false">設定!$D$54&amp;""</f>
        <v/>
      </c>
      <c r="G411" s="5" t="str">
        <f aca="false">設定!$E$54&amp;""</f>
        <v/>
      </c>
      <c r="H411" s="5" t="n">
        <f aca="false">IF(B411="",0,N(INDEX(報告入力!$BC$7:$BC$696,B411)))</f>
        <v>2528</v>
      </c>
      <c r="I411" s="5" t="str">
        <f aca="false">設定!$C$41&amp;""</f>
        <v/>
      </c>
      <c r="J411" s="5" t="str">
        <f aca="false">設定!$D$41&amp;""</f>
        <v/>
      </c>
      <c r="K411" s="5" t="n">
        <f aca="false">IF(AND(H411&lt;&gt;0,IF(設定!$B$6="入金確認済のみ",C411="入金確認済",OR(C411="入金確認済",C411="受領済"))),1,0)</f>
        <v>0</v>
      </c>
      <c r="L411" s="5" t="str">
        <f aca="false">3&amp;"|"&amp;42</f>
        <v>3|42</v>
      </c>
      <c r="M411" s="5" t="n">
        <f aca="false">IF(L411=L410,M410,0)+K411</f>
        <v>0</v>
      </c>
      <c r="N411" s="5" t="n">
        <f aca="false">IF(AND(K411=1,M411=1),1,0)</f>
        <v>0</v>
      </c>
      <c r="O411" s="5" t="str">
        <f aca="false">IF(K411=1,MAX($O$5:O410)+1,"")</f>
        <v/>
      </c>
      <c r="P411" s="5" t="str">
        <f aca="false">IF(K411=1,SUM($N$6:N411),"")</f>
        <v/>
      </c>
      <c r="Q411" s="5" t="str">
        <f aca="false">IF(K411=1,SUMIFS($H$6:$H$511,$L$6:$L$511,L411,$K$6:$K$511,1),"")</f>
        <v/>
      </c>
      <c r="R411" s="78" t="str">
        <f aca="false">IF(B411="","",IF(INDEX(報告入力!$X$7:$X$696,B411)="","",INDEX(報告入力!$X$7:$X$696,B411)))</f>
        <v/>
      </c>
      <c r="S411" s="5" t="str">
        <f aca="false">設定!$C$54</f>
        <v>介護：負担金</v>
      </c>
    </row>
    <row r="412" customFormat="false" ht="15" hidden="false" customHeight="false" outlineLevel="0" collapsed="false">
      <c r="A412" s="5" t="str">
        <f aca="false">設定!B103</f>
        <v>自治労労働組合</v>
      </c>
      <c r="B412" s="5" t="n">
        <f aca="false">IFERROR(MATCH(ホーム!$C$4&amp;"|"&amp;A412,報告入力!$CG$7:$CG$696,0),"")</f>
        <v>365</v>
      </c>
      <c r="C412" s="5" t="str">
        <f aca="false">IF(B412="","",INDEX(報告入力!$C$7:$C$696,B412))</f>
        <v>未受領</v>
      </c>
      <c r="D412" s="5" t="str">
        <f aca="false">設定!$A$41</f>
        <v>介護経理</v>
      </c>
      <c r="E412" s="5" t="str">
        <f aca="false">設定!$B$41&amp;""</f>
        <v/>
      </c>
      <c r="F412" s="5" t="str">
        <f aca="false">設定!$D$53&amp;""</f>
        <v/>
      </c>
      <c r="G412" s="5" t="str">
        <f aca="false">設定!$E$53&amp;""</f>
        <v/>
      </c>
      <c r="H412" s="5" t="n">
        <f aca="false">IF(B412="",0,N(INDEX(報告入力!$BB$7:$BB$696,B412)))</f>
        <v>0</v>
      </c>
      <c r="I412" s="5" t="str">
        <f aca="false">設定!$C$41&amp;""</f>
        <v/>
      </c>
      <c r="J412" s="5" t="str">
        <f aca="false">設定!$D$41&amp;""</f>
        <v/>
      </c>
      <c r="K412" s="5" t="n">
        <f aca="false">IF(AND(H412&lt;&gt;0,IF(設定!$B$6="入金確認済のみ",C412="入金確認済",OR(C412="入金確認済",C412="受領済"))),1,0)</f>
        <v>0</v>
      </c>
      <c r="L412" s="5" t="str">
        <f aca="false">3&amp;"|"&amp;43</f>
        <v>3|43</v>
      </c>
      <c r="M412" s="5" t="n">
        <f aca="false">IF(L412=L411,M411,0)+K412</f>
        <v>0</v>
      </c>
      <c r="N412" s="5" t="n">
        <f aca="false">IF(AND(K412=1,M412=1),1,0)</f>
        <v>0</v>
      </c>
      <c r="O412" s="5" t="str">
        <f aca="false">IF(K412=1,MAX($O$5:O411)+1,"")</f>
        <v/>
      </c>
      <c r="P412" s="5" t="str">
        <f aca="false">IF(K412=1,SUM($N$6:N412),"")</f>
        <v/>
      </c>
      <c r="Q412" s="5" t="str">
        <f aca="false">IF(K412=1,SUMIFS($H$6:$H$511,$L$6:$L$511,L412,$K$6:$K$511,1),"")</f>
        <v/>
      </c>
      <c r="R412" s="78" t="str">
        <f aca="false">IF(B412="","",IF(INDEX(報告入力!$X$7:$X$696,B412)="","",INDEX(報告入力!$X$7:$X$696,B412)))</f>
        <v/>
      </c>
      <c r="S412" s="5" t="str">
        <f aca="false">設定!$C$53</f>
        <v>介護：掛金</v>
      </c>
    </row>
    <row r="413" customFormat="false" ht="15" hidden="false" customHeight="false" outlineLevel="0" collapsed="false">
      <c r="A413" s="5" t="str">
        <f aca="false">設定!B103</f>
        <v>自治労労働組合</v>
      </c>
      <c r="B413" s="5" t="n">
        <f aca="false">IFERROR(MATCH(ホーム!$C$4&amp;"|"&amp;A413,報告入力!$CG$7:$CG$696,0),"")</f>
        <v>365</v>
      </c>
      <c r="C413" s="5" t="str">
        <f aca="false">IF(B413="","",INDEX(報告入力!$C$7:$C$696,B413))</f>
        <v>未受領</v>
      </c>
      <c r="D413" s="5" t="str">
        <f aca="false">設定!$A$41</f>
        <v>介護経理</v>
      </c>
      <c r="E413" s="5" t="str">
        <f aca="false">設定!$B$41&amp;""</f>
        <v/>
      </c>
      <c r="F413" s="5" t="str">
        <f aca="false">設定!$D$54&amp;""</f>
        <v/>
      </c>
      <c r="G413" s="5" t="str">
        <f aca="false">設定!$E$54&amp;""</f>
        <v/>
      </c>
      <c r="H413" s="5" t="n">
        <f aca="false">IF(B413="",0,N(INDEX(報告入力!$BC$7:$BC$696,B413)))</f>
        <v>0</v>
      </c>
      <c r="I413" s="5" t="str">
        <f aca="false">設定!$C$41&amp;""</f>
        <v/>
      </c>
      <c r="J413" s="5" t="str">
        <f aca="false">設定!$D$41&amp;""</f>
        <v/>
      </c>
      <c r="K413" s="5" t="n">
        <f aca="false">IF(AND(H413&lt;&gt;0,IF(設定!$B$6="入金確認済のみ",C413="入金確認済",OR(C413="入金確認済",C413="受領済"))),1,0)</f>
        <v>0</v>
      </c>
      <c r="L413" s="5" t="str">
        <f aca="false">3&amp;"|"&amp;43</f>
        <v>3|43</v>
      </c>
      <c r="M413" s="5" t="n">
        <f aca="false">IF(L413=L412,M412,0)+K413</f>
        <v>0</v>
      </c>
      <c r="N413" s="5" t="n">
        <f aca="false">IF(AND(K413=1,M413=1),1,0)</f>
        <v>0</v>
      </c>
      <c r="O413" s="5" t="str">
        <f aca="false">IF(K413=1,MAX($O$5:O412)+1,"")</f>
        <v/>
      </c>
      <c r="P413" s="5" t="str">
        <f aca="false">IF(K413=1,SUM($N$6:N413),"")</f>
        <v/>
      </c>
      <c r="Q413" s="5" t="str">
        <f aca="false">IF(K413=1,SUMIFS($H$6:$H$511,$L$6:$L$511,L413,$K$6:$K$511,1),"")</f>
        <v/>
      </c>
      <c r="R413" s="78" t="str">
        <f aca="false">IF(B413="","",IF(INDEX(報告入力!$X$7:$X$696,B413)="","",INDEX(報告入力!$X$7:$X$696,B413)))</f>
        <v/>
      </c>
      <c r="S413" s="5" t="str">
        <f aca="false">設定!$C$54</f>
        <v>介護：負担金</v>
      </c>
    </row>
    <row r="414" customFormat="false" ht="15" hidden="false" customHeight="false" outlineLevel="0" collapsed="false">
      <c r="A414" s="5" t="str">
        <f aca="false">設定!B104</f>
        <v>病院労働組合</v>
      </c>
      <c r="B414" s="5" t="n">
        <f aca="false">IFERROR(MATCH(ホーム!$C$4&amp;"|"&amp;A414,報告入力!$CG$7:$CG$696,0),"")</f>
        <v>366</v>
      </c>
      <c r="C414" s="5" t="str">
        <f aca="false">IF(B414="","",INDEX(報告入力!$C$7:$C$696,B414))</f>
        <v>受領済</v>
      </c>
      <c r="D414" s="5" t="str">
        <f aca="false">設定!$A$41</f>
        <v>介護経理</v>
      </c>
      <c r="E414" s="5" t="str">
        <f aca="false">設定!$B$41&amp;""</f>
        <v/>
      </c>
      <c r="F414" s="5" t="str">
        <f aca="false">設定!$D$53&amp;""</f>
        <v/>
      </c>
      <c r="G414" s="5" t="str">
        <f aca="false">設定!$E$53&amp;""</f>
        <v/>
      </c>
      <c r="H414" s="5" t="n">
        <f aca="false">IF(B414="",0,N(INDEX(報告入力!$BB$7:$BB$696,B414)))</f>
        <v>2370</v>
      </c>
      <c r="I414" s="5" t="str">
        <f aca="false">設定!$C$41&amp;""</f>
        <v/>
      </c>
      <c r="J414" s="5" t="str">
        <f aca="false">設定!$D$41&amp;""</f>
        <v/>
      </c>
      <c r="K414" s="5" t="n">
        <f aca="false">IF(AND(H414&lt;&gt;0,IF(設定!$B$6="入金確認済のみ",C414="入金確認済",OR(C414="入金確認済",C414="受領済"))),1,0)</f>
        <v>0</v>
      </c>
      <c r="L414" s="5" t="str">
        <f aca="false">3&amp;"|"&amp;44</f>
        <v>3|44</v>
      </c>
      <c r="M414" s="5" t="n">
        <f aca="false">IF(L414=L413,M413,0)+K414</f>
        <v>0</v>
      </c>
      <c r="N414" s="5" t="n">
        <f aca="false">IF(AND(K414=1,M414=1),1,0)</f>
        <v>0</v>
      </c>
      <c r="O414" s="5" t="str">
        <f aca="false">IF(K414=1,MAX($O$5:O413)+1,"")</f>
        <v/>
      </c>
      <c r="P414" s="5" t="str">
        <f aca="false">IF(K414=1,SUM($N$6:N414),"")</f>
        <v/>
      </c>
      <c r="Q414" s="5" t="str">
        <f aca="false">IF(K414=1,SUMIFS($H$6:$H$511,$L$6:$L$511,L414,$K$6:$K$511,1),"")</f>
        <v/>
      </c>
      <c r="R414" s="78" t="str">
        <f aca="false">IF(B414="","",IF(INDEX(報告入力!$X$7:$X$696,B414)="","",INDEX(報告入力!$X$7:$X$696,B414)))</f>
        <v/>
      </c>
      <c r="S414" s="5" t="str">
        <f aca="false">設定!$C$53</f>
        <v>介護：掛金</v>
      </c>
    </row>
    <row r="415" customFormat="false" ht="15" hidden="false" customHeight="false" outlineLevel="0" collapsed="false">
      <c r="A415" s="5" t="str">
        <f aca="false">設定!B104</f>
        <v>病院労働組合</v>
      </c>
      <c r="B415" s="5" t="n">
        <f aca="false">IFERROR(MATCH(ホーム!$C$4&amp;"|"&amp;A415,報告入力!$CG$7:$CG$696,0),"")</f>
        <v>366</v>
      </c>
      <c r="C415" s="5" t="str">
        <f aca="false">IF(B415="","",INDEX(報告入力!$C$7:$C$696,B415))</f>
        <v>受領済</v>
      </c>
      <c r="D415" s="5" t="str">
        <f aca="false">設定!$A$41</f>
        <v>介護経理</v>
      </c>
      <c r="E415" s="5" t="str">
        <f aca="false">設定!$B$41&amp;""</f>
        <v/>
      </c>
      <c r="F415" s="5" t="str">
        <f aca="false">設定!$D$54&amp;""</f>
        <v/>
      </c>
      <c r="G415" s="5" t="str">
        <f aca="false">設定!$E$54&amp;""</f>
        <v/>
      </c>
      <c r="H415" s="5" t="n">
        <f aca="false">IF(B415="",0,N(INDEX(報告入力!$BC$7:$BC$696,B415)))</f>
        <v>2370</v>
      </c>
      <c r="I415" s="5" t="str">
        <f aca="false">設定!$C$41&amp;""</f>
        <v/>
      </c>
      <c r="J415" s="5" t="str">
        <f aca="false">設定!$D$41&amp;""</f>
        <v/>
      </c>
      <c r="K415" s="5" t="n">
        <f aca="false">IF(AND(H415&lt;&gt;0,IF(設定!$B$6="入金確認済のみ",C415="入金確認済",OR(C415="入金確認済",C415="受領済"))),1,0)</f>
        <v>0</v>
      </c>
      <c r="L415" s="5" t="str">
        <f aca="false">3&amp;"|"&amp;44</f>
        <v>3|44</v>
      </c>
      <c r="M415" s="5" t="n">
        <f aca="false">IF(L415=L414,M414,0)+K415</f>
        <v>0</v>
      </c>
      <c r="N415" s="5" t="n">
        <f aca="false">IF(AND(K415=1,M415=1),1,0)</f>
        <v>0</v>
      </c>
      <c r="O415" s="5" t="str">
        <f aca="false">IF(K415=1,MAX($O$5:O414)+1,"")</f>
        <v/>
      </c>
      <c r="P415" s="5" t="str">
        <f aca="false">IF(K415=1,SUM($N$6:N415),"")</f>
        <v/>
      </c>
      <c r="Q415" s="5" t="str">
        <f aca="false">IF(K415=1,SUMIFS($H$6:$H$511,$L$6:$L$511,L415,$K$6:$K$511,1),"")</f>
        <v/>
      </c>
      <c r="R415" s="78" t="str">
        <f aca="false">IF(B415="","",IF(INDEX(報告入力!$X$7:$X$696,B415)="","",INDEX(報告入力!$X$7:$X$696,B415)))</f>
        <v/>
      </c>
      <c r="S415" s="5" t="str">
        <f aca="false">設定!$C$54</f>
        <v>介護：負担金</v>
      </c>
    </row>
    <row r="416" customFormat="false" ht="15" hidden="false" customHeight="false" outlineLevel="0" collapsed="false">
      <c r="A416" s="5" t="str">
        <f aca="false">設定!B105</f>
        <v>水道労働組合</v>
      </c>
      <c r="B416" s="5" t="n">
        <f aca="false">IFERROR(MATCH(ホーム!$C$4&amp;"|"&amp;A416,報告入力!$CG$7:$CG$696,0),"")</f>
        <v>367</v>
      </c>
      <c r="C416" s="5" t="str">
        <f aca="false">IF(B416="","",INDEX(報告入力!$C$7:$C$696,B416))</f>
        <v>報告なし</v>
      </c>
      <c r="D416" s="5" t="str">
        <f aca="false">設定!$A$41</f>
        <v>介護経理</v>
      </c>
      <c r="E416" s="5" t="str">
        <f aca="false">設定!$B$41&amp;""</f>
        <v/>
      </c>
      <c r="F416" s="5" t="str">
        <f aca="false">設定!$D$53&amp;""</f>
        <v/>
      </c>
      <c r="G416" s="5" t="str">
        <f aca="false">設定!$E$53&amp;""</f>
        <v/>
      </c>
      <c r="H416" s="5" t="n">
        <f aca="false">IF(B416="",0,N(INDEX(報告入力!$BB$7:$BB$696,B416)))</f>
        <v>0</v>
      </c>
      <c r="I416" s="5" t="str">
        <f aca="false">設定!$C$41&amp;""</f>
        <v/>
      </c>
      <c r="J416" s="5" t="str">
        <f aca="false">設定!$D$41&amp;""</f>
        <v/>
      </c>
      <c r="K416" s="5" t="n">
        <f aca="false">IF(AND(H416&lt;&gt;0,IF(設定!$B$6="入金確認済のみ",C416="入金確認済",OR(C416="入金確認済",C416="受領済"))),1,0)</f>
        <v>0</v>
      </c>
      <c r="L416" s="5" t="str">
        <f aca="false">3&amp;"|"&amp;45</f>
        <v>3|45</v>
      </c>
      <c r="M416" s="5" t="n">
        <f aca="false">IF(L416=L415,M415,0)+K416</f>
        <v>0</v>
      </c>
      <c r="N416" s="5" t="n">
        <f aca="false">IF(AND(K416=1,M416=1),1,0)</f>
        <v>0</v>
      </c>
      <c r="O416" s="5" t="str">
        <f aca="false">IF(K416=1,MAX($O$5:O415)+1,"")</f>
        <v/>
      </c>
      <c r="P416" s="5" t="str">
        <f aca="false">IF(K416=1,SUM($N$6:N416),"")</f>
        <v/>
      </c>
      <c r="Q416" s="5" t="str">
        <f aca="false">IF(K416=1,SUMIFS($H$6:$H$511,$L$6:$L$511,L416,$K$6:$K$511,1),"")</f>
        <v/>
      </c>
      <c r="R416" s="78" t="str">
        <f aca="false">IF(B416="","",IF(INDEX(報告入力!$X$7:$X$696,B416)="","",INDEX(報告入力!$X$7:$X$696,B416)))</f>
        <v/>
      </c>
      <c r="S416" s="5" t="str">
        <f aca="false">設定!$C$53</f>
        <v>介護：掛金</v>
      </c>
    </row>
    <row r="417" customFormat="false" ht="15" hidden="false" customHeight="false" outlineLevel="0" collapsed="false">
      <c r="A417" s="5" t="str">
        <f aca="false">設定!B105</f>
        <v>水道労働組合</v>
      </c>
      <c r="B417" s="5" t="n">
        <f aca="false">IFERROR(MATCH(ホーム!$C$4&amp;"|"&amp;A417,報告入力!$CG$7:$CG$696,0),"")</f>
        <v>367</v>
      </c>
      <c r="C417" s="5" t="str">
        <f aca="false">IF(B417="","",INDEX(報告入力!$C$7:$C$696,B417))</f>
        <v>報告なし</v>
      </c>
      <c r="D417" s="5" t="str">
        <f aca="false">設定!$A$41</f>
        <v>介護経理</v>
      </c>
      <c r="E417" s="5" t="str">
        <f aca="false">設定!$B$41&amp;""</f>
        <v/>
      </c>
      <c r="F417" s="5" t="str">
        <f aca="false">設定!$D$54&amp;""</f>
        <v/>
      </c>
      <c r="G417" s="5" t="str">
        <f aca="false">設定!$E$54&amp;""</f>
        <v/>
      </c>
      <c r="H417" s="5" t="n">
        <f aca="false">IF(B417="",0,N(INDEX(報告入力!$BC$7:$BC$696,B417)))</f>
        <v>0</v>
      </c>
      <c r="I417" s="5" t="str">
        <f aca="false">設定!$C$41&amp;""</f>
        <v/>
      </c>
      <c r="J417" s="5" t="str">
        <f aca="false">設定!$D$41&amp;""</f>
        <v/>
      </c>
      <c r="K417" s="5" t="n">
        <f aca="false">IF(AND(H417&lt;&gt;0,IF(設定!$B$6="入金確認済のみ",C417="入金確認済",OR(C417="入金確認済",C417="受領済"))),1,0)</f>
        <v>0</v>
      </c>
      <c r="L417" s="5" t="str">
        <f aca="false">3&amp;"|"&amp;45</f>
        <v>3|45</v>
      </c>
      <c r="M417" s="5" t="n">
        <f aca="false">IF(L417=L416,M416,0)+K417</f>
        <v>0</v>
      </c>
      <c r="N417" s="5" t="n">
        <f aca="false">IF(AND(K417=1,M417=1),1,0)</f>
        <v>0</v>
      </c>
      <c r="O417" s="5" t="str">
        <f aca="false">IF(K417=1,MAX($O$5:O416)+1,"")</f>
        <v/>
      </c>
      <c r="P417" s="5" t="str">
        <f aca="false">IF(K417=1,SUM($N$6:N417),"")</f>
        <v/>
      </c>
      <c r="Q417" s="5" t="str">
        <f aca="false">IF(K417=1,SUMIFS($H$6:$H$511,$L$6:$L$511,L417,$K$6:$K$511,1),"")</f>
        <v/>
      </c>
      <c r="R417" s="78" t="str">
        <f aca="false">IF(B417="","",IF(INDEX(報告入力!$X$7:$X$696,B417)="","",INDEX(報告入力!$X$7:$X$696,B417)))</f>
        <v/>
      </c>
      <c r="S417" s="5" t="str">
        <f aca="false">設定!$C$54</f>
        <v>介護：負担金</v>
      </c>
    </row>
    <row r="418" customFormat="false" ht="15" hidden="false" customHeight="false" outlineLevel="0" collapsed="false">
      <c r="A418" s="5" t="str">
        <f aca="false">設定!B106</f>
        <v>任意継続組合員</v>
      </c>
      <c r="B418" s="5" t="n">
        <f aca="false">IFERROR(MATCH(ホーム!$C$4&amp;"|"&amp;A418,報告入力!$CG$7:$CG$696,0),"")</f>
        <v>368</v>
      </c>
      <c r="C418" s="5" t="str">
        <f aca="false">IF(B418="","",INDEX(報告入力!$C$7:$C$696,B418))</f>
        <v>未受領</v>
      </c>
      <c r="D418" s="5" t="str">
        <f aca="false">設定!$A$41</f>
        <v>介護経理</v>
      </c>
      <c r="E418" s="5" t="str">
        <f aca="false">設定!$B$41&amp;""</f>
        <v/>
      </c>
      <c r="F418" s="5" t="str">
        <f aca="false">設定!$D$53&amp;""</f>
        <v/>
      </c>
      <c r="G418" s="5" t="str">
        <f aca="false">設定!$E$53&amp;""</f>
        <v/>
      </c>
      <c r="H418" s="5" t="n">
        <f aca="false">IF(B418="",0,N(INDEX(報告入力!$BB$7:$BB$696,B418)))</f>
        <v>123617</v>
      </c>
      <c r="I418" s="5" t="str">
        <f aca="false">設定!$C$41&amp;""</f>
        <v/>
      </c>
      <c r="J418" s="5" t="str">
        <f aca="false">設定!$D$41&amp;""</f>
        <v/>
      </c>
      <c r="K418" s="5" t="n">
        <f aca="false">IF(AND(H418&lt;&gt;0,IF(設定!$B$6="入金確認済のみ",C418="入金確認済",OR(C418="入金確認済",C418="受領済"))),1,0)</f>
        <v>0</v>
      </c>
      <c r="L418" s="5" t="str">
        <f aca="false">3&amp;"|"&amp;46</f>
        <v>3|46</v>
      </c>
      <c r="M418" s="5" t="n">
        <f aca="false">IF(L418=L417,M417,0)+K418</f>
        <v>0</v>
      </c>
      <c r="N418" s="5" t="n">
        <f aca="false">IF(AND(K418=1,M418=1),1,0)</f>
        <v>0</v>
      </c>
      <c r="O418" s="5" t="str">
        <f aca="false">IF(K418=1,MAX($O$5:O417)+1,"")</f>
        <v/>
      </c>
      <c r="P418" s="5" t="str">
        <f aca="false">IF(K418=1,SUM($N$6:N418),"")</f>
        <v/>
      </c>
      <c r="Q418" s="5" t="str">
        <f aca="false">IF(K418=1,SUMIFS($H$6:$H$511,$L$6:$L$511,L418,$K$6:$K$511,1),"")</f>
        <v/>
      </c>
      <c r="R418" s="78" t="str">
        <f aca="false">IF(B418="","",IF(INDEX(報告入力!$X$7:$X$696,B418)="","",INDEX(報告入力!$X$7:$X$696,B418)))</f>
        <v/>
      </c>
      <c r="S418" s="5" t="str">
        <f aca="false">設定!$C$53</f>
        <v>介護：掛金</v>
      </c>
    </row>
    <row r="419" customFormat="false" ht="15" hidden="false" customHeight="false" outlineLevel="0" collapsed="false">
      <c r="A419" s="5" t="str">
        <f aca="false">設定!B106</f>
        <v>任意継続組合員</v>
      </c>
      <c r="B419" s="5" t="n">
        <f aca="false">IFERROR(MATCH(ホーム!$C$4&amp;"|"&amp;A419,報告入力!$CG$7:$CG$696,0),"")</f>
        <v>368</v>
      </c>
      <c r="C419" s="5" t="str">
        <f aca="false">IF(B419="","",INDEX(報告入力!$C$7:$C$696,B419))</f>
        <v>未受領</v>
      </c>
      <c r="D419" s="5" t="str">
        <f aca="false">設定!$A$41</f>
        <v>介護経理</v>
      </c>
      <c r="E419" s="5" t="str">
        <f aca="false">設定!$B$41&amp;""</f>
        <v/>
      </c>
      <c r="F419" s="5" t="str">
        <f aca="false">設定!$D$54&amp;""</f>
        <v/>
      </c>
      <c r="G419" s="5" t="str">
        <f aca="false">設定!$E$54&amp;""</f>
        <v/>
      </c>
      <c r="H419" s="5" t="n">
        <f aca="false">IF(B419="",0,N(INDEX(報告入力!$BC$7:$BC$696,B419)))</f>
        <v>0</v>
      </c>
      <c r="I419" s="5" t="str">
        <f aca="false">設定!$C$41&amp;""</f>
        <v/>
      </c>
      <c r="J419" s="5" t="str">
        <f aca="false">設定!$D$41&amp;""</f>
        <v/>
      </c>
      <c r="K419" s="5" t="n">
        <f aca="false">IF(AND(H419&lt;&gt;0,IF(設定!$B$6="入金確認済のみ",C419="入金確認済",OR(C419="入金確認済",C419="受領済"))),1,0)</f>
        <v>0</v>
      </c>
      <c r="L419" s="5" t="str">
        <f aca="false">3&amp;"|"&amp;46</f>
        <v>3|46</v>
      </c>
      <c r="M419" s="5" t="n">
        <f aca="false">IF(L419=L418,M418,0)+K419</f>
        <v>0</v>
      </c>
      <c r="N419" s="5" t="n">
        <f aca="false">IF(AND(K419=1,M419=1),1,0)</f>
        <v>0</v>
      </c>
      <c r="O419" s="5" t="str">
        <f aca="false">IF(K419=1,MAX($O$5:O418)+1,"")</f>
        <v/>
      </c>
      <c r="P419" s="5" t="str">
        <f aca="false">IF(K419=1,SUM($N$6:N419),"")</f>
        <v/>
      </c>
      <c r="Q419" s="5" t="str">
        <f aca="false">IF(K419=1,SUMIFS($H$6:$H$511,$L$6:$L$511,L419,$K$6:$K$511,1),"")</f>
        <v/>
      </c>
      <c r="R419" s="78" t="str">
        <f aca="false">IF(B419="","",IF(INDEX(報告入力!$X$7:$X$696,B419)="","",INDEX(報告入力!$X$7:$X$696,B419)))</f>
        <v/>
      </c>
      <c r="S419" s="5" t="str">
        <f aca="false">設定!$C$54</f>
        <v>介護：負担金</v>
      </c>
    </row>
    <row r="420" customFormat="false" ht="15" hidden="false" customHeight="false" outlineLevel="0" collapsed="false">
      <c r="A420" s="5" t="str">
        <f aca="false">設定!B61</f>
        <v>市長部局</v>
      </c>
      <c r="B420" s="5" t="n">
        <f aca="false">IFERROR(MATCH(ホーム!$C$4&amp;"|"&amp;A420,報告入力!$CG$7:$CG$696,0),"")</f>
        <v>323</v>
      </c>
      <c r="C420" s="5" t="str">
        <f aca="false">IF(B420="","",INDEX(報告入力!$C$7:$C$696,B420))</f>
        <v>未受領</v>
      </c>
      <c r="D420" s="5" t="str">
        <f aca="false">設定!$A$42</f>
        <v>子ども・子育て支援納付金経理</v>
      </c>
      <c r="E420" s="5" t="str">
        <f aca="false">設定!$B$42&amp;""</f>
        <v/>
      </c>
      <c r="F420" s="5" t="str">
        <f aca="false">設定!$D$55&amp;""</f>
        <v/>
      </c>
      <c r="G420" s="5" t="str">
        <f aca="false">設定!$E$55&amp;""</f>
        <v/>
      </c>
      <c r="H420" s="5" t="n">
        <f aca="false">IF(B420="",0,N(INDEX(報告入力!$BD$7:$BD$696,B420)))</f>
        <v>1</v>
      </c>
      <c r="I420" s="5" t="str">
        <f aca="false">設定!$C$42&amp;""</f>
        <v/>
      </c>
      <c r="J420" s="5" t="str">
        <f aca="false">設定!$D$42&amp;""</f>
        <v/>
      </c>
      <c r="K420" s="5" t="n">
        <f aca="false">IF(AND(H420&lt;&gt;0,IF(設定!$B$6="入金確認済のみ",C420="入金確認済",OR(C420="入金確認済",C420="受領済"))),1,0)</f>
        <v>0</v>
      </c>
      <c r="L420" s="5" t="str">
        <f aca="false">4&amp;"|"&amp;1</f>
        <v>4|1</v>
      </c>
      <c r="M420" s="5" t="n">
        <f aca="false">IF(L420=L419,M419,0)+K420</f>
        <v>0</v>
      </c>
      <c r="N420" s="5" t="n">
        <f aca="false">IF(AND(K420=1,M420=1),1,0)</f>
        <v>0</v>
      </c>
      <c r="O420" s="5" t="str">
        <f aca="false">IF(K420=1,MAX($O$5:O419)+1,"")</f>
        <v/>
      </c>
      <c r="P420" s="5" t="str">
        <f aca="false">IF(K420=1,SUM($N$6:N420),"")</f>
        <v/>
      </c>
      <c r="Q420" s="5" t="str">
        <f aca="false">IF(K420=1,SUMIFS($H$6:$H$511,$L$6:$L$511,L420,$K$6:$K$511,1),"")</f>
        <v/>
      </c>
      <c r="R420" s="78" t="str">
        <f aca="false">IF(B420="","",IF(INDEX(報告入力!$X$7:$X$696,B420)="","",INDEX(報告入力!$X$7:$X$696,B420)))</f>
        <v/>
      </c>
      <c r="S420" s="5" t="str">
        <f aca="false">設定!$C$55</f>
        <v>子ども・子育て支援納付金：掛金</v>
      </c>
    </row>
    <row r="421" customFormat="false" ht="15" hidden="false" customHeight="false" outlineLevel="0" collapsed="false">
      <c r="A421" s="5" t="str">
        <f aca="false">設定!B61</f>
        <v>市長部局</v>
      </c>
      <c r="B421" s="5" t="n">
        <f aca="false">IFERROR(MATCH(ホーム!$C$4&amp;"|"&amp;A421,報告入力!$CG$7:$CG$696,0),"")</f>
        <v>323</v>
      </c>
      <c r="C421" s="5" t="str">
        <f aca="false">IF(B421="","",INDEX(報告入力!$C$7:$C$696,B421))</f>
        <v>未受領</v>
      </c>
      <c r="D421" s="5" t="str">
        <f aca="false">設定!$A$42</f>
        <v>子ども・子育て支援納付金経理</v>
      </c>
      <c r="E421" s="5" t="str">
        <f aca="false">設定!$B$42&amp;""</f>
        <v/>
      </c>
      <c r="F421" s="5" t="str">
        <f aca="false">設定!$D$56&amp;""</f>
        <v/>
      </c>
      <c r="G421" s="5" t="str">
        <f aca="false">設定!$E$56&amp;""</f>
        <v/>
      </c>
      <c r="H421" s="5" t="n">
        <f aca="false">IF(B421="",0,N(INDEX(報告入力!$BE$7:$BE$696,B421)))</f>
        <v>1</v>
      </c>
      <c r="I421" s="5" t="str">
        <f aca="false">設定!$C$42&amp;""</f>
        <v/>
      </c>
      <c r="J421" s="5" t="str">
        <f aca="false">設定!$D$42&amp;""</f>
        <v/>
      </c>
      <c r="K421" s="5" t="n">
        <f aca="false">IF(AND(H421&lt;&gt;0,IF(設定!$B$6="入金確認済のみ",C421="入金確認済",OR(C421="入金確認済",C421="受領済"))),1,0)</f>
        <v>0</v>
      </c>
      <c r="L421" s="5" t="str">
        <f aca="false">4&amp;"|"&amp;1</f>
        <v>4|1</v>
      </c>
      <c r="M421" s="5" t="n">
        <f aca="false">IF(L421=L420,M420,0)+K421</f>
        <v>0</v>
      </c>
      <c r="N421" s="5" t="n">
        <f aca="false">IF(AND(K421=1,M421=1),1,0)</f>
        <v>0</v>
      </c>
      <c r="O421" s="5" t="str">
        <f aca="false">IF(K421=1,MAX($O$5:O420)+1,"")</f>
        <v/>
      </c>
      <c r="P421" s="5" t="str">
        <f aca="false">IF(K421=1,SUM($N$6:N421),"")</f>
        <v/>
      </c>
      <c r="Q421" s="5" t="str">
        <f aca="false">IF(K421=1,SUMIFS($H$6:$H$511,$L$6:$L$511,L421,$K$6:$K$511,1),"")</f>
        <v/>
      </c>
      <c r="R421" s="78" t="str">
        <f aca="false">IF(B421="","",IF(INDEX(報告入力!$X$7:$X$696,B421)="","",INDEX(報告入力!$X$7:$X$696,B421)))</f>
        <v/>
      </c>
      <c r="S421" s="5" t="str">
        <f aca="false">設定!$C$56</f>
        <v>子ども・子育て支援納付金：負担金</v>
      </c>
    </row>
    <row r="422" customFormat="false" ht="15" hidden="false" customHeight="false" outlineLevel="0" collapsed="false">
      <c r="A422" s="5" t="str">
        <f aca="false">設定!B62</f>
        <v>下水道局</v>
      </c>
      <c r="B422" s="5" t="n">
        <f aca="false">IFERROR(MATCH(ホーム!$C$4&amp;"|"&amp;A422,報告入力!$CG$7:$CG$696,0),"")</f>
        <v>324</v>
      </c>
      <c r="C422" s="5" t="str">
        <f aca="false">IF(B422="","",INDEX(報告入力!$C$7:$C$696,B422))</f>
        <v>未受領</v>
      </c>
      <c r="D422" s="5" t="str">
        <f aca="false">設定!$A$42</f>
        <v>子ども・子育て支援納付金経理</v>
      </c>
      <c r="E422" s="5" t="str">
        <f aca="false">設定!$B$42&amp;""</f>
        <v/>
      </c>
      <c r="F422" s="5" t="str">
        <f aca="false">設定!$D$55&amp;""</f>
        <v/>
      </c>
      <c r="G422" s="5" t="str">
        <f aca="false">設定!$E$55&amp;""</f>
        <v/>
      </c>
      <c r="H422" s="5" t="n">
        <f aca="false">IF(B422="",0,N(INDEX(報告入力!$BD$7:$BD$696,B422)))</f>
        <v>1</v>
      </c>
      <c r="I422" s="5" t="str">
        <f aca="false">設定!$C$42&amp;""</f>
        <v/>
      </c>
      <c r="J422" s="5" t="str">
        <f aca="false">設定!$D$42&amp;""</f>
        <v/>
      </c>
      <c r="K422" s="5" t="n">
        <f aca="false">IF(AND(H422&lt;&gt;0,IF(設定!$B$6="入金確認済のみ",C422="入金確認済",OR(C422="入金確認済",C422="受領済"))),1,0)</f>
        <v>0</v>
      </c>
      <c r="L422" s="5" t="str">
        <f aca="false">4&amp;"|"&amp;2</f>
        <v>4|2</v>
      </c>
      <c r="M422" s="5" t="n">
        <f aca="false">IF(L422=L421,M421,0)+K422</f>
        <v>0</v>
      </c>
      <c r="N422" s="5" t="n">
        <f aca="false">IF(AND(K422=1,M422=1),1,0)</f>
        <v>0</v>
      </c>
      <c r="O422" s="5" t="str">
        <f aca="false">IF(K422=1,MAX($O$5:O421)+1,"")</f>
        <v/>
      </c>
      <c r="P422" s="5" t="str">
        <f aca="false">IF(K422=1,SUM($N$6:N422),"")</f>
        <v/>
      </c>
      <c r="Q422" s="5" t="str">
        <f aca="false">IF(K422=1,SUMIFS($H$6:$H$511,$L$6:$L$511,L422,$K$6:$K$511,1),"")</f>
        <v/>
      </c>
      <c r="R422" s="78" t="str">
        <f aca="false">IF(B422="","",IF(INDEX(報告入力!$X$7:$X$696,B422)="","",INDEX(報告入力!$X$7:$X$696,B422)))</f>
        <v/>
      </c>
      <c r="S422" s="5" t="str">
        <f aca="false">設定!$C$55</f>
        <v>子ども・子育て支援納付金：掛金</v>
      </c>
    </row>
    <row r="423" customFormat="false" ht="15" hidden="false" customHeight="false" outlineLevel="0" collapsed="false">
      <c r="A423" s="5" t="str">
        <f aca="false">設定!B62</f>
        <v>下水道局</v>
      </c>
      <c r="B423" s="5" t="n">
        <f aca="false">IFERROR(MATCH(ホーム!$C$4&amp;"|"&amp;A423,報告入力!$CG$7:$CG$696,0),"")</f>
        <v>324</v>
      </c>
      <c r="C423" s="5" t="str">
        <f aca="false">IF(B423="","",INDEX(報告入力!$C$7:$C$696,B423))</f>
        <v>未受領</v>
      </c>
      <c r="D423" s="5" t="str">
        <f aca="false">設定!$A$42</f>
        <v>子ども・子育て支援納付金経理</v>
      </c>
      <c r="E423" s="5" t="str">
        <f aca="false">設定!$B$42&amp;""</f>
        <v/>
      </c>
      <c r="F423" s="5" t="str">
        <f aca="false">設定!$D$56&amp;""</f>
        <v/>
      </c>
      <c r="G423" s="5" t="str">
        <f aca="false">設定!$E$56&amp;""</f>
        <v/>
      </c>
      <c r="H423" s="5" t="n">
        <f aca="false">IF(B423="",0,N(INDEX(報告入力!$BE$7:$BE$696,B423)))</f>
        <v>1</v>
      </c>
      <c r="I423" s="5" t="str">
        <f aca="false">設定!$C$42&amp;""</f>
        <v/>
      </c>
      <c r="J423" s="5" t="str">
        <f aca="false">設定!$D$42&amp;""</f>
        <v/>
      </c>
      <c r="K423" s="5" t="n">
        <f aca="false">IF(AND(H423&lt;&gt;0,IF(設定!$B$6="入金確認済のみ",C423="入金確認済",OR(C423="入金確認済",C423="受領済"))),1,0)</f>
        <v>0</v>
      </c>
      <c r="L423" s="5" t="str">
        <f aca="false">4&amp;"|"&amp;2</f>
        <v>4|2</v>
      </c>
      <c r="M423" s="5" t="n">
        <f aca="false">IF(L423=L422,M422,0)+K423</f>
        <v>0</v>
      </c>
      <c r="N423" s="5" t="n">
        <f aca="false">IF(AND(K423=1,M423=1),1,0)</f>
        <v>0</v>
      </c>
      <c r="O423" s="5" t="str">
        <f aca="false">IF(K423=1,MAX($O$5:O422)+1,"")</f>
        <v/>
      </c>
      <c r="P423" s="5" t="str">
        <f aca="false">IF(K423=1,SUM($N$6:N423),"")</f>
        <v/>
      </c>
      <c r="Q423" s="5" t="str">
        <f aca="false">IF(K423=1,SUMIFS($H$6:$H$511,$L$6:$L$511,L423,$K$6:$K$511,1),"")</f>
        <v/>
      </c>
      <c r="R423" s="78" t="str">
        <f aca="false">IF(B423="","",IF(INDEX(報告入力!$X$7:$X$696,B423)="","",INDEX(報告入力!$X$7:$X$696,B423)))</f>
        <v/>
      </c>
      <c r="S423" s="5" t="str">
        <f aca="false">設定!$C$56</f>
        <v>子ども・子育て支援納付金：負担金</v>
      </c>
    </row>
    <row r="424" customFormat="false" ht="15" hidden="false" customHeight="false" outlineLevel="0" collapsed="false">
      <c r="A424" s="5" t="str">
        <f aca="false">設定!B63</f>
        <v>消防局</v>
      </c>
      <c r="B424" s="5" t="n">
        <f aca="false">IFERROR(MATCH(ホーム!$C$4&amp;"|"&amp;A424,報告入力!$CG$7:$CG$696,0),"")</f>
        <v>325</v>
      </c>
      <c r="C424" s="5" t="str">
        <f aca="false">IF(B424="","",INDEX(報告入力!$C$7:$C$696,B424))</f>
        <v>未受領</v>
      </c>
      <c r="D424" s="5" t="str">
        <f aca="false">設定!$A$42</f>
        <v>子ども・子育て支援納付金経理</v>
      </c>
      <c r="E424" s="5" t="str">
        <f aca="false">設定!$B$42&amp;""</f>
        <v/>
      </c>
      <c r="F424" s="5" t="str">
        <f aca="false">設定!$D$55&amp;""</f>
        <v/>
      </c>
      <c r="G424" s="5" t="str">
        <f aca="false">設定!$E$55&amp;""</f>
        <v/>
      </c>
      <c r="H424" s="5" t="n">
        <f aca="false">IF(B424="",0,N(INDEX(報告入力!$BD$7:$BD$696,B424)))</f>
        <v>1</v>
      </c>
      <c r="I424" s="5" t="str">
        <f aca="false">設定!$C$42&amp;""</f>
        <v/>
      </c>
      <c r="J424" s="5" t="str">
        <f aca="false">設定!$D$42&amp;""</f>
        <v/>
      </c>
      <c r="K424" s="5" t="n">
        <f aca="false">IF(AND(H424&lt;&gt;0,IF(設定!$B$6="入金確認済のみ",C424="入金確認済",OR(C424="入金確認済",C424="受領済"))),1,0)</f>
        <v>0</v>
      </c>
      <c r="L424" s="5" t="str">
        <f aca="false">4&amp;"|"&amp;3</f>
        <v>4|3</v>
      </c>
      <c r="M424" s="5" t="n">
        <f aca="false">IF(L424=L423,M423,0)+K424</f>
        <v>0</v>
      </c>
      <c r="N424" s="5" t="n">
        <f aca="false">IF(AND(K424=1,M424=1),1,0)</f>
        <v>0</v>
      </c>
      <c r="O424" s="5" t="str">
        <f aca="false">IF(K424=1,MAX($O$5:O423)+1,"")</f>
        <v/>
      </c>
      <c r="P424" s="5" t="str">
        <f aca="false">IF(K424=1,SUM($N$6:N424),"")</f>
        <v/>
      </c>
      <c r="Q424" s="5" t="str">
        <f aca="false">IF(K424=1,SUMIFS($H$6:$H$511,$L$6:$L$511,L424,$K$6:$K$511,1),"")</f>
        <v/>
      </c>
      <c r="R424" s="78" t="str">
        <f aca="false">IF(B424="","",IF(INDEX(報告入力!$X$7:$X$696,B424)="","",INDEX(報告入力!$X$7:$X$696,B424)))</f>
        <v/>
      </c>
      <c r="S424" s="5" t="str">
        <f aca="false">設定!$C$55</f>
        <v>子ども・子育て支援納付金：掛金</v>
      </c>
    </row>
    <row r="425" customFormat="false" ht="15" hidden="false" customHeight="false" outlineLevel="0" collapsed="false">
      <c r="A425" s="5" t="str">
        <f aca="false">設定!B63</f>
        <v>消防局</v>
      </c>
      <c r="B425" s="5" t="n">
        <f aca="false">IFERROR(MATCH(ホーム!$C$4&amp;"|"&amp;A425,報告入力!$CG$7:$CG$696,0),"")</f>
        <v>325</v>
      </c>
      <c r="C425" s="5" t="str">
        <f aca="false">IF(B425="","",INDEX(報告入力!$C$7:$C$696,B425))</f>
        <v>未受領</v>
      </c>
      <c r="D425" s="5" t="str">
        <f aca="false">設定!$A$42</f>
        <v>子ども・子育て支援納付金経理</v>
      </c>
      <c r="E425" s="5" t="str">
        <f aca="false">設定!$B$42&amp;""</f>
        <v/>
      </c>
      <c r="F425" s="5" t="str">
        <f aca="false">設定!$D$56&amp;""</f>
        <v/>
      </c>
      <c r="G425" s="5" t="str">
        <f aca="false">設定!$E$56&amp;""</f>
        <v/>
      </c>
      <c r="H425" s="5" t="n">
        <f aca="false">IF(B425="",0,N(INDEX(報告入力!$BE$7:$BE$696,B425)))</f>
        <v>1</v>
      </c>
      <c r="I425" s="5" t="str">
        <f aca="false">設定!$C$42&amp;""</f>
        <v/>
      </c>
      <c r="J425" s="5" t="str">
        <f aca="false">設定!$D$42&amp;""</f>
        <v/>
      </c>
      <c r="K425" s="5" t="n">
        <f aca="false">IF(AND(H425&lt;&gt;0,IF(設定!$B$6="入金確認済のみ",C425="入金確認済",OR(C425="入金確認済",C425="受領済"))),1,0)</f>
        <v>0</v>
      </c>
      <c r="L425" s="5" t="str">
        <f aca="false">4&amp;"|"&amp;3</f>
        <v>4|3</v>
      </c>
      <c r="M425" s="5" t="n">
        <f aca="false">IF(L425=L424,M424,0)+K425</f>
        <v>0</v>
      </c>
      <c r="N425" s="5" t="n">
        <f aca="false">IF(AND(K425=1,M425=1),1,0)</f>
        <v>0</v>
      </c>
      <c r="O425" s="5" t="str">
        <f aca="false">IF(K425=1,MAX($O$5:O424)+1,"")</f>
        <v/>
      </c>
      <c r="P425" s="5" t="str">
        <f aca="false">IF(K425=1,SUM($N$6:N425),"")</f>
        <v/>
      </c>
      <c r="Q425" s="5" t="str">
        <f aca="false">IF(K425=1,SUMIFS($H$6:$H$511,$L$6:$L$511,L425,$K$6:$K$511,1),"")</f>
        <v/>
      </c>
      <c r="R425" s="78" t="str">
        <f aca="false">IF(B425="","",IF(INDEX(報告入力!$X$7:$X$696,B425)="","",INDEX(報告入力!$X$7:$X$696,B425)))</f>
        <v/>
      </c>
      <c r="S425" s="5" t="str">
        <f aca="false">設定!$C$56</f>
        <v>子ども・子育て支援納付金：負担金</v>
      </c>
    </row>
    <row r="426" customFormat="false" ht="15" hidden="false" customHeight="false" outlineLevel="0" collapsed="false">
      <c r="A426" s="5" t="str">
        <f aca="false">設定!B64</f>
        <v>議会事務局</v>
      </c>
      <c r="B426" s="5" t="n">
        <f aca="false">IFERROR(MATCH(ホーム!$C$4&amp;"|"&amp;A426,報告入力!$CG$7:$CG$696,0),"")</f>
        <v>326</v>
      </c>
      <c r="C426" s="5" t="str">
        <f aca="false">IF(B426="","",INDEX(報告入力!$C$7:$C$696,B426))</f>
        <v>未受領</v>
      </c>
      <c r="D426" s="5" t="str">
        <f aca="false">設定!$A$42</f>
        <v>子ども・子育て支援納付金経理</v>
      </c>
      <c r="E426" s="5" t="str">
        <f aca="false">設定!$B$42&amp;""</f>
        <v/>
      </c>
      <c r="F426" s="5" t="str">
        <f aca="false">設定!$D$55&amp;""</f>
        <v/>
      </c>
      <c r="G426" s="5" t="str">
        <f aca="false">設定!$E$55&amp;""</f>
        <v/>
      </c>
      <c r="H426" s="5" t="n">
        <f aca="false">IF(B426="",0,N(INDEX(報告入力!$BD$7:$BD$696,B426)))</f>
        <v>1</v>
      </c>
      <c r="I426" s="5" t="str">
        <f aca="false">設定!$C$42&amp;""</f>
        <v/>
      </c>
      <c r="J426" s="5" t="str">
        <f aca="false">設定!$D$42&amp;""</f>
        <v/>
      </c>
      <c r="K426" s="5" t="n">
        <f aca="false">IF(AND(H426&lt;&gt;0,IF(設定!$B$6="入金確認済のみ",C426="入金確認済",OR(C426="入金確認済",C426="受領済"))),1,0)</f>
        <v>0</v>
      </c>
      <c r="L426" s="5" t="str">
        <f aca="false">4&amp;"|"&amp;4</f>
        <v>4|4</v>
      </c>
      <c r="M426" s="5" t="n">
        <f aca="false">IF(L426=L425,M425,0)+K426</f>
        <v>0</v>
      </c>
      <c r="N426" s="5" t="n">
        <f aca="false">IF(AND(K426=1,M426=1),1,0)</f>
        <v>0</v>
      </c>
      <c r="O426" s="5" t="str">
        <f aca="false">IF(K426=1,MAX($O$5:O425)+1,"")</f>
        <v/>
      </c>
      <c r="P426" s="5" t="str">
        <f aca="false">IF(K426=1,SUM($N$6:N426),"")</f>
        <v/>
      </c>
      <c r="Q426" s="5" t="str">
        <f aca="false">IF(K426=1,SUMIFS($H$6:$H$511,$L$6:$L$511,L426,$K$6:$K$511,1),"")</f>
        <v/>
      </c>
      <c r="R426" s="78" t="str">
        <f aca="false">IF(B426="","",IF(INDEX(報告入力!$X$7:$X$696,B426)="","",INDEX(報告入力!$X$7:$X$696,B426)))</f>
        <v/>
      </c>
      <c r="S426" s="5" t="str">
        <f aca="false">設定!$C$55</f>
        <v>子ども・子育て支援納付金：掛金</v>
      </c>
    </row>
    <row r="427" customFormat="false" ht="15" hidden="false" customHeight="false" outlineLevel="0" collapsed="false">
      <c r="A427" s="5" t="str">
        <f aca="false">設定!B64</f>
        <v>議会事務局</v>
      </c>
      <c r="B427" s="5" t="n">
        <f aca="false">IFERROR(MATCH(ホーム!$C$4&amp;"|"&amp;A427,報告入力!$CG$7:$CG$696,0),"")</f>
        <v>326</v>
      </c>
      <c r="C427" s="5" t="str">
        <f aca="false">IF(B427="","",INDEX(報告入力!$C$7:$C$696,B427))</f>
        <v>未受領</v>
      </c>
      <c r="D427" s="5" t="str">
        <f aca="false">設定!$A$42</f>
        <v>子ども・子育て支援納付金経理</v>
      </c>
      <c r="E427" s="5" t="str">
        <f aca="false">設定!$B$42&amp;""</f>
        <v/>
      </c>
      <c r="F427" s="5" t="str">
        <f aca="false">設定!$D$56&amp;""</f>
        <v/>
      </c>
      <c r="G427" s="5" t="str">
        <f aca="false">設定!$E$56&amp;""</f>
        <v/>
      </c>
      <c r="H427" s="5" t="n">
        <f aca="false">IF(B427="",0,N(INDEX(報告入力!$BE$7:$BE$696,B427)))</f>
        <v>1</v>
      </c>
      <c r="I427" s="5" t="str">
        <f aca="false">設定!$C$42&amp;""</f>
        <v/>
      </c>
      <c r="J427" s="5" t="str">
        <f aca="false">設定!$D$42&amp;""</f>
        <v/>
      </c>
      <c r="K427" s="5" t="n">
        <f aca="false">IF(AND(H427&lt;&gt;0,IF(設定!$B$6="入金確認済のみ",C427="入金確認済",OR(C427="入金確認済",C427="受領済"))),1,0)</f>
        <v>0</v>
      </c>
      <c r="L427" s="5" t="str">
        <f aca="false">4&amp;"|"&amp;4</f>
        <v>4|4</v>
      </c>
      <c r="M427" s="5" t="n">
        <f aca="false">IF(L427=L426,M426,0)+K427</f>
        <v>0</v>
      </c>
      <c r="N427" s="5" t="n">
        <f aca="false">IF(AND(K427=1,M427=1),1,0)</f>
        <v>0</v>
      </c>
      <c r="O427" s="5" t="str">
        <f aca="false">IF(K427=1,MAX($O$5:O426)+1,"")</f>
        <v/>
      </c>
      <c r="P427" s="5" t="str">
        <f aca="false">IF(K427=1,SUM($N$6:N427),"")</f>
        <v/>
      </c>
      <c r="Q427" s="5" t="str">
        <f aca="false">IF(K427=1,SUMIFS($H$6:$H$511,$L$6:$L$511,L427,$K$6:$K$511,1),"")</f>
        <v/>
      </c>
      <c r="R427" s="78" t="str">
        <f aca="false">IF(B427="","",IF(INDEX(報告入力!$X$7:$X$696,B427)="","",INDEX(報告入力!$X$7:$X$696,B427)))</f>
        <v/>
      </c>
      <c r="S427" s="5" t="str">
        <f aca="false">設定!$C$56</f>
        <v>子ども・子育て支援納付金：負担金</v>
      </c>
    </row>
    <row r="428" customFormat="false" ht="15" hidden="false" customHeight="false" outlineLevel="0" collapsed="false">
      <c r="A428" s="5" t="str">
        <f aca="false">設定!B65</f>
        <v>教育委員会（総務課）</v>
      </c>
      <c r="B428" s="5" t="n">
        <f aca="false">IFERROR(MATCH(ホーム!$C$4&amp;"|"&amp;A428,報告入力!$CG$7:$CG$696,0),"")</f>
        <v>327</v>
      </c>
      <c r="C428" s="5" t="str">
        <f aca="false">IF(B428="","",INDEX(報告入力!$C$7:$C$696,B428))</f>
        <v>未受領</v>
      </c>
      <c r="D428" s="5" t="str">
        <f aca="false">設定!$A$42</f>
        <v>子ども・子育て支援納付金経理</v>
      </c>
      <c r="E428" s="5" t="str">
        <f aca="false">設定!$B$42&amp;""</f>
        <v/>
      </c>
      <c r="F428" s="5" t="str">
        <f aca="false">設定!$D$55&amp;""</f>
        <v/>
      </c>
      <c r="G428" s="5" t="str">
        <f aca="false">設定!$E$55&amp;""</f>
        <v/>
      </c>
      <c r="H428" s="5" t="n">
        <f aca="false">IF(B428="",0,N(INDEX(報告入力!$BD$7:$BD$696,B428)))</f>
        <v>1</v>
      </c>
      <c r="I428" s="5" t="str">
        <f aca="false">設定!$C$42&amp;""</f>
        <v/>
      </c>
      <c r="J428" s="5" t="str">
        <f aca="false">設定!$D$42&amp;""</f>
        <v/>
      </c>
      <c r="K428" s="5" t="n">
        <f aca="false">IF(AND(H428&lt;&gt;0,IF(設定!$B$6="入金確認済のみ",C428="入金確認済",OR(C428="入金確認済",C428="受領済"))),1,0)</f>
        <v>0</v>
      </c>
      <c r="L428" s="5" t="str">
        <f aca="false">4&amp;"|"&amp;5</f>
        <v>4|5</v>
      </c>
      <c r="M428" s="5" t="n">
        <f aca="false">IF(L428=L427,M427,0)+K428</f>
        <v>0</v>
      </c>
      <c r="N428" s="5" t="n">
        <f aca="false">IF(AND(K428=1,M428=1),1,0)</f>
        <v>0</v>
      </c>
      <c r="O428" s="5" t="str">
        <f aca="false">IF(K428=1,MAX($O$5:O427)+1,"")</f>
        <v/>
      </c>
      <c r="P428" s="5" t="str">
        <f aca="false">IF(K428=1,SUM($N$6:N428),"")</f>
        <v/>
      </c>
      <c r="Q428" s="5" t="str">
        <f aca="false">IF(K428=1,SUMIFS($H$6:$H$511,$L$6:$L$511,L428,$K$6:$K$511,1),"")</f>
        <v/>
      </c>
      <c r="R428" s="78" t="str">
        <f aca="false">IF(B428="","",IF(INDEX(報告入力!$X$7:$X$696,B428)="","",INDEX(報告入力!$X$7:$X$696,B428)))</f>
        <v/>
      </c>
      <c r="S428" s="5" t="str">
        <f aca="false">設定!$C$55</f>
        <v>子ども・子育て支援納付金：掛金</v>
      </c>
    </row>
    <row r="429" customFormat="false" ht="15" hidden="false" customHeight="false" outlineLevel="0" collapsed="false">
      <c r="A429" s="5" t="str">
        <f aca="false">設定!B65</f>
        <v>教育委員会（総務課）</v>
      </c>
      <c r="B429" s="5" t="n">
        <f aca="false">IFERROR(MATCH(ホーム!$C$4&amp;"|"&amp;A429,報告入力!$CG$7:$CG$696,0),"")</f>
        <v>327</v>
      </c>
      <c r="C429" s="5" t="str">
        <f aca="false">IF(B429="","",INDEX(報告入力!$C$7:$C$696,B429))</f>
        <v>未受領</v>
      </c>
      <c r="D429" s="5" t="str">
        <f aca="false">設定!$A$42</f>
        <v>子ども・子育て支援納付金経理</v>
      </c>
      <c r="E429" s="5" t="str">
        <f aca="false">設定!$B$42&amp;""</f>
        <v/>
      </c>
      <c r="F429" s="5" t="str">
        <f aca="false">設定!$D$56&amp;""</f>
        <v/>
      </c>
      <c r="G429" s="5" t="str">
        <f aca="false">設定!$E$56&amp;""</f>
        <v/>
      </c>
      <c r="H429" s="5" t="n">
        <f aca="false">IF(B429="",0,N(INDEX(報告入力!$BE$7:$BE$696,B429)))</f>
        <v>1</v>
      </c>
      <c r="I429" s="5" t="str">
        <f aca="false">設定!$C$42&amp;""</f>
        <v/>
      </c>
      <c r="J429" s="5" t="str">
        <f aca="false">設定!$D$42&amp;""</f>
        <v/>
      </c>
      <c r="K429" s="5" t="n">
        <f aca="false">IF(AND(H429&lt;&gt;0,IF(設定!$B$6="入金確認済のみ",C429="入金確認済",OR(C429="入金確認済",C429="受領済"))),1,0)</f>
        <v>0</v>
      </c>
      <c r="L429" s="5" t="str">
        <f aca="false">4&amp;"|"&amp;5</f>
        <v>4|5</v>
      </c>
      <c r="M429" s="5" t="n">
        <f aca="false">IF(L429=L428,M428,0)+K429</f>
        <v>0</v>
      </c>
      <c r="N429" s="5" t="n">
        <f aca="false">IF(AND(K429=1,M429=1),1,0)</f>
        <v>0</v>
      </c>
      <c r="O429" s="5" t="str">
        <f aca="false">IF(K429=1,MAX($O$5:O428)+1,"")</f>
        <v/>
      </c>
      <c r="P429" s="5" t="str">
        <f aca="false">IF(K429=1,SUM($N$6:N429),"")</f>
        <v/>
      </c>
      <c r="Q429" s="5" t="str">
        <f aca="false">IF(K429=1,SUMIFS($H$6:$H$511,$L$6:$L$511,L429,$K$6:$K$511,1),"")</f>
        <v/>
      </c>
      <c r="R429" s="78" t="str">
        <f aca="false">IF(B429="","",IF(INDEX(報告入力!$X$7:$X$696,B429)="","",INDEX(報告入力!$X$7:$X$696,B429)))</f>
        <v/>
      </c>
      <c r="S429" s="5" t="str">
        <f aca="false">設定!$C$56</f>
        <v>子ども・子育て支援納付金：負担金</v>
      </c>
    </row>
    <row r="430" customFormat="false" ht="15" hidden="false" customHeight="false" outlineLevel="0" collapsed="false">
      <c r="A430" s="5" t="str">
        <f aca="false">設定!B66</f>
        <v>選挙管理委員会</v>
      </c>
      <c r="B430" s="5" t="n">
        <f aca="false">IFERROR(MATCH(ホーム!$C$4&amp;"|"&amp;A430,報告入力!$CG$7:$CG$696,0),"")</f>
        <v>328</v>
      </c>
      <c r="C430" s="5" t="str">
        <f aca="false">IF(B430="","",INDEX(報告入力!$C$7:$C$696,B430))</f>
        <v>未受領</v>
      </c>
      <c r="D430" s="5" t="str">
        <f aca="false">設定!$A$42</f>
        <v>子ども・子育て支援納付金経理</v>
      </c>
      <c r="E430" s="5" t="str">
        <f aca="false">設定!$B$42&amp;""</f>
        <v/>
      </c>
      <c r="F430" s="5" t="str">
        <f aca="false">設定!$D$55&amp;""</f>
        <v/>
      </c>
      <c r="G430" s="5" t="str">
        <f aca="false">設定!$E$55&amp;""</f>
        <v/>
      </c>
      <c r="H430" s="5" t="n">
        <f aca="false">IF(B430="",0,N(INDEX(報告入力!$BD$7:$BD$696,B430)))</f>
        <v>1</v>
      </c>
      <c r="I430" s="5" t="str">
        <f aca="false">設定!$C$42&amp;""</f>
        <v/>
      </c>
      <c r="J430" s="5" t="str">
        <f aca="false">設定!$D$42&amp;""</f>
        <v/>
      </c>
      <c r="K430" s="5" t="n">
        <f aca="false">IF(AND(H430&lt;&gt;0,IF(設定!$B$6="入金確認済のみ",C430="入金確認済",OR(C430="入金確認済",C430="受領済"))),1,0)</f>
        <v>0</v>
      </c>
      <c r="L430" s="5" t="str">
        <f aca="false">4&amp;"|"&amp;6</f>
        <v>4|6</v>
      </c>
      <c r="M430" s="5" t="n">
        <f aca="false">IF(L430=L429,M429,0)+K430</f>
        <v>0</v>
      </c>
      <c r="N430" s="5" t="n">
        <f aca="false">IF(AND(K430=1,M430=1),1,0)</f>
        <v>0</v>
      </c>
      <c r="O430" s="5" t="str">
        <f aca="false">IF(K430=1,MAX($O$5:O429)+1,"")</f>
        <v/>
      </c>
      <c r="P430" s="5" t="str">
        <f aca="false">IF(K430=1,SUM($N$6:N430),"")</f>
        <v/>
      </c>
      <c r="Q430" s="5" t="str">
        <f aca="false">IF(K430=1,SUMIFS($H$6:$H$511,$L$6:$L$511,L430,$K$6:$K$511,1),"")</f>
        <v/>
      </c>
      <c r="R430" s="78" t="str">
        <f aca="false">IF(B430="","",IF(INDEX(報告入力!$X$7:$X$696,B430)="","",INDEX(報告入力!$X$7:$X$696,B430)))</f>
        <v/>
      </c>
      <c r="S430" s="5" t="str">
        <f aca="false">設定!$C$55</f>
        <v>子ども・子育て支援納付金：掛金</v>
      </c>
    </row>
    <row r="431" customFormat="false" ht="15" hidden="false" customHeight="false" outlineLevel="0" collapsed="false">
      <c r="A431" s="5" t="str">
        <f aca="false">設定!B66</f>
        <v>選挙管理委員会</v>
      </c>
      <c r="B431" s="5" t="n">
        <f aca="false">IFERROR(MATCH(ホーム!$C$4&amp;"|"&amp;A431,報告入力!$CG$7:$CG$696,0),"")</f>
        <v>328</v>
      </c>
      <c r="C431" s="5" t="str">
        <f aca="false">IF(B431="","",INDEX(報告入力!$C$7:$C$696,B431))</f>
        <v>未受領</v>
      </c>
      <c r="D431" s="5" t="str">
        <f aca="false">設定!$A$42</f>
        <v>子ども・子育て支援納付金経理</v>
      </c>
      <c r="E431" s="5" t="str">
        <f aca="false">設定!$B$42&amp;""</f>
        <v/>
      </c>
      <c r="F431" s="5" t="str">
        <f aca="false">設定!$D$56&amp;""</f>
        <v/>
      </c>
      <c r="G431" s="5" t="str">
        <f aca="false">設定!$E$56&amp;""</f>
        <v/>
      </c>
      <c r="H431" s="5" t="n">
        <f aca="false">IF(B431="",0,N(INDEX(報告入力!$BE$7:$BE$696,B431)))</f>
        <v>1</v>
      </c>
      <c r="I431" s="5" t="str">
        <f aca="false">設定!$C$42&amp;""</f>
        <v/>
      </c>
      <c r="J431" s="5" t="str">
        <f aca="false">設定!$D$42&amp;""</f>
        <v/>
      </c>
      <c r="K431" s="5" t="n">
        <f aca="false">IF(AND(H431&lt;&gt;0,IF(設定!$B$6="入金確認済のみ",C431="入金確認済",OR(C431="入金確認済",C431="受領済"))),1,0)</f>
        <v>0</v>
      </c>
      <c r="L431" s="5" t="str">
        <f aca="false">4&amp;"|"&amp;6</f>
        <v>4|6</v>
      </c>
      <c r="M431" s="5" t="n">
        <f aca="false">IF(L431=L430,M430,0)+K431</f>
        <v>0</v>
      </c>
      <c r="N431" s="5" t="n">
        <f aca="false">IF(AND(K431=1,M431=1),1,0)</f>
        <v>0</v>
      </c>
      <c r="O431" s="5" t="str">
        <f aca="false">IF(K431=1,MAX($O$5:O430)+1,"")</f>
        <v/>
      </c>
      <c r="P431" s="5" t="str">
        <f aca="false">IF(K431=1,SUM($N$6:N431),"")</f>
        <v/>
      </c>
      <c r="Q431" s="5" t="str">
        <f aca="false">IF(K431=1,SUMIFS($H$6:$H$511,$L$6:$L$511,L431,$K$6:$K$511,1),"")</f>
        <v/>
      </c>
      <c r="R431" s="78" t="str">
        <f aca="false">IF(B431="","",IF(INDEX(報告入力!$X$7:$X$696,B431)="","",INDEX(報告入力!$X$7:$X$696,B431)))</f>
        <v/>
      </c>
      <c r="S431" s="5" t="str">
        <f aca="false">設定!$C$56</f>
        <v>子ども・子育て支援納付金：負担金</v>
      </c>
    </row>
    <row r="432" customFormat="false" ht="15" hidden="false" customHeight="false" outlineLevel="0" collapsed="false">
      <c r="A432" s="5" t="str">
        <f aca="false">設定!B67</f>
        <v>人事委員会</v>
      </c>
      <c r="B432" s="5" t="n">
        <f aca="false">IFERROR(MATCH(ホーム!$C$4&amp;"|"&amp;A432,報告入力!$CG$7:$CG$696,0),"")</f>
        <v>329</v>
      </c>
      <c r="C432" s="5" t="str">
        <f aca="false">IF(B432="","",INDEX(報告入力!$C$7:$C$696,B432))</f>
        <v>未受領</v>
      </c>
      <c r="D432" s="5" t="str">
        <f aca="false">設定!$A$42</f>
        <v>子ども・子育て支援納付金経理</v>
      </c>
      <c r="E432" s="5" t="str">
        <f aca="false">設定!$B$42&amp;""</f>
        <v/>
      </c>
      <c r="F432" s="5" t="str">
        <f aca="false">設定!$D$55&amp;""</f>
        <v/>
      </c>
      <c r="G432" s="5" t="str">
        <f aca="false">設定!$E$55&amp;""</f>
        <v/>
      </c>
      <c r="H432" s="5" t="n">
        <f aca="false">IF(B432="",0,N(INDEX(報告入力!$BD$7:$BD$696,B432)))</f>
        <v>1</v>
      </c>
      <c r="I432" s="5" t="str">
        <f aca="false">設定!$C$42&amp;""</f>
        <v/>
      </c>
      <c r="J432" s="5" t="str">
        <f aca="false">設定!$D$42&amp;""</f>
        <v/>
      </c>
      <c r="K432" s="5" t="n">
        <f aca="false">IF(AND(H432&lt;&gt;0,IF(設定!$B$6="入金確認済のみ",C432="入金確認済",OR(C432="入金確認済",C432="受領済"))),1,0)</f>
        <v>0</v>
      </c>
      <c r="L432" s="5" t="str">
        <f aca="false">4&amp;"|"&amp;7</f>
        <v>4|7</v>
      </c>
      <c r="M432" s="5" t="n">
        <f aca="false">IF(L432=L431,M431,0)+K432</f>
        <v>0</v>
      </c>
      <c r="N432" s="5" t="n">
        <f aca="false">IF(AND(K432=1,M432=1),1,0)</f>
        <v>0</v>
      </c>
      <c r="O432" s="5" t="str">
        <f aca="false">IF(K432=1,MAX($O$5:O431)+1,"")</f>
        <v/>
      </c>
      <c r="P432" s="5" t="str">
        <f aca="false">IF(K432=1,SUM($N$6:N432),"")</f>
        <v/>
      </c>
      <c r="Q432" s="5" t="str">
        <f aca="false">IF(K432=1,SUMIFS($H$6:$H$511,$L$6:$L$511,L432,$K$6:$K$511,1),"")</f>
        <v/>
      </c>
      <c r="R432" s="78" t="str">
        <f aca="false">IF(B432="","",IF(INDEX(報告入力!$X$7:$X$696,B432)="","",INDEX(報告入力!$X$7:$X$696,B432)))</f>
        <v/>
      </c>
      <c r="S432" s="5" t="str">
        <f aca="false">設定!$C$55</f>
        <v>子ども・子育て支援納付金：掛金</v>
      </c>
    </row>
    <row r="433" customFormat="false" ht="15" hidden="false" customHeight="false" outlineLevel="0" collapsed="false">
      <c r="A433" s="5" t="str">
        <f aca="false">設定!B67</f>
        <v>人事委員会</v>
      </c>
      <c r="B433" s="5" t="n">
        <f aca="false">IFERROR(MATCH(ホーム!$C$4&amp;"|"&amp;A433,報告入力!$CG$7:$CG$696,0),"")</f>
        <v>329</v>
      </c>
      <c r="C433" s="5" t="str">
        <f aca="false">IF(B433="","",INDEX(報告入力!$C$7:$C$696,B433))</f>
        <v>未受領</v>
      </c>
      <c r="D433" s="5" t="str">
        <f aca="false">設定!$A$42</f>
        <v>子ども・子育て支援納付金経理</v>
      </c>
      <c r="E433" s="5" t="str">
        <f aca="false">設定!$B$42&amp;""</f>
        <v/>
      </c>
      <c r="F433" s="5" t="str">
        <f aca="false">設定!$D$56&amp;""</f>
        <v/>
      </c>
      <c r="G433" s="5" t="str">
        <f aca="false">設定!$E$56&amp;""</f>
        <v/>
      </c>
      <c r="H433" s="5" t="n">
        <f aca="false">IF(B433="",0,N(INDEX(報告入力!$BE$7:$BE$696,B433)))</f>
        <v>1</v>
      </c>
      <c r="I433" s="5" t="str">
        <f aca="false">設定!$C$42&amp;""</f>
        <v/>
      </c>
      <c r="J433" s="5" t="str">
        <f aca="false">設定!$D$42&amp;""</f>
        <v/>
      </c>
      <c r="K433" s="5" t="n">
        <f aca="false">IF(AND(H433&lt;&gt;0,IF(設定!$B$6="入金確認済のみ",C433="入金確認済",OR(C433="入金確認済",C433="受領済"))),1,0)</f>
        <v>0</v>
      </c>
      <c r="L433" s="5" t="str">
        <f aca="false">4&amp;"|"&amp;7</f>
        <v>4|7</v>
      </c>
      <c r="M433" s="5" t="n">
        <f aca="false">IF(L433=L432,M432,0)+K433</f>
        <v>0</v>
      </c>
      <c r="N433" s="5" t="n">
        <f aca="false">IF(AND(K433=1,M433=1),1,0)</f>
        <v>0</v>
      </c>
      <c r="O433" s="5" t="str">
        <f aca="false">IF(K433=1,MAX($O$5:O432)+1,"")</f>
        <v/>
      </c>
      <c r="P433" s="5" t="str">
        <f aca="false">IF(K433=1,SUM($N$6:N433),"")</f>
        <v/>
      </c>
      <c r="Q433" s="5" t="str">
        <f aca="false">IF(K433=1,SUMIFS($H$6:$H$511,$L$6:$L$511,L433,$K$6:$K$511,1),"")</f>
        <v/>
      </c>
      <c r="R433" s="78" t="str">
        <f aca="false">IF(B433="","",IF(INDEX(報告入力!$X$7:$X$696,B433)="","",INDEX(報告入力!$X$7:$X$696,B433)))</f>
        <v/>
      </c>
      <c r="S433" s="5" t="str">
        <f aca="false">設定!$C$56</f>
        <v>子ども・子育て支援納付金：負担金</v>
      </c>
    </row>
    <row r="434" customFormat="false" ht="15" hidden="false" customHeight="false" outlineLevel="0" collapsed="false">
      <c r="A434" s="5" t="str">
        <f aca="false">設定!B68</f>
        <v>監査事務局</v>
      </c>
      <c r="B434" s="5" t="n">
        <f aca="false">IFERROR(MATCH(ホーム!$C$4&amp;"|"&amp;A434,報告入力!$CG$7:$CG$696,0),"")</f>
        <v>330</v>
      </c>
      <c r="C434" s="5" t="str">
        <f aca="false">IF(B434="","",INDEX(報告入力!$C$7:$C$696,B434))</f>
        <v>未受領</v>
      </c>
      <c r="D434" s="5" t="str">
        <f aca="false">設定!$A$42</f>
        <v>子ども・子育て支援納付金経理</v>
      </c>
      <c r="E434" s="5" t="str">
        <f aca="false">設定!$B$42&amp;""</f>
        <v/>
      </c>
      <c r="F434" s="5" t="str">
        <f aca="false">設定!$D$55&amp;""</f>
        <v/>
      </c>
      <c r="G434" s="5" t="str">
        <f aca="false">設定!$E$55&amp;""</f>
        <v/>
      </c>
      <c r="H434" s="5" t="n">
        <f aca="false">IF(B434="",0,N(INDEX(報告入力!$BD$7:$BD$696,B434)))</f>
        <v>1</v>
      </c>
      <c r="I434" s="5" t="str">
        <f aca="false">設定!$C$42&amp;""</f>
        <v/>
      </c>
      <c r="J434" s="5" t="str">
        <f aca="false">設定!$D$42&amp;""</f>
        <v/>
      </c>
      <c r="K434" s="5" t="n">
        <f aca="false">IF(AND(H434&lt;&gt;0,IF(設定!$B$6="入金確認済のみ",C434="入金確認済",OR(C434="入金確認済",C434="受領済"))),1,0)</f>
        <v>0</v>
      </c>
      <c r="L434" s="5" t="str">
        <f aca="false">4&amp;"|"&amp;8</f>
        <v>4|8</v>
      </c>
      <c r="M434" s="5" t="n">
        <f aca="false">IF(L434=L433,M433,0)+K434</f>
        <v>0</v>
      </c>
      <c r="N434" s="5" t="n">
        <f aca="false">IF(AND(K434=1,M434=1),1,0)</f>
        <v>0</v>
      </c>
      <c r="O434" s="5" t="str">
        <f aca="false">IF(K434=1,MAX($O$5:O433)+1,"")</f>
        <v/>
      </c>
      <c r="P434" s="5" t="str">
        <f aca="false">IF(K434=1,SUM($N$6:N434),"")</f>
        <v/>
      </c>
      <c r="Q434" s="5" t="str">
        <f aca="false">IF(K434=1,SUMIFS($H$6:$H$511,$L$6:$L$511,L434,$K$6:$K$511,1),"")</f>
        <v/>
      </c>
      <c r="R434" s="78" t="str">
        <f aca="false">IF(B434="","",IF(INDEX(報告入力!$X$7:$X$696,B434)="","",INDEX(報告入力!$X$7:$X$696,B434)))</f>
        <v/>
      </c>
      <c r="S434" s="5" t="str">
        <f aca="false">設定!$C$55</f>
        <v>子ども・子育て支援納付金：掛金</v>
      </c>
    </row>
    <row r="435" customFormat="false" ht="15" hidden="false" customHeight="false" outlineLevel="0" collapsed="false">
      <c r="A435" s="5" t="str">
        <f aca="false">設定!B68</f>
        <v>監査事務局</v>
      </c>
      <c r="B435" s="5" t="n">
        <f aca="false">IFERROR(MATCH(ホーム!$C$4&amp;"|"&amp;A435,報告入力!$CG$7:$CG$696,0),"")</f>
        <v>330</v>
      </c>
      <c r="C435" s="5" t="str">
        <f aca="false">IF(B435="","",INDEX(報告入力!$C$7:$C$696,B435))</f>
        <v>未受領</v>
      </c>
      <c r="D435" s="5" t="str">
        <f aca="false">設定!$A$42</f>
        <v>子ども・子育て支援納付金経理</v>
      </c>
      <c r="E435" s="5" t="str">
        <f aca="false">設定!$B$42&amp;""</f>
        <v/>
      </c>
      <c r="F435" s="5" t="str">
        <f aca="false">設定!$D$56&amp;""</f>
        <v/>
      </c>
      <c r="G435" s="5" t="str">
        <f aca="false">設定!$E$56&amp;""</f>
        <v/>
      </c>
      <c r="H435" s="5" t="n">
        <f aca="false">IF(B435="",0,N(INDEX(報告入力!$BE$7:$BE$696,B435)))</f>
        <v>1</v>
      </c>
      <c r="I435" s="5" t="str">
        <f aca="false">設定!$C$42&amp;""</f>
        <v/>
      </c>
      <c r="J435" s="5" t="str">
        <f aca="false">設定!$D$42&amp;""</f>
        <v/>
      </c>
      <c r="K435" s="5" t="n">
        <f aca="false">IF(AND(H435&lt;&gt;0,IF(設定!$B$6="入金確認済のみ",C435="入金確認済",OR(C435="入金確認済",C435="受領済"))),1,0)</f>
        <v>0</v>
      </c>
      <c r="L435" s="5" t="str">
        <f aca="false">4&amp;"|"&amp;8</f>
        <v>4|8</v>
      </c>
      <c r="M435" s="5" t="n">
        <f aca="false">IF(L435=L434,M434,0)+K435</f>
        <v>0</v>
      </c>
      <c r="N435" s="5" t="n">
        <f aca="false">IF(AND(K435=1,M435=1),1,0)</f>
        <v>0</v>
      </c>
      <c r="O435" s="5" t="str">
        <f aca="false">IF(K435=1,MAX($O$5:O434)+1,"")</f>
        <v/>
      </c>
      <c r="P435" s="5" t="str">
        <f aca="false">IF(K435=1,SUM($N$6:N435),"")</f>
        <v/>
      </c>
      <c r="Q435" s="5" t="str">
        <f aca="false">IF(K435=1,SUMIFS($H$6:$H$511,$L$6:$L$511,L435,$K$6:$K$511,1),"")</f>
        <v/>
      </c>
      <c r="R435" s="78" t="str">
        <f aca="false">IF(B435="","",IF(INDEX(報告入力!$X$7:$X$696,B435)="","",INDEX(報告入力!$X$7:$X$696,B435)))</f>
        <v/>
      </c>
      <c r="S435" s="5" t="str">
        <f aca="false">設定!$C$56</f>
        <v>子ども・子育て支援納付金：負担金</v>
      </c>
    </row>
    <row r="436" customFormat="false" ht="15" hidden="false" customHeight="false" outlineLevel="0" collapsed="false">
      <c r="A436" s="5" t="str">
        <f aca="false">設定!B69</f>
        <v>農業委員会</v>
      </c>
      <c r="B436" s="5" t="n">
        <f aca="false">IFERROR(MATCH(ホーム!$C$4&amp;"|"&amp;A436,報告入力!$CG$7:$CG$696,0),"")</f>
        <v>331</v>
      </c>
      <c r="C436" s="5" t="str">
        <f aca="false">IF(B436="","",INDEX(報告入力!$C$7:$C$696,B436))</f>
        <v>未受領</v>
      </c>
      <c r="D436" s="5" t="str">
        <f aca="false">設定!$A$42</f>
        <v>子ども・子育て支援納付金経理</v>
      </c>
      <c r="E436" s="5" t="str">
        <f aca="false">設定!$B$42&amp;""</f>
        <v/>
      </c>
      <c r="F436" s="5" t="str">
        <f aca="false">設定!$D$55&amp;""</f>
        <v/>
      </c>
      <c r="G436" s="5" t="str">
        <f aca="false">設定!$E$55&amp;""</f>
        <v/>
      </c>
      <c r="H436" s="5" t="n">
        <f aca="false">IF(B436="",0,N(INDEX(報告入力!$BD$7:$BD$696,B436)))</f>
        <v>1</v>
      </c>
      <c r="I436" s="5" t="str">
        <f aca="false">設定!$C$42&amp;""</f>
        <v/>
      </c>
      <c r="J436" s="5" t="str">
        <f aca="false">設定!$D$42&amp;""</f>
        <v/>
      </c>
      <c r="K436" s="5" t="n">
        <f aca="false">IF(AND(H436&lt;&gt;0,IF(設定!$B$6="入金確認済のみ",C436="入金確認済",OR(C436="入金確認済",C436="受領済"))),1,0)</f>
        <v>0</v>
      </c>
      <c r="L436" s="5" t="str">
        <f aca="false">4&amp;"|"&amp;9</f>
        <v>4|9</v>
      </c>
      <c r="M436" s="5" t="n">
        <f aca="false">IF(L436=L435,M435,0)+K436</f>
        <v>0</v>
      </c>
      <c r="N436" s="5" t="n">
        <f aca="false">IF(AND(K436=1,M436=1),1,0)</f>
        <v>0</v>
      </c>
      <c r="O436" s="5" t="str">
        <f aca="false">IF(K436=1,MAX($O$5:O435)+1,"")</f>
        <v/>
      </c>
      <c r="P436" s="5" t="str">
        <f aca="false">IF(K436=1,SUM($N$6:N436),"")</f>
        <v/>
      </c>
      <c r="Q436" s="5" t="str">
        <f aca="false">IF(K436=1,SUMIFS($H$6:$H$511,$L$6:$L$511,L436,$K$6:$K$511,1),"")</f>
        <v/>
      </c>
      <c r="R436" s="78" t="str">
        <f aca="false">IF(B436="","",IF(INDEX(報告入力!$X$7:$X$696,B436)="","",INDEX(報告入力!$X$7:$X$696,B436)))</f>
        <v/>
      </c>
      <c r="S436" s="5" t="str">
        <f aca="false">設定!$C$55</f>
        <v>子ども・子育て支援納付金：掛金</v>
      </c>
    </row>
    <row r="437" customFormat="false" ht="15" hidden="false" customHeight="false" outlineLevel="0" collapsed="false">
      <c r="A437" s="5" t="str">
        <f aca="false">設定!B69</f>
        <v>農業委員会</v>
      </c>
      <c r="B437" s="5" t="n">
        <f aca="false">IFERROR(MATCH(ホーム!$C$4&amp;"|"&amp;A437,報告入力!$CG$7:$CG$696,0),"")</f>
        <v>331</v>
      </c>
      <c r="C437" s="5" t="str">
        <f aca="false">IF(B437="","",INDEX(報告入力!$C$7:$C$696,B437))</f>
        <v>未受領</v>
      </c>
      <c r="D437" s="5" t="str">
        <f aca="false">設定!$A$42</f>
        <v>子ども・子育て支援納付金経理</v>
      </c>
      <c r="E437" s="5" t="str">
        <f aca="false">設定!$B$42&amp;""</f>
        <v/>
      </c>
      <c r="F437" s="5" t="str">
        <f aca="false">設定!$D$56&amp;""</f>
        <v/>
      </c>
      <c r="G437" s="5" t="str">
        <f aca="false">設定!$E$56&amp;""</f>
        <v/>
      </c>
      <c r="H437" s="5" t="n">
        <f aca="false">IF(B437="",0,N(INDEX(報告入力!$BE$7:$BE$696,B437)))</f>
        <v>1</v>
      </c>
      <c r="I437" s="5" t="str">
        <f aca="false">設定!$C$42&amp;""</f>
        <v/>
      </c>
      <c r="J437" s="5" t="str">
        <f aca="false">設定!$D$42&amp;""</f>
        <v/>
      </c>
      <c r="K437" s="5" t="n">
        <f aca="false">IF(AND(H437&lt;&gt;0,IF(設定!$B$6="入金確認済のみ",C437="入金確認済",OR(C437="入金確認済",C437="受領済"))),1,0)</f>
        <v>0</v>
      </c>
      <c r="L437" s="5" t="str">
        <f aca="false">4&amp;"|"&amp;9</f>
        <v>4|9</v>
      </c>
      <c r="M437" s="5" t="n">
        <f aca="false">IF(L437=L436,M436,0)+K437</f>
        <v>0</v>
      </c>
      <c r="N437" s="5" t="n">
        <f aca="false">IF(AND(K437=1,M437=1),1,0)</f>
        <v>0</v>
      </c>
      <c r="O437" s="5" t="str">
        <f aca="false">IF(K437=1,MAX($O$5:O436)+1,"")</f>
        <v/>
      </c>
      <c r="P437" s="5" t="str">
        <f aca="false">IF(K437=1,SUM($N$6:N437),"")</f>
        <v/>
      </c>
      <c r="Q437" s="5" t="str">
        <f aca="false">IF(K437=1,SUMIFS($H$6:$H$511,$L$6:$L$511,L437,$K$6:$K$511,1),"")</f>
        <v/>
      </c>
      <c r="R437" s="78" t="str">
        <f aca="false">IF(B437="","",IF(INDEX(報告入力!$X$7:$X$696,B437)="","",INDEX(報告入力!$X$7:$X$696,B437)))</f>
        <v/>
      </c>
      <c r="S437" s="5" t="str">
        <f aca="false">設定!$C$56</f>
        <v>子ども・子育て支援納付金：負担金</v>
      </c>
    </row>
    <row r="438" customFormat="false" ht="15" hidden="false" customHeight="false" outlineLevel="0" collapsed="false">
      <c r="A438" s="5" t="str">
        <f aca="false">設定!B70</f>
        <v>水道局</v>
      </c>
      <c r="B438" s="5" t="n">
        <f aca="false">IFERROR(MATCH(ホーム!$C$4&amp;"|"&amp;A438,報告入力!$CG$7:$CG$696,0),"")</f>
        <v>332</v>
      </c>
      <c r="C438" s="5" t="str">
        <f aca="false">IF(B438="","",INDEX(報告入力!$C$7:$C$696,B438))</f>
        <v>未受領</v>
      </c>
      <c r="D438" s="5" t="str">
        <f aca="false">設定!$A$42</f>
        <v>子ども・子育て支援納付金経理</v>
      </c>
      <c r="E438" s="5" t="str">
        <f aca="false">設定!$B$42&amp;""</f>
        <v/>
      </c>
      <c r="F438" s="5" t="str">
        <f aca="false">設定!$D$55&amp;""</f>
        <v/>
      </c>
      <c r="G438" s="5" t="str">
        <f aca="false">設定!$E$55&amp;""</f>
        <v/>
      </c>
      <c r="H438" s="5" t="n">
        <f aca="false">IF(B438="",0,N(INDEX(報告入力!$BD$7:$BD$696,B438)))</f>
        <v>1</v>
      </c>
      <c r="I438" s="5" t="str">
        <f aca="false">設定!$C$42&amp;""</f>
        <v/>
      </c>
      <c r="J438" s="5" t="str">
        <f aca="false">設定!$D$42&amp;""</f>
        <v/>
      </c>
      <c r="K438" s="5" t="n">
        <f aca="false">IF(AND(H438&lt;&gt;0,IF(設定!$B$6="入金確認済のみ",C438="入金確認済",OR(C438="入金確認済",C438="受領済"))),1,0)</f>
        <v>0</v>
      </c>
      <c r="L438" s="5" t="str">
        <f aca="false">4&amp;"|"&amp;10</f>
        <v>4|10</v>
      </c>
      <c r="M438" s="5" t="n">
        <f aca="false">IF(L438=L437,M437,0)+K438</f>
        <v>0</v>
      </c>
      <c r="N438" s="5" t="n">
        <f aca="false">IF(AND(K438=1,M438=1),1,0)</f>
        <v>0</v>
      </c>
      <c r="O438" s="5" t="str">
        <f aca="false">IF(K438=1,MAX($O$5:O437)+1,"")</f>
        <v/>
      </c>
      <c r="P438" s="5" t="str">
        <f aca="false">IF(K438=1,SUM($N$6:N438),"")</f>
        <v/>
      </c>
      <c r="Q438" s="5" t="str">
        <f aca="false">IF(K438=1,SUMIFS($H$6:$H$511,$L$6:$L$511,L438,$K$6:$K$511,1),"")</f>
        <v/>
      </c>
      <c r="R438" s="78" t="str">
        <f aca="false">IF(B438="","",IF(INDEX(報告入力!$X$7:$X$696,B438)="","",INDEX(報告入力!$X$7:$X$696,B438)))</f>
        <v/>
      </c>
      <c r="S438" s="5" t="str">
        <f aca="false">設定!$C$55</f>
        <v>子ども・子育て支援納付金：掛金</v>
      </c>
    </row>
    <row r="439" customFormat="false" ht="15" hidden="false" customHeight="false" outlineLevel="0" collapsed="false">
      <c r="A439" s="5" t="str">
        <f aca="false">設定!B70</f>
        <v>水道局</v>
      </c>
      <c r="B439" s="5" t="n">
        <f aca="false">IFERROR(MATCH(ホーム!$C$4&amp;"|"&amp;A439,報告入力!$CG$7:$CG$696,0),"")</f>
        <v>332</v>
      </c>
      <c r="C439" s="5" t="str">
        <f aca="false">IF(B439="","",INDEX(報告入力!$C$7:$C$696,B439))</f>
        <v>未受領</v>
      </c>
      <c r="D439" s="5" t="str">
        <f aca="false">設定!$A$42</f>
        <v>子ども・子育て支援納付金経理</v>
      </c>
      <c r="E439" s="5" t="str">
        <f aca="false">設定!$B$42&amp;""</f>
        <v/>
      </c>
      <c r="F439" s="5" t="str">
        <f aca="false">設定!$D$56&amp;""</f>
        <v/>
      </c>
      <c r="G439" s="5" t="str">
        <f aca="false">設定!$E$56&amp;""</f>
        <v/>
      </c>
      <c r="H439" s="5" t="n">
        <f aca="false">IF(B439="",0,N(INDEX(報告入力!$BE$7:$BE$696,B439)))</f>
        <v>1</v>
      </c>
      <c r="I439" s="5" t="str">
        <f aca="false">設定!$C$42&amp;""</f>
        <v/>
      </c>
      <c r="J439" s="5" t="str">
        <f aca="false">設定!$D$42&amp;""</f>
        <v/>
      </c>
      <c r="K439" s="5" t="n">
        <f aca="false">IF(AND(H439&lt;&gt;0,IF(設定!$B$6="入金確認済のみ",C439="入金確認済",OR(C439="入金確認済",C439="受領済"))),1,0)</f>
        <v>0</v>
      </c>
      <c r="L439" s="5" t="str">
        <f aca="false">4&amp;"|"&amp;10</f>
        <v>4|10</v>
      </c>
      <c r="M439" s="5" t="n">
        <f aca="false">IF(L439=L438,M438,0)+K439</f>
        <v>0</v>
      </c>
      <c r="N439" s="5" t="n">
        <f aca="false">IF(AND(K439=1,M439=1),1,0)</f>
        <v>0</v>
      </c>
      <c r="O439" s="5" t="str">
        <f aca="false">IF(K439=1,MAX($O$5:O438)+1,"")</f>
        <v/>
      </c>
      <c r="P439" s="5" t="str">
        <f aca="false">IF(K439=1,SUM($N$6:N439),"")</f>
        <v/>
      </c>
      <c r="Q439" s="5" t="str">
        <f aca="false">IF(K439=1,SUMIFS($H$6:$H$511,$L$6:$L$511,L439,$K$6:$K$511,1),"")</f>
        <v/>
      </c>
      <c r="R439" s="78" t="str">
        <f aca="false">IF(B439="","",IF(INDEX(報告入力!$X$7:$X$696,B439)="","",INDEX(報告入力!$X$7:$X$696,B439)))</f>
        <v/>
      </c>
      <c r="S439" s="5" t="str">
        <f aca="false">設定!$C$56</f>
        <v>子ども・子育て支援納付金：負担金</v>
      </c>
    </row>
    <row r="440" customFormat="false" ht="15" hidden="false" customHeight="false" outlineLevel="0" collapsed="false">
      <c r="A440" s="5" t="str">
        <f aca="false">設定!B71</f>
        <v>医療政策課(安芸市民)</v>
      </c>
      <c r="B440" s="5" t="n">
        <f aca="false">IFERROR(MATCH(ホーム!$C$4&amp;"|"&amp;A440,報告入力!$CG$7:$CG$696,0),"")</f>
        <v>333</v>
      </c>
      <c r="C440" s="5" t="str">
        <f aca="false">IF(B440="","",INDEX(報告入力!$C$7:$C$696,B440))</f>
        <v>未受領</v>
      </c>
      <c r="D440" s="5" t="str">
        <f aca="false">設定!$A$42</f>
        <v>子ども・子育て支援納付金経理</v>
      </c>
      <c r="E440" s="5" t="str">
        <f aca="false">設定!$B$42&amp;""</f>
        <v/>
      </c>
      <c r="F440" s="5" t="str">
        <f aca="false">設定!$D$55&amp;""</f>
        <v/>
      </c>
      <c r="G440" s="5" t="str">
        <f aca="false">設定!$E$55&amp;""</f>
        <v/>
      </c>
      <c r="H440" s="5" t="n">
        <f aca="false">IF(B440="",0,N(INDEX(報告入力!$BD$7:$BD$696,B440)))</f>
        <v>1</v>
      </c>
      <c r="I440" s="5" t="str">
        <f aca="false">設定!$C$42&amp;""</f>
        <v/>
      </c>
      <c r="J440" s="5" t="str">
        <f aca="false">設定!$D$42&amp;""</f>
        <v/>
      </c>
      <c r="K440" s="5" t="n">
        <f aca="false">IF(AND(H440&lt;&gt;0,IF(設定!$B$6="入金確認済のみ",C440="入金確認済",OR(C440="入金確認済",C440="受領済"))),1,0)</f>
        <v>0</v>
      </c>
      <c r="L440" s="5" t="str">
        <f aca="false">4&amp;"|"&amp;11</f>
        <v>4|11</v>
      </c>
      <c r="M440" s="5" t="n">
        <f aca="false">IF(L440=L439,M439,0)+K440</f>
        <v>0</v>
      </c>
      <c r="N440" s="5" t="n">
        <f aca="false">IF(AND(K440=1,M440=1),1,0)</f>
        <v>0</v>
      </c>
      <c r="O440" s="5" t="str">
        <f aca="false">IF(K440=1,MAX($O$5:O439)+1,"")</f>
        <v/>
      </c>
      <c r="P440" s="5" t="str">
        <f aca="false">IF(K440=1,SUM($N$6:N440),"")</f>
        <v/>
      </c>
      <c r="Q440" s="5" t="str">
        <f aca="false">IF(K440=1,SUMIFS($H$6:$H$511,$L$6:$L$511,L440,$K$6:$K$511,1),"")</f>
        <v/>
      </c>
      <c r="R440" s="78" t="str">
        <f aca="false">IF(B440="","",IF(INDEX(報告入力!$X$7:$X$696,B440)="","",INDEX(報告入力!$X$7:$X$696,B440)))</f>
        <v/>
      </c>
      <c r="S440" s="5" t="str">
        <f aca="false">設定!$C$55</f>
        <v>子ども・子育て支援納付金：掛金</v>
      </c>
    </row>
    <row r="441" customFormat="false" ht="15" hidden="false" customHeight="false" outlineLevel="0" collapsed="false">
      <c r="A441" s="5" t="str">
        <f aca="false">設定!B71</f>
        <v>医療政策課(安芸市民)</v>
      </c>
      <c r="B441" s="5" t="n">
        <f aca="false">IFERROR(MATCH(ホーム!$C$4&amp;"|"&amp;A441,報告入力!$CG$7:$CG$696,0),"")</f>
        <v>333</v>
      </c>
      <c r="C441" s="5" t="str">
        <f aca="false">IF(B441="","",INDEX(報告入力!$C$7:$C$696,B441))</f>
        <v>未受領</v>
      </c>
      <c r="D441" s="5" t="str">
        <f aca="false">設定!$A$42</f>
        <v>子ども・子育て支援納付金経理</v>
      </c>
      <c r="E441" s="5" t="str">
        <f aca="false">設定!$B$42&amp;""</f>
        <v/>
      </c>
      <c r="F441" s="5" t="str">
        <f aca="false">設定!$D$56&amp;""</f>
        <v/>
      </c>
      <c r="G441" s="5" t="str">
        <f aca="false">設定!$E$56&amp;""</f>
        <v/>
      </c>
      <c r="H441" s="5" t="n">
        <f aca="false">IF(B441="",0,N(INDEX(報告入力!$BE$7:$BE$696,B441)))</f>
        <v>1</v>
      </c>
      <c r="I441" s="5" t="str">
        <f aca="false">設定!$C$42&amp;""</f>
        <v/>
      </c>
      <c r="J441" s="5" t="str">
        <f aca="false">設定!$D$42&amp;""</f>
        <v/>
      </c>
      <c r="K441" s="5" t="n">
        <f aca="false">IF(AND(H441&lt;&gt;0,IF(設定!$B$6="入金確認済のみ",C441="入金確認済",OR(C441="入金確認済",C441="受領済"))),1,0)</f>
        <v>0</v>
      </c>
      <c r="L441" s="5" t="str">
        <f aca="false">4&amp;"|"&amp;11</f>
        <v>4|11</v>
      </c>
      <c r="M441" s="5" t="n">
        <f aca="false">IF(L441=L440,M440,0)+K441</f>
        <v>0</v>
      </c>
      <c r="N441" s="5" t="n">
        <f aca="false">IF(AND(K441=1,M441=1),1,0)</f>
        <v>0</v>
      </c>
      <c r="O441" s="5" t="str">
        <f aca="false">IF(K441=1,MAX($O$5:O440)+1,"")</f>
        <v/>
      </c>
      <c r="P441" s="5" t="str">
        <f aca="false">IF(K441=1,SUM($N$6:N441),"")</f>
        <v/>
      </c>
      <c r="Q441" s="5" t="str">
        <f aca="false">IF(K441=1,SUMIFS($H$6:$H$511,$L$6:$L$511,L441,$K$6:$K$511,1),"")</f>
        <v/>
      </c>
      <c r="R441" s="78" t="str">
        <f aca="false">IF(B441="","",IF(INDEX(報告入力!$X$7:$X$696,B441)="","",INDEX(報告入力!$X$7:$X$696,B441)))</f>
        <v/>
      </c>
      <c r="S441" s="5" t="str">
        <f aca="false">設定!$C$56</f>
        <v>子ども・子育て支援納付金：負担金</v>
      </c>
    </row>
    <row r="442" customFormat="false" ht="15" hidden="false" customHeight="false" outlineLevel="0" collapsed="false">
      <c r="A442" s="5" t="str">
        <f aca="false">設定!B72</f>
        <v>教育委員会（教育給与課）</v>
      </c>
      <c r="B442" s="5" t="n">
        <f aca="false">IFERROR(MATCH(ホーム!$C$4&amp;"|"&amp;A442,報告入力!$CG$7:$CG$696,0),"")</f>
        <v>334</v>
      </c>
      <c r="C442" s="5" t="str">
        <f aca="false">IF(B442="","",INDEX(報告入力!$C$7:$C$696,B442))</f>
        <v>未受領</v>
      </c>
      <c r="D442" s="5" t="str">
        <f aca="false">設定!$A$42</f>
        <v>子ども・子育て支援納付金経理</v>
      </c>
      <c r="E442" s="5" t="str">
        <f aca="false">設定!$B$42&amp;""</f>
        <v/>
      </c>
      <c r="F442" s="5" t="str">
        <f aca="false">設定!$D$55&amp;""</f>
        <v/>
      </c>
      <c r="G442" s="5" t="str">
        <f aca="false">設定!$E$55&amp;""</f>
        <v/>
      </c>
      <c r="H442" s="5" t="n">
        <f aca="false">IF(B442="",0,N(INDEX(報告入力!$BD$7:$BD$696,B442)))</f>
        <v>1</v>
      </c>
      <c r="I442" s="5" t="str">
        <f aca="false">設定!$C$42&amp;""</f>
        <v/>
      </c>
      <c r="J442" s="5" t="str">
        <f aca="false">設定!$D$42&amp;""</f>
        <v/>
      </c>
      <c r="K442" s="5" t="n">
        <f aca="false">IF(AND(H442&lt;&gt;0,IF(設定!$B$6="入金確認済のみ",C442="入金確認済",OR(C442="入金確認済",C442="受領済"))),1,0)</f>
        <v>0</v>
      </c>
      <c r="L442" s="5" t="str">
        <f aca="false">4&amp;"|"&amp;12</f>
        <v>4|12</v>
      </c>
      <c r="M442" s="5" t="n">
        <f aca="false">IF(L442=L441,M441,0)+K442</f>
        <v>0</v>
      </c>
      <c r="N442" s="5" t="n">
        <f aca="false">IF(AND(K442=1,M442=1),1,0)</f>
        <v>0</v>
      </c>
      <c r="O442" s="5" t="str">
        <f aca="false">IF(K442=1,MAX($O$5:O441)+1,"")</f>
        <v/>
      </c>
      <c r="P442" s="5" t="str">
        <f aca="false">IF(K442=1,SUM($N$6:N442),"")</f>
        <v/>
      </c>
      <c r="Q442" s="5" t="str">
        <f aca="false">IF(K442=1,SUMIFS($H$6:$H$511,$L$6:$L$511,L442,$K$6:$K$511,1),"")</f>
        <v/>
      </c>
      <c r="R442" s="78" t="str">
        <f aca="false">IF(B442="","",IF(INDEX(報告入力!$X$7:$X$696,B442)="","",INDEX(報告入力!$X$7:$X$696,B442)))</f>
        <v/>
      </c>
      <c r="S442" s="5" t="str">
        <f aca="false">設定!$C$55</f>
        <v>子ども・子育て支援納付金：掛金</v>
      </c>
    </row>
    <row r="443" customFormat="false" ht="15" hidden="false" customHeight="false" outlineLevel="0" collapsed="false">
      <c r="A443" s="5" t="str">
        <f aca="false">設定!B72</f>
        <v>教育委員会（教育給与課）</v>
      </c>
      <c r="B443" s="5" t="n">
        <f aca="false">IFERROR(MATCH(ホーム!$C$4&amp;"|"&amp;A443,報告入力!$CG$7:$CG$696,0),"")</f>
        <v>334</v>
      </c>
      <c r="C443" s="5" t="str">
        <f aca="false">IF(B443="","",INDEX(報告入力!$C$7:$C$696,B443))</f>
        <v>未受領</v>
      </c>
      <c r="D443" s="5" t="str">
        <f aca="false">設定!$A$42</f>
        <v>子ども・子育て支援納付金経理</v>
      </c>
      <c r="E443" s="5" t="str">
        <f aca="false">設定!$B$42&amp;""</f>
        <v/>
      </c>
      <c r="F443" s="5" t="str">
        <f aca="false">設定!$D$56&amp;""</f>
        <v/>
      </c>
      <c r="G443" s="5" t="str">
        <f aca="false">設定!$E$56&amp;""</f>
        <v/>
      </c>
      <c r="H443" s="5" t="n">
        <f aca="false">IF(B443="",0,N(INDEX(報告入力!$BE$7:$BE$696,B443)))</f>
        <v>1</v>
      </c>
      <c r="I443" s="5" t="str">
        <f aca="false">設定!$C$42&amp;""</f>
        <v/>
      </c>
      <c r="J443" s="5" t="str">
        <f aca="false">設定!$D$42&amp;""</f>
        <v/>
      </c>
      <c r="K443" s="5" t="n">
        <f aca="false">IF(AND(H443&lt;&gt;0,IF(設定!$B$6="入金確認済のみ",C443="入金確認済",OR(C443="入金確認済",C443="受領済"))),1,0)</f>
        <v>0</v>
      </c>
      <c r="L443" s="5" t="str">
        <f aca="false">4&amp;"|"&amp;12</f>
        <v>4|12</v>
      </c>
      <c r="M443" s="5" t="n">
        <f aca="false">IF(L443=L442,M442,0)+K443</f>
        <v>0</v>
      </c>
      <c r="N443" s="5" t="n">
        <f aca="false">IF(AND(K443=1,M443=1),1,0)</f>
        <v>0</v>
      </c>
      <c r="O443" s="5" t="str">
        <f aca="false">IF(K443=1,MAX($O$5:O442)+1,"")</f>
        <v/>
      </c>
      <c r="P443" s="5" t="str">
        <f aca="false">IF(K443=1,SUM($N$6:N443),"")</f>
        <v/>
      </c>
      <c r="Q443" s="5" t="str">
        <f aca="false">IF(K443=1,SUMIFS($H$6:$H$511,$L$6:$L$511,L443,$K$6:$K$511,1),"")</f>
        <v/>
      </c>
      <c r="R443" s="78" t="str">
        <f aca="false">IF(B443="","",IF(INDEX(報告入力!$X$7:$X$696,B443)="","",INDEX(報告入力!$X$7:$X$696,B443)))</f>
        <v/>
      </c>
      <c r="S443" s="5" t="str">
        <f aca="false">設定!$C$56</f>
        <v>子ども・子育て支援納付金：負担金</v>
      </c>
    </row>
    <row r="444" customFormat="false" ht="15" hidden="false" customHeight="false" outlineLevel="0" collapsed="false">
      <c r="A444" s="5" t="str">
        <f aca="false">設定!B73</f>
        <v>地方税共同機構</v>
      </c>
      <c r="B444" s="5" t="n">
        <f aca="false">IFERROR(MATCH(ホーム!$C$4&amp;"|"&amp;A444,報告入力!$CG$7:$CG$696,0),"")</f>
        <v>335</v>
      </c>
      <c r="C444" s="5" t="str">
        <f aca="false">IF(B444="","",INDEX(報告入力!$C$7:$C$696,B444))</f>
        <v>報告なし</v>
      </c>
      <c r="D444" s="5" t="str">
        <f aca="false">設定!$A$42</f>
        <v>子ども・子育て支援納付金経理</v>
      </c>
      <c r="E444" s="5" t="str">
        <f aca="false">設定!$B$42&amp;""</f>
        <v/>
      </c>
      <c r="F444" s="5" t="str">
        <f aca="false">設定!$D$55&amp;""</f>
        <v/>
      </c>
      <c r="G444" s="5" t="str">
        <f aca="false">設定!$E$55&amp;""</f>
        <v/>
      </c>
      <c r="H444" s="5" t="n">
        <f aca="false">IF(B444="",0,N(INDEX(報告入力!$BD$7:$BD$696,B444)))</f>
        <v>0</v>
      </c>
      <c r="I444" s="5" t="str">
        <f aca="false">設定!$C$42&amp;""</f>
        <v/>
      </c>
      <c r="J444" s="5" t="str">
        <f aca="false">設定!$D$42&amp;""</f>
        <v/>
      </c>
      <c r="K444" s="5" t="n">
        <f aca="false">IF(AND(H444&lt;&gt;0,IF(設定!$B$6="入金確認済のみ",C444="入金確認済",OR(C444="入金確認済",C444="受領済"))),1,0)</f>
        <v>0</v>
      </c>
      <c r="L444" s="5" t="str">
        <f aca="false">4&amp;"|"&amp;13</f>
        <v>4|13</v>
      </c>
      <c r="M444" s="5" t="n">
        <f aca="false">IF(L444=L443,M443,0)+K444</f>
        <v>0</v>
      </c>
      <c r="N444" s="5" t="n">
        <f aca="false">IF(AND(K444=1,M444=1),1,0)</f>
        <v>0</v>
      </c>
      <c r="O444" s="5" t="str">
        <f aca="false">IF(K444=1,MAX($O$5:O443)+1,"")</f>
        <v/>
      </c>
      <c r="P444" s="5" t="str">
        <f aca="false">IF(K444=1,SUM($N$6:N444),"")</f>
        <v/>
      </c>
      <c r="Q444" s="5" t="str">
        <f aca="false">IF(K444=1,SUMIFS($H$6:$H$511,$L$6:$L$511,L444,$K$6:$K$511,1),"")</f>
        <v/>
      </c>
      <c r="R444" s="78" t="str">
        <f aca="false">IF(B444="","",IF(INDEX(報告入力!$X$7:$X$696,B444)="","",INDEX(報告入力!$X$7:$X$696,B444)))</f>
        <v/>
      </c>
      <c r="S444" s="5" t="str">
        <f aca="false">設定!$C$55</f>
        <v>子ども・子育て支援納付金：掛金</v>
      </c>
    </row>
    <row r="445" customFormat="false" ht="15" hidden="false" customHeight="false" outlineLevel="0" collapsed="false">
      <c r="A445" s="5" t="str">
        <f aca="false">設定!B73</f>
        <v>地方税共同機構</v>
      </c>
      <c r="B445" s="5" t="n">
        <f aca="false">IFERROR(MATCH(ホーム!$C$4&amp;"|"&amp;A445,報告入力!$CG$7:$CG$696,0),"")</f>
        <v>335</v>
      </c>
      <c r="C445" s="5" t="str">
        <f aca="false">IF(B445="","",INDEX(報告入力!$C$7:$C$696,B445))</f>
        <v>報告なし</v>
      </c>
      <c r="D445" s="5" t="str">
        <f aca="false">設定!$A$42</f>
        <v>子ども・子育て支援納付金経理</v>
      </c>
      <c r="E445" s="5" t="str">
        <f aca="false">設定!$B$42&amp;""</f>
        <v/>
      </c>
      <c r="F445" s="5" t="str">
        <f aca="false">設定!$D$56&amp;""</f>
        <v/>
      </c>
      <c r="G445" s="5" t="str">
        <f aca="false">設定!$E$56&amp;""</f>
        <v/>
      </c>
      <c r="H445" s="5" t="n">
        <f aca="false">IF(B445="",0,N(INDEX(報告入力!$BE$7:$BE$696,B445)))</f>
        <v>0</v>
      </c>
      <c r="I445" s="5" t="str">
        <f aca="false">設定!$C$42&amp;""</f>
        <v/>
      </c>
      <c r="J445" s="5" t="str">
        <f aca="false">設定!$D$42&amp;""</f>
        <v/>
      </c>
      <c r="K445" s="5" t="n">
        <f aca="false">IF(AND(H445&lt;&gt;0,IF(設定!$B$6="入金確認済のみ",C445="入金確認済",OR(C445="入金確認済",C445="受領済"))),1,0)</f>
        <v>0</v>
      </c>
      <c r="L445" s="5" t="str">
        <f aca="false">4&amp;"|"&amp;13</f>
        <v>4|13</v>
      </c>
      <c r="M445" s="5" t="n">
        <f aca="false">IF(L445=L444,M444,0)+K445</f>
        <v>0</v>
      </c>
      <c r="N445" s="5" t="n">
        <f aca="false">IF(AND(K445=1,M445=1),1,0)</f>
        <v>0</v>
      </c>
      <c r="O445" s="5" t="str">
        <f aca="false">IF(K445=1,MAX($O$5:O444)+1,"")</f>
        <v/>
      </c>
      <c r="P445" s="5" t="str">
        <f aca="false">IF(K445=1,SUM($N$6:N445),"")</f>
        <v/>
      </c>
      <c r="Q445" s="5" t="str">
        <f aca="false">IF(K445=1,SUMIFS($H$6:$H$511,$L$6:$L$511,L445,$K$6:$K$511,1),"")</f>
        <v/>
      </c>
      <c r="R445" s="78" t="str">
        <f aca="false">IF(B445="","",IF(INDEX(報告入力!$X$7:$X$696,B445)="","",INDEX(報告入力!$X$7:$X$696,B445)))</f>
        <v/>
      </c>
      <c r="S445" s="5" t="str">
        <f aca="false">設定!$C$56</f>
        <v>子ども・子育て支援納付金：負担金</v>
      </c>
    </row>
    <row r="446" customFormat="false" ht="15" hidden="false" customHeight="false" outlineLevel="0" collapsed="false">
      <c r="A446" s="5" t="str">
        <f aca="false">設定!B74</f>
        <v>平和文化センター</v>
      </c>
      <c r="B446" s="5" t="n">
        <f aca="false">IFERROR(MATCH(ホーム!$C$4&amp;"|"&amp;A446,報告入力!$CG$7:$CG$696,0),"")</f>
        <v>336</v>
      </c>
      <c r="C446" s="5" t="str">
        <f aca="false">IF(B446="","",INDEX(報告入力!$C$7:$C$696,B446))</f>
        <v>未受領</v>
      </c>
      <c r="D446" s="5" t="str">
        <f aca="false">設定!$A$42</f>
        <v>子ども・子育て支援納付金経理</v>
      </c>
      <c r="E446" s="5" t="str">
        <f aca="false">設定!$B$42&amp;""</f>
        <v/>
      </c>
      <c r="F446" s="5" t="str">
        <f aca="false">設定!$D$55&amp;""</f>
        <v/>
      </c>
      <c r="G446" s="5" t="str">
        <f aca="false">設定!$E$55&amp;""</f>
        <v/>
      </c>
      <c r="H446" s="5" t="n">
        <f aca="false">IF(B446="",0,N(INDEX(報告入力!$BD$7:$BD$696,B446)))</f>
        <v>0</v>
      </c>
      <c r="I446" s="5" t="str">
        <f aca="false">設定!$C$42&amp;""</f>
        <v/>
      </c>
      <c r="J446" s="5" t="str">
        <f aca="false">設定!$D$42&amp;""</f>
        <v/>
      </c>
      <c r="K446" s="5" t="n">
        <f aca="false">IF(AND(H446&lt;&gt;0,IF(設定!$B$6="入金確認済のみ",C446="入金確認済",OR(C446="入金確認済",C446="受領済"))),1,0)</f>
        <v>0</v>
      </c>
      <c r="L446" s="5" t="str">
        <f aca="false">4&amp;"|"&amp;14</f>
        <v>4|14</v>
      </c>
      <c r="M446" s="5" t="n">
        <f aca="false">IF(L446=L445,M445,0)+K446</f>
        <v>0</v>
      </c>
      <c r="N446" s="5" t="n">
        <f aca="false">IF(AND(K446=1,M446=1),1,0)</f>
        <v>0</v>
      </c>
      <c r="O446" s="5" t="str">
        <f aca="false">IF(K446=1,MAX($O$5:O445)+1,"")</f>
        <v/>
      </c>
      <c r="P446" s="5" t="str">
        <f aca="false">IF(K446=1,SUM($N$6:N446),"")</f>
        <v/>
      </c>
      <c r="Q446" s="5" t="str">
        <f aca="false">IF(K446=1,SUMIFS($H$6:$H$511,$L$6:$L$511,L446,$K$6:$K$511,1),"")</f>
        <v/>
      </c>
      <c r="R446" s="78" t="str">
        <f aca="false">IF(B446="","",IF(INDEX(報告入力!$X$7:$X$696,B446)="","",INDEX(報告入力!$X$7:$X$696,B446)))</f>
        <v/>
      </c>
      <c r="S446" s="5" t="str">
        <f aca="false">設定!$C$55</f>
        <v>子ども・子育て支援納付金：掛金</v>
      </c>
    </row>
    <row r="447" customFormat="false" ht="15" hidden="false" customHeight="false" outlineLevel="0" collapsed="false">
      <c r="A447" s="5" t="str">
        <f aca="false">設定!B74</f>
        <v>平和文化センター</v>
      </c>
      <c r="B447" s="5" t="n">
        <f aca="false">IFERROR(MATCH(ホーム!$C$4&amp;"|"&amp;A447,報告入力!$CG$7:$CG$696,0),"")</f>
        <v>336</v>
      </c>
      <c r="C447" s="5" t="str">
        <f aca="false">IF(B447="","",INDEX(報告入力!$C$7:$C$696,B447))</f>
        <v>未受領</v>
      </c>
      <c r="D447" s="5" t="str">
        <f aca="false">設定!$A$42</f>
        <v>子ども・子育て支援納付金経理</v>
      </c>
      <c r="E447" s="5" t="str">
        <f aca="false">設定!$B$42&amp;""</f>
        <v/>
      </c>
      <c r="F447" s="5" t="str">
        <f aca="false">設定!$D$56&amp;""</f>
        <v/>
      </c>
      <c r="G447" s="5" t="str">
        <f aca="false">設定!$E$56&amp;""</f>
        <v/>
      </c>
      <c r="H447" s="5" t="n">
        <f aca="false">IF(B447="",0,N(INDEX(報告入力!$BE$7:$BE$696,B447)))</f>
        <v>1</v>
      </c>
      <c r="I447" s="5" t="str">
        <f aca="false">設定!$C$42&amp;""</f>
        <v/>
      </c>
      <c r="J447" s="5" t="str">
        <f aca="false">設定!$D$42&amp;""</f>
        <v/>
      </c>
      <c r="K447" s="5" t="n">
        <f aca="false">IF(AND(H447&lt;&gt;0,IF(設定!$B$6="入金確認済のみ",C447="入金確認済",OR(C447="入金確認済",C447="受領済"))),1,0)</f>
        <v>0</v>
      </c>
      <c r="L447" s="5" t="str">
        <f aca="false">4&amp;"|"&amp;14</f>
        <v>4|14</v>
      </c>
      <c r="M447" s="5" t="n">
        <f aca="false">IF(L447=L446,M446,0)+K447</f>
        <v>0</v>
      </c>
      <c r="N447" s="5" t="n">
        <f aca="false">IF(AND(K447=1,M447=1),1,0)</f>
        <v>0</v>
      </c>
      <c r="O447" s="5" t="str">
        <f aca="false">IF(K447=1,MAX($O$5:O446)+1,"")</f>
        <v/>
      </c>
      <c r="P447" s="5" t="str">
        <f aca="false">IF(K447=1,SUM($N$6:N447),"")</f>
        <v/>
      </c>
      <c r="Q447" s="5" t="str">
        <f aca="false">IF(K447=1,SUMIFS($H$6:$H$511,$L$6:$L$511,L447,$K$6:$K$511,1),"")</f>
        <v/>
      </c>
      <c r="R447" s="78" t="str">
        <f aca="false">IF(B447="","",IF(INDEX(報告入力!$X$7:$X$696,B447)="","",INDEX(報告入力!$X$7:$X$696,B447)))</f>
        <v/>
      </c>
      <c r="S447" s="5" t="str">
        <f aca="false">設定!$C$56</f>
        <v>子ども・子育て支援納付金：負担金</v>
      </c>
    </row>
    <row r="448" customFormat="false" ht="15" hidden="false" customHeight="false" outlineLevel="0" collapsed="false">
      <c r="A448" s="5" t="str">
        <f aca="false">設定!B75</f>
        <v>社会福祉事業団</v>
      </c>
      <c r="B448" s="5" t="n">
        <f aca="false">IFERROR(MATCH(ホーム!$C$4&amp;"|"&amp;A448,報告入力!$CG$7:$CG$696,0),"")</f>
        <v>337</v>
      </c>
      <c r="C448" s="5" t="str">
        <f aca="false">IF(B448="","",INDEX(報告入力!$C$7:$C$696,B448))</f>
        <v>未受領</v>
      </c>
      <c r="D448" s="5" t="str">
        <f aca="false">設定!$A$42</f>
        <v>子ども・子育て支援納付金経理</v>
      </c>
      <c r="E448" s="5" t="str">
        <f aca="false">設定!$B$42&amp;""</f>
        <v/>
      </c>
      <c r="F448" s="5" t="str">
        <f aca="false">設定!$D$55&amp;""</f>
        <v/>
      </c>
      <c r="G448" s="5" t="str">
        <f aca="false">設定!$E$55&amp;""</f>
        <v/>
      </c>
      <c r="H448" s="5" t="n">
        <f aca="false">IF(B448="",0,N(INDEX(報告入力!$BD$7:$BD$696,B448)))</f>
        <v>0</v>
      </c>
      <c r="I448" s="5" t="str">
        <f aca="false">設定!$C$42&amp;""</f>
        <v/>
      </c>
      <c r="J448" s="5" t="str">
        <f aca="false">設定!$D$42&amp;""</f>
        <v/>
      </c>
      <c r="K448" s="5" t="n">
        <f aca="false">IF(AND(H448&lt;&gt;0,IF(設定!$B$6="入金確認済のみ",C448="入金確認済",OR(C448="入金確認済",C448="受領済"))),1,0)</f>
        <v>0</v>
      </c>
      <c r="L448" s="5" t="str">
        <f aca="false">4&amp;"|"&amp;15</f>
        <v>4|15</v>
      </c>
      <c r="M448" s="5" t="n">
        <f aca="false">IF(L448=L447,M447,0)+K448</f>
        <v>0</v>
      </c>
      <c r="N448" s="5" t="n">
        <f aca="false">IF(AND(K448=1,M448=1),1,0)</f>
        <v>0</v>
      </c>
      <c r="O448" s="5" t="str">
        <f aca="false">IF(K448=1,MAX($O$5:O447)+1,"")</f>
        <v/>
      </c>
      <c r="P448" s="5" t="str">
        <f aca="false">IF(K448=1,SUM($N$6:N448),"")</f>
        <v/>
      </c>
      <c r="Q448" s="5" t="str">
        <f aca="false">IF(K448=1,SUMIFS($H$6:$H$511,$L$6:$L$511,L448,$K$6:$K$511,1),"")</f>
        <v/>
      </c>
      <c r="R448" s="78" t="str">
        <f aca="false">IF(B448="","",IF(INDEX(報告入力!$X$7:$X$696,B448)="","",INDEX(報告入力!$X$7:$X$696,B448)))</f>
        <v/>
      </c>
      <c r="S448" s="5" t="str">
        <f aca="false">設定!$C$55</f>
        <v>子ども・子育て支援納付金：掛金</v>
      </c>
    </row>
    <row r="449" customFormat="false" ht="15" hidden="false" customHeight="false" outlineLevel="0" collapsed="false">
      <c r="A449" s="5" t="str">
        <f aca="false">設定!B75</f>
        <v>社会福祉事業団</v>
      </c>
      <c r="B449" s="5" t="n">
        <f aca="false">IFERROR(MATCH(ホーム!$C$4&amp;"|"&amp;A449,報告入力!$CG$7:$CG$696,0),"")</f>
        <v>337</v>
      </c>
      <c r="C449" s="5" t="str">
        <f aca="false">IF(B449="","",INDEX(報告入力!$C$7:$C$696,B449))</f>
        <v>未受領</v>
      </c>
      <c r="D449" s="5" t="str">
        <f aca="false">設定!$A$42</f>
        <v>子ども・子育て支援納付金経理</v>
      </c>
      <c r="E449" s="5" t="str">
        <f aca="false">設定!$B$42&amp;""</f>
        <v/>
      </c>
      <c r="F449" s="5" t="str">
        <f aca="false">設定!$D$56&amp;""</f>
        <v/>
      </c>
      <c r="G449" s="5" t="str">
        <f aca="false">設定!$E$56&amp;""</f>
        <v/>
      </c>
      <c r="H449" s="5" t="n">
        <f aca="false">IF(B449="",0,N(INDEX(報告入力!$BE$7:$BE$696,B449)))</f>
        <v>1</v>
      </c>
      <c r="I449" s="5" t="str">
        <f aca="false">設定!$C$42&amp;""</f>
        <v/>
      </c>
      <c r="J449" s="5" t="str">
        <f aca="false">設定!$D$42&amp;""</f>
        <v/>
      </c>
      <c r="K449" s="5" t="n">
        <f aca="false">IF(AND(H449&lt;&gt;0,IF(設定!$B$6="入金確認済のみ",C449="入金確認済",OR(C449="入金確認済",C449="受領済"))),1,0)</f>
        <v>0</v>
      </c>
      <c r="L449" s="5" t="str">
        <f aca="false">4&amp;"|"&amp;15</f>
        <v>4|15</v>
      </c>
      <c r="M449" s="5" t="n">
        <f aca="false">IF(L449=L448,M448,0)+K449</f>
        <v>0</v>
      </c>
      <c r="N449" s="5" t="n">
        <f aca="false">IF(AND(K449=1,M449=1),1,0)</f>
        <v>0</v>
      </c>
      <c r="O449" s="5" t="str">
        <f aca="false">IF(K449=1,MAX($O$5:O448)+1,"")</f>
        <v/>
      </c>
      <c r="P449" s="5" t="str">
        <f aca="false">IF(K449=1,SUM($N$6:N449),"")</f>
        <v/>
      </c>
      <c r="Q449" s="5" t="str">
        <f aca="false">IF(K449=1,SUMIFS($H$6:$H$511,$L$6:$L$511,L449,$K$6:$K$511,1),"")</f>
        <v/>
      </c>
      <c r="R449" s="78" t="str">
        <f aca="false">IF(B449="","",IF(INDEX(報告入力!$X$7:$X$696,B449)="","",INDEX(報告入力!$X$7:$X$696,B449)))</f>
        <v/>
      </c>
      <c r="S449" s="5" t="str">
        <f aca="false">設定!$C$56</f>
        <v>子ども・子育て支援納付金：負担金</v>
      </c>
    </row>
    <row r="450" customFormat="false" ht="15" hidden="false" customHeight="false" outlineLevel="0" collapsed="false">
      <c r="A450" s="5" t="str">
        <f aca="false">設定!B76</f>
        <v>原爆障害対策協議会</v>
      </c>
      <c r="B450" s="5" t="n">
        <f aca="false">IFERROR(MATCH(ホーム!$C$4&amp;"|"&amp;A450,報告入力!$CG$7:$CG$696,0),"")</f>
        <v>338</v>
      </c>
      <c r="C450" s="5" t="str">
        <f aca="false">IF(B450="","",INDEX(報告入力!$C$7:$C$696,B450))</f>
        <v>未受領</v>
      </c>
      <c r="D450" s="5" t="str">
        <f aca="false">設定!$A$42</f>
        <v>子ども・子育て支援納付金経理</v>
      </c>
      <c r="E450" s="5" t="str">
        <f aca="false">設定!$B$42&amp;""</f>
        <v/>
      </c>
      <c r="F450" s="5" t="str">
        <f aca="false">設定!$D$55&amp;""</f>
        <v/>
      </c>
      <c r="G450" s="5" t="str">
        <f aca="false">設定!$E$55&amp;""</f>
        <v/>
      </c>
      <c r="H450" s="5" t="n">
        <f aca="false">IF(B450="",0,N(INDEX(報告入力!$BD$7:$BD$696,B450)))</f>
        <v>0</v>
      </c>
      <c r="I450" s="5" t="str">
        <f aca="false">設定!$C$42&amp;""</f>
        <v/>
      </c>
      <c r="J450" s="5" t="str">
        <f aca="false">設定!$D$42&amp;""</f>
        <v/>
      </c>
      <c r="K450" s="5" t="n">
        <f aca="false">IF(AND(H450&lt;&gt;0,IF(設定!$B$6="入金確認済のみ",C450="入金確認済",OR(C450="入金確認済",C450="受領済"))),1,0)</f>
        <v>0</v>
      </c>
      <c r="L450" s="5" t="str">
        <f aca="false">4&amp;"|"&amp;16</f>
        <v>4|16</v>
      </c>
      <c r="M450" s="5" t="n">
        <f aca="false">IF(L450=L449,M449,0)+K450</f>
        <v>0</v>
      </c>
      <c r="N450" s="5" t="n">
        <f aca="false">IF(AND(K450=1,M450=1),1,0)</f>
        <v>0</v>
      </c>
      <c r="O450" s="5" t="str">
        <f aca="false">IF(K450=1,MAX($O$5:O449)+1,"")</f>
        <v/>
      </c>
      <c r="P450" s="5" t="str">
        <f aca="false">IF(K450=1,SUM($N$6:N450),"")</f>
        <v/>
      </c>
      <c r="Q450" s="5" t="str">
        <f aca="false">IF(K450=1,SUMIFS($H$6:$H$511,$L$6:$L$511,L450,$K$6:$K$511,1),"")</f>
        <v/>
      </c>
      <c r="R450" s="78" t="str">
        <f aca="false">IF(B450="","",IF(INDEX(報告入力!$X$7:$X$696,B450)="","",INDEX(報告入力!$X$7:$X$696,B450)))</f>
        <v/>
      </c>
      <c r="S450" s="5" t="str">
        <f aca="false">設定!$C$55</f>
        <v>子ども・子育て支援納付金：掛金</v>
      </c>
    </row>
    <row r="451" customFormat="false" ht="15" hidden="false" customHeight="false" outlineLevel="0" collapsed="false">
      <c r="A451" s="5" t="str">
        <f aca="false">設定!B76</f>
        <v>原爆障害対策協議会</v>
      </c>
      <c r="B451" s="5" t="n">
        <f aca="false">IFERROR(MATCH(ホーム!$C$4&amp;"|"&amp;A451,報告入力!$CG$7:$CG$696,0),"")</f>
        <v>338</v>
      </c>
      <c r="C451" s="5" t="str">
        <f aca="false">IF(B451="","",INDEX(報告入力!$C$7:$C$696,B451))</f>
        <v>未受領</v>
      </c>
      <c r="D451" s="5" t="str">
        <f aca="false">設定!$A$42</f>
        <v>子ども・子育て支援納付金経理</v>
      </c>
      <c r="E451" s="5" t="str">
        <f aca="false">設定!$B$42&amp;""</f>
        <v/>
      </c>
      <c r="F451" s="5" t="str">
        <f aca="false">設定!$D$56&amp;""</f>
        <v/>
      </c>
      <c r="G451" s="5" t="str">
        <f aca="false">設定!$E$56&amp;""</f>
        <v/>
      </c>
      <c r="H451" s="5" t="n">
        <f aca="false">IF(B451="",0,N(INDEX(報告入力!$BE$7:$BE$696,B451)))</f>
        <v>1</v>
      </c>
      <c r="I451" s="5" t="str">
        <f aca="false">設定!$C$42&amp;""</f>
        <v/>
      </c>
      <c r="J451" s="5" t="str">
        <f aca="false">設定!$D$42&amp;""</f>
        <v/>
      </c>
      <c r="K451" s="5" t="n">
        <f aca="false">IF(AND(H451&lt;&gt;0,IF(設定!$B$6="入金確認済のみ",C451="入金確認済",OR(C451="入金確認済",C451="受領済"))),1,0)</f>
        <v>0</v>
      </c>
      <c r="L451" s="5" t="str">
        <f aca="false">4&amp;"|"&amp;16</f>
        <v>4|16</v>
      </c>
      <c r="M451" s="5" t="n">
        <f aca="false">IF(L451=L450,M450,0)+K451</f>
        <v>0</v>
      </c>
      <c r="N451" s="5" t="n">
        <f aca="false">IF(AND(K451=1,M451=1),1,0)</f>
        <v>0</v>
      </c>
      <c r="O451" s="5" t="str">
        <f aca="false">IF(K451=1,MAX($O$5:O450)+1,"")</f>
        <v/>
      </c>
      <c r="P451" s="5" t="str">
        <f aca="false">IF(K451=1,SUM($N$6:N451),"")</f>
        <v/>
      </c>
      <c r="Q451" s="5" t="str">
        <f aca="false">IF(K451=1,SUMIFS($H$6:$H$511,$L$6:$L$511,L451,$K$6:$K$511,1),"")</f>
        <v/>
      </c>
      <c r="R451" s="78" t="str">
        <f aca="false">IF(B451="","",IF(INDEX(報告入力!$X$7:$X$696,B451)="","",INDEX(報告入力!$X$7:$X$696,B451)))</f>
        <v/>
      </c>
      <c r="S451" s="5" t="str">
        <f aca="false">設定!$C$56</f>
        <v>子ども・子育て支援納付金：負担金</v>
      </c>
    </row>
    <row r="452" customFormat="false" ht="15" hidden="false" customHeight="false" outlineLevel="0" collapsed="false">
      <c r="A452" s="5" t="str">
        <f aca="false">設定!B77</f>
        <v>産業振興センター</v>
      </c>
      <c r="B452" s="5" t="n">
        <f aca="false">IFERROR(MATCH(ホーム!$C$4&amp;"|"&amp;A452,報告入力!$CG$7:$CG$696,0),"")</f>
        <v>339</v>
      </c>
      <c r="C452" s="5" t="str">
        <f aca="false">IF(B452="","",INDEX(報告入力!$C$7:$C$696,B452))</f>
        <v>未受領</v>
      </c>
      <c r="D452" s="5" t="str">
        <f aca="false">設定!$A$42</f>
        <v>子ども・子育て支援納付金経理</v>
      </c>
      <c r="E452" s="5" t="str">
        <f aca="false">設定!$B$42&amp;""</f>
        <v/>
      </c>
      <c r="F452" s="5" t="str">
        <f aca="false">設定!$D$55&amp;""</f>
        <v/>
      </c>
      <c r="G452" s="5" t="str">
        <f aca="false">設定!$E$55&amp;""</f>
        <v/>
      </c>
      <c r="H452" s="5" t="n">
        <f aca="false">IF(B452="",0,N(INDEX(報告入力!$BD$7:$BD$696,B452)))</f>
        <v>0</v>
      </c>
      <c r="I452" s="5" t="str">
        <f aca="false">設定!$C$42&amp;""</f>
        <v/>
      </c>
      <c r="J452" s="5" t="str">
        <f aca="false">設定!$D$42&amp;""</f>
        <v/>
      </c>
      <c r="K452" s="5" t="n">
        <f aca="false">IF(AND(H452&lt;&gt;0,IF(設定!$B$6="入金確認済のみ",C452="入金確認済",OR(C452="入金確認済",C452="受領済"))),1,0)</f>
        <v>0</v>
      </c>
      <c r="L452" s="5" t="str">
        <f aca="false">4&amp;"|"&amp;17</f>
        <v>4|17</v>
      </c>
      <c r="M452" s="5" t="n">
        <f aca="false">IF(L452=L451,M451,0)+K452</f>
        <v>0</v>
      </c>
      <c r="N452" s="5" t="n">
        <f aca="false">IF(AND(K452=1,M452=1),1,0)</f>
        <v>0</v>
      </c>
      <c r="O452" s="5" t="str">
        <f aca="false">IF(K452=1,MAX($O$5:O451)+1,"")</f>
        <v/>
      </c>
      <c r="P452" s="5" t="str">
        <f aca="false">IF(K452=1,SUM($N$6:N452),"")</f>
        <v/>
      </c>
      <c r="Q452" s="5" t="str">
        <f aca="false">IF(K452=1,SUMIFS($H$6:$H$511,$L$6:$L$511,L452,$K$6:$K$511,1),"")</f>
        <v/>
      </c>
      <c r="R452" s="78" t="str">
        <f aca="false">IF(B452="","",IF(INDEX(報告入力!$X$7:$X$696,B452)="","",INDEX(報告入力!$X$7:$X$696,B452)))</f>
        <v/>
      </c>
      <c r="S452" s="5" t="str">
        <f aca="false">設定!$C$55</f>
        <v>子ども・子育て支援納付金：掛金</v>
      </c>
    </row>
    <row r="453" customFormat="false" ht="15" hidden="false" customHeight="false" outlineLevel="0" collapsed="false">
      <c r="A453" s="5" t="str">
        <f aca="false">設定!B77</f>
        <v>産業振興センター</v>
      </c>
      <c r="B453" s="5" t="n">
        <f aca="false">IFERROR(MATCH(ホーム!$C$4&amp;"|"&amp;A453,報告入力!$CG$7:$CG$696,0),"")</f>
        <v>339</v>
      </c>
      <c r="C453" s="5" t="str">
        <f aca="false">IF(B453="","",INDEX(報告入力!$C$7:$C$696,B453))</f>
        <v>未受領</v>
      </c>
      <c r="D453" s="5" t="str">
        <f aca="false">設定!$A$42</f>
        <v>子ども・子育て支援納付金経理</v>
      </c>
      <c r="E453" s="5" t="str">
        <f aca="false">設定!$B$42&amp;""</f>
        <v/>
      </c>
      <c r="F453" s="5" t="str">
        <f aca="false">設定!$D$56&amp;""</f>
        <v/>
      </c>
      <c r="G453" s="5" t="str">
        <f aca="false">設定!$E$56&amp;""</f>
        <v/>
      </c>
      <c r="H453" s="5" t="n">
        <f aca="false">IF(B453="",0,N(INDEX(報告入力!$BE$7:$BE$696,B453)))</f>
        <v>1</v>
      </c>
      <c r="I453" s="5" t="str">
        <f aca="false">設定!$C$42&amp;""</f>
        <v/>
      </c>
      <c r="J453" s="5" t="str">
        <f aca="false">設定!$D$42&amp;""</f>
        <v/>
      </c>
      <c r="K453" s="5" t="n">
        <f aca="false">IF(AND(H453&lt;&gt;0,IF(設定!$B$6="入金確認済のみ",C453="入金確認済",OR(C453="入金確認済",C453="受領済"))),1,0)</f>
        <v>0</v>
      </c>
      <c r="L453" s="5" t="str">
        <f aca="false">4&amp;"|"&amp;17</f>
        <v>4|17</v>
      </c>
      <c r="M453" s="5" t="n">
        <f aca="false">IF(L453=L452,M452,0)+K453</f>
        <v>0</v>
      </c>
      <c r="N453" s="5" t="n">
        <f aca="false">IF(AND(K453=1,M453=1),1,0)</f>
        <v>0</v>
      </c>
      <c r="O453" s="5" t="str">
        <f aca="false">IF(K453=1,MAX($O$5:O452)+1,"")</f>
        <v/>
      </c>
      <c r="P453" s="5" t="str">
        <f aca="false">IF(K453=1,SUM($N$6:N453),"")</f>
        <v/>
      </c>
      <c r="Q453" s="5" t="str">
        <f aca="false">IF(K453=1,SUMIFS($H$6:$H$511,$L$6:$L$511,L453,$K$6:$K$511,1),"")</f>
        <v/>
      </c>
      <c r="R453" s="78" t="str">
        <f aca="false">IF(B453="","",IF(INDEX(報告入力!$X$7:$X$696,B453)="","",INDEX(報告入力!$X$7:$X$696,B453)))</f>
        <v/>
      </c>
      <c r="S453" s="5" t="str">
        <f aca="false">設定!$C$56</f>
        <v>子ども・子育て支援納付金：負担金</v>
      </c>
    </row>
    <row r="454" customFormat="false" ht="15" hidden="false" customHeight="false" outlineLevel="0" collapsed="false">
      <c r="A454" s="5" t="str">
        <f aca="false">設定!B78</f>
        <v>ひろしま産業振興</v>
      </c>
      <c r="B454" s="5" t="n">
        <f aca="false">IFERROR(MATCH(ホーム!$C$4&amp;"|"&amp;A454,報告入力!$CG$7:$CG$696,0),"")</f>
        <v>340</v>
      </c>
      <c r="C454" s="5" t="str">
        <f aca="false">IF(B454="","",INDEX(報告入力!$C$7:$C$696,B454))</f>
        <v>未受領</v>
      </c>
      <c r="D454" s="5" t="str">
        <f aca="false">設定!$A$42</f>
        <v>子ども・子育て支援納付金経理</v>
      </c>
      <c r="E454" s="5" t="str">
        <f aca="false">設定!$B$42&amp;""</f>
        <v/>
      </c>
      <c r="F454" s="5" t="str">
        <f aca="false">設定!$D$55&amp;""</f>
        <v/>
      </c>
      <c r="G454" s="5" t="str">
        <f aca="false">設定!$E$55&amp;""</f>
        <v/>
      </c>
      <c r="H454" s="5" t="n">
        <f aca="false">IF(B454="",0,N(INDEX(報告入力!$BD$7:$BD$696,B454)))</f>
        <v>0</v>
      </c>
      <c r="I454" s="5" t="str">
        <f aca="false">設定!$C$42&amp;""</f>
        <v/>
      </c>
      <c r="J454" s="5" t="str">
        <f aca="false">設定!$D$42&amp;""</f>
        <v/>
      </c>
      <c r="K454" s="5" t="n">
        <f aca="false">IF(AND(H454&lt;&gt;0,IF(設定!$B$6="入金確認済のみ",C454="入金確認済",OR(C454="入金確認済",C454="受領済"))),1,0)</f>
        <v>0</v>
      </c>
      <c r="L454" s="5" t="str">
        <f aca="false">4&amp;"|"&amp;18</f>
        <v>4|18</v>
      </c>
      <c r="M454" s="5" t="n">
        <f aca="false">IF(L454=L453,M453,0)+K454</f>
        <v>0</v>
      </c>
      <c r="N454" s="5" t="n">
        <f aca="false">IF(AND(K454=1,M454=1),1,0)</f>
        <v>0</v>
      </c>
      <c r="O454" s="5" t="str">
        <f aca="false">IF(K454=1,MAX($O$5:O453)+1,"")</f>
        <v/>
      </c>
      <c r="P454" s="5" t="str">
        <f aca="false">IF(K454=1,SUM($N$6:N454),"")</f>
        <v/>
      </c>
      <c r="Q454" s="5" t="str">
        <f aca="false">IF(K454=1,SUMIFS($H$6:$H$511,$L$6:$L$511,L454,$K$6:$K$511,1),"")</f>
        <v/>
      </c>
      <c r="R454" s="78" t="str">
        <f aca="false">IF(B454="","",IF(INDEX(報告入力!$X$7:$X$696,B454)="","",INDEX(報告入力!$X$7:$X$696,B454)))</f>
        <v/>
      </c>
      <c r="S454" s="5" t="str">
        <f aca="false">設定!$C$55</f>
        <v>子ども・子育て支援納付金：掛金</v>
      </c>
    </row>
    <row r="455" customFormat="false" ht="15" hidden="false" customHeight="false" outlineLevel="0" collapsed="false">
      <c r="A455" s="5" t="str">
        <f aca="false">設定!B78</f>
        <v>ひろしま産業振興</v>
      </c>
      <c r="B455" s="5" t="n">
        <f aca="false">IFERROR(MATCH(ホーム!$C$4&amp;"|"&amp;A455,報告入力!$CG$7:$CG$696,0),"")</f>
        <v>340</v>
      </c>
      <c r="C455" s="5" t="str">
        <f aca="false">IF(B455="","",INDEX(報告入力!$C$7:$C$696,B455))</f>
        <v>未受領</v>
      </c>
      <c r="D455" s="5" t="str">
        <f aca="false">設定!$A$42</f>
        <v>子ども・子育て支援納付金経理</v>
      </c>
      <c r="E455" s="5" t="str">
        <f aca="false">設定!$B$42&amp;""</f>
        <v/>
      </c>
      <c r="F455" s="5" t="str">
        <f aca="false">設定!$D$56&amp;""</f>
        <v/>
      </c>
      <c r="G455" s="5" t="str">
        <f aca="false">設定!$E$56&amp;""</f>
        <v/>
      </c>
      <c r="H455" s="5" t="n">
        <f aca="false">IF(B455="",0,N(INDEX(報告入力!$BE$7:$BE$696,B455)))</f>
        <v>1</v>
      </c>
      <c r="I455" s="5" t="str">
        <f aca="false">設定!$C$42&amp;""</f>
        <v/>
      </c>
      <c r="J455" s="5" t="str">
        <f aca="false">設定!$D$42&amp;""</f>
        <v/>
      </c>
      <c r="K455" s="5" t="n">
        <f aca="false">IF(AND(H455&lt;&gt;0,IF(設定!$B$6="入金確認済のみ",C455="入金確認済",OR(C455="入金確認済",C455="受領済"))),1,0)</f>
        <v>0</v>
      </c>
      <c r="L455" s="5" t="str">
        <f aca="false">4&amp;"|"&amp;18</f>
        <v>4|18</v>
      </c>
      <c r="M455" s="5" t="n">
        <f aca="false">IF(L455=L454,M454,0)+K455</f>
        <v>0</v>
      </c>
      <c r="N455" s="5" t="n">
        <f aca="false">IF(AND(K455=1,M455=1),1,0)</f>
        <v>0</v>
      </c>
      <c r="O455" s="5" t="str">
        <f aca="false">IF(K455=1,MAX($O$5:O454)+1,"")</f>
        <v/>
      </c>
      <c r="P455" s="5" t="str">
        <f aca="false">IF(K455=1,SUM($N$6:N455),"")</f>
        <v/>
      </c>
      <c r="Q455" s="5" t="str">
        <f aca="false">IF(K455=1,SUMIFS($H$6:$H$511,$L$6:$L$511,L455,$K$6:$K$511,1),"")</f>
        <v/>
      </c>
      <c r="R455" s="78" t="str">
        <f aca="false">IF(B455="","",IF(INDEX(報告入力!$X$7:$X$696,B455)="","",INDEX(報告入力!$X$7:$X$696,B455)))</f>
        <v/>
      </c>
      <c r="S455" s="5" t="str">
        <f aca="false">設定!$C$56</f>
        <v>子ども・子育て支援納付金：負担金</v>
      </c>
    </row>
    <row r="456" customFormat="false" ht="15" hidden="false" customHeight="false" outlineLevel="0" collapsed="false">
      <c r="A456" s="5" t="str">
        <f aca="false">設定!B79</f>
        <v>都市整備公社　市</v>
      </c>
      <c r="B456" s="5" t="n">
        <f aca="false">IFERROR(MATCH(ホーム!$C$4&amp;"|"&amp;A456,報告入力!$CG$7:$CG$696,0),"")</f>
        <v>341</v>
      </c>
      <c r="C456" s="5" t="str">
        <f aca="false">IF(B456="","",INDEX(報告入力!$C$7:$C$696,B456))</f>
        <v>未受領</v>
      </c>
      <c r="D456" s="5" t="str">
        <f aca="false">設定!$A$42</f>
        <v>子ども・子育て支援納付金経理</v>
      </c>
      <c r="E456" s="5" t="str">
        <f aca="false">設定!$B$42&amp;""</f>
        <v/>
      </c>
      <c r="F456" s="5" t="str">
        <f aca="false">設定!$D$55&amp;""</f>
        <v/>
      </c>
      <c r="G456" s="5" t="str">
        <f aca="false">設定!$E$55&amp;""</f>
        <v/>
      </c>
      <c r="H456" s="5" t="n">
        <f aca="false">IF(B456="",0,N(INDEX(報告入力!$BD$7:$BD$696,B456)))</f>
        <v>0</v>
      </c>
      <c r="I456" s="5" t="str">
        <f aca="false">設定!$C$42&amp;""</f>
        <v/>
      </c>
      <c r="J456" s="5" t="str">
        <f aca="false">設定!$D$42&amp;""</f>
        <v/>
      </c>
      <c r="K456" s="5" t="n">
        <f aca="false">IF(AND(H456&lt;&gt;0,IF(設定!$B$6="入金確認済のみ",C456="入金確認済",OR(C456="入金確認済",C456="受領済"))),1,0)</f>
        <v>0</v>
      </c>
      <c r="L456" s="5" t="str">
        <f aca="false">4&amp;"|"&amp;19</f>
        <v>4|19</v>
      </c>
      <c r="M456" s="5" t="n">
        <f aca="false">IF(L456=L455,M455,0)+K456</f>
        <v>0</v>
      </c>
      <c r="N456" s="5" t="n">
        <f aca="false">IF(AND(K456=1,M456=1),1,0)</f>
        <v>0</v>
      </c>
      <c r="O456" s="5" t="str">
        <f aca="false">IF(K456=1,MAX($O$5:O455)+1,"")</f>
        <v/>
      </c>
      <c r="P456" s="5" t="str">
        <f aca="false">IF(K456=1,SUM($N$6:N456),"")</f>
        <v/>
      </c>
      <c r="Q456" s="5" t="str">
        <f aca="false">IF(K456=1,SUMIFS($H$6:$H$511,$L$6:$L$511,L456,$K$6:$K$511,1),"")</f>
        <v/>
      </c>
      <c r="R456" s="78" t="str">
        <f aca="false">IF(B456="","",IF(INDEX(報告入力!$X$7:$X$696,B456)="","",INDEX(報告入力!$X$7:$X$696,B456)))</f>
        <v/>
      </c>
      <c r="S456" s="5" t="str">
        <f aca="false">設定!$C$55</f>
        <v>子ども・子育て支援納付金：掛金</v>
      </c>
    </row>
    <row r="457" customFormat="false" ht="15" hidden="false" customHeight="false" outlineLevel="0" collapsed="false">
      <c r="A457" s="5" t="str">
        <f aca="false">設定!B79</f>
        <v>都市整備公社　市</v>
      </c>
      <c r="B457" s="5" t="n">
        <f aca="false">IFERROR(MATCH(ホーム!$C$4&amp;"|"&amp;A457,報告入力!$CG$7:$CG$696,0),"")</f>
        <v>341</v>
      </c>
      <c r="C457" s="5" t="str">
        <f aca="false">IF(B457="","",INDEX(報告入力!$C$7:$C$696,B457))</f>
        <v>未受領</v>
      </c>
      <c r="D457" s="5" t="str">
        <f aca="false">設定!$A$42</f>
        <v>子ども・子育て支援納付金経理</v>
      </c>
      <c r="E457" s="5" t="str">
        <f aca="false">設定!$B$42&amp;""</f>
        <v/>
      </c>
      <c r="F457" s="5" t="str">
        <f aca="false">設定!$D$56&amp;""</f>
        <v/>
      </c>
      <c r="G457" s="5" t="str">
        <f aca="false">設定!$E$56&amp;""</f>
        <v/>
      </c>
      <c r="H457" s="5" t="n">
        <f aca="false">IF(B457="",0,N(INDEX(報告入力!$BE$7:$BE$696,B457)))</f>
        <v>1</v>
      </c>
      <c r="I457" s="5" t="str">
        <f aca="false">設定!$C$42&amp;""</f>
        <v/>
      </c>
      <c r="J457" s="5" t="str">
        <f aca="false">設定!$D$42&amp;""</f>
        <v/>
      </c>
      <c r="K457" s="5" t="n">
        <f aca="false">IF(AND(H457&lt;&gt;0,IF(設定!$B$6="入金確認済のみ",C457="入金確認済",OR(C457="入金確認済",C457="受領済"))),1,0)</f>
        <v>0</v>
      </c>
      <c r="L457" s="5" t="str">
        <f aca="false">4&amp;"|"&amp;19</f>
        <v>4|19</v>
      </c>
      <c r="M457" s="5" t="n">
        <f aca="false">IF(L457=L456,M456,0)+K457</f>
        <v>0</v>
      </c>
      <c r="N457" s="5" t="n">
        <f aca="false">IF(AND(K457=1,M457=1),1,0)</f>
        <v>0</v>
      </c>
      <c r="O457" s="5" t="str">
        <f aca="false">IF(K457=1,MAX($O$5:O456)+1,"")</f>
        <v/>
      </c>
      <c r="P457" s="5" t="str">
        <f aca="false">IF(K457=1,SUM($N$6:N457),"")</f>
        <v/>
      </c>
      <c r="Q457" s="5" t="str">
        <f aca="false">IF(K457=1,SUMIFS($H$6:$H$511,$L$6:$L$511,L457,$K$6:$K$511,1),"")</f>
        <v/>
      </c>
      <c r="R457" s="78" t="str">
        <f aca="false">IF(B457="","",IF(INDEX(報告入力!$X$7:$X$696,B457)="","",INDEX(報告入力!$X$7:$X$696,B457)))</f>
        <v/>
      </c>
      <c r="S457" s="5" t="str">
        <f aca="false">設定!$C$56</f>
        <v>子ども・子育て支援納付金：負担金</v>
      </c>
    </row>
    <row r="458" customFormat="false" ht="15" hidden="false" customHeight="false" outlineLevel="0" collapsed="false">
      <c r="A458" s="5" t="str">
        <f aca="false">設定!B80</f>
        <v>都市整備公社　消防</v>
      </c>
      <c r="B458" s="5" t="n">
        <f aca="false">IFERROR(MATCH(ホーム!$C$4&amp;"|"&amp;A458,報告入力!$CG$7:$CG$696,0),"")</f>
        <v>342</v>
      </c>
      <c r="C458" s="5" t="str">
        <f aca="false">IF(B458="","",INDEX(報告入力!$C$7:$C$696,B458))</f>
        <v>未受領</v>
      </c>
      <c r="D458" s="5" t="str">
        <f aca="false">設定!$A$42</f>
        <v>子ども・子育て支援納付金経理</v>
      </c>
      <c r="E458" s="5" t="str">
        <f aca="false">設定!$B$42&amp;""</f>
        <v/>
      </c>
      <c r="F458" s="5" t="str">
        <f aca="false">設定!$D$55&amp;""</f>
        <v/>
      </c>
      <c r="G458" s="5" t="str">
        <f aca="false">設定!$E$55&amp;""</f>
        <v/>
      </c>
      <c r="H458" s="5" t="n">
        <f aca="false">IF(B458="",0,N(INDEX(報告入力!$BD$7:$BD$696,B458)))</f>
        <v>0</v>
      </c>
      <c r="I458" s="5" t="str">
        <f aca="false">設定!$C$42&amp;""</f>
        <v/>
      </c>
      <c r="J458" s="5" t="str">
        <f aca="false">設定!$D$42&amp;""</f>
        <v/>
      </c>
      <c r="K458" s="5" t="n">
        <f aca="false">IF(AND(H458&lt;&gt;0,IF(設定!$B$6="入金確認済のみ",C458="入金確認済",OR(C458="入金確認済",C458="受領済"))),1,0)</f>
        <v>0</v>
      </c>
      <c r="L458" s="5" t="str">
        <f aca="false">4&amp;"|"&amp;20</f>
        <v>4|20</v>
      </c>
      <c r="M458" s="5" t="n">
        <f aca="false">IF(L458=L457,M457,0)+K458</f>
        <v>0</v>
      </c>
      <c r="N458" s="5" t="n">
        <f aca="false">IF(AND(K458=1,M458=1),1,0)</f>
        <v>0</v>
      </c>
      <c r="O458" s="5" t="str">
        <f aca="false">IF(K458=1,MAX($O$5:O457)+1,"")</f>
        <v/>
      </c>
      <c r="P458" s="5" t="str">
        <f aca="false">IF(K458=1,SUM($N$6:N458),"")</f>
        <v/>
      </c>
      <c r="Q458" s="5" t="str">
        <f aca="false">IF(K458=1,SUMIFS($H$6:$H$511,$L$6:$L$511,L458,$K$6:$K$511,1),"")</f>
        <v/>
      </c>
      <c r="R458" s="78" t="str">
        <f aca="false">IF(B458="","",IF(INDEX(報告入力!$X$7:$X$696,B458)="","",INDEX(報告入力!$X$7:$X$696,B458)))</f>
        <v/>
      </c>
      <c r="S458" s="5" t="str">
        <f aca="false">設定!$C$55</f>
        <v>子ども・子育て支援納付金：掛金</v>
      </c>
    </row>
    <row r="459" customFormat="false" ht="15" hidden="false" customHeight="false" outlineLevel="0" collapsed="false">
      <c r="A459" s="5" t="str">
        <f aca="false">設定!B80</f>
        <v>都市整備公社　消防</v>
      </c>
      <c r="B459" s="5" t="n">
        <f aca="false">IFERROR(MATCH(ホーム!$C$4&amp;"|"&amp;A459,報告入力!$CG$7:$CG$696,0),"")</f>
        <v>342</v>
      </c>
      <c r="C459" s="5" t="str">
        <f aca="false">IF(B459="","",INDEX(報告入力!$C$7:$C$696,B459))</f>
        <v>未受領</v>
      </c>
      <c r="D459" s="5" t="str">
        <f aca="false">設定!$A$42</f>
        <v>子ども・子育て支援納付金経理</v>
      </c>
      <c r="E459" s="5" t="str">
        <f aca="false">設定!$B$42&amp;""</f>
        <v/>
      </c>
      <c r="F459" s="5" t="str">
        <f aca="false">設定!$D$56&amp;""</f>
        <v/>
      </c>
      <c r="G459" s="5" t="str">
        <f aca="false">設定!$E$56&amp;""</f>
        <v/>
      </c>
      <c r="H459" s="5" t="n">
        <f aca="false">IF(B459="",0,N(INDEX(報告入力!$BE$7:$BE$696,B459)))</f>
        <v>1</v>
      </c>
      <c r="I459" s="5" t="str">
        <f aca="false">設定!$C$42&amp;""</f>
        <v/>
      </c>
      <c r="J459" s="5" t="str">
        <f aca="false">設定!$D$42&amp;""</f>
        <v/>
      </c>
      <c r="K459" s="5" t="n">
        <f aca="false">IF(AND(H459&lt;&gt;0,IF(設定!$B$6="入金確認済のみ",C459="入金確認済",OR(C459="入金確認済",C459="受領済"))),1,0)</f>
        <v>0</v>
      </c>
      <c r="L459" s="5" t="str">
        <f aca="false">4&amp;"|"&amp;20</f>
        <v>4|20</v>
      </c>
      <c r="M459" s="5" t="n">
        <f aca="false">IF(L459=L458,M458,0)+K459</f>
        <v>0</v>
      </c>
      <c r="N459" s="5" t="n">
        <f aca="false">IF(AND(K459=1,M459=1),1,0)</f>
        <v>0</v>
      </c>
      <c r="O459" s="5" t="str">
        <f aca="false">IF(K459=1,MAX($O$5:O458)+1,"")</f>
        <v/>
      </c>
      <c r="P459" s="5" t="str">
        <f aca="false">IF(K459=1,SUM($N$6:N459),"")</f>
        <v/>
      </c>
      <c r="Q459" s="5" t="str">
        <f aca="false">IF(K459=1,SUMIFS($H$6:$H$511,$L$6:$L$511,L459,$K$6:$K$511,1),"")</f>
        <v/>
      </c>
      <c r="R459" s="78" t="str">
        <f aca="false">IF(B459="","",IF(INDEX(報告入力!$X$7:$X$696,B459)="","",INDEX(報告入力!$X$7:$X$696,B459)))</f>
        <v/>
      </c>
      <c r="S459" s="5" t="str">
        <f aca="false">設定!$C$56</f>
        <v>子ども・子育て支援納付金：負担金</v>
      </c>
    </row>
    <row r="460" customFormat="false" ht="15" hidden="false" customHeight="false" outlineLevel="0" collapsed="false">
      <c r="A460" s="5" t="str">
        <f aca="false">設定!B81</f>
        <v>日本下水道事業団</v>
      </c>
      <c r="B460" s="5" t="n">
        <f aca="false">IFERROR(MATCH(ホーム!$C$4&amp;"|"&amp;A460,報告入力!$CG$7:$CG$696,0),"")</f>
        <v>343</v>
      </c>
      <c r="C460" s="5" t="str">
        <f aca="false">IF(B460="","",INDEX(報告入力!$C$7:$C$696,B460))</f>
        <v>受領済</v>
      </c>
      <c r="D460" s="5" t="str">
        <f aca="false">設定!$A$42</f>
        <v>子ども・子育て支援納付金経理</v>
      </c>
      <c r="E460" s="5" t="str">
        <f aca="false">設定!$B$42&amp;""</f>
        <v/>
      </c>
      <c r="F460" s="5" t="str">
        <f aca="false">設定!$D$55&amp;""</f>
        <v/>
      </c>
      <c r="G460" s="5" t="str">
        <f aca="false">設定!$E$55&amp;""</f>
        <v/>
      </c>
      <c r="H460" s="5" t="n">
        <f aca="false">IF(B460="",0,N(INDEX(報告入力!$BD$7:$BD$696,B460)))</f>
        <v>3104</v>
      </c>
      <c r="I460" s="5" t="str">
        <f aca="false">設定!$C$42&amp;""</f>
        <v/>
      </c>
      <c r="J460" s="5" t="str">
        <f aca="false">設定!$D$42&amp;""</f>
        <v/>
      </c>
      <c r="K460" s="5" t="n">
        <f aca="false">IF(AND(H460&lt;&gt;0,IF(設定!$B$6="入金確認済のみ",C460="入金確認済",OR(C460="入金確認済",C460="受領済"))),1,0)</f>
        <v>0</v>
      </c>
      <c r="L460" s="5" t="str">
        <f aca="false">4&amp;"|"&amp;21</f>
        <v>4|21</v>
      </c>
      <c r="M460" s="5" t="n">
        <f aca="false">IF(L460=L459,M459,0)+K460</f>
        <v>0</v>
      </c>
      <c r="N460" s="5" t="n">
        <f aca="false">IF(AND(K460=1,M460=1),1,0)</f>
        <v>0</v>
      </c>
      <c r="O460" s="5" t="str">
        <f aca="false">IF(K460=1,MAX($O$5:O459)+1,"")</f>
        <v/>
      </c>
      <c r="P460" s="5" t="str">
        <f aca="false">IF(K460=1,SUM($N$6:N460),"")</f>
        <v/>
      </c>
      <c r="Q460" s="5" t="str">
        <f aca="false">IF(K460=1,SUMIFS($H$6:$H$511,$L$6:$L$511,L460,$K$6:$K$511,1),"")</f>
        <v/>
      </c>
      <c r="R460" s="78" t="str">
        <f aca="false">IF(B460="","",IF(INDEX(報告入力!$X$7:$X$696,B460)="","",INDEX(報告入力!$X$7:$X$696,B460)))</f>
        <v/>
      </c>
      <c r="S460" s="5" t="str">
        <f aca="false">設定!$C$55</f>
        <v>子ども・子育て支援納付金：掛金</v>
      </c>
    </row>
    <row r="461" customFormat="false" ht="15" hidden="false" customHeight="false" outlineLevel="0" collapsed="false">
      <c r="A461" s="5" t="str">
        <f aca="false">設定!B81</f>
        <v>日本下水道事業団</v>
      </c>
      <c r="B461" s="5" t="n">
        <f aca="false">IFERROR(MATCH(ホーム!$C$4&amp;"|"&amp;A461,報告入力!$CG$7:$CG$696,0),"")</f>
        <v>343</v>
      </c>
      <c r="C461" s="5" t="str">
        <f aca="false">IF(B461="","",INDEX(報告入力!$C$7:$C$696,B461))</f>
        <v>受領済</v>
      </c>
      <c r="D461" s="5" t="str">
        <f aca="false">設定!$A$42</f>
        <v>子ども・子育て支援納付金経理</v>
      </c>
      <c r="E461" s="5" t="str">
        <f aca="false">設定!$B$42&amp;""</f>
        <v/>
      </c>
      <c r="F461" s="5" t="str">
        <f aca="false">設定!$D$56&amp;""</f>
        <v/>
      </c>
      <c r="G461" s="5" t="str">
        <f aca="false">設定!$E$56&amp;""</f>
        <v/>
      </c>
      <c r="H461" s="5" t="n">
        <f aca="false">IF(B461="",0,N(INDEX(報告入力!$BE$7:$BE$696,B461)))</f>
        <v>3105</v>
      </c>
      <c r="I461" s="5" t="str">
        <f aca="false">設定!$C$42&amp;""</f>
        <v/>
      </c>
      <c r="J461" s="5" t="str">
        <f aca="false">設定!$D$42&amp;""</f>
        <v/>
      </c>
      <c r="K461" s="5" t="n">
        <f aca="false">IF(AND(H461&lt;&gt;0,IF(設定!$B$6="入金確認済のみ",C461="入金確認済",OR(C461="入金確認済",C461="受領済"))),1,0)</f>
        <v>0</v>
      </c>
      <c r="L461" s="5" t="str">
        <f aca="false">4&amp;"|"&amp;21</f>
        <v>4|21</v>
      </c>
      <c r="M461" s="5" t="n">
        <f aca="false">IF(L461=L460,M460,0)+K461</f>
        <v>0</v>
      </c>
      <c r="N461" s="5" t="n">
        <f aca="false">IF(AND(K461=1,M461=1),1,0)</f>
        <v>0</v>
      </c>
      <c r="O461" s="5" t="str">
        <f aca="false">IF(K461=1,MAX($O$5:O460)+1,"")</f>
        <v/>
      </c>
      <c r="P461" s="5" t="str">
        <f aca="false">IF(K461=1,SUM($N$6:N461),"")</f>
        <v/>
      </c>
      <c r="Q461" s="5" t="str">
        <f aca="false">IF(K461=1,SUMIFS($H$6:$H$511,$L$6:$L$511,L461,$K$6:$K$511,1),"")</f>
        <v/>
      </c>
      <c r="R461" s="78" t="str">
        <f aca="false">IF(B461="","",IF(INDEX(報告入力!$X$7:$X$696,B461)="","",INDEX(報告入力!$X$7:$X$696,B461)))</f>
        <v/>
      </c>
      <c r="S461" s="5" t="str">
        <f aca="false">設定!$C$56</f>
        <v>子ども・子育て支援納付金：負担金</v>
      </c>
    </row>
    <row r="462" customFormat="false" ht="15" hidden="false" customHeight="false" outlineLevel="0" collapsed="false">
      <c r="A462" s="5" t="str">
        <f aca="false">設定!B82</f>
        <v>地方公務員災害補償基金本部</v>
      </c>
      <c r="B462" s="5" t="n">
        <f aca="false">IFERROR(MATCH(ホーム!$C$4&amp;"|"&amp;A462,報告入力!$CG$7:$CG$696,0),"")</f>
        <v>344</v>
      </c>
      <c r="C462" s="5" t="str">
        <f aca="false">IF(B462="","",INDEX(報告入力!$C$7:$C$696,B462))</f>
        <v>受領済</v>
      </c>
      <c r="D462" s="5" t="str">
        <f aca="false">設定!$A$42</f>
        <v>子ども・子育て支援納付金経理</v>
      </c>
      <c r="E462" s="5" t="str">
        <f aca="false">設定!$B$42&amp;""</f>
        <v/>
      </c>
      <c r="F462" s="5" t="str">
        <f aca="false">設定!$D$55&amp;""</f>
        <v/>
      </c>
      <c r="G462" s="5" t="str">
        <f aca="false">設定!$E$55&amp;""</f>
        <v/>
      </c>
      <c r="H462" s="5" t="n">
        <f aca="false">IF(B462="",0,N(INDEX(報告入力!$BD$7:$BD$696,B462)))</f>
        <v>540</v>
      </c>
      <c r="I462" s="5" t="str">
        <f aca="false">設定!$C$42&amp;""</f>
        <v/>
      </c>
      <c r="J462" s="5" t="str">
        <f aca="false">設定!$D$42&amp;""</f>
        <v/>
      </c>
      <c r="K462" s="5" t="n">
        <f aca="false">IF(AND(H462&lt;&gt;0,IF(設定!$B$6="入金確認済のみ",C462="入金確認済",OR(C462="入金確認済",C462="受領済"))),1,0)</f>
        <v>0</v>
      </c>
      <c r="L462" s="5" t="str">
        <f aca="false">4&amp;"|"&amp;22</f>
        <v>4|22</v>
      </c>
      <c r="M462" s="5" t="n">
        <f aca="false">IF(L462=L461,M461,0)+K462</f>
        <v>0</v>
      </c>
      <c r="N462" s="5" t="n">
        <f aca="false">IF(AND(K462=1,M462=1),1,0)</f>
        <v>0</v>
      </c>
      <c r="O462" s="5" t="str">
        <f aca="false">IF(K462=1,MAX($O$5:O461)+1,"")</f>
        <v/>
      </c>
      <c r="P462" s="5" t="str">
        <f aca="false">IF(K462=1,SUM($N$6:N462),"")</f>
        <v/>
      </c>
      <c r="Q462" s="5" t="str">
        <f aca="false">IF(K462=1,SUMIFS($H$6:$H$511,$L$6:$L$511,L462,$K$6:$K$511,1),"")</f>
        <v/>
      </c>
      <c r="R462" s="78" t="str">
        <f aca="false">IF(B462="","",IF(INDEX(報告入力!$X$7:$X$696,B462)="","",INDEX(報告入力!$X$7:$X$696,B462)))</f>
        <v/>
      </c>
      <c r="S462" s="5" t="str">
        <f aca="false">設定!$C$55</f>
        <v>子ども・子育て支援納付金：掛金</v>
      </c>
    </row>
    <row r="463" customFormat="false" ht="15" hidden="false" customHeight="false" outlineLevel="0" collapsed="false">
      <c r="A463" s="5" t="str">
        <f aca="false">設定!B82</f>
        <v>地方公務員災害補償基金本部</v>
      </c>
      <c r="B463" s="5" t="n">
        <f aca="false">IFERROR(MATCH(ホーム!$C$4&amp;"|"&amp;A463,報告入力!$CG$7:$CG$696,0),"")</f>
        <v>344</v>
      </c>
      <c r="C463" s="5" t="str">
        <f aca="false">IF(B463="","",INDEX(報告入力!$C$7:$C$696,B463))</f>
        <v>受領済</v>
      </c>
      <c r="D463" s="5" t="str">
        <f aca="false">設定!$A$42</f>
        <v>子ども・子育て支援納付金経理</v>
      </c>
      <c r="E463" s="5" t="str">
        <f aca="false">設定!$B$42&amp;""</f>
        <v/>
      </c>
      <c r="F463" s="5" t="str">
        <f aca="false">設定!$D$56&amp;""</f>
        <v/>
      </c>
      <c r="G463" s="5" t="str">
        <f aca="false">設定!$E$56&amp;""</f>
        <v/>
      </c>
      <c r="H463" s="5" t="n">
        <f aca="false">IF(B463="",0,N(INDEX(報告入力!$BE$7:$BE$696,B463)))</f>
        <v>540</v>
      </c>
      <c r="I463" s="5" t="str">
        <f aca="false">設定!$C$42&amp;""</f>
        <v/>
      </c>
      <c r="J463" s="5" t="str">
        <f aca="false">設定!$D$42&amp;""</f>
        <v/>
      </c>
      <c r="K463" s="5" t="n">
        <f aca="false">IF(AND(H463&lt;&gt;0,IF(設定!$B$6="入金確認済のみ",C463="入金確認済",OR(C463="入金確認済",C463="受領済"))),1,0)</f>
        <v>0</v>
      </c>
      <c r="L463" s="5" t="str">
        <f aca="false">4&amp;"|"&amp;22</f>
        <v>4|22</v>
      </c>
      <c r="M463" s="5" t="n">
        <f aca="false">IF(L463=L462,M462,0)+K463</f>
        <v>0</v>
      </c>
      <c r="N463" s="5" t="n">
        <f aca="false">IF(AND(K463=1,M463=1),1,0)</f>
        <v>0</v>
      </c>
      <c r="O463" s="5" t="str">
        <f aca="false">IF(K463=1,MAX($O$5:O462)+1,"")</f>
        <v/>
      </c>
      <c r="P463" s="5" t="str">
        <f aca="false">IF(K463=1,SUM($N$6:N463),"")</f>
        <v/>
      </c>
      <c r="Q463" s="5" t="str">
        <f aca="false">IF(K463=1,SUMIFS($H$6:$H$511,$L$6:$L$511,L463,$K$6:$K$511,1),"")</f>
        <v/>
      </c>
      <c r="R463" s="78" t="str">
        <f aca="false">IF(B463="","",IF(INDEX(報告入力!$X$7:$X$696,B463)="","",INDEX(報告入力!$X$7:$X$696,B463)))</f>
        <v/>
      </c>
      <c r="S463" s="5" t="str">
        <f aca="false">設定!$C$56</f>
        <v>子ども・子育て支援納付金：負担金</v>
      </c>
    </row>
    <row r="464" customFormat="false" ht="15" hidden="false" customHeight="false" outlineLevel="0" collapsed="false">
      <c r="A464" s="5" t="str">
        <f aca="false">設定!B83</f>
        <v>救急振興財団</v>
      </c>
      <c r="B464" s="5" t="n">
        <f aca="false">IFERROR(MATCH(ホーム!$C$4&amp;"|"&amp;A464,報告入力!$CG$7:$CG$696,0),"")</f>
        <v>345</v>
      </c>
      <c r="C464" s="5" t="str">
        <f aca="false">IF(B464="","",INDEX(報告入力!$C$7:$C$696,B464))</f>
        <v>未受領</v>
      </c>
      <c r="D464" s="5" t="str">
        <f aca="false">設定!$A$42</f>
        <v>子ども・子育て支援納付金経理</v>
      </c>
      <c r="E464" s="5" t="str">
        <f aca="false">設定!$B$42&amp;""</f>
        <v/>
      </c>
      <c r="F464" s="5" t="str">
        <f aca="false">設定!$D$55&amp;""</f>
        <v/>
      </c>
      <c r="G464" s="5" t="str">
        <f aca="false">設定!$E$55&amp;""</f>
        <v/>
      </c>
      <c r="H464" s="5" t="n">
        <f aca="false">IF(B464="",0,N(INDEX(報告入力!$BD$7:$BD$696,B464)))</f>
        <v>1</v>
      </c>
      <c r="I464" s="5" t="str">
        <f aca="false">設定!$C$42&amp;""</f>
        <v/>
      </c>
      <c r="J464" s="5" t="str">
        <f aca="false">設定!$D$42&amp;""</f>
        <v/>
      </c>
      <c r="K464" s="5" t="n">
        <f aca="false">IF(AND(H464&lt;&gt;0,IF(設定!$B$6="入金確認済のみ",C464="入金確認済",OR(C464="入金確認済",C464="受領済"))),1,0)</f>
        <v>0</v>
      </c>
      <c r="L464" s="5" t="str">
        <f aca="false">4&amp;"|"&amp;23</f>
        <v>4|23</v>
      </c>
      <c r="M464" s="5" t="n">
        <f aca="false">IF(L464=L463,M463,0)+K464</f>
        <v>0</v>
      </c>
      <c r="N464" s="5" t="n">
        <f aca="false">IF(AND(K464=1,M464=1),1,0)</f>
        <v>0</v>
      </c>
      <c r="O464" s="5" t="str">
        <f aca="false">IF(K464=1,MAX($O$5:O463)+1,"")</f>
        <v/>
      </c>
      <c r="P464" s="5" t="str">
        <f aca="false">IF(K464=1,SUM($N$6:N464),"")</f>
        <v/>
      </c>
      <c r="Q464" s="5" t="str">
        <f aca="false">IF(K464=1,SUMIFS($H$6:$H$511,$L$6:$L$511,L464,$K$6:$K$511,1),"")</f>
        <v/>
      </c>
      <c r="R464" s="78" t="str">
        <f aca="false">IF(B464="","",IF(INDEX(報告入力!$X$7:$X$696,B464)="","",INDEX(報告入力!$X$7:$X$696,B464)))</f>
        <v/>
      </c>
      <c r="S464" s="5" t="str">
        <f aca="false">設定!$C$55</f>
        <v>子ども・子育て支援納付金：掛金</v>
      </c>
    </row>
    <row r="465" customFormat="false" ht="15" hidden="false" customHeight="false" outlineLevel="0" collapsed="false">
      <c r="A465" s="5" t="str">
        <f aca="false">設定!B83</f>
        <v>救急振興財団</v>
      </c>
      <c r="B465" s="5" t="n">
        <f aca="false">IFERROR(MATCH(ホーム!$C$4&amp;"|"&amp;A465,報告入力!$CG$7:$CG$696,0),"")</f>
        <v>345</v>
      </c>
      <c r="C465" s="5" t="str">
        <f aca="false">IF(B465="","",INDEX(報告入力!$C$7:$C$696,B465))</f>
        <v>未受領</v>
      </c>
      <c r="D465" s="5" t="str">
        <f aca="false">設定!$A$42</f>
        <v>子ども・子育て支援納付金経理</v>
      </c>
      <c r="E465" s="5" t="str">
        <f aca="false">設定!$B$42&amp;""</f>
        <v/>
      </c>
      <c r="F465" s="5" t="str">
        <f aca="false">設定!$D$56&amp;""</f>
        <v/>
      </c>
      <c r="G465" s="5" t="str">
        <f aca="false">設定!$E$56&amp;""</f>
        <v/>
      </c>
      <c r="H465" s="5" t="n">
        <f aca="false">IF(B465="",0,N(INDEX(報告入力!$BE$7:$BE$696,B465)))</f>
        <v>1</v>
      </c>
      <c r="I465" s="5" t="str">
        <f aca="false">設定!$C$42&amp;""</f>
        <v/>
      </c>
      <c r="J465" s="5" t="str">
        <f aca="false">設定!$D$42&amp;""</f>
        <v/>
      </c>
      <c r="K465" s="5" t="n">
        <f aca="false">IF(AND(H465&lt;&gt;0,IF(設定!$B$6="入金確認済のみ",C465="入金確認済",OR(C465="入金確認済",C465="受領済"))),1,0)</f>
        <v>0</v>
      </c>
      <c r="L465" s="5" t="str">
        <f aca="false">4&amp;"|"&amp;23</f>
        <v>4|23</v>
      </c>
      <c r="M465" s="5" t="n">
        <f aca="false">IF(L465=L464,M464,0)+K465</f>
        <v>0</v>
      </c>
      <c r="N465" s="5" t="n">
        <f aca="false">IF(AND(K465=1,M465=1),1,0)</f>
        <v>0</v>
      </c>
      <c r="O465" s="5" t="str">
        <f aca="false">IF(K465=1,MAX($O$5:O464)+1,"")</f>
        <v/>
      </c>
      <c r="P465" s="5" t="str">
        <f aca="false">IF(K465=1,SUM($N$6:N465),"")</f>
        <v/>
      </c>
      <c r="Q465" s="5" t="str">
        <f aca="false">IF(K465=1,SUMIFS($H$6:$H$511,$L$6:$L$511,L465,$K$6:$K$511,1),"")</f>
        <v/>
      </c>
      <c r="R465" s="78" t="str">
        <f aca="false">IF(B465="","",IF(INDEX(報告入力!$X$7:$X$696,B465)="","",INDEX(報告入力!$X$7:$X$696,B465)))</f>
        <v/>
      </c>
      <c r="S465" s="5" t="str">
        <f aca="false">設定!$C$56</f>
        <v>子ども・子育て支援納付金：負担金</v>
      </c>
    </row>
    <row r="466" customFormat="false" ht="15" hidden="false" customHeight="false" outlineLevel="0" collapsed="false">
      <c r="A466" s="5" t="str">
        <f aca="false">設定!B84</f>
        <v>高速道路公社</v>
      </c>
      <c r="B466" s="5" t="n">
        <f aca="false">IFERROR(MATCH(ホーム!$C$4&amp;"|"&amp;A466,報告入力!$CG$7:$CG$696,0),"")</f>
        <v>346</v>
      </c>
      <c r="C466" s="5" t="str">
        <f aca="false">IF(B466="","",INDEX(報告入力!$C$7:$C$696,B466))</f>
        <v>未受領</v>
      </c>
      <c r="D466" s="5" t="str">
        <f aca="false">設定!$A$42</f>
        <v>子ども・子育て支援納付金経理</v>
      </c>
      <c r="E466" s="5" t="str">
        <f aca="false">設定!$B$42&amp;""</f>
        <v/>
      </c>
      <c r="F466" s="5" t="str">
        <f aca="false">設定!$D$55&amp;""</f>
        <v/>
      </c>
      <c r="G466" s="5" t="str">
        <f aca="false">設定!$E$55&amp;""</f>
        <v/>
      </c>
      <c r="H466" s="5" t="n">
        <f aca="false">IF(B466="",0,N(INDEX(報告入力!$BD$7:$BD$696,B466)))</f>
        <v>1</v>
      </c>
      <c r="I466" s="5" t="str">
        <f aca="false">設定!$C$42&amp;""</f>
        <v/>
      </c>
      <c r="J466" s="5" t="str">
        <f aca="false">設定!$D$42&amp;""</f>
        <v/>
      </c>
      <c r="K466" s="5" t="n">
        <f aca="false">IF(AND(H466&lt;&gt;0,IF(設定!$B$6="入金確認済のみ",C466="入金確認済",OR(C466="入金確認済",C466="受領済"))),1,0)</f>
        <v>0</v>
      </c>
      <c r="L466" s="5" t="str">
        <f aca="false">4&amp;"|"&amp;24</f>
        <v>4|24</v>
      </c>
      <c r="M466" s="5" t="n">
        <f aca="false">IF(L466=L465,M465,0)+K466</f>
        <v>0</v>
      </c>
      <c r="N466" s="5" t="n">
        <f aca="false">IF(AND(K466=1,M466=1),1,0)</f>
        <v>0</v>
      </c>
      <c r="O466" s="5" t="str">
        <f aca="false">IF(K466=1,MAX($O$5:O465)+1,"")</f>
        <v/>
      </c>
      <c r="P466" s="5" t="str">
        <f aca="false">IF(K466=1,SUM($N$6:N466),"")</f>
        <v/>
      </c>
      <c r="Q466" s="5" t="str">
        <f aca="false">IF(K466=1,SUMIFS($H$6:$H$511,$L$6:$L$511,L466,$K$6:$K$511,1),"")</f>
        <v/>
      </c>
      <c r="R466" s="78" t="str">
        <f aca="false">IF(B466="","",IF(INDEX(報告入力!$X$7:$X$696,B466)="","",INDEX(報告入力!$X$7:$X$696,B466)))</f>
        <v/>
      </c>
      <c r="S466" s="5" t="str">
        <f aca="false">設定!$C$55</f>
        <v>子ども・子育て支援納付金：掛金</v>
      </c>
    </row>
    <row r="467" customFormat="false" ht="15" hidden="false" customHeight="false" outlineLevel="0" collapsed="false">
      <c r="A467" s="5" t="str">
        <f aca="false">設定!B84</f>
        <v>高速道路公社</v>
      </c>
      <c r="B467" s="5" t="n">
        <f aca="false">IFERROR(MATCH(ホーム!$C$4&amp;"|"&amp;A467,報告入力!$CG$7:$CG$696,0),"")</f>
        <v>346</v>
      </c>
      <c r="C467" s="5" t="str">
        <f aca="false">IF(B467="","",INDEX(報告入力!$C$7:$C$696,B467))</f>
        <v>未受領</v>
      </c>
      <c r="D467" s="5" t="str">
        <f aca="false">設定!$A$42</f>
        <v>子ども・子育て支援納付金経理</v>
      </c>
      <c r="E467" s="5" t="str">
        <f aca="false">設定!$B$42&amp;""</f>
        <v/>
      </c>
      <c r="F467" s="5" t="str">
        <f aca="false">設定!$D$56&amp;""</f>
        <v/>
      </c>
      <c r="G467" s="5" t="str">
        <f aca="false">設定!$E$56&amp;""</f>
        <v/>
      </c>
      <c r="H467" s="5" t="n">
        <f aca="false">IF(B467="",0,N(INDEX(報告入力!$BE$7:$BE$696,B467)))</f>
        <v>1</v>
      </c>
      <c r="I467" s="5" t="str">
        <f aca="false">設定!$C$42&amp;""</f>
        <v/>
      </c>
      <c r="J467" s="5" t="str">
        <f aca="false">設定!$D$42&amp;""</f>
        <v/>
      </c>
      <c r="K467" s="5" t="n">
        <f aca="false">IF(AND(H467&lt;&gt;0,IF(設定!$B$6="入金確認済のみ",C467="入金確認済",OR(C467="入金確認済",C467="受領済"))),1,0)</f>
        <v>0</v>
      </c>
      <c r="L467" s="5" t="str">
        <f aca="false">4&amp;"|"&amp;24</f>
        <v>4|24</v>
      </c>
      <c r="M467" s="5" t="n">
        <f aca="false">IF(L467=L466,M466,0)+K467</f>
        <v>0</v>
      </c>
      <c r="N467" s="5" t="n">
        <f aca="false">IF(AND(K467=1,M467=1),1,0)</f>
        <v>0</v>
      </c>
      <c r="O467" s="5" t="str">
        <f aca="false">IF(K467=1,MAX($O$5:O466)+1,"")</f>
        <v/>
      </c>
      <c r="P467" s="5" t="str">
        <f aca="false">IF(K467=1,SUM($N$6:N467),"")</f>
        <v/>
      </c>
      <c r="Q467" s="5" t="str">
        <f aca="false">IF(K467=1,SUMIFS($H$6:$H$511,$L$6:$L$511,L467,$K$6:$K$511,1),"")</f>
        <v/>
      </c>
      <c r="R467" s="78" t="str">
        <f aca="false">IF(B467="","",IF(INDEX(報告入力!$X$7:$X$696,B467)="","",INDEX(報告入力!$X$7:$X$696,B467)))</f>
        <v/>
      </c>
      <c r="S467" s="5" t="str">
        <f aca="false">設定!$C$56</f>
        <v>子ども・子育て支援納付金：負担金</v>
      </c>
    </row>
    <row r="468" customFormat="false" ht="15" hidden="false" customHeight="false" outlineLevel="0" collapsed="false">
      <c r="A468" s="5" t="str">
        <f aca="false">設定!B85</f>
        <v>農林水産振興センタ</v>
      </c>
      <c r="B468" s="5" t="n">
        <f aca="false">IFERROR(MATCH(ホーム!$C$4&amp;"|"&amp;A468,報告入力!$CG$7:$CG$696,0),"")</f>
        <v>347</v>
      </c>
      <c r="C468" s="5" t="str">
        <f aca="false">IF(B468="","",INDEX(報告入力!$C$7:$C$696,B468))</f>
        <v>未受領</v>
      </c>
      <c r="D468" s="5" t="str">
        <f aca="false">設定!$A$42</f>
        <v>子ども・子育て支援納付金経理</v>
      </c>
      <c r="E468" s="5" t="str">
        <f aca="false">設定!$B$42&amp;""</f>
        <v/>
      </c>
      <c r="F468" s="5" t="str">
        <f aca="false">設定!$D$55&amp;""</f>
        <v/>
      </c>
      <c r="G468" s="5" t="str">
        <f aca="false">設定!$E$55&amp;""</f>
        <v/>
      </c>
      <c r="H468" s="5" t="n">
        <f aca="false">IF(B468="",0,N(INDEX(報告入力!$BD$7:$BD$696,B468)))</f>
        <v>0</v>
      </c>
      <c r="I468" s="5" t="str">
        <f aca="false">設定!$C$42&amp;""</f>
        <v/>
      </c>
      <c r="J468" s="5" t="str">
        <f aca="false">設定!$D$42&amp;""</f>
        <v/>
      </c>
      <c r="K468" s="5" t="n">
        <f aca="false">IF(AND(H468&lt;&gt;0,IF(設定!$B$6="入金確認済のみ",C468="入金確認済",OR(C468="入金確認済",C468="受領済"))),1,0)</f>
        <v>0</v>
      </c>
      <c r="L468" s="5" t="str">
        <f aca="false">4&amp;"|"&amp;25</f>
        <v>4|25</v>
      </c>
      <c r="M468" s="5" t="n">
        <f aca="false">IF(L468=L467,M467,0)+K468</f>
        <v>0</v>
      </c>
      <c r="N468" s="5" t="n">
        <f aca="false">IF(AND(K468=1,M468=1),1,0)</f>
        <v>0</v>
      </c>
      <c r="O468" s="5" t="str">
        <f aca="false">IF(K468=1,MAX($O$5:O467)+1,"")</f>
        <v/>
      </c>
      <c r="P468" s="5" t="str">
        <f aca="false">IF(K468=1,SUM($N$6:N468),"")</f>
        <v/>
      </c>
      <c r="Q468" s="5" t="str">
        <f aca="false">IF(K468=1,SUMIFS($H$6:$H$511,$L$6:$L$511,L468,$K$6:$K$511,1),"")</f>
        <v/>
      </c>
      <c r="R468" s="78" t="str">
        <f aca="false">IF(B468="","",IF(INDEX(報告入力!$X$7:$X$696,B468)="","",INDEX(報告入力!$X$7:$X$696,B468)))</f>
        <v/>
      </c>
      <c r="S468" s="5" t="str">
        <f aca="false">設定!$C$55</f>
        <v>子ども・子育て支援納付金：掛金</v>
      </c>
    </row>
    <row r="469" customFormat="false" ht="15" hidden="false" customHeight="false" outlineLevel="0" collapsed="false">
      <c r="A469" s="5" t="str">
        <f aca="false">設定!B85</f>
        <v>農林水産振興センタ</v>
      </c>
      <c r="B469" s="5" t="n">
        <f aca="false">IFERROR(MATCH(ホーム!$C$4&amp;"|"&amp;A469,報告入力!$CG$7:$CG$696,0),"")</f>
        <v>347</v>
      </c>
      <c r="C469" s="5" t="str">
        <f aca="false">IF(B469="","",INDEX(報告入力!$C$7:$C$696,B469))</f>
        <v>未受領</v>
      </c>
      <c r="D469" s="5" t="str">
        <f aca="false">設定!$A$42</f>
        <v>子ども・子育て支援納付金経理</v>
      </c>
      <c r="E469" s="5" t="str">
        <f aca="false">設定!$B$42&amp;""</f>
        <v/>
      </c>
      <c r="F469" s="5" t="str">
        <f aca="false">設定!$D$56&amp;""</f>
        <v/>
      </c>
      <c r="G469" s="5" t="str">
        <f aca="false">設定!$E$56&amp;""</f>
        <v/>
      </c>
      <c r="H469" s="5" t="n">
        <f aca="false">IF(B469="",0,N(INDEX(報告入力!$BE$7:$BE$696,B469)))</f>
        <v>1</v>
      </c>
      <c r="I469" s="5" t="str">
        <f aca="false">設定!$C$42&amp;""</f>
        <v/>
      </c>
      <c r="J469" s="5" t="str">
        <f aca="false">設定!$D$42&amp;""</f>
        <v/>
      </c>
      <c r="K469" s="5" t="n">
        <f aca="false">IF(AND(H469&lt;&gt;0,IF(設定!$B$6="入金確認済のみ",C469="入金確認済",OR(C469="入金確認済",C469="受領済"))),1,0)</f>
        <v>0</v>
      </c>
      <c r="L469" s="5" t="str">
        <f aca="false">4&amp;"|"&amp;25</f>
        <v>4|25</v>
      </c>
      <c r="M469" s="5" t="n">
        <f aca="false">IF(L469=L468,M468,0)+K469</f>
        <v>0</v>
      </c>
      <c r="N469" s="5" t="n">
        <f aca="false">IF(AND(K469=1,M469=1),1,0)</f>
        <v>0</v>
      </c>
      <c r="O469" s="5" t="str">
        <f aca="false">IF(K469=1,MAX($O$5:O468)+1,"")</f>
        <v/>
      </c>
      <c r="P469" s="5" t="str">
        <f aca="false">IF(K469=1,SUM($N$6:N469),"")</f>
        <v/>
      </c>
      <c r="Q469" s="5" t="str">
        <f aca="false">IF(K469=1,SUMIFS($H$6:$H$511,$L$6:$L$511,L469,$K$6:$K$511,1),"")</f>
        <v/>
      </c>
      <c r="R469" s="78" t="str">
        <f aca="false">IF(B469="","",IF(INDEX(報告入力!$X$7:$X$696,B469)="","",INDEX(報告入力!$X$7:$X$696,B469)))</f>
        <v/>
      </c>
      <c r="S469" s="5" t="str">
        <f aca="false">設定!$C$56</f>
        <v>子ども・子育て支援納付金：負担金</v>
      </c>
    </row>
    <row r="470" customFormat="false" ht="15" hidden="false" customHeight="false" outlineLevel="0" collapsed="false">
      <c r="A470" s="5" t="str">
        <f aca="false">設定!B86</f>
        <v>文化財団　市長部局</v>
      </c>
      <c r="B470" s="5" t="n">
        <f aca="false">IFERROR(MATCH(ホーム!$C$4&amp;"|"&amp;A470,報告入力!$CG$7:$CG$696,0),"")</f>
        <v>348</v>
      </c>
      <c r="C470" s="5" t="str">
        <f aca="false">IF(B470="","",INDEX(報告入力!$C$7:$C$696,B470))</f>
        <v>未受領</v>
      </c>
      <c r="D470" s="5" t="str">
        <f aca="false">設定!$A$42</f>
        <v>子ども・子育て支援納付金経理</v>
      </c>
      <c r="E470" s="5" t="str">
        <f aca="false">設定!$B$42&amp;""</f>
        <v/>
      </c>
      <c r="F470" s="5" t="str">
        <f aca="false">設定!$D$55&amp;""</f>
        <v/>
      </c>
      <c r="G470" s="5" t="str">
        <f aca="false">設定!$E$55&amp;""</f>
        <v/>
      </c>
      <c r="H470" s="5" t="n">
        <f aca="false">IF(B470="",0,N(INDEX(報告入力!$BD$7:$BD$696,B470)))</f>
        <v>0</v>
      </c>
      <c r="I470" s="5" t="str">
        <f aca="false">設定!$C$42&amp;""</f>
        <v/>
      </c>
      <c r="J470" s="5" t="str">
        <f aca="false">設定!$D$42&amp;""</f>
        <v/>
      </c>
      <c r="K470" s="5" t="n">
        <f aca="false">IF(AND(H470&lt;&gt;0,IF(設定!$B$6="入金確認済のみ",C470="入金確認済",OR(C470="入金確認済",C470="受領済"))),1,0)</f>
        <v>0</v>
      </c>
      <c r="L470" s="5" t="str">
        <f aca="false">4&amp;"|"&amp;26</f>
        <v>4|26</v>
      </c>
      <c r="M470" s="5" t="n">
        <f aca="false">IF(L470=L469,M469,0)+K470</f>
        <v>0</v>
      </c>
      <c r="N470" s="5" t="n">
        <f aca="false">IF(AND(K470=1,M470=1),1,0)</f>
        <v>0</v>
      </c>
      <c r="O470" s="5" t="str">
        <f aca="false">IF(K470=1,MAX($O$5:O469)+1,"")</f>
        <v/>
      </c>
      <c r="P470" s="5" t="str">
        <f aca="false">IF(K470=1,SUM($N$6:N470),"")</f>
        <v/>
      </c>
      <c r="Q470" s="5" t="str">
        <f aca="false">IF(K470=1,SUMIFS($H$6:$H$511,$L$6:$L$511,L470,$K$6:$K$511,1),"")</f>
        <v/>
      </c>
      <c r="R470" s="78" t="str">
        <f aca="false">IF(B470="","",IF(INDEX(報告入力!$X$7:$X$696,B470)="","",INDEX(報告入力!$X$7:$X$696,B470)))</f>
        <v/>
      </c>
      <c r="S470" s="5" t="str">
        <f aca="false">設定!$C$55</f>
        <v>子ども・子育て支援納付金：掛金</v>
      </c>
    </row>
    <row r="471" customFormat="false" ht="15" hidden="false" customHeight="false" outlineLevel="0" collapsed="false">
      <c r="A471" s="5" t="str">
        <f aca="false">設定!B86</f>
        <v>文化財団　市長部局</v>
      </c>
      <c r="B471" s="5" t="n">
        <f aca="false">IFERROR(MATCH(ホーム!$C$4&amp;"|"&amp;A471,報告入力!$CG$7:$CG$696,0),"")</f>
        <v>348</v>
      </c>
      <c r="C471" s="5" t="str">
        <f aca="false">IF(B471="","",INDEX(報告入力!$C$7:$C$696,B471))</f>
        <v>未受領</v>
      </c>
      <c r="D471" s="5" t="str">
        <f aca="false">設定!$A$42</f>
        <v>子ども・子育て支援納付金経理</v>
      </c>
      <c r="E471" s="5" t="str">
        <f aca="false">設定!$B$42&amp;""</f>
        <v/>
      </c>
      <c r="F471" s="5" t="str">
        <f aca="false">設定!$D$56&amp;""</f>
        <v/>
      </c>
      <c r="G471" s="5" t="str">
        <f aca="false">設定!$E$56&amp;""</f>
        <v/>
      </c>
      <c r="H471" s="5" t="n">
        <f aca="false">IF(B471="",0,N(INDEX(報告入力!$BE$7:$BE$696,B471)))</f>
        <v>1</v>
      </c>
      <c r="I471" s="5" t="str">
        <f aca="false">設定!$C$42&amp;""</f>
        <v/>
      </c>
      <c r="J471" s="5" t="str">
        <f aca="false">設定!$D$42&amp;""</f>
        <v/>
      </c>
      <c r="K471" s="5" t="n">
        <f aca="false">IF(AND(H471&lt;&gt;0,IF(設定!$B$6="入金確認済のみ",C471="入金確認済",OR(C471="入金確認済",C471="受領済"))),1,0)</f>
        <v>0</v>
      </c>
      <c r="L471" s="5" t="str">
        <f aca="false">4&amp;"|"&amp;26</f>
        <v>4|26</v>
      </c>
      <c r="M471" s="5" t="n">
        <f aca="false">IF(L471=L470,M470,0)+K471</f>
        <v>0</v>
      </c>
      <c r="N471" s="5" t="n">
        <f aca="false">IF(AND(K471=1,M471=1),1,0)</f>
        <v>0</v>
      </c>
      <c r="O471" s="5" t="str">
        <f aca="false">IF(K471=1,MAX($O$5:O470)+1,"")</f>
        <v/>
      </c>
      <c r="P471" s="5" t="str">
        <f aca="false">IF(K471=1,SUM($N$6:N471),"")</f>
        <v/>
      </c>
      <c r="Q471" s="5" t="str">
        <f aca="false">IF(K471=1,SUMIFS($H$6:$H$511,$L$6:$L$511,L471,$K$6:$K$511,1),"")</f>
        <v/>
      </c>
      <c r="R471" s="78" t="str">
        <f aca="false">IF(B471="","",IF(INDEX(報告入力!$X$7:$X$696,B471)="","",INDEX(報告入力!$X$7:$X$696,B471)))</f>
        <v/>
      </c>
      <c r="S471" s="5" t="str">
        <f aca="false">設定!$C$56</f>
        <v>子ども・子育て支援納付金：負担金</v>
      </c>
    </row>
    <row r="472" customFormat="false" ht="15" hidden="false" customHeight="false" outlineLevel="0" collapsed="false">
      <c r="A472" s="5" t="str">
        <f aca="false">設定!B87</f>
        <v>文化財団　教育委員会</v>
      </c>
      <c r="B472" s="5" t="n">
        <f aca="false">IFERROR(MATCH(ホーム!$C$4&amp;"|"&amp;A472,報告入力!$CG$7:$CG$696,0),"")</f>
        <v>349</v>
      </c>
      <c r="C472" s="5" t="str">
        <f aca="false">IF(B472="","",INDEX(報告入力!$C$7:$C$696,B472))</f>
        <v>未受領</v>
      </c>
      <c r="D472" s="5" t="str">
        <f aca="false">設定!$A$42</f>
        <v>子ども・子育て支援納付金経理</v>
      </c>
      <c r="E472" s="5" t="str">
        <f aca="false">設定!$B$42&amp;""</f>
        <v/>
      </c>
      <c r="F472" s="5" t="str">
        <f aca="false">設定!$D$55&amp;""</f>
        <v/>
      </c>
      <c r="G472" s="5" t="str">
        <f aca="false">設定!$E$55&amp;""</f>
        <v/>
      </c>
      <c r="H472" s="5" t="n">
        <f aca="false">IF(B472="",0,N(INDEX(報告入力!$BD$7:$BD$696,B472)))</f>
        <v>0</v>
      </c>
      <c r="I472" s="5" t="str">
        <f aca="false">設定!$C$42&amp;""</f>
        <v/>
      </c>
      <c r="J472" s="5" t="str">
        <f aca="false">設定!$D$42&amp;""</f>
        <v/>
      </c>
      <c r="K472" s="5" t="n">
        <f aca="false">IF(AND(H472&lt;&gt;0,IF(設定!$B$6="入金確認済のみ",C472="入金確認済",OR(C472="入金確認済",C472="受領済"))),1,0)</f>
        <v>0</v>
      </c>
      <c r="L472" s="5" t="str">
        <f aca="false">4&amp;"|"&amp;27</f>
        <v>4|27</v>
      </c>
      <c r="M472" s="5" t="n">
        <f aca="false">IF(L472=L471,M471,0)+K472</f>
        <v>0</v>
      </c>
      <c r="N472" s="5" t="n">
        <f aca="false">IF(AND(K472=1,M472=1),1,0)</f>
        <v>0</v>
      </c>
      <c r="O472" s="5" t="str">
        <f aca="false">IF(K472=1,MAX($O$5:O471)+1,"")</f>
        <v/>
      </c>
      <c r="P472" s="5" t="str">
        <f aca="false">IF(K472=1,SUM($N$6:N472),"")</f>
        <v/>
      </c>
      <c r="Q472" s="5" t="str">
        <f aca="false">IF(K472=1,SUMIFS($H$6:$H$511,$L$6:$L$511,L472,$K$6:$K$511,1),"")</f>
        <v/>
      </c>
      <c r="R472" s="78" t="str">
        <f aca="false">IF(B472="","",IF(INDEX(報告入力!$X$7:$X$696,B472)="","",INDEX(報告入力!$X$7:$X$696,B472)))</f>
        <v/>
      </c>
      <c r="S472" s="5" t="str">
        <f aca="false">設定!$C$55</f>
        <v>子ども・子育て支援納付金：掛金</v>
      </c>
    </row>
    <row r="473" customFormat="false" ht="15" hidden="false" customHeight="false" outlineLevel="0" collapsed="false">
      <c r="A473" s="5" t="str">
        <f aca="false">設定!B87</f>
        <v>文化財団　教育委員会</v>
      </c>
      <c r="B473" s="5" t="n">
        <f aca="false">IFERROR(MATCH(ホーム!$C$4&amp;"|"&amp;A473,報告入力!$CG$7:$CG$696,0),"")</f>
        <v>349</v>
      </c>
      <c r="C473" s="5" t="str">
        <f aca="false">IF(B473="","",INDEX(報告入力!$C$7:$C$696,B473))</f>
        <v>未受領</v>
      </c>
      <c r="D473" s="5" t="str">
        <f aca="false">設定!$A$42</f>
        <v>子ども・子育て支援納付金経理</v>
      </c>
      <c r="E473" s="5" t="str">
        <f aca="false">設定!$B$42&amp;""</f>
        <v/>
      </c>
      <c r="F473" s="5" t="str">
        <f aca="false">設定!$D$56&amp;""</f>
        <v/>
      </c>
      <c r="G473" s="5" t="str">
        <f aca="false">設定!$E$56&amp;""</f>
        <v/>
      </c>
      <c r="H473" s="5" t="n">
        <f aca="false">IF(B473="",0,N(INDEX(報告入力!$BE$7:$BE$696,B473)))</f>
        <v>0</v>
      </c>
      <c r="I473" s="5" t="str">
        <f aca="false">設定!$C$42&amp;""</f>
        <v/>
      </c>
      <c r="J473" s="5" t="str">
        <f aca="false">設定!$D$42&amp;""</f>
        <v/>
      </c>
      <c r="K473" s="5" t="n">
        <f aca="false">IF(AND(H473&lt;&gt;0,IF(設定!$B$6="入金確認済のみ",C473="入金確認済",OR(C473="入金確認済",C473="受領済"))),1,0)</f>
        <v>0</v>
      </c>
      <c r="L473" s="5" t="str">
        <f aca="false">4&amp;"|"&amp;27</f>
        <v>4|27</v>
      </c>
      <c r="M473" s="5" t="n">
        <f aca="false">IF(L473=L472,M472,0)+K473</f>
        <v>0</v>
      </c>
      <c r="N473" s="5" t="n">
        <f aca="false">IF(AND(K473=1,M473=1),1,0)</f>
        <v>0</v>
      </c>
      <c r="O473" s="5" t="str">
        <f aca="false">IF(K473=1,MAX($O$5:O472)+1,"")</f>
        <v/>
      </c>
      <c r="P473" s="5" t="str">
        <f aca="false">IF(K473=1,SUM($N$6:N473),"")</f>
        <v/>
      </c>
      <c r="Q473" s="5" t="str">
        <f aca="false">IF(K473=1,SUMIFS($H$6:$H$511,$L$6:$L$511,L473,$K$6:$K$511,1),"")</f>
        <v/>
      </c>
      <c r="R473" s="78" t="str">
        <f aca="false">IF(B473="","",IF(INDEX(報告入力!$X$7:$X$696,B473)="","",INDEX(報告入力!$X$7:$X$696,B473)))</f>
        <v/>
      </c>
      <c r="S473" s="5" t="str">
        <f aca="false">設定!$C$56</f>
        <v>子ども・子育て支援納付金：負担金</v>
      </c>
    </row>
    <row r="474" customFormat="false" ht="15" hidden="false" customHeight="false" outlineLevel="0" collapsed="false">
      <c r="A474" s="5" t="str">
        <f aca="false">設定!B88</f>
        <v>みどり生きもの協会</v>
      </c>
      <c r="B474" s="5" t="n">
        <f aca="false">IFERROR(MATCH(ホーム!$C$4&amp;"|"&amp;A474,報告入力!$CG$7:$CG$696,0),"")</f>
        <v>350</v>
      </c>
      <c r="C474" s="5" t="str">
        <f aca="false">IF(B474="","",INDEX(報告入力!$C$7:$C$696,B474))</f>
        <v>未受領</v>
      </c>
      <c r="D474" s="5" t="str">
        <f aca="false">設定!$A$42</f>
        <v>子ども・子育て支援納付金経理</v>
      </c>
      <c r="E474" s="5" t="str">
        <f aca="false">設定!$B$42&amp;""</f>
        <v/>
      </c>
      <c r="F474" s="5" t="str">
        <f aca="false">設定!$D$55&amp;""</f>
        <v/>
      </c>
      <c r="G474" s="5" t="str">
        <f aca="false">設定!$E$55&amp;""</f>
        <v/>
      </c>
      <c r="H474" s="5" t="n">
        <f aca="false">IF(B474="",0,N(INDEX(報告入力!$BD$7:$BD$696,B474)))</f>
        <v>0</v>
      </c>
      <c r="I474" s="5" t="str">
        <f aca="false">設定!$C$42&amp;""</f>
        <v/>
      </c>
      <c r="J474" s="5" t="str">
        <f aca="false">設定!$D$42&amp;""</f>
        <v/>
      </c>
      <c r="K474" s="5" t="n">
        <f aca="false">IF(AND(H474&lt;&gt;0,IF(設定!$B$6="入金確認済のみ",C474="入金確認済",OR(C474="入金確認済",C474="受領済"))),1,0)</f>
        <v>0</v>
      </c>
      <c r="L474" s="5" t="str">
        <f aca="false">4&amp;"|"&amp;28</f>
        <v>4|28</v>
      </c>
      <c r="M474" s="5" t="n">
        <f aca="false">IF(L474=L473,M473,0)+K474</f>
        <v>0</v>
      </c>
      <c r="N474" s="5" t="n">
        <f aca="false">IF(AND(K474=1,M474=1),1,0)</f>
        <v>0</v>
      </c>
      <c r="O474" s="5" t="str">
        <f aca="false">IF(K474=1,MAX($O$5:O473)+1,"")</f>
        <v/>
      </c>
      <c r="P474" s="5" t="str">
        <f aca="false">IF(K474=1,SUM($N$6:N474),"")</f>
        <v/>
      </c>
      <c r="Q474" s="5" t="str">
        <f aca="false">IF(K474=1,SUMIFS($H$6:$H$511,$L$6:$L$511,L474,$K$6:$K$511,1),"")</f>
        <v/>
      </c>
      <c r="R474" s="78" t="str">
        <f aca="false">IF(B474="","",IF(INDEX(報告入力!$X$7:$X$696,B474)="","",INDEX(報告入力!$X$7:$X$696,B474)))</f>
        <v/>
      </c>
      <c r="S474" s="5" t="str">
        <f aca="false">設定!$C$55</f>
        <v>子ども・子育て支援納付金：掛金</v>
      </c>
    </row>
    <row r="475" customFormat="false" ht="15" hidden="false" customHeight="false" outlineLevel="0" collapsed="false">
      <c r="A475" s="5" t="str">
        <f aca="false">設定!B88</f>
        <v>みどり生きもの協会</v>
      </c>
      <c r="B475" s="5" t="n">
        <f aca="false">IFERROR(MATCH(ホーム!$C$4&amp;"|"&amp;A475,報告入力!$CG$7:$CG$696,0),"")</f>
        <v>350</v>
      </c>
      <c r="C475" s="5" t="str">
        <f aca="false">IF(B475="","",INDEX(報告入力!$C$7:$C$696,B475))</f>
        <v>未受領</v>
      </c>
      <c r="D475" s="5" t="str">
        <f aca="false">設定!$A$42</f>
        <v>子ども・子育て支援納付金経理</v>
      </c>
      <c r="E475" s="5" t="str">
        <f aca="false">設定!$B$42&amp;""</f>
        <v/>
      </c>
      <c r="F475" s="5" t="str">
        <f aca="false">設定!$D$56&amp;""</f>
        <v/>
      </c>
      <c r="G475" s="5" t="str">
        <f aca="false">設定!$E$56&amp;""</f>
        <v/>
      </c>
      <c r="H475" s="5" t="n">
        <f aca="false">IF(B475="",0,N(INDEX(報告入力!$BE$7:$BE$696,B475)))</f>
        <v>1</v>
      </c>
      <c r="I475" s="5" t="str">
        <f aca="false">設定!$C$42&amp;""</f>
        <v/>
      </c>
      <c r="J475" s="5" t="str">
        <f aca="false">設定!$D$42&amp;""</f>
        <v/>
      </c>
      <c r="K475" s="5" t="n">
        <f aca="false">IF(AND(H475&lt;&gt;0,IF(設定!$B$6="入金確認済のみ",C475="入金確認済",OR(C475="入金確認済",C475="受領済"))),1,0)</f>
        <v>0</v>
      </c>
      <c r="L475" s="5" t="str">
        <f aca="false">4&amp;"|"&amp;28</f>
        <v>4|28</v>
      </c>
      <c r="M475" s="5" t="n">
        <f aca="false">IF(L475=L474,M474,0)+K475</f>
        <v>0</v>
      </c>
      <c r="N475" s="5" t="n">
        <f aca="false">IF(AND(K475=1,M475=1),1,0)</f>
        <v>0</v>
      </c>
      <c r="O475" s="5" t="str">
        <f aca="false">IF(K475=1,MAX($O$5:O474)+1,"")</f>
        <v/>
      </c>
      <c r="P475" s="5" t="str">
        <f aca="false">IF(K475=1,SUM($N$6:N475),"")</f>
        <v/>
      </c>
      <c r="Q475" s="5" t="str">
        <f aca="false">IF(K475=1,SUMIFS($H$6:$H$511,$L$6:$L$511,L475,$K$6:$K$511,1),"")</f>
        <v/>
      </c>
      <c r="R475" s="78" t="str">
        <f aca="false">IF(B475="","",IF(INDEX(報告入力!$X$7:$X$696,B475)="","",INDEX(報告入力!$X$7:$X$696,B475)))</f>
        <v/>
      </c>
      <c r="S475" s="5" t="str">
        <f aca="false">設定!$C$56</f>
        <v>子ども・子育て支援納付金：負担金</v>
      </c>
    </row>
    <row r="476" customFormat="false" ht="15" hidden="false" customHeight="false" outlineLevel="0" collapsed="false">
      <c r="A476" s="5" t="str">
        <f aca="false">設定!B89</f>
        <v>県下水道公社</v>
      </c>
      <c r="B476" s="5" t="n">
        <f aca="false">IFERROR(MATCH(ホーム!$C$4&amp;"|"&amp;A476,報告入力!$CG$7:$CG$696,0),"")</f>
        <v>351</v>
      </c>
      <c r="C476" s="5" t="str">
        <f aca="false">IF(B476="","",INDEX(報告入力!$C$7:$C$696,B476))</f>
        <v>未受領</v>
      </c>
      <c r="D476" s="5" t="str">
        <f aca="false">設定!$A$42</f>
        <v>子ども・子育て支援納付金経理</v>
      </c>
      <c r="E476" s="5" t="str">
        <f aca="false">設定!$B$42&amp;""</f>
        <v/>
      </c>
      <c r="F476" s="5" t="str">
        <f aca="false">設定!$D$55&amp;""</f>
        <v/>
      </c>
      <c r="G476" s="5" t="str">
        <f aca="false">設定!$E$55&amp;""</f>
        <v/>
      </c>
      <c r="H476" s="5" t="n">
        <f aca="false">IF(B476="",0,N(INDEX(報告入力!$BD$7:$BD$696,B476)))</f>
        <v>1</v>
      </c>
      <c r="I476" s="5" t="str">
        <f aca="false">設定!$C$42&amp;""</f>
        <v/>
      </c>
      <c r="J476" s="5" t="str">
        <f aca="false">設定!$D$42&amp;""</f>
        <v/>
      </c>
      <c r="K476" s="5" t="n">
        <f aca="false">IF(AND(H476&lt;&gt;0,IF(設定!$B$6="入金確認済のみ",C476="入金確認済",OR(C476="入金確認済",C476="受領済"))),1,0)</f>
        <v>0</v>
      </c>
      <c r="L476" s="5" t="str">
        <f aca="false">4&amp;"|"&amp;29</f>
        <v>4|29</v>
      </c>
      <c r="M476" s="5" t="n">
        <f aca="false">IF(L476=L475,M475,0)+K476</f>
        <v>0</v>
      </c>
      <c r="N476" s="5" t="n">
        <f aca="false">IF(AND(K476=1,M476=1),1,0)</f>
        <v>0</v>
      </c>
      <c r="O476" s="5" t="str">
        <f aca="false">IF(K476=1,MAX($O$5:O475)+1,"")</f>
        <v/>
      </c>
      <c r="P476" s="5" t="str">
        <f aca="false">IF(K476=1,SUM($N$6:N476),"")</f>
        <v/>
      </c>
      <c r="Q476" s="5" t="str">
        <f aca="false">IF(K476=1,SUMIFS($H$6:$H$511,$L$6:$L$511,L476,$K$6:$K$511,1),"")</f>
        <v/>
      </c>
      <c r="R476" s="78" t="str">
        <f aca="false">IF(B476="","",IF(INDEX(報告入力!$X$7:$X$696,B476)="","",INDEX(報告入力!$X$7:$X$696,B476)))</f>
        <v/>
      </c>
      <c r="S476" s="5" t="str">
        <f aca="false">設定!$C$55</f>
        <v>子ども・子育て支援納付金：掛金</v>
      </c>
    </row>
    <row r="477" customFormat="false" ht="15" hidden="false" customHeight="false" outlineLevel="0" collapsed="false">
      <c r="A477" s="5" t="str">
        <f aca="false">設定!B89</f>
        <v>県下水道公社</v>
      </c>
      <c r="B477" s="5" t="n">
        <f aca="false">IFERROR(MATCH(ホーム!$C$4&amp;"|"&amp;A477,報告入力!$CG$7:$CG$696,0),"")</f>
        <v>351</v>
      </c>
      <c r="C477" s="5" t="str">
        <f aca="false">IF(B477="","",INDEX(報告入力!$C$7:$C$696,B477))</f>
        <v>未受領</v>
      </c>
      <c r="D477" s="5" t="str">
        <f aca="false">設定!$A$42</f>
        <v>子ども・子育て支援納付金経理</v>
      </c>
      <c r="E477" s="5" t="str">
        <f aca="false">設定!$B$42&amp;""</f>
        <v/>
      </c>
      <c r="F477" s="5" t="str">
        <f aca="false">設定!$D$56&amp;""</f>
        <v/>
      </c>
      <c r="G477" s="5" t="str">
        <f aca="false">設定!$E$56&amp;""</f>
        <v/>
      </c>
      <c r="H477" s="5" t="n">
        <f aca="false">IF(B477="",0,N(INDEX(報告入力!$BE$7:$BE$696,B477)))</f>
        <v>1</v>
      </c>
      <c r="I477" s="5" t="str">
        <f aca="false">設定!$C$42&amp;""</f>
        <v/>
      </c>
      <c r="J477" s="5" t="str">
        <f aca="false">設定!$D$42&amp;""</f>
        <v/>
      </c>
      <c r="K477" s="5" t="n">
        <f aca="false">IF(AND(H477&lt;&gt;0,IF(設定!$B$6="入金確認済のみ",C477="入金確認済",OR(C477="入金確認済",C477="受領済"))),1,0)</f>
        <v>0</v>
      </c>
      <c r="L477" s="5" t="str">
        <f aca="false">4&amp;"|"&amp;29</f>
        <v>4|29</v>
      </c>
      <c r="M477" s="5" t="n">
        <f aca="false">IF(L477=L476,M476,0)+K477</f>
        <v>0</v>
      </c>
      <c r="N477" s="5" t="n">
        <f aca="false">IF(AND(K477=1,M477=1),1,0)</f>
        <v>0</v>
      </c>
      <c r="O477" s="5" t="str">
        <f aca="false">IF(K477=1,MAX($O$5:O476)+1,"")</f>
        <v/>
      </c>
      <c r="P477" s="5" t="str">
        <f aca="false">IF(K477=1,SUM($N$6:N477),"")</f>
        <v/>
      </c>
      <c r="Q477" s="5" t="str">
        <f aca="false">IF(K477=1,SUMIFS($H$6:$H$511,$L$6:$L$511,L477,$K$6:$K$511,1),"")</f>
        <v/>
      </c>
      <c r="R477" s="78" t="str">
        <f aca="false">IF(B477="","",IF(INDEX(報告入力!$X$7:$X$696,B477)="","",INDEX(報告入力!$X$7:$X$696,B477)))</f>
        <v/>
      </c>
      <c r="S477" s="5" t="str">
        <f aca="false">設定!$C$56</f>
        <v>子ども・子育て支援納付金：負担金</v>
      </c>
    </row>
    <row r="478" customFormat="false" ht="25.35" hidden="false" customHeight="false" outlineLevel="0" collapsed="false">
      <c r="A478" s="79" t="str">
        <f aca="false">設定!B90</f>
        <v>バス協調・共創
プラットフォーム</v>
      </c>
      <c r="B478" s="5" t="n">
        <f aca="false">IFERROR(MATCH(ホーム!$C$4&amp;"|"&amp;A478,報告入力!$CG$7:$CG$696,0),"")</f>
        <v>352</v>
      </c>
      <c r="C478" s="5" t="str">
        <f aca="false">IF(B478="","",INDEX(報告入力!$C$7:$C$696,B478))</f>
        <v>未受領</v>
      </c>
      <c r="D478" s="5" t="str">
        <f aca="false">設定!$A$42</f>
        <v>子ども・子育て支援納付金経理</v>
      </c>
      <c r="E478" s="5" t="str">
        <f aca="false">設定!$B$42&amp;""</f>
        <v/>
      </c>
      <c r="F478" s="5" t="str">
        <f aca="false">設定!$D$55&amp;""</f>
        <v/>
      </c>
      <c r="G478" s="5" t="str">
        <f aca="false">設定!$E$55&amp;""</f>
        <v/>
      </c>
      <c r="H478" s="5" t="n">
        <f aca="false">IF(B478="",0,N(INDEX(報告入力!$BD$7:$BD$696,B478)))</f>
        <v>0</v>
      </c>
      <c r="I478" s="5" t="str">
        <f aca="false">設定!$C$42&amp;""</f>
        <v/>
      </c>
      <c r="J478" s="5" t="str">
        <f aca="false">設定!$D$42&amp;""</f>
        <v/>
      </c>
      <c r="K478" s="5" t="n">
        <f aca="false">IF(AND(H478&lt;&gt;0,IF(設定!$B$6="入金確認済のみ",C478="入金確認済",OR(C478="入金確認済",C478="受領済"))),1,0)</f>
        <v>0</v>
      </c>
      <c r="L478" s="5" t="str">
        <f aca="false">4&amp;"|"&amp;30</f>
        <v>4|30</v>
      </c>
      <c r="M478" s="5" t="n">
        <f aca="false">IF(L478=L477,M477,0)+K478</f>
        <v>0</v>
      </c>
      <c r="N478" s="5" t="n">
        <f aca="false">IF(AND(K478=1,M478=1),1,0)</f>
        <v>0</v>
      </c>
      <c r="O478" s="5" t="str">
        <f aca="false">IF(K478=1,MAX($O$5:O477)+1,"")</f>
        <v/>
      </c>
      <c r="P478" s="5" t="str">
        <f aca="false">IF(K478=1,SUM($N$6:N478),"")</f>
        <v/>
      </c>
      <c r="Q478" s="5" t="str">
        <f aca="false">IF(K478=1,SUMIFS($H$6:$H$511,$L$6:$L$511,L478,$K$6:$K$511,1),"")</f>
        <v/>
      </c>
      <c r="R478" s="78" t="str">
        <f aca="false">IF(B478="","",IF(INDEX(報告入力!$X$7:$X$696,B478)="","",INDEX(報告入力!$X$7:$X$696,B478)))</f>
        <v/>
      </c>
      <c r="S478" s="5" t="str">
        <f aca="false">設定!$C$55</f>
        <v>子ども・子育て支援納付金：掛金</v>
      </c>
    </row>
    <row r="479" customFormat="false" ht="25.35" hidden="false" customHeight="false" outlineLevel="0" collapsed="false">
      <c r="A479" s="79" t="str">
        <f aca="false">設定!B90</f>
        <v>バス協調・共創
プラットフォーム</v>
      </c>
      <c r="B479" s="5" t="n">
        <f aca="false">IFERROR(MATCH(ホーム!$C$4&amp;"|"&amp;A479,報告入力!$CG$7:$CG$696,0),"")</f>
        <v>352</v>
      </c>
      <c r="C479" s="5" t="str">
        <f aca="false">IF(B479="","",INDEX(報告入力!$C$7:$C$696,B479))</f>
        <v>未受領</v>
      </c>
      <c r="D479" s="5" t="str">
        <f aca="false">設定!$A$42</f>
        <v>子ども・子育て支援納付金経理</v>
      </c>
      <c r="E479" s="5" t="str">
        <f aca="false">設定!$B$42&amp;""</f>
        <v/>
      </c>
      <c r="F479" s="5" t="str">
        <f aca="false">設定!$D$56&amp;""</f>
        <v/>
      </c>
      <c r="G479" s="5" t="str">
        <f aca="false">設定!$E$56&amp;""</f>
        <v/>
      </c>
      <c r="H479" s="5" t="n">
        <f aca="false">IF(B479="",0,N(INDEX(報告入力!$BE$7:$BE$696,B479)))</f>
        <v>1</v>
      </c>
      <c r="I479" s="5" t="str">
        <f aca="false">設定!$C$42&amp;""</f>
        <v/>
      </c>
      <c r="J479" s="5" t="str">
        <f aca="false">設定!$D$42&amp;""</f>
        <v/>
      </c>
      <c r="K479" s="5" t="n">
        <f aca="false">IF(AND(H479&lt;&gt;0,IF(設定!$B$6="入金確認済のみ",C479="入金確認済",OR(C479="入金確認済",C479="受領済"))),1,0)</f>
        <v>0</v>
      </c>
      <c r="L479" s="5" t="str">
        <f aca="false">4&amp;"|"&amp;30</f>
        <v>4|30</v>
      </c>
      <c r="M479" s="5" t="n">
        <f aca="false">IF(L479=L478,M478,0)+K479</f>
        <v>0</v>
      </c>
      <c r="N479" s="5" t="n">
        <f aca="false">IF(AND(K479=1,M479=1),1,0)</f>
        <v>0</v>
      </c>
      <c r="O479" s="5" t="str">
        <f aca="false">IF(K479=1,MAX($O$5:O478)+1,"")</f>
        <v/>
      </c>
      <c r="P479" s="5" t="str">
        <f aca="false">IF(K479=1,SUM($N$6:N479),"")</f>
        <v/>
      </c>
      <c r="Q479" s="5" t="str">
        <f aca="false">IF(K479=1,SUMIFS($H$6:$H$511,$L$6:$L$511,L479,$K$6:$K$511,1),"")</f>
        <v/>
      </c>
      <c r="R479" s="78" t="str">
        <f aca="false">IF(B479="","",IF(INDEX(報告入力!$X$7:$X$696,B479)="","",INDEX(報告入力!$X$7:$X$696,B479)))</f>
        <v/>
      </c>
      <c r="S479" s="5" t="str">
        <f aca="false">設定!$C$56</f>
        <v>子ども・子育て支援納付金：負担金</v>
      </c>
    </row>
    <row r="480" customFormat="false" ht="15" hidden="false" customHeight="false" outlineLevel="0" collapsed="false">
      <c r="A480" s="5" t="str">
        <f aca="false">設定!B91</f>
        <v>広島県市長会</v>
      </c>
      <c r="B480" s="5" t="n">
        <f aca="false">IFERROR(MATCH(ホーム!$C$4&amp;"|"&amp;A480,報告入力!$CG$7:$CG$696,0),"")</f>
        <v>353</v>
      </c>
      <c r="C480" s="5" t="str">
        <f aca="false">IF(B480="","",INDEX(報告入力!$C$7:$C$696,B480))</f>
        <v>受領済</v>
      </c>
      <c r="D480" s="5" t="str">
        <f aca="false">設定!$A$42</f>
        <v>子ども・子育て支援納付金経理</v>
      </c>
      <c r="E480" s="5" t="str">
        <f aca="false">設定!$B$42&amp;""</f>
        <v/>
      </c>
      <c r="F480" s="5" t="str">
        <f aca="false">設定!$D$55&amp;""</f>
        <v/>
      </c>
      <c r="G480" s="5" t="str">
        <f aca="false">設定!$E$55&amp;""</f>
        <v/>
      </c>
      <c r="H480" s="5" t="n">
        <f aca="false">IF(B480="",0,N(INDEX(報告入力!$BD$7:$BD$696,B480)))</f>
        <v>678</v>
      </c>
      <c r="I480" s="5" t="str">
        <f aca="false">設定!$C$42&amp;""</f>
        <v/>
      </c>
      <c r="J480" s="5" t="str">
        <f aca="false">設定!$D$42&amp;""</f>
        <v/>
      </c>
      <c r="K480" s="5" t="n">
        <f aca="false">IF(AND(H480&lt;&gt;0,IF(設定!$B$6="入金確認済のみ",C480="入金確認済",OR(C480="入金確認済",C480="受領済"))),1,0)</f>
        <v>0</v>
      </c>
      <c r="L480" s="5" t="str">
        <f aca="false">4&amp;"|"&amp;31</f>
        <v>4|31</v>
      </c>
      <c r="M480" s="5" t="n">
        <f aca="false">IF(L480=L479,M479,0)+K480</f>
        <v>0</v>
      </c>
      <c r="N480" s="5" t="n">
        <f aca="false">IF(AND(K480=1,M480=1),1,0)</f>
        <v>0</v>
      </c>
      <c r="O480" s="5" t="str">
        <f aca="false">IF(K480=1,MAX($O$5:O479)+1,"")</f>
        <v/>
      </c>
      <c r="P480" s="5" t="str">
        <f aca="false">IF(K480=1,SUM($N$6:N480),"")</f>
        <v/>
      </c>
      <c r="Q480" s="5" t="str">
        <f aca="false">IF(K480=1,SUMIFS($H$6:$H$511,$L$6:$L$511,L480,$K$6:$K$511,1),"")</f>
        <v/>
      </c>
      <c r="R480" s="78" t="str">
        <f aca="false">IF(B480="","",IF(INDEX(報告入力!$X$7:$X$696,B480)="","",INDEX(報告入力!$X$7:$X$696,B480)))</f>
        <v/>
      </c>
      <c r="S480" s="5" t="str">
        <f aca="false">設定!$C$55</f>
        <v>子ども・子育て支援納付金：掛金</v>
      </c>
    </row>
    <row r="481" customFormat="false" ht="15" hidden="false" customHeight="false" outlineLevel="0" collapsed="false">
      <c r="A481" s="5" t="str">
        <f aca="false">設定!B91</f>
        <v>広島県市長会</v>
      </c>
      <c r="B481" s="5" t="n">
        <f aca="false">IFERROR(MATCH(ホーム!$C$4&amp;"|"&amp;A481,報告入力!$CG$7:$CG$696,0),"")</f>
        <v>353</v>
      </c>
      <c r="C481" s="5" t="str">
        <f aca="false">IF(B481="","",INDEX(報告入力!$C$7:$C$696,B481))</f>
        <v>受領済</v>
      </c>
      <c r="D481" s="5" t="str">
        <f aca="false">設定!$A$42</f>
        <v>子ども・子育て支援納付金経理</v>
      </c>
      <c r="E481" s="5" t="str">
        <f aca="false">設定!$B$42&amp;""</f>
        <v/>
      </c>
      <c r="F481" s="5" t="str">
        <f aca="false">設定!$D$56&amp;""</f>
        <v/>
      </c>
      <c r="G481" s="5" t="str">
        <f aca="false">設定!$E$56&amp;""</f>
        <v/>
      </c>
      <c r="H481" s="5" t="n">
        <f aca="false">IF(B481="",0,N(INDEX(報告入力!$BE$7:$BE$696,B481)))</f>
        <v>678</v>
      </c>
      <c r="I481" s="5" t="str">
        <f aca="false">設定!$C$42&amp;""</f>
        <v/>
      </c>
      <c r="J481" s="5" t="str">
        <f aca="false">設定!$D$42&amp;""</f>
        <v/>
      </c>
      <c r="K481" s="5" t="n">
        <f aca="false">IF(AND(H481&lt;&gt;0,IF(設定!$B$6="入金確認済のみ",C481="入金確認済",OR(C481="入金確認済",C481="受領済"))),1,0)</f>
        <v>0</v>
      </c>
      <c r="L481" s="5" t="str">
        <f aca="false">4&amp;"|"&amp;31</f>
        <v>4|31</v>
      </c>
      <c r="M481" s="5" t="n">
        <f aca="false">IF(L481=L480,M480,0)+K481</f>
        <v>0</v>
      </c>
      <c r="N481" s="5" t="n">
        <f aca="false">IF(AND(K481=1,M481=1),1,0)</f>
        <v>0</v>
      </c>
      <c r="O481" s="5" t="str">
        <f aca="false">IF(K481=1,MAX($O$5:O480)+1,"")</f>
        <v/>
      </c>
      <c r="P481" s="5" t="str">
        <f aca="false">IF(K481=1,SUM($N$6:N481),"")</f>
        <v/>
      </c>
      <c r="Q481" s="5" t="str">
        <f aca="false">IF(K481=1,SUMIFS($H$6:$H$511,$L$6:$L$511,L481,$K$6:$K$511,1),"")</f>
        <v/>
      </c>
      <c r="R481" s="78" t="str">
        <f aca="false">IF(B481="","",IF(INDEX(報告入力!$X$7:$X$696,B481)="","",INDEX(報告入力!$X$7:$X$696,B481)))</f>
        <v/>
      </c>
      <c r="S481" s="5" t="str">
        <f aca="false">設定!$C$56</f>
        <v>子ども・子育て支援納付金：負担金</v>
      </c>
    </row>
    <row r="482" customFormat="false" ht="15" hidden="false" customHeight="false" outlineLevel="0" collapsed="false">
      <c r="A482" s="5" t="str">
        <f aca="false">設定!B92</f>
        <v>全国市町村研修財団</v>
      </c>
      <c r="B482" s="5" t="n">
        <f aca="false">IFERROR(MATCH(ホーム!$C$4&amp;"|"&amp;A482,報告入力!$CG$7:$CG$696,0),"")</f>
        <v>354</v>
      </c>
      <c r="C482" s="5" t="str">
        <f aca="false">IF(B482="","",INDEX(報告入力!$C$7:$C$696,B482))</f>
        <v>受領済</v>
      </c>
      <c r="D482" s="5" t="str">
        <f aca="false">設定!$A$42</f>
        <v>子ども・子育て支援納付金経理</v>
      </c>
      <c r="E482" s="5" t="str">
        <f aca="false">設定!$B$42&amp;""</f>
        <v/>
      </c>
      <c r="F482" s="5" t="str">
        <f aca="false">設定!$D$55&amp;""</f>
        <v/>
      </c>
      <c r="G482" s="5" t="str">
        <f aca="false">設定!$E$55&amp;""</f>
        <v/>
      </c>
      <c r="H482" s="5" t="n">
        <f aca="false">IF(B482="",0,N(INDEX(報告入力!$BD$7:$BD$696,B482)))</f>
        <v>816</v>
      </c>
      <c r="I482" s="5" t="str">
        <f aca="false">設定!$C$42&amp;""</f>
        <v/>
      </c>
      <c r="J482" s="5" t="str">
        <f aca="false">設定!$D$42&amp;""</f>
        <v/>
      </c>
      <c r="K482" s="5" t="n">
        <f aca="false">IF(AND(H482&lt;&gt;0,IF(設定!$B$6="入金確認済のみ",C482="入金確認済",OR(C482="入金確認済",C482="受領済"))),1,0)</f>
        <v>0</v>
      </c>
      <c r="L482" s="5" t="str">
        <f aca="false">4&amp;"|"&amp;32</f>
        <v>4|32</v>
      </c>
      <c r="M482" s="5" t="n">
        <f aca="false">IF(L482=L481,M481,0)+K482</f>
        <v>0</v>
      </c>
      <c r="N482" s="5" t="n">
        <f aca="false">IF(AND(K482=1,M482=1),1,0)</f>
        <v>0</v>
      </c>
      <c r="O482" s="5" t="str">
        <f aca="false">IF(K482=1,MAX($O$5:O481)+1,"")</f>
        <v/>
      </c>
      <c r="P482" s="5" t="str">
        <f aca="false">IF(K482=1,SUM($N$6:N482),"")</f>
        <v/>
      </c>
      <c r="Q482" s="5" t="str">
        <f aca="false">IF(K482=1,SUMIFS($H$6:$H$511,$L$6:$L$511,L482,$K$6:$K$511,1),"")</f>
        <v/>
      </c>
      <c r="R482" s="78" t="str">
        <f aca="false">IF(B482="","",IF(INDEX(報告入力!$X$7:$X$696,B482)="","",INDEX(報告入力!$X$7:$X$696,B482)))</f>
        <v/>
      </c>
      <c r="S482" s="5" t="str">
        <f aca="false">設定!$C$55</f>
        <v>子ども・子育て支援納付金：掛金</v>
      </c>
    </row>
    <row r="483" customFormat="false" ht="15" hidden="false" customHeight="false" outlineLevel="0" collapsed="false">
      <c r="A483" s="5" t="str">
        <f aca="false">設定!B92</f>
        <v>全国市町村研修財団</v>
      </c>
      <c r="B483" s="5" t="n">
        <f aca="false">IFERROR(MATCH(ホーム!$C$4&amp;"|"&amp;A483,報告入力!$CG$7:$CG$696,0),"")</f>
        <v>354</v>
      </c>
      <c r="C483" s="5" t="str">
        <f aca="false">IF(B483="","",INDEX(報告入力!$C$7:$C$696,B483))</f>
        <v>受領済</v>
      </c>
      <c r="D483" s="5" t="str">
        <f aca="false">設定!$A$42</f>
        <v>子ども・子育て支援納付金経理</v>
      </c>
      <c r="E483" s="5" t="str">
        <f aca="false">設定!$B$42&amp;""</f>
        <v/>
      </c>
      <c r="F483" s="5" t="str">
        <f aca="false">設定!$D$56&amp;""</f>
        <v/>
      </c>
      <c r="G483" s="5" t="str">
        <f aca="false">設定!$E$56&amp;""</f>
        <v/>
      </c>
      <c r="H483" s="5" t="n">
        <f aca="false">IF(B483="",0,N(INDEX(報告入力!$BE$7:$BE$696,B483)))</f>
        <v>816</v>
      </c>
      <c r="I483" s="5" t="str">
        <f aca="false">設定!$C$42&amp;""</f>
        <v/>
      </c>
      <c r="J483" s="5" t="str">
        <f aca="false">設定!$D$42&amp;""</f>
        <v/>
      </c>
      <c r="K483" s="5" t="n">
        <f aca="false">IF(AND(H483&lt;&gt;0,IF(設定!$B$6="入金確認済のみ",C483="入金確認済",OR(C483="入金確認済",C483="受領済"))),1,0)</f>
        <v>0</v>
      </c>
      <c r="L483" s="5" t="str">
        <f aca="false">4&amp;"|"&amp;32</f>
        <v>4|32</v>
      </c>
      <c r="M483" s="5" t="n">
        <f aca="false">IF(L483=L482,M482,0)+K483</f>
        <v>0</v>
      </c>
      <c r="N483" s="5" t="n">
        <f aca="false">IF(AND(K483=1,M483=1),1,0)</f>
        <v>0</v>
      </c>
      <c r="O483" s="5" t="str">
        <f aca="false">IF(K483=1,MAX($O$5:O482)+1,"")</f>
        <v/>
      </c>
      <c r="P483" s="5" t="str">
        <f aca="false">IF(K483=1,SUM($N$6:N483),"")</f>
        <v/>
      </c>
      <c r="Q483" s="5" t="str">
        <f aca="false">IF(K483=1,SUMIFS($H$6:$H$511,$L$6:$L$511,L483,$K$6:$K$511,1),"")</f>
        <v/>
      </c>
      <c r="R483" s="78" t="str">
        <f aca="false">IF(B483="","",IF(INDEX(報告入力!$X$7:$X$696,B483)="","",INDEX(報告入力!$X$7:$X$696,B483)))</f>
        <v/>
      </c>
      <c r="S483" s="5" t="str">
        <f aca="false">設定!$C$56</f>
        <v>子ども・子育て支援納付金：負担金</v>
      </c>
    </row>
    <row r="484" customFormat="false" ht="15" hidden="false" customHeight="false" outlineLevel="0" collapsed="false">
      <c r="A484" s="5" t="str">
        <f aca="false">設定!B93</f>
        <v>都市再生機構</v>
      </c>
      <c r="B484" s="5" t="n">
        <f aca="false">IFERROR(MATCH(ホーム!$C$4&amp;"|"&amp;A484,報告入力!$CG$7:$CG$696,0),"")</f>
        <v>355</v>
      </c>
      <c r="C484" s="5" t="str">
        <f aca="false">IF(B484="","",INDEX(報告入力!$C$7:$C$696,B484))</f>
        <v>受領済</v>
      </c>
      <c r="D484" s="5" t="str">
        <f aca="false">設定!$A$42</f>
        <v>子ども・子育て支援納付金経理</v>
      </c>
      <c r="E484" s="5" t="str">
        <f aca="false">設定!$B$42&amp;""</f>
        <v/>
      </c>
      <c r="F484" s="5" t="str">
        <f aca="false">設定!$D$55&amp;""</f>
        <v/>
      </c>
      <c r="G484" s="5" t="str">
        <f aca="false">設定!$E$55&amp;""</f>
        <v/>
      </c>
      <c r="H484" s="5" t="n">
        <f aca="false">IF(B484="",0,N(INDEX(報告入力!$BD$7:$BD$696,B484)))</f>
        <v>575</v>
      </c>
      <c r="I484" s="5" t="str">
        <f aca="false">設定!$C$42&amp;""</f>
        <v/>
      </c>
      <c r="J484" s="5" t="str">
        <f aca="false">設定!$D$42&amp;""</f>
        <v/>
      </c>
      <c r="K484" s="5" t="n">
        <f aca="false">IF(AND(H484&lt;&gt;0,IF(設定!$B$6="入金確認済のみ",C484="入金確認済",OR(C484="入金確認済",C484="受領済"))),1,0)</f>
        <v>0</v>
      </c>
      <c r="L484" s="5" t="str">
        <f aca="false">4&amp;"|"&amp;33</f>
        <v>4|33</v>
      </c>
      <c r="M484" s="5" t="n">
        <f aca="false">IF(L484=L483,M483,0)+K484</f>
        <v>0</v>
      </c>
      <c r="N484" s="5" t="n">
        <f aca="false">IF(AND(K484=1,M484=1),1,0)</f>
        <v>0</v>
      </c>
      <c r="O484" s="5" t="str">
        <f aca="false">IF(K484=1,MAX($O$5:O483)+1,"")</f>
        <v/>
      </c>
      <c r="P484" s="5" t="str">
        <f aca="false">IF(K484=1,SUM($N$6:N484),"")</f>
        <v/>
      </c>
      <c r="Q484" s="5" t="str">
        <f aca="false">IF(K484=1,SUMIFS($H$6:$H$511,$L$6:$L$511,L484,$K$6:$K$511,1),"")</f>
        <v/>
      </c>
      <c r="R484" s="78" t="str">
        <f aca="false">IF(B484="","",IF(INDEX(報告入力!$X$7:$X$696,B484)="","",INDEX(報告入力!$X$7:$X$696,B484)))</f>
        <v/>
      </c>
      <c r="S484" s="5" t="str">
        <f aca="false">設定!$C$55</f>
        <v>子ども・子育て支援納付金：掛金</v>
      </c>
    </row>
    <row r="485" customFormat="false" ht="15" hidden="false" customHeight="false" outlineLevel="0" collapsed="false">
      <c r="A485" s="5" t="str">
        <f aca="false">設定!B93</f>
        <v>都市再生機構</v>
      </c>
      <c r="B485" s="5" t="n">
        <f aca="false">IFERROR(MATCH(ホーム!$C$4&amp;"|"&amp;A485,報告入力!$CG$7:$CG$696,0),"")</f>
        <v>355</v>
      </c>
      <c r="C485" s="5" t="str">
        <f aca="false">IF(B485="","",INDEX(報告入力!$C$7:$C$696,B485))</f>
        <v>受領済</v>
      </c>
      <c r="D485" s="5" t="str">
        <f aca="false">設定!$A$42</f>
        <v>子ども・子育て支援納付金経理</v>
      </c>
      <c r="E485" s="5" t="str">
        <f aca="false">設定!$B$42&amp;""</f>
        <v/>
      </c>
      <c r="F485" s="5" t="str">
        <f aca="false">設定!$D$56&amp;""</f>
        <v/>
      </c>
      <c r="G485" s="5" t="str">
        <f aca="false">設定!$E$56&amp;""</f>
        <v/>
      </c>
      <c r="H485" s="5" t="n">
        <f aca="false">IF(B485="",0,N(INDEX(報告入力!$BE$7:$BE$696,B485)))</f>
        <v>575</v>
      </c>
      <c r="I485" s="5" t="str">
        <f aca="false">設定!$C$42&amp;""</f>
        <v/>
      </c>
      <c r="J485" s="5" t="str">
        <f aca="false">設定!$D$42&amp;""</f>
        <v/>
      </c>
      <c r="K485" s="5" t="n">
        <f aca="false">IF(AND(H485&lt;&gt;0,IF(設定!$B$6="入金確認済のみ",C485="入金確認済",OR(C485="入金確認済",C485="受領済"))),1,0)</f>
        <v>0</v>
      </c>
      <c r="L485" s="5" t="str">
        <f aca="false">4&amp;"|"&amp;33</f>
        <v>4|33</v>
      </c>
      <c r="M485" s="5" t="n">
        <f aca="false">IF(L485=L484,M484,0)+K485</f>
        <v>0</v>
      </c>
      <c r="N485" s="5" t="n">
        <f aca="false">IF(AND(K485=1,M485=1),1,0)</f>
        <v>0</v>
      </c>
      <c r="O485" s="5" t="str">
        <f aca="false">IF(K485=1,MAX($O$5:O484)+1,"")</f>
        <v/>
      </c>
      <c r="P485" s="5" t="str">
        <f aca="false">IF(K485=1,SUM($N$6:N485),"")</f>
        <v/>
      </c>
      <c r="Q485" s="5" t="str">
        <f aca="false">IF(K485=1,SUMIFS($H$6:$H$511,$L$6:$L$511,L485,$K$6:$K$511,1),"")</f>
        <v/>
      </c>
      <c r="R485" s="78" t="str">
        <f aca="false">IF(B485="","",IF(INDEX(報告入力!$X$7:$X$696,B485)="","",INDEX(報告入力!$X$7:$X$696,B485)))</f>
        <v/>
      </c>
      <c r="S485" s="5" t="str">
        <f aca="false">設定!$C$56</f>
        <v>子ども・子育て支援納付金：負担金</v>
      </c>
    </row>
    <row r="486" customFormat="false" ht="15" hidden="false" customHeight="false" outlineLevel="0" collapsed="false">
      <c r="A486" s="5" t="str">
        <f aca="false">設定!B94</f>
        <v>広島市立大学</v>
      </c>
      <c r="B486" s="5" t="n">
        <f aca="false">IFERROR(MATCH(ホーム!$C$4&amp;"|"&amp;A486,報告入力!$CG$7:$CG$696,0),"")</f>
        <v>356</v>
      </c>
      <c r="C486" s="5" t="str">
        <f aca="false">IF(B486="","",INDEX(報告入力!$C$7:$C$696,B486))</f>
        <v>未受領</v>
      </c>
      <c r="D486" s="5" t="str">
        <f aca="false">設定!$A$42</f>
        <v>子ども・子育て支援納付金経理</v>
      </c>
      <c r="E486" s="5" t="str">
        <f aca="false">設定!$B$42&amp;""</f>
        <v/>
      </c>
      <c r="F486" s="5" t="str">
        <f aca="false">設定!$D$55&amp;""</f>
        <v/>
      </c>
      <c r="G486" s="5" t="str">
        <f aca="false">設定!$E$55&amp;""</f>
        <v/>
      </c>
      <c r="H486" s="5" t="n">
        <f aca="false">IF(B486="",0,N(INDEX(報告入力!$BD$7:$BD$696,B486)))</f>
        <v>1</v>
      </c>
      <c r="I486" s="5" t="str">
        <f aca="false">設定!$C$42&amp;""</f>
        <v/>
      </c>
      <c r="J486" s="5" t="str">
        <f aca="false">設定!$D$42&amp;""</f>
        <v/>
      </c>
      <c r="K486" s="5" t="n">
        <f aca="false">IF(AND(H486&lt;&gt;0,IF(設定!$B$6="入金確認済のみ",C486="入金確認済",OR(C486="入金確認済",C486="受領済"))),1,0)</f>
        <v>0</v>
      </c>
      <c r="L486" s="5" t="str">
        <f aca="false">4&amp;"|"&amp;34</f>
        <v>4|34</v>
      </c>
      <c r="M486" s="5" t="n">
        <f aca="false">IF(L486=L485,M485,0)+K486</f>
        <v>0</v>
      </c>
      <c r="N486" s="5" t="n">
        <f aca="false">IF(AND(K486=1,M486=1),1,0)</f>
        <v>0</v>
      </c>
      <c r="O486" s="5" t="str">
        <f aca="false">IF(K486=1,MAX($O$5:O485)+1,"")</f>
        <v/>
      </c>
      <c r="P486" s="5" t="str">
        <f aca="false">IF(K486=1,SUM($N$6:N486),"")</f>
        <v/>
      </c>
      <c r="Q486" s="5" t="str">
        <f aca="false">IF(K486=1,SUMIFS($H$6:$H$511,$L$6:$L$511,L486,$K$6:$K$511,1),"")</f>
        <v/>
      </c>
      <c r="R486" s="78" t="str">
        <f aca="false">IF(B486="","",IF(INDEX(報告入力!$X$7:$X$696,B486)="","",INDEX(報告入力!$X$7:$X$696,B486)))</f>
        <v/>
      </c>
      <c r="S486" s="5" t="str">
        <f aca="false">設定!$C$55</f>
        <v>子ども・子育て支援納付金：掛金</v>
      </c>
    </row>
    <row r="487" customFormat="false" ht="15" hidden="false" customHeight="false" outlineLevel="0" collapsed="false">
      <c r="A487" s="5" t="str">
        <f aca="false">設定!B94</f>
        <v>広島市立大学</v>
      </c>
      <c r="B487" s="5" t="n">
        <f aca="false">IFERROR(MATCH(ホーム!$C$4&amp;"|"&amp;A487,報告入力!$CG$7:$CG$696,0),"")</f>
        <v>356</v>
      </c>
      <c r="C487" s="5" t="str">
        <f aca="false">IF(B487="","",INDEX(報告入力!$C$7:$C$696,B487))</f>
        <v>未受領</v>
      </c>
      <c r="D487" s="5" t="str">
        <f aca="false">設定!$A$42</f>
        <v>子ども・子育て支援納付金経理</v>
      </c>
      <c r="E487" s="5" t="str">
        <f aca="false">設定!$B$42&amp;""</f>
        <v/>
      </c>
      <c r="F487" s="5" t="str">
        <f aca="false">設定!$D$56&amp;""</f>
        <v/>
      </c>
      <c r="G487" s="5" t="str">
        <f aca="false">設定!$E$56&amp;""</f>
        <v/>
      </c>
      <c r="H487" s="5" t="n">
        <f aca="false">IF(B487="",0,N(INDEX(報告入力!$BE$7:$BE$696,B487)))</f>
        <v>1</v>
      </c>
      <c r="I487" s="5" t="str">
        <f aca="false">設定!$C$42&amp;""</f>
        <v/>
      </c>
      <c r="J487" s="5" t="str">
        <f aca="false">設定!$D$42&amp;""</f>
        <v/>
      </c>
      <c r="K487" s="5" t="n">
        <f aca="false">IF(AND(H487&lt;&gt;0,IF(設定!$B$6="入金確認済のみ",C487="入金確認済",OR(C487="入金確認済",C487="受領済"))),1,0)</f>
        <v>0</v>
      </c>
      <c r="L487" s="5" t="str">
        <f aca="false">4&amp;"|"&amp;34</f>
        <v>4|34</v>
      </c>
      <c r="M487" s="5" t="n">
        <f aca="false">IF(L487=L486,M486,0)+K487</f>
        <v>0</v>
      </c>
      <c r="N487" s="5" t="n">
        <f aca="false">IF(AND(K487=1,M487=1),1,0)</f>
        <v>0</v>
      </c>
      <c r="O487" s="5" t="str">
        <f aca="false">IF(K487=1,MAX($O$5:O486)+1,"")</f>
        <v/>
      </c>
      <c r="P487" s="5" t="str">
        <f aca="false">IF(K487=1,SUM($N$6:N487),"")</f>
        <v/>
      </c>
      <c r="Q487" s="5" t="str">
        <f aca="false">IF(K487=1,SUMIFS($H$6:$H$511,$L$6:$L$511,L487,$K$6:$K$511,1),"")</f>
        <v/>
      </c>
      <c r="R487" s="78" t="str">
        <f aca="false">IF(B487="","",IF(INDEX(報告入力!$X$7:$X$696,B487)="","",INDEX(報告入力!$X$7:$X$696,B487)))</f>
        <v/>
      </c>
      <c r="S487" s="5" t="str">
        <f aca="false">設定!$C$56</f>
        <v>子ども・子育て支援納付金：負担金</v>
      </c>
    </row>
    <row r="488" customFormat="false" ht="15" hidden="false" customHeight="false" outlineLevel="0" collapsed="false">
      <c r="A488" s="5" t="str">
        <f aca="false">設定!B95</f>
        <v>社会福祉協議会</v>
      </c>
      <c r="B488" s="5" t="n">
        <f aca="false">IFERROR(MATCH(ホーム!$C$4&amp;"|"&amp;A488,報告入力!$CG$7:$CG$696,0),"")</f>
        <v>357</v>
      </c>
      <c r="C488" s="5" t="str">
        <f aca="false">IF(B488="","",INDEX(報告入力!$C$7:$C$696,B488))</f>
        <v>未受領</v>
      </c>
      <c r="D488" s="5" t="str">
        <f aca="false">設定!$A$42</f>
        <v>子ども・子育て支援納付金経理</v>
      </c>
      <c r="E488" s="5" t="str">
        <f aca="false">設定!$B$42&amp;""</f>
        <v/>
      </c>
      <c r="F488" s="5" t="str">
        <f aca="false">設定!$D$55&amp;""</f>
        <v/>
      </c>
      <c r="G488" s="5" t="str">
        <f aca="false">設定!$E$55&amp;""</f>
        <v/>
      </c>
      <c r="H488" s="5" t="n">
        <f aca="false">IF(B488="",0,N(INDEX(報告入力!$BD$7:$BD$696,B488)))</f>
        <v>0</v>
      </c>
      <c r="I488" s="5" t="str">
        <f aca="false">設定!$C$42&amp;""</f>
        <v/>
      </c>
      <c r="J488" s="5" t="str">
        <f aca="false">設定!$D$42&amp;""</f>
        <v/>
      </c>
      <c r="K488" s="5" t="n">
        <f aca="false">IF(AND(H488&lt;&gt;0,IF(設定!$B$6="入金確認済のみ",C488="入金確認済",OR(C488="入金確認済",C488="受領済"))),1,0)</f>
        <v>0</v>
      </c>
      <c r="L488" s="5" t="str">
        <f aca="false">4&amp;"|"&amp;35</f>
        <v>4|35</v>
      </c>
      <c r="M488" s="5" t="n">
        <f aca="false">IF(L488=L487,M487,0)+K488</f>
        <v>0</v>
      </c>
      <c r="N488" s="5" t="n">
        <f aca="false">IF(AND(K488=1,M488=1),1,0)</f>
        <v>0</v>
      </c>
      <c r="O488" s="5" t="str">
        <f aca="false">IF(K488=1,MAX($O$5:O487)+1,"")</f>
        <v/>
      </c>
      <c r="P488" s="5" t="str">
        <f aca="false">IF(K488=1,SUM($N$6:N488),"")</f>
        <v/>
      </c>
      <c r="Q488" s="5" t="str">
        <f aca="false">IF(K488=1,SUMIFS($H$6:$H$511,$L$6:$L$511,L488,$K$6:$K$511,1),"")</f>
        <v/>
      </c>
      <c r="R488" s="78" t="str">
        <f aca="false">IF(B488="","",IF(INDEX(報告入力!$X$7:$X$696,B488)="","",INDEX(報告入力!$X$7:$X$696,B488)))</f>
        <v/>
      </c>
      <c r="S488" s="5" t="str">
        <f aca="false">設定!$C$55</f>
        <v>子ども・子育て支援納付金：掛金</v>
      </c>
    </row>
    <row r="489" customFormat="false" ht="15" hidden="false" customHeight="false" outlineLevel="0" collapsed="false">
      <c r="A489" s="5" t="str">
        <f aca="false">設定!B95</f>
        <v>社会福祉協議会</v>
      </c>
      <c r="B489" s="5" t="n">
        <f aca="false">IFERROR(MATCH(ホーム!$C$4&amp;"|"&amp;A489,報告入力!$CG$7:$CG$696,0),"")</f>
        <v>357</v>
      </c>
      <c r="C489" s="5" t="str">
        <f aca="false">IF(B489="","",INDEX(報告入力!$C$7:$C$696,B489))</f>
        <v>未受領</v>
      </c>
      <c r="D489" s="5" t="str">
        <f aca="false">設定!$A$42</f>
        <v>子ども・子育て支援納付金経理</v>
      </c>
      <c r="E489" s="5" t="str">
        <f aca="false">設定!$B$42&amp;""</f>
        <v/>
      </c>
      <c r="F489" s="5" t="str">
        <f aca="false">設定!$D$56&amp;""</f>
        <v/>
      </c>
      <c r="G489" s="5" t="str">
        <f aca="false">設定!$E$56&amp;""</f>
        <v/>
      </c>
      <c r="H489" s="5" t="n">
        <f aca="false">IF(B489="",0,N(INDEX(報告入力!$BE$7:$BE$696,B489)))</f>
        <v>1</v>
      </c>
      <c r="I489" s="5" t="str">
        <f aca="false">設定!$C$42&amp;""</f>
        <v/>
      </c>
      <c r="J489" s="5" t="str">
        <f aca="false">設定!$D$42&amp;""</f>
        <v/>
      </c>
      <c r="K489" s="5" t="n">
        <f aca="false">IF(AND(H489&lt;&gt;0,IF(設定!$B$6="入金確認済のみ",C489="入金確認済",OR(C489="入金確認済",C489="受領済"))),1,0)</f>
        <v>0</v>
      </c>
      <c r="L489" s="5" t="str">
        <f aca="false">4&amp;"|"&amp;35</f>
        <v>4|35</v>
      </c>
      <c r="M489" s="5" t="n">
        <f aca="false">IF(L489=L488,M488,0)+K489</f>
        <v>0</v>
      </c>
      <c r="N489" s="5" t="n">
        <f aca="false">IF(AND(K489=1,M489=1),1,0)</f>
        <v>0</v>
      </c>
      <c r="O489" s="5" t="str">
        <f aca="false">IF(K489=1,MAX($O$5:O488)+1,"")</f>
        <v/>
      </c>
      <c r="P489" s="5" t="str">
        <f aca="false">IF(K489=1,SUM($N$6:N489),"")</f>
        <v/>
      </c>
      <c r="Q489" s="5" t="str">
        <f aca="false">IF(K489=1,SUMIFS($H$6:$H$511,$L$6:$L$511,L489,$K$6:$K$511,1),"")</f>
        <v/>
      </c>
      <c r="R489" s="78" t="str">
        <f aca="false">IF(B489="","",IF(INDEX(報告入力!$X$7:$X$696,B489)="","",INDEX(報告入力!$X$7:$X$696,B489)))</f>
        <v/>
      </c>
      <c r="S489" s="5" t="str">
        <f aca="false">設定!$C$56</f>
        <v>子ども・子育て支援納付金：負担金</v>
      </c>
    </row>
    <row r="490" customFormat="false" ht="15" hidden="false" customHeight="false" outlineLevel="0" collapsed="false">
      <c r="A490" s="5" t="str">
        <f aca="false">設定!B96</f>
        <v>市立病院機構</v>
      </c>
      <c r="B490" s="5" t="n">
        <f aca="false">IFERROR(MATCH(ホーム!$C$4&amp;"|"&amp;A490,報告入力!$CG$7:$CG$696,0),"")</f>
        <v>358</v>
      </c>
      <c r="C490" s="5" t="str">
        <f aca="false">IF(B490="","",INDEX(報告入力!$C$7:$C$696,B490))</f>
        <v>未受領</v>
      </c>
      <c r="D490" s="5" t="str">
        <f aca="false">設定!$A$42</f>
        <v>子ども・子育て支援納付金経理</v>
      </c>
      <c r="E490" s="5" t="str">
        <f aca="false">設定!$B$42&amp;""</f>
        <v/>
      </c>
      <c r="F490" s="5" t="str">
        <f aca="false">設定!$D$55&amp;""</f>
        <v/>
      </c>
      <c r="G490" s="5" t="str">
        <f aca="false">設定!$E$55&amp;""</f>
        <v/>
      </c>
      <c r="H490" s="5" t="n">
        <f aca="false">IF(B490="",0,N(INDEX(報告入力!$BD$7:$BD$696,B490)))</f>
        <v>1</v>
      </c>
      <c r="I490" s="5" t="str">
        <f aca="false">設定!$C$42&amp;""</f>
        <v/>
      </c>
      <c r="J490" s="5" t="str">
        <f aca="false">設定!$D$42&amp;""</f>
        <v/>
      </c>
      <c r="K490" s="5" t="n">
        <f aca="false">IF(AND(H490&lt;&gt;0,IF(設定!$B$6="入金確認済のみ",C490="入金確認済",OR(C490="入金確認済",C490="受領済"))),1,0)</f>
        <v>0</v>
      </c>
      <c r="L490" s="5" t="str">
        <f aca="false">4&amp;"|"&amp;36</f>
        <v>4|36</v>
      </c>
      <c r="M490" s="5" t="n">
        <f aca="false">IF(L490=L489,M489,0)+K490</f>
        <v>0</v>
      </c>
      <c r="N490" s="5" t="n">
        <f aca="false">IF(AND(K490=1,M490=1),1,0)</f>
        <v>0</v>
      </c>
      <c r="O490" s="5" t="str">
        <f aca="false">IF(K490=1,MAX($O$5:O489)+1,"")</f>
        <v/>
      </c>
      <c r="P490" s="5" t="str">
        <f aca="false">IF(K490=1,SUM($N$6:N490),"")</f>
        <v/>
      </c>
      <c r="Q490" s="5" t="str">
        <f aca="false">IF(K490=1,SUMIFS($H$6:$H$511,$L$6:$L$511,L490,$K$6:$K$511,1),"")</f>
        <v/>
      </c>
      <c r="R490" s="78" t="str">
        <f aca="false">IF(B490="","",IF(INDEX(報告入力!$X$7:$X$696,B490)="","",INDEX(報告入力!$X$7:$X$696,B490)))</f>
        <v/>
      </c>
      <c r="S490" s="5" t="str">
        <f aca="false">設定!$C$55</f>
        <v>子ども・子育て支援納付金：掛金</v>
      </c>
    </row>
    <row r="491" customFormat="false" ht="15" hidden="false" customHeight="false" outlineLevel="0" collapsed="false">
      <c r="A491" s="5" t="str">
        <f aca="false">設定!B96</f>
        <v>市立病院機構</v>
      </c>
      <c r="B491" s="5" t="n">
        <f aca="false">IFERROR(MATCH(ホーム!$C$4&amp;"|"&amp;A491,報告入力!$CG$7:$CG$696,0),"")</f>
        <v>358</v>
      </c>
      <c r="C491" s="5" t="str">
        <f aca="false">IF(B491="","",INDEX(報告入力!$C$7:$C$696,B491))</f>
        <v>未受領</v>
      </c>
      <c r="D491" s="5" t="str">
        <f aca="false">設定!$A$42</f>
        <v>子ども・子育て支援納付金経理</v>
      </c>
      <c r="E491" s="5" t="str">
        <f aca="false">設定!$B$42&amp;""</f>
        <v/>
      </c>
      <c r="F491" s="5" t="str">
        <f aca="false">設定!$D$56&amp;""</f>
        <v/>
      </c>
      <c r="G491" s="5" t="str">
        <f aca="false">設定!$E$56&amp;""</f>
        <v/>
      </c>
      <c r="H491" s="5" t="n">
        <f aca="false">IF(B491="",0,N(INDEX(報告入力!$BE$7:$BE$696,B491)))</f>
        <v>1</v>
      </c>
      <c r="I491" s="5" t="str">
        <f aca="false">設定!$C$42&amp;""</f>
        <v/>
      </c>
      <c r="J491" s="5" t="str">
        <f aca="false">設定!$D$42&amp;""</f>
        <v/>
      </c>
      <c r="K491" s="5" t="n">
        <f aca="false">IF(AND(H491&lt;&gt;0,IF(設定!$B$6="入金確認済のみ",C491="入金確認済",OR(C491="入金確認済",C491="受領済"))),1,0)</f>
        <v>0</v>
      </c>
      <c r="L491" s="5" t="str">
        <f aca="false">4&amp;"|"&amp;36</f>
        <v>4|36</v>
      </c>
      <c r="M491" s="5" t="n">
        <f aca="false">IF(L491=L490,M490,0)+K491</f>
        <v>0</v>
      </c>
      <c r="N491" s="5" t="n">
        <f aca="false">IF(AND(K491=1,M491=1),1,0)</f>
        <v>0</v>
      </c>
      <c r="O491" s="5" t="str">
        <f aca="false">IF(K491=1,MAX($O$5:O490)+1,"")</f>
        <v/>
      </c>
      <c r="P491" s="5" t="str">
        <f aca="false">IF(K491=1,SUM($N$6:N491),"")</f>
        <v/>
      </c>
      <c r="Q491" s="5" t="str">
        <f aca="false">IF(K491=1,SUMIFS($H$6:$H$511,$L$6:$L$511,L491,$K$6:$K$511,1),"")</f>
        <v/>
      </c>
      <c r="R491" s="78" t="str">
        <f aca="false">IF(B491="","",IF(INDEX(報告入力!$X$7:$X$696,B491)="","",INDEX(報告入力!$X$7:$X$696,B491)))</f>
        <v/>
      </c>
      <c r="S491" s="5" t="str">
        <f aca="false">設定!$C$56</f>
        <v>子ども・子育て支援納付金：負担金</v>
      </c>
    </row>
    <row r="492" customFormat="false" ht="15" hidden="false" customHeight="false" outlineLevel="0" collapsed="false">
      <c r="A492" s="5" t="str">
        <f aca="false">設定!B97</f>
        <v>職員共済組合</v>
      </c>
      <c r="B492" s="5" t="n">
        <f aca="false">IFERROR(MATCH(ホーム!$C$4&amp;"|"&amp;A492,報告入力!$CG$7:$CG$696,0),"")</f>
        <v>359</v>
      </c>
      <c r="C492" s="5" t="str">
        <f aca="false">IF(B492="","",INDEX(報告入力!$C$7:$C$696,B492))</f>
        <v>未受領</v>
      </c>
      <c r="D492" s="5" t="str">
        <f aca="false">設定!$A$42</f>
        <v>子ども・子育て支援納付金経理</v>
      </c>
      <c r="E492" s="5" t="str">
        <f aca="false">設定!$B$42&amp;""</f>
        <v/>
      </c>
      <c r="F492" s="5" t="str">
        <f aca="false">設定!$D$55&amp;""</f>
        <v/>
      </c>
      <c r="G492" s="5" t="str">
        <f aca="false">設定!$E$55&amp;""</f>
        <v/>
      </c>
      <c r="H492" s="5" t="n">
        <f aca="false">IF(B492="",0,N(INDEX(報告入力!$BD$7:$BD$696,B492)))</f>
        <v>1</v>
      </c>
      <c r="I492" s="5" t="str">
        <f aca="false">設定!$C$42&amp;""</f>
        <v/>
      </c>
      <c r="J492" s="5" t="str">
        <f aca="false">設定!$D$42&amp;""</f>
        <v/>
      </c>
      <c r="K492" s="5" t="n">
        <f aca="false">IF(AND(H492&lt;&gt;0,IF(設定!$B$6="入金確認済のみ",C492="入金確認済",OR(C492="入金確認済",C492="受領済"))),1,0)</f>
        <v>0</v>
      </c>
      <c r="L492" s="5" t="str">
        <f aca="false">4&amp;"|"&amp;37</f>
        <v>4|37</v>
      </c>
      <c r="M492" s="5" t="n">
        <f aca="false">IF(L492=L491,M491,0)+K492</f>
        <v>0</v>
      </c>
      <c r="N492" s="5" t="n">
        <f aca="false">IF(AND(K492=1,M492=1),1,0)</f>
        <v>0</v>
      </c>
      <c r="O492" s="5" t="str">
        <f aca="false">IF(K492=1,MAX($O$5:O491)+1,"")</f>
        <v/>
      </c>
      <c r="P492" s="5" t="str">
        <f aca="false">IF(K492=1,SUM($N$6:N492),"")</f>
        <v/>
      </c>
      <c r="Q492" s="5" t="str">
        <f aca="false">IF(K492=1,SUMIFS($H$6:$H$511,$L$6:$L$511,L492,$K$6:$K$511,1),"")</f>
        <v/>
      </c>
      <c r="R492" s="78" t="str">
        <f aca="false">IF(B492="","",IF(INDEX(報告入力!$X$7:$X$696,B492)="","",INDEX(報告入力!$X$7:$X$696,B492)))</f>
        <v/>
      </c>
      <c r="S492" s="5" t="str">
        <f aca="false">設定!$C$55</f>
        <v>子ども・子育て支援納付金：掛金</v>
      </c>
    </row>
    <row r="493" customFormat="false" ht="15" hidden="false" customHeight="false" outlineLevel="0" collapsed="false">
      <c r="A493" s="5" t="str">
        <f aca="false">設定!B97</f>
        <v>職員共済組合</v>
      </c>
      <c r="B493" s="5" t="n">
        <f aca="false">IFERROR(MATCH(ホーム!$C$4&amp;"|"&amp;A493,報告入力!$CG$7:$CG$696,0),"")</f>
        <v>359</v>
      </c>
      <c r="C493" s="5" t="str">
        <f aca="false">IF(B493="","",INDEX(報告入力!$C$7:$C$696,B493))</f>
        <v>未受領</v>
      </c>
      <c r="D493" s="5" t="str">
        <f aca="false">設定!$A$42</f>
        <v>子ども・子育て支援納付金経理</v>
      </c>
      <c r="E493" s="5" t="str">
        <f aca="false">設定!$B$42&amp;""</f>
        <v/>
      </c>
      <c r="F493" s="5" t="str">
        <f aca="false">設定!$D$56&amp;""</f>
        <v/>
      </c>
      <c r="G493" s="5" t="str">
        <f aca="false">設定!$E$56&amp;""</f>
        <v/>
      </c>
      <c r="H493" s="5" t="n">
        <f aca="false">IF(B493="",0,N(INDEX(報告入力!$BE$7:$BE$696,B493)))</f>
        <v>1</v>
      </c>
      <c r="I493" s="5" t="str">
        <f aca="false">設定!$C$42&amp;""</f>
        <v/>
      </c>
      <c r="J493" s="5" t="str">
        <f aca="false">設定!$D$42&amp;""</f>
        <v/>
      </c>
      <c r="K493" s="5" t="n">
        <f aca="false">IF(AND(H493&lt;&gt;0,IF(設定!$B$6="入金確認済のみ",C493="入金確認済",OR(C493="入金確認済",C493="受領済"))),1,0)</f>
        <v>0</v>
      </c>
      <c r="L493" s="5" t="str">
        <f aca="false">4&amp;"|"&amp;37</f>
        <v>4|37</v>
      </c>
      <c r="M493" s="5" t="n">
        <f aca="false">IF(L493=L492,M492,0)+K493</f>
        <v>0</v>
      </c>
      <c r="N493" s="5" t="n">
        <f aca="false">IF(AND(K493=1,M493=1),1,0)</f>
        <v>0</v>
      </c>
      <c r="O493" s="5" t="str">
        <f aca="false">IF(K493=1,MAX($O$5:O492)+1,"")</f>
        <v/>
      </c>
      <c r="P493" s="5" t="str">
        <f aca="false">IF(K493=1,SUM($N$6:N493),"")</f>
        <v/>
      </c>
      <c r="Q493" s="5" t="str">
        <f aca="false">IF(K493=1,SUMIFS($H$6:$H$511,$L$6:$L$511,L493,$K$6:$K$511,1),"")</f>
        <v/>
      </c>
      <c r="R493" s="78" t="str">
        <f aca="false">IF(B493="","",IF(INDEX(報告入力!$X$7:$X$696,B493)="","",INDEX(報告入力!$X$7:$X$696,B493)))</f>
        <v/>
      </c>
      <c r="S493" s="5" t="str">
        <f aca="false">設定!$C$56</f>
        <v>子ども・子育て支援納付金：負担金</v>
      </c>
    </row>
    <row r="494" customFormat="false" ht="25.35" hidden="false" customHeight="false" outlineLevel="0" collapsed="false">
      <c r="A494" s="79" t="str">
        <f aca="false">設定!B98</f>
        <v>地方公共団体
情報システム機構</v>
      </c>
      <c r="B494" s="5" t="n">
        <f aca="false">IFERROR(MATCH(ホーム!$C$4&amp;"|"&amp;A494,報告入力!$CG$7:$CG$696,0),"")</f>
        <v>360</v>
      </c>
      <c r="C494" s="5" t="str">
        <f aca="false">IF(B494="","",INDEX(報告入力!$C$7:$C$696,B494))</f>
        <v>報告なし</v>
      </c>
      <c r="D494" s="5" t="str">
        <f aca="false">設定!$A$42</f>
        <v>子ども・子育て支援納付金経理</v>
      </c>
      <c r="E494" s="5" t="str">
        <f aca="false">設定!$B$42&amp;""</f>
        <v/>
      </c>
      <c r="F494" s="5" t="str">
        <f aca="false">設定!$D$55&amp;""</f>
        <v/>
      </c>
      <c r="G494" s="5" t="str">
        <f aca="false">設定!$E$55&amp;""</f>
        <v/>
      </c>
      <c r="H494" s="5" t="n">
        <f aca="false">IF(B494="",0,N(INDEX(報告入力!$BD$7:$BD$696,B494)))</f>
        <v>0</v>
      </c>
      <c r="I494" s="5" t="str">
        <f aca="false">設定!$C$42&amp;""</f>
        <v/>
      </c>
      <c r="J494" s="5" t="str">
        <f aca="false">設定!$D$42&amp;""</f>
        <v/>
      </c>
      <c r="K494" s="5" t="n">
        <f aca="false">IF(AND(H494&lt;&gt;0,IF(設定!$B$6="入金確認済のみ",C494="入金確認済",OR(C494="入金確認済",C494="受領済"))),1,0)</f>
        <v>0</v>
      </c>
      <c r="L494" s="5" t="str">
        <f aca="false">4&amp;"|"&amp;38</f>
        <v>4|38</v>
      </c>
      <c r="M494" s="5" t="n">
        <f aca="false">IF(L494=L493,M493,0)+K494</f>
        <v>0</v>
      </c>
      <c r="N494" s="5" t="n">
        <f aca="false">IF(AND(K494=1,M494=1),1,0)</f>
        <v>0</v>
      </c>
      <c r="O494" s="5" t="str">
        <f aca="false">IF(K494=1,MAX($O$5:O493)+1,"")</f>
        <v/>
      </c>
      <c r="P494" s="5" t="str">
        <f aca="false">IF(K494=1,SUM($N$6:N494),"")</f>
        <v/>
      </c>
      <c r="Q494" s="5" t="str">
        <f aca="false">IF(K494=1,SUMIFS($H$6:$H$511,$L$6:$L$511,L494,$K$6:$K$511,1),"")</f>
        <v/>
      </c>
      <c r="R494" s="78" t="str">
        <f aca="false">IF(B494="","",IF(INDEX(報告入力!$X$7:$X$696,B494)="","",INDEX(報告入力!$X$7:$X$696,B494)))</f>
        <v/>
      </c>
      <c r="S494" s="5" t="str">
        <f aca="false">設定!$C$55</f>
        <v>子ども・子育て支援納付金：掛金</v>
      </c>
    </row>
    <row r="495" customFormat="false" ht="25.35" hidden="false" customHeight="false" outlineLevel="0" collapsed="false">
      <c r="A495" s="79" t="str">
        <f aca="false">設定!B98</f>
        <v>地方公共団体
情報システム機構</v>
      </c>
      <c r="B495" s="5" t="n">
        <f aca="false">IFERROR(MATCH(ホーム!$C$4&amp;"|"&amp;A495,報告入力!$CG$7:$CG$696,0),"")</f>
        <v>360</v>
      </c>
      <c r="C495" s="5" t="str">
        <f aca="false">IF(B495="","",INDEX(報告入力!$C$7:$C$696,B495))</f>
        <v>報告なし</v>
      </c>
      <c r="D495" s="5" t="str">
        <f aca="false">設定!$A$42</f>
        <v>子ども・子育て支援納付金経理</v>
      </c>
      <c r="E495" s="5" t="str">
        <f aca="false">設定!$B$42&amp;""</f>
        <v/>
      </c>
      <c r="F495" s="5" t="str">
        <f aca="false">設定!$D$56&amp;""</f>
        <v/>
      </c>
      <c r="G495" s="5" t="str">
        <f aca="false">設定!$E$56&amp;""</f>
        <v/>
      </c>
      <c r="H495" s="5" t="n">
        <f aca="false">IF(B495="",0,N(INDEX(報告入力!$BE$7:$BE$696,B495)))</f>
        <v>0</v>
      </c>
      <c r="I495" s="5" t="str">
        <f aca="false">設定!$C$42&amp;""</f>
        <v/>
      </c>
      <c r="J495" s="5" t="str">
        <f aca="false">設定!$D$42&amp;""</f>
        <v/>
      </c>
      <c r="K495" s="5" t="n">
        <f aca="false">IF(AND(H495&lt;&gt;0,IF(設定!$B$6="入金確認済のみ",C495="入金確認済",OR(C495="入金確認済",C495="受領済"))),1,0)</f>
        <v>0</v>
      </c>
      <c r="L495" s="5" t="str">
        <f aca="false">4&amp;"|"&amp;38</f>
        <v>4|38</v>
      </c>
      <c r="M495" s="5" t="n">
        <f aca="false">IF(L495=L494,M494,0)+K495</f>
        <v>0</v>
      </c>
      <c r="N495" s="5" t="n">
        <f aca="false">IF(AND(K495=1,M495=1),1,0)</f>
        <v>0</v>
      </c>
      <c r="O495" s="5" t="str">
        <f aca="false">IF(K495=1,MAX($O$5:O494)+1,"")</f>
        <v/>
      </c>
      <c r="P495" s="5" t="str">
        <f aca="false">IF(K495=1,SUM($N$6:N495),"")</f>
        <v/>
      </c>
      <c r="Q495" s="5" t="str">
        <f aca="false">IF(K495=1,SUMIFS($H$6:$H$511,$L$6:$L$511,L495,$K$6:$K$511,1),"")</f>
        <v/>
      </c>
      <c r="R495" s="78" t="str">
        <f aca="false">IF(B495="","",IF(INDEX(報告入力!$X$7:$X$696,B495)="","",INDEX(報告入力!$X$7:$X$696,B495)))</f>
        <v/>
      </c>
      <c r="S495" s="5" t="str">
        <f aca="false">設定!$C$56</f>
        <v>子ども・子育て支援納付金：負担金</v>
      </c>
    </row>
    <row r="496" customFormat="false" ht="15" hidden="false" customHeight="false" outlineLevel="0" collapsed="false">
      <c r="A496" s="5" t="str">
        <f aca="false">設定!B99</f>
        <v>全国市長会</v>
      </c>
      <c r="B496" s="5" t="n">
        <f aca="false">IFERROR(MATCH(ホーム!$C$4&amp;"|"&amp;A496,報告入力!$CG$7:$CG$696,0),"")</f>
        <v>361</v>
      </c>
      <c r="C496" s="5" t="str">
        <f aca="false">IF(B496="","",INDEX(報告入力!$C$7:$C$696,B496))</f>
        <v>受領済</v>
      </c>
      <c r="D496" s="5" t="str">
        <f aca="false">設定!$A$42</f>
        <v>子ども・子育て支援納付金経理</v>
      </c>
      <c r="E496" s="5" t="str">
        <f aca="false">設定!$B$42&amp;""</f>
        <v/>
      </c>
      <c r="F496" s="5" t="str">
        <f aca="false">設定!$D$55&amp;""</f>
        <v/>
      </c>
      <c r="G496" s="5" t="str">
        <f aca="false">設定!$E$55&amp;""</f>
        <v/>
      </c>
      <c r="H496" s="5" t="n">
        <f aca="false">IF(B496="",0,N(INDEX(報告入力!$BD$7:$BD$696,B496)))</f>
        <v>1920</v>
      </c>
      <c r="I496" s="5" t="str">
        <f aca="false">設定!$C$42&amp;""</f>
        <v/>
      </c>
      <c r="J496" s="5" t="str">
        <f aca="false">設定!$D$42&amp;""</f>
        <v/>
      </c>
      <c r="K496" s="5" t="n">
        <f aca="false">IF(AND(H496&lt;&gt;0,IF(設定!$B$6="入金確認済のみ",C496="入金確認済",OR(C496="入金確認済",C496="受領済"))),1,0)</f>
        <v>0</v>
      </c>
      <c r="L496" s="5" t="str">
        <f aca="false">4&amp;"|"&amp;39</f>
        <v>4|39</v>
      </c>
      <c r="M496" s="5" t="n">
        <f aca="false">IF(L496=L495,M495,0)+K496</f>
        <v>0</v>
      </c>
      <c r="N496" s="5" t="n">
        <f aca="false">IF(AND(K496=1,M496=1),1,0)</f>
        <v>0</v>
      </c>
      <c r="O496" s="5" t="str">
        <f aca="false">IF(K496=1,MAX($O$5:O495)+1,"")</f>
        <v/>
      </c>
      <c r="P496" s="5" t="str">
        <f aca="false">IF(K496=1,SUM($N$6:N496),"")</f>
        <v/>
      </c>
      <c r="Q496" s="5" t="str">
        <f aca="false">IF(K496=1,SUMIFS($H$6:$H$511,$L$6:$L$511,L496,$K$6:$K$511,1),"")</f>
        <v/>
      </c>
      <c r="R496" s="78" t="str">
        <f aca="false">IF(B496="","",IF(INDEX(報告入力!$X$7:$X$696,B496)="","",INDEX(報告入力!$X$7:$X$696,B496)))</f>
        <v/>
      </c>
      <c r="S496" s="5" t="str">
        <f aca="false">設定!$C$55</f>
        <v>子ども・子育て支援納付金：掛金</v>
      </c>
    </row>
    <row r="497" customFormat="false" ht="15" hidden="false" customHeight="false" outlineLevel="0" collapsed="false">
      <c r="A497" s="5" t="str">
        <f aca="false">設定!B99</f>
        <v>全国市長会</v>
      </c>
      <c r="B497" s="5" t="n">
        <f aca="false">IFERROR(MATCH(ホーム!$C$4&amp;"|"&amp;A497,報告入力!$CG$7:$CG$696,0),"")</f>
        <v>361</v>
      </c>
      <c r="C497" s="5" t="str">
        <f aca="false">IF(B497="","",INDEX(報告入力!$C$7:$C$696,B497))</f>
        <v>受領済</v>
      </c>
      <c r="D497" s="5" t="str">
        <f aca="false">設定!$A$42</f>
        <v>子ども・子育て支援納付金経理</v>
      </c>
      <c r="E497" s="5" t="str">
        <f aca="false">設定!$B$42&amp;""</f>
        <v/>
      </c>
      <c r="F497" s="5" t="str">
        <f aca="false">設定!$D$56&amp;""</f>
        <v/>
      </c>
      <c r="G497" s="5" t="str">
        <f aca="false">設定!$E$56&amp;""</f>
        <v/>
      </c>
      <c r="H497" s="5" t="n">
        <f aca="false">IF(B497="",0,N(INDEX(報告入力!$BE$7:$BE$696,B497)))</f>
        <v>1920</v>
      </c>
      <c r="I497" s="5" t="str">
        <f aca="false">設定!$C$42&amp;""</f>
        <v/>
      </c>
      <c r="J497" s="5" t="str">
        <f aca="false">設定!$D$42&amp;""</f>
        <v/>
      </c>
      <c r="K497" s="5" t="n">
        <f aca="false">IF(AND(H497&lt;&gt;0,IF(設定!$B$6="入金確認済のみ",C497="入金確認済",OR(C497="入金確認済",C497="受領済"))),1,0)</f>
        <v>0</v>
      </c>
      <c r="L497" s="5" t="str">
        <f aca="false">4&amp;"|"&amp;39</f>
        <v>4|39</v>
      </c>
      <c r="M497" s="5" t="n">
        <f aca="false">IF(L497=L496,M496,0)+K497</f>
        <v>0</v>
      </c>
      <c r="N497" s="5" t="n">
        <f aca="false">IF(AND(K497=1,M497=1),1,0)</f>
        <v>0</v>
      </c>
      <c r="O497" s="5" t="str">
        <f aca="false">IF(K497=1,MAX($O$5:O496)+1,"")</f>
        <v/>
      </c>
      <c r="P497" s="5" t="str">
        <f aca="false">IF(K497=1,SUM($N$6:N497),"")</f>
        <v/>
      </c>
      <c r="Q497" s="5" t="str">
        <f aca="false">IF(K497=1,SUMIFS($H$6:$H$511,$L$6:$L$511,L497,$K$6:$K$511,1),"")</f>
        <v/>
      </c>
      <c r="R497" s="78" t="str">
        <f aca="false">IF(B497="","",IF(INDEX(報告入力!$X$7:$X$696,B497)="","",INDEX(報告入力!$X$7:$X$696,B497)))</f>
        <v/>
      </c>
      <c r="S497" s="5" t="str">
        <f aca="false">設定!$C$56</f>
        <v>子ども・子育て支援納付金：負担金</v>
      </c>
    </row>
    <row r="498" customFormat="false" ht="15" hidden="false" customHeight="false" outlineLevel="0" collapsed="false">
      <c r="A498" s="5" t="str">
        <f aca="false">設定!B100</f>
        <v>高速交通（株）</v>
      </c>
      <c r="B498" s="5" t="n">
        <f aca="false">IFERROR(MATCH(ホーム!$C$4&amp;"|"&amp;A498,報告入力!$CG$7:$CG$696,0),"")</f>
        <v>362</v>
      </c>
      <c r="C498" s="5" t="str">
        <f aca="false">IF(B498="","",INDEX(報告入力!$C$7:$C$696,B498))</f>
        <v>未受領</v>
      </c>
      <c r="D498" s="5" t="str">
        <f aca="false">設定!$A$42</f>
        <v>子ども・子育て支援納付金経理</v>
      </c>
      <c r="E498" s="5" t="str">
        <f aca="false">設定!$B$42&amp;""</f>
        <v/>
      </c>
      <c r="F498" s="5" t="str">
        <f aca="false">設定!$D$55&amp;""</f>
        <v/>
      </c>
      <c r="G498" s="5" t="str">
        <f aca="false">設定!$E$55&amp;""</f>
        <v/>
      </c>
      <c r="H498" s="5" t="n">
        <f aca="false">IF(B498="",0,N(INDEX(報告入力!$BD$7:$BD$696,B498)))</f>
        <v>0</v>
      </c>
      <c r="I498" s="5" t="str">
        <f aca="false">設定!$C$42&amp;""</f>
        <v/>
      </c>
      <c r="J498" s="5" t="str">
        <f aca="false">設定!$D$42&amp;""</f>
        <v/>
      </c>
      <c r="K498" s="5" t="n">
        <f aca="false">IF(AND(H498&lt;&gt;0,IF(設定!$B$6="入金確認済のみ",C498="入金確認済",OR(C498="入金確認済",C498="受領済"))),1,0)</f>
        <v>0</v>
      </c>
      <c r="L498" s="5" t="str">
        <f aca="false">4&amp;"|"&amp;40</f>
        <v>4|40</v>
      </c>
      <c r="M498" s="5" t="n">
        <f aca="false">IF(L498=L497,M497,0)+K498</f>
        <v>0</v>
      </c>
      <c r="N498" s="5" t="n">
        <f aca="false">IF(AND(K498=1,M498=1),1,0)</f>
        <v>0</v>
      </c>
      <c r="O498" s="5" t="str">
        <f aca="false">IF(K498=1,MAX($O$5:O497)+1,"")</f>
        <v/>
      </c>
      <c r="P498" s="5" t="str">
        <f aca="false">IF(K498=1,SUM($N$6:N498),"")</f>
        <v/>
      </c>
      <c r="Q498" s="5" t="str">
        <f aca="false">IF(K498=1,SUMIFS($H$6:$H$511,$L$6:$L$511,L498,$K$6:$K$511,1),"")</f>
        <v/>
      </c>
      <c r="R498" s="78" t="str">
        <f aca="false">IF(B498="","",IF(INDEX(報告入力!$X$7:$X$696,B498)="","",INDEX(報告入力!$X$7:$X$696,B498)))</f>
        <v/>
      </c>
      <c r="S498" s="5" t="str">
        <f aca="false">設定!$C$55</f>
        <v>子ども・子育て支援納付金：掛金</v>
      </c>
    </row>
    <row r="499" customFormat="false" ht="15" hidden="false" customHeight="false" outlineLevel="0" collapsed="false">
      <c r="A499" s="5" t="str">
        <f aca="false">設定!B100</f>
        <v>高速交通（株）</v>
      </c>
      <c r="B499" s="5" t="n">
        <f aca="false">IFERROR(MATCH(ホーム!$C$4&amp;"|"&amp;A499,報告入力!$CG$7:$CG$696,0),"")</f>
        <v>362</v>
      </c>
      <c r="C499" s="5" t="str">
        <f aca="false">IF(B499="","",INDEX(報告入力!$C$7:$C$696,B499))</f>
        <v>未受領</v>
      </c>
      <c r="D499" s="5" t="str">
        <f aca="false">設定!$A$42</f>
        <v>子ども・子育て支援納付金経理</v>
      </c>
      <c r="E499" s="5" t="str">
        <f aca="false">設定!$B$42&amp;""</f>
        <v/>
      </c>
      <c r="F499" s="5" t="str">
        <f aca="false">設定!$D$56&amp;""</f>
        <v/>
      </c>
      <c r="G499" s="5" t="str">
        <f aca="false">設定!$E$56&amp;""</f>
        <v/>
      </c>
      <c r="H499" s="5" t="n">
        <f aca="false">IF(B499="",0,N(INDEX(報告入力!$BE$7:$BE$696,B499)))</f>
        <v>0</v>
      </c>
      <c r="I499" s="5" t="str">
        <f aca="false">設定!$C$42&amp;""</f>
        <v/>
      </c>
      <c r="J499" s="5" t="str">
        <f aca="false">設定!$D$42&amp;""</f>
        <v/>
      </c>
      <c r="K499" s="5" t="n">
        <f aca="false">IF(AND(H499&lt;&gt;0,IF(設定!$B$6="入金確認済のみ",C499="入金確認済",OR(C499="入金確認済",C499="受領済"))),1,0)</f>
        <v>0</v>
      </c>
      <c r="L499" s="5" t="str">
        <f aca="false">4&amp;"|"&amp;40</f>
        <v>4|40</v>
      </c>
      <c r="M499" s="5" t="n">
        <f aca="false">IF(L499=L498,M498,0)+K499</f>
        <v>0</v>
      </c>
      <c r="N499" s="5" t="n">
        <f aca="false">IF(AND(K499=1,M499=1),1,0)</f>
        <v>0</v>
      </c>
      <c r="O499" s="5" t="str">
        <f aca="false">IF(K499=1,MAX($O$5:O498)+1,"")</f>
        <v/>
      </c>
      <c r="P499" s="5" t="str">
        <f aca="false">IF(K499=1,SUM($N$6:N499),"")</f>
        <v/>
      </c>
      <c r="Q499" s="5" t="str">
        <f aca="false">IF(K499=1,SUMIFS($H$6:$H$511,$L$6:$L$511,L499,$K$6:$K$511,1),"")</f>
        <v/>
      </c>
      <c r="R499" s="78" t="str">
        <f aca="false">IF(B499="","",IF(INDEX(報告入力!$X$7:$X$696,B499)="","",INDEX(報告入力!$X$7:$X$696,B499)))</f>
        <v/>
      </c>
      <c r="S499" s="5" t="str">
        <f aca="false">設定!$C$56</f>
        <v>子ども・子育て支援納付金：負担金</v>
      </c>
    </row>
    <row r="500" customFormat="false" ht="15" hidden="false" customHeight="false" outlineLevel="0" collapsed="false">
      <c r="A500" s="5" t="str">
        <f aca="false">設定!B101</f>
        <v>広島駅南口開発（株）</v>
      </c>
      <c r="B500" s="5" t="n">
        <f aca="false">IFERROR(MATCH(ホーム!$C$4&amp;"|"&amp;A500,報告入力!$CG$7:$CG$696,0),"")</f>
        <v>363</v>
      </c>
      <c r="C500" s="5" t="str">
        <f aca="false">IF(B500="","",INDEX(報告入力!$C$7:$C$696,B500))</f>
        <v>受領済</v>
      </c>
      <c r="D500" s="5" t="str">
        <f aca="false">設定!$A$42</f>
        <v>子ども・子育て支援納付金経理</v>
      </c>
      <c r="E500" s="5" t="str">
        <f aca="false">設定!$B$42&amp;""</f>
        <v/>
      </c>
      <c r="F500" s="5" t="str">
        <f aca="false">設定!$D$55&amp;""</f>
        <v/>
      </c>
      <c r="G500" s="5" t="str">
        <f aca="false">設定!$E$55&amp;""</f>
        <v/>
      </c>
      <c r="H500" s="5" t="n">
        <f aca="false">IF(B500="",0,N(INDEX(報告入力!$BD$7:$BD$696,B500)))</f>
        <v>0</v>
      </c>
      <c r="I500" s="5" t="str">
        <f aca="false">設定!$C$42&amp;""</f>
        <v/>
      </c>
      <c r="J500" s="5" t="str">
        <f aca="false">設定!$D$42&amp;""</f>
        <v/>
      </c>
      <c r="K500" s="5" t="n">
        <f aca="false">IF(AND(H500&lt;&gt;0,IF(設定!$B$6="入金確認済のみ",C500="入金確認済",OR(C500="入金確認済",C500="受領済"))),1,0)</f>
        <v>0</v>
      </c>
      <c r="L500" s="5" t="str">
        <f aca="false">4&amp;"|"&amp;41</f>
        <v>4|41</v>
      </c>
      <c r="M500" s="5" t="n">
        <f aca="false">IF(L500=L499,M499,0)+K500</f>
        <v>0</v>
      </c>
      <c r="N500" s="5" t="n">
        <f aca="false">IF(AND(K500=1,M500=1),1,0)</f>
        <v>0</v>
      </c>
      <c r="O500" s="5" t="str">
        <f aca="false">IF(K500=1,MAX($O$5:O499)+1,"")</f>
        <v/>
      </c>
      <c r="P500" s="5" t="str">
        <f aca="false">IF(K500=1,SUM($N$6:N500),"")</f>
        <v/>
      </c>
      <c r="Q500" s="5" t="str">
        <f aca="false">IF(K500=1,SUMIFS($H$6:$H$511,$L$6:$L$511,L500,$K$6:$K$511,1),"")</f>
        <v/>
      </c>
      <c r="R500" s="78" t="str">
        <f aca="false">IF(B500="","",IF(INDEX(報告入力!$X$7:$X$696,B500)="","",INDEX(報告入力!$X$7:$X$696,B500)))</f>
        <v/>
      </c>
      <c r="S500" s="5" t="str">
        <f aca="false">設定!$C$55</f>
        <v>子ども・子育て支援納付金：掛金</v>
      </c>
    </row>
    <row r="501" customFormat="false" ht="15" hidden="false" customHeight="false" outlineLevel="0" collapsed="false">
      <c r="A501" s="5" t="str">
        <f aca="false">設定!B101</f>
        <v>広島駅南口開発（株）</v>
      </c>
      <c r="B501" s="5" t="n">
        <f aca="false">IFERROR(MATCH(ホーム!$C$4&amp;"|"&amp;A501,報告入力!$CG$7:$CG$696,0),"")</f>
        <v>363</v>
      </c>
      <c r="C501" s="5" t="str">
        <f aca="false">IF(B501="","",INDEX(報告入力!$C$7:$C$696,B501))</f>
        <v>受領済</v>
      </c>
      <c r="D501" s="5" t="str">
        <f aca="false">設定!$A$42</f>
        <v>子ども・子育て支援納付金経理</v>
      </c>
      <c r="E501" s="5" t="str">
        <f aca="false">設定!$B$42&amp;""</f>
        <v/>
      </c>
      <c r="F501" s="5" t="str">
        <f aca="false">設定!$D$56&amp;""</f>
        <v/>
      </c>
      <c r="G501" s="5" t="str">
        <f aca="false">設定!$E$56&amp;""</f>
        <v/>
      </c>
      <c r="H501" s="5" t="n">
        <f aca="false">IF(B501="",0,N(INDEX(報告入力!$BE$7:$BE$696,B501)))</f>
        <v>0</v>
      </c>
      <c r="I501" s="5" t="str">
        <f aca="false">設定!$C$42&amp;""</f>
        <v/>
      </c>
      <c r="J501" s="5" t="str">
        <f aca="false">設定!$D$42&amp;""</f>
        <v/>
      </c>
      <c r="K501" s="5" t="n">
        <f aca="false">IF(AND(H501&lt;&gt;0,IF(設定!$B$6="入金確認済のみ",C501="入金確認済",OR(C501="入金確認済",C501="受領済"))),1,0)</f>
        <v>0</v>
      </c>
      <c r="L501" s="5" t="str">
        <f aca="false">4&amp;"|"&amp;41</f>
        <v>4|41</v>
      </c>
      <c r="M501" s="5" t="n">
        <f aca="false">IF(L501=L500,M500,0)+K501</f>
        <v>0</v>
      </c>
      <c r="N501" s="5" t="n">
        <f aca="false">IF(AND(K501=1,M501=1),1,0)</f>
        <v>0</v>
      </c>
      <c r="O501" s="5" t="str">
        <f aca="false">IF(K501=1,MAX($O$5:O500)+1,"")</f>
        <v/>
      </c>
      <c r="P501" s="5" t="str">
        <f aca="false">IF(K501=1,SUM($N$6:N501),"")</f>
        <v/>
      </c>
      <c r="Q501" s="5" t="str">
        <f aca="false">IF(K501=1,SUMIFS($H$6:$H$511,$L$6:$L$511,L501,$K$6:$K$511,1),"")</f>
        <v/>
      </c>
      <c r="R501" s="78" t="str">
        <f aca="false">IF(B501="","",IF(INDEX(報告入力!$X$7:$X$696,B501)="","",INDEX(報告入力!$X$7:$X$696,B501)))</f>
        <v/>
      </c>
      <c r="S501" s="5" t="str">
        <f aca="false">設定!$C$56</f>
        <v>子ども・子育て支援納付金：負担金</v>
      </c>
    </row>
    <row r="502" customFormat="false" ht="15" hidden="false" customHeight="false" outlineLevel="0" collapsed="false">
      <c r="A502" s="5" t="str">
        <f aca="false">設定!B102</f>
        <v>市職員労働組合</v>
      </c>
      <c r="B502" s="5" t="n">
        <f aca="false">IFERROR(MATCH(ホーム!$C$4&amp;"|"&amp;A502,報告入力!$CG$7:$CG$696,0),"")</f>
        <v>364</v>
      </c>
      <c r="C502" s="5" t="str">
        <f aca="false">IF(B502="","",INDEX(報告入力!$C$7:$C$696,B502))</f>
        <v>未受領</v>
      </c>
      <c r="D502" s="5" t="str">
        <f aca="false">設定!$A$42</f>
        <v>子ども・子育て支援納付金経理</v>
      </c>
      <c r="E502" s="5" t="str">
        <f aca="false">設定!$B$42&amp;""</f>
        <v/>
      </c>
      <c r="F502" s="5" t="str">
        <f aca="false">設定!$D$55&amp;""</f>
        <v/>
      </c>
      <c r="G502" s="5" t="str">
        <f aca="false">設定!$E$55&amp;""</f>
        <v/>
      </c>
      <c r="H502" s="5" t="n">
        <f aca="false">IF(B502="",0,N(INDEX(報告入力!$BD$7:$BD$696,B502)))</f>
        <v>1</v>
      </c>
      <c r="I502" s="5" t="str">
        <f aca="false">設定!$C$42&amp;""</f>
        <v/>
      </c>
      <c r="J502" s="5" t="str">
        <f aca="false">設定!$D$42&amp;""</f>
        <v/>
      </c>
      <c r="K502" s="5" t="n">
        <f aca="false">IF(AND(H502&lt;&gt;0,IF(設定!$B$6="入金確認済のみ",C502="入金確認済",OR(C502="入金確認済",C502="受領済"))),1,0)</f>
        <v>0</v>
      </c>
      <c r="L502" s="5" t="str">
        <f aca="false">4&amp;"|"&amp;42</f>
        <v>4|42</v>
      </c>
      <c r="M502" s="5" t="n">
        <f aca="false">IF(L502=L501,M501,0)+K502</f>
        <v>0</v>
      </c>
      <c r="N502" s="5" t="n">
        <f aca="false">IF(AND(K502=1,M502=1),1,0)</f>
        <v>0</v>
      </c>
      <c r="O502" s="5" t="str">
        <f aca="false">IF(K502=1,MAX($O$5:O501)+1,"")</f>
        <v/>
      </c>
      <c r="P502" s="5" t="str">
        <f aca="false">IF(K502=1,SUM($N$6:N502),"")</f>
        <v/>
      </c>
      <c r="Q502" s="5" t="str">
        <f aca="false">IF(K502=1,SUMIFS($H$6:$H$511,$L$6:$L$511,L502,$K$6:$K$511,1),"")</f>
        <v/>
      </c>
      <c r="R502" s="78" t="str">
        <f aca="false">IF(B502="","",IF(INDEX(報告入力!$X$7:$X$696,B502)="","",INDEX(報告入力!$X$7:$X$696,B502)))</f>
        <v/>
      </c>
      <c r="S502" s="5" t="str">
        <f aca="false">設定!$C$55</f>
        <v>子ども・子育て支援納付金：掛金</v>
      </c>
    </row>
    <row r="503" customFormat="false" ht="15" hidden="false" customHeight="false" outlineLevel="0" collapsed="false">
      <c r="A503" s="5" t="str">
        <f aca="false">設定!B102</f>
        <v>市職員労働組合</v>
      </c>
      <c r="B503" s="5" t="n">
        <f aca="false">IFERROR(MATCH(ホーム!$C$4&amp;"|"&amp;A503,報告入力!$CG$7:$CG$696,0),"")</f>
        <v>364</v>
      </c>
      <c r="C503" s="5" t="str">
        <f aca="false">IF(B503="","",INDEX(報告入力!$C$7:$C$696,B503))</f>
        <v>未受領</v>
      </c>
      <c r="D503" s="5" t="str">
        <f aca="false">設定!$A$42</f>
        <v>子ども・子育て支援納付金経理</v>
      </c>
      <c r="E503" s="5" t="str">
        <f aca="false">設定!$B$42&amp;""</f>
        <v/>
      </c>
      <c r="F503" s="5" t="str">
        <f aca="false">設定!$D$56&amp;""</f>
        <v/>
      </c>
      <c r="G503" s="5" t="str">
        <f aca="false">設定!$E$56&amp;""</f>
        <v/>
      </c>
      <c r="H503" s="5" t="n">
        <f aca="false">IF(B503="",0,N(INDEX(報告入力!$BE$7:$BE$696,B503)))</f>
        <v>1</v>
      </c>
      <c r="I503" s="5" t="str">
        <f aca="false">設定!$C$42&amp;""</f>
        <v/>
      </c>
      <c r="J503" s="5" t="str">
        <f aca="false">設定!$D$42&amp;""</f>
        <v/>
      </c>
      <c r="K503" s="5" t="n">
        <f aca="false">IF(AND(H503&lt;&gt;0,IF(設定!$B$6="入金確認済のみ",C503="入金確認済",OR(C503="入金確認済",C503="受領済"))),1,0)</f>
        <v>0</v>
      </c>
      <c r="L503" s="5" t="str">
        <f aca="false">4&amp;"|"&amp;42</f>
        <v>4|42</v>
      </c>
      <c r="M503" s="5" t="n">
        <f aca="false">IF(L503=L502,M502,0)+K503</f>
        <v>0</v>
      </c>
      <c r="N503" s="5" t="n">
        <f aca="false">IF(AND(K503=1,M503=1),1,0)</f>
        <v>0</v>
      </c>
      <c r="O503" s="5" t="str">
        <f aca="false">IF(K503=1,MAX($O$5:O502)+1,"")</f>
        <v/>
      </c>
      <c r="P503" s="5" t="str">
        <f aca="false">IF(K503=1,SUM($N$6:N503),"")</f>
        <v/>
      </c>
      <c r="Q503" s="5" t="str">
        <f aca="false">IF(K503=1,SUMIFS($H$6:$H$511,$L$6:$L$511,L503,$K$6:$K$511,1),"")</f>
        <v/>
      </c>
      <c r="R503" s="78" t="str">
        <f aca="false">IF(B503="","",IF(INDEX(報告入力!$X$7:$X$696,B503)="","",INDEX(報告入力!$X$7:$X$696,B503)))</f>
        <v/>
      </c>
      <c r="S503" s="5" t="str">
        <f aca="false">設定!$C$56</f>
        <v>子ども・子育て支援納付金：負担金</v>
      </c>
    </row>
    <row r="504" customFormat="false" ht="15" hidden="false" customHeight="false" outlineLevel="0" collapsed="false">
      <c r="A504" s="5" t="str">
        <f aca="false">設定!B103</f>
        <v>自治労労働組合</v>
      </c>
      <c r="B504" s="5" t="n">
        <f aca="false">IFERROR(MATCH(ホーム!$C$4&amp;"|"&amp;A504,報告入力!$CG$7:$CG$696,0),"")</f>
        <v>365</v>
      </c>
      <c r="C504" s="5" t="str">
        <f aca="false">IF(B504="","",INDEX(報告入力!$C$7:$C$696,B504))</f>
        <v>未受領</v>
      </c>
      <c r="D504" s="5" t="str">
        <f aca="false">設定!$A$42</f>
        <v>子ども・子育て支援納付金経理</v>
      </c>
      <c r="E504" s="5" t="str">
        <f aca="false">設定!$B$42&amp;""</f>
        <v/>
      </c>
      <c r="F504" s="5" t="str">
        <f aca="false">設定!$D$55&amp;""</f>
        <v/>
      </c>
      <c r="G504" s="5" t="str">
        <f aca="false">設定!$E$55&amp;""</f>
        <v/>
      </c>
      <c r="H504" s="5" t="n">
        <f aca="false">IF(B504="",0,N(INDEX(報告入力!$BD$7:$BD$696,B504)))</f>
        <v>0</v>
      </c>
      <c r="I504" s="5" t="str">
        <f aca="false">設定!$C$42&amp;""</f>
        <v/>
      </c>
      <c r="J504" s="5" t="str">
        <f aca="false">設定!$D$42&amp;""</f>
        <v/>
      </c>
      <c r="K504" s="5" t="n">
        <f aca="false">IF(AND(H504&lt;&gt;0,IF(設定!$B$6="入金確認済のみ",C504="入金確認済",OR(C504="入金確認済",C504="受領済"))),1,0)</f>
        <v>0</v>
      </c>
      <c r="L504" s="5" t="str">
        <f aca="false">4&amp;"|"&amp;43</f>
        <v>4|43</v>
      </c>
      <c r="M504" s="5" t="n">
        <f aca="false">IF(L504=L503,M503,0)+K504</f>
        <v>0</v>
      </c>
      <c r="N504" s="5" t="n">
        <f aca="false">IF(AND(K504=1,M504=1),1,0)</f>
        <v>0</v>
      </c>
      <c r="O504" s="5" t="str">
        <f aca="false">IF(K504=1,MAX($O$5:O503)+1,"")</f>
        <v/>
      </c>
      <c r="P504" s="5" t="str">
        <f aca="false">IF(K504=1,SUM($N$6:N504),"")</f>
        <v/>
      </c>
      <c r="Q504" s="5" t="str">
        <f aca="false">IF(K504=1,SUMIFS($H$6:$H$511,$L$6:$L$511,L504,$K$6:$K$511,1),"")</f>
        <v/>
      </c>
      <c r="R504" s="78" t="str">
        <f aca="false">IF(B504="","",IF(INDEX(報告入力!$X$7:$X$696,B504)="","",INDEX(報告入力!$X$7:$X$696,B504)))</f>
        <v/>
      </c>
      <c r="S504" s="5" t="str">
        <f aca="false">設定!$C$55</f>
        <v>子ども・子育て支援納付金：掛金</v>
      </c>
    </row>
    <row r="505" customFormat="false" ht="15" hidden="false" customHeight="false" outlineLevel="0" collapsed="false">
      <c r="A505" s="5" t="str">
        <f aca="false">設定!B103</f>
        <v>自治労労働組合</v>
      </c>
      <c r="B505" s="5" t="n">
        <f aca="false">IFERROR(MATCH(ホーム!$C$4&amp;"|"&amp;A505,報告入力!$CG$7:$CG$696,0),"")</f>
        <v>365</v>
      </c>
      <c r="C505" s="5" t="str">
        <f aca="false">IF(B505="","",INDEX(報告入力!$C$7:$C$696,B505))</f>
        <v>未受領</v>
      </c>
      <c r="D505" s="5" t="str">
        <f aca="false">設定!$A$42</f>
        <v>子ども・子育て支援納付金経理</v>
      </c>
      <c r="E505" s="5" t="str">
        <f aca="false">設定!$B$42&amp;""</f>
        <v/>
      </c>
      <c r="F505" s="5" t="str">
        <f aca="false">設定!$D$56&amp;""</f>
        <v/>
      </c>
      <c r="G505" s="5" t="str">
        <f aca="false">設定!$E$56&amp;""</f>
        <v/>
      </c>
      <c r="H505" s="5" t="n">
        <f aca="false">IF(B505="",0,N(INDEX(報告入力!$BE$7:$BE$696,B505)))</f>
        <v>0</v>
      </c>
      <c r="I505" s="5" t="str">
        <f aca="false">設定!$C$42&amp;""</f>
        <v/>
      </c>
      <c r="J505" s="5" t="str">
        <f aca="false">設定!$D$42&amp;""</f>
        <v/>
      </c>
      <c r="K505" s="5" t="n">
        <f aca="false">IF(AND(H505&lt;&gt;0,IF(設定!$B$6="入金確認済のみ",C505="入金確認済",OR(C505="入金確認済",C505="受領済"))),1,0)</f>
        <v>0</v>
      </c>
      <c r="L505" s="5" t="str">
        <f aca="false">4&amp;"|"&amp;43</f>
        <v>4|43</v>
      </c>
      <c r="M505" s="5" t="n">
        <f aca="false">IF(L505=L504,M504,0)+K505</f>
        <v>0</v>
      </c>
      <c r="N505" s="5" t="n">
        <f aca="false">IF(AND(K505=1,M505=1),1,0)</f>
        <v>0</v>
      </c>
      <c r="O505" s="5" t="str">
        <f aca="false">IF(K505=1,MAX($O$5:O504)+1,"")</f>
        <v/>
      </c>
      <c r="P505" s="5" t="str">
        <f aca="false">IF(K505=1,SUM($N$6:N505),"")</f>
        <v/>
      </c>
      <c r="Q505" s="5" t="str">
        <f aca="false">IF(K505=1,SUMIFS($H$6:$H$511,$L$6:$L$511,L505,$K$6:$K$511,1),"")</f>
        <v/>
      </c>
      <c r="R505" s="78" t="str">
        <f aca="false">IF(B505="","",IF(INDEX(報告入力!$X$7:$X$696,B505)="","",INDEX(報告入力!$X$7:$X$696,B505)))</f>
        <v/>
      </c>
      <c r="S505" s="5" t="str">
        <f aca="false">設定!$C$56</f>
        <v>子ども・子育て支援納付金：負担金</v>
      </c>
    </row>
    <row r="506" customFormat="false" ht="15" hidden="false" customHeight="false" outlineLevel="0" collapsed="false">
      <c r="A506" s="5" t="str">
        <f aca="false">設定!B104</f>
        <v>病院労働組合</v>
      </c>
      <c r="B506" s="5" t="n">
        <f aca="false">IFERROR(MATCH(ホーム!$C$4&amp;"|"&amp;A506,報告入力!$CG$7:$CG$696,0),"")</f>
        <v>366</v>
      </c>
      <c r="C506" s="5" t="str">
        <f aca="false">IF(B506="","",INDEX(報告入力!$C$7:$C$696,B506))</f>
        <v>受領済</v>
      </c>
      <c r="D506" s="5" t="str">
        <f aca="false">設定!$A$42</f>
        <v>子ども・子育て支援納付金経理</v>
      </c>
      <c r="E506" s="5" t="str">
        <f aca="false">設定!$B$42&amp;""</f>
        <v/>
      </c>
      <c r="F506" s="5" t="str">
        <f aca="false">設定!$D$55&amp;""</f>
        <v/>
      </c>
      <c r="G506" s="5" t="str">
        <f aca="false">設定!$E$55&amp;""</f>
        <v/>
      </c>
      <c r="H506" s="5" t="n">
        <f aca="false">IF(B506="",0,N(INDEX(報告入力!$BD$7:$BD$696,B506)))</f>
        <v>713</v>
      </c>
      <c r="I506" s="5" t="str">
        <f aca="false">設定!$C$42&amp;""</f>
        <v/>
      </c>
      <c r="J506" s="5" t="str">
        <f aca="false">設定!$D$42&amp;""</f>
        <v/>
      </c>
      <c r="K506" s="5" t="n">
        <f aca="false">IF(AND(H506&lt;&gt;0,IF(設定!$B$6="入金確認済のみ",C506="入金確認済",OR(C506="入金確認済",C506="受領済"))),1,0)</f>
        <v>0</v>
      </c>
      <c r="L506" s="5" t="str">
        <f aca="false">4&amp;"|"&amp;44</f>
        <v>4|44</v>
      </c>
      <c r="M506" s="5" t="n">
        <f aca="false">IF(L506=L505,M505,0)+K506</f>
        <v>0</v>
      </c>
      <c r="N506" s="5" t="n">
        <f aca="false">IF(AND(K506=1,M506=1),1,0)</f>
        <v>0</v>
      </c>
      <c r="O506" s="5" t="str">
        <f aca="false">IF(K506=1,MAX($O$5:O505)+1,"")</f>
        <v/>
      </c>
      <c r="P506" s="5" t="str">
        <f aca="false">IF(K506=1,SUM($N$6:N506),"")</f>
        <v/>
      </c>
      <c r="Q506" s="5" t="str">
        <f aca="false">IF(K506=1,SUMIFS($H$6:$H$511,$L$6:$L$511,L506,$K$6:$K$511,1),"")</f>
        <v/>
      </c>
      <c r="R506" s="78" t="str">
        <f aca="false">IF(B506="","",IF(INDEX(報告入力!$X$7:$X$696,B506)="","",INDEX(報告入力!$X$7:$X$696,B506)))</f>
        <v/>
      </c>
      <c r="S506" s="5" t="str">
        <f aca="false">設定!$C$55</f>
        <v>子ども・子育て支援納付金：掛金</v>
      </c>
    </row>
    <row r="507" customFormat="false" ht="15" hidden="false" customHeight="false" outlineLevel="0" collapsed="false">
      <c r="A507" s="5" t="str">
        <f aca="false">設定!B104</f>
        <v>病院労働組合</v>
      </c>
      <c r="B507" s="5" t="n">
        <f aca="false">IFERROR(MATCH(ホーム!$C$4&amp;"|"&amp;A507,報告入力!$CG$7:$CG$696,0),"")</f>
        <v>366</v>
      </c>
      <c r="C507" s="5" t="str">
        <f aca="false">IF(B507="","",INDEX(報告入力!$C$7:$C$696,B507))</f>
        <v>受領済</v>
      </c>
      <c r="D507" s="5" t="str">
        <f aca="false">設定!$A$42</f>
        <v>子ども・子育て支援納付金経理</v>
      </c>
      <c r="E507" s="5" t="str">
        <f aca="false">設定!$B$42&amp;""</f>
        <v/>
      </c>
      <c r="F507" s="5" t="str">
        <f aca="false">設定!$D$56&amp;""</f>
        <v/>
      </c>
      <c r="G507" s="5" t="str">
        <f aca="false">設定!$E$56&amp;""</f>
        <v/>
      </c>
      <c r="H507" s="5" t="n">
        <f aca="false">IF(B507="",0,N(INDEX(報告入力!$BE$7:$BE$696,B507)))</f>
        <v>713</v>
      </c>
      <c r="I507" s="5" t="str">
        <f aca="false">設定!$C$42&amp;""</f>
        <v/>
      </c>
      <c r="J507" s="5" t="str">
        <f aca="false">設定!$D$42&amp;""</f>
        <v/>
      </c>
      <c r="K507" s="5" t="n">
        <f aca="false">IF(AND(H507&lt;&gt;0,IF(設定!$B$6="入金確認済のみ",C507="入金確認済",OR(C507="入金確認済",C507="受領済"))),1,0)</f>
        <v>0</v>
      </c>
      <c r="L507" s="5" t="str">
        <f aca="false">4&amp;"|"&amp;44</f>
        <v>4|44</v>
      </c>
      <c r="M507" s="5" t="n">
        <f aca="false">IF(L507=L506,M506,0)+K507</f>
        <v>0</v>
      </c>
      <c r="N507" s="5" t="n">
        <f aca="false">IF(AND(K507=1,M507=1),1,0)</f>
        <v>0</v>
      </c>
      <c r="O507" s="5" t="str">
        <f aca="false">IF(K507=1,MAX($O$5:O506)+1,"")</f>
        <v/>
      </c>
      <c r="P507" s="5" t="str">
        <f aca="false">IF(K507=1,SUM($N$6:N507),"")</f>
        <v/>
      </c>
      <c r="Q507" s="5" t="str">
        <f aca="false">IF(K507=1,SUMIFS($H$6:$H$511,$L$6:$L$511,L507,$K$6:$K$511,1),"")</f>
        <v/>
      </c>
      <c r="R507" s="78" t="str">
        <f aca="false">IF(B507="","",IF(INDEX(報告入力!$X$7:$X$696,B507)="","",INDEX(報告入力!$X$7:$X$696,B507)))</f>
        <v/>
      </c>
      <c r="S507" s="5" t="str">
        <f aca="false">設定!$C$56</f>
        <v>子ども・子育て支援納付金：負担金</v>
      </c>
    </row>
    <row r="508" customFormat="false" ht="15" hidden="false" customHeight="false" outlineLevel="0" collapsed="false">
      <c r="A508" s="5" t="str">
        <f aca="false">設定!B105</f>
        <v>水道労働組合</v>
      </c>
      <c r="B508" s="5" t="n">
        <f aca="false">IFERROR(MATCH(ホーム!$C$4&amp;"|"&amp;A508,報告入力!$CG$7:$CG$696,0),"")</f>
        <v>367</v>
      </c>
      <c r="C508" s="5" t="str">
        <f aca="false">IF(B508="","",INDEX(報告入力!$C$7:$C$696,B508))</f>
        <v>報告なし</v>
      </c>
      <c r="D508" s="5" t="str">
        <f aca="false">設定!$A$42</f>
        <v>子ども・子育て支援納付金経理</v>
      </c>
      <c r="E508" s="5" t="str">
        <f aca="false">設定!$B$42&amp;""</f>
        <v/>
      </c>
      <c r="F508" s="5" t="str">
        <f aca="false">設定!$D$55&amp;""</f>
        <v/>
      </c>
      <c r="G508" s="5" t="str">
        <f aca="false">設定!$E$55&amp;""</f>
        <v/>
      </c>
      <c r="H508" s="5" t="n">
        <f aca="false">IF(B508="",0,N(INDEX(報告入力!$BD$7:$BD$696,B508)))</f>
        <v>0</v>
      </c>
      <c r="I508" s="5" t="str">
        <f aca="false">設定!$C$42&amp;""</f>
        <v/>
      </c>
      <c r="J508" s="5" t="str">
        <f aca="false">設定!$D$42&amp;""</f>
        <v/>
      </c>
      <c r="K508" s="5" t="n">
        <f aca="false">IF(AND(H508&lt;&gt;0,IF(設定!$B$6="入金確認済のみ",C508="入金確認済",OR(C508="入金確認済",C508="受領済"))),1,0)</f>
        <v>0</v>
      </c>
      <c r="L508" s="5" t="str">
        <f aca="false">4&amp;"|"&amp;45</f>
        <v>4|45</v>
      </c>
      <c r="M508" s="5" t="n">
        <f aca="false">IF(L508=L507,M507,0)+K508</f>
        <v>0</v>
      </c>
      <c r="N508" s="5" t="n">
        <f aca="false">IF(AND(K508=1,M508=1),1,0)</f>
        <v>0</v>
      </c>
      <c r="O508" s="5" t="str">
        <f aca="false">IF(K508=1,MAX($O$5:O507)+1,"")</f>
        <v/>
      </c>
      <c r="P508" s="5" t="str">
        <f aca="false">IF(K508=1,SUM($N$6:N508),"")</f>
        <v/>
      </c>
      <c r="Q508" s="5" t="str">
        <f aca="false">IF(K508=1,SUMIFS($H$6:$H$511,$L$6:$L$511,L508,$K$6:$K$511,1),"")</f>
        <v/>
      </c>
      <c r="R508" s="78" t="str">
        <f aca="false">IF(B508="","",IF(INDEX(報告入力!$X$7:$X$696,B508)="","",INDEX(報告入力!$X$7:$X$696,B508)))</f>
        <v/>
      </c>
      <c r="S508" s="5" t="str">
        <f aca="false">設定!$C$55</f>
        <v>子ども・子育て支援納付金：掛金</v>
      </c>
    </row>
    <row r="509" customFormat="false" ht="15" hidden="false" customHeight="false" outlineLevel="0" collapsed="false">
      <c r="A509" s="5" t="str">
        <f aca="false">設定!B105</f>
        <v>水道労働組合</v>
      </c>
      <c r="B509" s="5" t="n">
        <f aca="false">IFERROR(MATCH(ホーム!$C$4&amp;"|"&amp;A509,報告入力!$CG$7:$CG$696,0),"")</f>
        <v>367</v>
      </c>
      <c r="C509" s="5" t="str">
        <f aca="false">IF(B509="","",INDEX(報告入力!$C$7:$C$696,B509))</f>
        <v>報告なし</v>
      </c>
      <c r="D509" s="5" t="str">
        <f aca="false">設定!$A$42</f>
        <v>子ども・子育て支援納付金経理</v>
      </c>
      <c r="E509" s="5" t="str">
        <f aca="false">設定!$B$42&amp;""</f>
        <v/>
      </c>
      <c r="F509" s="5" t="str">
        <f aca="false">設定!$D$56&amp;""</f>
        <v/>
      </c>
      <c r="G509" s="5" t="str">
        <f aca="false">設定!$E$56&amp;""</f>
        <v/>
      </c>
      <c r="H509" s="5" t="n">
        <f aca="false">IF(B509="",0,N(INDEX(報告入力!$BE$7:$BE$696,B509)))</f>
        <v>0</v>
      </c>
      <c r="I509" s="5" t="str">
        <f aca="false">設定!$C$42&amp;""</f>
        <v/>
      </c>
      <c r="J509" s="5" t="str">
        <f aca="false">設定!$D$42&amp;""</f>
        <v/>
      </c>
      <c r="K509" s="5" t="n">
        <f aca="false">IF(AND(H509&lt;&gt;0,IF(設定!$B$6="入金確認済のみ",C509="入金確認済",OR(C509="入金確認済",C509="受領済"))),1,0)</f>
        <v>0</v>
      </c>
      <c r="L509" s="5" t="str">
        <f aca="false">4&amp;"|"&amp;45</f>
        <v>4|45</v>
      </c>
      <c r="M509" s="5" t="n">
        <f aca="false">IF(L509=L508,M508,0)+K509</f>
        <v>0</v>
      </c>
      <c r="N509" s="5" t="n">
        <f aca="false">IF(AND(K509=1,M509=1),1,0)</f>
        <v>0</v>
      </c>
      <c r="O509" s="5" t="str">
        <f aca="false">IF(K509=1,MAX($O$5:O508)+1,"")</f>
        <v/>
      </c>
      <c r="P509" s="5" t="str">
        <f aca="false">IF(K509=1,SUM($N$6:N509),"")</f>
        <v/>
      </c>
      <c r="Q509" s="5" t="str">
        <f aca="false">IF(K509=1,SUMIFS($H$6:$H$511,$L$6:$L$511,L509,$K$6:$K$511,1),"")</f>
        <v/>
      </c>
      <c r="R509" s="78" t="str">
        <f aca="false">IF(B509="","",IF(INDEX(報告入力!$X$7:$X$696,B509)="","",INDEX(報告入力!$X$7:$X$696,B509)))</f>
        <v/>
      </c>
      <c r="S509" s="5" t="str">
        <f aca="false">設定!$C$56</f>
        <v>子ども・子育て支援納付金：負担金</v>
      </c>
    </row>
    <row r="510" customFormat="false" ht="15" hidden="false" customHeight="false" outlineLevel="0" collapsed="false">
      <c r="A510" s="5" t="str">
        <f aca="false">設定!B106</f>
        <v>任意継続組合員</v>
      </c>
      <c r="B510" s="5" t="n">
        <f aca="false">IFERROR(MATCH(ホーム!$C$4&amp;"|"&amp;A510,報告入力!$CG$7:$CG$696,0),"")</f>
        <v>368</v>
      </c>
      <c r="C510" s="5" t="str">
        <f aca="false">IF(B510="","",INDEX(報告入力!$C$7:$C$696,B510))</f>
        <v>未受領</v>
      </c>
      <c r="D510" s="5" t="str">
        <f aca="false">設定!$A$42</f>
        <v>子ども・子育て支援納付金経理</v>
      </c>
      <c r="E510" s="5" t="str">
        <f aca="false">設定!$B$42&amp;""</f>
        <v/>
      </c>
      <c r="F510" s="5" t="str">
        <f aca="false">設定!$D$55&amp;""</f>
        <v/>
      </c>
      <c r="G510" s="5" t="str">
        <f aca="false">設定!$E$55&amp;""</f>
        <v/>
      </c>
      <c r="H510" s="5" t="n">
        <f aca="false">IF(B510="",0,N(INDEX(報告入力!$BD$7:$BD$696,B510)))</f>
        <v>1</v>
      </c>
      <c r="I510" s="5" t="str">
        <f aca="false">設定!$C$42&amp;""</f>
        <v/>
      </c>
      <c r="J510" s="5" t="str">
        <f aca="false">設定!$D$42&amp;""</f>
        <v/>
      </c>
      <c r="K510" s="5" t="n">
        <f aca="false">IF(AND(H510&lt;&gt;0,IF(設定!$B$6="入金確認済のみ",C510="入金確認済",OR(C510="入金確認済",C510="受領済"))),1,0)</f>
        <v>0</v>
      </c>
      <c r="L510" s="5" t="str">
        <f aca="false">4&amp;"|"&amp;46</f>
        <v>4|46</v>
      </c>
      <c r="M510" s="5" t="n">
        <f aca="false">IF(L510=L509,M509,0)+K510</f>
        <v>0</v>
      </c>
      <c r="N510" s="5" t="n">
        <f aca="false">IF(AND(K510=1,M510=1),1,0)</f>
        <v>0</v>
      </c>
      <c r="O510" s="5" t="str">
        <f aca="false">IF(K510=1,MAX($O$5:O509)+1,"")</f>
        <v/>
      </c>
      <c r="P510" s="5" t="str">
        <f aca="false">IF(K510=1,SUM($N$6:N510),"")</f>
        <v/>
      </c>
      <c r="Q510" s="5" t="str">
        <f aca="false">IF(K510=1,SUMIFS($H$6:$H$511,$L$6:$L$511,L510,$K$6:$K$511,1),"")</f>
        <v/>
      </c>
      <c r="R510" s="78" t="str">
        <f aca="false">IF(B510="","",IF(INDEX(報告入力!$X$7:$X$696,B510)="","",INDEX(報告入力!$X$7:$X$696,B510)))</f>
        <v/>
      </c>
      <c r="S510" s="5" t="str">
        <f aca="false">設定!$C$55</f>
        <v>子ども・子育て支援納付金：掛金</v>
      </c>
    </row>
    <row r="511" customFormat="false" ht="15" hidden="false" customHeight="false" outlineLevel="0" collapsed="false">
      <c r="A511" s="5" t="str">
        <f aca="false">設定!B106</f>
        <v>任意継続組合員</v>
      </c>
      <c r="B511" s="5" t="n">
        <f aca="false">IFERROR(MATCH(ホーム!$C$4&amp;"|"&amp;A511,報告入力!$CG$7:$CG$696,0),"")</f>
        <v>368</v>
      </c>
      <c r="C511" s="5" t="str">
        <f aca="false">IF(B511="","",INDEX(報告入力!$C$7:$C$696,B511))</f>
        <v>未受領</v>
      </c>
      <c r="D511" s="5" t="str">
        <f aca="false">設定!$A$42</f>
        <v>子ども・子育て支援納付金経理</v>
      </c>
      <c r="E511" s="5" t="str">
        <f aca="false">設定!$B$42&amp;""</f>
        <v/>
      </c>
      <c r="F511" s="5" t="str">
        <f aca="false">設定!$D$56&amp;""</f>
        <v/>
      </c>
      <c r="G511" s="5" t="str">
        <f aca="false">設定!$E$56&amp;""</f>
        <v/>
      </c>
      <c r="H511" s="5" t="n">
        <f aca="false">IF(B511="",0,N(INDEX(報告入力!$BE$7:$BE$696,B511)))</f>
        <v>0</v>
      </c>
      <c r="I511" s="5" t="str">
        <f aca="false">設定!$C$42&amp;""</f>
        <v/>
      </c>
      <c r="J511" s="5" t="str">
        <f aca="false">設定!$D$42&amp;""</f>
        <v/>
      </c>
      <c r="K511" s="5" t="n">
        <f aca="false">IF(AND(H511&lt;&gt;0,IF(設定!$B$6="入金確認済のみ",C511="入金確認済",OR(C511="入金確認済",C511="受領済"))),1,0)</f>
        <v>0</v>
      </c>
      <c r="L511" s="5" t="str">
        <f aca="false">4&amp;"|"&amp;46</f>
        <v>4|46</v>
      </c>
      <c r="M511" s="5" t="n">
        <f aca="false">IF(L511=L510,M510,0)+K511</f>
        <v>0</v>
      </c>
      <c r="N511" s="5" t="n">
        <f aca="false">IF(AND(K511=1,M511=1),1,0)</f>
        <v>0</v>
      </c>
      <c r="O511" s="5" t="str">
        <f aca="false">IF(K511=1,MAX($O$5:O510)+1,"")</f>
        <v/>
      </c>
      <c r="P511" s="5" t="str">
        <f aca="false">IF(K511=1,SUM($N$6:N511),"")</f>
        <v/>
      </c>
      <c r="Q511" s="5" t="str">
        <f aca="false">IF(K511=1,SUMIFS($H$6:$H$511,$L$6:$L$511,L511,$K$6:$K$511,1),"")</f>
        <v/>
      </c>
      <c r="R511" s="78" t="str">
        <f aca="false">IF(B511="","",IF(INDEX(報告入力!$X$7:$X$696,B511)="","",INDEX(報告入力!$X$7:$X$696,B511)))</f>
        <v/>
      </c>
      <c r="S511" s="5" t="str">
        <f aca="false">設定!$C$56</f>
        <v>子ども・子育て支援納付金：負担金</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S1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9140625" defaultRowHeight="17.25" zeroHeight="false" outlineLevelRow="0" outlineLevelCol="0"/>
  <cols>
    <col collapsed="false" customWidth="true" hidden="false" outlineLevel="0" max="1" min="1" style="80" width="17.19"/>
    <col collapsed="false" customWidth="true" hidden="false" outlineLevel="0" max="6" min="2" style="80" width="12.99"/>
    <col collapsed="false" customWidth="true" hidden="false" outlineLevel="0" max="7" min="7" style="81" width="14.29"/>
    <col collapsed="false" customWidth="true" hidden="false" outlineLevel="0" max="16" min="8" style="80" width="20.69"/>
    <col collapsed="false" customWidth="false" hidden="false" outlineLevel="0" max="17" min="17" style="80" width="10.69"/>
    <col collapsed="false" customWidth="true" hidden="true" outlineLevel="0" max="19" min="18" style="80" width="12"/>
    <col collapsed="false" customWidth="false" hidden="false" outlineLevel="0" max="257" min="20" style="80" width="10.69"/>
  </cols>
  <sheetData>
    <row r="1" s="83" customFormat="true" ht="18.75" hidden="false" customHeight="true" outlineLevel="0" collapsed="false">
      <c r="A1" s="82"/>
      <c r="G1" s="84"/>
    </row>
    <row r="2" s="88" customFormat="true" ht="30" hidden="false" customHeight="true" outlineLevel="0" collapsed="false">
      <c r="A2" s="85" t="s">
        <v>367</v>
      </c>
      <c r="B2" s="86" t="n">
        <v>46113</v>
      </c>
      <c r="C2" s="86"/>
      <c r="D2" s="86"/>
      <c r="E2" s="86"/>
      <c r="F2" s="86"/>
      <c r="G2" s="86"/>
      <c r="H2" s="87" t="n">
        <f aca="false">B2</f>
        <v>46113</v>
      </c>
      <c r="I2" s="87"/>
      <c r="J2" s="87"/>
      <c r="K2" s="87" t="n">
        <f aca="false">B2</f>
        <v>46113</v>
      </c>
      <c r="L2" s="87"/>
      <c r="M2" s="87"/>
      <c r="N2" s="87" t="n">
        <f aca="false">B2</f>
        <v>46113</v>
      </c>
      <c r="O2" s="87"/>
      <c r="P2" s="87"/>
      <c r="S2" s="88" t="s">
        <v>368</v>
      </c>
    </row>
    <row r="3" customFormat="false" ht="22.5" hidden="false" customHeight="true" outlineLevel="0" collapsed="false">
      <c r="A3" s="89" t="s">
        <v>369</v>
      </c>
      <c r="B3" s="89" t="s">
        <v>370</v>
      </c>
      <c r="C3" s="89"/>
      <c r="D3" s="89"/>
      <c r="E3" s="89"/>
      <c r="F3" s="89"/>
      <c r="G3" s="89"/>
      <c r="H3" s="90" t="s">
        <v>371</v>
      </c>
      <c r="I3" s="90"/>
      <c r="J3" s="90"/>
      <c r="K3" s="91" t="s">
        <v>372</v>
      </c>
      <c r="L3" s="91"/>
      <c r="M3" s="91"/>
      <c r="N3" s="91" t="s">
        <v>291</v>
      </c>
      <c r="O3" s="91"/>
      <c r="P3" s="91"/>
    </row>
    <row r="4" customFormat="false" ht="22.5" hidden="false" customHeight="true" outlineLevel="0" collapsed="false">
      <c r="A4" s="89"/>
      <c r="B4" s="92" t="s">
        <v>373</v>
      </c>
      <c r="C4" s="92"/>
      <c r="D4" s="92" t="s">
        <v>374</v>
      </c>
      <c r="E4" s="92"/>
      <c r="F4" s="92"/>
      <c r="G4" s="92" t="s">
        <v>375</v>
      </c>
      <c r="H4" s="93" t="s">
        <v>376</v>
      </c>
      <c r="I4" s="94" t="s">
        <v>377</v>
      </c>
      <c r="J4" s="95" t="s">
        <v>375</v>
      </c>
      <c r="K4" s="96" t="s">
        <v>376</v>
      </c>
      <c r="L4" s="94" t="s">
        <v>377</v>
      </c>
      <c r="M4" s="95" t="s">
        <v>375</v>
      </c>
      <c r="N4" s="96" t="s">
        <v>376</v>
      </c>
      <c r="O4" s="94" t="s">
        <v>377</v>
      </c>
      <c r="P4" s="95" t="s">
        <v>375</v>
      </c>
    </row>
    <row r="5" customFormat="false" ht="22.5" hidden="false" customHeight="true" outlineLevel="0" collapsed="false">
      <c r="A5" s="89"/>
      <c r="B5" s="97" t="s">
        <v>378</v>
      </c>
      <c r="C5" s="98" t="s">
        <v>379</v>
      </c>
      <c r="D5" s="99" t="s">
        <v>378</v>
      </c>
      <c r="E5" s="99" t="s">
        <v>380</v>
      </c>
      <c r="F5" s="98" t="s">
        <v>85</v>
      </c>
      <c r="G5" s="92"/>
      <c r="H5" s="93"/>
      <c r="I5" s="94"/>
      <c r="J5" s="95"/>
      <c r="K5" s="96"/>
      <c r="L5" s="94"/>
      <c r="M5" s="95"/>
      <c r="N5" s="96"/>
      <c r="O5" s="94"/>
      <c r="P5" s="95"/>
    </row>
    <row r="6" s="110" customFormat="true" ht="20.1" hidden="false" customHeight="true" outlineLevel="0" collapsed="false">
      <c r="A6" s="100" t="s">
        <v>158</v>
      </c>
      <c r="B6" s="101" t="n">
        <f aca="false">SUMIFS(報告入力!$AU$7:$AU$696,報告入力!$A$7:$A$696,$S$2,報告入力!$B$7:$B$696,$A6)</f>
        <v>237888288</v>
      </c>
      <c r="C6" s="102" t="n">
        <f aca="false">SUMIFS(報告入力!$AV$7:$AV$696,報告入力!$A$7:$A$696,$S$2,報告入力!$B$7:$B$696,$A6)</f>
        <v>19545382</v>
      </c>
      <c r="D6" s="103" t="n">
        <f aca="false">SUMIFS(報告入力!$AW$7:$AW$696,報告入力!$A$7:$A$696,$S$2,報告入力!$B$7:$B$696,$A6)</f>
        <v>340368825</v>
      </c>
      <c r="E6" s="103" t="n">
        <f aca="false">SUMIFS(報告入力!$AX$7:$AX$696,報告入力!$A$7:$A$696,$S$2,報告入力!$B$7:$B$696,$A6)</f>
        <v>18931427</v>
      </c>
      <c r="F6" s="104" t="n">
        <f aca="false">SUMIFS(報告入力!$AY$7:$AY$696,報告入力!$A$7:$A$696,$S$2,報告入力!$B$7:$B$696,$A6)</f>
        <v>229767</v>
      </c>
      <c r="G6" s="105" t="n">
        <f aca="false">SUM(B6:F6)</f>
        <v>616963689</v>
      </c>
      <c r="H6" s="106" t="n">
        <f aca="false">SUMIFS(報告入力!$AZ$7:$AZ$696,報告入力!$A$7:$A$696,$S$2,報告入力!$B$7:$B$696,$A6)</f>
        <v>172293834</v>
      </c>
      <c r="I6" s="107" t="n">
        <f aca="false">SUMIFS(報告入力!$BA$7:$BA$696,報告入力!$A$7:$A$696,$S$2,報告入力!$B$7:$B$696,$A6)</f>
        <v>170938710</v>
      </c>
      <c r="J6" s="108" t="n">
        <f aca="false">SUM(H6:I6)</f>
        <v>343232544</v>
      </c>
      <c r="K6" s="109" t="n">
        <f aca="false">SUMIFS(報告入力!$BB$7:$BB$696,報告入力!$A$7:$A$696,$S$2,報告入力!$B$7:$B$696,$A6)</f>
        <v>15691597</v>
      </c>
      <c r="L6" s="107" t="n">
        <f aca="false">SUMIFS(報告入力!$BC$7:$BC$696,報告入力!$A$7:$A$696,$S$2,報告入力!$B$7:$B$696,$A6)</f>
        <v>15239233</v>
      </c>
      <c r="M6" s="108" t="n">
        <f aca="false">SUM(K6:L6)</f>
        <v>30930830</v>
      </c>
      <c r="N6" s="109" t="n">
        <f aca="false">SUMIFS(報告入力!$BD$7:$BD$696,報告入力!$A$7:$A$696,$S$2,報告入力!$B$7:$B$696,$A6)</f>
        <v>3806352</v>
      </c>
      <c r="O6" s="107" t="n">
        <f aca="false">SUMIFS(報告入力!$BE$7:$BE$696,報告入力!$A$7:$A$696,$S$2,報告入力!$B$7:$B$696,$A6)</f>
        <v>3733563</v>
      </c>
      <c r="P6" s="108" t="n">
        <f aca="false">SUM(N6:O6)</f>
        <v>7539915</v>
      </c>
      <c r="R6" s="110" t="str">
        <f aca="false">IFERROR(INDEX(報告入力!$C$7:$C$696,MATCH($S$2&amp;"|"&amp;$A6,報告入力!$CG$7:$CG$696,0)),"")</f>
        <v>入金確認済</v>
      </c>
    </row>
    <row r="7" s="110" customFormat="true" ht="20.1" hidden="false" customHeight="true" outlineLevel="0" collapsed="false">
      <c r="A7" s="100" t="s">
        <v>161</v>
      </c>
      <c r="B7" s="111" t="n">
        <f aca="false">SUMIFS(報告入力!$AU$7:$AU$696,報告入力!$A$7:$A$696,$S$2,報告入力!$B$7:$B$696,$A7)</f>
        <v>16501383</v>
      </c>
      <c r="C7" s="112" t="n">
        <f aca="false">SUMIFS(報告入力!$AV$7:$AV$696,報告入力!$A$7:$A$696,$S$2,報告入力!$B$7:$B$696,$A7)</f>
        <v>1352571</v>
      </c>
      <c r="D7" s="103" t="n">
        <f aca="false">SUMIFS(報告入力!$AW$7:$AW$696,報告入力!$A$7:$A$696,$S$2,報告入力!$B$7:$B$696,$A7)</f>
        <v>23660244</v>
      </c>
      <c r="E7" s="103" t="n">
        <f aca="false">SUMIFS(報告入力!$AX$7:$AX$696,報告入力!$A$7:$A$696,$S$2,報告入力!$B$7:$B$696,$A7)</f>
        <v>1344682</v>
      </c>
      <c r="F7" s="113" t="n">
        <f aca="false">SUMIFS(報告入力!$AY$7:$AY$696,報告入力!$A$7:$A$696,$S$2,報告入力!$B$7:$B$696,$A7)</f>
        <v>15795</v>
      </c>
      <c r="G7" s="108" t="n">
        <f aca="false">SUM(B7:F7)</f>
        <v>42874675</v>
      </c>
      <c r="H7" s="114" t="n">
        <f aca="false">SUMIFS(報告入力!$AZ$7:$AZ$696,報告入力!$A$7:$A$696,$S$2,報告入力!$B$7:$B$696,$A7)</f>
        <v>9654896</v>
      </c>
      <c r="I7" s="115" t="n">
        <f aca="false">SUMIFS(報告入力!$BA$7:$BA$696,報告入力!$A$7:$A$696,$S$2,報告入力!$B$7:$B$696,$A7)</f>
        <v>9790061</v>
      </c>
      <c r="J7" s="116" t="n">
        <f aca="false">SUM(H7:I7)</f>
        <v>19444957</v>
      </c>
      <c r="K7" s="117" t="n">
        <f aca="false">SUMIFS(報告入力!$BB$7:$BB$696,報告入力!$A$7:$A$696,$S$2,報告入力!$B$7:$B$696,$A7)</f>
        <v>1025788</v>
      </c>
      <c r="L7" s="118" t="n">
        <f aca="false">SUMIFS(報告入力!$BC$7:$BC$696,報告入力!$A$7:$A$696,$S$2,報告入力!$B$7:$B$696,$A7)</f>
        <v>1025788</v>
      </c>
      <c r="M7" s="116" t="n">
        <f aca="false">SUM(K7:L7)</f>
        <v>2051576</v>
      </c>
      <c r="N7" s="117" t="n">
        <f aca="false">SUMIFS(報告入力!$BD$7:$BD$696,報告入力!$A$7:$A$696,$S$2,報告入力!$B$7:$B$696,$A7)</f>
        <v>214057</v>
      </c>
      <c r="O7" s="118" t="n">
        <f aca="false">SUMIFS(報告入力!$BE$7:$BE$696,報告入力!$A$7:$A$696,$S$2,報告入力!$B$7:$B$696,$A7)</f>
        <v>214129</v>
      </c>
      <c r="P7" s="116" t="n">
        <f aca="false">SUM(N7:O7)</f>
        <v>428186</v>
      </c>
      <c r="R7" s="110" t="str">
        <f aca="false">IFERROR(INDEX(報告入力!$C$7:$C$696,MATCH($S$2&amp;"|"&amp;$A7,報告入力!$CG$7:$CG$696,0)),"")</f>
        <v>入金確認済</v>
      </c>
    </row>
    <row r="8" s="110" customFormat="true" ht="20.1" hidden="false" customHeight="true" outlineLevel="0" collapsed="false">
      <c r="A8" s="100" t="s">
        <v>162</v>
      </c>
      <c r="B8" s="111" t="n">
        <f aca="false">SUMIFS(報告入力!$AU$7:$AU$696,報告入力!$A$7:$A$696,$S$2,報告入力!$B$7:$B$696,$A8)</f>
        <v>55191060</v>
      </c>
      <c r="C8" s="112" t="n">
        <f aca="false">SUMIFS(報告入力!$AV$7:$AV$696,報告入力!$A$7:$A$696,$S$2,報告入力!$B$7:$B$696,$A8)</f>
        <v>4523856</v>
      </c>
      <c r="D8" s="103" t="n">
        <f aca="false">SUMIFS(報告入力!$AW$7:$AW$696,報告入力!$A$7:$A$696,$S$2,報告入力!$B$7:$B$696,$A8)</f>
        <v>79301786</v>
      </c>
      <c r="E8" s="103" t="n">
        <f aca="false">SUMIFS(報告入力!$AX$7:$AX$696,報告入力!$A$7:$A$696,$S$2,報告入力!$B$7:$B$696,$A8)</f>
        <v>4501510</v>
      </c>
      <c r="F8" s="113" t="n">
        <f aca="false">SUMIFS(報告入力!$AY$7:$AY$696,報告入力!$A$7:$A$696,$S$2,報告入力!$B$7:$B$696,$A8)</f>
        <v>52817</v>
      </c>
      <c r="G8" s="108" t="n">
        <f aca="false">SUM(B8:F8)</f>
        <v>143571029</v>
      </c>
      <c r="H8" s="118" t="n">
        <f aca="false">SUMIFS(報告入力!$AZ$7:$AZ$696,報告入力!$A$7:$A$696,$S$2,報告入力!$B$7:$B$696,$A8)</f>
        <v>31993182</v>
      </c>
      <c r="I8" s="114" t="n">
        <f aca="false">SUMIFS(報告入力!$BA$7:$BA$696,報告入力!$A$7:$A$696,$S$2,報告入力!$B$7:$B$696,$A8)</f>
        <v>32380013</v>
      </c>
      <c r="J8" s="116" t="n">
        <f aca="false">SUM(H8:I8)</f>
        <v>64373195</v>
      </c>
      <c r="K8" s="117" t="n">
        <f aca="false">SUMIFS(報告入力!$BB$7:$BB$696,報告入力!$A$7:$A$696,$S$2,報告入力!$B$7:$B$696,$A8)</f>
        <v>2034923</v>
      </c>
      <c r="L8" s="114" t="n">
        <f aca="false">SUMIFS(報告入力!$BC$7:$BC$696,報告入力!$A$7:$A$696,$S$2,報告入力!$B$7:$B$696,$A8)</f>
        <v>2021968</v>
      </c>
      <c r="M8" s="116" t="n">
        <f aca="false">SUM(K8:L8)</f>
        <v>4056891</v>
      </c>
      <c r="N8" s="117" t="n">
        <f aca="false">SUMIFS(報告入力!$BD$7:$BD$696,報告入力!$A$7:$A$696,$S$2,報告入力!$B$7:$B$696,$A8)</f>
        <v>709341</v>
      </c>
      <c r="O8" s="114" t="n">
        <f aca="false">SUMIFS(報告入力!$BE$7:$BE$696,報告入力!$A$7:$A$696,$S$2,報告入力!$B$7:$B$696,$A8)</f>
        <v>707179</v>
      </c>
      <c r="P8" s="116" t="n">
        <f aca="false">SUM(N8:O8)</f>
        <v>1416520</v>
      </c>
      <c r="R8" s="110" t="str">
        <f aca="false">IFERROR(INDEX(報告入力!$C$7:$C$696,MATCH($S$2&amp;"|"&amp;$A8,報告入力!$CG$7:$CG$696,0)),"")</f>
        <v>入金確認済</v>
      </c>
    </row>
    <row r="9" s="110" customFormat="true" ht="20.1" hidden="false" customHeight="true" outlineLevel="0" collapsed="false">
      <c r="A9" s="100" t="s">
        <v>163</v>
      </c>
      <c r="B9" s="111" t="n">
        <f aca="false">SUMIFS(報告入力!$AU$7:$AU$696,報告入力!$A$7:$A$696,$S$2,報告入力!$B$7:$B$696,$A9)</f>
        <v>1810785</v>
      </c>
      <c r="C9" s="112" t="n">
        <f aca="false">SUMIFS(報告入力!$AV$7:$AV$696,報告入力!$A$7:$A$696,$S$2,報告入力!$B$7:$B$696,$A9)</f>
        <v>148425</v>
      </c>
      <c r="D9" s="103" t="n">
        <f aca="false">SUMIFS(報告入力!$AW$7:$AW$696,報告入力!$A$7:$A$696,$S$2,報告入力!$B$7:$B$696,$A9)</f>
        <v>2609982</v>
      </c>
      <c r="E9" s="103" t="n">
        <f aca="false">SUMIFS(報告入力!$AX$7:$AX$696,報告入力!$A$7:$A$696,$S$2,報告入力!$B$7:$B$696,$A9)</f>
        <v>148425</v>
      </c>
      <c r="F9" s="113" t="n">
        <f aca="false">SUMIFS(報告入力!$AY$7:$AY$696,報告入力!$A$7:$A$696,$S$2,報告入力!$B$7:$B$696,$A9)</f>
        <v>1740</v>
      </c>
      <c r="G9" s="108" t="n">
        <f aca="false">SUM(B9:F9)</f>
        <v>4719357</v>
      </c>
      <c r="H9" s="103" t="n">
        <f aca="false">SUMIFS(報告入力!$AZ$7:$AZ$696,報告入力!$A$7:$A$696,$S$2,報告入力!$B$7:$B$696,$A9)</f>
        <v>1059618</v>
      </c>
      <c r="I9" s="114" t="n">
        <f aca="false">SUMIFS(報告入力!$BA$7:$BA$696,報告入力!$A$7:$A$696,$S$2,報告入力!$B$7:$B$696,$A9)</f>
        <v>1069678</v>
      </c>
      <c r="J9" s="116" t="n">
        <f aca="false">SUM(H9:I9)</f>
        <v>2129296</v>
      </c>
      <c r="K9" s="111" t="n">
        <f aca="false">SUMIFS(報告入力!$BB$7:$BB$696,報告入力!$A$7:$A$696,$S$2,報告入力!$B$7:$B$696,$A9)</f>
        <v>103520</v>
      </c>
      <c r="L9" s="114" t="n">
        <f aca="false">SUMIFS(報告入力!$BC$7:$BC$696,報告入力!$A$7:$A$696,$S$2,報告入力!$B$7:$B$696,$A9)</f>
        <v>102399</v>
      </c>
      <c r="M9" s="116" t="n">
        <f aca="false">SUM(K9:L9)</f>
        <v>205919</v>
      </c>
      <c r="N9" s="111" t="n">
        <f aca="false">SUMIFS(報告入力!$BD$7:$BD$696,報告入力!$A$7:$A$696,$S$2,報告入力!$B$7:$B$696,$A9)</f>
        <v>23316</v>
      </c>
      <c r="O9" s="114" t="n">
        <f aca="false">SUMIFS(報告入力!$BE$7:$BE$696,報告入力!$A$7:$A$696,$S$2,報告入力!$B$7:$B$696,$A9)</f>
        <v>23324</v>
      </c>
      <c r="P9" s="116" t="n">
        <f aca="false">SUM(N9:O9)</f>
        <v>46640</v>
      </c>
      <c r="R9" s="110" t="str">
        <f aca="false">IFERROR(INDEX(報告入力!$C$7:$C$696,MATCH($S$2&amp;"|"&amp;$A9,報告入力!$CG$7:$CG$696,0)),"")</f>
        <v>入金確認済</v>
      </c>
    </row>
    <row r="10" s="110" customFormat="true" ht="18.75" hidden="false" customHeight="true" outlineLevel="0" collapsed="false">
      <c r="A10" s="100" t="s">
        <v>164</v>
      </c>
      <c r="B10" s="111" t="n">
        <f aca="false">SUMIFS(報告入力!$AU$7:$AU$696,報告入力!$A$7:$A$696,$S$2,報告入力!$B$7:$B$696,$A10)</f>
        <v>23624294</v>
      </c>
      <c r="C10" s="112" t="n">
        <f aca="false">SUMIFS(報告入力!$AV$7:$AV$696,報告入力!$A$7:$A$696,$S$2,報告入力!$B$7:$B$696,$A10)</f>
        <v>1936418</v>
      </c>
      <c r="D10" s="103" t="n">
        <f aca="false">SUMIFS(報告入力!$AW$7:$AW$696,報告入力!$A$7:$A$696,$S$2,報告入力!$B$7:$B$696,$A10)</f>
        <v>33978096</v>
      </c>
      <c r="E10" s="103" t="n">
        <f aca="false">SUMIFS(報告入力!$AX$7:$AX$696,報告入力!$A$7:$A$696,$S$2,報告入力!$B$7:$B$696,$A10)</f>
        <v>1934423</v>
      </c>
      <c r="F10" s="113" t="n">
        <f aca="false">SUMIFS(報告入力!$AY$7:$AY$696,報告入力!$A$7:$A$696,$S$2,報告入力!$B$7:$B$696,$A10)</f>
        <v>22597</v>
      </c>
      <c r="G10" s="108" t="n">
        <f aca="false">SUM(B10:F10)</f>
        <v>61495828</v>
      </c>
      <c r="H10" s="103" t="n">
        <f aca="false">SUMIFS(報告入力!$AZ$7:$AZ$696,報告入力!$A$7:$A$696,$S$2,報告入力!$B$7:$B$696,$A10)</f>
        <v>23056933</v>
      </c>
      <c r="I10" s="114" t="n">
        <f aca="false">SUMIFS(報告入力!$BA$7:$BA$696,報告入力!$A$7:$A$696,$S$2,報告入力!$B$7:$B$696,$A10)</f>
        <v>23380527</v>
      </c>
      <c r="J10" s="116" t="n">
        <f aca="false">SUM(H10:I10)</f>
        <v>46437460</v>
      </c>
      <c r="K10" s="111" t="n">
        <f aca="false">SUMIFS(報告入力!$BB$7:$BB$696,報告入力!$A$7:$A$696,$S$2,報告入力!$B$7:$B$696,$A10)</f>
        <v>2704450</v>
      </c>
      <c r="L10" s="114" t="n">
        <f aca="false">SUMIFS(報告入力!$BC$7:$BC$696,報告入力!$A$7:$A$696,$S$2,報告入力!$B$7:$B$696,$A10)</f>
        <v>2700114</v>
      </c>
      <c r="M10" s="116" t="n">
        <f aca="false">SUM(K10:L10)</f>
        <v>5404564</v>
      </c>
      <c r="N10" s="111" t="n">
        <f aca="false">SUMIFS(報告入力!$BD$7:$BD$696,報告入力!$A$7:$A$696,$S$2,報告入力!$B$7:$B$696,$A10)</f>
        <v>510014</v>
      </c>
      <c r="O10" s="114" t="n">
        <f aca="false">SUMIFS(報告入力!$BE$7:$BE$696,報告入力!$A$7:$A$696,$S$2,報告入力!$B$7:$B$696,$A10)</f>
        <v>511951</v>
      </c>
      <c r="P10" s="116" t="n">
        <f aca="false">SUM(N10:O10)</f>
        <v>1021965</v>
      </c>
      <c r="R10" s="110" t="str">
        <f aca="false">IFERROR(INDEX(報告入力!$C$7:$C$696,MATCH($S$2&amp;"|"&amp;$A10,報告入力!$CG$7:$CG$696,0)),"")</f>
        <v>入金確認済</v>
      </c>
    </row>
    <row r="11" s="110" customFormat="true" ht="20.1" hidden="false" customHeight="true" outlineLevel="0" collapsed="false">
      <c r="A11" s="100" t="s">
        <v>165</v>
      </c>
      <c r="B11" s="111" t="n">
        <f aca="false">SUMIFS(報告入力!$AU$7:$AU$696,報告入力!$A$7:$A$696,$S$2,報告入力!$B$7:$B$696,$A11)</f>
        <v>326655</v>
      </c>
      <c r="C11" s="112" t="n">
        <f aca="false">SUMIFS(報告入力!$AV$7:$AV$696,報告入力!$A$7:$A$696,$S$2,報告入力!$B$7:$B$696,$A11)</f>
        <v>26775</v>
      </c>
      <c r="D11" s="103" t="n">
        <f aca="false">SUMIFS(報告入力!$AW$7:$AW$696,報告入力!$A$7:$A$696,$S$2,報告入力!$B$7:$B$696,$A11)</f>
        <v>469098</v>
      </c>
      <c r="E11" s="103" t="n">
        <f aca="false">SUMIFS(報告入力!$AX$7:$AX$696,報告入力!$A$7:$A$696,$S$2,報告入力!$B$7:$B$696,$A11)</f>
        <v>26775</v>
      </c>
      <c r="F11" s="113" t="n">
        <f aca="false">SUMIFS(報告入力!$AY$7:$AY$696,報告入力!$A$7:$A$696,$S$2,報告入力!$B$7:$B$696,$A11)</f>
        <v>310</v>
      </c>
      <c r="G11" s="108" t="n">
        <f aca="false">SUM(B11:F11)</f>
        <v>849613</v>
      </c>
      <c r="H11" s="114" t="n">
        <f aca="false">SUMIFS(報告入力!$AZ$7:$AZ$696,報告入力!$A$7:$A$696,$S$2,報告入力!$B$7:$B$696,$A11)</f>
        <v>205363</v>
      </c>
      <c r="I11" s="115" t="n">
        <f aca="false">SUMIFS(報告入力!$BA$7:$BA$696,報告入力!$A$7:$A$696,$S$2,報告入力!$B$7:$B$696,$A11)</f>
        <v>208810</v>
      </c>
      <c r="J11" s="116" t="n">
        <f aca="false">SUM(H11:I11)</f>
        <v>414173</v>
      </c>
      <c r="K11" s="111" t="n">
        <f aca="false">SUMIFS(報告入力!$BB$7:$BB$696,報告入力!$A$7:$A$696,$S$2,報告入力!$B$7:$B$696,$A11)</f>
        <v>15800</v>
      </c>
      <c r="L11" s="114" t="n">
        <f aca="false">SUMIFS(報告入力!$BC$7:$BC$696,報告入力!$A$7:$A$696,$S$2,報告入力!$B$7:$B$696,$A11)</f>
        <v>15800</v>
      </c>
      <c r="M11" s="116" t="n">
        <f aca="false">SUM(K11:L11)</f>
        <v>31600</v>
      </c>
      <c r="N11" s="111" t="n">
        <f aca="false">SUMIFS(報告入力!$BD$7:$BD$696,報告入力!$A$7:$A$696,$S$2,報告入力!$B$7:$B$696,$A11)</f>
        <v>4552</v>
      </c>
      <c r="O11" s="114" t="n">
        <f aca="false">SUMIFS(報告入力!$BE$7:$BE$696,報告入力!$A$7:$A$696,$S$2,報告入力!$B$7:$B$696,$A11)</f>
        <v>4553</v>
      </c>
      <c r="P11" s="116" t="n">
        <f aca="false">SUM(N11:O11)</f>
        <v>9105</v>
      </c>
      <c r="R11" s="110" t="str">
        <f aca="false">IFERROR(INDEX(報告入力!$C$7:$C$696,MATCH($S$2&amp;"|"&amp;$A11,報告入力!$CG$7:$CG$696,0)),"")</f>
        <v>入金確認済</v>
      </c>
    </row>
    <row r="12" s="110" customFormat="true" ht="20.1" hidden="false" customHeight="true" outlineLevel="0" collapsed="false">
      <c r="A12" s="100" t="s">
        <v>166</v>
      </c>
      <c r="B12" s="111" t="n">
        <f aca="false">SUMIFS(報告入力!$AU$7:$AU$696,報告入力!$A$7:$A$696,$S$2,報告入力!$B$7:$B$696,$A12)</f>
        <v>597495</v>
      </c>
      <c r="C12" s="112" t="n">
        <f aca="false">SUMIFS(報告入力!$AV$7:$AV$696,報告入力!$A$7:$A$696,$S$2,報告入力!$B$7:$B$696,$A12)</f>
        <v>48975</v>
      </c>
      <c r="D12" s="103" t="n">
        <f aca="false">SUMIFS(報告入力!$AW$7:$AW$696,報告入力!$A$7:$A$696,$S$2,報告入力!$B$7:$B$696,$A12)</f>
        <v>858042</v>
      </c>
      <c r="E12" s="103" t="n">
        <f aca="false">SUMIFS(報告入力!$AX$7:$AX$696,報告入力!$A$7:$A$696,$S$2,報告入力!$B$7:$B$696,$A12)</f>
        <v>48975</v>
      </c>
      <c r="F12" s="113" t="n">
        <f aca="false">SUMIFS(報告入力!$AY$7:$AY$696,報告入力!$A$7:$A$696,$S$2,報告入力!$B$7:$B$696,$A12)</f>
        <v>567</v>
      </c>
      <c r="G12" s="119" t="n">
        <f aca="false">SUM(B12:F12)</f>
        <v>1554054</v>
      </c>
      <c r="H12" s="114" t="n">
        <f aca="false">SUMIFS(報告入力!$AZ$7:$AZ$696,報告入力!$A$7:$A$696,$S$2,報告入力!$B$7:$B$696,$A12)</f>
        <v>343825</v>
      </c>
      <c r="I12" s="115" t="n">
        <f aca="false">SUMIFS(報告入力!$BA$7:$BA$696,報告入力!$A$7:$A$696,$S$2,報告入力!$B$7:$B$696,$A12)</f>
        <v>349599</v>
      </c>
      <c r="J12" s="116" t="n">
        <f aca="false">SUM(H12:I12)</f>
        <v>693424</v>
      </c>
      <c r="K12" s="109" t="n">
        <f aca="false">SUMIFS(報告入力!$BB$7:$BB$696,報告入力!$A$7:$A$696,$S$2,報告入力!$B$7:$B$696,$A12)</f>
        <v>28282</v>
      </c>
      <c r="L12" s="115" t="n">
        <f aca="false">SUMIFS(報告入力!$BC$7:$BC$696,報告入力!$A$7:$A$696,$S$2,報告入力!$B$7:$B$696,$A12)</f>
        <v>28282</v>
      </c>
      <c r="M12" s="116" t="n">
        <f aca="false">SUM(K12:L12)</f>
        <v>56564</v>
      </c>
      <c r="N12" s="109" t="n">
        <f aca="false">SUMIFS(報告入力!$BD$7:$BD$696,報告入力!$A$7:$A$696,$S$2,報告入力!$B$7:$B$696,$A12)</f>
        <v>7621</v>
      </c>
      <c r="O12" s="115" t="n">
        <f aca="false">SUMIFS(報告入力!$BE$7:$BE$696,報告入力!$A$7:$A$696,$S$2,報告入力!$B$7:$B$696,$A12)</f>
        <v>7624</v>
      </c>
      <c r="P12" s="116" t="n">
        <f aca="false">SUM(N12:O12)</f>
        <v>15245</v>
      </c>
      <c r="R12" s="110" t="str">
        <f aca="false">IFERROR(INDEX(報告入力!$C$7:$C$696,MATCH($S$2&amp;"|"&amp;$A12,報告入力!$CG$7:$CG$696,0)),"")</f>
        <v>入金確認済</v>
      </c>
    </row>
    <row r="13" s="110" customFormat="true" ht="20.1" hidden="false" customHeight="true" outlineLevel="0" collapsed="false">
      <c r="A13" s="100" t="s">
        <v>167</v>
      </c>
      <c r="B13" s="111" t="n">
        <f aca="false">SUMIFS(報告入力!$AU$7:$AU$696,報告入力!$A$7:$A$696,$S$2,報告入力!$B$7:$B$696,$A13)</f>
        <v>1324920</v>
      </c>
      <c r="C13" s="112" t="n">
        <f aca="false">SUMIFS(報告入力!$AV$7:$AV$696,報告入力!$A$7:$A$696,$S$2,報告入力!$B$7:$B$696,$A13)</f>
        <v>108600</v>
      </c>
      <c r="D13" s="103" t="n">
        <f aca="false">SUMIFS(報告入力!$AW$7:$AW$696,報告入力!$A$7:$A$696,$S$2,報告入力!$B$7:$B$696,$A13)</f>
        <v>1913844</v>
      </c>
      <c r="E13" s="103" t="n">
        <f aca="false">SUMIFS(報告入力!$AX$7:$AX$696,報告入力!$A$7:$A$696,$S$2,報告入力!$B$7:$B$696,$A13)</f>
        <v>108600</v>
      </c>
      <c r="F13" s="113" t="n">
        <f aca="false">SUMIFS(報告入力!$AY$7:$AY$696,報告入力!$A$7:$A$696,$S$2,報告入力!$B$7:$B$696,$A13)</f>
        <v>1282</v>
      </c>
      <c r="G13" s="108" t="n">
        <f aca="false">SUM(B13:F13)</f>
        <v>3457246</v>
      </c>
      <c r="H13" s="114" t="n">
        <f aca="false">SUMIFS(報告入力!$AZ$7:$AZ$696,報告入力!$A$7:$A$696,$S$2,報告入力!$B$7:$B$696,$A13)</f>
        <v>768034</v>
      </c>
      <c r="I13" s="115" t="n">
        <f aca="false">SUMIFS(報告入力!$BA$7:$BA$696,報告入力!$A$7:$A$696,$S$2,報告入力!$B$7:$B$696,$A13)</f>
        <v>781174</v>
      </c>
      <c r="J13" s="116" t="n">
        <f aca="false">SUM(H13:I13)</f>
        <v>1549208</v>
      </c>
      <c r="K13" s="109" t="n">
        <f aca="false">SUMIFS(報告入力!$BB$7:$BB$696,報告入力!$A$7:$A$696,$S$2,報告入力!$B$7:$B$696,$A13)</f>
        <v>104201</v>
      </c>
      <c r="L13" s="115" t="n">
        <f aca="false">SUMIFS(報告入力!$BC$7:$BC$696,報告入力!$A$7:$A$696,$S$2,報告入力!$B$7:$B$696,$A13)</f>
        <v>104201</v>
      </c>
      <c r="M13" s="116" t="n">
        <f aca="false">SUM(K13:L13)</f>
        <v>208402</v>
      </c>
      <c r="N13" s="109" t="n">
        <f aca="false">SUMIFS(報告入力!$BD$7:$BD$696,報告入力!$A$7:$A$696,$S$2,報告入力!$B$7:$B$696,$A13)</f>
        <v>17023</v>
      </c>
      <c r="O13" s="115" t="n">
        <f aca="false">SUMIFS(報告入力!$BE$7:$BE$696,報告入力!$A$7:$A$696,$S$2,報告入力!$B$7:$B$696,$A13)</f>
        <v>17030</v>
      </c>
      <c r="P13" s="116" t="n">
        <f aca="false">SUM(N13:O13)</f>
        <v>34053</v>
      </c>
      <c r="R13" s="110" t="str">
        <f aca="false">IFERROR(INDEX(報告入力!$C$7:$C$696,MATCH($S$2&amp;"|"&amp;$A13,報告入力!$CG$7:$CG$696,0)),"")</f>
        <v>入金確認済</v>
      </c>
    </row>
    <row r="14" s="110" customFormat="true" ht="20.1" hidden="false" customHeight="true" outlineLevel="0" collapsed="false">
      <c r="A14" s="100" t="s">
        <v>168</v>
      </c>
      <c r="B14" s="111" t="n">
        <f aca="false">SUMIFS(報告入力!$AU$7:$AU$696,報告入力!$A$7:$A$696,$S$2,報告入力!$B$7:$B$696,$A14)</f>
        <v>409920</v>
      </c>
      <c r="C14" s="112" t="n">
        <f aca="false">SUMIFS(報告入力!$AV$7:$AV$696,報告入力!$A$7:$A$696,$S$2,報告入力!$B$7:$B$696,$A14)</f>
        <v>33600</v>
      </c>
      <c r="D14" s="103" t="n">
        <f aca="false">SUMIFS(報告入力!$AW$7:$AW$696,報告入力!$A$7:$A$696,$S$2,報告入力!$B$7:$B$696,$A14)</f>
        <v>588672</v>
      </c>
      <c r="E14" s="103" t="n">
        <f aca="false">SUMIFS(報告入力!$AX$7:$AX$696,報告入力!$A$7:$A$696,$S$2,報告入力!$B$7:$B$696,$A14)</f>
        <v>33600</v>
      </c>
      <c r="F14" s="113" t="n">
        <f aca="false">SUMIFS(報告入力!$AY$7:$AY$696,報告入力!$A$7:$A$696,$S$2,報告入力!$B$7:$B$696,$A14)</f>
        <v>389</v>
      </c>
      <c r="G14" s="108" t="n">
        <f aca="false">SUM(B14:F14)</f>
        <v>1066181</v>
      </c>
      <c r="H14" s="114" t="n">
        <f aca="false">SUMIFS(報告入力!$AZ$7:$AZ$696,報告入力!$A$7:$A$696,$S$2,報告入力!$B$7:$B$696,$A14)</f>
        <v>306800</v>
      </c>
      <c r="I14" s="115" t="n">
        <f aca="false">SUMIFS(報告入力!$BA$7:$BA$696,報告入力!$A$7:$A$696,$S$2,報告入力!$B$7:$B$696,$A14)</f>
        <v>311950</v>
      </c>
      <c r="J14" s="116" t="n">
        <f aca="false">SUM(H14:I14)</f>
        <v>618750</v>
      </c>
      <c r="K14" s="109" t="n">
        <f aca="false">SUMIFS(報告入力!$BB$7:$BB$696,報告入力!$A$7:$A$696,$S$2,報告入力!$B$7:$B$696,$A14)</f>
        <v>35042</v>
      </c>
      <c r="L14" s="115" t="n">
        <f aca="false">SUMIFS(報告入力!$BC$7:$BC$696,報告入力!$A$7:$A$696,$S$2,報告入力!$B$7:$B$696,$A14)</f>
        <v>35044</v>
      </c>
      <c r="M14" s="116" t="n">
        <f aca="false">SUM(K14:L14)</f>
        <v>70086</v>
      </c>
      <c r="N14" s="109" t="n">
        <f aca="false">SUMIFS(報告入力!$BD$7:$BD$696,報告入力!$A$7:$A$696,$S$2,報告入力!$B$7:$B$696,$A14)</f>
        <v>6800</v>
      </c>
      <c r="O14" s="115" t="n">
        <f aca="false">SUMIFS(報告入力!$BE$7:$BE$696,報告入力!$A$7:$A$696,$S$2,報告入力!$B$7:$B$696,$A14)</f>
        <v>6803</v>
      </c>
      <c r="P14" s="116" t="n">
        <f aca="false">SUM(N14:O14)</f>
        <v>13603</v>
      </c>
      <c r="R14" s="110" t="str">
        <f aca="false">IFERROR(INDEX(報告入力!$C$7:$C$696,MATCH($S$2&amp;"|"&amp;$A14,報告入力!$CG$7:$CG$696,0)),"")</f>
        <v>入金確認済</v>
      </c>
    </row>
    <row r="15" s="110" customFormat="true" ht="20.1" hidden="false" customHeight="true" outlineLevel="0" collapsed="false">
      <c r="A15" s="100" t="s">
        <v>169</v>
      </c>
      <c r="B15" s="111" t="n">
        <f aca="false">SUMIFS(報告入力!$AU$7:$AU$696,報告入力!$A$7:$A$696,$S$2,報告入力!$B$7:$B$696,$A15)</f>
        <v>22388403</v>
      </c>
      <c r="C15" s="112" t="n">
        <f aca="false">SUMIFS(報告入力!$AV$7:$AV$696,報告入力!$A$7:$A$696,$S$2,報告入力!$B$7:$B$696,$A15)</f>
        <v>1835115</v>
      </c>
      <c r="D15" s="103" t="n">
        <f aca="false">SUMIFS(報告入力!$AW$7:$AW$696,報告入力!$A$7:$A$696,$S$2,報告入力!$B$7:$B$696,$A15)</f>
        <v>32251750</v>
      </c>
      <c r="E15" s="103" t="n">
        <f aca="false">SUMIFS(報告入力!$AX$7:$AX$696,報告入力!$A$7:$A$696,$S$2,報告入力!$B$7:$B$696,$A15)</f>
        <v>1835115</v>
      </c>
      <c r="F15" s="113" t="n">
        <f aca="false">SUMIFS(報告入力!$AY$7:$AY$696,報告入力!$A$7:$A$696,$S$2,報告入力!$B$7:$B$696,$A15)</f>
        <v>21475</v>
      </c>
      <c r="G15" s="108" t="n">
        <f aca="false">SUM(B15:F15)</f>
        <v>58331858</v>
      </c>
      <c r="H15" s="114" t="n">
        <f aca="false">SUMIFS(報告入力!$AZ$7:$AZ$696,報告入力!$A$7:$A$696,$S$2,報告入力!$B$7:$B$696,$A15)</f>
        <v>13373486</v>
      </c>
      <c r="I15" s="115" t="n">
        <f aca="false">SUMIFS(報告入力!$BA$7:$BA$696,報告入力!$A$7:$A$696,$S$2,報告入力!$B$7:$B$696,$A15)</f>
        <v>13600282</v>
      </c>
      <c r="J15" s="116" t="n">
        <f aca="false">SUM(H15:I15)</f>
        <v>26973768</v>
      </c>
      <c r="K15" s="109" t="n">
        <f aca="false">SUMIFS(報告入力!$BB$7:$BB$696,報告入力!$A$7:$A$696,$S$2,報告入力!$B$7:$B$696,$A15)</f>
        <v>1322950</v>
      </c>
      <c r="L15" s="115" t="n">
        <f aca="false">SUMIFS(報告入力!$BC$7:$BC$696,報告入力!$A$7:$A$696,$S$2,報告入力!$B$7:$B$696,$A15)</f>
        <v>1322950</v>
      </c>
      <c r="M15" s="116" t="n">
        <f aca="false">SUM(K15:L15)</f>
        <v>2645900</v>
      </c>
      <c r="N15" s="109" t="n">
        <f aca="false">SUMIFS(報告入力!$BD$7:$BD$696,報告入力!$A$7:$A$696,$S$2,報告入力!$B$7:$B$696,$A15)</f>
        <v>296479</v>
      </c>
      <c r="O15" s="115" t="n">
        <f aca="false">SUMIFS(報告入力!$BE$7:$BE$696,報告入力!$A$7:$A$696,$S$2,報告入力!$B$7:$B$696,$A15)</f>
        <v>296570</v>
      </c>
      <c r="P15" s="120" t="n">
        <f aca="false">SUM(N15:O15)</f>
        <v>593049</v>
      </c>
      <c r="R15" s="110" t="str">
        <f aca="false">IFERROR(INDEX(報告入力!$C$7:$C$696,MATCH($S$2&amp;"|"&amp;$A15,報告入力!$CG$7:$CG$696,0)),"")</f>
        <v>入金確認済</v>
      </c>
    </row>
    <row r="16" s="110" customFormat="true" ht="19.5" hidden="false" customHeight="true" outlineLevel="0" collapsed="false">
      <c r="A16" s="121" t="s">
        <v>381</v>
      </c>
      <c r="B16" s="117" t="n">
        <f aca="false">SUMIFS(報告入力!$AU$7:$AU$696,報告入力!$A$7:$A$696,$S$2,報告入力!$B$7:$B$696,$A16)</f>
        <v>48495</v>
      </c>
      <c r="C16" s="122" t="n">
        <f aca="false">SUMIFS(報告入力!$AV$7:$AV$696,報告入力!$A$7:$A$696,$S$2,報告入力!$B$7:$B$696,$A16)</f>
        <v>3975</v>
      </c>
      <c r="D16" s="117" t="n">
        <f aca="false">SUMIFS(報告入力!$AW$7:$AW$696,報告入力!$A$7:$A$696,$S$2,報告入力!$B$7:$B$696,$A16)</f>
        <v>69642</v>
      </c>
      <c r="E16" s="118" t="n">
        <f aca="false">SUMIFS(報告入力!$AX$7:$AX$696,報告入力!$A$7:$A$696,$S$2,報告入力!$B$7:$B$696,$A16)</f>
        <v>3975</v>
      </c>
      <c r="F16" s="123" t="n">
        <f aca="false">SUMIFS(報告入力!$AY$7:$AY$696,報告入力!$A$7:$A$696,$S$2,報告入力!$B$7:$B$696,$A16)</f>
        <v>46</v>
      </c>
      <c r="G16" s="119" t="n">
        <f aca="false">SUM(B16:F16)</f>
        <v>126133</v>
      </c>
      <c r="H16" s="124" t="n">
        <f aca="false">SUMIFS(報告入力!$AZ$7:$AZ$696,報告入力!$A$7:$A$696,$S$2,報告入力!$B$7:$B$696,$A16)</f>
        <v>27485</v>
      </c>
      <c r="I16" s="125" t="n">
        <f aca="false">SUMIFS(報告入力!$BA$7:$BA$696,報告入力!$A$7:$A$696,$S$2,報告入力!$B$7:$B$696,$A16)</f>
        <v>27946</v>
      </c>
      <c r="J16" s="116" t="n">
        <f aca="false">SUM(H16:I16)</f>
        <v>55431</v>
      </c>
      <c r="K16" s="109" t="n">
        <f aca="false">SUMIFS(報告入力!$BB$7:$BB$696,報告入力!$A$7:$A$696,$S$2,報告入力!$B$7:$B$696,$A16)</f>
        <v>4187</v>
      </c>
      <c r="L16" s="115" t="n">
        <f aca="false">SUMIFS(報告入力!$BC$7:$BC$696,報告入力!$A$7:$A$696,$S$2,報告入力!$B$7:$B$696,$A16)</f>
        <v>4187</v>
      </c>
      <c r="M16" s="116" t="n">
        <f aca="false">SUM(K16:L16)</f>
        <v>8374</v>
      </c>
      <c r="N16" s="109" t="n">
        <f aca="false">SUMIFS(報告入力!$BD$7:$BD$696,報告入力!$A$7:$A$696,$S$2,報告入力!$B$7:$B$696,$A16)</f>
        <v>609</v>
      </c>
      <c r="O16" s="115" t="n">
        <f aca="false">SUMIFS(報告入力!$BE$7:$BE$696,報告入力!$A$7:$A$696,$S$2,報告入力!$B$7:$B$696,$A16)</f>
        <v>609</v>
      </c>
      <c r="P16" s="116" t="n">
        <f aca="false">SUM(N16:O16)</f>
        <v>1218</v>
      </c>
      <c r="R16" s="110" t="str">
        <f aca="false">IFERROR(INDEX(報告入力!$C$7:$C$696,MATCH($S$2&amp;"|"&amp;$A16,報告入力!$CG$7:$CG$696,0)),"")</f>
        <v>入金確認済</v>
      </c>
    </row>
    <row r="17" s="137" customFormat="true" ht="19.5" hidden="false" customHeight="true" outlineLevel="0" collapsed="false">
      <c r="A17" s="126" t="s">
        <v>171</v>
      </c>
      <c r="B17" s="127" t="n">
        <f aca="false">SUMIFS(報告入力!$AU$7:$AU$696,報告入力!$A$7:$A$696,$S$2,報告入力!$B$7:$B$696,$A17)</f>
        <v>0</v>
      </c>
      <c r="C17" s="128" t="n">
        <f aca="false">SUMIFS(報告入力!$AV$7:$AV$696,報告入力!$A$7:$A$696,$S$2,報告入力!$B$7:$B$696,$A17)</f>
        <v>0</v>
      </c>
      <c r="D17" s="129"/>
      <c r="E17" s="130"/>
      <c r="F17" s="131" t="n">
        <f aca="false">SUMIFS(報告入力!$AY$7:$AY$696,報告入力!$A$7:$A$696,$S$2,報告入力!$B$7:$B$696,$A17)</f>
        <v>0</v>
      </c>
      <c r="G17" s="132" t="n">
        <f aca="false">SUM(B17:F17)</f>
        <v>0</v>
      </c>
      <c r="H17" s="133" t="n">
        <f aca="false">SUMIFS(報告入力!$AZ$7:$AZ$696,報告入力!$A$7:$A$696,$S$2,報告入力!$B$7:$B$696,$A17)</f>
        <v>0</v>
      </c>
      <c r="I17" s="134" t="n">
        <f aca="false">SUMIFS(報告入力!$BA$7:$BA$696,報告入力!$A$7:$A$696,$S$2,報告入力!$B$7:$B$696,$A17)</f>
        <v>0</v>
      </c>
      <c r="J17" s="135" t="n">
        <f aca="false">SUM(H17:I17)</f>
        <v>0</v>
      </c>
      <c r="K17" s="136" t="n">
        <f aca="false">SUMIFS(報告入力!$BB$7:$BB$696,報告入力!$A$7:$A$696,$S$2,報告入力!$B$7:$B$696,$A17)</f>
        <v>0</v>
      </c>
      <c r="L17" s="134" t="n">
        <f aca="false">SUMIFS(報告入力!$BC$7:$BC$696,報告入力!$A$7:$A$696,$S$2,報告入力!$B$7:$B$696,$A17)</f>
        <v>0</v>
      </c>
      <c r="M17" s="135" t="n">
        <f aca="false">SUM(K17:L17)</f>
        <v>0</v>
      </c>
      <c r="N17" s="136" t="n">
        <f aca="false">SUMIFS(報告入力!$BD$7:$BD$696,報告入力!$A$7:$A$696,$S$2,報告入力!$B$7:$B$696,$A17)</f>
        <v>0</v>
      </c>
      <c r="O17" s="134" t="n">
        <f aca="false">SUMIFS(報告入力!$BE$7:$BE$696,報告入力!$A$7:$A$696,$S$2,報告入力!$B$7:$B$696,$A17)</f>
        <v>0</v>
      </c>
      <c r="P17" s="135" t="n">
        <f aca="false">SUM(N17:O17)</f>
        <v>0</v>
      </c>
      <c r="R17" s="137" t="str">
        <f aca="false">IFERROR(INDEX(報告入力!$C$7:$C$696,MATCH($S$2&amp;"|"&amp;$A17,報告入力!$CG$7:$CG$696,0)),"")</f>
        <v>入金確認済</v>
      </c>
    </row>
    <row r="18" s="137" customFormat="true" ht="19.5" hidden="false" customHeight="true" outlineLevel="0" collapsed="false">
      <c r="A18" s="138" t="s">
        <v>382</v>
      </c>
      <c r="B18" s="139"/>
      <c r="C18" s="140"/>
      <c r="D18" s="139"/>
      <c r="E18" s="141"/>
      <c r="F18" s="142"/>
      <c r="G18" s="143"/>
      <c r="H18" s="144"/>
      <c r="I18" s="145"/>
      <c r="J18" s="146"/>
      <c r="K18" s="147"/>
      <c r="L18" s="148"/>
      <c r="M18" s="148"/>
      <c r="N18" s="147"/>
      <c r="O18" s="148"/>
      <c r="P18" s="146"/>
    </row>
    <row r="19" s="137" customFormat="true" ht="19.5" hidden="false" customHeight="true" outlineLevel="0" collapsed="false">
      <c r="A19" s="149" t="s">
        <v>382</v>
      </c>
      <c r="B19" s="150"/>
      <c r="C19" s="151"/>
      <c r="D19" s="150"/>
      <c r="E19" s="152"/>
      <c r="F19" s="153"/>
      <c r="G19" s="154"/>
      <c r="H19" s="155"/>
      <c r="I19" s="152"/>
      <c r="J19" s="156"/>
      <c r="K19" s="157"/>
      <c r="L19" s="158"/>
      <c r="M19" s="158"/>
      <c r="N19" s="157"/>
      <c r="O19" s="158"/>
      <c r="P19" s="156"/>
    </row>
    <row r="20" s="137" customFormat="true" ht="19.5" hidden="false" customHeight="true" outlineLevel="0" collapsed="false">
      <c r="A20" s="149" t="s">
        <v>382</v>
      </c>
      <c r="B20" s="139"/>
      <c r="C20" s="140"/>
      <c r="D20" s="139"/>
      <c r="E20" s="141"/>
      <c r="F20" s="142"/>
      <c r="G20" s="143"/>
      <c r="H20" s="159"/>
      <c r="I20" s="141"/>
      <c r="J20" s="146"/>
      <c r="K20" s="160"/>
      <c r="L20" s="161"/>
      <c r="M20" s="161"/>
      <c r="N20" s="160"/>
      <c r="O20" s="161"/>
      <c r="P20" s="146"/>
    </row>
    <row r="21" s="137" customFormat="true" ht="19.5" hidden="false" customHeight="true" outlineLevel="0" collapsed="false">
      <c r="A21" s="162" t="s">
        <v>382</v>
      </c>
      <c r="B21" s="163"/>
      <c r="C21" s="164"/>
      <c r="D21" s="163"/>
      <c r="E21" s="165"/>
      <c r="F21" s="166"/>
      <c r="G21" s="167"/>
      <c r="H21" s="155"/>
      <c r="I21" s="168"/>
      <c r="J21" s="169"/>
      <c r="K21" s="157"/>
      <c r="L21" s="158"/>
      <c r="M21" s="170"/>
      <c r="N21" s="157"/>
      <c r="O21" s="158"/>
      <c r="P21" s="169"/>
    </row>
    <row r="22" s="137" customFormat="true" ht="19.5" hidden="false" customHeight="true" outlineLevel="0" collapsed="false">
      <c r="A22" s="171" t="s">
        <v>383</v>
      </c>
      <c r="B22" s="172" t="n">
        <f aca="false">SUM(B6:B21)</f>
        <v>360111698</v>
      </c>
      <c r="C22" s="173" t="n">
        <f aca="false">SUM(C6:C21)</f>
        <v>29563692</v>
      </c>
      <c r="D22" s="172" t="n">
        <f aca="false">SUM(D6:D21)</f>
        <v>516069981</v>
      </c>
      <c r="E22" s="174" t="n">
        <f aca="false">SUM(E6:E21)</f>
        <v>28917507</v>
      </c>
      <c r="F22" s="175" t="n">
        <f aca="false">SUM(F6:F21)</f>
        <v>346785</v>
      </c>
      <c r="G22" s="176" t="n">
        <f aca="false">SUM(B22:F22)</f>
        <v>935009663</v>
      </c>
      <c r="H22" s="173" t="n">
        <f aca="false">SUM(H6:H21)</f>
        <v>253083456</v>
      </c>
      <c r="I22" s="173" t="n">
        <f aca="false">SUM(I6:I21)</f>
        <v>252838750</v>
      </c>
      <c r="J22" s="175" t="n">
        <f aca="false">SUM(H22:I22)</f>
        <v>505922206</v>
      </c>
      <c r="K22" s="172" t="n">
        <f aca="false">SUM(K6:K21)</f>
        <v>23070740</v>
      </c>
      <c r="L22" s="173" t="n">
        <f aca="false">SUM(L6:L21)</f>
        <v>22599966</v>
      </c>
      <c r="M22" s="175" t="n">
        <f aca="false">SUM(K22:L22)</f>
        <v>45670706</v>
      </c>
      <c r="N22" s="172" t="n">
        <f aca="false">SUM(N6:N21)</f>
        <v>5596164</v>
      </c>
      <c r="O22" s="173" t="n">
        <f aca="false">SUM(O6:O21)</f>
        <v>5523335</v>
      </c>
      <c r="P22" s="175" t="n">
        <f aca="false">SUM(N22:O22)</f>
        <v>11119499</v>
      </c>
    </row>
    <row r="23" s="110" customFormat="true" ht="20.1" hidden="false" customHeight="true" outlineLevel="0" collapsed="false">
      <c r="A23" s="177" t="s">
        <v>172</v>
      </c>
      <c r="B23" s="178"/>
      <c r="C23" s="179"/>
      <c r="D23" s="178"/>
      <c r="E23" s="180"/>
      <c r="F23" s="179"/>
      <c r="G23" s="181" t="n">
        <f aca="false">SUM(B23:F23)</f>
        <v>0</v>
      </c>
      <c r="H23" s="182"/>
      <c r="I23" s="183"/>
      <c r="J23" s="135" t="n">
        <f aca="false">SUM(H23:I23)</f>
        <v>0</v>
      </c>
      <c r="K23" s="182"/>
      <c r="L23" s="183"/>
      <c r="M23" s="184" t="n">
        <f aca="false">SUM(K23:L23)</f>
        <v>0</v>
      </c>
      <c r="N23" s="182"/>
      <c r="O23" s="183"/>
      <c r="P23" s="184" t="n">
        <f aca="false">SUM(N23:O23)</f>
        <v>0</v>
      </c>
      <c r="R23" s="110" t="str">
        <f aca="false">IFERROR(INDEX(報告入力!$C$7:$C$696,MATCH($S$2&amp;"|"&amp;$A23,報告入力!$CG$7:$CG$696,0)),"")</f>
        <v>報告なし</v>
      </c>
    </row>
    <row r="24" s="110" customFormat="true" ht="20.1" hidden="false" customHeight="true" outlineLevel="0" collapsed="false">
      <c r="A24" s="100" t="s">
        <v>174</v>
      </c>
      <c r="B24" s="111" t="n">
        <f aca="false">SUMIFS(報告入力!$AU$7:$AU$696,報告入力!$A$7:$A$696,$S$2,報告入力!$B$7:$B$696,$A24)</f>
        <v>0</v>
      </c>
      <c r="C24" s="112" t="n">
        <f aca="false">SUMIFS(報告入力!$AV$7:$AV$696,報告入力!$A$7:$A$696,$S$2,報告入力!$B$7:$B$696,$A24)</f>
        <v>0</v>
      </c>
      <c r="D24" s="185" t="n">
        <f aca="false">SUMIFS(報告入力!$AW$7:$AW$696,報告入力!$A$7:$A$696,$S$2,報告入力!$B$7:$B$696,$A24)</f>
        <v>765855</v>
      </c>
      <c r="E24" s="118" t="n">
        <f aca="false">SUMIFS(報告入力!$AX$7:$AX$696,報告入力!$A$7:$A$696,$S$2,報告入力!$B$7:$B$696,$A24)</f>
        <v>62775</v>
      </c>
      <c r="F24" s="113" t="n">
        <f aca="false">SUMIFS(報告入力!$AY$7:$AY$696,報告入力!$A$7:$A$696,$S$2,報告入力!$B$7:$B$696,$A24)</f>
        <v>789</v>
      </c>
      <c r="G24" s="108" t="n">
        <f aca="false">SUM(B24:F24)</f>
        <v>829419</v>
      </c>
      <c r="H24" s="114" t="n">
        <f aca="false">SUMIFS(報告入力!$AZ$7:$AZ$696,報告入力!$A$7:$A$696,$S$2,報告入力!$B$7:$B$696,$A24)</f>
        <v>0</v>
      </c>
      <c r="I24" s="115" t="n">
        <f aca="false">SUMIFS(報告入力!$BA$7:$BA$696,報告入力!$A$7:$A$696,$S$2,報告入力!$B$7:$B$696,$A24)</f>
        <v>441236</v>
      </c>
      <c r="J24" s="116" t="n">
        <f aca="false">SUM(H24:I24)</f>
        <v>441236</v>
      </c>
      <c r="K24" s="114" t="n">
        <f aca="false">SUMIFS(報告入力!$BB$7:$BB$696,報告入力!$A$7:$A$696,$S$2,報告入力!$B$7:$B$696,$A24)</f>
        <v>0</v>
      </c>
      <c r="L24" s="115" t="n">
        <f aca="false">SUMIFS(報告入力!$BC$7:$BC$696,報告入力!$A$7:$A$696,$S$2,報告入力!$B$7:$B$696,$A24)</f>
        <v>54826</v>
      </c>
      <c r="M24" s="116" t="n">
        <f aca="false">SUM(K24:L24)</f>
        <v>54826</v>
      </c>
      <c r="N24" s="114" t="n">
        <f aca="false">SUMIFS(報告入力!$BD$7:$BD$696,報告入力!$A$7:$A$696,$S$2,報告入力!$B$7:$B$696,$A24)</f>
        <v>0</v>
      </c>
      <c r="O24" s="115" t="n">
        <f aca="false">SUMIFS(報告入力!$BE$7:$BE$696,報告入力!$A$7:$A$696,$S$2,報告入力!$B$7:$B$696,$A24)</f>
        <v>9775</v>
      </c>
      <c r="P24" s="116" t="n">
        <f aca="false">SUM(N24:O24)</f>
        <v>9775</v>
      </c>
      <c r="R24" s="110" t="str">
        <f aca="false">IFERROR(INDEX(報告入力!$C$7:$C$696,MATCH($S$2&amp;"|"&amp;$A24,報告入力!$CG$7:$CG$696,0)),"")</f>
        <v>入金確認済</v>
      </c>
    </row>
    <row r="25" s="110" customFormat="true" ht="20.1" hidden="false" customHeight="true" outlineLevel="0" collapsed="false">
      <c r="A25" s="100" t="s">
        <v>175</v>
      </c>
      <c r="B25" s="186"/>
      <c r="C25" s="187"/>
      <c r="D25" s="117" t="n">
        <f aca="false">SUMIFS(報告入力!$AW$7:$AW$696,報告入力!$A$7:$A$696,$S$2,報告入力!$B$7:$B$696,$A25)</f>
        <v>2045940</v>
      </c>
      <c r="E25" s="114" t="n">
        <f aca="false">SUMIFS(報告入力!$AX$7:$AX$696,報告入力!$A$7:$A$696,$S$2,報告入力!$B$7:$B$696,$A25)</f>
        <v>167700</v>
      </c>
      <c r="F25" s="113" t="n">
        <f aca="false">SUMIFS(報告入力!$AY$7:$AY$696,報告入力!$A$7:$A$696,$S$2,報告入力!$B$7:$B$696,$A25)</f>
        <v>1993</v>
      </c>
      <c r="G25" s="108" t="n">
        <f aca="false">SUM(B25:F25)</f>
        <v>2215633</v>
      </c>
      <c r="H25" s="188"/>
      <c r="I25" s="115" t="n">
        <f aca="false">SUMIFS(報告入力!$BA$7:$BA$696,報告入力!$A$7:$A$696,$S$2,報告入力!$B$7:$B$696,$A25)</f>
        <v>1308159</v>
      </c>
      <c r="J25" s="116" t="n">
        <f aca="false">SUM(H25:I25)</f>
        <v>1308159</v>
      </c>
      <c r="K25" s="188"/>
      <c r="L25" s="115" t="n">
        <f aca="false">SUMIFS(報告入力!$BC$7:$BC$696,報告入力!$A$7:$A$696,$S$2,報告入力!$B$7:$B$696,$A25)</f>
        <v>141726</v>
      </c>
      <c r="M25" s="116" t="n">
        <f aca="false">SUM(K25:L25)</f>
        <v>141726</v>
      </c>
      <c r="N25" s="188"/>
      <c r="O25" s="115" t="n">
        <f aca="false">SUMIFS(報告入力!$BE$7:$BE$696,報告入力!$A$7:$A$696,$S$2,報告入力!$B$7:$B$696,$A25)</f>
        <v>28976</v>
      </c>
      <c r="P25" s="116" t="n">
        <f aca="false">SUM(N25:O25)</f>
        <v>28976</v>
      </c>
      <c r="R25" s="110" t="str">
        <f aca="false">IFERROR(INDEX(報告入力!$C$7:$C$696,MATCH($S$2&amp;"|"&amp;$A25,報告入力!$CG$7:$CG$696,0)),"")</f>
        <v>入金確認済</v>
      </c>
    </row>
    <row r="26" s="110" customFormat="true" ht="20.1" hidden="false" customHeight="true" outlineLevel="0" collapsed="false">
      <c r="A26" s="100" t="s">
        <v>176</v>
      </c>
      <c r="B26" s="186"/>
      <c r="C26" s="187"/>
      <c r="D26" s="103" t="n">
        <f aca="false">SUMIFS(報告入力!$AW$7:$AW$696,報告入力!$A$7:$A$696,$S$2,報告入力!$B$7:$B$696,$A26)</f>
        <v>59475</v>
      </c>
      <c r="E26" s="114" t="n">
        <f aca="false">SUMIFS(報告入力!$AX$7:$AX$696,報告入力!$A$7:$A$696,$S$2,報告入力!$B$7:$B$696,$A26)</f>
        <v>4875</v>
      </c>
      <c r="F26" s="113" t="n">
        <f aca="false">SUMIFS(報告入力!$AY$7:$AY$696,報告入力!$A$7:$A$696,$S$2,報告入力!$B$7:$B$696,$A26)</f>
        <v>56</v>
      </c>
      <c r="G26" s="108" t="n">
        <f aca="false">SUM(B26:F26)</f>
        <v>64406</v>
      </c>
      <c r="H26" s="188"/>
      <c r="I26" s="115" t="n">
        <f aca="false">SUMIFS(報告入力!$BA$7:$BA$696,報告入力!$A$7:$A$696,$S$2,報告入力!$B$7:$B$696,$A26)</f>
        <v>36856</v>
      </c>
      <c r="J26" s="116" t="n">
        <f aca="false">SUM(H26:I26)</f>
        <v>36856</v>
      </c>
      <c r="K26" s="188"/>
      <c r="L26" s="115" t="n">
        <f aca="false">SUMIFS(報告入力!$BC$7:$BC$696,報告入力!$A$7:$A$696,$S$2,報告入力!$B$7:$B$696,$A26)</f>
        <v>5609</v>
      </c>
      <c r="M26" s="116" t="n">
        <f aca="false">SUM(K26:L26)</f>
        <v>5609</v>
      </c>
      <c r="N26" s="188"/>
      <c r="O26" s="115" t="n">
        <f aca="false">SUMIFS(報告入力!$BE$7:$BE$696,報告入力!$A$7:$A$696,$S$2,報告入力!$B$7:$B$696,$A26)</f>
        <v>816</v>
      </c>
      <c r="P26" s="116" t="n">
        <f aca="false">SUM(N26:O26)</f>
        <v>816</v>
      </c>
      <c r="R26" s="110" t="str">
        <f aca="false">IFERROR(INDEX(報告入力!$C$7:$C$696,MATCH($S$2&amp;"|"&amp;$A26,報告入力!$CG$7:$CG$696,0)),"")</f>
        <v>入金確認済</v>
      </c>
    </row>
    <row r="27" s="110" customFormat="true" ht="20.1" hidden="false" customHeight="true" outlineLevel="0" collapsed="false">
      <c r="A27" s="189" t="s">
        <v>177</v>
      </c>
      <c r="B27" s="186"/>
      <c r="C27" s="187"/>
      <c r="D27" s="103" t="n">
        <f aca="false">SUMIFS(報告入力!$AW$7:$AW$696,報告入力!$A$7:$A$696,$S$2,報告入力!$B$7:$B$696,$A27)</f>
        <v>417240</v>
      </c>
      <c r="E27" s="114" t="n">
        <f aca="false">SUMIFS(報告入力!$AX$7:$AX$696,報告入力!$A$7:$A$696,$S$2,報告入力!$B$7:$B$696,$A27)</f>
        <v>34200</v>
      </c>
      <c r="F27" s="113" t="n">
        <f aca="false">SUMIFS(報告入力!$AY$7:$AY$696,報告入力!$A$7:$A$696,$S$2,報告入力!$B$7:$B$696,$A27)</f>
        <v>395</v>
      </c>
      <c r="G27" s="108" t="n">
        <f aca="false">SUM(B27:F27)</f>
        <v>451835</v>
      </c>
      <c r="H27" s="188"/>
      <c r="I27" s="115" t="n">
        <f aca="false">SUMIFS(報告入力!$BA$7:$BA$696,報告入力!$A$7:$A$696,$S$2,報告入力!$B$7:$B$696,$A27)</f>
        <v>236708</v>
      </c>
      <c r="J27" s="116" t="n">
        <f aca="false">SUM(H27:I27)</f>
        <v>236708</v>
      </c>
      <c r="K27" s="188"/>
      <c r="L27" s="115" t="n">
        <f aca="false">SUMIFS(報告入力!$BC$7:$BC$696,報告入力!$A$7:$A$696,$S$2,報告入力!$B$7:$B$696,$A27)</f>
        <v>30968</v>
      </c>
      <c r="M27" s="116" t="n">
        <f aca="false">SUM(K27:L27)</f>
        <v>30968</v>
      </c>
      <c r="N27" s="188"/>
      <c r="O27" s="115" t="n">
        <f aca="false">SUMIFS(報告入力!$BE$7:$BE$696,報告入力!$A$7:$A$696,$S$2,報告入力!$B$7:$B$696,$A27)</f>
        <v>5243</v>
      </c>
      <c r="P27" s="116" t="n">
        <f aca="false">SUM(N27:O27)</f>
        <v>5243</v>
      </c>
      <c r="R27" s="110" t="str">
        <f aca="false">IFERROR(INDEX(報告入力!$C$7:$C$696,MATCH($S$2&amp;"|"&amp;$A27,報告入力!$CG$7:$CG$696,0)),"")</f>
        <v>入金確認済</v>
      </c>
    </row>
    <row r="28" s="110" customFormat="true" ht="20.1" hidden="false" customHeight="true" outlineLevel="0" collapsed="false">
      <c r="A28" s="121" t="s">
        <v>178</v>
      </c>
      <c r="B28" s="129"/>
      <c r="C28" s="131"/>
      <c r="D28" s="103" t="n">
        <f aca="false">SUMIFS(報告入力!$AW$7:$AW$696,報告入力!$A$7:$A$696,$S$2,報告入力!$B$7:$B$696,$A28)</f>
        <v>40260</v>
      </c>
      <c r="E28" s="114" t="n">
        <f aca="false">SUMIFS(報告入力!$AX$7:$AX$696,報告入力!$A$7:$A$696,$S$2,報告入力!$B$7:$B$696,$A28)</f>
        <v>3300</v>
      </c>
      <c r="F28" s="123" t="n">
        <f aca="false">SUMIFS(報告入力!$AY$7:$AY$696,報告入力!$A$7:$A$696,$S$2,報告入力!$B$7:$B$696,$A28)</f>
        <v>38</v>
      </c>
      <c r="G28" s="112" t="n">
        <f aca="false">SUM(B28:F28)</f>
        <v>43598</v>
      </c>
      <c r="H28" s="190"/>
      <c r="I28" s="125" t="n">
        <f aca="false">SUMIFS(報告入力!$BA$7:$BA$696,報告入力!$A$7:$A$696,$S$2,報告入力!$B$7:$B$696,$A28)</f>
        <v>22840</v>
      </c>
      <c r="J28" s="113" t="n">
        <f aca="false">SUM(H28:I28)</f>
        <v>22840</v>
      </c>
      <c r="K28" s="190"/>
      <c r="L28" s="125" t="n">
        <f aca="false">SUMIFS(報告入力!$BC$7:$BC$696,報告入力!$A$7:$A$696,$S$2,報告入力!$B$7:$B$696,$A28)</f>
        <v>3476</v>
      </c>
      <c r="M28" s="113" t="n">
        <f aca="false">SUM(K28:L28)</f>
        <v>3476</v>
      </c>
      <c r="N28" s="190"/>
      <c r="O28" s="125" t="n">
        <f aca="false">SUMIFS(報告入力!$BE$7:$BE$696,報告入力!$A$7:$A$696,$S$2,報告入力!$B$7:$B$696,$A28)</f>
        <v>506</v>
      </c>
      <c r="P28" s="116" t="n">
        <f aca="false">SUM(N28:O28)</f>
        <v>506</v>
      </c>
      <c r="R28" s="110" t="str">
        <f aca="false">IFERROR(INDEX(報告入力!$C$7:$C$696,MATCH($S$2&amp;"|"&amp;$A28,報告入力!$CG$7:$CG$696,0)),"")</f>
        <v>入金確認済</v>
      </c>
    </row>
    <row r="29" s="110" customFormat="true" ht="20.1" hidden="false" customHeight="true" outlineLevel="0" collapsed="false">
      <c r="A29" s="121" t="s">
        <v>179</v>
      </c>
      <c r="B29" s="186"/>
      <c r="C29" s="191"/>
      <c r="D29" s="117" t="n">
        <f aca="false">SUMIFS(報告入力!$AW$7:$AW$696,報告入力!$A$7:$A$696,$S$2,報告入力!$B$7:$B$696,$A29)</f>
        <v>0</v>
      </c>
      <c r="E29" s="114" t="n">
        <f aca="false">SUMIFS(報告入力!$AX$7:$AX$696,報告入力!$A$7:$A$696,$S$2,報告入力!$B$7:$B$696,$A29)</f>
        <v>0</v>
      </c>
      <c r="F29" s="113" t="n">
        <f aca="false">SUMIFS(報告入力!$AY$7:$AY$696,報告入力!$A$7:$A$696,$S$2,報告入力!$B$7:$B$696,$A29)</f>
        <v>0</v>
      </c>
      <c r="G29" s="108" t="n">
        <f aca="false">SUM(B29:F29)</f>
        <v>0</v>
      </c>
      <c r="H29" s="188"/>
      <c r="I29" s="115" t="n">
        <f aca="false">SUMIFS(報告入力!$BA$7:$BA$696,報告入力!$A$7:$A$696,$S$2,報告入力!$B$7:$B$696,$A29)</f>
        <v>0</v>
      </c>
      <c r="J29" s="116" t="n">
        <f aca="false">SUM(H29:I29)</f>
        <v>0</v>
      </c>
      <c r="K29" s="188"/>
      <c r="L29" s="115" t="n">
        <f aca="false">SUMIFS(報告入力!$BC$7:$BC$696,報告入力!$A$7:$A$696,$S$2,報告入力!$B$7:$B$696,$A29)</f>
        <v>0</v>
      </c>
      <c r="M29" s="116" t="n">
        <f aca="false">SUM(K29:L29)</f>
        <v>0</v>
      </c>
      <c r="N29" s="188"/>
      <c r="O29" s="115" t="n">
        <f aca="false">SUMIFS(報告入力!$BE$7:$BE$696,報告入力!$A$7:$A$696,$S$2,報告入力!$B$7:$B$696,$A29)</f>
        <v>0</v>
      </c>
      <c r="P29" s="116" t="n">
        <f aca="false">SUM(N29:O29)</f>
        <v>0</v>
      </c>
      <c r="R29" s="110" t="str">
        <f aca="false">IFERROR(INDEX(報告入力!$C$7:$C$696,MATCH($S$2&amp;"|"&amp;$A29,報告入力!$CG$7:$CG$696,0)),"")</f>
        <v>入金確認済</v>
      </c>
    </row>
    <row r="30" s="110" customFormat="true" ht="20.1" hidden="false" customHeight="true" outlineLevel="0" collapsed="false">
      <c r="A30" s="192" t="s">
        <v>180</v>
      </c>
      <c r="B30" s="186"/>
      <c r="C30" s="193"/>
      <c r="D30" s="111" t="n">
        <f aca="false">SUMIFS(報告入力!$AW$7:$AW$696,報告入力!$A$7:$A$696,$S$2,報告入力!$B$7:$B$696,$A30)</f>
        <v>193065</v>
      </c>
      <c r="E30" s="114" t="n">
        <f aca="false">SUMIFS(報告入力!$AX$7:$AX$696,報告入力!$A$7:$A$696,$S$2,報告入力!$B$7:$B$696,$A30)</f>
        <v>15825</v>
      </c>
      <c r="F30" s="113" t="n">
        <f aca="false">SUMIFS(報告入力!$AY$7:$AY$696,報告入力!$A$7:$A$696,$S$2,報告入力!$B$7:$B$696,$A30)</f>
        <v>183</v>
      </c>
      <c r="G30" s="108" t="n">
        <f aca="false">SUM(B30:F30)</f>
        <v>209073</v>
      </c>
      <c r="H30" s="188"/>
      <c r="I30" s="115" t="n">
        <f aca="false">SUMIFS(報告入力!$BA$7:$BA$696,報告入力!$A$7:$A$696,$S$2,報告入力!$B$7:$B$696,$A30)</f>
        <v>109530</v>
      </c>
      <c r="J30" s="116" t="n">
        <f aca="false">SUM(H30:I30)</f>
        <v>109530</v>
      </c>
      <c r="K30" s="188"/>
      <c r="L30" s="115" t="n">
        <f aca="false">SUMIFS(報告入力!$BC$7:$BC$696,報告入力!$A$7:$A$696,$S$2,報告入力!$B$7:$B$696,$A30)</f>
        <v>12956</v>
      </c>
      <c r="M30" s="116" t="n">
        <f aca="false">SUM(K30:L30)</f>
        <v>12956</v>
      </c>
      <c r="N30" s="188"/>
      <c r="O30" s="115" t="n">
        <f aca="false">SUMIFS(報告入力!$BE$7:$BE$696,報告入力!$A$7:$A$696,$S$2,報告入力!$B$7:$B$696,$A30)</f>
        <v>2426</v>
      </c>
      <c r="P30" s="116" t="n">
        <f aca="false">SUM(N30:O30)</f>
        <v>2426</v>
      </c>
      <c r="R30" s="110" t="str">
        <f aca="false">IFERROR(INDEX(報告入力!$C$7:$C$696,MATCH($S$2&amp;"|"&amp;$A30,報告入力!$CG$7:$CG$696,0)),"")</f>
        <v>入金確認済</v>
      </c>
    </row>
    <row r="31" s="110" customFormat="true" ht="20.1" hidden="false" customHeight="true" outlineLevel="0" collapsed="false">
      <c r="A31" s="100" t="s">
        <v>181</v>
      </c>
      <c r="B31" s="117" t="n">
        <f aca="false">SUMIFS(報告入力!$AU$7:$AU$696,報告入力!$A$7:$A$696,$S$2,報告入力!$B$7:$B$696,$A31)</f>
        <v>235155</v>
      </c>
      <c r="C31" s="113" t="n">
        <f aca="false">SUMIFS(報告入力!$AV$7:$AV$696,報告入力!$A$7:$A$696,$S$2,報告入力!$B$7:$B$696,$A31)</f>
        <v>19275</v>
      </c>
      <c r="D31" s="111" t="n">
        <f aca="false">SUMIFS(報告入力!$AW$7:$AW$696,報告入力!$A$7:$A$696,$S$2,報告入力!$B$7:$B$696,$A31)</f>
        <v>235155</v>
      </c>
      <c r="E31" s="114" t="n">
        <f aca="false">SUMIFS(報告入力!$AX$7:$AX$696,報告入力!$A$7:$A$696,$S$2,報告入力!$B$7:$B$696,$A31)</f>
        <v>19275</v>
      </c>
      <c r="F31" s="113" t="n">
        <f aca="false">SUMIFS(報告入力!$AY$7:$AY$696,報告入力!$A$7:$A$696,$S$2,報告入力!$B$7:$B$696,$A31)</f>
        <v>223</v>
      </c>
      <c r="G31" s="108" t="n">
        <f aca="false">SUM(B31:F31)</f>
        <v>509083</v>
      </c>
      <c r="H31" s="114" t="n">
        <f aca="false">SUMIFS(報告入力!$AZ$7:$AZ$696,報告入力!$A$7:$A$696,$S$2,報告入力!$B$7:$B$696,$A31)</f>
        <v>134834</v>
      </c>
      <c r="I31" s="115" t="n">
        <f aca="false">SUMIFS(報告入力!$BA$7:$BA$696,報告入力!$A$7:$A$696,$S$2,報告入力!$B$7:$B$696,$A31)</f>
        <v>134966</v>
      </c>
      <c r="J31" s="116" t="n">
        <f aca="false">SUM(H31:I31)</f>
        <v>269800</v>
      </c>
      <c r="K31" s="114" t="n">
        <f aca="false">SUMIFS(報告入力!$BB$7:$BB$696,報告入力!$A$7:$A$696,$S$2,報告入力!$B$7:$B$696,$A31)</f>
        <v>10270</v>
      </c>
      <c r="L31" s="115" t="n">
        <f aca="false">SUMIFS(報告入力!$BC$7:$BC$696,報告入力!$A$7:$A$696,$S$2,報告入力!$B$7:$B$696,$A31)</f>
        <v>10270</v>
      </c>
      <c r="M31" s="116" t="n">
        <f aca="false">SUM(K31:L31)</f>
        <v>20540</v>
      </c>
      <c r="N31" s="114" t="n">
        <f aca="false">SUMIFS(報告入力!$BD$7:$BD$696,報告入力!$A$7:$A$696,$S$2,報告入力!$B$7:$B$696,$A31)</f>
        <v>2989</v>
      </c>
      <c r="O31" s="115" t="n">
        <f aca="false">SUMIFS(報告入力!$BE$7:$BE$696,報告入力!$A$7:$A$696,$S$2,報告入力!$B$7:$B$696,$A31)</f>
        <v>2990</v>
      </c>
      <c r="P31" s="116" t="n">
        <f aca="false">SUM(N31:O31)</f>
        <v>5979</v>
      </c>
      <c r="R31" s="110" t="str">
        <f aca="false">IFERROR(INDEX(報告入力!$C$7:$C$696,MATCH($S$2&amp;"|"&amp;$A31,報告入力!$CG$7:$CG$696,0)),"")</f>
        <v>入金確認済</v>
      </c>
    </row>
    <row r="32" s="110" customFormat="true" ht="20.1" hidden="false" customHeight="true" outlineLevel="0" collapsed="false">
      <c r="A32" s="194" t="s">
        <v>182</v>
      </c>
      <c r="B32" s="117" t="n">
        <f aca="false">SUMIFS(報告入力!$AU$7:$AU$696,報告入力!$A$7:$A$696,$S$2,報告入力!$B$7:$B$696,$A32)</f>
        <v>40260</v>
      </c>
      <c r="C32" s="113" t="n">
        <f aca="false">SUMIFS(報告入力!$AV$7:$AV$696,報告入力!$A$7:$A$696,$S$2,報告入力!$B$7:$B$696,$A32)</f>
        <v>3300</v>
      </c>
      <c r="D32" s="111" t="n">
        <f aca="false">SUMIFS(報告入力!$AW$7:$AW$696,報告入力!$A$7:$A$696,$S$2,報告入力!$B$7:$B$696,$A32)</f>
        <v>40260</v>
      </c>
      <c r="E32" s="114" t="n">
        <f aca="false">SUMIFS(報告入力!$AX$7:$AX$696,報告入力!$A$7:$A$696,$S$2,報告入力!$B$7:$B$696,$A32)</f>
        <v>3300</v>
      </c>
      <c r="F32" s="113" t="n">
        <f aca="false">SUMIFS(報告入力!$AY$7:$AY$696,報告入力!$A$7:$A$696,$S$2,報告入力!$B$7:$B$696,$A32)</f>
        <v>38</v>
      </c>
      <c r="G32" s="119" t="n">
        <f aca="false">SUM(B32:F32)</f>
        <v>87158</v>
      </c>
      <c r="H32" s="114" t="n">
        <f aca="false">SUMIFS(報告入力!$AZ$7:$AZ$696,報告入力!$A$7:$A$696,$S$2,報告入力!$B$7:$B$696,$A32)</f>
        <v>22818</v>
      </c>
      <c r="I32" s="115" t="n">
        <f aca="false">SUMIFS(報告入力!$BA$7:$BA$696,報告入力!$A$7:$A$696,$S$2,報告入力!$B$7:$B$696,$A32)</f>
        <v>22840</v>
      </c>
      <c r="J32" s="116" t="n">
        <f aca="false">SUM(H32:I32)</f>
        <v>45658</v>
      </c>
      <c r="K32" s="190" t="n">
        <f aca="false">SUMIFS(報告入力!$BB$7:$BB$696,報告入力!$A$7:$A$696,$S$2,報告入力!$B$7:$B$696,$A32)</f>
        <v>0</v>
      </c>
      <c r="L32" s="195" t="n">
        <f aca="false">SUMIFS(報告入力!$BC$7:$BC$696,報告入力!$A$7:$A$696,$S$2,報告入力!$B$7:$B$696,$A32)</f>
        <v>0</v>
      </c>
      <c r="M32" s="196" t="n">
        <f aca="false">SUM(K32:L32)</f>
        <v>0</v>
      </c>
      <c r="N32" s="114" t="n">
        <f aca="false">SUMIFS(報告入力!$BD$7:$BD$696,報告入力!$A$7:$A$696,$S$2,報告入力!$B$7:$B$696,$A32)</f>
        <v>506</v>
      </c>
      <c r="O32" s="115" t="n">
        <f aca="false">SUMIFS(報告入力!$BE$7:$BE$696,報告入力!$A$7:$A$696,$S$2,報告入力!$B$7:$B$696,$A32)</f>
        <v>506</v>
      </c>
      <c r="P32" s="116" t="n">
        <f aca="false">SUM(N32:O32)</f>
        <v>1012</v>
      </c>
      <c r="R32" s="110" t="str">
        <f aca="false">IFERROR(INDEX(報告入力!$C$7:$C$696,MATCH($S$2&amp;"|"&amp;$A32,報告入力!$CG$7:$CG$696,0)),"")</f>
        <v>入金確認済</v>
      </c>
    </row>
    <row r="33" s="110" customFormat="true" ht="20.1" hidden="false" customHeight="true" outlineLevel="0" collapsed="false">
      <c r="A33" s="197" t="s">
        <v>183</v>
      </c>
      <c r="B33" s="111" t="n">
        <f aca="false">SUMIFS(報告入力!$AU$7:$AU$696,報告入力!$A$7:$A$696,$S$2,報告入力!$B$7:$B$696,$A33)</f>
        <v>107970</v>
      </c>
      <c r="C33" s="113" t="n">
        <f aca="false">SUMIFS(報告入力!$AV$7:$AV$696,報告入力!$A$7:$A$696,$S$2,報告入力!$B$7:$B$696,$A33)</f>
        <v>8850</v>
      </c>
      <c r="D33" s="111" t="n">
        <f aca="false">SUMIFS(報告入力!$AW$7:$AW$696,報告入力!$A$7:$A$696,$S$2,報告入力!$B$7:$B$696,$A33)</f>
        <v>107970</v>
      </c>
      <c r="E33" s="114" t="n">
        <f aca="false">SUMIFS(報告入力!$AX$7:$AX$696,報告入力!$A$7:$A$696,$S$2,報告入力!$B$7:$B$696,$A33)</f>
        <v>8850</v>
      </c>
      <c r="F33" s="113" t="n">
        <f aca="false">SUMIFS(報告入力!$AY$7:$AY$696,報告入力!$A$7:$A$696,$S$2,報告入力!$B$7:$B$696,$A33)</f>
        <v>102</v>
      </c>
      <c r="G33" s="108" t="n">
        <f aca="false">SUM(B33:F33)</f>
        <v>233742</v>
      </c>
      <c r="H33" s="114" t="n">
        <f aca="false">SUMIFS(報告入力!$AZ$7:$AZ$696,報告入力!$A$7:$A$696,$S$2,報告入力!$B$7:$B$696,$A33)</f>
        <v>61194</v>
      </c>
      <c r="I33" s="115" t="n">
        <f aca="false">SUMIFS(報告入力!$BA$7:$BA$696,報告入力!$A$7:$A$696,$S$2,報告入力!$B$7:$B$696,$A33)</f>
        <v>61253</v>
      </c>
      <c r="J33" s="116" t="n">
        <f aca="false">SUM(H33:I33)</f>
        <v>122447</v>
      </c>
      <c r="K33" s="114" t="n">
        <f aca="false">SUMIFS(報告入力!$BB$7:$BB$696,報告入力!$A$7:$A$696,$S$2,報告入力!$B$7:$B$696,$A33)</f>
        <v>9322</v>
      </c>
      <c r="L33" s="115" t="n">
        <f aca="false">SUMIFS(報告入力!$BC$7:$BC$696,報告入力!$A$7:$A$696,$S$2,報告入力!$B$7:$B$696,$A33)</f>
        <v>9322</v>
      </c>
      <c r="M33" s="116" t="n">
        <f aca="false">SUM(K33:L33)</f>
        <v>18644</v>
      </c>
      <c r="N33" s="114" t="n">
        <f aca="false">SUMIFS(報告入力!$BD$7:$BD$696,報告入力!$A$7:$A$696,$S$2,報告入力!$B$7:$B$696,$A33)</f>
        <v>1356</v>
      </c>
      <c r="O33" s="115" t="n">
        <f aca="false">SUMIFS(報告入力!$BE$7:$BE$696,報告入力!$A$7:$A$696,$S$2,報告入力!$B$7:$B$696,$A33)</f>
        <v>1357</v>
      </c>
      <c r="P33" s="116" t="n">
        <f aca="false">SUM(N33:O33)</f>
        <v>2713</v>
      </c>
      <c r="R33" s="110" t="str">
        <f aca="false">IFERROR(INDEX(報告入力!$C$7:$C$696,MATCH($S$2&amp;"|"&amp;$A33,報告入力!$CG$7:$CG$696,0)),"")</f>
        <v>入金確認済</v>
      </c>
    </row>
    <row r="34" s="110" customFormat="true" ht="20.1" hidden="false" customHeight="true" outlineLevel="0" collapsed="false">
      <c r="A34" s="100" t="s">
        <v>184</v>
      </c>
      <c r="B34" s="185" t="n">
        <f aca="false">SUMIFS(報告入力!$AU$7:$AU$696,報告入力!$A$7:$A$696,$S$2,報告入力!$B$7:$B$696,$A34)</f>
        <v>784155</v>
      </c>
      <c r="C34" s="123" t="n">
        <f aca="false">SUMIFS(報告入力!$AV$7:$AV$696,報告入力!$A$7:$A$696,$S$2,報告入力!$B$7:$B$696,$A34)</f>
        <v>64275</v>
      </c>
      <c r="D34" s="185" t="n">
        <f aca="false">SUMIFS(報告入力!$AW$7:$AW$696,報告入力!$A$7:$A$696,$S$2,報告入力!$B$7:$B$696,$A34)</f>
        <v>784155</v>
      </c>
      <c r="E34" s="198" t="n">
        <f aca="false">SUMIFS(報告入力!$AX$7:$AX$696,報告入力!$A$7:$A$696,$S$2,報告入力!$B$7:$B$696,$A34)</f>
        <v>64275</v>
      </c>
      <c r="F34" s="199" t="n">
        <f aca="false">SUMIFS(報告入力!$AY$7:$AY$696,報告入力!$A$7:$A$696,$S$2,報告入力!$B$7:$B$696,$A34)</f>
        <v>804</v>
      </c>
      <c r="G34" s="108" t="n">
        <f aca="false">SUM(B34:F34)</f>
        <v>1697664</v>
      </c>
      <c r="H34" s="198" t="n">
        <f aca="false">SUMIFS(報告入力!$AZ$7:$AZ$696,報告入力!$A$7:$A$696,$S$2,報告入力!$B$7:$B$696,$A34)</f>
        <v>444434</v>
      </c>
      <c r="I34" s="200" t="n">
        <f aca="false">SUMIFS(報告入力!$BA$7:$BA$696,報告入力!$A$7:$A$696,$S$2,報告入力!$B$7:$B$696,$A34)</f>
        <v>444868</v>
      </c>
      <c r="J34" s="116" t="n">
        <f aca="false">SUM(H34:I34)</f>
        <v>889302</v>
      </c>
      <c r="K34" s="198" t="n">
        <f aca="false">SUMIFS(報告入力!$BB$7:$BB$696,報告入力!$A$7:$A$696,$S$2,報告入力!$B$7:$B$696,$A34)</f>
        <v>39342</v>
      </c>
      <c r="L34" s="200" t="n">
        <f aca="false">SUMIFS(報告入力!$BC$7:$BC$696,報告入力!$A$7:$A$696,$S$2,報告入力!$B$7:$B$696,$A34)</f>
        <v>39342</v>
      </c>
      <c r="M34" s="116" t="n">
        <f aca="false">SUM(K34:L34)</f>
        <v>78684</v>
      </c>
      <c r="N34" s="198" t="n">
        <f aca="false">SUMIFS(報告入力!$BD$7:$BD$696,報告入力!$A$7:$A$696,$S$2,報告入力!$B$7:$B$696,$A34)</f>
        <v>9851</v>
      </c>
      <c r="O34" s="200" t="n">
        <f aca="false">SUMIFS(報告入力!$BE$7:$BE$696,報告入力!$A$7:$A$696,$S$2,報告入力!$B$7:$B$696,$A34)</f>
        <v>9855</v>
      </c>
      <c r="P34" s="116" t="n">
        <f aca="false">SUM(N34:O34)</f>
        <v>19706</v>
      </c>
      <c r="R34" s="110" t="str">
        <f aca="false">IFERROR(INDEX(報告入力!$C$7:$C$696,MATCH($S$2&amp;"|"&amp;$A34,報告入力!$CG$7:$CG$696,0)),"")</f>
        <v>入金確認済</v>
      </c>
    </row>
    <row r="35" s="110" customFormat="true" ht="20.1" hidden="false" customHeight="true" outlineLevel="0" collapsed="false">
      <c r="A35" s="100" t="s">
        <v>185</v>
      </c>
      <c r="B35" s="201"/>
      <c r="C35" s="191"/>
      <c r="D35" s="117" t="n">
        <f aca="false">SUMIFS(報告入力!$AW$7:$AW$696,報告入力!$A$7:$A$696,$S$2,報告入力!$B$7:$B$696,$A35)</f>
        <v>602070</v>
      </c>
      <c r="E35" s="124" t="n">
        <f aca="false">SUMIFS(報告入力!$AX$7:$AX$696,報告入力!$A$7:$A$696,$S$2,報告入力!$B$7:$B$696,$A35)</f>
        <v>49350</v>
      </c>
      <c r="F35" s="123" t="n">
        <f aca="false">SUMIFS(報告入力!$AY$7:$AY$696,報告入力!$A$7:$A$696,$S$2,報告入力!$B$7:$B$696,$A35)</f>
        <v>598</v>
      </c>
      <c r="G35" s="108" t="n">
        <f aca="false">SUM(B35:F35)</f>
        <v>652018</v>
      </c>
      <c r="H35" s="202"/>
      <c r="I35" s="125" t="n">
        <f aca="false">SUMIFS(報告入力!$BA$7:$BA$696,報告入力!$A$7:$A$696,$S$2,報告入力!$B$7:$B$696,$A35)</f>
        <v>341582</v>
      </c>
      <c r="J35" s="116" t="n">
        <f aca="false">SUM(H35:I35)</f>
        <v>341582</v>
      </c>
      <c r="K35" s="202"/>
      <c r="L35" s="125" t="n">
        <f aca="false">SUMIFS(報告入力!$BC$7:$BC$696,報告入力!$A$7:$A$696,$S$2,報告入力!$B$7:$B$696,$A35)</f>
        <v>28203</v>
      </c>
      <c r="M35" s="116" t="n">
        <f aca="false">SUM(K35:L35)</f>
        <v>28203</v>
      </c>
      <c r="N35" s="202"/>
      <c r="O35" s="125" t="n">
        <f aca="false">SUMIFS(報告入力!$BE$7:$BE$696,報告入力!$A$7:$A$696,$S$2,報告入力!$B$7:$B$696,$A35)</f>
        <v>7565</v>
      </c>
      <c r="P35" s="116" t="n">
        <f aca="false">SUM(N35:O35)</f>
        <v>7565</v>
      </c>
      <c r="R35" s="110" t="str">
        <f aca="false">IFERROR(INDEX(報告入力!$C$7:$C$696,MATCH($S$2&amp;"|"&amp;$A35,報告入力!$CG$7:$CG$696,0)),"")</f>
        <v>入金確認済</v>
      </c>
    </row>
    <row r="36" s="110" customFormat="true" ht="20.1" hidden="false" customHeight="true" outlineLevel="0" collapsed="false">
      <c r="A36" s="203" t="s">
        <v>186</v>
      </c>
      <c r="B36" s="186"/>
      <c r="C36" s="193"/>
      <c r="D36" s="111" t="n">
        <f aca="false">SUMIFS(報告入力!$AW$7:$AW$696,報告入力!$A$7:$A$696,$S$2,報告入力!$B$7:$B$696,$A36)</f>
        <v>1056825</v>
      </c>
      <c r="E36" s="114" t="n">
        <f aca="false">SUMIFS(報告入力!$AX$7:$AX$696,報告入力!$A$7:$A$696,$S$2,報告入力!$B$7:$B$696,$A36)</f>
        <v>86625</v>
      </c>
      <c r="F36" s="123" t="n">
        <f aca="false">SUMIFS(報告入力!$AY$7:$AY$696,報告入力!$A$7:$A$696,$S$2,報告入力!$B$7:$B$696,$A36)</f>
        <v>1000</v>
      </c>
      <c r="G36" s="108" t="n">
        <f aca="false">SUM(B36:F36)</f>
        <v>1144450</v>
      </c>
      <c r="H36" s="188"/>
      <c r="I36" s="125" t="n">
        <f aca="false">SUMIFS(報告入力!$BA$7:$BA$696,報告入力!$A$7:$A$696,$S$2,報告入力!$B$7:$B$696,$A36)</f>
        <v>602672</v>
      </c>
      <c r="J36" s="116" t="n">
        <f aca="false">SUM(H36:I36)</f>
        <v>602672</v>
      </c>
      <c r="K36" s="188"/>
      <c r="L36" s="125" t="n">
        <f aca="false">SUMIFS(報告入力!$BC$7:$BC$696,報告入力!$A$7:$A$696,$S$2,報告入力!$B$7:$B$696,$A36)</f>
        <v>86347</v>
      </c>
      <c r="M36" s="116" t="n">
        <f aca="false">SUM(K36:L36)</f>
        <v>86347</v>
      </c>
      <c r="N36" s="188"/>
      <c r="O36" s="125" t="n">
        <f aca="false">SUMIFS(報告入力!$BE$7:$BE$696,報告入力!$A$7:$A$696,$S$2,報告入力!$B$7:$B$696,$A36)</f>
        <v>13350</v>
      </c>
      <c r="P36" s="116" t="n">
        <f aca="false">SUM(N36:O36)</f>
        <v>13350</v>
      </c>
      <c r="R36" s="110" t="str">
        <f aca="false">IFERROR(INDEX(報告入力!$C$7:$C$696,MATCH($S$2&amp;"|"&amp;$A36,報告入力!$CG$7:$CG$696,0)),"")</f>
        <v>入金確認済</v>
      </c>
    </row>
    <row r="37" s="110" customFormat="true" ht="20.1" hidden="false" customHeight="true" outlineLevel="0" collapsed="false">
      <c r="A37" s="204" t="s">
        <v>187</v>
      </c>
      <c r="B37" s="186"/>
      <c r="C37" s="193"/>
      <c r="D37" s="111" t="n">
        <f aca="false">SUMIFS(報告入力!$AW$7:$AW$696,報告入力!$A$7:$A$696,$S$2,報告入力!$B$7:$B$696,$A37)</f>
        <v>0</v>
      </c>
      <c r="E37" s="114" t="n">
        <f aca="false">SUMIFS(報告入力!$AX$7:$AX$696,報告入力!$A$7:$A$696,$S$2,報告入力!$B$7:$B$696,$A37)</f>
        <v>0</v>
      </c>
      <c r="F37" s="123" t="n">
        <f aca="false">SUMIFS(報告入力!$AY$7:$AY$696,報告入力!$A$7:$A$696,$S$2,報告入力!$B$7:$B$696,$A37)</f>
        <v>0</v>
      </c>
      <c r="G37" s="108" t="n">
        <f aca="false">SUM(B37:F37)</f>
        <v>0</v>
      </c>
      <c r="H37" s="188"/>
      <c r="I37" s="125" t="n">
        <f aca="false">SUMIFS(報告入力!$BA$7:$BA$696,報告入力!$A$7:$A$696,$S$2,報告入力!$B$7:$B$696,$A37)</f>
        <v>0</v>
      </c>
      <c r="J37" s="116" t="n">
        <f aca="false">SUM(H37:I37)</f>
        <v>0</v>
      </c>
      <c r="K37" s="188"/>
      <c r="L37" s="125" t="n">
        <f aca="false">SUMIFS(報告入力!$BC$7:$BC$696,報告入力!$A$7:$A$696,$S$2,報告入力!$B$7:$B$696,$A37)</f>
        <v>0</v>
      </c>
      <c r="M37" s="116" t="n">
        <f aca="false">SUM(K37:L37)</f>
        <v>0</v>
      </c>
      <c r="N37" s="188"/>
      <c r="O37" s="125" t="n">
        <f aca="false">SUMIFS(報告入力!$BE$7:$BE$696,報告入力!$A$7:$A$696,$S$2,報告入力!$B$7:$B$696,$A37)</f>
        <v>0</v>
      </c>
      <c r="P37" s="116" t="n">
        <f aca="false">SUM(N37:O37)</f>
        <v>0</v>
      </c>
      <c r="R37" s="110" t="str">
        <f aca="false">IFERROR(INDEX(報告入力!$C$7:$C$696,MATCH($S$2&amp;"|"&amp;$A37,報告入力!$CG$7:$CG$696,0)),"")</f>
        <v>入金確認済</v>
      </c>
    </row>
    <row r="38" s="110" customFormat="true" ht="20.1" hidden="false" customHeight="true" outlineLevel="0" collapsed="false">
      <c r="A38" s="100" t="s">
        <v>188</v>
      </c>
      <c r="B38" s="186"/>
      <c r="C38" s="193"/>
      <c r="D38" s="111" t="n">
        <f aca="false">SUMIFS(報告入力!$AW$7:$AW$696,報告入力!$A$7:$A$696,$S$2,報告入力!$B$7:$B$696,$A38)</f>
        <v>405345</v>
      </c>
      <c r="E38" s="114" t="n">
        <f aca="false">SUMIFS(報告入力!$AX$7:$AX$696,報告入力!$A$7:$A$696,$S$2,報告入力!$B$7:$B$696,$A38)</f>
        <v>33225</v>
      </c>
      <c r="F38" s="123" t="n">
        <f aca="false">SUMIFS(報告入力!$AY$7:$AY$696,報告入力!$A$7:$A$696,$S$2,報告入力!$B$7:$B$696,$A38)</f>
        <v>383</v>
      </c>
      <c r="G38" s="108" t="n">
        <f aca="false">SUM(B38:F38)</f>
        <v>438953</v>
      </c>
      <c r="H38" s="188"/>
      <c r="I38" s="125" t="n">
        <f aca="false">SUMIFS(報告入力!$BA$7:$BA$696,報告入力!$A$7:$A$696,$S$2,報告入力!$B$7:$B$696,$A38)</f>
        <v>229959</v>
      </c>
      <c r="J38" s="116" t="n">
        <f aca="false">SUM(H38:I38)</f>
        <v>229959</v>
      </c>
      <c r="K38" s="188"/>
      <c r="L38" s="125" t="n">
        <f aca="false">SUMIFS(報告入力!$BC$7:$BC$696,報告入力!$A$7:$A$696,$S$2,報告入力!$B$7:$B$696,$A38)</f>
        <v>34997</v>
      </c>
      <c r="M38" s="116" t="n">
        <f aca="false">SUM(K38:L38)</f>
        <v>34997</v>
      </c>
      <c r="N38" s="188"/>
      <c r="O38" s="125" t="n">
        <f aca="false">SUMIFS(報告入力!$BE$7:$BE$696,報告入力!$A$7:$A$696,$S$2,報告入力!$B$7:$B$696,$A38)</f>
        <v>5093</v>
      </c>
      <c r="P38" s="116" t="n">
        <f aca="false">SUM(N38:O38)</f>
        <v>5093</v>
      </c>
      <c r="R38" s="110" t="str">
        <f aca="false">IFERROR(INDEX(報告入力!$C$7:$C$696,MATCH($S$2&amp;"|"&amp;$A38,報告入力!$CG$7:$CG$696,0)),"")</f>
        <v>入金確認済</v>
      </c>
    </row>
    <row r="39" s="110" customFormat="true" ht="20.1" hidden="false" customHeight="true" outlineLevel="0" collapsed="false">
      <c r="A39" s="121" t="s">
        <v>189</v>
      </c>
      <c r="B39" s="111" t="n">
        <f aca="false">SUMIFS(報告入力!$AU$7:$AU$696,報告入力!$A$7:$A$696,$S$2,報告入力!$B$7:$B$696,$A39)</f>
        <v>148230</v>
      </c>
      <c r="C39" s="113" t="n">
        <f aca="false">SUMIFS(報告入力!$AV$7:$AV$696,報告入力!$A$7:$A$696,$S$2,報告入力!$B$7:$B$696,$A39)</f>
        <v>12150</v>
      </c>
      <c r="D39" s="111" t="n">
        <f aca="false">SUMIFS(報告入力!$AW$7:$AW$696,報告入力!$A$7:$A$696,$S$2,報告入力!$B$7:$B$696,$A39)</f>
        <v>148230</v>
      </c>
      <c r="E39" s="205" t="n">
        <f aca="false">SUMIFS(報告入力!$AX$7:$AX$696,報告入力!$A$7:$A$696,$S$2,報告入力!$B$7:$B$696,$A39)</f>
        <v>12150</v>
      </c>
      <c r="F39" s="122" t="n">
        <f aca="false">SUMIFS(報告入力!$AY$7:$AY$696,報告入力!$A$7:$A$696,$S$2,報告入力!$B$7:$B$696,$A39)</f>
        <v>140</v>
      </c>
      <c r="G39" s="108" t="n">
        <f aca="false">SUM(B39:F39)</f>
        <v>320900</v>
      </c>
      <c r="H39" s="114" t="n">
        <f aca="false">SUMIFS(報告入力!$AZ$7:$AZ$696,報告入力!$A$7:$A$696,$S$2,報告入力!$B$7:$B$696,$A39)</f>
        <v>87123</v>
      </c>
      <c r="I39" s="125" t="n">
        <f aca="false">SUMIFS(報告入力!$BA$7:$BA$696,報告入力!$A$7:$A$696,$S$2,報告入力!$B$7:$B$696,$A39)</f>
        <v>87208</v>
      </c>
      <c r="J39" s="116" t="n">
        <f aca="false">SUM(H39:I39)</f>
        <v>174331</v>
      </c>
      <c r="K39" s="114" t="n">
        <f aca="false">SUMIFS(報告入力!$BB$7:$BB$696,報告入力!$A$7:$A$696,$S$2,報告入力!$B$7:$B$696,$A39)</f>
        <v>10033</v>
      </c>
      <c r="L39" s="125" t="n">
        <f aca="false">SUMIFS(報告入力!$BC$7:$BC$696,報告入力!$A$7:$A$696,$S$2,報告入力!$B$7:$B$696,$A39)</f>
        <v>10033</v>
      </c>
      <c r="M39" s="116" t="n">
        <f aca="false">SUM(K39:L39)</f>
        <v>20066</v>
      </c>
      <c r="N39" s="114" t="n">
        <f aca="false">SUMIFS(報告入力!$BD$7:$BD$696,報告入力!$A$7:$A$696,$S$2,報告入力!$B$7:$B$696,$A39)</f>
        <v>1931</v>
      </c>
      <c r="O39" s="125" t="n">
        <f aca="false">SUMIFS(報告入力!$BE$7:$BE$696,報告入力!$A$7:$A$696,$S$2,報告入力!$B$7:$B$696,$A39)</f>
        <v>1932</v>
      </c>
      <c r="P39" s="116" t="n">
        <f aca="false">SUM(N39:O39)</f>
        <v>3863</v>
      </c>
      <c r="R39" s="110" t="str">
        <f aca="false">IFERROR(INDEX(報告入力!$C$7:$C$696,MATCH($S$2&amp;"|"&amp;$A39,報告入力!$CG$7:$CG$696,0)),"")</f>
        <v>入金確認済</v>
      </c>
    </row>
    <row r="40" s="110" customFormat="true" ht="22.5" hidden="false" customHeight="true" outlineLevel="0" collapsed="false">
      <c r="A40" s="206" t="s">
        <v>190</v>
      </c>
      <c r="B40" s="201"/>
      <c r="C40" s="191"/>
      <c r="D40" s="111" t="n">
        <f aca="false">SUMIFS(報告入力!$AW$7:$AW$696,報告入力!$A$7:$A$696,$S$2,報告入力!$B$7:$B$696,$A40)</f>
        <v>455670</v>
      </c>
      <c r="E40" s="114" t="n">
        <f aca="false">SUMIFS(報告入力!$AX$7:$AX$696,報告入力!$A$7:$A$696,$S$2,報告入力!$B$7:$B$696,$A40)</f>
        <v>37350</v>
      </c>
      <c r="F40" s="123" t="n">
        <f aca="false">SUMIFS(報告入力!$AY$7:$AY$696,報告入力!$A$7:$A$696,$S$2,報告入力!$B$7:$B$696,$A40)</f>
        <v>432</v>
      </c>
      <c r="G40" s="108" t="n">
        <f aca="false">SUM(B40:F40)</f>
        <v>493452</v>
      </c>
      <c r="H40" s="202"/>
      <c r="I40" s="125" t="n">
        <f aca="false">SUMIFS(報告入力!$BA$7:$BA$696,報告入力!$A$7:$A$696,$S$2,報告入力!$B$7:$B$696,$A40)</f>
        <v>263702</v>
      </c>
      <c r="J40" s="116" t="n">
        <f aca="false">SUM(H40:I40)</f>
        <v>263702</v>
      </c>
      <c r="K40" s="202"/>
      <c r="L40" s="125" t="n">
        <f aca="false">SUMIFS(報告入力!$BC$7:$BC$696,報告入力!$A$7:$A$696,$S$2,報告入力!$B$7:$B$696,$A40)</f>
        <v>21093</v>
      </c>
      <c r="M40" s="116" t="n">
        <f aca="false">SUM(K40:L40)</f>
        <v>21093</v>
      </c>
      <c r="N40" s="202"/>
      <c r="O40" s="125" t="n">
        <f aca="false">SUMIFS(報告入力!$BE$7:$BE$696,報告入力!$A$7:$A$696,$S$2,報告入力!$B$7:$B$696,$A40)</f>
        <v>5842</v>
      </c>
      <c r="P40" s="116" t="n">
        <f aca="false">SUM(N40:O40)</f>
        <v>5842</v>
      </c>
      <c r="R40" s="110" t="str">
        <f aca="false">IFERROR(INDEX(報告入力!$C$7:$C$696,MATCH($S$2&amp;"|"&amp;$A40,報告入力!$CG$7:$CG$696,0)),"")</f>
        <v>入金確認済</v>
      </c>
    </row>
    <row r="41" s="110" customFormat="true" ht="20.1" hidden="false" customHeight="true" outlineLevel="0" collapsed="false">
      <c r="A41" s="189" t="s">
        <v>191</v>
      </c>
      <c r="B41" s="111" t="n">
        <f aca="false">SUMIFS(報告入力!$AU$7:$AU$696,報告入力!$A$7:$A$696,$S$2,報告入力!$B$7:$B$696,$A41)</f>
        <v>56730</v>
      </c>
      <c r="C41" s="113" t="n">
        <f aca="false">SUMIFS(報告入力!$AV$7:$AV$696,報告入力!$A$7:$A$696,$S$2,報告入力!$B$7:$B$696,$A41)</f>
        <v>4650</v>
      </c>
      <c r="D41" s="111" t="n">
        <f aca="false">SUMIFS(報告入力!$AW$7:$AW$696,報告入力!$A$7:$A$696,$S$2,報告入力!$B$7:$B$696,$A41)</f>
        <v>56730</v>
      </c>
      <c r="E41" s="114" t="n">
        <f aca="false">SUMIFS(報告入力!$AX$7:$AX$696,報告入力!$A$7:$A$696,$S$2,報告入力!$B$7:$B$696,$A41)</f>
        <v>4650</v>
      </c>
      <c r="F41" s="113" t="n">
        <f aca="false">SUMIFS(報告入力!$AY$7:$AY$696,報告入力!$A$7:$A$696,$S$2,報告入力!$B$7:$B$696,$A41)</f>
        <v>53</v>
      </c>
      <c r="G41" s="108" t="n">
        <f aca="false">SUM(B41:F41)</f>
        <v>122813</v>
      </c>
      <c r="H41" s="114" t="n">
        <f aca="false">SUMIFS(報告入力!$AZ$7:$AZ$696,報告入力!$A$7:$A$696,$S$2,報告入力!$B$7:$B$696,$A41)</f>
        <v>32153</v>
      </c>
      <c r="I41" s="115" t="n">
        <f aca="false">SUMIFS(報告入力!$BA$7:$BA$696,報告入力!$A$7:$A$696,$S$2,報告入力!$B$7:$B$696,$A41)</f>
        <v>32184</v>
      </c>
      <c r="J41" s="116" t="n">
        <f aca="false">SUM(H41:I41)</f>
        <v>64337</v>
      </c>
      <c r="K41" s="114" t="n">
        <f aca="false">SUMIFS(報告入力!$BB$7:$BB$696,報告入力!$A$7:$A$696,$S$2,報告入力!$B$7:$B$696,$A41)</f>
        <v>4898</v>
      </c>
      <c r="L41" s="115" t="n">
        <f aca="false">SUMIFS(報告入力!$BC$7:$BC$696,報告入力!$A$7:$A$696,$S$2,報告入力!$B$7:$B$696,$A41)</f>
        <v>4898</v>
      </c>
      <c r="M41" s="116" t="n">
        <f aca="false">SUM(K41:L41)</f>
        <v>9796</v>
      </c>
      <c r="N41" s="114" t="n">
        <f aca="false">SUMIFS(報告入力!$BD$7:$BD$696,報告入力!$A$7:$A$696,$S$2,報告入力!$B$7:$B$696,$A41)</f>
        <v>713</v>
      </c>
      <c r="O41" s="115" t="n">
        <f aca="false">SUMIFS(報告入力!$BE$7:$BE$696,報告入力!$A$7:$A$696,$S$2,報告入力!$B$7:$B$696,$A41)</f>
        <v>713</v>
      </c>
      <c r="P41" s="116" t="n">
        <f aca="false">SUM(N41:O41)</f>
        <v>1426</v>
      </c>
      <c r="R41" s="110" t="str">
        <f aca="false">IFERROR(INDEX(報告入力!$C$7:$C$696,MATCH($S$2&amp;"|"&amp;$A41,報告入力!$CG$7:$CG$696,0)),"")</f>
        <v>入金確認済</v>
      </c>
    </row>
    <row r="42" s="110" customFormat="true" ht="20.1" hidden="false" customHeight="true" outlineLevel="0" collapsed="false">
      <c r="A42" s="189" t="s">
        <v>192</v>
      </c>
      <c r="B42" s="111" t="n">
        <f aca="false">SUMIFS(報告入力!$AU$7:$AU$696,報告入力!$A$7:$A$696,$S$2,報告入力!$B$7:$B$696,$A42)</f>
        <v>59475</v>
      </c>
      <c r="C42" s="113" t="n">
        <f aca="false">SUMIFS(報告入力!$AV$7:$AV$696,報告入力!$A$7:$A$696,$S$2,報告入力!$B$7:$B$696,$A42)</f>
        <v>4875</v>
      </c>
      <c r="D42" s="111" t="n">
        <f aca="false">SUMIFS(報告入力!$AW$7:$AW$696,報告入力!$A$7:$A$696,$S$2,報告入力!$B$7:$B$696,$A42)</f>
        <v>59475</v>
      </c>
      <c r="E42" s="114" t="n">
        <f aca="false">SUMIFS(報告入力!$AX$7:$AX$696,報告入力!$A$7:$A$696,$S$2,報告入力!$B$7:$B$696,$A42)</f>
        <v>4875</v>
      </c>
      <c r="F42" s="113" t="n">
        <f aca="false">SUMIFS(報告入力!$AY$7:$AY$696,報告入力!$A$7:$A$696,$S$2,報告入力!$B$7:$B$696,$A42)</f>
        <v>56</v>
      </c>
      <c r="G42" s="108" t="n">
        <f aca="false">SUM(B42:F42)</f>
        <v>128756</v>
      </c>
      <c r="H42" s="114" t="n">
        <f aca="false">SUMIFS(報告入力!$AZ$7:$AZ$696,報告入力!$A$7:$A$696,$S$2,報告入力!$B$7:$B$696,$A42)</f>
        <v>38895</v>
      </c>
      <c r="I42" s="115" t="n">
        <f aca="false">SUMIFS(報告入力!$BA$7:$BA$696,報告入力!$A$7:$A$696,$S$2,報告入力!$B$7:$B$696,$A42)</f>
        <v>38932</v>
      </c>
      <c r="J42" s="116" t="n">
        <f aca="false">SUM(H42:I42)</f>
        <v>77827</v>
      </c>
      <c r="K42" s="114" t="n">
        <f aca="false">SUMIFS(報告入力!$BB$7:$BB$696,報告入力!$A$7:$A$696,$S$2,報告入力!$B$7:$B$696,$A42)</f>
        <v>5925</v>
      </c>
      <c r="L42" s="115" t="n">
        <f aca="false">SUMIFS(報告入力!$BC$7:$BC$696,報告入力!$A$7:$A$696,$S$2,報告入力!$B$7:$B$696,$A42)</f>
        <v>5925</v>
      </c>
      <c r="M42" s="116" t="n">
        <f aca="false">SUM(K42:L42)</f>
        <v>11850</v>
      </c>
      <c r="N42" s="114" t="n">
        <f aca="false">SUMIFS(報告入力!$BD$7:$BD$696,報告入力!$A$7:$A$696,$S$2,報告入力!$B$7:$B$696,$A42)</f>
        <v>862</v>
      </c>
      <c r="O42" s="115" t="n">
        <f aca="false">SUMIFS(報告入力!$BE$7:$BE$696,報告入力!$A$7:$A$696,$S$2,報告入力!$B$7:$B$696,$A42)</f>
        <v>862</v>
      </c>
      <c r="P42" s="116" t="n">
        <f aca="false">SUM(N42:O42)</f>
        <v>1724</v>
      </c>
      <c r="R42" s="110" t="str">
        <f aca="false">IFERROR(INDEX(報告入力!$C$7:$C$696,MATCH($S$2&amp;"|"&amp;$A42,報告入力!$CG$7:$CG$696,0)),"")</f>
        <v>入金確認済</v>
      </c>
    </row>
    <row r="43" s="110" customFormat="true" ht="20.1" hidden="false" customHeight="true" outlineLevel="0" collapsed="false">
      <c r="A43" s="189" t="s">
        <v>193</v>
      </c>
      <c r="B43" s="111" t="n">
        <f aca="false">SUMIFS(報告入力!$AU$7:$AU$696,報告入力!$A$7:$A$696,$S$2,報告入力!$B$7:$B$696,$A43)</f>
        <v>37515</v>
      </c>
      <c r="C43" s="113" t="n">
        <f aca="false">SUMIFS(報告入力!$AV$7:$AV$696,報告入力!$A$7:$A$696,$S$2,報告入力!$B$7:$B$696,$A43)</f>
        <v>3075</v>
      </c>
      <c r="D43" s="111" t="n">
        <f aca="false">SUMIFS(報告入力!$AW$7:$AW$696,報告入力!$A$7:$A$696,$S$2,報告入力!$B$7:$B$696,$A43)</f>
        <v>37515</v>
      </c>
      <c r="E43" s="114" t="n">
        <f aca="false">SUMIFS(報告入力!$AX$7:$AX$696,報告入力!$A$7:$A$696,$S$2,報告入力!$B$7:$B$696,$A43)</f>
        <v>3075</v>
      </c>
      <c r="F43" s="113" t="n">
        <f aca="false">SUMIFS(報告入力!$AY$7:$AY$696,報告入力!$A$7:$A$696,$S$2,報告入力!$B$7:$B$696,$A43)</f>
        <v>35</v>
      </c>
      <c r="G43" s="108" t="n">
        <f aca="false">SUM(B43:F43)</f>
        <v>81215</v>
      </c>
      <c r="H43" s="114" t="n">
        <f aca="false">SUMIFS(報告入力!$AZ$7:$AZ$696,報告入力!$A$7:$A$696,$S$2,報告入力!$B$7:$B$696,$A43)</f>
        <v>21262</v>
      </c>
      <c r="I43" s="115" t="n">
        <f aca="false">SUMIFS(報告入力!$BA$7:$BA$696,報告入力!$A$7:$A$696,$S$2,報告入力!$B$7:$B$696,$A43)</f>
        <v>21283</v>
      </c>
      <c r="J43" s="116" t="n">
        <f aca="false">SUM(H43:I43)</f>
        <v>42545</v>
      </c>
      <c r="K43" s="114" t="n">
        <f aca="false">SUMIFS(報告入力!$BB$7:$BB$696,報告入力!$A$7:$A$696,$S$2,報告入力!$B$7:$B$696,$A43)</f>
        <v>0</v>
      </c>
      <c r="L43" s="115" t="n">
        <f aca="false">SUMIFS(報告入力!$BC$7:$BC$696,報告入力!$A$7:$A$696,$S$2,報告入力!$B$7:$B$696,$A43)</f>
        <v>0</v>
      </c>
      <c r="M43" s="116" t="n">
        <f aca="false">SUM(K43:L43)</f>
        <v>0</v>
      </c>
      <c r="N43" s="117" t="n">
        <f aca="false">SUMIFS(報告入力!$BD$7:$BD$696,報告入力!$A$7:$A$696,$S$2,報告入力!$B$7:$B$696,$A43)</f>
        <v>471</v>
      </c>
      <c r="O43" s="205" t="n">
        <f aca="false">SUMIFS(報告入力!$BE$7:$BE$696,報告入力!$A$7:$A$696,$S$2,報告入力!$B$7:$B$696,$A43)</f>
        <v>471</v>
      </c>
      <c r="P43" s="116" t="n">
        <f aca="false">SUM(N43:O43)</f>
        <v>942</v>
      </c>
      <c r="R43" s="110" t="str">
        <f aca="false">IFERROR(INDEX(報告入力!$C$7:$C$696,MATCH($S$2&amp;"|"&amp;$A43,報告入力!$CG$7:$CG$696,0)),"")</f>
        <v>入金確認済</v>
      </c>
    </row>
    <row r="44" s="110" customFormat="true" ht="20.1" hidden="false" customHeight="true" outlineLevel="0" collapsed="false">
      <c r="A44" s="121" t="s">
        <v>194</v>
      </c>
      <c r="B44" s="111" t="n">
        <f aca="false">SUMIFS(報告入力!$AU$7:$AU$696,報告入力!$A$7:$A$696,$S$2,報告入力!$B$7:$B$696,$A44)</f>
        <v>1201395</v>
      </c>
      <c r="C44" s="113" t="n">
        <f aca="false">SUMIFS(報告入力!$AV$7:$AV$696,報告入力!$A$7:$A$696,$S$2,報告入力!$B$7:$B$696,$A44)</f>
        <v>98475</v>
      </c>
      <c r="D44" s="111" t="n">
        <f aca="false">SUMIFS(報告入力!$AW$7:$AW$696,報告入力!$A$7:$A$696,$S$2,報告入力!$B$7:$B$696,$A44)</f>
        <v>1201395</v>
      </c>
      <c r="E44" s="114" t="n">
        <f aca="false">SUMIFS(報告入力!$AX$7:$AX$696,報告入力!$A$7:$A$696,$S$2,報告入力!$B$7:$B$696,$A44)</f>
        <v>98475</v>
      </c>
      <c r="F44" s="113" t="n">
        <f aca="false">SUMIFS(報告入力!$AY$7:$AY$696,報告入力!$A$7:$A$696,$S$2,報告入力!$B$7:$B$696,$A44)</f>
        <v>1208</v>
      </c>
      <c r="G44" s="108" t="n">
        <f aca="false">SUM(B44:F44)</f>
        <v>2600948</v>
      </c>
      <c r="H44" s="114" t="n">
        <f aca="false">SUMIFS(報告入力!$AZ$7:$AZ$696,報告入力!$A$7:$A$696,$S$2,報告入力!$B$7:$B$696,$A44)</f>
        <v>690245</v>
      </c>
      <c r="I44" s="115" t="n">
        <f aca="false">SUMIFS(報告入力!$BA$7:$BA$696,報告入力!$A$7:$A$696,$S$2,報告入力!$B$7:$B$696,$A44)</f>
        <v>690961</v>
      </c>
      <c r="J44" s="116" t="n">
        <f aca="false">SUM(H44:I44)</f>
        <v>1381206</v>
      </c>
      <c r="K44" s="114" t="n">
        <f aca="false">SUMIFS(報告入力!$BB$7:$BB$696,報告入力!$A$7:$A$696,$S$2,報告入力!$B$7:$B$696,$A44)</f>
        <v>79632</v>
      </c>
      <c r="L44" s="115" t="n">
        <f aca="false">SUMIFS(報告入力!$BC$7:$BC$696,報告入力!$A$7:$A$696,$S$2,報告入力!$B$7:$B$696,$A44)</f>
        <v>79632</v>
      </c>
      <c r="M44" s="116" t="n">
        <f aca="false">SUM(K44:L44)</f>
        <v>159264</v>
      </c>
      <c r="N44" s="114" t="n">
        <f aca="false">SUMIFS(報告入力!$BD$7:$BD$696,報告入力!$A$7:$A$696,$S$2,報告入力!$B$7:$B$696,$A44)</f>
        <v>15300</v>
      </c>
      <c r="O44" s="115" t="n">
        <f aca="false">SUMIFS(報告入力!$BE$7:$BE$696,報告入力!$A$7:$A$696,$S$2,報告入力!$B$7:$B$696,$A44)</f>
        <v>15306</v>
      </c>
      <c r="P44" s="116" t="n">
        <f aca="false">SUM(N44:O44)</f>
        <v>30606</v>
      </c>
      <c r="R44" s="110" t="str">
        <f aca="false">IFERROR(INDEX(報告入力!$C$7:$C$696,MATCH($S$2&amp;"|"&amp;$A44,報告入力!$CG$7:$CG$696,0)),"")</f>
        <v>入金確認済</v>
      </c>
    </row>
    <row r="45" s="110" customFormat="true" ht="20.1" hidden="false" customHeight="true" outlineLevel="0" collapsed="false">
      <c r="A45" s="121" t="s">
        <v>195</v>
      </c>
      <c r="B45" s="201"/>
      <c r="C45" s="191"/>
      <c r="D45" s="117" t="n">
        <f aca="false">SUMIFS(報告入力!$AW$7:$AW$696,報告入力!$A$7:$A$696,$S$2,報告入力!$B$7:$B$696,$A45)</f>
        <v>242475</v>
      </c>
      <c r="E45" s="118" t="n">
        <f aca="false">SUMIFS(報告入力!$AX$7:$AX$696,報告入力!$A$7:$A$696,$S$2,報告入力!$B$7:$B$696,$A45)</f>
        <v>19875</v>
      </c>
      <c r="F45" s="123" t="n">
        <f aca="false">SUMIFS(報告入力!$AY$7:$AY$696,報告入力!$A$7:$A$696,$S$2,報告入力!$B$7:$B$696,$A45)</f>
        <v>230</v>
      </c>
      <c r="G45" s="108" t="n">
        <f aca="false">SUM(B45:F45)</f>
        <v>262580</v>
      </c>
      <c r="H45" s="202"/>
      <c r="I45" s="205" t="n">
        <f aca="false">SUMIFS(報告入力!$BA$7:$BA$696,報告入力!$A$7:$A$696,$S$2,報告入力!$B$7:$B$696,$A45)</f>
        <v>140676</v>
      </c>
      <c r="J45" s="116" t="n">
        <f aca="false">SUM(H45:I45)</f>
        <v>140676</v>
      </c>
      <c r="K45" s="202"/>
      <c r="L45" s="205" t="n">
        <f aca="false">SUMIFS(報告入力!$BC$7:$BC$696,報告入力!$A$7:$A$696,$S$2,報告入力!$B$7:$B$696,$A45)</f>
        <v>10507</v>
      </c>
      <c r="M45" s="116" t="n">
        <f aca="false">SUM(K45:L45)</f>
        <v>10507</v>
      </c>
      <c r="N45" s="202"/>
      <c r="O45" s="205" t="n">
        <f aca="false">SUMIFS(報告入力!$BE$7:$BE$696,報告入力!$A$7:$A$696,$S$2,報告入力!$B$7:$B$696,$A45)</f>
        <v>3116</v>
      </c>
      <c r="P45" s="116" t="n">
        <f aca="false">SUM(N45:O45)</f>
        <v>3116</v>
      </c>
      <c r="R45" s="110" t="str">
        <f aca="false">IFERROR(INDEX(報告入力!$C$7:$C$696,MATCH($S$2&amp;"|"&amp;$A45,報告入力!$CG$7:$CG$696,0)),"")</f>
        <v>入金確認済</v>
      </c>
    </row>
    <row r="46" s="110" customFormat="true" ht="19.5" hidden="false" customHeight="true" outlineLevel="0" collapsed="false">
      <c r="A46" s="207" t="s">
        <v>196</v>
      </c>
      <c r="B46" s="117" t="n">
        <f aca="false">SUMIFS(報告入力!$AU$7:$AU$696,報告入力!$A$7:$A$696,$S$2,報告入力!$B$7:$B$696,$A46)</f>
        <v>126776728</v>
      </c>
      <c r="C46" s="123" t="n">
        <f aca="false">SUMIFS(報告入力!$AV$7:$AV$696,報告入力!$A$7:$A$696,$S$2,報告入力!$B$7:$B$696,$A46)</f>
        <v>10388836</v>
      </c>
      <c r="D46" s="117" t="n">
        <f aca="false">SUMIFS(報告入力!$AW$7:$AW$696,報告入力!$A$7:$A$696,$S$2,報告入力!$B$7:$B$696,$A46)</f>
        <v>185329749</v>
      </c>
      <c r="E46" s="124" t="n">
        <f aca="false">SUMIFS(報告入力!$AX$7:$AX$696,報告入力!$A$7:$A$696,$S$2,報告入力!$B$7:$B$696,$A46)</f>
        <v>10386886</v>
      </c>
      <c r="F46" s="123" t="n">
        <f aca="false">SUMIFS(報告入力!$AY$7:$AY$696,報告入力!$A$7:$A$696,$S$2,報告入力!$B$7:$B$696,$A46)</f>
        <v>127334</v>
      </c>
      <c r="G46" s="108" t="n">
        <f aca="false">SUM(B46:F46)</f>
        <v>333009533</v>
      </c>
      <c r="H46" s="118" t="n">
        <f aca="false">SUMIFS(報告入力!$AZ$7:$AZ$696,報告入力!$A$7:$A$696,$S$2,報告入力!$B$7:$B$696,$A46)</f>
        <v>93143364</v>
      </c>
      <c r="I46" s="125" t="n">
        <f aca="false">SUMIFS(報告入力!$BA$7:$BA$696,報告入力!$A$7:$A$696,$S$2,報告入力!$B$7:$B$696,$A46)</f>
        <v>93250038</v>
      </c>
      <c r="J46" s="116" t="n">
        <f aca="false">SUM(H46:I46)</f>
        <v>186393402</v>
      </c>
      <c r="K46" s="117" t="n">
        <f aca="false">SUMIFS(報告入力!$BB$7:$BB$696,報告入力!$A$7:$A$696,$S$2,報告入力!$B$7:$B$696,$A46)</f>
        <v>7885464</v>
      </c>
      <c r="L46" s="125" t="n">
        <f aca="false">SUMIFS(報告入力!$BC$7:$BC$696,報告入力!$A$7:$A$696,$S$2,報告入力!$B$7:$B$696,$A46)</f>
        <v>7882532</v>
      </c>
      <c r="M46" s="116" t="n">
        <f aca="false">SUM(K46:L46)</f>
        <v>15767996</v>
      </c>
      <c r="N46" s="117" t="n">
        <f aca="false">SUMIFS(報告入力!$BD$7:$BD$696,報告入力!$A$7:$A$696,$S$2,報告入力!$B$7:$B$696,$A46)</f>
        <v>2063539</v>
      </c>
      <c r="O46" s="125" t="n">
        <f aca="false">SUMIFS(報告入力!$BE$7:$BE$696,報告入力!$A$7:$A$696,$S$2,報告入力!$B$7:$B$696,$A46)</f>
        <v>2063238</v>
      </c>
      <c r="P46" s="116" t="n">
        <f aca="false">SUM(N46:O46)</f>
        <v>4126777</v>
      </c>
      <c r="R46" s="110" t="str">
        <f aca="false">IFERROR(INDEX(報告入力!$C$7:$C$696,MATCH($S$2&amp;"|"&amp;$A46,報告入力!$CG$7:$CG$696,0)),"")</f>
        <v>入金確認済</v>
      </c>
    </row>
    <row r="47" s="137" customFormat="true" ht="21.75" hidden="false" customHeight="true" outlineLevel="0" collapsed="false">
      <c r="A47" s="208" t="s">
        <v>197</v>
      </c>
      <c r="B47" s="127"/>
      <c r="C47" s="131"/>
      <c r="D47" s="127"/>
      <c r="E47" s="209"/>
      <c r="F47" s="131"/>
      <c r="G47" s="210" t="n">
        <f aca="false">SUM(B47:F47)</f>
        <v>0</v>
      </c>
      <c r="H47" s="118" t="n">
        <f aca="false">SUMIFS(報告入力!$AZ$7:$AZ$696,報告入力!$A$7:$A$696,$S$2,報告入力!$B$7:$B$696,$A47)</f>
        <v>84011</v>
      </c>
      <c r="I47" s="125" t="n">
        <f aca="false">SUMIFS(報告入力!$BA$7:$BA$696,報告入力!$A$7:$A$696,$S$2,報告入力!$B$7:$B$696,$A47)</f>
        <v>104857</v>
      </c>
      <c r="J47" s="116" t="n">
        <f aca="false">SUM(H47:I47)</f>
        <v>188868</v>
      </c>
      <c r="K47" s="117" t="n">
        <f aca="false">SUMIFS(報告入力!$BB$7:$BB$696,報告入力!$A$7:$A$696,$S$2,報告入力!$B$7:$B$696,$A47)</f>
        <v>11060</v>
      </c>
      <c r="L47" s="125" t="n">
        <f aca="false">SUMIFS(報告入力!$BC$7:$BC$696,報告入力!$A$7:$A$696,$S$2,報告入力!$B$7:$B$696,$A47)</f>
        <v>11060</v>
      </c>
      <c r="M47" s="116" t="n">
        <f aca="false">SUM(K47:L47)</f>
        <v>22120</v>
      </c>
      <c r="N47" s="117" t="n">
        <f aca="false">SUMIFS(報告入力!$BD$7:$BD$696,報告入力!$A$7:$A$696,$S$2,報告入力!$B$7:$B$696,$A47)</f>
        <v>1861</v>
      </c>
      <c r="O47" s="125" t="n">
        <f aca="false">SUMIFS(報告入力!$BE$7:$BE$696,報告入力!$A$7:$A$696,$S$2,報告入力!$B$7:$B$696,$A47)</f>
        <v>2322</v>
      </c>
      <c r="P47" s="116" t="n">
        <f aca="false">SUM(N47:O47)</f>
        <v>4183</v>
      </c>
      <c r="R47" s="137" t="str">
        <f aca="false">IFERROR(INDEX(報告入力!$C$7:$C$696,MATCH($S$2&amp;"|"&amp;$A47,報告入力!$CG$7:$CG$696,0)),"")</f>
        <v>入金確認済</v>
      </c>
    </row>
    <row r="48" s="137" customFormat="true" ht="25.5" hidden="false" customHeight="true" outlineLevel="0" collapsed="false">
      <c r="A48" s="211" t="s">
        <v>216</v>
      </c>
      <c r="B48" s="178"/>
      <c r="C48" s="212"/>
      <c r="D48" s="178"/>
      <c r="E48" s="182"/>
      <c r="F48" s="212"/>
      <c r="G48" s="181" t="n">
        <f aca="false">SUM(B48:F48)</f>
        <v>0</v>
      </c>
      <c r="H48" s="182"/>
      <c r="I48" s="183"/>
      <c r="J48" s="135" t="n">
        <f aca="false">SUM(H48:I48)</f>
        <v>0</v>
      </c>
      <c r="K48" s="213" t="n">
        <f aca="false">SUMIFS(報告入力!$BB$7:$BB$696,報告入力!$A$7:$A$696,$S$2,報告入力!$B$7:$B$696,$A48)</f>
        <v>0</v>
      </c>
      <c r="L48" s="214" t="n">
        <f aca="false">SUMIFS(報告入力!$BC$7:$BC$696,報告入力!$A$7:$A$696,$S$2,報告入力!$B$7:$B$696,$A48)</f>
        <v>0</v>
      </c>
      <c r="M48" s="135" t="n">
        <f aca="false">SUM(K48:L48)</f>
        <v>0</v>
      </c>
      <c r="N48" s="215"/>
      <c r="O48" s="214"/>
      <c r="P48" s="135" t="n">
        <f aca="false">SUM(N48:O48)</f>
        <v>0</v>
      </c>
      <c r="R48" s="137" t="str">
        <f aca="false">IFERROR(INDEX(報告入力!$C$7:$C$696,MATCH($S$2&amp;"|"&amp;$A48,報告入力!$CG$7:$CG$696,0)),"")</f>
        <v>未受領</v>
      </c>
    </row>
    <row r="49" s="137" customFormat="true" ht="21.75" hidden="false" customHeight="true" outlineLevel="0" collapsed="false">
      <c r="A49" s="211" t="s">
        <v>199</v>
      </c>
      <c r="B49" s="111" t="n">
        <f aca="false">SUMIFS(報告入力!$AU$7:$AU$696,報告入力!$A$7:$A$696,$S$2,報告入力!$B$7:$B$696,$A49)</f>
        <v>118950</v>
      </c>
      <c r="C49" s="113" t="n">
        <f aca="false">SUMIFS(報告入力!$AV$7:$AV$696,報告入力!$A$7:$A$696,$S$2,報告入力!$B$7:$B$696,$A49)</f>
        <v>9750</v>
      </c>
      <c r="D49" s="111" t="n">
        <f aca="false">SUMIFS(報告入力!$AW$7:$AW$696,報告入力!$A$7:$A$696,$S$2,報告入力!$B$7:$B$696,$A49)</f>
        <v>118950</v>
      </c>
      <c r="E49" s="114" t="n">
        <f aca="false">SUMIFS(報告入力!$AX$7:$AX$696,報告入力!$A$7:$A$696,$S$2,報告入力!$B$7:$B$696,$A49)</f>
        <v>9750</v>
      </c>
      <c r="F49" s="113" t="n">
        <f aca="false">SUMIFS(報告入力!$AY$7:$AY$696,報告入力!$A$7:$A$696,$S$2,報告入力!$B$7:$B$696,$A49)</f>
        <v>112</v>
      </c>
      <c r="G49" s="108" t="n">
        <f aca="false">SUM(B49:F49)</f>
        <v>257512</v>
      </c>
      <c r="H49" s="114" t="n">
        <f aca="false">SUMIFS(報告入力!$AZ$7:$AZ$696,報告入力!$A$7:$A$696,$S$2,報告入力!$B$7:$B$696,$A49)</f>
        <v>81938</v>
      </c>
      <c r="I49" s="115" t="n">
        <f aca="false">SUMIFS(報告入力!$BA$7:$BA$696,報告入力!$A$7:$A$696,$S$2,報告入力!$B$7:$B$696,$A49)</f>
        <v>82017</v>
      </c>
      <c r="J49" s="116" t="n">
        <f aca="false">SUM(H49:I49)</f>
        <v>163955</v>
      </c>
      <c r="K49" s="118" t="n">
        <f aca="false">SUMIFS(報告入力!$BB$7:$BB$696,報告入力!$A$7:$A$696,$S$2,報告入力!$B$7:$B$696,$A49)</f>
        <v>12482</v>
      </c>
      <c r="L49" s="205" t="n">
        <f aca="false">SUMIFS(報告入力!$BC$7:$BC$696,報告入力!$A$7:$A$696,$S$2,報告入力!$B$7:$B$696,$A49)</f>
        <v>12482</v>
      </c>
      <c r="M49" s="116" t="n">
        <f aca="false">SUM(K49:L49)</f>
        <v>24964</v>
      </c>
      <c r="N49" s="118" t="n">
        <f aca="false">SUMIFS(報告入力!$BD$7:$BD$696,報告入力!$A$7:$A$696,$S$2,報告入力!$B$7:$B$696,$A49)</f>
        <v>1816</v>
      </c>
      <c r="O49" s="205" t="n">
        <f aca="false">SUMIFS(報告入力!$BE$7:$BE$696,報告入力!$A$7:$A$696,$S$2,報告入力!$B$7:$B$696,$A49)</f>
        <v>1817</v>
      </c>
      <c r="P49" s="116" t="n">
        <f aca="false">SUM(N49:O49)</f>
        <v>3633</v>
      </c>
      <c r="R49" s="137" t="str">
        <f aca="false">IFERROR(INDEX(報告入力!$C$7:$C$696,MATCH($S$2&amp;"|"&amp;$A49,報告入力!$CG$7:$CG$696,0)),"")</f>
        <v>入金確認済</v>
      </c>
    </row>
    <row r="50" s="137" customFormat="true" ht="26.25" hidden="false" customHeight="true" outlineLevel="0" collapsed="false">
      <c r="A50" s="216"/>
      <c r="B50" s="186"/>
      <c r="C50" s="193"/>
      <c r="D50" s="217"/>
      <c r="E50" s="133"/>
      <c r="F50" s="218"/>
      <c r="G50" s="181" t="n">
        <f aca="false">SUM(B50:F50)</f>
        <v>0</v>
      </c>
      <c r="H50" s="188"/>
      <c r="I50" s="219"/>
      <c r="J50" s="135" t="n">
        <f aca="false">SUM(H50:I50)</f>
        <v>0</v>
      </c>
      <c r="K50" s="188"/>
      <c r="L50" s="219"/>
      <c r="M50" s="135" t="n">
        <f aca="false">SUM(K50:L50)</f>
        <v>0</v>
      </c>
      <c r="N50" s="188"/>
      <c r="O50" s="219"/>
      <c r="P50" s="135" t="n">
        <f aca="false">SUM(N50:O50)</f>
        <v>0</v>
      </c>
    </row>
    <row r="51" s="137" customFormat="true" ht="0.2" hidden="false" customHeight="true" outlineLevel="0" collapsed="false">
      <c r="A51" s="149"/>
      <c r="B51" s="157"/>
      <c r="C51" s="156"/>
      <c r="D51" s="220"/>
      <c r="E51" s="158"/>
      <c r="F51" s="156"/>
      <c r="G51" s="221" t="n">
        <f aca="false">SUM(B51:F51)</f>
        <v>0</v>
      </c>
      <c r="H51" s="222"/>
      <c r="I51" s="158"/>
      <c r="J51" s="223" t="n">
        <f aca="false">SUM(H51:I51)</f>
        <v>0</v>
      </c>
      <c r="K51" s="220"/>
      <c r="L51" s="158"/>
      <c r="M51" s="223" t="n">
        <f aca="false">SUM(K51:L51)</f>
        <v>0</v>
      </c>
      <c r="N51" s="220"/>
      <c r="O51" s="158"/>
      <c r="P51" s="223" t="n">
        <f aca="false">SUM(N51:O51)</f>
        <v>0</v>
      </c>
    </row>
    <row r="52" s="137" customFormat="true" ht="0.2" hidden="false" customHeight="true" outlineLevel="0" collapsed="false">
      <c r="A52" s="162"/>
      <c r="B52" s="224"/>
      <c r="C52" s="225"/>
      <c r="D52" s="226"/>
      <c r="E52" s="227"/>
      <c r="F52" s="225"/>
      <c r="G52" s="228"/>
      <c r="H52" s="229"/>
      <c r="I52" s="229"/>
      <c r="J52" s="230"/>
      <c r="K52" s="231"/>
      <c r="L52" s="229"/>
      <c r="M52" s="230"/>
      <c r="N52" s="231"/>
      <c r="O52" s="229"/>
      <c r="P52" s="230"/>
    </row>
    <row r="53" s="110" customFormat="true" ht="20.1" hidden="false" customHeight="true" outlineLevel="0" collapsed="false">
      <c r="A53" s="171" t="s">
        <v>383</v>
      </c>
      <c r="B53" s="172" t="n">
        <f aca="false">SUM(B23:B52)</f>
        <v>129566563</v>
      </c>
      <c r="C53" s="175" t="n">
        <f aca="false">SUM(C23:C52)</f>
        <v>10617511</v>
      </c>
      <c r="D53" s="173" t="n">
        <f aca="false">SUM(D23:D52)</f>
        <v>194403804</v>
      </c>
      <c r="E53" s="174" t="n">
        <f aca="false">SUM(E23:E52)</f>
        <v>11130661</v>
      </c>
      <c r="F53" s="175" t="n">
        <f aca="false">SUM(F23:F52)</f>
        <v>136202</v>
      </c>
      <c r="G53" s="176" t="n">
        <f aca="false">SUM(B53:F53)</f>
        <v>345854741</v>
      </c>
      <c r="H53" s="173" t="n">
        <f aca="false">SUM(H23:H51)</f>
        <v>94842271</v>
      </c>
      <c r="I53" s="173" t="n">
        <f aca="false">SUM(I23:I51)</f>
        <v>98705327</v>
      </c>
      <c r="J53" s="175" t="n">
        <f aca="false">SUM(H53:I53)</f>
        <v>193547598</v>
      </c>
      <c r="K53" s="172" t="n">
        <f aca="false">SUM(K23:K51)</f>
        <v>8068428</v>
      </c>
      <c r="L53" s="173" t="n">
        <f aca="false">SUM(L23:L51)</f>
        <v>8496204</v>
      </c>
      <c r="M53" s="175" t="n">
        <f aca="false">SUM(K53:L53)</f>
        <v>16564632</v>
      </c>
      <c r="N53" s="172" t="n">
        <f aca="false">SUM(N23:N51)</f>
        <v>2101195</v>
      </c>
      <c r="O53" s="173" t="n">
        <f aca="false">SUM(O23:O51)</f>
        <v>2184077</v>
      </c>
      <c r="P53" s="175" t="n">
        <f aca="false">SUM(N53:O53)</f>
        <v>4285272</v>
      </c>
    </row>
    <row r="54" s="137" customFormat="true" ht="0.2" hidden="false" customHeight="true" outlineLevel="0" collapsed="false">
      <c r="A54" s="149" t="s">
        <v>382</v>
      </c>
      <c r="B54" s="231"/>
      <c r="C54" s="232"/>
      <c r="D54" s="229"/>
      <c r="E54" s="233"/>
      <c r="F54" s="234"/>
      <c r="G54" s="235"/>
      <c r="H54" s="236"/>
      <c r="I54" s="236"/>
      <c r="J54" s="237"/>
      <c r="K54" s="238"/>
      <c r="L54" s="239"/>
      <c r="M54" s="240"/>
      <c r="N54" s="238"/>
      <c r="O54" s="239"/>
      <c r="P54" s="240"/>
    </row>
    <row r="55" s="137" customFormat="true" ht="0.2" hidden="false" customHeight="true" outlineLevel="0" collapsed="false">
      <c r="A55" s="241" t="s">
        <v>382</v>
      </c>
      <c r="B55" s="242"/>
      <c r="C55" s="243"/>
      <c r="D55" s="229"/>
      <c r="E55" s="233"/>
      <c r="F55" s="232"/>
      <c r="G55" s="228"/>
      <c r="H55" s="244"/>
      <c r="I55" s="244"/>
      <c r="J55" s="245"/>
      <c r="K55" s="246"/>
      <c r="L55" s="247"/>
      <c r="M55" s="248"/>
      <c r="N55" s="246"/>
      <c r="O55" s="247"/>
      <c r="P55" s="248"/>
    </row>
    <row r="56" s="110" customFormat="true" ht="20.1" hidden="false" customHeight="true" outlineLevel="0" collapsed="false">
      <c r="A56" s="189" t="s">
        <v>200</v>
      </c>
      <c r="B56" s="185" t="n">
        <f aca="false">SUMIFS(報告入力!$AU$7:$AU$696,報告入力!$A$7:$A$696,$S$2,報告入力!$B$7:$B$696,$A56)</f>
        <v>145485</v>
      </c>
      <c r="C56" s="199" t="n">
        <f aca="false">SUMIFS(報告入力!$AV$7:$AV$696,報告入力!$A$7:$A$696,$S$2,報告入力!$B$7:$B$696,$A56)</f>
        <v>11925</v>
      </c>
      <c r="D56" s="118" t="n">
        <f aca="false">SUMIFS(報告入力!$AW$7:$AW$696,報告入力!$A$7:$A$696,$S$2,報告入力!$B$7:$B$696,$A56)</f>
        <v>145485</v>
      </c>
      <c r="E56" s="205" t="n">
        <f aca="false">SUMIFS(報告入力!$AX$7:$AX$696,報告入力!$A$7:$A$696,$S$2,報告入力!$B$7:$B$696,$A56)</f>
        <v>11925</v>
      </c>
      <c r="F56" s="123" t="n">
        <f aca="false">SUMIFS(報告入力!$AY$7:$AY$696,報告入力!$A$7:$A$696,$S$2,報告入力!$B$7:$B$696,$A56)</f>
        <v>138</v>
      </c>
      <c r="G56" s="119" t="n">
        <f aca="false">SUM(B56:F56)</f>
        <v>314958</v>
      </c>
      <c r="H56" s="130"/>
      <c r="I56" s="130"/>
      <c r="J56" s="196" t="n">
        <f aca="false">SUM(H56:I56)</f>
        <v>0</v>
      </c>
      <c r="K56" s="130"/>
      <c r="L56" s="130"/>
      <c r="M56" s="196" t="n">
        <f aca="false">SUM(K56:L56)</f>
        <v>0</v>
      </c>
      <c r="N56" s="130"/>
      <c r="O56" s="130"/>
      <c r="P56" s="196" t="n">
        <f aca="false">SUM(N56:O56)</f>
        <v>0</v>
      </c>
      <c r="R56" s="110" t="str">
        <f aca="false">IFERROR(INDEX(報告入力!$C$7:$C$696,MATCH($S$2&amp;"|"&amp;$A56,報告入力!$CG$7:$CG$696,0)),"")</f>
        <v>入金確認済</v>
      </c>
    </row>
    <row r="57" s="110" customFormat="true" ht="21.75" hidden="false" customHeight="true" outlineLevel="0" collapsed="false">
      <c r="A57" s="189" t="s">
        <v>201</v>
      </c>
      <c r="B57" s="117" t="n">
        <f aca="false">SUMIFS(報告入力!$AU$7:$AU$696,報告入力!$A$7:$A$696,$S$2,報告入力!$B$7:$B$696,$A57)</f>
        <v>45750</v>
      </c>
      <c r="C57" s="205" t="n">
        <f aca="false">SUMIFS(報告入力!$AV$7:$AV$696,報告入力!$A$7:$A$696,$S$2,報告入力!$B$7:$B$696,$A57)</f>
        <v>3750</v>
      </c>
      <c r="D57" s="249" t="n">
        <f aca="false">SUMIFS(報告入力!$AW$7:$AW$696,報告入力!$A$7:$A$696,$S$2,報告入力!$B$7:$B$696,$A57)</f>
        <v>45750</v>
      </c>
      <c r="E57" s="250" t="n">
        <f aca="false">SUMIFS(報告入力!$AX$7:$AX$696,報告入力!$A$7:$A$696,$S$2,報告入力!$B$7:$B$696,$A57)</f>
        <v>3750</v>
      </c>
      <c r="F57" s="251" t="n">
        <f aca="false">SUMIFS(報告入力!$AY$7:$AY$696,報告入力!$A$7:$A$696,$S$2,報告入力!$B$7:$B$696,$A57)</f>
        <v>43</v>
      </c>
      <c r="G57" s="119" t="n">
        <f aca="false">SUM(B57:F57)</f>
        <v>99043</v>
      </c>
      <c r="H57" s="252"/>
      <c r="I57" s="252"/>
      <c r="J57" s="253" t="n">
        <f aca="false">SUM(H57:I57)</f>
        <v>0</v>
      </c>
      <c r="K57" s="252"/>
      <c r="L57" s="252"/>
      <c r="M57" s="253" t="n">
        <f aca="false">SUM(K57:L57)</f>
        <v>0</v>
      </c>
      <c r="N57" s="252"/>
      <c r="O57" s="252"/>
      <c r="P57" s="253" t="n">
        <f aca="false">SUM(N57:O57)</f>
        <v>0</v>
      </c>
      <c r="R57" s="110" t="str">
        <f aca="false">IFERROR(INDEX(報告入力!$C$7:$C$696,MATCH($S$2&amp;"|"&amp;$A57,報告入力!$CG$7:$CG$696,0)),"")</f>
        <v>入金確認済</v>
      </c>
    </row>
    <row r="58" s="110" customFormat="true" ht="19.5" hidden="false" customHeight="true" outlineLevel="0" collapsed="false">
      <c r="A58" s="171" t="s">
        <v>383</v>
      </c>
      <c r="B58" s="254" t="n">
        <f aca="false">SUM(B54:B57)</f>
        <v>191235</v>
      </c>
      <c r="C58" s="255" t="n">
        <f aca="false">SUM(C54:C57)</f>
        <v>15675</v>
      </c>
      <c r="D58" s="173" t="n">
        <f aca="false">SUM(D54:D57)</f>
        <v>191235</v>
      </c>
      <c r="E58" s="174" t="n">
        <f aca="false">SUM(E54:E57)</f>
        <v>15675</v>
      </c>
      <c r="F58" s="175" t="n">
        <f aca="false">SUM(F54:F57)</f>
        <v>181</v>
      </c>
      <c r="G58" s="176" t="n">
        <f aca="false">SUM(B58:F58)</f>
        <v>414001</v>
      </c>
      <c r="H58" s="256" t="n">
        <f aca="false">SUM(H54:H57)</f>
        <v>0</v>
      </c>
      <c r="I58" s="257" t="n">
        <f aca="false">SUM(I54:I57)</f>
        <v>0</v>
      </c>
      <c r="J58" s="258" t="n">
        <f aca="false">SUM(H58:I58)</f>
        <v>0</v>
      </c>
      <c r="K58" s="256" t="n">
        <f aca="false">SUM(K54:K57)</f>
        <v>0</v>
      </c>
      <c r="L58" s="257" t="n">
        <f aca="false">SUM(L54:L57)</f>
        <v>0</v>
      </c>
      <c r="M58" s="258" t="n">
        <f aca="false">SUM(K58:L58)</f>
        <v>0</v>
      </c>
      <c r="N58" s="256" t="n">
        <f aca="false">SUM(N54:N57)</f>
        <v>0</v>
      </c>
      <c r="O58" s="257" t="n">
        <f aca="false">SUM(O54:O57)</f>
        <v>0</v>
      </c>
      <c r="P58" s="258" t="n">
        <f aca="false">SUM(N58:O58)</f>
        <v>0</v>
      </c>
    </row>
    <row r="59" s="110" customFormat="true" ht="20.1" hidden="false" customHeight="true" outlineLevel="0" collapsed="false">
      <c r="A59" s="100" t="s">
        <v>202</v>
      </c>
      <c r="B59" s="111" t="n">
        <f aca="false">SUMIFS(報告入力!$AU$7:$AU$696,報告入力!$A$7:$A$696,$S$2,報告入力!$B$7:$B$696,$A59)</f>
        <v>29280</v>
      </c>
      <c r="C59" s="113" t="n">
        <f aca="false">SUMIFS(報告入力!$AV$7:$AV$696,報告入力!$A$7:$A$696,$S$2,報告入力!$B$7:$B$696,$A59)</f>
        <v>2400</v>
      </c>
      <c r="D59" s="103" t="n">
        <f aca="false">SUMIFS(報告入力!$AW$7:$AW$696,報告入力!$A$7:$A$696,$S$2,報告入力!$B$7:$B$696,$A59)</f>
        <v>29280</v>
      </c>
      <c r="E59" s="259" t="n">
        <f aca="false">SUMIFS(報告入力!$AX$7:$AX$696,報告入力!$A$7:$A$696,$S$2,報告入力!$B$7:$B$696,$A59)</f>
        <v>2400</v>
      </c>
      <c r="F59" s="193"/>
      <c r="G59" s="108" t="n">
        <f aca="false">SUM(B59:F59)</f>
        <v>63360</v>
      </c>
      <c r="H59" s="114" t="n">
        <f aca="false">SUMIFS(報告入力!$AZ$7:$AZ$696,報告入力!$A$7:$A$696,$S$2,報告入力!$B$7:$B$696,$A59)</f>
        <v>16595</v>
      </c>
      <c r="I59" s="115" t="n">
        <f aca="false">SUMIFS(報告入力!$BA$7:$BA$696,報告入力!$A$7:$A$696,$S$2,報告入力!$B$7:$B$696,$A59)</f>
        <v>16611</v>
      </c>
      <c r="J59" s="116" t="n">
        <f aca="false">SUM(H59:I59)</f>
        <v>33206</v>
      </c>
      <c r="K59" s="114" t="n">
        <f aca="false">SUMIFS(報告入力!$BB$7:$BB$696,報告入力!$A$7:$A$696,$S$2,報告入力!$B$7:$B$696,$A59)</f>
        <v>2528</v>
      </c>
      <c r="L59" s="115" t="n">
        <f aca="false">SUMIFS(報告入力!$BC$7:$BC$696,報告入力!$A$7:$A$696,$S$2,報告入力!$B$7:$B$696,$A59)</f>
        <v>2528</v>
      </c>
      <c r="M59" s="116" t="n">
        <f aca="false">SUM(K59:L59)</f>
        <v>5056</v>
      </c>
      <c r="N59" s="114" t="n">
        <f aca="false">SUMIFS(報告入力!$BD$7:$BD$696,報告入力!$A$7:$A$696,$S$2,報告入力!$B$7:$B$696,$A59)</f>
        <v>368</v>
      </c>
      <c r="O59" s="115" t="n">
        <f aca="false">SUMIFS(報告入力!$BE$7:$BE$696,報告入力!$A$7:$A$696,$S$2,報告入力!$B$7:$B$696,$A59)</f>
        <v>368</v>
      </c>
      <c r="P59" s="116" t="n">
        <f aca="false">SUM(N59:O59)</f>
        <v>736</v>
      </c>
      <c r="R59" s="110" t="str">
        <f aca="false">IFERROR(INDEX(報告入力!$C$7:$C$696,MATCH($S$2&amp;"|"&amp;$A59,報告入力!$CG$7:$CG$696,0)),"")</f>
        <v>入金確認済</v>
      </c>
    </row>
    <row r="60" s="110" customFormat="true" ht="20.1" hidden="false" customHeight="true" outlineLevel="0" collapsed="false">
      <c r="A60" s="100" t="s">
        <v>203</v>
      </c>
      <c r="B60" s="186"/>
      <c r="C60" s="187"/>
      <c r="D60" s="186"/>
      <c r="E60" s="260"/>
      <c r="F60" s="193"/>
      <c r="G60" s="210" t="n">
        <f aca="false">SUM(B60:F60)</f>
        <v>0</v>
      </c>
      <c r="H60" s="188"/>
      <c r="I60" s="261"/>
      <c r="J60" s="196" t="n">
        <f aca="false">SUM(H60:I60)</f>
        <v>0</v>
      </c>
      <c r="K60" s="262"/>
      <c r="L60" s="183"/>
      <c r="M60" s="135" t="n">
        <f aca="false">SUM(K60:L60)</f>
        <v>0</v>
      </c>
      <c r="N60" s="263"/>
      <c r="O60" s="261"/>
      <c r="P60" s="196" t="n">
        <f aca="false">SUM(N60:O60)</f>
        <v>0</v>
      </c>
      <c r="R60" s="110" t="str">
        <f aca="false">IFERROR(INDEX(報告入力!$C$7:$C$696,MATCH($S$2&amp;"|"&amp;$A60,報告入力!$CG$7:$CG$696,0)),"")</f>
        <v>報告なし</v>
      </c>
    </row>
    <row r="61" s="110" customFormat="true" ht="20.1" hidden="false" customHeight="true" outlineLevel="0" collapsed="false">
      <c r="A61" s="192" t="s">
        <v>204</v>
      </c>
      <c r="B61" s="111" t="n">
        <f aca="false">SUMIFS(報告入力!$AU$7:$AU$696,報告入力!$A$7:$A$696,$S$2,報告入力!$B$7:$B$696,$A61)</f>
        <v>27450</v>
      </c>
      <c r="C61" s="112" t="n">
        <f aca="false">SUMIFS(報告入力!$AV$7:$AV$696,報告入力!$A$7:$A$696,$S$2,報告入力!$B$7:$B$696,$A61)</f>
        <v>2250</v>
      </c>
      <c r="D61" s="111" t="n">
        <f aca="false">SUMIFS(報告入力!$AW$7:$AW$696,報告入力!$A$7:$A$696,$S$2,報告入力!$B$7:$B$696,$A61)</f>
        <v>27450</v>
      </c>
      <c r="E61" s="259" t="n">
        <f aca="false">SUMIFS(報告入力!$AX$7:$AX$696,報告入力!$A$7:$A$696,$S$2,報告入力!$B$7:$B$696,$A61)</f>
        <v>2250</v>
      </c>
      <c r="F61" s="193"/>
      <c r="G61" s="108" t="n">
        <f aca="false">SUM(B61:F61)</f>
        <v>59400</v>
      </c>
      <c r="H61" s="114" t="n">
        <f aca="false">SUMIFS(報告入力!$AZ$7:$AZ$696,報告入力!$A$7:$A$696,$S$2,報告入力!$B$7:$B$696,$A61)</f>
        <v>31116</v>
      </c>
      <c r="I61" s="115" t="n">
        <f aca="false">SUMIFS(報告入力!$BA$7:$BA$696,報告入力!$A$7:$A$696,$S$2,報告入力!$B$7:$B$696,$A61)</f>
        <v>31146</v>
      </c>
      <c r="J61" s="116" t="n">
        <f aca="false">SUM(H61:I61)</f>
        <v>62262</v>
      </c>
      <c r="K61" s="109" t="n">
        <f aca="false">SUMIFS(報告入力!$BB$7:$BB$696,報告入力!$A$7:$A$696,$S$2,報告入力!$B$7:$B$696,$A61)</f>
        <v>2370</v>
      </c>
      <c r="L61" s="115" t="n">
        <f aca="false">SUMIFS(報告入力!$BC$7:$BC$696,報告入力!$A$7:$A$696,$S$2,報告入力!$B$7:$B$696,$A61)</f>
        <v>2370</v>
      </c>
      <c r="M61" s="116" t="n">
        <f aca="false">SUM(K61:L61)</f>
        <v>4740</v>
      </c>
      <c r="N61" s="109" t="n">
        <f aca="false">SUMIFS(報告入力!$BD$7:$BD$696,報告入力!$A$7:$A$696,$S$2,報告入力!$B$7:$B$696,$A61)</f>
        <v>690</v>
      </c>
      <c r="O61" s="115" t="n">
        <f aca="false">SUMIFS(報告入力!$BE$7:$BE$696,報告入力!$A$7:$A$696,$S$2,報告入力!$B$7:$B$696,$A61)</f>
        <v>690</v>
      </c>
      <c r="P61" s="116" t="n">
        <f aca="false">SUM(N61:O61)</f>
        <v>1380</v>
      </c>
      <c r="R61" s="110" t="str">
        <f aca="false">IFERROR(INDEX(報告入力!$C$7:$C$696,MATCH($S$2&amp;"|"&amp;$A61,報告入力!$CG$7:$CG$696,0)),"")</f>
        <v>入金確認済</v>
      </c>
    </row>
    <row r="62" s="110" customFormat="true" ht="20.1" hidden="false" customHeight="true" outlineLevel="0" collapsed="false">
      <c r="A62" s="192" t="s">
        <v>205</v>
      </c>
      <c r="B62" s="264"/>
      <c r="C62" s="265"/>
      <c r="D62" s="264"/>
      <c r="E62" s="266"/>
      <c r="F62" s="267"/>
      <c r="G62" s="268" t="n">
        <f aca="false">SUM(B62:F62)</f>
        <v>0</v>
      </c>
      <c r="H62" s="269"/>
      <c r="I62" s="270"/>
      <c r="J62" s="271" t="n">
        <f aca="false">SUM(H62:I62)</f>
        <v>0</v>
      </c>
      <c r="K62" s="272"/>
      <c r="L62" s="273"/>
      <c r="M62" s="271" t="n">
        <f aca="false">SUM(K62:L62)</f>
        <v>0</v>
      </c>
      <c r="N62" s="274"/>
      <c r="O62" s="275"/>
      <c r="P62" s="271" t="n">
        <f aca="false">SUM(N62:O62)</f>
        <v>0</v>
      </c>
      <c r="R62" s="110" t="str">
        <f aca="false">IFERROR(INDEX(報告入力!$C$7:$C$696,MATCH($S$2&amp;"|"&amp;$A62,報告入力!$CG$7:$CG$696,0)),"")</f>
        <v>報告なし</v>
      </c>
    </row>
    <row r="63" s="110" customFormat="true" ht="20.1" hidden="false" customHeight="true" outlineLevel="0" collapsed="false">
      <c r="A63" s="171" t="s">
        <v>383</v>
      </c>
      <c r="B63" s="172" t="n">
        <f aca="false">SUM(B59:B62)</f>
        <v>56730</v>
      </c>
      <c r="C63" s="176" t="n">
        <f aca="false">SUM(C59:C62)</f>
        <v>4650</v>
      </c>
      <c r="D63" s="172" t="n">
        <f aca="false">SUM(D59:D62)</f>
        <v>56730</v>
      </c>
      <c r="E63" s="174" t="n">
        <f aca="false">SUM(E59:E62)</f>
        <v>4650</v>
      </c>
      <c r="F63" s="175" t="n">
        <f aca="false">SUM(F59:F62)</f>
        <v>0</v>
      </c>
      <c r="G63" s="176" t="n">
        <f aca="false">SUM(B63:F63)</f>
        <v>122760</v>
      </c>
      <c r="H63" s="276" t="n">
        <f aca="false">SUM(H59:H62)</f>
        <v>47711</v>
      </c>
      <c r="I63" s="174" t="n">
        <f aca="false">SUM(I59:I62)</f>
        <v>47757</v>
      </c>
      <c r="J63" s="175" t="n">
        <f aca="false">SUM(H63:I63)</f>
        <v>95468</v>
      </c>
      <c r="K63" s="172" t="n">
        <f aca="false">SUM(K59:K62)</f>
        <v>4898</v>
      </c>
      <c r="L63" s="276" t="n">
        <f aca="false">SUM(L59:L62)</f>
        <v>4898</v>
      </c>
      <c r="M63" s="175" t="n">
        <f aca="false">SUM(K63:L63)</f>
        <v>9796</v>
      </c>
      <c r="N63" s="172" t="n">
        <f aca="false">SUM(N59:N62)</f>
        <v>1058</v>
      </c>
      <c r="O63" s="276" t="n">
        <f aca="false">SUM(O59:O62)</f>
        <v>1058</v>
      </c>
      <c r="P63" s="175" t="n">
        <f aca="false">SUM(N63:O63)</f>
        <v>2116</v>
      </c>
    </row>
    <row r="64" s="110" customFormat="true" ht="20.1" hidden="false" customHeight="true" outlineLevel="0" collapsed="false">
      <c r="A64" s="277" t="s">
        <v>206</v>
      </c>
      <c r="B64" s="278"/>
      <c r="C64" s="279"/>
      <c r="D64" s="280"/>
      <c r="E64" s="281"/>
      <c r="F64" s="267"/>
      <c r="G64" s="268"/>
      <c r="H64" s="282" t="n">
        <f aca="false">SUMIFS(報告入力!$AZ$7:$AZ$696,報告入力!$A$7:$A$696,$S$2,報告入力!$B$7:$B$696,$A64)</f>
        <v>98124999</v>
      </c>
      <c r="I64" s="283" t="s">
        <v>384</v>
      </c>
      <c r="J64" s="284" t="n">
        <f aca="false">SUM(H64:I64)</f>
        <v>98124999</v>
      </c>
      <c r="K64" s="282" t="n">
        <f aca="false">SUMIFS(報告入力!$BB$7:$BB$696,報告入力!$A$7:$A$696,$S$2,報告入力!$B$7:$B$696,$A64)</f>
        <v>5128891</v>
      </c>
      <c r="L64" s="283" t="s">
        <v>384</v>
      </c>
      <c r="M64" s="284" t="n">
        <f aca="false">SUM(K64:L64)</f>
        <v>5128891</v>
      </c>
      <c r="N64" s="282" t="n">
        <f aca="false">SUMIFS(報告入力!$BD$7:$BD$696,報告入力!$A$7:$A$696,$S$2,報告入力!$B$7:$B$696,$A64)</f>
        <v>2174616</v>
      </c>
      <c r="O64" s="283" t="s">
        <v>384</v>
      </c>
      <c r="P64" s="284" t="n">
        <f aca="false">SUM(N64:O64)</f>
        <v>2174616</v>
      </c>
      <c r="R64" s="110" t="str">
        <f aca="false">IFERROR(INDEX(報告入力!$C$7:$C$696,MATCH($S$2&amp;"|"&amp;$A64,報告入力!$CG$7:$CG$696,0)),"")</f>
        <v>受領済</v>
      </c>
    </row>
    <row r="65" s="110" customFormat="true" ht="30" hidden="false" customHeight="true" outlineLevel="0" collapsed="false">
      <c r="A65" s="285" t="s">
        <v>385</v>
      </c>
      <c r="B65" s="286" t="n">
        <f aca="false">SUM(+B22+B53+B58+B63+B64)</f>
        <v>489926226</v>
      </c>
      <c r="C65" s="287" t="n">
        <f aca="false">SUM(+C22+C53+C58+C63+C64)</f>
        <v>40201528</v>
      </c>
      <c r="D65" s="286" t="n">
        <f aca="false">SUM(+D22+D53+D58+D63+D64)</f>
        <v>710721750</v>
      </c>
      <c r="E65" s="288" t="n">
        <f aca="false">SUM(+E22+E53+E58+E63+E64)</f>
        <v>40068493</v>
      </c>
      <c r="F65" s="287" t="n">
        <f aca="false">SUM(+F22+F53+F58+F63+F64)</f>
        <v>483168</v>
      </c>
      <c r="G65" s="289" t="n">
        <f aca="false">SUM(B65:F65)</f>
        <v>1281401165</v>
      </c>
      <c r="H65" s="290" t="n">
        <f aca="false">SUM(+H22+H53+H58+H63+H64)</f>
        <v>446098437</v>
      </c>
      <c r="I65" s="290" t="n">
        <f aca="false">SUM(I22,I53,I58,I63,I64)</f>
        <v>351591834</v>
      </c>
      <c r="J65" s="291" t="n">
        <f aca="false">SUM(H65:I65)</f>
        <v>797690271</v>
      </c>
      <c r="K65" s="292" t="n">
        <f aca="false">SUM(+K22+K53+K58+K63+K64)</f>
        <v>36272957</v>
      </c>
      <c r="L65" s="290" t="n">
        <f aca="false">SUM(L22,L53,L58,L63,L64)</f>
        <v>31101068</v>
      </c>
      <c r="M65" s="291" t="n">
        <f aca="false">SUM(K65:L65)</f>
        <v>67374025</v>
      </c>
      <c r="N65" s="292" t="n">
        <f aca="false">SUM(+N22+N53+N58+N63+N64)</f>
        <v>9873033</v>
      </c>
      <c r="O65" s="290" t="n">
        <f aca="false">SUM(O22,O53,O58,O63,O64)</f>
        <v>7708470</v>
      </c>
      <c r="P65" s="291" t="n">
        <f aca="false">SUM(N65:O65)</f>
        <v>17581503</v>
      </c>
    </row>
    <row r="66" s="294" customFormat="true" ht="39.75" hidden="false" customHeight="true" outlineLevel="0" collapsed="false">
      <c r="A66" s="293"/>
    </row>
    <row r="67" s="297" customFormat="true" ht="30" hidden="false" customHeight="true" outlineLevel="0" collapsed="false">
      <c r="A67" s="295" t="s">
        <v>386</v>
      </c>
      <c r="B67" s="296" t="n">
        <f aca="false">EOMONTH(B2,1)</f>
        <v>46173</v>
      </c>
      <c r="C67" s="296"/>
      <c r="D67" s="296"/>
      <c r="E67" s="296"/>
      <c r="F67" s="296"/>
      <c r="G67" s="296"/>
      <c r="H67" s="87" t="n">
        <f aca="false">B67</f>
        <v>46173</v>
      </c>
      <c r="I67" s="87"/>
      <c r="J67" s="87"/>
      <c r="K67" s="87" t="n">
        <f aca="false">B67</f>
        <v>46173</v>
      </c>
      <c r="L67" s="87"/>
      <c r="M67" s="87"/>
      <c r="N67" s="87" t="n">
        <f aca="false">B67</f>
        <v>46173</v>
      </c>
      <c r="O67" s="87"/>
      <c r="P67" s="87"/>
      <c r="S67" s="297" t="s">
        <v>387</v>
      </c>
    </row>
    <row r="68" customFormat="false" ht="22.5" hidden="false" customHeight="true" outlineLevel="0" collapsed="false">
      <c r="A68" s="89" t="s">
        <v>369</v>
      </c>
      <c r="B68" s="89" t="s">
        <v>370</v>
      </c>
      <c r="C68" s="89"/>
      <c r="D68" s="89"/>
      <c r="E68" s="89"/>
      <c r="F68" s="89"/>
      <c r="G68" s="89"/>
      <c r="H68" s="91" t="s">
        <v>371</v>
      </c>
      <c r="I68" s="91"/>
      <c r="J68" s="91"/>
      <c r="K68" s="91" t="s">
        <v>372</v>
      </c>
      <c r="L68" s="91"/>
      <c r="M68" s="91"/>
      <c r="N68" s="91" t="str">
        <f aca="false">$N$3</f>
        <v>子ども・子育て支援納付金</v>
      </c>
      <c r="O68" s="91"/>
      <c r="P68" s="91"/>
    </row>
    <row r="69" customFormat="false" ht="22.5" hidden="false" customHeight="true" outlineLevel="0" collapsed="false">
      <c r="A69" s="89"/>
      <c r="B69" s="92" t="s">
        <v>373</v>
      </c>
      <c r="C69" s="92"/>
      <c r="D69" s="92" t="s">
        <v>374</v>
      </c>
      <c r="E69" s="92"/>
      <c r="F69" s="92"/>
      <c r="G69" s="92" t="s">
        <v>375</v>
      </c>
      <c r="H69" s="96" t="s">
        <v>376</v>
      </c>
      <c r="I69" s="94" t="s">
        <v>377</v>
      </c>
      <c r="J69" s="95" t="s">
        <v>375</v>
      </c>
      <c r="K69" s="96" t="s">
        <v>376</v>
      </c>
      <c r="L69" s="94" t="s">
        <v>377</v>
      </c>
      <c r="M69" s="95" t="s">
        <v>375</v>
      </c>
      <c r="N69" s="96" t="s">
        <v>376</v>
      </c>
      <c r="O69" s="94" t="s">
        <v>377</v>
      </c>
      <c r="P69" s="95" t="s">
        <v>375</v>
      </c>
    </row>
    <row r="70" customFormat="false" ht="22.5" hidden="false" customHeight="true" outlineLevel="0" collapsed="false">
      <c r="A70" s="89"/>
      <c r="B70" s="97" t="s">
        <v>378</v>
      </c>
      <c r="C70" s="98" t="s">
        <v>379</v>
      </c>
      <c r="D70" s="99" t="s">
        <v>378</v>
      </c>
      <c r="E70" s="99" t="s">
        <v>380</v>
      </c>
      <c r="F70" s="98" t="s">
        <v>85</v>
      </c>
      <c r="G70" s="92"/>
      <c r="H70" s="96"/>
      <c r="I70" s="94"/>
      <c r="J70" s="95"/>
      <c r="K70" s="96"/>
      <c r="L70" s="94"/>
      <c r="M70" s="95"/>
      <c r="N70" s="96"/>
      <c r="O70" s="94"/>
      <c r="P70" s="95"/>
    </row>
    <row r="71" s="110" customFormat="true" ht="20.1" hidden="false" customHeight="true" outlineLevel="0" collapsed="false">
      <c r="A71" s="100" t="s">
        <v>158</v>
      </c>
      <c r="B71" s="117" t="n">
        <f aca="false">SUMIFS(報告入力!$AU$7:$AU$696,報告入力!$A$7:$A$696,$S$67,報告入力!$B$7:$B$696,$A71)</f>
        <v>238475809</v>
      </c>
      <c r="C71" s="113" t="n">
        <f aca="false">SUMIFS(報告入力!$AV$7:$AV$696,報告入力!$A$7:$A$696,$S$67,報告入力!$B$7:$B$696,$A71)</f>
        <v>19550325</v>
      </c>
      <c r="D71" s="111" t="n">
        <f aca="false">SUMIFS(報告入力!$AW$7:$AW$696,報告入力!$A$7:$A$696,$S$67,報告入力!$B$7:$B$696,$A71)</f>
        <v>341906412</v>
      </c>
      <c r="E71" s="114" t="n">
        <f aca="false">SUMIFS(報告入力!$AX$7:$AX$696,報告入力!$A$7:$A$696,$S$67,報告入力!$B$7:$B$696,$A71)</f>
        <v>19051575</v>
      </c>
      <c r="F71" s="113" t="n">
        <f aca="false">SUMIFS(報告入力!$AY$7:$AY$696,報告入力!$A$7:$A$696,$S$67,報告入力!$B$7:$B$696,$A71)</f>
        <v>229826</v>
      </c>
      <c r="G71" s="108" t="n">
        <f aca="false">SUM(B71:F71)</f>
        <v>619213947</v>
      </c>
      <c r="H71" s="114" t="n">
        <f aca="false">SUMIFS(報告入力!$AZ$7:$AZ$696,報告入力!$A$7:$A$696,$S$67,報告入力!$B$7:$B$696,$A71)</f>
        <v>172680807</v>
      </c>
      <c r="I71" s="205" t="n">
        <f aca="false">SUMIFS(報告入力!$BA$7:$BA$696,報告入力!$A$7:$A$696,$S$67,報告入力!$B$7:$B$696,$A71)</f>
        <v>172045423</v>
      </c>
      <c r="J71" s="298" t="n">
        <f aca="false">SUM(H71:I71)</f>
        <v>344726230</v>
      </c>
      <c r="K71" s="205" t="n">
        <f aca="false">SUMIFS(報告入力!$BB$7:$BB$696,報告入力!$A$7:$A$696,$S$67,報告入力!$B$7:$B$696,$A71)</f>
        <v>15732881</v>
      </c>
      <c r="L71" s="205" t="n">
        <f aca="false">SUMIFS(報告入力!$BC$7:$BC$696,報告入力!$A$7:$A$696,$S$67,報告入力!$B$7:$B$696,$A71)</f>
        <v>15312274</v>
      </c>
      <c r="M71" s="298" t="n">
        <f aca="false">SUM(K71:L71)</f>
        <v>31045155</v>
      </c>
      <c r="N71" s="205" t="n">
        <f aca="false">SUMIFS(報告入力!$BD$7:$BD$696,報告入力!$A$7:$A$696,$S$67,報告入力!$B$7:$B$696,$A71)</f>
        <v>3826633</v>
      </c>
      <c r="O71" s="205" t="n">
        <f aca="false">SUMIFS(報告入力!$BE$7:$BE$696,報告入力!$A$7:$A$696,$S$67,報告入力!$B$7:$B$696,$A71)</f>
        <v>3748524</v>
      </c>
      <c r="P71" s="120" t="n">
        <f aca="false">SUM(N71:O71)</f>
        <v>7575157</v>
      </c>
      <c r="Q71" s="110" t="str">
        <f aca="false">IF(P6=P71,"〇","×")</f>
        <v>×</v>
      </c>
      <c r="R71" s="110" t="str">
        <f aca="false">IFERROR(INDEX(報告入力!$C$7:$C$696,MATCH($S$67&amp;"|"&amp;$A71,報告入力!$CG$7:$CG$696,0)),"")</f>
        <v>入金確認済</v>
      </c>
    </row>
    <row r="72" s="110" customFormat="true" ht="20.1" hidden="false" customHeight="true" outlineLevel="0" collapsed="false">
      <c r="A72" s="100" t="s">
        <v>161</v>
      </c>
      <c r="B72" s="117" t="n">
        <f aca="false">SUMIFS(報告入力!$AU$7:$AU$696,報告入力!$A$7:$A$696,$S$67,報告入力!$B$7:$B$696,$A72)</f>
        <v>16359285</v>
      </c>
      <c r="C72" s="113" t="n">
        <f aca="false">SUMIFS(報告入力!$AV$7:$AV$696,報告入力!$A$7:$A$696,$S$67,報告入力!$B$7:$B$696,$A72)</f>
        <v>1340925</v>
      </c>
      <c r="D72" s="111" t="n">
        <f aca="false">SUMIFS(報告入力!$AW$7:$AW$696,報告入力!$A$7:$A$696,$S$67,報告入力!$B$7:$B$696,$A72)</f>
        <v>23561370</v>
      </c>
      <c r="E72" s="114" t="n">
        <f aca="false">SUMIFS(報告入力!$AX$7:$AX$696,報告入力!$A$7:$A$696,$S$67,報告入力!$B$7:$B$696,$A72)</f>
        <v>1337175</v>
      </c>
      <c r="F72" s="113" t="n">
        <f aca="false">SUMIFS(報告入力!$AY$7:$AY$696,報告入力!$A$7:$A$696,$S$67,報告入力!$B$7:$B$696,$A72)</f>
        <v>15777</v>
      </c>
      <c r="G72" s="108" t="n">
        <f aca="false">SUM(B72:F72)</f>
        <v>42614532</v>
      </c>
      <c r="H72" s="114" t="n">
        <f aca="false">SUMIFS(報告入力!$AZ$7:$AZ$696,報告入力!$A$7:$A$696,$S$67,報告入力!$B$7:$B$696,$A72)</f>
        <v>9601929</v>
      </c>
      <c r="I72" s="205" t="n">
        <f aca="false">SUMIFS(報告入力!$BA$7:$BA$696,報告入力!$A$7:$A$696,$S$67,報告入力!$B$7:$B$696,$A72)</f>
        <v>9739721</v>
      </c>
      <c r="J72" s="298" t="n">
        <f aca="false">SUM(H72:I72)</f>
        <v>19341650</v>
      </c>
      <c r="K72" s="205" t="n">
        <f aca="false">SUMIFS(報告入力!$BB$7:$BB$696,報告入力!$A$7:$A$696,$S$67,報告入力!$B$7:$B$696,$A72)</f>
        <v>1024897</v>
      </c>
      <c r="L72" s="205" t="n">
        <f aca="false">SUMIFS(報告入力!$BC$7:$BC$696,報告入力!$A$7:$A$696,$S$67,報告入力!$B$7:$B$696,$A72)</f>
        <v>1020947</v>
      </c>
      <c r="M72" s="298" t="n">
        <f aca="false">SUM(K72:L72)</f>
        <v>2045844</v>
      </c>
      <c r="N72" s="205" t="n">
        <f aca="false">SUMIFS(報告入力!$BD$7:$BD$696,報告入力!$A$7:$A$696,$S$67,報告入力!$B$7:$B$696,$A72)</f>
        <v>212850</v>
      </c>
      <c r="O72" s="205" t="n">
        <f aca="false">SUMIFS(報告入力!$BE$7:$BE$696,報告入力!$A$7:$A$696,$S$67,報告入力!$B$7:$B$696,$A72)</f>
        <v>212346</v>
      </c>
      <c r="P72" s="120" t="n">
        <f aca="false">SUM(N72:O72)</f>
        <v>425196</v>
      </c>
      <c r="Q72" s="110" t="str">
        <f aca="false">IF(P7=P72,"〇","×")</f>
        <v>×</v>
      </c>
      <c r="R72" s="110" t="str">
        <f aca="false">IFERROR(INDEX(報告入力!$C$7:$C$696,MATCH($S$67&amp;"|"&amp;$A72,報告入力!$CG$7:$CG$696,0)),"")</f>
        <v>入金確認済</v>
      </c>
    </row>
    <row r="73" s="110" customFormat="true" ht="20.1" hidden="false" customHeight="true" outlineLevel="0" collapsed="false">
      <c r="A73" s="100" t="s">
        <v>162</v>
      </c>
      <c r="B73" s="117" t="n">
        <f aca="false">SUMIFS(報告入力!$AU$7:$AU$696,報告入力!$A$7:$A$696,$S$67,報告入力!$B$7:$B$696,$A73)</f>
        <v>55313397</v>
      </c>
      <c r="C73" s="113" t="n">
        <f aca="false">SUMIFS(報告入力!$AV$7:$AV$696,報告入力!$A$7:$A$696,$S$67,報告入力!$B$7:$B$696,$A73)</f>
        <v>4533885</v>
      </c>
      <c r="D73" s="111" t="n">
        <f aca="false">SUMIFS(報告入力!$AW$7:$AW$696,報告入力!$A$7:$A$696,$S$67,報告入力!$B$7:$B$696,$A73)</f>
        <v>79511518</v>
      </c>
      <c r="E73" s="114" t="n">
        <f aca="false">SUMIFS(報告入力!$AX$7:$AX$696,報告入力!$A$7:$A$696,$S$67,報告入力!$B$7:$B$696,$A73)</f>
        <v>4518060</v>
      </c>
      <c r="F73" s="113" t="n">
        <f aca="false">SUMIFS(報告入力!$AY$7:$AY$696,報告入力!$A$7:$A$696,$S$67,報告入力!$B$7:$B$696,$A73)</f>
        <v>52836</v>
      </c>
      <c r="G73" s="108" t="n">
        <f aca="false">SUM(B73:F73)</f>
        <v>143929696</v>
      </c>
      <c r="H73" s="114" t="n">
        <f aca="false">SUMIFS(報告入力!$AZ$7:$AZ$696,報告入力!$A$7:$A$696,$S$67,報告入力!$B$7:$B$696,$A73)</f>
        <v>32062535</v>
      </c>
      <c r="I73" s="205" t="n">
        <f aca="false">SUMIFS(報告入力!$BA$7:$BA$696,報告入力!$A$7:$A$696,$S$67,報告入力!$B$7:$B$696,$A73)</f>
        <v>32497376</v>
      </c>
      <c r="J73" s="298" t="n">
        <f aca="false">SUM(H73:I73)</f>
        <v>64559911</v>
      </c>
      <c r="K73" s="205" t="n">
        <f aca="false">SUMIFS(報告入力!$BB$7:$BB$696,報告入力!$A$7:$A$696,$S$67,報告入力!$B$7:$B$696,$A73)</f>
        <v>2046682</v>
      </c>
      <c r="L73" s="205" t="n">
        <f aca="false">SUMIFS(報告入力!$BC$7:$BC$696,報告入力!$A$7:$A$696,$S$67,報告入力!$B$7:$B$696,$A73)</f>
        <v>2033728</v>
      </c>
      <c r="M73" s="298" t="n">
        <f aca="false">SUM(K73:L73)</f>
        <v>4080410</v>
      </c>
      <c r="N73" s="205" t="n">
        <f aca="false">SUMIFS(報告入力!$BD$7:$BD$696,報告入力!$A$7:$A$696,$S$67,報告入力!$B$7:$B$696,$A73)</f>
        <v>710742</v>
      </c>
      <c r="O73" s="205" t="n">
        <f aca="false">SUMIFS(報告入力!$BE$7:$BE$696,報告入力!$A$7:$A$696,$S$67,報告入力!$B$7:$B$696,$A73)</f>
        <v>708581</v>
      </c>
      <c r="P73" s="120" t="n">
        <f aca="false">SUM(N73:O73)</f>
        <v>1419323</v>
      </c>
      <c r="Q73" s="110" t="str">
        <f aca="false">IF(P8=P73,"〇","×")</f>
        <v>×</v>
      </c>
      <c r="R73" s="110" t="str">
        <f aca="false">IFERROR(INDEX(報告入力!$C$7:$C$696,MATCH($S$67&amp;"|"&amp;$A73,報告入力!$CG$7:$CG$696,0)),"")</f>
        <v>入金確認済</v>
      </c>
    </row>
    <row r="74" s="110" customFormat="true" ht="20.1" hidden="false" customHeight="true" outlineLevel="0" collapsed="false">
      <c r="A74" s="100" t="s">
        <v>163</v>
      </c>
      <c r="B74" s="111" t="n">
        <f aca="false">SUMIFS(報告入力!$AU$7:$AU$696,報告入力!$A$7:$A$696,$S$67,報告入力!$B$7:$B$696,$A74)</f>
        <v>1810785</v>
      </c>
      <c r="C74" s="112" t="n">
        <f aca="false">SUMIFS(報告入力!$AV$7:$AV$696,報告入力!$A$7:$A$696,$S$67,報告入力!$B$7:$B$696,$A74)</f>
        <v>148425</v>
      </c>
      <c r="D74" s="103" t="n">
        <f aca="false">SUMIFS(報告入力!$AW$7:$AW$696,報告入力!$A$7:$A$696,$S$67,報告入力!$B$7:$B$696,$A74)</f>
        <v>2609982</v>
      </c>
      <c r="E74" s="103" t="n">
        <f aca="false">SUMIFS(報告入力!$AX$7:$AX$696,報告入力!$A$7:$A$696,$S$67,報告入力!$B$7:$B$696,$A74)</f>
        <v>148425</v>
      </c>
      <c r="F74" s="113" t="n">
        <f aca="false">SUMIFS(報告入力!$AY$7:$AY$696,報告入力!$A$7:$A$696,$S$67,報告入力!$B$7:$B$696,$A74)</f>
        <v>1740</v>
      </c>
      <c r="G74" s="108" t="n">
        <f aca="false">SUM(B74:F74)</f>
        <v>4719357</v>
      </c>
      <c r="H74" s="114" t="n">
        <f aca="false">SUMIFS(報告入力!$AZ$7:$AZ$696,報告入力!$A$7:$A$696,$S$67,報告入力!$B$7:$B$696,$A74)</f>
        <v>1048696</v>
      </c>
      <c r="I74" s="205" t="n">
        <f aca="false">SUMIFS(報告入力!$BA$7:$BA$696,報告入力!$A$7:$A$696,$S$67,報告入力!$B$7:$B$696,$A74)</f>
        <v>1066514</v>
      </c>
      <c r="J74" s="298" t="n">
        <f aca="false">SUM(H74:I74)</f>
        <v>2115210</v>
      </c>
      <c r="K74" s="205" t="n">
        <f aca="false">SUMIFS(報告入力!$BB$7:$BB$696,報告入力!$A$7:$A$696,$S$67,報告入力!$B$7:$B$696,$A74)</f>
        <v>101925</v>
      </c>
      <c r="L74" s="205" t="n">
        <f aca="false">SUMIFS(報告入力!$BC$7:$BC$696,報告入力!$A$7:$A$696,$S$67,報告入力!$B$7:$B$696,$A74)</f>
        <v>101925</v>
      </c>
      <c r="M74" s="298" t="n">
        <f aca="false">SUM(K74:L74)</f>
        <v>203850</v>
      </c>
      <c r="N74" s="205" t="n">
        <f aca="false">SUMIFS(報告入力!$BD$7:$BD$696,報告入力!$A$7:$A$696,$S$67,報告入力!$B$7:$B$696,$A74)</f>
        <v>23247</v>
      </c>
      <c r="O74" s="205" t="n">
        <f aca="false">SUMIFS(報告入力!$BE$7:$BE$696,報告入力!$A$7:$A$696,$S$67,報告入力!$B$7:$B$696,$A74)</f>
        <v>23255</v>
      </c>
      <c r="P74" s="120" t="n">
        <f aca="false">SUM(N74:O74)</f>
        <v>46502</v>
      </c>
      <c r="Q74" s="110" t="str">
        <f aca="false">IF(P9=P74,"〇","×")</f>
        <v>×</v>
      </c>
      <c r="R74" s="110" t="str">
        <f aca="false">IFERROR(INDEX(報告入力!$C$7:$C$696,MATCH($S$67&amp;"|"&amp;$A74,報告入力!$CG$7:$CG$696,0)),"")</f>
        <v>入金確認済</v>
      </c>
    </row>
    <row r="75" s="110" customFormat="true" ht="20.1" hidden="false" customHeight="true" outlineLevel="0" collapsed="false">
      <c r="A75" s="100" t="s">
        <v>164</v>
      </c>
      <c r="B75" s="117" t="n">
        <f aca="false">SUMIFS(報告入力!$AU$7:$AU$696,報告入力!$A$7:$A$696,$S$67,報告入力!$B$7:$B$696,$A75)</f>
        <v>23673063</v>
      </c>
      <c r="C75" s="113" t="n">
        <f aca="false">SUMIFS(報告入力!$AV$7:$AV$696,報告入力!$A$7:$A$696,$S$67,報告入力!$B$7:$B$696,$A75)</f>
        <v>1940415</v>
      </c>
      <c r="D75" s="111" t="n">
        <f aca="false">SUMIFS(報告入力!$AW$7:$AW$696,報告入力!$A$7:$A$696,$S$67,報告入力!$B$7:$B$696,$A75)</f>
        <v>34108975</v>
      </c>
      <c r="E75" s="114" t="n">
        <f aca="false">SUMIFS(報告入力!$AX$7:$AX$696,報告入力!$A$7:$A$696,$S$67,報告入力!$B$7:$B$696,$A75)</f>
        <v>1940415</v>
      </c>
      <c r="F75" s="113" t="n">
        <f aca="false">SUMIFS(報告入力!$AY$7:$AY$696,報告入力!$A$7:$A$696,$S$67,報告入力!$B$7:$B$696,$A75)</f>
        <v>22724</v>
      </c>
      <c r="G75" s="108" t="n">
        <f aca="false">SUM(B75:F75)</f>
        <v>61685592</v>
      </c>
      <c r="H75" s="114" t="n">
        <f aca="false">SUMIFS(報告入力!$AZ$7:$AZ$696,報告入力!$A$7:$A$696,$S$67,報告入力!$B$7:$B$696,$A75)</f>
        <v>23500578</v>
      </c>
      <c r="I75" s="205" t="n">
        <f aca="false">SUMIFS(報告入力!$BA$7:$BA$696,報告入力!$A$7:$A$696,$S$67,報告入力!$B$7:$B$696,$A75)</f>
        <v>23962291</v>
      </c>
      <c r="J75" s="298" t="n">
        <f aca="false">SUM(H75:I75)</f>
        <v>47462869</v>
      </c>
      <c r="K75" s="205" t="n">
        <f aca="false">SUMIFS(報告入力!$BB$7:$BB$696,報告入力!$A$7:$A$696,$S$67,報告入力!$B$7:$B$696,$A75)</f>
        <v>2734336</v>
      </c>
      <c r="L75" s="205" t="n">
        <f aca="false">SUMIFS(報告入力!$BC$7:$BC$696,報告入力!$A$7:$A$696,$S$67,報告入力!$B$7:$B$696,$A75)</f>
        <v>2743806</v>
      </c>
      <c r="M75" s="298" t="n">
        <f aca="false">SUM(K75:L75)</f>
        <v>5478142</v>
      </c>
      <c r="N75" s="205" t="n">
        <f aca="false">SUMIFS(報告入力!$BD$7:$BD$696,報告入力!$A$7:$A$696,$S$67,報告入力!$B$7:$B$696,$A75)</f>
        <v>519699</v>
      </c>
      <c r="O75" s="205" t="n">
        <f aca="false">SUMIFS(報告入力!$BE$7:$BE$696,報告入力!$A$7:$A$696,$S$67,報告入力!$B$7:$B$696,$A75)</f>
        <v>521587</v>
      </c>
      <c r="P75" s="120" t="n">
        <f aca="false">SUM(N75:O75)</f>
        <v>1041286</v>
      </c>
      <c r="Q75" s="110" t="str">
        <f aca="false">IF(P10=P75,"〇","×")</f>
        <v>×</v>
      </c>
      <c r="R75" s="110" t="str">
        <f aca="false">IFERROR(INDEX(報告入力!$C$7:$C$696,MATCH($S$67&amp;"|"&amp;$A75,報告入力!$CG$7:$CG$696,0)),"")</f>
        <v>入金確認済</v>
      </c>
    </row>
    <row r="76" s="110" customFormat="true" ht="20.1" hidden="false" customHeight="true" outlineLevel="0" collapsed="false">
      <c r="A76" s="100" t="s">
        <v>165</v>
      </c>
      <c r="B76" s="111" t="n">
        <f aca="false">SUMIFS(報告入力!$AU$7:$AU$696,報告入力!$A$7:$A$696,$S$67,報告入力!$B$7:$B$696,$A76)</f>
        <v>326655</v>
      </c>
      <c r="C76" s="112" t="n">
        <f aca="false">SUMIFS(報告入力!$AV$7:$AV$696,報告入力!$A$7:$A$696,$S$67,報告入力!$B$7:$B$696,$A76)</f>
        <v>26775</v>
      </c>
      <c r="D76" s="103" t="n">
        <f aca="false">SUMIFS(報告入力!$AW$7:$AW$696,報告入力!$A$7:$A$696,$S$67,報告入力!$B$7:$B$696,$A76)</f>
        <v>469098</v>
      </c>
      <c r="E76" s="103" t="n">
        <f aca="false">SUMIFS(報告入力!$AX$7:$AX$696,報告入力!$A$7:$A$696,$S$67,報告入力!$B$7:$B$696,$A76)</f>
        <v>26775</v>
      </c>
      <c r="F76" s="113" t="n">
        <f aca="false">SUMIFS(報告入力!$AY$7:$AY$696,報告入力!$A$7:$A$696,$S$67,報告入力!$B$7:$B$696,$A76)</f>
        <v>310</v>
      </c>
      <c r="G76" s="108" t="n">
        <f aca="false">SUM(B76:F76)</f>
        <v>849613</v>
      </c>
      <c r="H76" s="114" t="n">
        <f aca="false">SUMIFS(報告入力!$AZ$7:$AZ$696,報告入力!$A$7:$A$696,$S$67,報告入力!$B$7:$B$696,$A76)</f>
        <v>205363</v>
      </c>
      <c r="I76" s="115" t="n">
        <f aca="false">SUMIFS(報告入力!$BA$7:$BA$696,報告入力!$A$7:$A$696,$S$67,報告入力!$B$7:$B$696,$A76)</f>
        <v>208810</v>
      </c>
      <c r="J76" s="116" t="n">
        <f aca="false">SUM(H76:I76)</f>
        <v>414173</v>
      </c>
      <c r="K76" s="111" t="n">
        <f aca="false">SUMIFS(報告入力!$BB$7:$BB$696,報告入力!$A$7:$A$696,$S$67,報告入力!$B$7:$B$696,$A76)</f>
        <v>15800</v>
      </c>
      <c r="L76" s="114" t="n">
        <f aca="false">SUMIFS(報告入力!$BC$7:$BC$696,報告入力!$A$7:$A$696,$S$67,報告入力!$B$7:$B$696,$A76)</f>
        <v>15800</v>
      </c>
      <c r="M76" s="116" t="n">
        <f aca="false">SUM(K76:L76)</f>
        <v>31600</v>
      </c>
      <c r="N76" s="205" t="n">
        <f aca="false">SUMIFS(報告入力!$BD$7:$BD$696,報告入力!$A$7:$A$696,$S$67,報告入力!$B$7:$B$696,$A76)</f>
        <v>4552</v>
      </c>
      <c r="O76" s="205" t="n">
        <f aca="false">SUMIFS(報告入力!$BE$7:$BE$696,報告入力!$A$7:$A$696,$S$67,報告入力!$B$7:$B$696,$A76)</f>
        <v>4553</v>
      </c>
      <c r="P76" s="116" t="n">
        <f aca="false">SUM(N76:O76)</f>
        <v>9105</v>
      </c>
      <c r="Q76" s="110" t="str">
        <f aca="false">IF(P11=P76,"〇","×")</f>
        <v>〇</v>
      </c>
      <c r="R76" s="110" t="str">
        <f aca="false">IFERROR(INDEX(報告入力!$C$7:$C$696,MATCH($S$67&amp;"|"&amp;$A76,報告入力!$CG$7:$CG$696,0)),"")</f>
        <v>入金確認済</v>
      </c>
    </row>
    <row r="77" s="110" customFormat="true" ht="20.1" hidden="false" customHeight="true" outlineLevel="0" collapsed="false">
      <c r="A77" s="100" t="s">
        <v>166</v>
      </c>
      <c r="B77" s="111" t="n">
        <f aca="false">SUMIFS(報告入力!$AU$7:$AU$696,報告入力!$A$7:$A$696,$S$67,報告入力!$B$7:$B$696,$A77)</f>
        <v>597495</v>
      </c>
      <c r="C77" s="112" t="n">
        <f aca="false">SUMIFS(報告入力!$AV$7:$AV$696,報告入力!$A$7:$A$696,$S$67,報告入力!$B$7:$B$696,$A77)</f>
        <v>48975</v>
      </c>
      <c r="D77" s="103" t="n">
        <f aca="false">SUMIFS(報告入力!$AW$7:$AW$696,報告入力!$A$7:$A$696,$S$67,報告入力!$B$7:$B$696,$A77)</f>
        <v>858042</v>
      </c>
      <c r="E77" s="103" t="n">
        <f aca="false">SUMIFS(報告入力!$AX$7:$AX$696,報告入力!$A$7:$A$696,$S$67,報告入力!$B$7:$B$696,$A77)</f>
        <v>48975</v>
      </c>
      <c r="F77" s="113" t="n">
        <f aca="false">SUMIFS(報告入力!$AY$7:$AY$696,報告入力!$A$7:$A$696,$S$67,報告入力!$B$7:$B$696,$A77)</f>
        <v>567</v>
      </c>
      <c r="G77" s="119" t="n">
        <f aca="false">SUM(B77:F77)</f>
        <v>1554054</v>
      </c>
      <c r="H77" s="114" t="n">
        <f aca="false">SUMIFS(報告入力!$AZ$7:$AZ$696,報告入力!$A$7:$A$696,$S$67,報告入力!$B$7:$B$696,$A77)</f>
        <v>343825</v>
      </c>
      <c r="I77" s="115" t="n">
        <f aca="false">SUMIFS(報告入力!$BA$7:$BA$696,報告入力!$A$7:$A$696,$S$67,報告入力!$B$7:$B$696,$A77)</f>
        <v>349599</v>
      </c>
      <c r="J77" s="116" t="n">
        <f aca="false">SUM(H77:I77)</f>
        <v>693424</v>
      </c>
      <c r="K77" s="109" t="n">
        <f aca="false">SUMIFS(報告入力!$BB$7:$BB$696,報告入力!$A$7:$A$696,$S$67,報告入力!$B$7:$B$696,$A77)</f>
        <v>28282</v>
      </c>
      <c r="L77" s="115" t="n">
        <f aca="false">SUMIFS(報告入力!$BC$7:$BC$696,報告入力!$A$7:$A$696,$S$67,報告入力!$B$7:$B$696,$A77)</f>
        <v>28282</v>
      </c>
      <c r="M77" s="116" t="n">
        <f aca="false">SUM(K77:L77)</f>
        <v>56564</v>
      </c>
      <c r="N77" s="205" t="n">
        <f aca="false">SUMIFS(報告入力!$BD$7:$BD$696,報告入力!$A$7:$A$696,$S$67,報告入力!$B$7:$B$696,$A77)</f>
        <v>7621</v>
      </c>
      <c r="O77" s="205" t="n">
        <f aca="false">SUMIFS(報告入力!$BE$7:$BE$696,報告入力!$A$7:$A$696,$S$67,報告入力!$B$7:$B$696,$A77)</f>
        <v>7624</v>
      </c>
      <c r="P77" s="116" t="n">
        <f aca="false">SUM(N77:O77)</f>
        <v>15245</v>
      </c>
      <c r="Q77" s="110" t="str">
        <f aca="false">IF(P12=P77,"〇","×")</f>
        <v>〇</v>
      </c>
      <c r="R77" s="110" t="str">
        <f aca="false">IFERROR(INDEX(報告入力!$C$7:$C$696,MATCH($S$67&amp;"|"&amp;$A77,報告入力!$CG$7:$CG$696,0)),"")</f>
        <v>入金確認済</v>
      </c>
    </row>
    <row r="78" s="110" customFormat="true" ht="20.1" hidden="false" customHeight="true" outlineLevel="0" collapsed="false">
      <c r="A78" s="100" t="s">
        <v>167</v>
      </c>
      <c r="B78" s="111" t="n">
        <f aca="false">SUMIFS(報告入力!$AU$7:$AU$696,報告入力!$A$7:$A$696,$S$67,報告入力!$B$7:$B$696,$A78)</f>
        <v>1324920</v>
      </c>
      <c r="C78" s="112" t="n">
        <f aca="false">SUMIFS(報告入力!$AV$7:$AV$696,報告入力!$A$7:$A$696,$S$67,報告入力!$B$7:$B$696,$A78)</f>
        <v>108600</v>
      </c>
      <c r="D78" s="103" t="n">
        <f aca="false">SUMIFS(報告入力!$AW$7:$AW$696,報告入力!$A$7:$A$696,$S$67,報告入力!$B$7:$B$696,$A78)</f>
        <v>1913844</v>
      </c>
      <c r="E78" s="103" t="n">
        <f aca="false">SUMIFS(報告入力!$AX$7:$AX$696,報告入力!$A$7:$A$696,$S$67,報告入力!$B$7:$B$696,$A78)</f>
        <v>108600</v>
      </c>
      <c r="F78" s="113" t="n">
        <f aca="false">SUMIFS(報告入力!$AY$7:$AY$696,報告入力!$A$7:$A$696,$S$67,報告入力!$B$7:$B$696,$A78)</f>
        <v>1282</v>
      </c>
      <c r="G78" s="108" t="n">
        <f aca="false">SUM(B78:F78)</f>
        <v>3457246</v>
      </c>
      <c r="H78" s="114" t="n">
        <f aca="false">SUMIFS(報告入力!$AZ$7:$AZ$696,報告入力!$A$7:$A$696,$S$67,報告入力!$B$7:$B$696,$A78)</f>
        <v>768034</v>
      </c>
      <c r="I78" s="205" t="n">
        <f aca="false">SUMIFS(報告入力!$BA$7:$BA$696,報告入力!$A$7:$A$696,$S$67,報告入力!$B$7:$B$696,$A78)</f>
        <v>781174</v>
      </c>
      <c r="J78" s="298" t="n">
        <f aca="false">SUM(H78:I78)</f>
        <v>1549208</v>
      </c>
      <c r="K78" s="205" t="n">
        <f aca="false">SUMIFS(報告入力!$BB$7:$BB$696,報告入力!$A$7:$A$696,$S$67,報告入力!$B$7:$B$696,$A78)</f>
        <v>104201</v>
      </c>
      <c r="L78" s="205" t="n">
        <f aca="false">SUMIFS(報告入力!$BC$7:$BC$696,報告入力!$A$7:$A$696,$S$67,報告入力!$B$7:$B$696,$A78)</f>
        <v>104201</v>
      </c>
      <c r="M78" s="298" t="n">
        <f aca="false">SUM(K78:L78)</f>
        <v>208402</v>
      </c>
      <c r="N78" s="205" t="n">
        <f aca="false">SUMIFS(報告入力!$BD$7:$BD$696,報告入力!$A$7:$A$696,$S$67,報告入力!$B$7:$B$696,$A78)</f>
        <v>17023</v>
      </c>
      <c r="O78" s="205" t="n">
        <f aca="false">SUMIFS(報告入力!$BE$7:$BE$696,報告入力!$A$7:$A$696,$S$67,報告入力!$B$7:$B$696,$A78)</f>
        <v>17030</v>
      </c>
      <c r="P78" s="120" t="n">
        <f aca="false">SUM(N78:O78)</f>
        <v>34053</v>
      </c>
      <c r="Q78" s="110" t="str">
        <f aca="false">IF(P13=P78,"〇","×")</f>
        <v>〇</v>
      </c>
      <c r="R78" s="110" t="str">
        <f aca="false">IFERROR(INDEX(報告入力!$C$7:$C$696,MATCH($S$67&amp;"|"&amp;$A78,報告入力!$CG$7:$CG$696,0)),"")</f>
        <v>入金確認済</v>
      </c>
    </row>
    <row r="79" s="110" customFormat="true" ht="20.1" hidden="false" customHeight="true" outlineLevel="0" collapsed="false">
      <c r="A79" s="100" t="s">
        <v>168</v>
      </c>
      <c r="B79" s="111" t="n">
        <f aca="false">SUMIFS(報告入力!$AU$7:$AU$696,報告入力!$A$7:$A$696,$S$67,報告入力!$B$7:$B$696,$A79)</f>
        <v>409920</v>
      </c>
      <c r="C79" s="112" t="n">
        <f aca="false">SUMIFS(報告入力!$AV$7:$AV$696,報告入力!$A$7:$A$696,$S$67,報告入力!$B$7:$B$696,$A79)</f>
        <v>33600</v>
      </c>
      <c r="D79" s="103" t="n">
        <f aca="false">SUMIFS(報告入力!$AW$7:$AW$696,報告入力!$A$7:$A$696,$S$67,報告入力!$B$7:$B$696,$A79)</f>
        <v>588672</v>
      </c>
      <c r="E79" s="103" t="n">
        <f aca="false">SUMIFS(報告入力!$AX$7:$AX$696,報告入力!$A$7:$A$696,$S$67,報告入力!$B$7:$B$696,$A79)</f>
        <v>33600</v>
      </c>
      <c r="F79" s="113" t="n">
        <f aca="false">SUMIFS(報告入力!$AY$7:$AY$696,報告入力!$A$7:$A$696,$S$67,報告入力!$B$7:$B$696,$A79)</f>
        <v>389</v>
      </c>
      <c r="G79" s="108" t="n">
        <f aca="false">SUM(B79:F79)</f>
        <v>1066181</v>
      </c>
      <c r="H79" s="114" t="n">
        <f aca="false">SUMIFS(報告入力!$AZ$7:$AZ$696,報告入力!$A$7:$A$696,$S$67,報告入力!$B$7:$B$696,$A79)</f>
        <v>306800</v>
      </c>
      <c r="I79" s="115" t="n">
        <f aca="false">SUMIFS(報告入力!$BA$7:$BA$696,報告入力!$A$7:$A$696,$S$67,報告入力!$B$7:$B$696,$A79)</f>
        <v>311950</v>
      </c>
      <c r="J79" s="116" t="n">
        <f aca="false">SUM(H79:I79)</f>
        <v>618750</v>
      </c>
      <c r="K79" s="109" t="n">
        <f aca="false">SUMIFS(報告入力!$BB$7:$BB$696,報告入力!$A$7:$A$696,$S$67,報告入力!$B$7:$B$696,$A79)</f>
        <v>35042</v>
      </c>
      <c r="L79" s="115" t="n">
        <f aca="false">SUMIFS(報告入力!$BC$7:$BC$696,報告入力!$A$7:$A$696,$S$67,報告入力!$B$7:$B$696,$A79)</f>
        <v>35044</v>
      </c>
      <c r="M79" s="116" t="n">
        <f aca="false">SUM(K79:L79)</f>
        <v>70086</v>
      </c>
      <c r="N79" s="205" t="n">
        <f aca="false">SUMIFS(報告入力!$BD$7:$BD$696,報告入力!$A$7:$A$696,$S$67,報告入力!$B$7:$B$696,$A79)</f>
        <v>6800</v>
      </c>
      <c r="O79" s="205" t="n">
        <f aca="false">SUMIFS(報告入力!$BE$7:$BE$696,報告入力!$A$7:$A$696,$S$67,報告入力!$B$7:$B$696,$A79)</f>
        <v>6803</v>
      </c>
      <c r="P79" s="116" t="n">
        <f aca="false">SUM(N79:O79)</f>
        <v>13603</v>
      </c>
      <c r="Q79" s="110" t="str">
        <f aca="false">IF(P14=P79,"〇","×")</f>
        <v>〇</v>
      </c>
      <c r="R79" s="110" t="str">
        <f aca="false">IFERROR(INDEX(報告入力!$C$7:$C$696,MATCH($S$67&amp;"|"&amp;$A79,報告入力!$CG$7:$CG$696,0)),"")</f>
        <v>入金確認済</v>
      </c>
    </row>
    <row r="80" s="110" customFormat="true" ht="20.1" hidden="false" customHeight="true" outlineLevel="0" collapsed="false">
      <c r="A80" s="100" t="s">
        <v>169</v>
      </c>
      <c r="B80" s="117" t="n">
        <f aca="false">SUMIFS(報告入力!$AU$7:$AU$696,報告入力!$A$7:$A$696,$S$67,報告入力!$B$7:$B$696,$A80)</f>
        <v>22394625</v>
      </c>
      <c r="C80" s="113" t="n">
        <f aca="false">SUMIFS(報告入力!$AV$7:$AV$696,報告入力!$A$7:$A$696,$S$67,報告入力!$B$7:$B$696,$A80)</f>
        <v>1835625</v>
      </c>
      <c r="D80" s="111" t="n">
        <f aca="false">SUMIFS(報告入力!$AW$7:$AW$696,報告入力!$A$7:$A$696,$S$67,報告入力!$B$7:$B$696,$A80)</f>
        <v>32282244</v>
      </c>
      <c r="E80" s="114" t="n">
        <f aca="false">SUMIFS(報告入力!$AX$7:$AX$696,報告入力!$A$7:$A$696,$S$67,報告入力!$B$7:$B$696,$A80)</f>
        <v>1835625</v>
      </c>
      <c r="F80" s="113" t="n">
        <f aca="false">SUMIFS(報告入力!$AY$7:$AY$696,報告入力!$A$7:$A$696,$S$67,報告入力!$B$7:$B$696,$A80)</f>
        <v>21527</v>
      </c>
      <c r="G80" s="108" t="n">
        <f aca="false">SUM(B80:F80)</f>
        <v>58369646</v>
      </c>
      <c r="H80" s="114" t="n">
        <f aca="false">SUMIFS(報告入力!$AZ$7:$AZ$696,報告入力!$A$7:$A$696,$S$67,報告入力!$B$7:$B$696,$A80)</f>
        <v>13377037</v>
      </c>
      <c r="I80" s="205" t="n">
        <f aca="false">SUMIFS(報告入力!$BA$7:$BA$696,報告入力!$A$7:$A$696,$S$67,報告入力!$B$7:$B$696,$A80)</f>
        <v>13604624</v>
      </c>
      <c r="J80" s="298" t="n">
        <f aca="false">SUM(H80:I80)</f>
        <v>26981661</v>
      </c>
      <c r="K80" s="205" t="n">
        <f aca="false">SUMIFS(報告入力!$BB$7:$BB$696,報告入力!$A$7:$A$696,$S$67,報告入力!$B$7:$B$696,$A80)</f>
        <v>1337154</v>
      </c>
      <c r="L80" s="205" t="n">
        <f aca="false">SUMIFS(報告入力!$BC$7:$BC$696,報告入力!$A$7:$A$696,$S$67,報告入力!$B$7:$B$696,$A80)</f>
        <v>1337154</v>
      </c>
      <c r="M80" s="298" t="n">
        <f aca="false">SUM(K80:L80)</f>
        <v>2674308</v>
      </c>
      <c r="N80" s="205" t="n">
        <f aca="false">SUMIFS(報告入力!$BD$7:$BD$696,報告入力!$A$7:$A$696,$S$67,報告入力!$B$7:$B$696,$A80)</f>
        <v>296548</v>
      </c>
      <c r="O80" s="205" t="n">
        <f aca="false">SUMIFS(報告入力!$BE$7:$BE$696,報告入力!$A$7:$A$696,$S$67,報告入力!$B$7:$B$696,$A80)</f>
        <v>296639</v>
      </c>
      <c r="P80" s="120" t="n">
        <f aca="false">SUM(N80:O80)</f>
        <v>593187</v>
      </c>
      <c r="Q80" s="110" t="str">
        <f aca="false">IF(P15=P80,"〇","×")</f>
        <v>×</v>
      </c>
      <c r="R80" s="110" t="str">
        <f aca="false">IFERROR(INDEX(報告入力!$C$7:$C$696,MATCH($S$67&amp;"|"&amp;$A80,報告入力!$CG$7:$CG$696,0)),"")</f>
        <v>入金確認済</v>
      </c>
    </row>
    <row r="81" s="110" customFormat="true" ht="19.5" hidden="false" customHeight="true" outlineLevel="0" collapsed="false">
      <c r="A81" s="121" t="s">
        <v>381</v>
      </c>
      <c r="B81" s="117" t="n">
        <f aca="false">SUMIFS(報告入力!$AU$7:$AU$696,報告入力!$A$7:$A$696,$S$67,報告入力!$B$7:$B$696,$A81)</f>
        <v>48495</v>
      </c>
      <c r="C81" s="122" t="n">
        <f aca="false">SUMIFS(報告入力!$AV$7:$AV$696,報告入力!$A$7:$A$696,$S$67,報告入力!$B$7:$B$696,$A81)</f>
        <v>3975</v>
      </c>
      <c r="D81" s="117" t="n">
        <f aca="false">SUMIFS(報告入力!$AW$7:$AW$696,報告入力!$A$7:$A$696,$S$67,報告入力!$B$7:$B$696,$A81)</f>
        <v>69642</v>
      </c>
      <c r="E81" s="118" t="n">
        <f aca="false">SUMIFS(報告入力!$AX$7:$AX$696,報告入力!$A$7:$A$696,$S$67,報告入力!$B$7:$B$696,$A81)</f>
        <v>3975</v>
      </c>
      <c r="F81" s="123" t="n">
        <f aca="false">SUMIFS(報告入力!$AY$7:$AY$696,報告入力!$A$7:$A$696,$S$67,報告入力!$B$7:$B$696,$A81)</f>
        <v>46</v>
      </c>
      <c r="G81" s="119" t="n">
        <f aca="false">SUM(B81:F81)</f>
        <v>126133</v>
      </c>
      <c r="H81" s="124" t="n">
        <f aca="false">SUMIFS(報告入力!$AZ$7:$AZ$696,報告入力!$A$7:$A$696,$S$67,報告入力!$B$7:$B$696,$A81)</f>
        <v>27485</v>
      </c>
      <c r="I81" s="125" t="n">
        <f aca="false">SUMIFS(報告入力!$BA$7:$BA$696,報告入力!$A$7:$A$696,$S$67,報告入力!$B$7:$B$696,$A81)</f>
        <v>27946</v>
      </c>
      <c r="J81" s="116" t="n">
        <f aca="false">SUM(H81:I81)</f>
        <v>55431</v>
      </c>
      <c r="K81" s="109" t="n">
        <f aca="false">SUMIFS(報告入力!$BB$7:$BB$696,報告入力!$A$7:$A$696,$S$67,報告入力!$B$7:$B$696,$A81)</f>
        <v>4187</v>
      </c>
      <c r="L81" s="115" t="n">
        <f aca="false">SUMIFS(報告入力!$BC$7:$BC$696,報告入力!$A$7:$A$696,$S$67,報告入力!$B$7:$B$696,$A81)</f>
        <v>4187</v>
      </c>
      <c r="M81" s="116" t="n">
        <f aca="false">SUM(K81:L81)</f>
        <v>8374</v>
      </c>
      <c r="N81" s="205" t="n">
        <f aca="false">SUMIFS(報告入力!$BD$7:$BD$696,報告入力!$A$7:$A$696,$S$67,報告入力!$B$7:$B$696,$A81)</f>
        <v>609</v>
      </c>
      <c r="O81" s="205" t="n">
        <f aca="false">SUMIFS(報告入力!$BE$7:$BE$696,報告入力!$A$7:$A$696,$S$67,報告入力!$B$7:$B$696,$A81)</f>
        <v>609</v>
      </c>
      <c r="P81" s="116" t="n">
        <f aca="false">SUM(N81:O81)</f>
        <v>1218</v>
      </c>
      <c r="Q81" s="110" t="str">
        <f aca="false">IF(P16=P81,"〇","×")</f>
        <v>〇</v>
      </c>
      <c r="R81" s="110" t="str">
        <f aca="false">IFERROR(INDEX(報告入力!$C$7:$C$696,MATCH($S$67&amp;"|"&amp;$A81,報告入力!$CG$7:$CG$696,0)),"")</f>
        <v>入金確認済</v>
      </c>
    </row>
    <row r="82" s="137" customFormat="true" ht="19.5" hidden="false" customHeight="true" outlineLevel="0" collapsed="false">
      <c r="A82" s="126" t="s">
        <v>171</v>
      </c>
      <c r="B82" s="127" t="n">
        <f aca="false">SUMIFS(報告入力!$AU$7:$AU$696,報告入力!$A$7:$A$696,$S$67,報告入力!$B$7:$B$696,$A82)</f>
        <v>0</v>
      </c>
      <c r="C82" s="128" t="n">
        <f aca="false">SUMIFS(報告入力!$AV$7:$AV$696,報告入力!$A$7:$A$696,$S$67,報告入力!$B$7:$B$696,$A82)</f>
        <v>0</v>
      </c>
      <c r="D82" s="129"/>
      <c r="E82" s="130"/>
      <c r="F82" s="131" t="n">
        <f aca="false">SUMIFS(報告入力!$AY$7:$AY$696,報告入力!$A$7:$A$696,$S$67,報告入力!$B$7:$B$696,$A82)</f>
        <v>0</v>
      </c>
      <c r="G82" s="132" t="n">
        <f aca="false">SUM(B82:F82)</f>
        <v>0</v>
      </c>
      <c r="H82" s="114" t="n">
        <f aca="false">SUMIFS(報告入力!$AZ$7:$AZ$696,報告入力!$A$7:$A$696,$S$67,報告入力!$B$7:$B$696,$A82)</f>
        <v>319157</v>
      </c>
      <c r="I82" s="115" t="n">
        <f aca="false">SUMIFS(報告入力!$BA$7:$BA$696,報告入力!$A$7:$A$696,$S$67,報告入力!$B$7:$B$696,$A82)</f>
        <v>324524</v>
      </c>
      <c r="J82" s="116" t="n">
        <f aca="false">SUM(H82:I82)</f>
        <v>643681</v>
      </c>
      <c r="K82" s="109" t="n">
        <f aca="false">SUMIFS(報告入力!$BB$7:$BB$696,報告入力!$A$7:$A$696,$S$67,報告入力!$B$7:$B$696,$A82)</f>
        <v>9622</v>
      </c>
      <c r="L82" s="115" t="n">
        <f aca="false">SUMIFS(報告入力!$BC$7:$BC$696,報告入力!$A$7:$A$696,$S$67,報告入力!$B$7:$B$696,$A82)</f>
        <v>9622</v>
      </c>
      <c r="M82" s="116" t="n">
        <f aca="false">SUM(K82:L82)</f>
        <v>19244</v>
      </c>
      <c r="N82" s="205" t="n">
        <f aca="false">SUMIFS(報告入力!$BD$7:$BD$696,報告入力!$A$7:$A$696,$S$67,報告入力!$B$7:$B$696,$A82)</f>
        <v>6964</v>
      </c>
      <c r="O82" s="205" t="n">
        <f aca="false">SUMIFS(報告入力!$BE$7:$BE$696,報告入力!$A$7:$A$696,$S$67,報告入力!$B$7:$B$696,$A82)</f>
        <v>6969</v>
      </c>
      <c r="P82" s="116" t="n">
        <f aca="false">SUM(N82:O82)</f>
        <v>13933</v>
      </c>
      <c r="Q82" s="137" t="str">
        <f aca="false">IF(P17=P82,"〇","×")</f>
        <v>×</v>
      </c>
      <c r="R82" s="137" t="str">
        <f aca="false">IFERROR(INDEX(報告入力!$C$7:$C$696,MATCH($S$67&amp;"|"&amp;$A82,報告入力!$CG$7:$CG$696,0)),"")</f>
        <v>入金確認済</v>
      </c>
    </row>
    <row r="83" s="137" customFormat="true" ht="19.5" hidden="false" customHeight="true" outlineLevel="0" collapsed="false">
      <c r="A83" s="138"/>
      <c r="B83" s="139"/>
      <c r="C83" s="140"/>
      <c r="D83" s="139"/>
      <c r="E83" s="141"/>
      <c r="F83" s="142"/>
      <c r="G83" s="143"/>
      <c r="H83" s="144"/>
      <c r="I83" s="145"/>
      <c r="J83" s="146"/>
      <c r="K83" s="147"/>
      <c r="L83" s="148"/>
      <c r="M83" s="148"/>
      <c r="N83" s="147"/>
      <c r="O83" s="148"/>
      <c r="P83" s="146"/>
      <c r="Q83" s="137" t="str">
        <f aca="false">IF(P18=P83,"〇","×")</f>
        <v>〇</v>
      </c>
    </row>
    <row r="84" s="137" customFormat="true" ht="19.5" hidden="false" customHeight="true" outlineLevel="0" collapsed="false">
      <c r="A84" s="149" t="s">
        <v>382</v>
      </c>
      <c r="B84" s="150"/>
      <c r="C84" s="151"/>
      <c r="D84" s="150"/>
      <c r="E84" s="152"/>
      <c r="F84" s="153"/>
      <c r="G84" s="154"/>
      <c r="H84" s="155"/>
      <c r="I84" s="152"/>
      <c r="J84" s="156"/>
      <c r="K84" s="157"/>
      <c r="L84" s="158"/>
      <c r="M84" s="158"/>
      <c r="N84" s="157"/>
      <c r="O84" s="158"/>
      <c r="P84" s="156"/>
      <c r="Q84" s="137" t="str">
        <f aca="false">IF(P19=P84,"〇","×")</f>
        <v>〇</v>
      </c>
    </row>
    <row r="85" s="137" customFormat="true" ht="19.5" hidden="false" customHeight="true" outlineLevel="0" collapsed="false">
      <c r="A85" s="149" t="s">
        <v>382</v>
      </c>
      <c r="B85" s="139"/>
      <c r="C85" s="140"/>
      <c r="D85" s="139"/>
      <c r="E85" s="141"/>
      <c r="F85" s="142"/>
      <c r="G85" s="143"/>
      <c r="H85" s="159"/>
      <c r="I85" s="141"/>
      <c r="J85" s="146"/>
      <c r="K85" s="160"/>
      <c r="L85" s="161"/>
      <c r="M85" s="161"/>
      <c r="N85" s="160"/>
      <c r="O85" s="161"/>
      <c r="P85" s="146"/>
      <c r="Q85" s="137" t="str">
        <f aca="false">IF(P20=P85,"〇","×")</f>
        <v>〇</v>
      </c>
    </row>
    <row r="86" s="137" customFormat="true" ht="19.5" hidden="false" customHeight="true" outlineLevel="0" collapsed="false">
      <c r="A86" s="162" t="s">
        <v>382</v>
      </c>
      <c r="B86" s="163"/>
      <c r="C86" s="164"/>
      <c r="D86" s="163"/>
      <c r="E86" s="165"/>
      <c r="F86" s="166"/>
      <c r="G86" s="167"/>
      <c r="H86" s="155"/>
      <c r="I86" s="168"/>
      <c r="J86" s="169"/>
      <c r="K86" s="157"/>
      <c r="L86" s="158"/>
      <c r="M86" s="170"/>
      <c r="N86" s="157"/>
      <c r="O86" s="158"/>
      <c r="P86" s="169"/>
      <c r="Q86" s="137" t="str">
        <f aca="false">IF(P21=P86,"〇","×")</f>
        <v>〇</v>
      </c>
    </row>
    <row r="87" s="137" customFormat="true" ht="19.5" hidden="false" customHeight="true" outlineLevel="0" collapsed="false">
      <c r="A87" s="171" t="s">
        <v>383</v>
      </c>
      <c r="B87" s="172" t="n">
        <f aca="false">SUM(B71:B86)</f>
        <v>360734449</v>
      </c>
      <c r="C87" s="173" t="n">
        <f aca="false">SUM(C71:C86)</f>
        <v>29571525</v>
      </c>
      <c r="D87" s="172" t="n">
        <f aca="false">SUM(D71:D86)</f>
        <v>517879799</v>
      </c>
      <c r="E87" s="174" t="n">
        <f aca="false">SUM(E71:E86)</f>
        <v>29053200</v>
      </c>
      <c r="F87" s="175" t="n">
        <f aca="false">SUM(F71:F86)</f>
        <v>347024</v>
      </c>
      <c r="G87" s="176" t="n">
        <f aca="false">SUM(B87:F87)</f>
        <v>937585997</v>
      </c>
      <c r="H87" s="173" t="n">
        <f aca="false">SUM(H71:H86)</f>
        <v>254242246</v>
      </c>
      <c r="I87" s="173" t="n">
        <f aca="false">SUM(I71:I86)</f>
        <v>254919952</v>
      </c>
      <c r="J87" s="175" t="n">
        <f aca="false">SUM(H87:I87)</f>
        <v>509162198</v>
      </c>
      <c r="K87" s="172" t="n">
        <f aca="false">SUM(K71:K86)</f>
        <v>23175009</v>
      </c>
      <c r="L87" s="173" t="n">
        <f aca="false">SUM(L71:L86)</f>
        <v>22746970</v>
      </c>
      <c r="M87" s="175" t="n">
        <f aca="false">SUM(K87:L87)</f>
        <v>45921979</v>
      </c>
      <c r="N87" s="172" t="n">
        <f aca="false">SUM(N71:N86)</f>
        <v>5633288</v>
      </c>
      <c r="O87" s="173" t="n">
        <f aca="false">SUM(O71:O86)</f>
        <v>5554520</v>
      </c>
      <c r="P87" s="175" t="n">
        <f aca="false">SUM(N87:O87)</f>
        <v>11187808</v>
      </c>
      <c r="Q87" s="137" t="str">
        <f aca="false">IF(P22=P87,"〇","×")</f>
        <v>×</v>
      </c>
    </row>
    <row r="88" s="110" customFormat="true" ht="20.1" hidden="false" customHeight="true" outlineLevel="0" collapsed="false">
      <c r="A88" s="177" t="s">
        <v>172</v>
      </c>
      <c r="B88" s="299"/>
      <c r="C88" s="300"/>
      <c r="D88" s="299"/>
      <c r="E88" s="301"/>
      <c r="F88" s="300"/>
      <c r="G88" s="302" t="n">
        <f aca="false">SUM(B88:F88)</f>
        <v>0</v>
      </c>
      <c r="H88" s="303"/>
      <c r="I88" s="304"/>
      <c r="J88" s="305" t="n">
        <f aca="false">SUM(H88:I88)</f>
        <v>0</v>
      </c>
      <c r="K88" s="303"/>
      <c r="L88" s="304"/>
      <c r="M88" s="306" t="n">
        <f aca="false">SUM(K88:L88)</f>
        <v>0</v>
      </c>
      <c r="N88" s="303"/>
      <c r="O88" s="304"/>
      <c r="P88" s="306" t="n">
        <f aca="false">SUM(N88:O88)</f>
        <v>0</v>
      </c>
      <c r="Q88" s="110" t="str">
        <f aca="false">IF(P23=P88,"〇","×")</f>
        <v>〇</v>
      </c>
      <c r="R88" s="110" t="str">
        <f aca="false">IFERROR(INDEX(報告入力!$C$7:$C$696,MATCH($S$67&amp;"|"&amp;$A88,報告入力!$CG$7:$CG$696,0)),"")</f>
        <v>報告なし</v>
      </c>
    </row>
    <row r="89" s="110" customFormat="true" ht="20.1" hidden="false" customHeight="true" outlineLevel="0" collapsed="false">
      <c r="A89" s="100" t="s">
        <v>174</v>
      </c>
      <c r="B89" s="111" t="n">
        <f aca="false">SUMIFS(報告入力!$AU$7:$AU$696,報告入力!$A$7:$A$696,$S$67,報告入力!$B$7:$B$696,$A89)</f>
        <v>0</v>
      </c>
      <c r="C89" s="112" t="n">
        <f aca="false">SUMIFS(報告入力!$AV$7:$AV$696,報告入力!$A$7:$A$696,$S$67,報告入力!$B$7:$B$696,$A89)</f>
        <v>0</v>
      </c>
      <c r="D89" s="117" t="n">
        <f aca="false">SUMIFS(報告入力!$AW$7:$AW$696,報告入力!$A$7:$A$696,$S$67,報告入力!$B$7:$B$696,$A89)</f>
        <v>765855</v>
      </c>
      <c r="E89" s="118" t="n">
        <f aca="false">SUMIFS(報告入力!$AX$7:$AX$696,報告入力!$A$7:$A$696,$S$67,報告入力!$B$7:$B$696,$A89)</f>
        <v>62775</v>
      </c>
      <c r="F89" s="113" t="n">
        <f aca="false">SUMIFS(報告入力!$AY$7:$AY$696,報告入力!$A$7:$A$696,$S$67,報告入力!$B$7:$B$696,$A89)</f>
        <v>789</v>
      </c>
      <c r="G89" s="108" t="n">
        <f aca="false">SUM(B89:F89)</f>
        <v>829419</v>
      </c>
      <c r="H89" s="114" t="n">
        <f aca="false">SUMIFS(報告入力!$AZ$7:$AZ$696,報告入力!$A$7:$A$696,$S$67,報告入力!$B$7:$B$696,$A89)</f>
        <v>0</v>
      </c>
      <c r="I89" s="115" t="n">
        <f aca="false">SUMIFS(報告入力!$BA$7:$BA$696,報告入力!$A$7:$A$696,$S$67,報告入力!$B$7:$B$696,$A89)</f>
        <v>441236</v>
      </c>
      <c r="J89" s="116" t="n">
        <f aca="false">SUM(H89:I89)</f>
        <v>441236</v>
      </c>
      <c r="K89" s="114" t="n">
        <f aca="false">SUMIFS(報告入力!$BB$7:$BB$696,報告入力!$A$7:$A$696,$S$67,報告入力!$B$7:$B$696,$A89)</f>
        <v>0</v>
      </c>
      <c r="L89" s="115" t="n">
        <f aca="false">SUMIFS(報告入力!$BC$7:$BC$696,報告入力!$A$7:$A$696,$S$67,報告入力!$B$7:$B$696,$A89)</f>
        <v>54826</v>
      </c>
      <c r="M89" s="116" t="n">
        <f aca="false">SUM(K89:L89)</f>
        <v>54826</v>
      </c>
      <c r="N89" s="114" t="n">
        <f aca="false">SUMIFS(報告入力!$BD$7:$BD$696,報告入力!$A$7:$A$696,$S$67,報告入力!$B$7:$B$696,$A89)</f>
        <v>0</v>
      </c>
      <c r="O89" s="115" t="n">
        <f aca="false">SUMIFS(報告入力!$BE$7:$BE$696,報告入力!$A$7:$A$696,$S$67,報告入力!$B$7:$B$696,$A89)</f>
        <v>9775</v>
      </c>
      <c r="P89" s="116" t="n">
        <f aca="false">SUM(N89:O89)</f>
        <v>9775</v>
      </c>
      <c r="Q89" s="110" t="str">
        <f aca="false">IF(P24=P89,"〇","×")</f>
        <v>〇</v>
      </c>
      <c r="R89" s="110" t="str">
        <f aca="false">IFERROR(INDEX(報告入力!$C$7:$C$696,MATCH($S$67&amp;"|"&amp;$A89,報告入力!$CG$7:$CG$696,0)),"")</f>
        <v>入金確認済</v>
      </c>
    </row>
    <row r="90" s="110" customFormat="true" ht="20.1" hidden="false" customHeight="true" outlineLevel="0" collapsed="false">
      <c r="A90" s="100" t="s">
        <v>175</v>
      </c>
      <c r="B90" s="186"/>
      <c r="C90" s="187"/>
      <c r="D90" s="111" t="n">
        <f aca="false">SUMIFS(報告入力!$AW$7:$AW$696,報告入力!$A$7:$A$696,$S$67,報告入力!$B$7:$B$696,$A90)</f>
        <v>2020320</v>
      </c>
      <c r="E90" s="114" t="n">
        <f aca="false">SUMIFS(報告入力!$AX$7:$AX$696,報告入力!$A$7:$A$696,$S$67,報告入力!$B$7:$B$696,$A90)</f>
        <v>165600</v>
      </c>
      <c r="F90" s="113" t="n">
        <f aca="false">SUMIFS(報告入力!$AY$7:$AY$696,報告入力!$A$7:$A$696,$S$67,報告入力!$B$7:$B$696,$A90)</f>
        <v>1999</v>
      </c>
      <c r="G90" s="108" t="n">
        <f aca="false">SUM(B90:F90)</f>
        <v>2187919</v>
      </c>
      <c r="H90" s="188"/>
      <c r="I90" s="205" t="n">
        <f aca="false">SUMIFS(報告入力!$BA$7:$BA$696,報告入力!$A$7:$A$696,$S$67,報告入力!$B$7:$B$696,$A90)</f>
        <v>1298833</v>
      </c>
      <c r="J90" s="298" t="n">
        <f aca="false">SUM(H90:I90)</f>
        <v>1298833</v>
      </c>
      <c r="K90" s="188"/>
      <c r="L90" s="205" t="n">
        <f aca="false">SUMIFS(報告入力!$BC$7:$BC$696,報告入力!$A$7:$A$696,$S$67,報告入力!$B$7:$B$696,$A90)</f>
        <v>141726</v>
      </c>
      <c r="M90" s="298" t="n">
        <f aca="false">SUM(K90:L90)</f>
        <v>141726</v>
      </c>
      <c r="N90" s="188"/>
      <c r="O90" s="115" t="n">
        <f aca="false">SUMIFS(報告入力!$BE$7:$BE$696,報告入力!$A$7:$A$696,$S$67,報告入力!$B$7:$B$696,$A90)</f>
        <v>28771</v>
      </c>
      <c r="P90" s="120" t="n">
        <f aca="false">SUM(N90:O90)</f>
        <v>28771</v>
      </c>
      <c r="Q90" s="110" t="str">
        <f aca="false">IF(P25=P90,"〇","×")</f>
        <v>×</v>
      </c>
      <c r="R90" s="110" t="str">
        <f aca="false">IFERROR(INDEX(報告入力!$C$7:$C$696,MATCH($S$67&amp;"|"&amp;$A90,報告入力!$CG$7:$CG$696,0)),"")</f>
        <v>入金確認済</v>
      </c>
    </row>
    <row r="91" s="110" customFormat="true" ht="20.1" hidden="false" customHeight="true" outlineLevel="0" collapsed="false">
      <c r="A91" s="100" t="s">
        <v>176</v>
      </c>
      <c r="B91" s="186"/>
      <c r="C91" s="187"/>
      <c r="D91" s="103" t="n">
        <f aca="false">SUMIFS(報告入力!$AW$7:$AW$696,報告入力!$A$7:$A$696,$S$67,報告入力!$B$7:$B$696,$A91)</f>
        <v>59475</v>
      </c>
      <c r="E91" s="114" t="n">
        <f aca="false">SUMIFS(報告入力!$AX$7:$AX$696,報告入力!$A$7:$A$696,$S$67,報告入力!$B$7:$B$696,$A91)</f>
        <v>4875</v>
      </c>
      <c r="F91" s="113" t="n">
        <f aca="false">SUMIFS(報告入力!$AY$7:$AY$696,報告入力!$A$7:$A$696,$S$67,報告入力!$B$7:$B$696,$A91)</f>
        <v>56</v>
      </c>
      <c r="G91" s="108" t="n">
        <f aca="false">SUM(B91:F91)</f>
        <v>64406</v>
      </c>
      <c r="H91" s="188"/>
      <c r="I91" s="205" t="n">
        <f aca="false">SUMIFS(報告入力!$BA$7:$BA$696,報告入力!$A$7:$A$696,$S$67,報告入力!$B$7:$B$696,$A91)</f>
        <v>36856</v>
      </c>
      <c r="J91" s="298" t="n">
        <f aca="false">SUM(H91:I91)</f>
        <v>36856</v>
      </c>
      <c r="K91" s="188"/>
      <c r="L91" s="205" t="n">
        <f aca="false">SUMIFS(報告入力!$BC$7:$BC$696,報告入力!$A$7:$A$696,$S$67,報告入力!$B$7:$B$696,$A91)</f>
        <v>5609</v>
      </c>
      <c r="M91" s="298" t="n">
        <f aca="false">SUM(K91:L91)</f>
        <v>5609</v>
      </c>
      <c r="N91" s="188"/>
      <c r="O91" s="115" t="n">
        <f aca="false">SUMIFS(報告入力!$BE$7:$BE$696,報告入力!$A$7:$A$696,$S$67,報告入力!$B$7:$B$696,$A91)</f>
        <v>816</v>
      </c>
      <c r="P91" s="120" t="n">
        <f aca="false">SUM(N91:O91)</f>
        <v>816</v>
      </c>
      <c r="Q91" s="110" t="str">
        <f aca="false">IF(P26=P91,"〇","×")</f>
        <v>〇</v>
      </c>
      <c r="R91" s="110" t="str">
        <f aca="false">IFERROR(INDEX(報告入力!$C$7:$C$696,MATCH($S$67&amp;"|"&amp;$A91,報告入力!$CG$7:$CG$696,0)),"")</f>
        <v>入金確認済</v>
      </c>
    </row>
    <row r="92" s="110" customFormat="true" ht="20.1" hidden="false" customHeight="true" outlineLevel="0" collapsed="false">
      <c r="A92" s="189" t="s">
        <v>177</v>
      </c>
      <c r="B92" s="186"/>
      <c r="C92" s="187"/>
      <c r="D92" s="103" t="n">
        <f aca="false">SUMIFS(報告入力!$AW$7:$AW$696,報告入力!$A$7:$A$696,$S$67,報告入力!$B$7:$B$696,$A92)</f>
        <v>417240</v>
      </c>
      <c r="E92" s="114" t="n">
        <f aca="false">SUMIFS(報告入力!$AX$7:$AX$696,報告入力!$A$7:$A$696,$S$67,報告入力!$B$7:$B$696,$A92)</f>
        <v>34200</v>
      </c>
      <c r="F92" s="113" t="n">
        <f aca="false">SUMIFS(報告入力!$AY$7:$AY$696,報告入力!$A$7:$A$696,$S$67,報告入力!$B$7:$B$696,$A92)</f>
        <v>395</v>
      </c>
      <c r="G92" s="108" t="n">
        <f aca="false">SUM(B92:F92)</f>
        <v>451835</v>
      </c>
      <c r="H92" s="188"/>
      <c r="I92" s="115" t="n">
        <f aca="false">SUMIFS(報告入力!$BA$7:$BA$696,報告入力!$A$7:$A$696,$S$67,報告入力!$B$7:$B$696,$A92)</f>
        <v>236708</v>
      </c>
      <c r="J92" s="116" t="n">
        <f aca="false">SUM(H92:I92)</f>
        <v>236708</v>
      </c>
      <c r="K92" s="188"/>
      <c r="L92" s="115" t="n">
        <f aca="false">SUMIFS(報告入力!$BC$7:$BC$696,報告入力!$A$7:$A$696,$S$67,報告入力!$B$7:$B$696,$A92)</f>
        <v>30968</v>
      </c>
      <c r="M92" s="116" t="n">
        <f aca="false">SUM(K92:L92)</f>
        <v>30968</v>
      </c>
      <c r="N92" s="188"/>
      <c r="O92" s="115" t="n">
        <f aca="false">SUMIFS(報告入力!$BE$7:$BE$696,報告入力!$A$7:$A$696,$S$67,報告入力!$B$7:$B$696,$A92)</f>
        <v>5243</v>
      </c>
      <c r="P92" s="116" t="n">
        <f aca="false">SUM(N92:O92)</f>
        <v>5243</v>
      </c>
      <c r="Q92" s="110" t="str">
        <f aca="false">IF(P27=P92,"〇","×")</f>
        <v>〇</v>
      </c>
      <c r="R92" s="110" t="str">
        <f aca="false">IFERROR(INDEX(報告入力!$C$7:$C$696,MATCH($S$67&amp;"|"&amp;$A92,報告入力!$CG$7:$CG$696,0)),"")</f>
        <v>入金確認済</v>
      </c>
    </row>
    <row r="93" s="110" customFormat="true" ht="20.1" hidden="false" customHeight="true" outlineLevel="0" collapsed="false">
      <c r="A93" s="121" t="s">
        <v>178</v>
      </c>
      <c r="B93" s="186"/>
      <c r="C93" s="191"/>
      <c r="D93" s="103" t="n">
        <f aca="false">SUMIFS(報告入力!$AW$7:$AW$696,報告入力!$A$7:$A$696,$S$67,報告入力!$B$7:$B$696,$A93)</f>
        <v>40260</v>
      </c>
      <c r="E93" s="114" t="n">
        <f aca="false">SUMIFS(報告入力!$AX$7:$AX$696,報告入力!$A$7:$A$696,$S$67,報告入力!$B$7:$B$696,$A93)</f>
        <v>3300</v>
      </c>
      <c r="F93" s="123" t="n">
        <f aca="false">SUMIFS(報告入力!$AY$7:$AY$696,報告入力!$A$7:$A$696,$S$67,報告入力!$B$7:$B$696,$A93)</f>
        <v>38</v>
      </c>
      <c r="G93" s="108" t="n">
        <f aca="false">SUM(B93:F93)</f>
        <v>43598</v>
      </c>
      <c r="H93" s="188"/>
      <c r="I93" s="205" t="n">
        <f aca="false">SUMIFS(報告入力!$BA$7:$BA$696,報告入力!$A$7:$A$696,$S$67,報告入力!$B$7:$B$696,$A93)</f>
        <v>22840</v>
      </c>
      <c r="J93" s="298" t="n">
        <f aca="false">SUM(H93:I93)</f>
        <v>22840</v>
      </c>
      <c r="K93" s="188"/>
      <c r="L93" s="205" t="n">
        <f aca="false">SUMIFS(報告入力!$BC$7:$BC$696,報告入力!$A$7:$A$696,$S$67,報告入力!$B$7:$B$696,$A93)</f>
        <v>3476</v>
      </c>
      <c r="M93" s="298" t="n">
        <f aca="false">SUM(K93:L93)</f>
        <v>3476</v>
      </c>
      <c r="N93" s="188"/>
      <c r="O93" s="115" t="n">
        <f aca="false">SUMIFS(報告入力!$BE$7:$BE$696,報告入力!$A$7:$A$696,$S$67,報告入力!$B$7:$B$696,$A93)</f>
        <v>506</v>
      </c>
      <c r="P93" s="120" t="n">
        <f aca="false">SUM(N93:O93)</f>
        <v>506</v>
      </c>
      <c r="Q93" s="110" t="str">
        <f aca="false">IF(P28=P93,"〇","×")</f>
        <v>〇</v>
      </c>
      <c r="R93" s="110" t="str">
        <f aca="false">IFERROR(INDEX(報告入力!$C$7:$C$696,MATCH($S$67&amp;"|"&amp;$A93,報告入力!$CG$7:$CG$696,0)),"")</f>
        <v>入金確認済</v>
      </c>
    </row>
    <row r="94" s="110" customFormat="true" ht="20.1" hidden="false" customHeight="true" outlineLevel="0" collapsed="false">
      <c r="A94" s="121" t="s">
        <v>179</v>
      </c>
      <c r="B94" s="186"/>
      <c r="C94" s="191"/>
      <c r="D94" s="117" t="n">
        <f aca="false">SUMIFS(報告入力!$AW$7:$AW$696,報告入力!$A$7:$A$696,$S$67,報告入力!$B$7:$B$696,$A94)</f>
        <v>0</v>
      </c>
      <c r="E94" s="114" t="n">
        <f aca="false">SUMIFS(報告入力!$AX$7:$AX$696,報告入力!$A$7:$A$696,$S$67,報告入力!$B$7:$B$696,$A94)</f>
        <v>0</v>
      </c>
      <c r="F94" s="113" t="n">
        <f aca="false">SUMIFS(報告入力!$AY$7:$AY$696,報告入力!$A$7:$A$696,$S$67,報告入力!$B$7:$B$696,$A94)</f>
        <v>0</v>
      </c>
      <c r="G94" s="108" t="n">
        <f aca="false">SUM(B94:F94)</f>
        <v>0</v>
      </c>
      <c r="H94" s="188"/>
      <c r="I94" s="115" t="n">
        <f aca="false">SUMIFS(報告入力!$BA$7:$BA$696,報告入力!$A$7:$A$696,$S$67,報告入力!$B$7:$B$696,$A94)</f>
        <v>0</v>
      </c>
      <c r="J94" s="298" t="n">
        <f aca="false">SUM(H94:I94)</f>
        <v>0</v>
      </c>
      <c r="K94" s="188"/>
      <c r="L94" s="205" t="n">
        <f aca="false">SUMIFS(報告入力!$BC$7:$BC$696,報告入力!$A$7:$A$696,$S$67,報告入力!$B$7:$B$696,$A94)</f>
        <v>0</v>
      </c>
      <c r="M94" s="298" t="n">
        <f aca="false">SUM(K94:L94)</f>
        <v>0</v>
      </c>
      <c r="N94" s="188"/>
      <c r="O94" s="115" t="n">
        <f aca="false">SUMIFS(報告入力!$BE$7:$BE$696,報告入力!$A$7:$A$696,$S$67,報告入力!$B$7:$B$696,$A94)</f>
        <v>0</v>
      </c>
      <c r="P94" s="120" t="n">
        <f aca="false">SUM(N94:O94)</f>
        <v>0</v>
      </c>
      <c r="Q94" s="110" t="str">
        <f aca="false">IF(P29=P94,"〇","×")</f>
        <v>〇</v>
      </c>
      <c r="R94" s="110" t="str">
        <f aca="false">IFERROR(INDEX(報告入力!$C$7:$C$696,MATCH($S$67&amp;"|"&amp;$A94,報告入力!$CG$7:$CG$696,0)),"")</f>
        <v>入金確認済</v>
      </c>
    </row>
    <row r="95" s="110" customFormat="true" ht="20.1" hidden="false" customHeight="true" outlineLevel="0" collapsed="false">
      <c r="A95" s="192" t="s">
        <v>180</v>
      </c>
      <c r="B95" s="186"/>
      <c r="C95" s="193"/>
      <c r="D95" s="111" t="n">
        <f aca="false">SUMIFS(報告入力!$AW$7:$AW$696,報告入力!$A$7:$A$696,$S$67,報告入力!$B$7:$B$696,$A95)</f>
        <v>193065</v>
      </c>
      <c r="E95" s="114" t="n">
        <f aca="false">SUMIFS(報告入力!$AX$7:$AX$696,報告入力!$A$7:$A$696,$S$67,報告入力!$B$7:$B$696,$A95)</f>
        <v>15825</v>
      </c>
      <c r="F95" s="113" t="n">
        <f aca="false">SUMIFS(報告入力!$AY$7:$AY$696,報告入力!$A$7:$A$696,$S$67,報告入力!$B$7:$B$696,$A95)</f>
        <v>183</v>
      </c>
      <c r="G95" s="108" t="n">
        <f aca="false">SUM(B95:F95)</f>
        <v>209073</v>
      </c>
      <c r="H95" s="188"/>
      <c r="I95" s="115" t="n">
        <f aca="false">SUMIFS(報告入力!$BA$7:$BA$696,報告入力!$A$7:$A$696,$S$67,報告入力!$B$7:$B$696,$A95)</f>
        <v>109530</v>
      </c>
      <c r="J95" s="298" t="n">
        <f aca="false">SUM(H95:I95)</f>
        <v>109530</v>
      </c>
      <c r="K95" s="188"/>
      <c r="L95" s="205" t="n">
        <f aca="false">SUMIFS(報告入力!$BC$7:$BC$696,報告入力!$A$7:$A$696,$S$67,報告入力!$B$7:$B$696,$A95)</f>
        <v>12956</v>
      </c>
      <c r="M95" s="298" t="n">
        <f aca="false">SUM(K95:L95)</f>
        <v>12956</v>
      </c>
      <c r="N95" s="188"/>
      <c r="O95" s="115" t="n">
        <f aca="false">SUMIFS(報告入力!$BE$7:$BE$696,報告入力!$A$7:$A$696,$S$67,報告入力!$B$7:$B$696,$A95)</f>
        <v>2426</v>
      </c>
      <c r="P95" s="120" t="n">
        <f aca="false">SUM(N95:O95)</f>
        <v>2426</v>
      </c>
      <c r="Q95" s="110" t="str">
        <f aca="false">IF(P30=P95,"〇","×")</f>
        <v>〇</v>
      </c>
      <c r="R95" s="110" t="str">
        <f aca="false">IFERROR(INDEX(報告入力!$C$7:$C$696,MATCH($S$67&amp;"|"&amp;$A95,報告入力!$CG$7:$CG$696,0)),"")</f>
        <v>入金確認済</v>
      </c>
    </row>
    <row r="96" s="110" customFormat="true" ht="20.1" hidden="false" customHeight="true" outlineLevel="0" collapsed="false">
      <c r="A96" s="100" t="s">
        <v>181</v>
      </c>
      <c r="B96" s="117" t="n">
        <f aca="false">SUMIFS(報告入力!$AU$7:$AU$696,報告入力!$A$7:$A$696,$S$67,報告入力!$B$7:$B$696,$A96)</f>
        <v>237900</v>
      </c>
      <c r="C96" s="113" t="n">
        <f aca="false">SUMIFS(報告入力!$AV$7:$AV$696,報告入力!$A$7:$A$696,$S$67,報告入力!$B$7:$B$696,$A96)</f>
        <v>19500</v>
      </c>
      <c r="D96" s="111" t="n">
        <f aca="false">SUMIFS(報告入力!$AW$7:$AW$696,報告入力!$A$7:$A$696,$S$67,報告入力!$B$7:$B$696,$A96)</f>
        <v>237900</v>
      </c>
      <c r="E96" s="114" t="n">
        <f aca="false">SUMIFS(報告入力!$AX$7:$AX$696,報告入力!$A$7:$A$696,$S$67,報告入力!$B$7:$B$696,$A96)</f>
        <v>19500</v>
      </c>
      <c r="F96" s="113" t="n">
        <f aca="false">SUMIFS(報告入力!$AY$7:$AY$696,報告入力!$A$7:$A$696,$S$67,報告入力!$B$7:$B$696,$A96)</f>
        <v>225</v>
      </c>
      <c r="G96" s="108" t="n">
        <f aca="false">SUM(B96:F96)</f>
        <v>515025</v>
      </c>
      <c r="H96" s="114" t="n">
        <f aca="false">SUMIFS(報告入力!$AZ$7:$AZ$696,報告入力!$A$7:$A$696,$S$67,報告入力!$B$7:$B$696,$A96)</f>
        <v>137945</v>
      </c>
      <c r="I96" s="115" t="n">
        <f aca="false">SUMIFS(報告入力!$BA$7:$BA$696,報告入力!$A$7:$A$696,$S$67,報告入力!$B$7:$B$696,$A96)</f>
        <v>138080</v>
      </c>
      <c r="J96" s="116" t="n">
        <f aca="false">SUM(H96:I96)</f>
        <v>276025</v>
      </c>
      <c r="K96" s="114" t="n">
        <f aca="false">SUMIFS(報告入力!$BB$7:$BB$696,報告入力!$A$7:$A$696,$S$67,報告入力!$B$7:$B$696,$A96)</f>
        <v>10744</v>
      </c>
      <c r="L96" s="115" t="n">
        <f aca="false">SUMIFS(報告入力!$BC$7:$BC$696,報告入力!$A$7:$A$696,$S$67,報告入力!$B$7:$B$696,$A96)</f>
        <v>10744</v>
      </c>
      <c r="M96" s="116" t="n">
        <f aca="false">SUM(K96:L96)</f>
        <v>21488</v>
      </c>
      <c r="N96" s="114" t="n">
        <f aca="false">SUMIFS(報告入力!$BD$7:$BD$696,報告入力!$A$7:$A$696,$S$67,報告入力!$B$7:$B$696,$A96)</f>
        <v>3058</v>
      </c>
      <c r="O96" s="115" t="n">
        <f aca="false">SUMIFS(報告入力!$BE$7:$BE$696,報告入力!$A$7:$A$696,$S$67,報告入力!$B$7:$B$696,$A96)</f>
        <v>3059</v>
      </c>
      <c r="P96" s="116" t="n">
        <f aca="false">SUM(N96:O96)</f>
        <v>6117</v>
      </c>
      <c r="Q96" s="110" t="str">
        <f aca="false">IF(P31=P96,"〇","×")</f>
        <v>×</v>
      </c>
      <c r="R96" s="110" t="str">
        <f aca="false">IFERROR(INDEX(報告入力!$C$7:$C$696,MATCH($S$67&amp;"|"&amp;$A96,報告入力!$CG$7:$CG$696,0)),"")</f>
        <v>入金確認済</v>
      </c>
    </row>
    <row r="97" s="110" customFormat="true" ht="20.1" hidden="false" customHeight="true" outlineLevel="0" collapsed="false">
      <c r="A97" s="194" t="s">
        <v>182</v>
      </c>
      <c r="B97" s="117" t="n">
        <f aca="false">SUMIFS(報告入力!$AU$7:$AU$696,報告入力!$A$7:$A$696,$S$67,報告入力!$B$7:$B$696,$A97)</f>
        <v>40260</v>
      </c>
      <c r="C97" s="113" t="n">
        <f aca="false">SUMIFS(報告入力!$AV$7:$AV$696,報告入力!$A$7:$A$696,$S$67,報告入力!$B$7:$B$696,$A97)</f>
        <v>3300</v>
      </c>
      <c r="D97" s="111" t="n">
        <f aca="false">SUMIFS(報告入力!$AW$7:$AW$696,報告入力!$A$7:$A$696,$S$67,報告入力!$B$7:$B$696,$A97)</f>
        <v>40260</v>
      </c>
      <c r="E97" s="114" t="n">
        <f aca="false">SUMIFS(報告入力!$AX$7:$AX$696,報告入力!$A$7:$A$696,$S$67,報告入力!$B$7:$B$696,$A97)</f>
        <v>3300</v>
      </c>
      <c r="F97" s="113" t="n">
        <f aca="false">SUMIFS(報告入力!$AY$7:$AY$696,報告入力!$A$7:$A$696,$S$67,報告入力!$B$7:$B$696,$A97)</f>
        <v>38</v>
      </c>
      <c r="G97" s="108" t="n">
        <f aca="false">SUM(B97:F97)</f>
        <v>87158</v>
      </c>
      <c r="H97" s="114" t="n">
        <f aca="false">SUMIFS(報告入力!$AZ$7:$AZ$696,報告入力!$A$7:$A$696,$S$67,報告入力!$B$7:$B$696,$A97)</f>
        <v>22818</v>
      </c>
      <c r="I97" s="115" t="n">
        <f aca="false">SUMIFS(報告入力!$BA$7:$BA$696,報告入力!$A$7:$A$696,$S$67,報告入力!$B$7:$B$696,$A97)</f>
        <v>22840</v>
      </c>
      <c r="J97" s="298" t="n">
        <f aca="false">SUM(H97:I97)</f>
        <v>45658</v>
      </c>
      <c r="K97" s="114" t="n">
        <f aca="false">SUMIFS(報告入力!$BB$7:$BB$696,報告入力!$A$7:$A$696,$S$67,報告入力!$B$7:$B$696,$A97)</f>
        <v>0</v>
      </c>
      <c r="L97" s="205" t="n">
        <f aca="false">SUMIFS(報告入力!$BC$7:$BC$696,報告入力!$A$7:$A$696,$S$67,報告入力!$B$7:$B$696,$A97)</f>
        <v>0</v>
      </c>
      <c r="M97" s="298" t="n">
        <f aca="false">SUM(K97:L97)</f>
        <v>0</v>
      </c>
      <c r="N97" s="114" t="n">
        <f aca="false">SUMIFS(報告入力!$BD$7:$BD$696,報告入力!$A$7:$A$696,$S$67,報告入力!$B$7:$B$696,$A97)</f>
        <v>506</v>
      </c>
      <c r="O97" s="115" t="n">
        <f aca="false">SUMIFS(報告入力!$BE$7:$BE$696,報告入力!$A$7:$A$696,$S$67,報告入力!$B$7:$B$696,$A97)</f>
        <v>506</v>
      </c>
      <c r="P97" s="120" t="n">
        <f aca="false">SUM(N97:O97)</f>
        <v>1012</v>
      </c>
      <c r="Q97" s="110" t="str">
        <f aca="false">IF(P32=P97,"〇","×")</f>
        <v>〇</v>
      </c>
      <c r="R97" s="110" t="str">
        <f aca="false">IFERROR(INDEX(報告入力!$C$7:$C$696,MATCH($S$67&amp;"|"&amp;$A97,報告入力!$CG$7:$CG$696,0)),"")</f>
        <v>入金確認済</v>
      </c>
    </row>
    <row r="98" s="110" customFormat="true" ht="20.1" hidden="false" customHeight="true" outlineLevel="0" collapsed="false">
      <c r="A98" s="197" t="s">
        <v>183</v>
      </c>
      <c r="B98" s="111" t="n">
        <f aca="false">SUMIFS(報告入力!$AU$7:$AU$696,報告入力!$A$7:$A$696,$S$67,報告入力!$B$7:$B$696,$A98)</f>
        <v>107970</v>
      </c>
      <c r="C98" s="113" t="n">
        <f aca="false">SUMIFS(報告入力!$AV$7:$AV$696,報告入力!$A$7:$A$696,$S$67,報告入力!$B$7:$B$696,$A98)</f>
        <v>8850</v>
      </c>
      <c r="D98" s="111" t="n">
        <f aca="false">SUMIFS(報告入力!$AW$7:$AW$696,報告入力!$A$7:$A$696,$S$67,報告入力!$B$7:$B$696,$A98)</f>
        <v>107970</v>
      </c>
      <c r="E98" s="114" t="n">
        <f aca="false">SUMIFS(報告入力!$AX$7:$AX$696,報告入力!$A$7:$A$696,$S$67,報告入力!$B$7:$B$696,$A98)</f>
        <v>8850</v>
      </c>
      <c r="F98" s="113" t="n">
        <f aca="false">SUMIFS(報告入力!$AY$7:$AY$696,報告入力!$A$7:$A$696,$S$67,報告入力!$B$7:$B$696,$A98)</f>
        <v>102</v>
      </c>
      <c r="G98" s="108" t="n">
        <f aca="false">SUM(B98:F98)</f>
        <v>233742</v>
      </c>
      <c r="H98" s="114" t="n">
        <f aca="false">SUMIFS(報告入力!$AZ$7:$AZ$696,報告入力!$A$7:$A$696,$S$67,報告入力!$B$7:$B$696,$A98)</f>
        <v>61194</v>
      </c>
      <c r="I98" s="115" t="n">
        <f aca="false">SUMIFS(報告入力!$BA$7:$BA$696,報告入力!$A$7:$A$696,$S$67,報告入力!$B$7:$B$696,$A98)</f>
        <v>61253</v>
      </c>
      <c r="J98" s="298" t="n">
        <f aca="false">SUM(H98:I98)</f>
        <v>122447</v>
      </c>
      <c r="K98" s="114" t="n">
        <f aca="false">SUMIFS(報告入力!$BB$7:$BB$696,報告入力!$A$7:$A$696,$S$67,報告入力!$B$7:$B$696,$A98)</f>
        <v>9322</v>
      </c>
      <c r="L98" s="115" t="n">
        <f aca="false">SUMIFS(報告入力!$BC$7:$BC$696,報告入力!$A$7:$A$696,$S$67,報告入力!$B$7:$B$696,$A98)</f>
        <v>9322</v>
      </c>
      <c r="M98" s="298" t="n">
        <f aca="false">SUM(K98:L98)</f>
        <v>18644</v>
      </c>
      <c r="N98" s="114" t="n">
        <f aca="false">SUMIFS(報告入力!$BD$7:$BD$696,報告入力!$A$7:$A$696,$S$67,報告入力!$B$7:$B$696,$A98)</f>
        <v>1356</v>
      </c>
      <c r="O98" s="115" t="n">
        <f aca="false">SUMIFS(報告入力!$BE$7:$BE$696,報告入力!$A$7:$A$696,$S$67,報告入力!$B$7:$B$696,$A98)</f>
        <v>1357</v>
      </c>
      <c r="P98" s="120" t="n">
        <f aca="false">SUM(N98:O98)</f>
        <v>2713</v>
      </c>
      <c r="Q98" s="110" t="str">
        <f aca="false">IF(P33=P98,"〇","×")</f>
        <v>〇</v>
      </c>
      <c r="R98" s="110" t="str">
        <f aca="false">IFERROR(INDEX(報告入力!$C$7:$C$696,MATCH($S$67&amp;"|"&amp;$A98,報告入力!$CG$7:$CG$696,0)),"")</f>
        <v>入金確認済</v>
      </c>
    </row>
    <row r="99" s="110" customFormat="true" ht="20.1" hidden="false" customHeight="true" outlineLevel="0" collapsed="false">
      <c r="A99" s="100" t="s">
        <v>184</v>
      </c>
      <c r="B99" s="185" t="n">
        <f aca="false">SUMIFS(報告入力!$AU$7:$AU$696,報告入力!$A$7:$A$696,$S$67,報告入力!$B$7:$B$696,$A99)</f>
        <v>746640</v>
      </c>
      <c r="C99" s="123" t="n">
        <f aca="false">SUMIFS(報告入力!$AV$7:$AV$696,報告入力!$A$7:$A$696,$S$67,報告入力!$B$7:$B$696,$A99)</f>
        <v>61200</v>
      </c>
      <c r="D99" s="185" t="n">
        <f aca="false">SUMIFS(報告入力!$AW$7:$AW$696,報告入力!$A$7:$A$696,$S$67,報告入力!$B$7:$B$696,$A99)</f>
        <v>784155</v>
      </c>
      <c r="E99" s="198" t="n">
        <f aca="false">SUMIFS(報告入力!$AX$7:$AX$696,報告入力!$A$7:$A$696,$S$67,報告入力!$B$7:$B$696,$A99)</f>
        <v>64275</v>
      </c>
      <c r="F99" s="199" t="n">
        <f aca="false">SUMIFS(報告入力!$AY$7:$AY$696,報告入力!$A$7:$A$696,$S$67,報告入力!$B$7:$B$696,$A99)</f>
        <v>804</v>
      </c>
      <c r="G99" s="108" t="n">
        <f aca="false">SUM(B99:F99)</f>
        <v>1657074</v>
      </c>
      <c r="H99" s="198" t="n">
        <f aca="false">SUMIFS(報告入力!$AZ$7:$AZ$696,報告入力!$A$7:$A$696,$S$67,報告入力!$B$7:$B$696,$A99)</f>
        <v>423172</v>
      </c>
      <c r="I99" s="200" t="n">
        <f aca="false">SUMIFS(報告入力!$BA$7:$BA$696,報告入力!$A$7:$A$696,$S$67,報告入力!$B$7:$B$696,$A99)</f>
        <v>444868</v>
      </c>
      <c r="J99" s="116" t="n">
        <f aca="false">SUM(H99:I99)</f>
        <v>868040</v>
      </c>
      <c r="K99" s="198" t="n">
        <f aca="false">SUMIFS(報告入力!$BB$7:$BB$696,報告入力!$A$7:$A$696,$S$67,報告入力!$B$7:$B$696,$A99)</f>
        <v>39342</v>
      </c>
      <c r="L99" s="200" t="n">
        <f aca="false">SUMIFS(報告入力!$BC$7:$BC$696,報告入力!$A$7:$A$696,$S$67,報告入力!$B$7:$B$696,$A99)</f>
        <v>39342</v>
      </c>
      <c r="M99" s="116" t="n">
        <f aca="false">SUM(K99:L99)</f>
        <v>78684</v>
      </c>
      <c r="N99" s="198" t="n">
        <f aca="false">SUMIFS(報告入力!$BD$7:$BD$696,報告入力!$A$7:$A$696,$S$67,報告入力!$B$7:$B$696,$A99)</f>
        <v>9380</v>
      </c>
      <c r="O99" s="115" t="n">
        <f aca="false">SUMIFS(報告入力!$BE$7:$BE$696,報告入力!$A$7:$A$696,$S$67,報告入力!$B$7:$B$696,$A99)</f>
        <v>9855</v>
      </c>
      <c r="P99" s="116" t="n">
        <f aca="false">SUM(N99:O99)</f>
        <v>19235</v>
      </c>
      <c r="Q99" s="110" t="str">
        <f aca="false">IF(P34=P99,"〇","×")</f>
        <v>×</v>
      </c>
      <c r="R99" s="110" t="str">
        <f aca="false">IFERROR(INDEX(報告入力!$C$7:$C$696,MATCH($S$67&amp;"|"&amp;$A99,報告入力!$CG$7:$CG$696,0)),"")</f>
        <v>入金確認済</v>
      </c>
    </row>
    <row r="100" s="110" customFormat="true" ht="20.1" hidden="false" customHeight="true" outlineLevel="0" collapsed="false">
      <c r="A100" s="100" t="s">
        <v>185</v>
      </c>
      <c r="B100" s="201"/>
      <c r="C100" s="191"/>
      <c r="D100" s="117" t="n">
        <f aca="false">SUMIFS(報告入力!$AW$7:$AW$696,報告入力!$A$7:$A$696,$S$67,報告入力!$B$7:$B$696,$A100)</f>
        <v>607560</v>
      </c>
      <c r="E100" s="124" t="n">
        <f aca="false">SUMIFS(報告入力!$AX$7:$AX$696,報告入力!$A$7:$A$696,$S$67,報告入力!$B$7:$B$696,$A100)</f>
        <v>49800</v>
      </c>
      <c r="F100" s="123" t="n">
        <f aca="false">SUMIFS(報告入力!$AY$7:$AY$696,報告入力!$A$7:$A$696,$S$67,報告入力!$B$7:$B$696,$A100)</f>
        <v>603</v>
      </c>
      <c r="G100" s="108" t="n">
        <f aca="false">SUM(B100:F100)</f>
        <v>657963</v>
      </c>
      <c r="H100" s="202"/>
      <c r="I100" s="125" t="n">
        <f aca="false">SUMIFS(報告入力!$BA$7:$BA$696,報告入力!$A$7:$A$696,$S$67,報告入力!$B$7:$B$696,$A100)</f>
        <v>344697</v>
      </c>
      <c r="J100" s="116" t="n">
        <f aca="false">SUM(H100:I100)</f>
        <v>344697</v>
      </c>
      <c r="K100" s="202"/>
      <c r="L100" s="125" t="n">
        <f aca="false">SUMIFS(報告入力!$BC$7:$BC$696,報告入力!$A$7:$A$696,$S$67,報告入力!$B$7:$B$696,$A100)</f>
        <v>28203</v>
      </c>
      <c r="M100" s="298" t="n">
        <f aca="false">SUM(K100:L100)</f>
        <v>28203</v>
      </c>
      <c r="N100" s="202"/>
      <c r="O100" s="115" t="n">
        <f aca="false">SUMIFS(報告入力!$BE$7:$BE$696,報告入力!$A$7:$A$696,$S$67,報告入力!$B$7:$B$696,$A100)</f>
        <v>7634</v>
      </c>
      <c r="P100" s="120" t="n">
        <f aca="false">SUM(N100:O100)</f>
        <v>7634</v>
      </c>
      <c r="Q100" s="110" t="str">
        <f aca="false">IF(P35=P100,"〇","×")</f>
        <v>×</v>
      </c>
      <c r="R100" s="110" t="str">
        <f aca="false">IFERROR(INDEX(報告入力!$C$7:$C$696,MATCH($S$67&amp;"|"&amp;$A100,報告入力!$CG$7:$CG$696,0)),"")</f>
        <v>入金確認済</v>
      </c>
    </row>
    <row r="101" s="110" customFormat="true" ht="20.1" hidden="false" customHeight="true" outlineLevel="0" collapsed="false">
      <c r="A101" s="203" t="s">
        <v>186</v>
      </c>
      <c r="B101" s="186"/>
      <c r="C101" s="193"/>
      <c r="D101" s="111" t="n">
        <f aca="false">SUMIFS(報告入力!$AW$7:$AW$696,報告入力!$A$7:$A$696,$S$67,報告入力!$B$7:$B$696,$A101)</f>
        <v>1056825</v>
      </c>
      <c r="E101" s="114" t="n">
        <f aca="false">SUMIFS(報告入力!$AX$7:$AX$696,報告入力!$A$7:$A$696,$S$67,報告入力!$B$7:$B$696,$A101)</f>
        <v>86625</v>
      </c>
      <c r="F101" s="123" t="n">
        <f aca="false">SUMIFS(報告入力!$AY$7:$AY$696,報告入力!$A$7:$A$696,$S$67,報告入力!$B$7:$B$696,$A101)</f>
        <v>1000</v>
      </c>
      <c r="G101" s="108" t="n">
        <f aca="false">SUM(B101:F101)</f>
        <v>1144450</v>
      </c>
      <c r="H101" s="188"/>
      <c r="I101" s="125" t="n">
        <f aca="false">SUMIFS(報告入力!$BA$7:$BA$696,報告入力!$A$7:$A$696,$S$67,報告入力!$B$7:$B$696,$A101)</f>
        <v>602672</v>
      </c>
      <c r="J101" s="298" t="n">
        <f aca="false">SUM(H101:I101)</f>
        <v>602672</v>
      </c>
      <c r="K101" s="188"/>
      <c r="L101" s="205" t="n">
        <f aca="false">SUMIFS(報告入力!$BC$7:$BC$696,報告入力!$A$7:$A$696,$S$67,報告入力!$B$7:$B$696,$A101)</f>
        <v>86347</v>
      </c>
      <c r="M101" s="298" t="n">
        <f aca="false">SUM(K101:L101)</f>
        <v>86347</v>
      </c>
      <c r="N101" s="188"/>
      <c r="O101" s="205" t="n">
        <f aca="false">SUMIFS(報告入力!$BE$7:$BE$696,報告入力!$A$7:$A$696,$S$67,報告入力!$B$7:$B$696,$A101)</f>
        <v>13350</v>
      </c>
      <c r="P101" s="120" t="n">
        <f aca="false">SUM(N101:O101)</f>
        <v>13350</v>
      </c>
      <c r="Q101" s="110" t="str">
        <f aca="false">IF(P36=P101,"〇","×")</f>
        <v>〇</v>
      </c>
      <c r="R101" s="110" t="str">
        <f aca="false">IFERROR(INDEX(報告入力!$C$7:$C$696,MATCH($S$67&amp;"|"&amp;$A101,報告入力!$CG$7:$CG$696,0)),"")</f>
        <v>入金確認済</v>
      </c>
    </row>
    <row r="102" s="110" customFormat="true" ht="20.1" hidden="false" customHeight="true" outlineLevel="0" collapsed="false">
      <c r="A102" s="204" t="s">
        <v>187</v>
      </c>
      <c r="B102" s="186"/>
      <c r="C102" s="193"/>
      <c r="D102" s="111" t="n">
        <f aca="false">SUMIFS(報告入力!$AW$7:$AW$696,報告入力!$A$7:$A$696,$S$67,報告入力!$B$7:$B$696,$A102)</f>
        <v>0</v>
      </c>
      <c r="E102" s="114" t="n">
        <f aca="false">SUMIFS(報告入力!$AX$7:$AX$696,報告入力!$A$7:$A$696,$S$67,報告入力!$B$7:$B$696,$A102)</f>
        <v>0</v>
      </c>
      <c r="F102" s="123" t="n">
        <f aca="false">SUMIFS(報告入力!$AY$7:$AY$696,報告入力!$A$7:$A$696,$S$67,報告入力!$B$7:$B$696,$A102)</f>
        <v>0</v>
      </c>
      <c r="G102" s="108" t="n">
        <f aca="false">SUM(B102:F102)</f>
        <v>0</v>
      </c>
      <c r="H102" s="188"/>
      <c r="I102" s="125" t="n">
        <f aca="false">SUMIFS(報告入力!$BA$7:$BA$696,報告入力!$A$7:$A$696,$S$67,報告入力!$B$7:$B$696,$A102)</f>
        <v>0</v>
      </c>
      <c r="J102" s="298" t="n">
        <f aca="false">SUM(H102:I102)</f>
        <v>0</v>
      </c>
      <c r="K102" s="188"/>
      <c r="L102" s="205" t="n">
        <f aca="false">SUMIFS(報告入力!$BC$7:$BC$696,報告入力!$A$7:$A$696,$S$67,報告入力!$B$7:$B$696,$A102)</f>
        <v>0</v>
      </c>
      <c r="M102" s="298" t="n">
        <f aca="false">SUM(K102:L102)</f>
        <v>0</v>
      </c>
      <c r="N102" s="188"/>
      <c r="O102" s="205" t="n">
        <f aca="false">SUMIFS(報告入力!$BE$7:$BE$696,報告入力!$A$7:$A$696,$S$67,報告入力!$B$7:$B$696,$A102)</f>
        <v>0</v>
      </c>
      <c r="P102" s="120" t="n">
        <f aca="false">SUM(N102:O102)</f>
        <v>0</v>
      </c>
      <c r="Q102" s="110" t="str">
        <f aca="false">IF(P37=P102,"〇","×")</f>
        <v>〇</v>
      </c>
      <c r="R102" s="110" t="str">
        <f aca="false">IFERROR(INDEX(報告入力!$C$7:$C$696,MATCH($S$67&amp;"|"&amp;$A102,報告入力!$CG$7:$CG$696,0)),"")</f>
        <v>入金確認済</v>
      </c>
    </row>
    <row r="103" s="110" customFormat="true" ht="20.1" hidden="false" customHeight="true" outlineLevel="0" collapsed="false">
      <c r="A103" s="100" t="s">
        <v>188</v>
      </c>
      <c r="B103" s="186"/>
      <c r="C103" s="193"/>
      <c r="D103" s="111" t="n">
        <f aca="false">SUMIFS(報告入力!$AW$7:$AW$696,報告入力!$A$7:$A$696,$S$67,報告入力!$B$7:$B$696,$A103)</f>
        <v>405345</v>
      </c>
      <c r="E103" s="114" t="n">
        <f aca="false">SUMIFS(報告入力!$AX$7:$AX$696,報告入力!$A$7:$A$696,$S$67,報告入力!$B$7:$B$696,$A103)</f>
        <v>33225</v>
      </c>
      <c r="F103" s="123" t="n">
        <f aca="false">SUMIFS(報告入力!$AY$7:$AY$696,報告入力!$A$7:$A$696,$S$67,報告入力!$B$7:$B$696,$A103)</f>
        <v>383</v>
      </c>
      <c r="G103" s="108" t="n">
        <f aca="false">SUM(B103:F103)</f>
        <v>438953</v>
      </c>
      <c r="H103" s="188"/>
      <c r="I103" s="125" t="n">
        <f aca="false">SUMIFS(報告入力!$BA$7:$BA$696,報告入力!$A$7:$A$696,$S$67,報告入力!$B$7:$B$696,$A103)</f>
        <v>229959</v>
      </c>
      <c r="J103" s="116" t="n">
        <f aca="false">SUM(H103:I103)</f>
        <v>229959</v>
      </c>
      <c r="K103" s="188"/>
      <c r="L103" s="125" t="n">
        <f aca="false">SUMIFS(報告入力!$BC$7:$BC$696,報告入力!$A$7:$A$696,$S$67,報告入力!$B$7:$B$696,$A103)</f>
        <v>34997</v>
      </c>
      <c r="M103" s="298" t="n">
        <f aca="false">SUM(K103:L103)</f>
        <v>34997</v>
      </c>
      <c r="N103" s="188"/>
      <c r="O103" s="125" t="n">
        <f aca="false">SUMIFS(報告入力!$BE$7:$BE$696,報告入力!$A$7:$A$696,$S$67,報告入力!$B$7:$B$696,$A103)</f>
        <v>5093</v>
      </c>
      <c r="P103" s="120" t="n">
        <f aca="false">SUM(N103:O103)</f>
        <v>5093</v>
      </c>
      <c r="Q103" s="110" t="str">
        <f aca="false">IF(P38=P103,"〇","×")</f>
        <v>〇</v>
      </c>
      <c r="R103" s="110" t="str">
        <f aca="false">IFERROR(INDEX(報告入力!$C$7:$C$696,MATCH($S$67&amp;"|"&amp;$A103,報告入力!$CG$7:$CG$696,0)),"")</f>
        <v>入金確認済</v>
      </c>
    </row>
    <row r="104" s="110" customFormat="true" ht="20.1" hidden="false" customHeight="true" outlineLevel="0" collapsed="false">
      <c r="A104" s="121" t="s">
        <v>189</v>
      </c>
      <c r="B104" s="111" t="n">
        <f aca="false">SUMIFS(報告入力!$AU$7:$AU$696,報告入力!$A$7:$A$696,$S$67,報告入力!$B$7:$B$696,$A104)</f>
        <v>148230</v>
      </c>
      <c r="C104" s="113" t="n">
        <f aca="false">SUMIFS(報告入力!$AV$7:$AV$696,報告入力!$A$7:$A$696,$S$67,報告入力!$B$7:$B$696,$A104)</f>
        <v>12150</v>
      </c>
      <c r="D104" s="111" t="n">
        <f aca="false">SUMIFS(報告入力!$AW$7:$AW$696,報告入力!$A$7:$A$696,$S$67,報告入力!$B$7:$B$696,$A104)</f>
        <v>148230</v>
      </c>
      <c r="E104" s="205" t="n">
        <f aca="false">SUMIFS(報告入力!$AX$7:$AX$696,報告入力!$A$7:$A$696,$S$67,報告入力!$B$7:$B$696,$A104)</f>
        <v>12150</v>
      </c>
      <c r="F104" s="122" t="n">
        <f aca="false">SUMIFS(報告入力!$AY$7:$AY$696,報告入力!$A$7:$A$696,$S$67,報告入力!$B$7:$B$696,$A104)</f>
        <v>140</v>
      </c>
      <c r="G104" s="108" t="n">
        <f aca="false">SUM(B104:F104)</f>
        <v>320900</v>
      </c>
      <c r="H104" s="114" t="n">
        <f aca="false">SUMIFS(報告入力!$AZ$7:$AZ$696,報告入力!$A$7:$A$696,$S$67,報告入力!$B$7:$B$696,$A104)</f>
        <v>87123</v>
      </c>
      <c r="I104" s="125" t="n">
        <f aca="false">SUMIFS(報告入力!$BA$7:$BA$696,報告入力!$A$7:$A$696,$S$67,報告入力!$B$7:$B$696,$A104)</f>
        <v>87208</v>
      </c>
      <c r="J104" s="298" t="n">
        <f aca="false">SUM(H104:I104)</f>
        <v>174331</v>
      </c>
      <c r="K104" s="205" t="n">
        <f aca="false">SUMIFS(報告入力!$BB$7:$BB$696,報告入力!$A$7:$A$696,$S$67,報告入力!$B$7:$B$696,$A104)</f>
        <v>10033</v>
      </c>
      <c r="L104" s="205" t="n">
        <f aca="false">SUMIFS(報告入力!$BC$7:$BC$696,報告入力!$A$7:$A$696,$S$67,報告入力!$B$7:$B$696,$A104)</f>
        <v>10033</v>
      </c>
      <c r="M104" s="298" t="n">
        <f aca="false">SUM(K104:L104)</f>
        <v>20066</v>
      </c>
      <c r="N104" s="205" t="n">
        <f aca="false">SUMIFS(報告入力!$BD$7:$BD$696,報告入力!$A$7:$A$696,$S$67,報告入力!$B$7:$B$696,$A104)</f>
        <v>1931</v>
      </c>
      <c r="O104" s="125" t="n">
        <f aca="false">SUMIFS(報告入力!$BE$7:$BE$696,報告入力!$A$7:$A$696,$S$67,報告入力!$B$7:$B$696,$A104)</f>
        <v>1932</v>
      </c>
      <c r="P104" s="120" t="n">
        <f aca="false">SUM(N104:O104)</f>
        <v>3863</v>
      </c>
      <c r="Q104" s="110" t="str">
        <f aca="false">IF(P39=P104,"〇","×")</f>
        <v>〇</v>
      </c>
      <c r="R104" s="110" t="str">
        <f aca="false">IFERROR(INDEX(報告入力!$C$7:$C$696,MATCH($S$67&amp;"|"&amp;$A104,報告入力!$CG$7:$CG$696,0)),"")</f>
        <v>入金確認済</v>
      </c>
    </row>
    <row r="105" s="110" customFormat="true" ht="20.1" hidden="false" customHeight="true" outlineLevel="0" collapsed="false">
      <c r="A105" s="206" t="s">
        <v>190</v>
      </c>
      <c r="B105" s="201"/>
      <c r="C105" s="191"/>
      <c r="D105" s="117" t="n">
        <f aca="false">SUMIFS(報告入力!$AW$7:$AW$696,報告入力!$A$7:$A$696,$S$67,報告入力!$B$7:$B$696,$A105)</f>
        <v>455670</v>
      </c>
      <c r="E105" s="124" t="n">
        <f aca="false">SUMIFS(報告入力!$AX$7:$AX$696,報告入力!$A$7:$A$696,$S$67,報告入力!$B$7:$B$696,$A105)</f>
        <v>37350</v>
      </c>
      <c r="F105" s="123" t="n">
        <f aca="false">SUMIFS(報告入力!$AY$7:$AY$696,報告入力!$A$7:$A$696,$S$67,報告入力!$B$7:$B$696,$A105)</f>
        <v>432</v>
      </c>
      <c r="G105" s="108" t="n">
        <f aca="false">SUM(B105:F105)</f>
        <v>493452</v>
      </c>
      <c r="H105" s="202"/>
      <c r="I105" s="205" t="n">
        <f aca="false">SUMIFS(報告入力!$BA$7:$BA$696,報告入力!$A$7:$A$696,$S$67,報告入力!$B$7:$B$696,$A105)</f>
        <v>263702</v>
      </c>
      <c r="J105" s="298" t="n">
        <f aca="false">SUM(H105:I105)</f>
        <v>263702</v>
      </c>
      <c r="K105" s="202"/>
      <c r="L105" s="205" t="n">
        <f aca="false">SUMIFS(報告入力!$BC$7:$BC$696,報告入力!$A$7:$A$696,$S$67,報告入力!$B$7:$B$696,$A105)</f>
        <v>21093</v>
      </c>
      <c r="M105" s="298" t="n">
        <f aca="false">SUM(K105:L105)</f>
        <v>21093</v>
      </c>
      <c r="N105" s="202"/>
      <c r="O105" s="125" t="n">
        <f aca="false">SUMIFS(報告入力!$BE$7:$BE$696,報告入力!$A$7:$A$696,$S$67,報告入力!$B$7:$B$696,$A105)</f>
        <v>5842</v>
      </c>
      <c r="P105" s="120" t="n">
        <f aca="false">SUM(N105:O105)</f>
        <v>5842</v>
      </c>
      <c r="Q105" s="110" t="str">
        <f aca="false">IF(P40=P105,"〇","×")</f>
        <v>〇</v>
      </c>
      <c r="R105" s="110" t="str">
        <f aca="false">IFERROR(INDEX(報告入力!$C$7:$C$696,MATCH($S$67&amp;"|"&amp;$A105,報告入力!$CG$7:$CG$696,0)),"")</f>
        <v>入金確認済</v>
      </c>
    </row>
    <row r="106" s="110" customFormat="true" ht="20.1" hidden="false" customHeight="true" outlineLevel="0" collapsed="false">
      <c r="A106" s="189" t="s">
        <v>191</v>
      </c>
      <c r="B106" s="111" t="n">
        <f aca="false">SUMIFS(報告入力!$AU$7:$AU$696,報告入力!$A$7:$A$696,$S$67,報告入力!$B$7:$B$696,$A106)</f>
        <v>56730</v>
      </c>
      <c r="C106" s="113" t="n">
        <f aca="false">SUMIFS(報告入力!$AV$7:$AV$696,報告入力!$A$7:$A$696,$S$67,報告入力!$B$7:$B$696,$A106)</f>
        <v>4650</v>
      </c>
      <c r="D106" s="111" t="n">
        <f aca="false">SUMIFS(報告入力!$AW$7:$AW$696,報告入力!$A$7:$A$696,$S$67,報告入力!$B$7:$B$696,$A106)</f>
        <v>56730</v>
      </c>
      <c r="E106" s="114" t="n">
        <f aca="false">SUMIFS(報告入力!$AX$7:$AX$696,報告入力!$A$7:$A$696,$S$67,報告入力!$B$7:$B$696,$A106)</f>
        <v>4650</v>
      </c>
      <c r="F106" s="113" t="n">
        <f aca="false">SUMIFS(報告入力!$AY$7:$AY$696,報告入力!$A$7:$A$696,$S$67,報告入力!$B$7:$B$696,$A106)</f>
        <v>53</v>
      </c>
      <c r="G106" s="108" t="n">
        <f aca="false">SUM(B106:F106)</f>
        <v>122813</v>
      </c>
      <c r="H106" s="114" t="n">
        <f aca="false">SUMIFS(報告入力!$AZ$7:$AZ$696,報告入力!$A$7:$A$696,$S$67,報告入力!$B$7:$B$696,$A106)</f>
        <v>32153</v>
      </c>
      <c r="I106" s="115" t="n">
        <f aca="false">SUMIFS(報告入力!$BA$7:$BA$696,報告入力!$A$7:$A$696,$S$67,報告入力!$B$7:$B$696,$A106)</f>
        <v>32184</v>
      </c>
      <c r="J106" s="298" t="n">
        <f aca="false">SUM(H106:I106)</f>
        <v>64337</v>
      </c>
      <c r="K106" s="205" t="n">
        <f aca="false">SUMIFS(報告入力!$BB$7:$BB$696,報告入力!$A$7:$A$696,$S$67,報告入力!$B$7:$B$696,$A106)</f>
        <v>4898</v>
      </c>
      <c r="L106" s="205" t="n">
        <f aca="false">SUMIFS(報告入力!$BC$7:$BC$696,報告入力!$A$7:$A$696,$S$67,報告入力!$B$7:$B$696,$A106)</f>
        <v>4898</v>
      </c>
      <c r="M106" s="298" t="n">
        <f aca="false">SUM(K106:L106)</f>
        <v>9796</v>
      </c>
      <c r="N106" s="205" t="n">
        <f aca="false">SUMIFS(報告入力!$BD$7:$BD$696,報告入力!$A$7:$A$696,$S$67,報告入力!$B$7:$B$696,$A106)</f>
        <v>713</v>
      </c>
      <c r="O106" s="125" t="n">
        <f aca="false">SUMIFS(報告入力!$BE$7:$BE$696,報告入力!$A$7:$A$696,$S$67,報告入力!$B$7:$B$696,$A106)</f>
        <v>713</v>
      </c>
      <c r="P106" s="120" t="n">
        <f aca="false">SUM(N106:O106)</f>
        <v>1426</v>
      </c>
      <c r="Q106" s="110" t="str">
        <f aca="false">IF(P41=P106,"〇","×")</f>
        <v>〇</v>
      </c>
      <c r="R106" s="110" t="str">
        <f aca="false">IFERROR(INDEX(報告入力!$C$7:$C$696,MATCH($S$67&amp;"|"&amp;$A106,報告入力!$CG$7:$CG$696,0)),"")</f>
        <v>入金確認済</v>
      </c>
    </row>
    <row r="107" s="110" customFormat="true" ht="20.1" hidden="false" customHeight="true" outlineLevel="0" collapsed="false">
      <c r="A107" s="189" t="s">
        <v>192</v>
      </c>
      <c r="B107" s="111" t="n">
        <f aca="false">SUMIFS(報告入力!$AU$7:$AU$696,報告入力!$A$7:$A$696,$S$67,報告入力!$B$7:$B$696,$A107)</f>
        <v>59475</v>
      </c>
      <c r="C107" s="113" t="n">
        <f aca="false">SUMIFS(報告入力!$AV$7:$AV$696,報告入力!$A$7:$A$696,$S$67,報告入力!$B$7:$B$696,$A107)</f>
        <v>4875</v>
      </c>
      <c r="D107" s="111" t="n">
        <f aca="false">SUMIFS(報告入力!$AW$7:$AW$696,報告入力!$A$7:$A$696,$S$67,報告入力!$B$7:$B$696,$A107)</f>
        <v>59475</v>
      </c>
      <c r="E107" s="114" t="n">
        <f aca="false">SUMIFS(報告入力!$AX$7:$AX$696,報告入力!$A$7:$A$696,$S$67,報告入力!$B$7:$B$696,$A107)</f>
        <v>4875</v>
      </c>
      <c r="F107" s="113" t="n">
        <f aca="false">SUMIFS(報告入力!$AY$7:$AY$696,報告入力!$A$7:$A$696,$S$67,報告入力!$B$7:$B$696,$A107)</f>
        <v>56</v>
      </c>
      <c r="G107" s="108" t="n">
        <f aca="false">SUM(B107:F107)</f>
        <v>128756</v>
      </c>
      <c r="H107" s="114" t="n">
        <f aca="false">SUMIFS(報告入力!$AZ$7:$AZ$696,報告入力!$A$7:$A$696,$S$67,報告入力!$B$7:$B$696,$A107)</f>
        <v>38895</v>
      </c>
      <c r="I107" s="115" t="n">
        <f aca="false">SUMIFS(報告入力!$BA$7:$BA$696,報告入力!$A$7:$A$696,$S$67,報告入力!$B$7:$B$696,$A107)</f>
        <v>38932</v>
      </c>
      <c r="J107" s="298" t="n">
        <f aca="false">SUM(H107:I107)</f>
        <v>77827</v>
      </c>
      <c r="K107" s="205" t="n">
        <f aca="false">SUMIFS(報告入力!$BB$7:$BB$696,報告入力!$A$7:$A$696,$S$67,報告入力!$B$7:$B$696,$A107)</f>
        <v>5925</v>
      </c>
      <c r="L107" s="205" t="n">
        <f aca="false">SUMIFS(報告入力!$BC$7:$BC$696,報告入力!$A$7:$A$696,$S$67,報告入力!$B$7:$B$696,$A107)</f>
        <v>5925</v>
      </c>
      <c r="M107" s="298" t="n">
        <f aca="false">SUM(K107:L107)</f>
        <v>11850</v>
      </c>
      <c r="N107" s="205" t="n">
        <f aca="false">SUMIFS(報告入力!$BD$7:$BD$696,報告入力!$A$7:$A$696,$S$67,報告入力!$B$7:$B$696,$A107)</f>
        <v>862</v>
      </c>
      <c r="O107" s="125" t="n">
        <f aca="false">SUMIFS(報告入力!$BE$7:$BE$696,報告入力!$A$7:$A$696,$S$67,報告入力!$B$7:$B$696,$A107)</f>
        <v>862</v>
      </c>
      <c r="P107" s="120" t="n">
        <f aca="false">SUM(N107:O107)</f>
        <v>1724</v>
      </c>
      <c r="Q107" s="110" t="str">
        <f aca="false">IF(P42=P107,"〇","×")</f>
        <v>〇</v>
      </c>
      <c r="R107" s="110" t="str">
        <f aca="false">IFERROR(INDEX(報告入力!$C$7:$C$696,MATCH($S$67&amp;"|"&amp;$A107,報告入力!$CG$7:$CG$696,0)),"")</f>
        <v>入金確認済</v>
      </c>
    </row>
    <row r="108" s="110" customFormat="true" ht="20.1" hidden="false" customHeight="true" outlineLevel="0" collapsed="false">
      <c r="A108" s="189" t="s">
        <v>193</v>
      </c>
      <c r="B108" s="111" t="n">
        <f aca="false">SUMIFS(報告入力!$AU$7:$AU$696,報告入力!$A$7:$A$696,$S$67,報告入力!$B$7:$B$696,$A108)</f>
        <v>37515</v>
      </c>
      <c r="C108" s="113" t="n">
        <f aca="false">SUMIFS(報告入力!$AV$7:$AV$696,報告入力!$A$7:$A$696,$S$67,報告入力!$B$7:$B$696,$A108)</f>
        <v>3075</v>
      </c>
      <c r="D108" s="111" t="n">
        <f aca="false">SUMIFS(報告入力!$AW$7:$AW$696,報告入力!$A$7:$A$696,$S$67,報告入力!$B$7:$B$696,$A108)</f>
        <v>37515</v>
      </c>
      <c r="E108" s="114" t="n">
        <f aca="false">SUMIFS(報告入力!$AX$7:$AX$696,報告入力!$A$7:$A$696,$S$67,報告入力!$B$7:$B$696,$A108)</f>
        <v>3075</v>
      </c>
      <c r="F108" s="113" t="n">
        <f aca="false">SUMIFS(報告入力!$AY$7:$AY$696,報告入力!$A$7:$A$696,$S$67,報告入力!$B$7:$B$696,$A108)</f>
        <v>35</v>
      </c>
      <c r="G108" s="112" t="n">
        <f aca="false">SUM(B108:F108)</f>
        <v>81215</v>
      </c>
      <c r="H108" s="114" t="n">
        <f aca="false">SUMIFS(報告入力!$AZ$7:$AZ$696,報告入力!$A$7:$A$696,$S$67,報告入力!$B$7:$B$696,$A108)</f>
        <v>21262</v>
      </c>
      <c r="I108" s="115" t="n">
        <f aca="false">SUMIFS(報告入力!$BA$7:$BA$696,報告入力!$A$7:$A$696,$S$67,報告入力!$B$7:$B$696,$A108)</f>
        <v>21283</v>
      </c>
      <c r="J108" s="113" t="n">
        <f aca="false">SUM(H108:I108)</f>
        <v>42545</v>
      </c>
      <c r="K108" s="114" t="n">
        <f aca="false">SUMIFS(報告入力!$BB$7:$BB$696,報告入力!$A$7:$A$696,$S$67,報告入力!$B$7:$B$696,$A108)</f>
        <v>0</v>
      </c>
      <c r="L108" s="115" t="n">
        <f aca="false">SUMIFS(報告入力!$BC$7:$BC$696,報告入力!$A$7:$A$696,$S$67,報告入力!$B$7:$B$696,$A108)</f>
        <v>0</v>
      </c>
      <c r="M108" s="113" t="n">
        <f aca="false">SUM(K108:L108)</f>
        <v>0</v>
      </c>
      <c r="N108" s="117" t="n">
        <f aca="false">SUMIFS(報告入力!$BD$7:$BD$696,報告入力!$A$7:$A$696,$S$67,報告入力!$B$7:$B$696,$A108)</f>
        <v>471</v>
      </c>
      <c r="O108" s="205" t="n">
        <f aca="false">SUMIFS(報告入力!$BE$7:$BE$696,報告入力!$A$7:$A$696,$S$67,報告入力!$B$7:$B$696,$A108)</f>
        <v>471</v>
      </c>
      <c r="P108" s="113" t="n">
        <f aca="false">SUM(N108:O108)</f>
        <v>942</v>
      </c>
      <c r="Q108" s="110" t="str">
        <f aca="false">IF(P43=P108,"〇","×")</f>
        <v>〇</v>
      </c>
      <c r="R108" s="110" t="str">
        <f aca="false">IFERROR(INDEX(報告入力!$C$7:$C$696,MATCH($S$67&amp;"|"&amp;$A108,報告入力!$CG$7:$CG$696,0)),"")</f>
        <v>入金確認済</v>
      </c>
    </row>
    <row r="109" s="110" customFormat="true" ht="20.1" hidden="false" customHeight="true" outlineLevel="0" collapsed="false">
      <c r="A109" s="121" t="s">
        <v>194</v>
      </c>
      <c r="B109" s="117" t="n">
        <f aca="false">SUMIFS(報告入力!$AU$7:$AU$696,報告入力!$A$7:$A$696,$S$67,報告入力!$B$7:$B$696,$A109)</f>
        <v>1201395</v>
      </c>
      <c r="C109" s="113" t="n">
        <f aca="false">SUMIFS(報告入力!$AV$7:$AV$696,報告入力!$A$7:$A$696,$S$67,報告入力!$B$7:$B$696,$A109)</f>
        <v>98475</v>
      </c>
      <c r="D109" s="111" t="n">
        <f aca="false">SUMIFS(報告入力!$AW$7:$AW$696,報告入力!$A$7:$A$696,$S$67,報告入力!$B$7:$B$696,$A109)</f>
        <v>1201395</v>
      </c>
      <c r="E109" s="114" t="n">
        <f aca="false">SUMIFS(報告入力!$AX$7:$AX$696,報告入力!$A$7:$A$696,$S$67,報告入力!$B$7:$B$696,$A109)</f>
        <v>98475</v>
      </c>
      <c r="F109" s="113" t="n">
        <f aca="false">SUMIFS(報告入力!$AY$7:$AY$696,報告入力!$A$7:$A$696,$S$67,報告入力!$B$7:$B$696,$A109)</f>
        <v>1208</v>
      </c>
      <c r="G109" s="108" t="n">
        <f aca="false">SUM(B109:F109)</f>
        <v>2600948</v>
      </c>
      <c r="H109" s="114" t="n">
        <f aca="false">SUMIFS(報告入力!$AZ$7:$AZ$696,報告入力!$A$7:$A$696,$S$67,報告入力!$B$7:$B$696,$A109)</f>
        <v>690245</v>
      </c>
      <c r="I109" s="205" t="n">
        <f aca="false">SUMIFS(報告入力!$BA$7:$BA$696,報告入力!$A$7:$A$696,$S$67,報告入力!$B$7:$B$696,$A109)</f>
        <v>690961</v>
      </c>
      <c r="J109" s="298" t="n">
        <f aca="false">SUM(H109:I109)</f>
        <v>1381206</v>
      </c>
      <c r="K109" s="205" t="n">
        <f aca="false">SUMIFS(報告入力!$BB$7:$BB$696,報告入力!$A$7:$A$696,$S$67,報告入力!$B$7:$B$696,$A109)</f>
        <v>79632</v>
      </c>
      <c r="L109" s="205" t="n">
        <f aca="false">SUMIFS(報告入力!$BC$7:$BC$696,報告入力!$A$7:$A$696,$S$67,報告入力!$B$7:$B$696,$A109)</f>
        <v>79632</v>
      </c>
      <c r="M109" s="307" t="n">
        <f aca="false">SUM(K109:L109)</f>
        <v>159264</v>
      </c>
      <c r="N109" s="205" t="n">
        <f aca="false">SUMIFS(報告入力!$BD$7:$BD$696,報告入力!$A$7:$A$696,$S$67,報告入力!$B$7:$B$696,$A109)</f>
        <v>15300</v>
      </c>
      <c r="O109" s="205" t="n">
        <f aca="false">SUMIFS(報告入力!$BE$7:$BE$696,報告入力!$A$7:$A$696,$S$67,報告入力!$B$7:$B$696,$A109)</f>
        <v>15306</v>
      </c>
      <c r="P109" s="108" t="n">
        <f aca="false">SUM(N109:O109)</f>
        <v>30606</v>
      </c>
      <c r="Q109" s="110" t="str">
        <f aca="false">IF(P44=P109,"〇","×")</f>
        <v>〇</v>
      </c>
      <c r="R109" s="110" t="str">
        <f aca="false">IFERROR(INDEX(報告入力!$C$7:$C$696,MATCH($S$67&amp;"|"&amp;$A109,報告入力!$CG$7:$CG$696,0)),"")</f>
        <v>入金確認済</v>
      </c>
    </row>
    <row r="110" s="110" customFormat="true" ht="20.1" hidden="false" customHeight="true" outlineLevel="0" collapsed="false">
      <c r="A110" s="121" t="s">
        <v>195</v>
      </c>
      <c r="B110" s="201"/>
      <c r="C110" s="191"/>
      <c r="D110" s="117" t="n">
        <f aca="false">SUMIFS(報告入力!$AW$7:$AW$696,報告入力!$A$7:$A$696,$S$67,報告入力!$B$7:$B$696,$A110)</f>
        <v>242475</v>
      </c>
      <c r="E110" s="118" t="n">
        <f aca="false">SUMIFS(報告入力!$AX$7:$AX$696,報告入力!$A$7:$A$696,$S$67,報告入力!$B$7:$B$696,$A110)</f>
        <v>19875</v>
      </c>
      <c r="F110" s="123" t="n">
        <f aca="false">SUMIFS(報告入力!$AY$7:$AY$696,報告入力!$A$7:$A$696,$S$67,報告入力!$B$7:$B$696,$A110)</f>
        <v>230</v>
      </c>
      <c r="G110" s="108" t="n">
        <f aca="false">SUM(B110:F110)</f>
        <v>262580</v>
      </c>
      <c r="H110" s="202"/>
      <c r="I110" s="205" t="n">
        <f aca="false">SUMIFS(報告入力!$BA$7:$BA$696,報告入力!$A$7:$A$696,$S$67,報告入力!$B$7:$B$696,$A110)</f>
        <v>140676</v>
      </c>
      <c r="J110" s="116" t="n">
        <f aca="false">SUM(H110:I110)</f>
        <v>140676</v>
      </c>
      <c r="K110" s="202"/>
      <c r="L110" s="205" t="n">
        <f aca="false">SUMIFS(報告入力!$BC$7:$BC$696,報告入力!$A$7:$A$696,$S$67,報告入力!$B$7:$B$696,$A110)</f>
        <v>10507</v>
      </c>
      <c r="M110" s="116" t="n">
        <f aca="false">SUM(K110:L110)</f>
        <v>10507</v>
      </c>
      <c r="N110" s="202"/>
      <c r="O110" s="205" t="n">
        <f aca="false">SUMIFS(報告入力!$BE$7:$BE$696,報告入力!$A$7:$A$696,$S$67,報告入力!$B$7:$B$696,$A110)</f>
        <v>3116</v>
      </c>
      <c r="P110" s="116" t="n">
        <f aca="false">SUM(N110:O110)</f>
        <v>3116</v>
      </c>
      <c r="Q110" s="110" t="str">
        <f aca="false">IF(P45=P110,"〇","×")</f>
        <v>〇</v>
      </c>
      <c r="R110" s="110" t="str">
        <f aca="false">IFERROR(INDEX(報告入力!$C$7:$C$696,MATCH($S$67&amp;"|"&amp;$A110,報告入力!$CG$7:$CG$696,0)),"")</f>
        <v>入金確認済</v>
      </c>
    </row>
    <row r="111" s="110" customFormat="true" ht="19.5" hidden="false" customHeight="true" outlineLevel="0" collapsed="false">
      <c r="A111" s="207" t="s">
        <v>196</v>
      </c>
      <c r="B111" s="117" t="n">
        <f aca="false">SUMIFS(報告入力!$AU$7:$AU$696,報告入力!$A$7:$A$696,$S$67,報告入力!$B$7:$B$696,$A111)</f>
        <v>127524281</v>
      </c>
      <c r="C111" s="113" t="n">
        <f aca="false">SUMIFS(報告入力!$AV$7:$AV$696,報告入力!$A$7:$A$696,$S$67,報告入力!$B$7:$B$696,$A111)</f>
        <v>10453259</v>
      </c>
      <c r="D111" s="111" t="n">
        <f aca="false">SUMIFS(報告入力!$AW$7:$AW$696,報告入力!$A$7:$A$696,$S$67,報告入力!$B$7:$B$696,$A111)</f>
        <v>185981551</v>
      </c>
      <c r="E111" s="114" t="n">
        <f aca="false">SUMIFS(報告入力!$AX$7:$AX$696,報告入力!$A$7:$A$696,$S$67,報告入力!$B$7:$B$696,$A111)</f>
        <v>10453259</v>
      </c>
      <c r="F111" s="113" t="n">
        <f aca="false">SUMIFS(報告入力!$AY$7:$AY$696,報告入力!$A$7:$A$696,$S$67,報告入力!$B$7:$B$696,$A111)</f>
        <v>126981</v>
      </c>
      <c r="G111" s="108" t="n">
        <f aca="false">SUM(B111:F111)</f>
        <v>334539331</v>
      </c>
      <c r="H111" s="114" t="n">
        <f aca="false">SUMIFS(報告入力!$AZ$7:$AZ$696,報告入力!$A$7:$A$696,$S$67,報告入力!$B$7:$B$696,$A111)</f>
        <v>94292495</v>
      </c>
      <c r="I111" s="205" t="n">
        <f aca="false">SUMIFS(報告入力!$BA$7:$BA$696,報告入力!$A$7:$A$696,$S$67,報告入力!$B$7:$B$696,$A111)</f>
        <v>94414784</v>
      </c>
      <c r="J111" s="298" t="n">
        <f aca="false">SUM(H111:I111)</f>
        <v>188707279</v>
      </c>
      <c r="K111" s="205" t="n">
        <f aca="false">SUMIFS(報告入力!$BB$7:$BB$696,報告入力!$A$7:$A$696,$S$67,報告入力!$B$7:$B$696,$A111)</f>
        <v>7943371</v>
      </c>
      <c r="L111" s="205" t="n">
        <f aca="false">SUMIFS(報告入力!$BC$7:$BC$696,報告入力!$A$7:$A$696,$S$67,報告入力!$B$7:$B$696,$A111)</f>
        <v>7940439</v>
      </c>
      <c r="M111" s="298" t="n">
        <f aca="false">SUM(K111:L111)</f>
        <v>15883810</v>
      </c>
      <c r="N111" s="205" t="n">
        <f aca="false">SUMIFS(報告入力!$BD$7:$BD$696,報告入力!$A$7:$A$696,$S$67,報告入力!$B$7:$B$696,$A111)</f>
        <v>2091503</v>
      </c>
      <c r="O111" s="205" t="n">
        <f aca="false">SUMIFS(報告入力!$BE$7:$BE$696,報告入力!$A$7:$A$696,$S$67,報告入力!$B$7:$B$696,$A111)</f>
        <v>2091503</v>
      </c>
      <c r="P111" s="120" t="n">
        <f aca="false">SUM(N111:O111)</f>
        <v>4183006</v>
      </c>
      <c r="Q111" s="110" t="str">
        <f aca="false">IF(P46=P111,"〇","×")</f>
        <v>×</v>
      </c>
      <c r="R111" s="110" t="str">
        <f aca="false">IFERROR(INDEX(報告入力!$C$7:$C$696,MATCH($S$67&amp;"|"&amp;$A111,報告入力!$CG$7:$CG$696,0)),"")</f>
        <v>入金確認済</v>
      </c>
    </row>
    <row r="112" s="137" customFormat="true" ht="21.75" hidden="false" customHeight="true" outlineLevel="0" collapsed="false">
      <c r="A112" s="189" t="s">
        <v>197</v>
      </c>
      <c r="B112" s="127"/>
      <c r="C112" s="131"/>
      <c r="D112" s="127"/>
      <c r="E112" s="209"/>
      <c r="F112" s="131"/>
      <c r="G112" s="210" t="n">
        <f aca="false">SUM(B112:F112)</f>
        <v>0</v>
      </c>
      <c r="H112" s="118" t="n">
        <f aca="false">SUMIFS(報告入力!$AZ$7:$AZ$696,報告入力!$A$7:$A$696,$S$67,報告入力!$B$7:$B$696,$A112)</f>
        <v>125499</v>
      </c>
      <c r="I112" s="125" t="n">
        <f aca="false">SUMIFS(報告入力!$BA$7:$BA$696,報告入力!$A$7:$A$696,$S$67,報告入力!$B$7:$B$696,$A112)</f>
        <v>104857</v>
      </c>
      <c r="J112" s="116" t="n">
        <f aca="false">SUM(H112:I112)</f>
        <v>230356</v>
      </c>
      <c r="K112" s="117" t="n">
        <f aca="false">SUMIFS(報告入力!$BB$7:$BB$696,報告入力!$A$7:$A$696,$S$67,報告入力!$B$7:$B$696,$A112)</f>
        <v>11060</v>
      </c>
      <c r="L112" s="125" t="n">
        <f aca="false">SUMIFS(報告入力!$BC$7:$BC$696,報告入力!$A$7:$A$696,$S$67,報告入力!$B$7:$B$696,$A112)</f>
        <v>11060</v>
      </c>
      <c r="M112" s="116" t="n">
        <f aca="false">SUM(K112:L112)</f>
        <v>22120</v>
      </c>
      <c r="N112" s="117" t="n">
        <f aca="false">SUMIFS(報告入力!$BD$7:$BD$696,報告入力!$A$7:$A$696,$S$67,報告入力!$B$7:$B$696,$A112)</f>
        <v>2781</v>
      </c>
      <c r="O112" s="205" t="n">
        <f aca="false">SUMIFS(報告入力!$BE$7:$BE$696,報告入力!$A$7:$A$696,$S$67,報告入力!$B$7:$B$696,$A112)</f>
        <v>2322</v>
      </c>
      <c r="P112" s="116" t="n">
        <f aca="false">SUM(N112:O112)</f>
        <v>5103</v>
      </c>
      <c r="Q112" s="137" t="str">
        <f aca="false">IF(P47=P112,"〇","×")</f>
        <v>×</v>
      </c>
      <c r="R112" s="137" t="str">
        <f aca="false">IFERROR(INDEX(報告入力!$C$7:$C$696,MATCH($S$67&amp;"|"&amp;$A112,報告入力!$CG$7:$CG$696,0)),"")</f>
        <v>入金確認済</v>
      </c>
    </row>
    <row r="113" s="137" customFormat="true" ht="21.75" hidden="false" customHeight="true" outlineLevel="0" collapsed="false">
      <c r="A113" s="211" t="s">
        <v>216</v>
      </c>
      <c r="B113" s="299"/>
      <c r="C113" s="308"/>
      <c r="D113" s="299"/>
      <c r="E113" s="303"/>
      <c r="F113" s="308"/>
      <c r="G113" s="302" t="n">
        <f aca="false">SUM(B113:F113)</f>
        <v>0</v>
      </c>
      <c r="H113" s="303"/>
      <c r="I113" s="304"/>
      <c r="J113" s="305" t="n">
        <f aca="false">SUM(H113:I113)</f>
        <v>0</v>
      </c>
      <c r="K113" s="309"/>
      <c r="L113" s="310"/>
      <c r="M113" s="305" t="n">
        <f aca="false">SUM(K113:L113)</f>
        <v>0</v>
      </c>
      <c r="N113" s="311"/>
      <c r="O113" s="310"/>
      <c r="P113" s="305" t="n">
        <f aca="false">SUM(N113:O113)</f>
        <v>0</v>
      </c>
      <c r="Q113" s="137" t="str">
        <f aca="false">IF(P48=P113,"〇","×")</f>
        <v>〇</v>
      </c>
      <c r="R113" s="137" t="str">
        <f aca="false">IFERROR(INDEX(報告入力!$C$7:$C$696,MATCH($S$67&amp;"|"&amp;$A113,報告入力!$CG$7:$CG$696,0)),"")</f>
        <v>報告なし</v>
      </c>
    </row>
    <row r="114" s="137" customFormat="true" ht="21.75" hidden="false" customHeight="true" outlineLevel="0" collapsed="false">
      <c r="A114" s="211" t="s">
        <v>199</v>
      </c>
      <c r="B114" s="111" t="n">
        <f aca="false">SUMIFS(報告入力!$AU$7:$AU$696,報告入力!$A$7:$A$696,$S$67,報告入力!$B$7:$B$696,$A114)</f>
        <v>118950</v>
      </c>
      <c r="C114" s="113" t="n">
        <f aca="false">SUMIFS(報告入力!$AV$7:$AV$696,報告入力!$A$7:$A$696,$S$67,報告入力!$B$7:$B$696,$A114)</f>
        <v>9750</v>
      </c>
      <c r="D114" s="111" t="n">
        <f aca="false">SUMIFS(報告入力!$AW$7:$AW$696,報告入力!$A$7:$A$696,$S$67,報告入力!$B$7:$B$696,$A114)</f>
        <v>118950</v>
      </c>
      <c r="E114" s="114" t="n">
        <f aca="false">SUMIFS(報告入力!$AX$7:$AX$696,報告入力!$A$7:$A$696,$S$67,報告入力!$B$7:$B$696,$A114)</f>
        <v>9750</v>
      </c>
      <c r="F114" s="113" t="n">
        <f aca="false">SUMIFS(報告入力!$AY$7:$AY$696,報告入力!$A$7:$A$696,$S$67,報告入力!$B$7:$B$696,$A114)</f>
        <v>112</v>
      </c>
      <c r="G114" s="108" t="n">
        <f aca="false">SUM(B114:F114)</f>
        <v>257512</v>
      </c>
      <c r="H114" s="114" t="n">
        <f aca="false">SUMIFS(報告入力!$AZ$7:$AZ$696,報告入力!$A$7:$A$696,$S$67,報告入力!$B$7:$B$696,$A114)</f>
        <v>87124</v>
      </c>
      <c r="I114" s="115" t="n">
        <f aca="false">SUMIFS(報告入力!$BA$7:$BA$696,報告入力!$A$7:$A$696,$S$67,報告入力!$B$7:$B$696,$A114)</f>
        <v>87209</v>
      </c>
      <c r="J114" s="116" t="n">
        <f aca="false">SUM(H114:I114)</f>
        <v>174333</v>
      </c>
      <c r="K114" s="118" t="n">
        <f aca="false">SUMIFS(報告入力!$BB$7:$BB$696,報告入力!$A$7:$A$696,$S$67,報告入力!$B$7:$B$696,$A114)</f>
        <v>13272</v>
      </c>
      <c r="L114" s="205" t="n">
        <f aca="false">SUMIFS(報告入力!$BC$7:$BC$696,報告入力!$A$7:$A$696,$S$67,報告入力!$B$7:$B$696,$A114)</f>
        <v>13272</v>
      </c>
      <c r="M114" s="116" t="n">
        <f aca="false">SUM(K114:L114)</f>
        <v>26544</v>
      </c>
      <c r="N114" s="118" t="n">
        <f aca="false">SUMIFS(報告入力!$BD$7:$BD$696,報告入力!$A$7:$A$696,$S$67,報告入力!$B$7:$B$696,$A114)</f>
        <v>1932</v>
      </c>
      <c r="O114" s="205" t="n">
        <f aca="false">SUMIFS(報告入力!$BE$7:$BE$696,報告入力!$A$7:$A$696,$S$67,報告入力!$B$7:$B$696,$A114)</f>
        <v>1931</v>
      </c>
      <c r="P114" s="116" t="n">
        <f aca="false">SUM(N114:O114)</f>
        <v>3863</v>
      </c>
      <c r="Q114" s="137" t="str">
        <f aca="false">IF(P49=P114,"〇","×")</f>
        <v>×</v>
      </c>
      <c r="R114" s="137" t="str">
        <f aca="false">IFERROR(INDEX(報告入力!$C$7:$C$696,MATCH($S$67&amp;"|"&amp;$A114,報告入力!$CG$7:$CG$696,0)),"")</f>
        <v>入金確認済</v>
      </c>
    </row>
    <row r="115" s="137" customFormat="true" ht="21.75" hidden="false" customHeight="true" outlineLevel="0" collapsed="false">
      <c r="A115" s="149"/>
      <c r="B115" s="157"/>
      <c r="C115" s="156"/>
      <c r="D115" s="220"/>
      <c r="E115" s="158"/>
      <c r="F115" s="156"/>
      <c r="G115" s="221" t="n">
        <f aca="false">SUM(B115:F115)</f>
        <v>0</v>
      </c>
      <c r="H115" s="222"/>
      <c r="I115" s="158"/>
      <c r="J115" s="223" t="n">
        <f aca="false">SUM(H115:I115)</f>
        <v>0</v>
      </c>
      <c r="K115" s="220"/>
      <c r="L115" s="158"/>
      <c r="M115" s="223" t="n">
        <f aca="false">SUM(K115:L115)</f>
        <v>0</v>
      </c>
      <c r="N115" s="220"/>
      <c r="O115" s="158"/>
      <c r="P115" s="223" t="n">
        <f aca="false">SUM(N115:O115)</f>
        <v>0</v>
      </c>
      <c r="Q115" s="137" t="str">
        <f aca="false">IF(P50=P115,"〇","×")</f>
        <v>〇</v>
      </c>
    </row>
    <row r="116" s="137" customFormat="true" ht="0.2" hidden="false" customHeight="true" outlineLevel="0" collapsed="false">
      <c r="A116" s="149"/>
      <c r="B116" s="157"/>
      <c r="C116" s="156"/>
      <c r="D116" s="220"/>
      <c r="E116" s="158"/>
      <c r="F116" s="156"/>
      <c r="G116" s="221" t="n">
        <f aca="false">SUM(B116:F116)</f>
        <v>0</v>
      </c>
      <c r="H116" s="222"/>
      <c r="I116" s="158"/>
      <c r="J116" s="223" t="n">
        <f aca="false">SUM(H116:I116)</f>
        <v>0</v>
      </c>
      <c r="K116" s="220"/>
      <c r="L116" s="158"/>
      <c r="M116" s="223" t="n">
        <f aca="false">SUM(K116:L116)</f>
        <v>0</v>
      </c>
      <c r="N116" s="220"/>
      <c r="O116" s="158"/>
      <c r="P116" s="223" t="n">
        <f aca="false">SUM(N116:O116)</f>
        <v>0</v>
      </c>
      <c r="Q116" s="137" t="str">
        <f aca="false">IF(P51=P116,"〇","×")</f>
        <v>〇</v>
      </c>
    </row>
    <row r="117" s="137" customFormat="true" ht="0.2" hidden="false" customHeight="true" outlineLevel="0" collapsed="false">
      <c r="A117" s="162"/>
      <c r="B117" s="224"/>
      <c r="C117" s="225"/>
      <c r="D117" s="226"/>
      <c r="E117" s="227"/>
      <c r="F117" s="225"/>
      <c r="G117" s="228"/>
      <c r="H117" s="229"/>
      <c r="I117" s="229"/>
      <c r="J117" s="230"/>
      <c r="K117" s="231"/>
      <c r="L117" s="229"/>
      <c r="M117" s="230"/>
      <c r="N117" s="231"/>
      <c r="O117" s="229"/>
      <c r="P117" s="230"/>
      <c r="Q117" s="137" t="str">
        <f aca="false">IF(P52=P117,"〇","×")</f>
        <v>〇</v>
      </c>
    </row>
    <row r="118" s="110" customFormat="true" ht="20.1" hidden="false" customHeight="true" outlineLevel="0" collapsed="false">
      <c r="A118" s="171" t="s">
        <v>383</v>
      </c>
      <c r="B118" s="172" t="n">
        <f aca="false">SUM(B88:B117)</f>
        <v>130279346</v>
      </c>
      <c r="C118" s="175" t="n">
        <f aca="false">SUM(C88:C117)</f>
        <v>10679084</v>
      </c>
      <c r="D118" s="173" t="n">
        <f aca="false">SUM(D88:D117)</f>
        <v>195038221</v>
      </c>
      <c r="E118" s="174" t="n">
        <f aca="false">SUM(E88:E117)</f>
        <v>11195609</v>
      </c>
      <c r="F118" s="175" t="n">
        <f aca="false">SUM(F88:F117)</f>
        <v>135862</v>
      </c>
      <c r="G118" s="176" t="n">
        <f aca="false">SUM(B118:F118)</f>
        <v>347328122</v>
      </c>
      <c r="H118" s="173" t="n">
        <f aca="false">SUM(H88:H116)</f>
        <v>96019925</v>
      </c>
      <c r="I118" s="173" t="n">
        <f aca="false">SUM(I88:I116)</f>
        <v>99872168</v>
      </c>
      <c r="J118" s="175" t="n">
        <f aca="false">SUM(H118:I118)</f>
        <v>195892093</v>
      </c>
      <c r="K118" s="172" t="n">
        <f aca="false">SUM(K88:K116)</f>
        <v>8127599</v>
      </c>
      <c r="L118" s="173" t="n">
        <f aca="false">SUM(L88:L116)</f>
        <v>8555375</v>
      </c>
      <c r="M118" s="175" t="n">
        <f aca="false">SUM(K118:L118)</f>
        <v>16682974</v>
      </c>
      <c r="N118" s="172" t="n">
        <f aca="false">SUM(N88:N116)</f>
        <v>2129793</v>
      </c>
      <c r="O118" s="173" t="n">
        <f aca="false">SUM(O88:O116)</f>
        <v>2212389</v>
      </c>
      <c r="P118" s="175" t="n">
        <f aca="false">SUM(N118:O118)</f>
        <v>4342182</v>
      </c>
      <c r="Q118" s="110" t="str">
        <f aca="false">IF(P53=P118,"〇","×")</f>
        <v>×</v>
      </c>
    </row>
    <row r="119" s="137" customFormat="true" ht="0.2" hidden="false" customHeight="true" outlineLevel="0" collapsed="false">
      <c r="A119" s="149" t="s">
        <v>382</v>
      </c>
      <c r="B119" s="231"/>
      <c r="C119" s="232"/>
      <c r="D119" s="229"/>
      <c r="E119" s="233"/>
      <c r="F119" s="234"/>
      <c r="G119" s="235"/>
      <c r="H119" s="236"/>
      <c r="I119" s="236"/>
      <c r="J119" s="237"/>
      <c r="K119" s="238"/>
      <c r="L119" s="239"/>
      <c r="M119" s="240"/>
      <c r="N119" s="238"/>
      <c r="O119" s="239"/>
      <c r="P119" s="240"/>
      <c r="Q119" s="137" t="str">
        <f aca="false">IF(P54=P119,"〇","×")</f>
        <v>〇</v>
      </c>
    </row>
    <row r="120" s="137" customFormat="true" ht="0.2" hidden="false" customHeight="true" outlineLevel="0" collapsed="false">
      <c r="A120" s="241" t="s">
        <v>382</v>
      </c>
      <c r="B120" s="242"/>
      <c r="C120" s="243"/>
      <c r="D120" s="229"/>
      <c r="E120" s="233"/>
      <c r="F120" s="232"/>
      <c r="G120" s="228"/>
      <c r="H120" s="244"/>
      <c r="I120" s="244"/>
      <c r="J120" s="245"/>
      <c r="K120" s="246"/>
      <c r="L120" s="247"/>
      <c r="M120" s="248"/>
      <c r="N120" s="246"/>
      <c r="O120" s="247"/>
      <c r="P120" s="248"/>
      <c r="Q120" s="137" t="str">
        <f aca="false">IF(P55=P120,"〇","×")</f>
        <v>〇</v>
      </c>
    </row>
    <row r="121" s="110" customFormat="true" ht="20.1" hidden="false" customHeight="true" outlineLevel="0" collapsed="false">
      <c r="A121" s="189" t="s">
        <v>200</v>
      </c>
      <c r="B121" s="185" t="n">
        <f aca="false">SUMIFS(報告入力!$AU$7:$AU$696,報告入力!$A$7:$A$696,$S$67,報告入力!$B$7:$B$696,$A121)</f>
        <v>145485</v>
      </c>
      <c r="C121" s="199" t="n">
        <f aca="false">SUMIFS(報告入力!$AV$7:$AV$696,報告入力!$A$7:$A$696,$S$67,報告入力!$B$7:$B$696,$A121)</f>
        <v>11925</v>
      </c>
      <c r="D121" s="118" t="n">
        <f aca="false">SUMIFS(報告入力!$AW$7:$AW$696,報告入力!$A$7:$A$696,$S$67,報告入力!$B$7:$B$696,$A121)</f>
        <v>145485</v>
      </c>
      <c r="E121" s="205" t="n">
        <f aca="false">SUMIFS(報告入力!$AX$7:$AX$696,報告入力!$A$7:$A$696,$S$67,報告入力!$B$7:$B$696,$A121)</f>
        <v>11925</v>
      </c>
      <c r="F121" s="123" t="n">
        <f aca="false">SUMIFS(報告入力!$AY$7:$AY$696,報告入力!$A$7:$A$696,$S$67,報告入力!$B$7:$B$696,$A121)</f>
        <v>138</v>
      </c>
      <c r="G121" s="108" t="n">
        <f aca="false">SUM(B121:F121)</f>
        <v>314958</v>
      </c>
      <c r="H121" s="130"/>
      <c r="I121" s="130"/>
      <c r="J121" s="196" t="n">
        <f aca="false">SUM(H121:I121)</f>
        <v>0</v>
      </c>
      <c r="K121" s="130"/>
      <c r="L121" s="130"/>
      <c r="M121" s="196" t="n">
        <f aca="false">SUM(K121:L121)</f>
        <v>0</v>
      </c>
      <c r="N121" s="130"/>
      <c r="O121" s="130"/>
      <c r="P121" s="196" t="n">
        <f aca="false">SUM(N121:O121)</f>
        <v>0</v>
      </c>
      <c r="Q121" s="110" t="str">
        <f aca="false">IF(P56=P121,"〇","×")</f>
        <v>〇</v>
      </c>
      <c r="R121" s="110" t="str">
        <f aca="false">IFERROR(INDEX(報告入力!$C$7:$C$696,MATCH($S$67&amp;"|"&amp;$A121,報告入力!$CG$7:$CG$696,0)),"")</f>
        <v>入金確認済</v>
      </c>
    </row>
    <row r="122" s="110" customFormat="true" ht="21.75" hidden="false" customHeight="true" outlineLevel="0" collapsed="false">
      <c r="A122" s="189" t="s">
        <v>201</v>
      </c>
      <c r="B122" s="117" t="n">
        <f aca="false">SUMIFS(報告入力!$AU$7:$AU$696,報告入力!$A$7:$A$696,$S$67,報告入力!$B$7:$B$696,$A122)</f>
        <v>45750</v>
      </c>
      <c r="C122" s="205" t="n">
        <f aca="false">SUMIFS(報告入力!$AV$7:$AV$696,報告入力!$A$7:$A$696,$S$67,報告入力!$B$7:$B$696,$A122)</f>
        <v>3750</v>
      </c>
      <c r="D122" s="249" t="n">
        <f aca="false">SUMIFS(報告入力!$AW$7:$AW$696,報告入力!$A$7:$A$696,$S$67,報告入力!$B$7:$B$696,$A122)</f>
        <v>45750</v>
      </c>
      <c r="E122" s="250" t="n">
        <f aca="false">SUMIFS(報告入力!$AX$7:$AX$696,報告入力!$A$7:$A$696,$S$67,報告入力!$B$7:$B$696,$A122)</f>
        <v>3750</v>
      </c>
      <c r="F122" s="251" t="n">
        <f aca="false">SUMIFS(報告入力!$AY$7:$AY$696,報告入力!$A$7:$A$696,$S$67,報告入力!$B$7:$B$696,$A122)</f>
        <v>43</v>
      </c>
      <c r="G122" s="119" t="n">
        <f aca="false">SUM(B122:F122)</f>
        <v>99043</v>
      </c>
      <c r="H122" s="252"/>
      <c r="I122" s="252"/>
      <c r="J122" s="253" t="n">
        <f aca="false">SUM(H122:I122)</f>
        <v>0</v>
      </c>
      <c r="K122" s="252"/>
      <c r="L122" s="252"/>
      <c r="M122" s="253" t="n">
        <f aca="false">SUM(K122:L122)</f>
        <v>0</v>
      </c>
      <c r="N122" s="252"/>
      <c r="O122" s="252"/>
      <c r="P122" s="253" t="n">
        <f aca="false">SUM(N122:O122)</f>
        <v>0</v>
      </c>
      <c r="Q122" s="110" t="str">
        <f aca="false">IF(P57=P122,"〇","×")</f>
        <v>〇</v>
      </c>
      <c r="R122" s="110" t="str">
        <f aca="false">IFERROR(INDEX(報告入力!$C$7:$C$696,MATCH($S$67&amp;"|"&amp;$A122,報告入力!$CG$7:$CG$696,0)),"")</f>
        <v>入金確認済</v>
      </c>
    </row>
    <row r="123" s="110" customFormat="true" ht="19.5" hidden="false" customHeight="true" outlineLevel="0" collapsed="false">
      <c r="A123" s="171" t="s">
        <v>383</v>
      </c>
      <c r="B123" s="172" t="n">
        <f aca="false">SUM(B119:B122)</f>
        <v>191235</v>
      </c>
      <c r="C123" s="175" t="n">
        <f aca="false">SUM(C119:C122)</f>
        <v>15675</v>
      </c>
      <c r="D123" s="173" t="n">
        <f aca="false">SUM(D119:D122)</f>
        <v>191235</v>
      </c>
      <c r="E123" s="174" t="n">
        <f aca="false">SUM(E119:E122)</f>
        <v>15675</v>
      </c>
      <c r="F123" s="175" t="n">
        <f aca="false">SUM(F119:F122)</f>
        <v>181</v>
      </c>
      <c r="G123" s="176" t="n">
        <f aca="false">SUM(B123:F123)</f>
        <v>414001</v>
      </c>
      <c r="H123" s="256" t="n">
        <f aca="false">SUM(H119:H122)</f>
        <v>0</v>
      </c>
      <c r="I123" s="257" t="n">
        <f aca="false">SUM(I119:I122)</f>
        <v>0</v>
      </c>
      <c r="J123" s="258" t="n">
        <f aca="false">SUM(H123:I123)</f>
        <v>0</v>
      </c>
      <c r="K123" s="256" t="n">
        <f aca="false">SUM(K119:K122)</f>
        <v>0</v>
      </c>
      <c r="L123" s="257" t="n">
        <f aca="false">SUM(L119:L122)</f>
        <v>0</v>
      </c>
      <c r="M123" s="258" t="n">
        <f aca="false">SUM(K123:L123)</f>
        <v>0</v>
      </c>
      <c r="N123" s="256" t="n">
        <f aca="false">SUM(N119:N122)</f>
        <v>0</v>
      </c>
      <c r="O123" s="257" t="n">
        <f aca="false">SUM(O119:O122)</f>
        <v>0</v>
      </c>
      <c r="P123" s="258" t="n">
        <f aca="false">SUM(N123:O123)</f>
        <v>0</v>
      </c>
      <c r="Q123" s="110" t="str">
        <f aca="false">IF(P58=P123,"〇","×")</f>
        <v>〇</v>
      </c>
    </row>
    <row r="124" s="110" customFormat="true" ht="20.1" hidden="false" customHeight="true" outlineLevel="0" collapsed="false">
      <c r="A124" s="100" t="s">
        <v>202</v>
      </c>
      <c r="B124" s="117" t="n">
        <f aca="false">SUMIFS(報告入力!$AU$7:$AU$696,報告入力!$A$7:$A$696,$S$67,報告入力!$B$7:$B$696,$A124)</f>
        <v>29280</v>
      </c>
      <c r="C124" s="113" t="n">
        <f aca="false">SUMIFS(報告入力!$AV$7:$AV$696,報告入力!$A$7:$A$696,$S$67,報告入力!$B$7:$B$696,$A124)</f>
        <v>2400</v>
      </c>
      <c r="D124" s="111" t="n">
        <f aca="false">SUMIFS(報告入力!$AW$7:$AW$696,報告入力!$A$7:$A$696,$S$67,報告入力!$B$7:$B$696,$A124)</f>
        <v>29280</v>
      </c>
      <c r="E124" s="114" t="n">
        <f aca="false">SUMIFS(報告入力!$AX$7:$AX$696,報告入力!$A$7:$A$696,$S$67,報告入力!$B$7:$B$696,$A124)</f>
        <v>2400</v>
      </c>
      <c r="F124" s="193"/>
      <c r="G124" s="108" t="n">
        <f aca="false">SUM(B124:F124)</f>
        <v>63360</v>
      </c>
      <c r="H124" s="114" t="n">
        <f aca="false">SUMIFS(報告入力!$AZ$7:$AZ$696,報告入力!$A$7:$A$696,$S$67,報告入力!$B$7:$B$696,$A124)</f>
        <v>16595</v>
      </c>
      <c r="I124" s="115" t="n">
        <f aca="false">SUMIFS(報告入力!$BA$7:$BA$696,報告入力!$A$7:$A$696,$S$67,報告入力!$B$7:$B$696,$A124)</f>
        <v>16611</v>
      </c>
      <c r="J124" s="116" t="n">
        <f aca="false">SUM(H124:I124)</f>
        <v>33206</v>
      </c>
      <c r="K124" s="114" t="n">
        <f aca="false">SUMIFS(報告入力!$BB$7:$BB$696,報告入力!$A$7:$A$696,$S$67,報告入力!$B$7:$B$696,$A124)</f>
        <v>2528</v>
      </c>
      <c r="L124" s="115" t="n">
        <f aca="false">SUMIFS(報告入力!$BC$7:$BC$696,報告入力!$A$7:$A$696,$S$67,報告入力!$B$7:$B$696,$A124)</f>
        <v>2528</v>
      </c>
      <c r="M124" s="116" t="n">
        <f aca="false">SUM(K124:L124)</f>
        <v>5056</v>
      </c>
      <c r="N124" s="114" t="n">
        <f aca="false">SUMIFS(報告入力!$BD$7:$BD$696,報告入力!$A$7:$A$696,$S$67,報告入力!$B$7:$B$696,$A124)</f>
        <v>368</v>
      </c>
      <c r="O124" s="115" t="n">
        <f aca="false">SUMIFS(報告入力!$BE$7:$BE$696,報告入力!$A$7:$A$696,$S$67,報告入力!$B$7:$B$696,$A124)</f>
        <v>368</v>
      </c>
      <c r="P124" s="116" t="n">
        <f aca="false">SUM(N124:O124)</f>
        <v>736</v>
      </c>
      <c r="Q124" s="110" t="str">
        <f aca="false">IF(P59=P124,"〇","×")</f>
        <v>〇</v>
      </c>
      <c r="R124" s="110" t="str">
        <f aca="false">IFERROR(INDEX(報告入力!$C$7:$C$696,MATCH($S$67&amp;"|"&amp;$A124,報告入力!$CG$7:$CG$696,0)),"")</f>
        <v>入金確認済</v>
      </c>
    </row>
    <row r="125" s="110" customFormat="true" ht="20.1" hidden="false" customHeight="true" outlineLevel="0" collapsed="false">
      <c r="A125" s="100" t="s">
        <v>203</v>
      </c>
      <c r="B125" s="215" t="n">
        <f aca="false">SUMIFS(報告入力!$AU$7:$AU$696,報告入力!$A$7:$A$696,$S$67,報告入力!$B$7:$B$696,$A125)</f>
        <v>0</v>
      </c>
      <c r="C125" s="212" t="n">
        <f aca="false">SUMIFS(報告入力!$AV$7:$AV$696,報告入力!$A$7:$A$696,$S$67,報告入力!$B$7:$B$696,$A125)</f>
        <v>0</v>
      </c>
      <c r="D125" s="178" t="n">
        <f aca="false">SUMIFS(報告入力!$AW$7:$AW$696,報告入力!$A$7:$A$696,$S$67,報告入力!$B$7:$B$696,$A125)</f>
        <v>0</v>
      </c>
      <c r="E125" s="182" t="n">
        <f aca="false">SUMIFS(報告入力!$AX$7:$AX$696,報告入力!$A$7:$A$696,$S$67,報告入力!$B$7:$B$696,$A125)</f>
        <v>0</v>
      </c>
      <c r="F125" s="193"/>
      <c r="G125" s="181" t="n">
        <f aca="false">SUM(B125:F125)</f>
        <v>0</v>
      </c>
      <c r="H125" s="182" t="n">
        <f aca="false">SUMIFS(報告入力!$AZ$7:$AZ$696,報告入力!$A$7:$A$696,$S$67,報告入力!$B$7:$B$696,$A125)</f>
        <v>0</v>
      </c>
      <c r="I125" s="183" t="n">
        <f aca="false">SUMIFS(報告入力!$BA$7:$BA$696,報告入力!$A$7:$A$696,$S$67,報告入力!$B$7:$B$696,$A125)</f>
        <v>0</v>
      </c>
      <c r="J125" s="135" t="n">
        <f aca="false">SUM(H125:I125)</f>
        <v>0</v>
      </c>
      <c r="K125" s="262" t="n">
        <f aca="false">SUMIFS(報告入力!$BB$7:$BB$696,報告入力!$A$7:$A$696,$S$67,報告入力!$B$7:$B$696,$A125)</f>
        <v>0</v>
      </c>
      <c r="L125" s="183" t="n">
        <f aca="false">SUMIFS(報告入力!$BC$7:$BC$696,報告入力!$A$7:$A$696,$S$67,報告入力!$B$7:$B$696,$A125)</f>
        <v>0</v>
      </c>
      <c r="M125" s="135" t="n">
        <f aca="false">SUM(K125:L125)</f>
        <v>0</v>
      </c>
      <c r="N125" s="262" t="n">
        <f aca="false">SUMIFS(報告入力!$BD$7:$BD$696,報告入力!$A$7:$A$696,$S$67,報告入力!$B$7:$B$696,$A125)</f>
        <v>0</v>
      </c>
      <c r="O125" s="183" t="n">
        <f aca="false">SUMIFS(報告入力!$BE$7:$BE$696,報告入力!$A$7:$A$696,$S$67,報告入力!$B$7:$B$696,$A125)</f>
        <v>0</v>
      </c>
      <c r="P125" s="135" t="n">
        <f aca="false">SUM(N125:O125)</f>
        <v>0</v>
      </c>
      <c r="Q125" s="110" t="str">
        <f aca="false">IF(P60=P125,"〇","×")</f>
        <v>〇</v>
      </c>
      <c r="R125" s="110" t="str">
        <f aca="false">IFERROR(INDEX(報告入力!$C$7:$C$696,MATCH($S$67&amp;"|"&amp;$A125,報告入力!$CG$7:$CG$696,0)),"")</f>
        <v>未受領</v>
      </c>
    </row>
    <row r="126" s="110" customFormat="true" ht="20.1" hidden="false" customHeight="true" outlineLevel="0" collapsed="false">
      <c r="A126" s="192" t="s">
        <v>204</v>
      </c>
      <c r="B126" s="117" t="n">
        <f aca="false">SUMIFS(報告入力!$AU$7:$AU$696,報告入力!$A$7:$A$696,$S$67,報告入力!$B$7:$B$696,$A126)</f>
        <v>27450</v>
      </c>
      <c r="C126" s="113" t="n">
        <f aca="false">SUMIFS(報告入力!$AV$7:$AV$696,報告入力!$A$7:$A$696,$S$67,報告入力!$B$7:$B$696,$A126)</f>
        <v>2250</v>
      </c>
      <c r="D126" s="111" t="n">
        <f aca="false">SUMIFS(報告入力!$AW$7:$AW$696,報告入力!$A$7:$A$696,$S$67,報告入力!$B$7:$B$696,$A126)</f>
        <v>27450</v>
      </c>
      <c r="E126" s="114" t="n">
        <f aca="false">SUMIFS(報告入力!$AX$7:$AX$696,報告入力!$A$7:$A$696,$S$67,報告入力!$B$7:$B$696,$A126)</f>
        <v>2250</v>
      </c>
      <c r="F126" s="193"/>
      <c r="G126" s="108" t="n">
        <f aca="false">SUM(B126:F126)</f>
        <v>59400</v>
      </c>
      <c r="H126" s="114" t="n">
        <f aca="false">SUMIFS(報告入力!$AZ$7:$AZ$696,報告入力!$A$7:$A$696,$S$67,報告入力!$B$7:$B$696,$A126)</f>
        <v>31116</v>
      </c>
      <c r="I126" s="115" t="n">
        <f aca="false">SUMIFS(報告入力!$BA$7:$BA$696,報告入力!$A$7:$A$696,$S$67,報告入力!$B$7:$B$696,$A126)</f>
        <v>31146</v>
      </c>
      <c r="J126" s="116" t="n">
        <f aca="false">SUM(H126:I126)</f>
        <v>62262</v>
      </c>
      <c r="K126" s="109" t="n">
        <f aca="false">SUMIFS(報告入力!$BB$7:$BB$696,報告入力!$A$7:$A$696,$S$67,報告入力!$B$7:$B$696,$A126)</f>
        <v>2370</v>
      </c>
      <c r="L126" s="115" t="n">
        <f aca="false">SUMIFS(報告入力!$BC$7:$BC$696,報告入力!$A$7:$A$696,$S$67,報告入力!$B$7:$B$696,$A126)</f>
        <v>2370</v>
      </c>
      <c r="M126" s="116" t="n">
        <f aca="false">SUM(K126:L126)</f>
        <v>4740</v>
      </c>
      <c r="N126" s="109" t="n">
        <f aca="false">SUMIFS(報告入力!$BD$7:$BD$696,報告入力!$A$7:$A$696,$S$67,報告入力!$B$7:$B$696,$A126)</f>
        <v>690</v>
      </c>
      <c r="O126" s="115" t="n">
        <f aca="false">SUMIFS(報告入力!$BE$7:$BE$696,報告入力!$A$7:$A$696,$S$67,報告入力!$B$7:$B$696,$A126)</f>
        <v>690</v>
      </c>
      <c r="P126" s="116" t="n">
        <f aca="false">SUM(N126:O126)</f>
        <v>1380</v>
      </c>
      <c r="Q126" s="110" t="str">
        <f aca="false">IF(P61=P126,"〇","×")</f>
        <v>〇</v>
      </c>
      <c r="R126" s="110" t="str">
        <f aca="false">IFERROR(INDEX(報告入力!$C$7:$C$696,MATCH($S$67&amp;"|"&amp;$A126,報告入力!$CG$7:$CG$696,0)),"")</f>
        <v>入金確認済</v>
      </c>
    </row>
    <row r="127" s="110" customFormat="true" ht="20.1" hidden="false" customHeight="true" outlineLevel="0" collapsed="false">
      <c r="A127" s="192" t="s">
        <v>205</v>
      </c>
      <c r="B127" s="201"/>
      <c r="C127" s="193"/>
      <c r="D127" s="186"/>
      <c r="E127" s="188"/>
      <c r="F127" s="312"/>
      <c r="G127" s="210" t="n">
        <f aca="false">SUM(B127:F127)</f>
        <v>0</v>
      </c>
      <c r="H127" s="313"/>
      <c r="I127" s="275"/>
      <c r="J127" s="271" t="n">
        <f aca="false">SUM(H127:I127)</f>
        <v>0</v>
      </c>
      <c r="K127" s="274"/>
      <c r="L127" s="275"/>
      <c r="M127" s="271" t="n">
        <f aca="false">SUM(K127:L127)</f>
        <v>0</v>
      </c>
      <c r="N127" s="274"/>
      <c r="O127" s="275"/>
      <c r="P127" s="271" t="n">
        <f aca="false">SUM(N127:O127)</f>
        <v>0</v>
      </c>
      <c r="Q127" s="110" t="str">
        <f aca="false">IF(P62=P127,"〇","×")</f>
        <v>〇</v>
      </c>
      <c r="R127" s="110" t="str">
        <f aca="false">IFERROR(INDEX(報告入力!$C$7:$C$696,MATCH($S$67&amp;"|"&amp;$A127,報告入力!$CG$7:$CG$696,0)),"")</f>
        <v>報告なし</v>
      </c>
    </row>
    <row r="128" s="110" customFormat="true" ht="20.1" hidden="false" customHeight="true" outlineLevel="0" collapsed="false">
      <c r="A128" s="171" t="s">
        <v>383</v>
      </c>
      <c r="B128" s="172" t="n">
        <f aca="false">SUM(B124:B127)</f>
        <v>56730</v>
      </c>
      <c r="C128" s="176" t="n">
        <f aca="false">SUM(C124:C127)</f>
        <v>4650</v>
      </c>
      <c r="D128" s="172" t="n">
        <f aca="false">SUM(D124:D127)</f>
        <v>56730</v>
      </c>
      <c r="E128" s="174" t="n">
        <f aca="false">SUM(E124:E127)</f>
        <v>4650</v>
      </c>
      <c r="F128" s="175" t="n">
        <f aca="false">SUM(F124:F127)</f>
        <v>0</v>
      </c>
      <c r="G128" s="176" t="n">
        <f aca="false">SUM(B128:F128)</f>
        <v>122760</v>
      </c>
      <c r="H128" s="276" t="n">
        <f aca="false">SUM(H124:H127)</f>
        <v>47711</v>
      </c>
      <c r="I128" s="174" t="n">
        <f aca="false">SUM(I124:I127)</f>
        <v>47757</v>
      </c>
      <c r="J128" s="175" t="n">
        <f aca="false">SUM(H128:I128)</f>
        <v>95468</v>
      </c>
      <c r="K128" s="172" t="n">
        <f aca="false">SUM(K124:K127)</f>
        <v>4898</v>
      </c>
      <c r="L128" s="276" t="n">
        <f aca="false">SUM(L124:L127)</f>
        <v>4898</v>
      </c>
      <c r="M128" s="175" t="n">
        <f aca="false">SUM(K128:L128)</f>
        <v>9796</v>
      </c>
      <c r="N128" s="172" t="n">
        <f aca="false">SUM(N124:N127)</f>
        <v>1058</v>
      </c>
      <c r="O128" s="276" t="n">
        <f aca="false">SUM(O124:O127)</f>
        <v>1058</v>
      </c>
      <c r="P128" s="175" t="n">
        <f aca="false">SUM(N128:O128)</f>
        <v>2116</v>
      </c>
      <c r="Q128" s="110" t="str">
        <f aca="false">IF(P63=P128,"〇","×")</f>
        <v>〇</v>
      </c>
    </row>
    <row r="129" s="110" customFormat="true" ht="20.1" hidden="false" customHeight="true" outlineLevel="0" collapsed="false">
      <c r="A129" s="277" t="s">
        <v>206</v>
      </c>
      <c r="B129" s="278"/>
      <c r="C129" s="279"/>
      <c r="D129" s="280"/>
      <c r="E129" s="281"/>
      <c r="F129" s="267"/>
      <c r="G129" s="268"/>
      <c r="H129" s="282" t="n">
        <f aca="false">SUMIFS(報告入力!$AZ$7:$AZ$696,報告入力!$A$7:$A$696,$S$67,報告入力!$B$7:$B$696,$A129)</f>
        <v>2899667</v>
      </c>
      <c r="I129" s="314"/>
      <c r="J129" s="284" t="n">
        <f aca="false">SUM(H129:I129)</f>
        <v>2899667</v>
      </c>
      <c r="K129" s="282" t="n">
        <f aca="false">SUMIFS(報告入力!$BB$7:$BB$696,報告入力!$A$7:$A$696,$S$67,報告入力!$B$7:$B$696,$A129)</f>
        <v>166737</v>
      </c>
      <c r="L129" s="314"/>
      <c r="M129" s="284" t="n">
        <f aca="false">SUM(K129:L129)</f>
        <v>166737</v>
      </c>
      <c r="N129" s="282" t="n">
        <f aca="false">SUMIFS(報告入力!$BD$7:$BD$696,報告入力!$A$7:$A$696,$S$67,報告入力!$B$7:$B$696,$A129)</f>
        <v>64285</v>
      </c>
      <c r="O129" s="314"/>
      <c r="P129" s="284" t="n">
        <f aca="false">SUM(N129:O129)</f>
        <v>64285</v>
      </c>
      <c r="Q129" s="110" t="str">
        <f aca="false">IF(P64=P129,"〇","×")</f>
        <v>×</v>
      </c>
      <c r="R129" s="110" t="str">
        <f aca="false">IFERROR(INDEX(報告入力!$C$7:$C$696,MATCH($S$67&amp;"|"&amp;$A129,報告入力!$CG$7:$CG$696,0)),"")</f>
        <v>受領済</v>
      </c>
    </row>
    <row r="130" s="110" customFormat="true" ht="30" hidden="false" customHeight="true" outlineLevel="0" collapsed="false">
      <c r="A130" s="285" t="s">
        <v>385</v>
      </c>
      <c r="B130" s="286" t="n">
        <f aca="false">SUM(+B87+B118+B123+B128+B129)</f>
        <v>491261760</v>
      </c>
      <c r="C130" s="287" t="n">
        <f aca="false">SUM(+C87+C118+C123+C128+C129)</f>
        <v>40270934</v>
      </c>
      <c r="D130" s="286" t="n">
        <f aca="false">SUM(+D87+D118+D123+D128+D129)</f>
        <v>713165985</v>
      </c>
      <c r="E130" s="288" t="n">
        <f aca="false">SUM(+E87+E118+E123+E128+E129)</f>
        <v>40269134</v>
      </c>
      <c r="F130" s="287" t="n">
        <f aca="false">SUM(+F87+F118+F123+F128+F129)</f>
        <v>483067</v>
      </c>
      <c r="G130" s="289" t="n">
        <f aca="false">SUM(B130:F130)</f>
        <v>1285450880</v>
      </c>
      <c r="H130" s="290" t="n">
        <f aca="false">SUM(+H87+H118+H123+H128+H129)</f>
        <v>353209549</v>
      </c>
      <c r="I130" s="290" t="n">
        <f aca="false">SUM(+I87+I118+I123+I128+I129)</f>
        <v>354839877</v>
      </c>
      <c r="J130" s="291" t="n">
        <f aca="false">SUM(H130:I130)</f>
        <v>708049426</v>
      </c>
      <c r="K130" s="292" t="n">
        <f aca="false">SUM(+K87+K118+K123+K128+K129)</f>
        <v>31474243</v>
      </c>
      <c r="L130" s="290" t="n">
        <f aca="false">SUM(+L87+L118+L123+L128+L129)</f>
        <v>31307243</v>
      </c>
      <c r="M130" s="291" t="n">
        <f aca="false">SUM(K130:L130)</f>
        <v>62781486</v>
      </c>
      <c r="N130" s="292" t="n">
        <f aca="false">SUM(+N87+N118+N123+N128+N129)</f>
        <v>7828424</v>
      </c>
      <c r="O130" s="290" t="n">
        <f aca="false">SUM(+O87+O118+O123+O128+O129)</f>
        <v>7767967</v>
      </c>
      <c r="P130" s="291" t="n">
        <f aca="false">SUM(N130:O130)</f>
        <v>15596391</v>
      </c>
      <c r="Q130" s="110" t="str">
        <f aca="false">IF(P65=P130,"〇","×")</f>
        <v>×</v>
      </c>
    </row>
    <row r="131" s="316" customFormat="true" ht="39" hidden="false" customHeight="true" outlineLevel="0" collapsed="false">
      <c r="A131" s="315"/>
      <c r="G131" s="84"/>
      <c r="Q131" s="316" t="str">
        <f aca="false">IF(P66=P131,"〇","×")</f>
        <v>〇</v>
      </c>
    </row>
    <row r="132" s="297" customFormat="true" ht="30" hidden="false" customHeight="true" outlineLevel="0" collapsed="false">
      <c r="A132" s="295"/>
      <c r="B132" s="87" t="n">
        <f aca="false">EOMONTH(B67,1)</f>
        <v>46203</v>
      </c>
      <c r="C132" s="87"/>
      <c r="D132" s="87"/>
      <c r="E132" s="87"/>
      <c r="F132" s="87"/>
      <c r="G132" s="87"/>
      <c r="H132" s="87" t="n">
        <f aca="false">B132</f>
        <v>46203</v>
      </c>
      <c r="I132" s="87"/>
      <c r="J132" s="87"/>
      <c r="K132" s="87" t="n">
        <f aca="false">H132</f>
        <v>46203</v>
      </c>
      <c r="L132" s="87"/>
      <c r="M132" s="87"/>
      <c r="N132" s="87" t="n">
        <f aca="false">K132</f>
        <v>46203</v>
      </c>
      <c r="O132" s="87"/>
      <c r="P132" s="87"/>
      <c r="Q132" s="297" t="str">
        <f aca="false">IF(P67=P132,"〇","×")</f>
        <v>〇</v>
      </c>
      <c r="S132" s="297" t="s">
        <v>388</v>
      </c>
    </row>
    <row r="133" customFormat="false" ht="22.5" hidden="false" customHeight="true" outlineLevel="0" collapsed="false">
      <c r="A133" s="89" t="s">
        <v>369</v>
      </c>
      <c r="B133" s="89" t="s">
        <v>370</v>
      </c>
      <c r="C133" s="89"/>
      <c r="D133" s="89"/>
      <c r="E133" s="89"/>
      <c r="F133" s="89"/>
      <c r="G133" s="89"/>
      <c r="H133" s="91" t="s">
        <v>371</v>
      </c>
      <c r="I133" s="91"/>
      <c r="J133" s="91"/>
      <c r="K133" s="91" t="s">
        <v>372</v>
      </c>
      <c r="L133" s="91"/>
      <c r="M133" s="91"/>
      <c r="N133" s="91" t="str">
        <f aca="false">$N$3</f>
        <v>子ども・子育て支援納付金</v>
      </c>
      <c r="O133" s="91"/>
      <c r="P133" s="91"/>
      <c r="Q133" s="80" t="str">
        <f aca="false">IF(P68=P133,"〇","×")</f>
        <v>〇</v>
      </c>
    </row>
    <row r="134" customFormat="false" ht="22.5" hidden="false" customHeight="true" outlineLevel="0" collapsed="false">
      <c r="A134" s="89"/>
      <c r="B134" s="92" t="s">
        <v>373</v>
      </c>
      <c r="C134" s="92"/>
      <c r="D134" s="92" t="s">
        <v>374</v>
      </c>
      <c r="E134" s="92"/>
      <c r="F134" s="92"/>
      <c r="G134" s="92" t="s">
        <v>375</v>
      </c>
      <c r="H134" s="96" t="s">
        <v>376</v>
      </c>
      <c r="I134" s="94" t="s">
        <v>377</v>
      </c>
      <c r="J134" s="95" t="s">
        <v>375</v>
      </c>
      <c r="K134" s="96" t="s">
        <v>376</v>
      </c>
      <c r="L134" s="94" t="s">
        <v>377</v>
      </c>
      <c r="M134" s="95" t="s">
        <v>375</v>
      </c>
      <c r="N134" s="96" t="s">
        <v>376</v>
      </c>
      <c r="O134" s="94" t="s">
        <v>377</v>
      </c>
      <c r="P134" s="95" t="s">
        <v>375</v>
      </c>
      <c r="Q134" s="80" t="str">
        <f aca="false">IF(P69=P134,"〇","×")</f>
        <v>〇</v>
      </c>
    </row>
    <row r="135" customFormat="false" ht="22.5" hidden="false" customHeight="true" outlineLevel="0" collapsed="false">
      <c r="A135" s="89"/>
      <c r="B135" s="97" t="s">
        <v>378</v>
      </c>
      <c r="C135" s="98" t="s">
        <v>379</v>
      </c>
      <c r="D135" s="99" t="s">
        <v>378</v>
      </c>
      <c r="E135" s="99" t="s">
        <v>380</v>
      </c>
      <c r="F135" s="98" t="s">
        <v>85</v>
      </c>
      <c r="G135" s="92"/>
      <c r="H135" s="96"/>
      <c r="I135" s="94"/>
      <c r="J135" s="95"/>
      <c r="K135" s="96"/>
      <c r="L135" s="94"/>
      <c r="M135" s="95"/>
      <c r="N135" s="96"/>
      <c r="O135" s="94"/>
      <c r="P135" s="95"/>
      <c r="Q135" s="80" t="str">
        <f aca="false">IF(P70=P135,"〇","×")</f>
        <v>〇</v>
      </c>
    </row>
    <row r="136" s="110" customFormat="true" ht="20.1" hidden="false" customHeight="true" outlineLevel="0" collapsed="false">
      <c r="A136" s="100" t="s">
        <v>158</v>
      </c>
      <c r="B136" s="117" t="n">
        <f aca="false">SUMIFS(報告入力!$AU$7:$AU$696,報告入力!$A$7:$A$696,$S$132,報告入力!$B$7:$B$696,$A136)</f>
        <v>238039995</v>
      </c>
      <c r="C136" s="113" t="n">
        <f aca="false">SUMIFS(報告入力!$AV$7:$AV$696,報告入力!$A$7:$A$696,$S$132,報告入力!$B$7:$B$696,$A136)</f>
        <v>19517220</v>
      </c>
      <c r="D136" s="111" t="n">
        <f aca="false">SUMIFS(報告入力!$AW$7:$AW$696,報告入力!$A$7:$A$696,$S$132,報告入力!$B$7:$B$696,$A136)</f>
        <v>341263694</v>
      </c>
      <c r="E136" s="114" t="n">
        <f aca="false">SUMIFS(報告入力!$AX$7:$AX$696,報告入力!$A$7:$A$696,$S$132,報告入力!$B$7:$B$696,$A136)</f>
        <v>19000006</v>
      </c>
      <c r="F136" s="113" t="n">
        <f aca="false">SUMIFS(報告入力!$AY$7:$AY$696,報告入力!$A$7:$A$696,$S$132,報告入力!$B$7:$B$696,$A136)</f>
        <v>229788</v>
      </c>
      <c r="G136" s="108" t="n">
        <f aca="false">SUM(B136:F136)</f>
        <v>618050703</v>
      </c>
      <c r="H136" s="114" t="n">
        <f aca="false">SUMIFS(報告入力!$AZ$7:$AZ$696,報告入力!$A$7:$A$696,$S$132,報告入力!$B$7:$B$696,$A136)</f>
        <v>172547279</v>
      </c>
      <c r="I136" s="205" t="n">
        <f aca="false">SUMIFS(報告入力!$BA$7:$BA$696,報告入力!$A$7:$A$696,$S$132,報告入力!$B$7:$B$696,$A136)</f>
        <v>171825765</v>
      </c>
      <c r="J136" s="108" t="n">
        <f aca="false">SUM(H136:I136)</f>
        <v>344373044</v>
      </c>
      <c r="K136" s="205" t="n">
        <f aca="false">SUMIFS(報告入力!$BB$7:$BB$696,報告入力!$A$7:$A$696,$S$132,報告入力!$B$7:$B$696,$A136)</f>
        <v>15775131</v>
      </c>
      <c r="L136" s="205" t="n">
        <f aca="false">SUMIFS(報告入力!$BC$7:$BC$696,報告入力!$A$7:$A$696,$S$132,報告入力!$B$7:$B$696,$A136)</f>
        <v>15353813</v>
      </c>
      <c r="M136" s="108" t="n">
        <f aca="false">SUM(K136:L136)</f>
        <v>31128944</v>
      </c>
      <c r="N136" s="205" t="n">
        <f aca="false">SUMIFS(報告入力!$BD$7:$BD$696,報告入力!$A$7:$A$696,$S$132,報告入力!$B$7:$B$696,$A136)</f>
        <v>3824083</v>
      </c>
      <c r="O136" s="205" t="n">
        <f aca="false">SUMIFS(報告入力!$BE$7:$BE$696,報告入力!$A$7:$A$696,$S$132,報告入力!$B$7:$B$696,$A136)</f>
        <v>3744338</v>
      </c>
      <c r="P136" s="108" t="n">
        <f aca="false">SUM(N136:O136)</f>
        <v>7568421</v>
      </c>
      <c r="Q136" s="110" t="str">
        <f aca="false">IF(P71=P136,"〇","×")</f>
        <v>×</v>
      </c>
      <c r="R136" s="110" t="str">
        <f aca="false">IFERROR(INDEX(報告入力!$C$7:$C$696,MATCH($S$132&amp;"|"&amp;$A136,報告入力!$CG$7:$CG$696,0)),"")</f>
        <v>入金確認済</v>
      </c>
    </row>
    <row r="137" s="110" customFormat="true" ht="20.1" hidden="false" customHeight="true" outlineLevel="0" collapsed="false">
      <c r="A137" s="100" t="s">
        <v>161</v>
      </c>
      <c r="B137" s="117" t="n">
        <f aca="false">SUMIFS(報告入力!$AU$7:$AU$696,報告入力!$A$7:$A$696,$S$132,報告入力!$B$7:$B$696,$A137)</f>
        <v>16387375</v>
      </c>
      <c r="C137" s="113" t="n">
        <f aca="false">SUMIFS(報告入力!$AV$7:$AV$696,報告入力!$A$7:$A$696,$S$132,報告入力!$B$7:$B$696,$A137)</f>
        <v>1343227</v>
      </c>
      <c r="D137" s="111" t="n">
        <f aca="false">SUMIFS(報告入力!$AW$7:$AW$696,報告入力!$A$7:$A$696,$S$132,報告入力!$B$7:$B$696,$A137)</f>
        <v>23626468</v>
      </c>
      <c r="E137" s="114" t="n">
        <f aca="false">SUMIFS(報告入力!$AX$7:$AX$696,報告入力!$A$7:$A$696,$S$132,報告入力!$B$7:$B$696,$A137)</f>
        <v>1340527</v>
      </c>
      <c r="F137" s="113" t="n">
        <f aca="false">SUMIFS(報告入力!$AY$7:$AY$696,報告入力!$A$7:$A$696,$S$132,報告入力!$B$7:$B$696,$A137)</f>
        <v>15829</v>
      </c>
      <c r="G137" s="108" t="n">
        <f aca="false">SUM(B137:F137)</f>
        <v>42713426</v>
      </c>
      <c r="H137" s="114" t="n">
        <f aca="false">SUMIFS(報告入力!$AZ$7:$AZ$696,報告入力!$A$7:$A$696,$S$132,報告入力!$B$7:$B$696,$A137)</f>
        <v>9617811</v>
      </c>
      <c r="I137" s="205" t="n">
        <f aca="false">SUMIFS(報告入力!$BA$7:$BA$696,報告入力!$A$7:$A$696,$S$132,報告入力!$B$7:$B$696,$A137)</f>
        <v>9763388</v>
      </c>
      <c r="J137" s="108" t="n">
        <f aca="false">SUM(H137:I137)</f>
        <v>19381199</v>
      </c>
      <c r="K137" s="205" t="n">
        <f aca="false">SUMIFS(報告入力!$BB$7:$BB$696,報告入力!$A$7:$A$696,$S$132,報告入力!$B$7:$B$696,$A137)</f>
        <v>1023847</v>
      </c>
      <c r="L137" s="205" t="n">
        <f aca="false">SUMIFS(報告入力!$BC$7:$BC$696,報告入力!$A$7:$A$696,$S$132,報告入力!$B$7:$B$696,$A137)</f>
        <v>1023846</v>
      </c>
      <c r="M137" s="108" t="n">
        <f aca="false">SUM(K137:L137)</f>
        <v>2047693</v>
      </c>
      <c r="N137" s="205" t="n">
        <f aca="false">SUMIFS(報告入力!$BD$7:$BD$696,報告入力!$A$7:$A$696,$S$132,報告入力!$B$7:$B$696,$A137)</f>
        <v>213218</v>
      </c>
      <c r="O137" s="205" t="n">
        <f aca="false">SUMIFS(報告入力!$BE$7:$BE$696,報告入力!$A$7:$A$696,$S$132,報告入力!$B$7:$B$696,$A137)</f>
        <v>212876</v>
      </c>
      <c r="P137" s="108" t="n">
        <f aca="false">SUM(N137:O137)</f>
        <v>426094</v>
      </c>
      <c r="Q137" s="110" t="str">
        <f aca="false">IF(P72=P137,"〇","×")</f>
        <v>×</v>
      </c>
      <c r="R137" s="110" t="str">
        <f aca="false">IFERROR(INDEX(報告入力!$C$7:$C$696,MATCH($S$132&amp;"|"&amp;$A137,報告入力!$CG$7:$CG$696,0)),"")</f>
        <v>入金確認済</v>
      </c>
    </row>
    <row r="138" s="110" customFormat="true" ht="20.1" hidden="false" customHeight="true" outlineLevel="0" collapsed="false">
      <c r="A138" s="100" t="s">
        <v>162</v>
      </c>
      <c r="B138" s="117" t="n">
        <f aca="false">SUMIFS(報告入力!$AU$7:$AU$696,報告入力!$A$7:$A$696,$S$132,報告入力!$B$7:$B$696,$A138)</f>
        <v>55241295</v>
      </c>
      <c r="C138" s="113" t="n">
        <f aca="false">SUMIFS(報告入力!$AV$7:$AV$696,報告入力!$A$7:$A$696,$S$132,報告入力!$B$7:$B$696,$A138)</f>
        <v>4527975</v>
      </c>
      <c r="D138" s="111" t="n">
        <f aca="false">SUMIFS(報告入力!$AW$7:$AW$696,報告入力!$A$7:$A$696,$S$132,報告入力!$B$7:$B$696,$A138)</f>
        <v>79419549</v>
      </c>
      <c r="E138" s="114" t="n">
        <f aca="false">SUMIFS(報告入力!$AX$7:$AX$696,報告入力!$A$7:$A$696,$S$132,報告入力!$B$7:$B$696,$A138)</f>
        <v>4512150</v>
      </c>
      <c r="F138" s="113" t="n">
        <f aca="false">SUMIFS(報告入力!$AY$7:$AY$696,報告入力!$A$7:$A$696,$S$132,報告入力!$B$7:$B$696,$A138)</f>
        <v>52792</v>
      </c>
      <c r="G138" s="108" t="n">
        <f aca="false">SUM(B138:F138)</f>
        <v>143753761</v>
      </c>
      <c r="H138" s="114" t="n">
        <f aca="false">SUMIFS(報告入力!$AZ$7:$AZ$696,報告入力!$A$7:$A$696,$S$132,報告入力!$B$7:$B$696,$A138)</f>
        <v>32013376</v>
      </c>
      <c r="I138" s="205" t="n">
        <f aca="false">SUMIFS(報告入力!$BA$7:$BA$696,報告入力!$A$7:$A$696,$S$132,報告入力!$B$7:$B$696,$A138)</f>
        <v>32447648</v>
      </c>
      <c r="J138" s="108" t="n">
        <f aca="false">SUM(H138:I138)</f>
        <v>64461024</v>
      </c>
      <c r="K138" s="205" t="n">
        <f aca="false">SUMIFS(報告入力!$BB$7:$BB$696,報告入力!$A$7:$A$696,$S$132,報告入力!$B$7:$B$696,$A138)</f>
        <v>2060286</v>
      </c>
      <c r="L138" s="205" t="n">
        <f aca="false">SUMIFS(報告入力!$BC$7:$BC$696,報告入力!$A$7:$A$696,$S$132,報告入力!$B$7:$B$696,$A138)</f>
        <v>2047332</v>
      </c>
      <c r="M138" s="108" t="n">
        <f aca="false">SUM(K138:L138)</f>
        <v>4107618</v>
      </c>
      <c r="N138" s="205" t="n">
        <f aca="false">SUMIFS(報告入力!$BD$7:$BD$696,報告入力!$A$7:$A$696,$S$132,報告入力!$B$7:$B$696,$A138)</f>
        <v>709650</v>
      </c>
      <c r="O138" s="205" t="n">
        <f aca="false">SUMIFS(報告入力!$BE$7:$BE$696,報告入力!$A$7:$A$696,$S$132,報告入力!$B$7:$B$696,$A138)</f>
        <v>707489</v>
      </c>
      <c r="P138" s="108" t="n">
        <f aca="false">SUM(N138:O138)</f>
        <v>1417139</v>
      </c>
      <c r="Q138" s="110" t="str">
        <f aca="false">IF(P73=P138,"〇","×")</f>
        <v>×</v>
      </c>
      <c r="R138" s="110" t="str">
        <f aca="false">IFERROR(INDEX(報告入力!$C$7:$C$696,MATCH($S$132&amp;"|"&amp;$A138,報告入力!$CG$7:$CG$696,0)),"")</f>
        <v>入金確認済</v>
      </c>
    </row>
    <row r="139" s="110" customFormat="true" ht="20.1" hidden="false" customHeight="true" outlineLevel="0" collapsed="false">
      <c r="A139" s="100" t="s">
        <v>163</v>
      </c>
      <c r="B139" s="111" t="n">
        <f aca="false">SUMIFS(報告入力!$AU$7:$AU$696,報告入力!$A$7:$A$696,$S$132,報告入力!$B$7:$B$696,$A139)</f>
        <v>1810785</v>
      </c>
      <c r="C139" s="112" t="n">
        <f aca="false">SUMIFS(報告入力!$AV$7:$AV$696,報告入力!$A$7:$A$696,$S$132,報告入力!$B$7:$B$696,$A139)</f>
        <v>148425</v>
      </c>
      <c r="D139" s="103" t="n">
        <f aca="false">SUMIFS(報告入力!$AW$7:$AW$696,報告入力!$A$7:$A$696,$S$132,報告入力!$B$7:$B$696,$A139)</f>
        <v>2609982</v>
      </c>
      <c r="E139" s="103" t="n">
        <f aca="false">SUMIFS(報告入力!$AX$7:$AX$696,報告入力!$A$7:$A$696,$S$132,報告入力!$B$7:$B$696,$A139)</f>
        <v>148425</v>
      </c>
      <c r="F139" s="113" t="n">
        <f aca="false">SUMIFS(報告入力!$AY$7:$AY$696,報告入力!$A$7:$A$696,$S$132,報告入力!$B$7:$B$696,$A139)</f>
        <v>1740</v>
      </c>
      <c r="G139" s="108" t="n">
        <f aca="false">SUM(B139:F139)</f>
        <v>4719357</v>
      </c>
      <c r="H139" s="114" t="n">
        <f aca="false">SUMIFS(報告入力!$AZ$7:$AZ$696,報告入力!$A$7:$A$696,$S$132,報告入力!$B$7:$B$696,$A139)</f>
        <v>1048696</v>
      </c>
      <c r="I139" s="205" t="n">
        <f aca="false">SUMIFS(報告入力!$BA$7:$BA$696,報告入力!$A$7:$A$696,$S$132,報告入力!$B$7:$B$696,$A139)</f>
        <v>1066514</v>
      </c>
      <c r="J139" s="298" t="n">
        <f aca="false">SUM(H139:I139)</f>
        <v>2115210</v>
      </c>
      <c r="K139" s="205" t="n">
        <f aca="false">SUMIFS(報告入力!$BB$7:$BB$696,報告入力!$A$7:$A$696,$S$132,報告入力!$B$7:$B$696,$A139)</f>
        <v>101925</v>
      </c>
      <c r="L139" s="205" t="n">
        <f aca="false">SUMIFS(報告入力!$BC$7:$BC$696,報告入力!$A$7:$A$696,$S$132,報告入力!$B$7:$B$696,$A139)</f>
        <v>101925</v>
      </c>
      <c r="M139" s="108" t="n">
        <f aca="false">SUM(K139:L139)</f>
        <v>203850</v>
      </c>
      <c r="N139" s="205" t="n">
        <f aca="false">SUMIFS(報告入力!$BD$7:$BD$696,報告入力!$A$7:$A$696,$S$132,報告入力!$B$7:$B$696,$A139)</f>
        <v>23247</v>
      </c>
      <c r="O139" s="205" t="n">
        <f aca="false">SUMIFS(報告入力!$BE$7:$BE$696,報告入力!$A$7:$A$696,$S$132,報告入力!$B$7:$B$696,$A139)</f>
        <v>23255</v>
      </c>
      <c r="P139" s="108" t="n">
        <f aca="false">SUM(N139:O139)</f>
        <v>46502</v>
      </c>
      <c r="Q139" s="110" t="str">
        <f aca="false">IF(P74=P139,"〇","×")</f>
        <v>〇</v>
      </c>
      <c r="R139" s="110" t="str">
        <f aca="false">IFERROR(INDEX(報告入力!$C$7:$C$696,MATCH($S$132&amp;"|"&amp;$A139,報告入力!$CG$7:$CG$696,0)),"")</f>
        <v>入金確認済</v>
      </c>
    </row>
    <row r="140" s="110" customFormat="true" ht="20.1" hidden="false" customHeight="true" outlineLevel="0" collapsed="false">
      <c r="A140" s="100" t="s">
        <v>164</v>
      </c>
      <c r="B140" s="117" t="n">
        <f aca="false">SUMIFS(報告入力!$AU$7:$AU$696,報告入力!$A$7:$A$696,$S$132,報告入力!$B$7:$B$696,$A140)</f>
        <v>23665011</v>
      </c>
      <c r="C140" s="113" t="n">
        <f aca="false">SUMIFS(報告入力!$AV$7:$AV$696,報告入力!$A$7:$A$696,$S$132,報告入力!$B$7:$B$696,$A140)</f>
        <v>1939755</v>
      </c>
      <c r="D140" s="111" t="n">
        <f aca="false">SUMIFS(報告入力!$AW$7:$AW$696,報告入力!$A$7:$A$696,$S$132,報告入力!$B$7:$B$696,$A140)</f>
        <v>34091829</v>
      </c>
      <c r="E140" s="114" t="n">
        <f aca="false">SUMIFS(報告入力!$AX$7:$AX$696,報告入力!$A$7:$A$696,$S$132,報告入力!$B$7:$B$696,$A140)</f>
        <v>1939800</v>
      </c>
      <c r="F140" s="113" t="n">
        <f aca="false">SUMIFS(報告入力!$AY$7:$AY$696,報告入力!$A$7:$A$696,$S$132,報告入力!$B$7:$B$696,$A140)</f>
        <v>22702</v>
      </c>
      <c r="G140" s="108" t="n">
        <f aca="false">SUM(B140:F140)</f>
        <v>61659097</v>
      </c>
      <c r="H140" s="114" t="n">
        <f aca="false">SUMIFS(報告入力!$AZ$7:$AZ$696,報告入力!$A$7:$A$696,$S$132,報告入力!$B$7:$B$696,$A140)</f>
        <v>23489766</v>
      </c>
      <c r="I140" s="205" t="n">
        <f aca="false">SUMIFS(報告入力!$BA$7:$BA$696,報告入力!$A$7:$A$696,$S$132,報告入力!$B$7:$B$696,$A140)</f>
        <v>23826312</v>
      </c>
      <c r="J140" s="108" t="n">
        <f aca="false">SUM(H140:I140)</f>
        <v>47316078</v>
      </c>
      <c r="K140" s="205" t="n">
        <f aca="false">SUMIFS(報告入力!$BB$7:$BB$696,報告入力!$A$7:$A$696,$S$132,報告入力!$B$7:$B$696,$A140)</f>
        <v>2747911</v>
      </c>
      <c r="L140" s="205" t="n">
        <f aca="false">SUMIFS(報告入力!$BC$7:$BC$696,報告入力!$A$7:$A$696,$S$132,報告入力!$B$7:$B$696,$A140)</f>
        <v>2740362</v>
      </c>
      <c r="M140" s="108" t="n">
        <f aca="false">SUM(K140:L140)</f>
        <v>5488273</v>
      </c>
      <c r="N140" s="205" t="n">
        <f aca="false">SUMIFS(報告入力!$BD$7:$BD$696,報告入力!$A$7:$A$696,$S$132,報告入力!$B$7:$B$696,$A140)</f>
        <v>520296</v>
      </c>
      <c r="O140" s="205" t="n">
        <f aca="false">SUMIFS(報告入力!$BE$7:$BE$696,報告入力!$A$7:$A$696,$S$132,報告入力!$B$7:$B$696,$A140)</f>
        <v>519504</v>
      </c>
      <c r="P140" s="108" t="n">
        <f aca="false">SUM(N140:O140)</f>
        <v>1039800</v>
      </c>
      <c r="Q140" s="110" t="str">
        <f aca="false">IF(P75=P140,"〇","×")</f>
        <v>×</v>
      </c>
      <c r="R140" s="110" t="str">
        <f aca="false">IFERROR(INDEX(報告入力!$C$7:$C$696,MATCH($S$132&amp;"|"&amp;$A140,報告入力!$CG$7:$CG$696,0)),"")</f>
        <v>入金確認済</v>
      </c>
    </row>
    <row r="141" s="110" customFormat="true" ht="20.1" hidden="false" customHeight="true" outlineLevel="0" collapsed="false">
      <c r="A141" s="100" t="s">
        <v>165</v>
      </c>
      <c r="B141" s="111" t="n">
        <f aca="false">SUMIFS(報告入力!$AU$7:$AU$696,報告入力!$A$7:$A$696,$S$132,報告入力!$B$7:$B$696,$A141)</f>
        <v>326655</v>
      </c>
      <c r="C141" s="112" t="n">
        <f aca="false">SUMIFS(報告入力!$AV$7:$AV$696,報告入力!$A$7:$A$696,$S$132,報告入力!$B$7:$B$696,$A141)</f>
        <v>26775</v>
      </c>
      <c r="D141" s="103" t="n">
        <f aca="false">SUMIFS(報告入力!$AW$7:$AW$696,報告入力!$A$7:$A$696,$S$132,報告入力!$B$7:$B$696,$A141)</f>
        <v>469098</v>
      </c>
      <c r="E141" s="103" t="n">
        <f aca="false">SUMIFS(報告入力!$AX$7:$AX$696,報告入力!$A$7:$A$696,$S$132,報告入力!$B$7:$B$696,$A141)</f>
        <v>26775</v>
      </c>
      <c r="F141" s="113" t="n">
        <f aca="false">SUMIFS(報告入力!$AY$7:$AY$696,報告入力!$A$7:$A$696,$S$132,報告入力!$B$7:$B$696,$A141)</f>
        <v>310</v>
      </c>
      <c r="G141" s="108" t="n">
        <f aca="false">SUM(B141:F141)</f>
        <v>849613</v>
      </c>
      <c r="H141" s="114" t="n">
        <f aca="false">SUMIFS(報告入力!$AZ$7:$AZ$696,報告入力!$A$7:$A$696,$S$132,報告入力!$B$7:$B$696,$A141)</f>
        <v>205363</v>
      </c>
      <c r="I141" s="115" t="n">
        <f aca="false">SUMIFS(報告入力!$BA$7:$BA$696,報告入力!$A$7:$A$696,$S$132,報告入力!$B$7:$B$696,$A141)</f>
        <v>208810</v>
      </c>
      <c r="J141" s="116" t="n">
        <f aca="false">SUM(H141:I141)</f>
        <v>414173</v>
      </c>
      <c r="K141" s="111" t="n">
        <f aca="false">SUMIFS(報告入力!$BB$7:$BB$696,報告入力!$A$7:$A$696,$S$132,報告入力!$B$7:$B$696,$A141)</f>
        <v>15800</v>
      </c>
      <c r="L141" s="205" t="n">
        <f aca="false">SUMIFS(報告入力!$BC$7:$BC$696,報告入力!$A$7:$A$696,$S$132,報告入力!$B$7:$B$696,$A141)</f>
        <v>15800</v>
      </c>
      <c r="M141" s="108" t="n">
        <f aca="false">SUM(K141:L141)</f>
        <v>31600</v>
      </c>
      <c r="N141" s="205" t="n">
        <f aca="false">SUMIFS(報告入力!$BD$7:$BD$696,報告入力!$A$7:$A$696,$S$132,報告入力!$B$7:$B$696,$A141)</f>
        <v>4552</v>
      </c>
      <c r="O141" s="205" t="n">
        <f aca="false">SUMIFS(報告入力!$BE$7:$BE$696,報告入力!$A$7:$A$696,$S$132,報告入力!$B$7:$B$696,$A141)</f>
        <v>4553</v>
      </c>
      <c r="P141" s="108" t="n">
        <f aca="false">SUM(N141:O141)</f>
        <v>9105</v>
      </c>
      <c r="Q141" s="110" t="str">
        <f aca="false">IF(P76=P141,"〇","×")</f>
        <v>〇</v>
      </c>
      <c r="R141" s="110" t="str">
        <f aca="false">IFERROR(INDEX(報告入力!$C$7:$C$696,MATCH($S$132&amp;"|"&amp;$A141,報告入力!$CG$7:$CG$696,0)),"")</f>
        <v>入金確認済</v>
      </c>
    </row>
    <row r="142" s="110" customFormat="true" ht="20.1" hidden="false" customHeight="true" outlineLevel="0" collapsed="false">
      <c r="A142" s="100" t="s">
        <v>166</v>
      </c>
      <c r="B142" s="111" t="n">
        <f aca="false">SUMIFS(報告入力!$AU$7:$AU$696,報告入力!$A$7:$A$696,$S$132,報告入力!$B$7:$B$696,$A142)</f>
        <v>597495</v>
      </c>
      <c r="C142" s="112" t="n">
        <f aca="false">SUMIFS(報告入力!$AV$7:$AV$696,報告入力!$A$7:$A$696,$S$132,報告入力!$B$7:$B$696,$A142)</f>
        <v>48975</v>
      </c>
      <c r="D142" s="103" t="n">
        <f aca="false">SUMIFS(報告入力!$AW$7:$AW$696,報告入力!$A$7:$A$696,$S$132,報告入力!$B$7:$B$696,$A142)</f>
        <v>858042</v>
      </c>
      <c r="E142" s="103" t="n">
        <f aca="false">SUMIFS(報告入力!$AX$7:$AX$696,報告入力!$A$7:$A$696,$S$132,報告入力!$B$7:$B$696,$A142)</f>
        <v>48975</v>
      </c>
      <c r="F142" s="113" t="n">
        <f aca="false">SUMIFS(報告入力!$AY$7:$AY$696,報告入力!$A$7:$A$696,$S$132,報告入力!$B$7:$B$696,$A142)</f>
        <v>567</v>
      </c>
      <c r="G142" s="108" t="n">
        <f aca="false">SUM(B142:F142)</f>
        <v>1554054</v>
      </c>
      <c r="H142" s="114" t="n">
        <f aca="false">SUMIFS(報告入力!$AZ$7:$AZ$696,報告入力!$A$7:$A$696,$S$132,報告入力!$B$7:$B$696,$A142)</f>
        <v>352122</v>
      </c>
      <c r="I142" s="205" t="n">
        <f aca="false">SUMIFS(報告入力!$BA$7:$BA$696,報告入力!$A$7:$A$696,$S$132,報告入力!$B$7:$B$696,$A142)</f>
        <v>358035</v>
      </c>
      <c r="J142" s="108" t="n">
        <f aca="false">SUM(H142:I142)</f>
        <v>710157</v>
      </c>
      <c r="K142" s="205" t="n">
        <f aca="false">SUMIFS(報告入力!$BB$7:$BB$696,報告入力!$A$7:$A$696,$S$132,報告入力!$B$7:$B$696,$A142)</f>
        <v>29546</v>
      </c>
      <c r="L142" s="205" t="n">
        <f aca="false">SUMIFS(報告入力!$BC$7:$BC$696,報告入力!$A$7:$A$696,$S$132,報告入力!$B$7:$B$696,$A142)</f>
        <v>29546</v>
      </c>
      <c r="M142" s="108" t="n">
        <f aca="false">SUM(K142:L142)</f>
        <v>59092</v>
      </c>
      <c r="N142" s="205" t="n">
        <f aca="false">SUMIFS(報告入力!$BD$7:$BD$696,報告入力!$A$7:$A$696,$S$132,報告入力!$B$7:$B$696,$A142)</f>
        <v>7805</v>
      </c>
      <c r="O142" s="205" t="n">
        <f aca="false">SUMIFS(報告入力!$BE$7:$BE$696,報告入力!$A$7:$A$696,$S$132,報告入力!$B$7:$B$696,$A142)</f>
        <v>7808</v>
      </c>
      <c r="P142" s="108" t="n">
        <f aca="false">SUM(N142:O142)</f>
        <v>15613</v>
      </c>
      <c r="Q142" s="110" t="str">
        <f aca="false">IF(P77=P142,"〇","×")</f>
        <v>×</v>
      </c>
      <c r="R142" s="110" t="str">
        <f aca="false">IFERROR(INDEX(報告入力!$C$7:$C$696,MATCH($S$132&amp;"|"&amp;$A142,報告入力!$CG$7:$CG$696,0)),"")</f>
        <v>入金確認済</v>
      </c>
    </row>
    <row r="143" s="110" customFormat="true" ht="20.1" hidden="false" customHeight="true" outlineLevel="0" collapsed="false">
      <c r="A143" s="100" t="s">
        <v>167</v>
      </c>
      <c r="B143" s="117" t="n">
        <f aca="false">SUMIFS(報告入力!$AU$7:$AU$696,報告入力!$A$7:$A$696,$S$132,報告入力!$B$7:$B$696,$A143)</f>
        <v>1324920</v>
      </c>
      <c r="C143" s="113" t="n">
        <f aca="false">SUMIFS(報告入力!$AV$7:$AV$696,報告入力!$A$7:$A$696,$S$132,報告入力!$B$7:$B$696,$A143)</f>
        <v>108600</v>
      </c>
      <c r="D143" s="111" t="n">
        <f aca="false">SUMIFS(報告入力!$AW$7:$AW$696,報告入力!$A$7:$A$696,$S$132,報告入力!$B$7:$B$696,$A143)</f>
        <v>1913844</v>
      </c>
      <c r="E143" s="114" t="n">
        <f aca="false">SUMIFS(報告入力!$AX$7:$AX$696,報告入力!$A$7:$A$696,$S$132,報告入力!$B$7:$B$696,$A143)</f>
        <v>108600</v>
      </c>
      <c r="F143" s="113" t="n">
        <f aca="false">SUMIFS(報告入力!$AY$7:$AY$696,報告入力!$A$7:$A$696,$S$132,報告入力!$B$7:$B$696,$A143)</f>
        <v>1282</v>
      </c>
      <c r="G143" s="108" t="n">
        <v>3539094</v>
      </c>
      <c r="H143" s="114" t="n">
        <f aca="false">SUMIFS(報告入力!$AZ$7:$AZ$696,報告入力!$A$7:$A$696,$S$132,報告入力!$B$7:$B$696,$A143)</f>
        <v>768034</v>
      </c>
      <c r="I143" s="205" t="n">
        <f aca="false">SUMIFS(報告入力!$BA$7:$BA$696,報告入力!$A$7:$A$696,$S$132,報告入力!$B$7:$B$696,$A143)</f>
        <v>781174</v>
      </c>
      <c r="J143" s="108" t="n">
        <f aca="false">SUM(H143:I143)</f>
        <v>1549208</v>
      </c>
      <c r="K143" s="205" t="n">
        <f aca="false">SUMIFS(報告入力!$BB$7:$BB$696,報告入力!$A$7:$A$696,$S$132,報告入力!$B$7:$B$696,$A143)</f>
        <v>104201</v>
      </c>
      <c r="L143" s="205" t="n">
        <f aca="false">SUMIFS(報告入力!$BC$7:$BC$696,報告入力!$A$7:$A$696,$S$132,報告入力!$B$7:$B$696,$A143)</f>
        <v>104201</v>
      </c>
      <c r="M143" s="108" t="n">
        <f aca="false">SUM(K143:L143)</f>
        <v>208402</v>
      </c>
      <c r="N143" s="205" t="n">
        <f aca="false">SUMIFS(報告入力!$BD$7:$BD$696,報告入力!$A$7:$A$696,$S$132,報告入力!$B$7:$B$696,$A143)</f>
        <v>17023</v>
      </c>
      <c r="O143" s="205" t="n">
        <f aca="false">SUMIFS(報告入力!$BE$7:$BE$696,報告入力!$A$7:$A$696,$S$132,報告入力!$B$7:$B$696,$A143)</f>
        <v>17030</v>
      </c>
      <c r="P143" s="108" t="n">
        <f aca="false">SUM(N143:O143)</f>
        <v>34053</v>
      </c>
      <c r="Q143" s="110" t="str">
        <f aca="false">IF(P78=P143,"〇","×")</f>
        <v>〇</v>
      </c>
      <c r="R143" s="110" t="str">
        <f aca="false">IFERROR(INDEX(報告入力!$C$7:$C$696,MATCH($S$132&amp;"|"&amp;$A143,報告入力!$CG$7:$CG$696,0)),"")</f>
        <v>入金確認済</v>
      </c>
    </row>
    <row r="144" s="110" customFormat="true" ht="20.1" hidden="false" customHeight="true" outlineLevel="0" collapsed="false">
      <c r="A144" s="100" t="s">
        <v>168</v>
      </c>
      <c r="B144" s="111" t="n">
        <f aca="false">SUMIFS(報告入力!$AU$7:$AU$696,報告入力!$A$7:$A$696,$S$132,報告入力!$B$7:$B$696,$A144)</f>
        <v>409920</v>
      </c>
      <c r="C144" s="112" t="n">
        <f aca="false">SUMIFS(報告入力!$AV$7:$AV$696,報告入力!$A$7:$A$696,$S$132,報告入力!$B$7:$B$696,$A144)</f>
        <v>33600</v>
      </c>
      <c r="D144" s="103" t="n">
        <f aca="false">SUMIFS(報告入力!$AW$7:$AW$696,報告入力!$A$7:$A$696,$S$132,報告入力!$B$7:$B$696,$A144)</f>
        <v>588672</v>
      </c>
      <c r="E144" s="103" t="n">
        <f aca="false">SUMIFS(報告入力!$AX$7:$AX$696,報告入力!$A$7:$A$696,$S$132,報告入力!$B$7:$B$696,$A144)</f>
        <v>33600</v>
      </c>
      <c r="F144" s="113" t="n">
        <f aca="false">SUMIFS(報告入力!$AY$7:$AY$696,報告入力!$A$7:$A$696,$S$132,報告入力!$B$7:$B$696,$A144)</f>
        <v>389</v>
      </c>
      <c r="G144" s="108" t="n">
        <f aca="false">SUM(B144:F144)</f>
        <v>1066181</v>
      </c>
      <c r="H144" s="114" t="n">
        <f aca="false">SUMIFS(報告入力!$AZ$7:$AZ$696,報告入力!$A$7:$A$696,$S$132,報告入力!$B$7:$B$696,$A144)</f>
        <v>306800</v>
      </c>
      <c r="I144" s="115" t="n">
        <f aca="false">SUMIFS(報告入力!$BA$7:$BA$696,報告入力!$A$7:$A$696,$S$132,報告入力!$B$7:$B$696,$A144)</f>
        <v>311950</v>
      </c>
      <c r="J144" s="116" t="n">
        <f aca="false">SUM(H144:I144)</f>
        <v>618750</v>
      </c>
      <c r="K144" s="109" t="n">
        <f aca="false">SUMIFS(報告入力!$BB$7:$BB$696,報告入力!$A$7:$A$696,$S$132,報告入力!$B$7:$B$696,$A144)</f>
        <v>35042</v>
      </c>
      <c r="L144" s="205" t="n">
        <f aca="false">SUMIFS(報告入力!$BC$7:$BC$696,報告入力!$A$7:$A$696,$S$132,報告入力!$B$7:$B$696,$A144)</f>
        <v>35044</v>
      </c>
      <c r="M144" s="108" t="n">
        <f aca="false">SUM(K144:L144)</f>
        <v>70086</v>
      </c>
      <c r="N144" s="205" t="n">
        <f aca="false">SUMIFS(報告入力!$BD$7:$BD$696,報告入力!$A$7:$A$696,$S$132,報告入力!$B$7:$B$696,$A144)</f>
        <v>6800</v>
      </c>
      <c r="O144" s="205" t="n">
        <f aca="false">SUMIFS(報告入力!$BE$7:$BE$696,報告入力!$A$7:$A$696,$S$132,報告入力!$B$7:$B$696,$A144)</f>
        <v>6803</v>
      </c>
      <c r="P144" s="108" t="n">
        <f aca="false">SUM(N144:O144)</f>
        <v>13603</v>
      </c>
      <c r="Q144" s="110" t="str">
        <f aca="false">IF(P79=P144,"〇","×")</f>
        <v>〇</v>
      </c>
      <c r="R144" s="110" t="str">
        <f aca="false">IFERROR(INDEX(報告入力!$C$7:$C$696,MATCH($S$132&amp;"|"&amp;$A144,報告入力!$CG$7:$CG$696,0)),"")</f>
        <v>入金確認済</v>
      </c>
    </row>
    <row r="145" s="110" customFormat="true" ht="20.1" hidden="false" customHeight="true" outlineLevel="0" collapsed="false">
      <c r="A145" s="100" t="s">
        <v>169</v>
      </c>
      <c r="B145" s="117" t="n">
        <f aca="false">SUMIFS(報告入力!$AU$7:$AU$696,報告入力!$A$7:$A$696,$S$132,報告入力!$B$7:$B$696,$A145)</f>
        <v>22336980</v>
      </c>
      <c r="C145" s="113" t="n">
        <f aca="false">SUMIFS(報告入力!$AV$7:$AV$696,報告入力!$A$7:$A$696,$S$132,報告入力!$B$7:$B$696,$A145)</f>
        <v>1830900</v>
      </c>
      <c r="D145" s="111" t="n">
        <f aca="false">SUMIFS(報告入力!$AW$7:$AW$696,報告入力!$A$7:$A$696,$S$132,報告入力!$B$7:$B$696,$A145)</f>
        <v>32242155</v>
      </c>
      <c r="E145" s="114" t="n">
        <f aca="false">SUMIFS(報告入力!$AX$7:$AX$696,報告入力!$A$7:$A$696,$S$132,報告入力!$B$7:$B$696,$A145)</f>
        <v>1830900</v>
      </c>
      <c r="F145" s="113" t="n">
        <f aca="false">SUMIFS(報告入力!$AY$7:$AY$696,報告入力!$A$7:$A$696,$S$132,報告入力!$B$7:$B$696,$A145)</f>
        <v>21567</v>
      </c>
      <c r="G145" s="108" t="n">
        <f aca="false">SUM(B145:F145)</f>
        <v>58262502</v>
      </c>
      <c r="H145" s="114" t="n">
        <f aca="false">SUMIFS(報告入力!$AZ$7:$AZ$696,報告入力!$A$7:$A$696,$S$132,報告入力!$B$7:$B$696,$A145)</f>
        <v>13344367</v>
      </c>
      <c r="I145" s="205" t="n">
        <f aca="false">SUMIFS(報告入力!$BA$7:$BA$696,報告入力!$A$7:$A$696,$S$132,報告入力!$B$7:$B$696,$A145)</f>
        <v>13572074</v>
      </c>
      <c r="J145" s="108" t="n">
        <f aca="false">SUM(H145:I145)</f>
        <v>26916441</v>
      </c>
      <c r="K145" s="205" t="n">
        <f aca="false">SUMIFS(報告入力!$BB$7:$BB$696,報告入力!$A$7:$A$696,$S$132,報告入力!$B$7:$B$696,$A145)</f>
        <v>1346476</v>
      </c>
      <c r="L145" s="205" t="n">
        <f aca="false">SUMIFS(報告入力!$BC$7:$BC$696,報告入力!$A$7:$A$696,$S$132,報告入力!$B$7:$B$696,$A145)</f>
        <v>1346476</v>
      </c>
      <c r="M145" s="108" t="n">
        <f aca="false">SUM(K145:L145)</f>
        <v>2692952</v>
      </c>
      <c r="N145" s="205" t="n">
        <f aca="false">SUMIFS(報告入力!$BD$7:$BD$696,報告入力!$A$7:$A$696,$S$132,報告入力!$B$7:$B$696,$A145)</f>
        <v>295823</v>
      </c>
      <c r="O145" s="205" t="n">
        <f aca="false">SUMIFS(報告入力!$BE$7:$BE$696,報告入力!$A$7:$A$696,$S$132,報告入力!$B$7:$B$696,$A145)</f>
        <v>295914</v>
      </c>
      <c r="P145" s="108" t="n">
        <f aca="false">SUM(N145:O145)</f>
        <v>591737</v>
      </c>
      <c r="Q145" s="110" t="str">
        <f aca="false">IF(P80=P145,"〇","×")</f>
        <v>×</v>
      </c>
      <c r="R145" s="110" t="str">
        <f aca="false">IFERROR(INDEX(報告入力!$C$7:$C$696,MATCH($S$132&amp;"|"&amp;$A145,報告入力!$CG$7:$CG$696,0)),"")</f>
        <v>入金確認済</v>
      </c>
    </row>
    <row r="146" s="110" customFormat="true" ht="19.5" hidden="false" customHeight="true" outlineLevel="0" collapsed="false">
      <c r="A146" s="121" t="s">
        <v>381</v>
      </c>
      <c r="B146" s="117" t="n">
        <f aca="false">SUMIFS(報告入力!$AU$7:$AU$696,報告入力!$A$7:$A$696,$S$132,報告入力!$B$7:$B$696,$A146)</f>
        <v>48495</v>
      </c>
      <c r="C146" s="122" t="n">
        <f aca="false">SUMIFS(報告入力!$AV$7:$AV$696,報告入力!$A$7:$A$696,$S$132,報告入力!$B$7:$B$696,$A146)</f>
        <v>3975</v>
      </c>
      <c r="D146" s="117" t="n">
        <f aca="false">SUMIFS(報告入力!$AW$7:$AW$696,報告入力!$A$7:$A$696,$S$132,報告入力!$B$7:$B$696,$A146)</f>
        <v>69642</v>
      </c>
      <c r="E146" s="118" t="n">
        <f aca="false">SUMIFS(報告入力!$AX$7:$AX$696,報告入力!$A$7:$A$696,$S$132,報告入力!$B$7:$B$696,$A146)</f>
        <v>3975</v>
      </c>
      <c r="F146" s="123" t="n">
        <f aca="false">SUMIFS(報告入力!$AY$7:$AY$696,報告入力!$A$7:$A$696,$S$132,報告入力!$B$7:$B$696,$A146)</f>
        <v>46</v>
      </c>
      <c r="G146" s="108" t="n">
        <f aca="false">SUM(B146:F146)</f>
        <v>126133</v>
      </c>
      <c r="H146" s="114" t="n">
        <f aca="false">SUMIFS(報告入力!$AZ$7:$AZ$696,報告入力!$A$7:$A$696,$S$132,報告入力!$B$7:$B$696,$A146)</f>
        <v>27485</v>
      </c>
      <c r="I146" s="205" t="n">
        <f aca="false">SUMIFS(報告入力!$BA$7:$BA$696,報告入力!$A$7:$A$696,$S$132,報告入力!$B$7:$B$696,$A146)</f>
        <v>27946</v>
      </c>
      <c r="J146" s="108" t="n">
        <f aca="false">SUM(H146:I146)</f>
        <v>55431</v>
      </c>
      <c r="K146" s="205" t="n">
        <f aca="false">SUMIFS(報告入力!$BB$7:$BB$696,報告入力!$A$7:$A$696,$S$132,報告入力!$B$7:$B$696,$A146)</f>
        <v>4187</v>
      </c>
      <c r="L146" s="205" t="n">
        <f aca="false">SUMIFS(報告入力!$BC$7:$BC$696,報告入力!$A$7:$A$696,$S$132,報告入力!$B$7:$B$696,$A146)</f>
        <v>4187</v>
      </c>
      <c r="M146" s="108" t="n">
        <f aca="false">SUM(K146:L146)</f>
        <v>8374</v>
      </c>
      <c r="N146" s="205" t="n">
        <f aca="false">SUMIFS(報告入力!$BD$7:$BD$696,報告入力!$A$7:$A$696,$S$132,報告入力!$B$7:$B$696,$A146)</f>
        <v>609</v>
      </c>
      <c r="O146" s="205" t="n">
        <f aca="false">SUMIFS(報告入力!$BE$7:$BE$696,報告入力!$A$7:$A$696,$S$132,報告入力!$B$7:$B$696,$A146)</f>
        <v>609</v>
      </c>
      <c r="P146" s="116" t="n">
        <f aca="false">SUM(N146:O146)</f>
        <v>1218</v>
      </c>
      <c r="Q146" s="110" t="str">
        <f aca="false">IF(P81=P146,"〇","×")</f>
        <v>〇</v>
      </c>
      <c r="R146" s="110" t="str">
        <f aca="false">IFERROR(INDEX(報告入力!$C$7:$C$696,MATCH($S$132&amp;"|"&amp;$A146,報告入力!$CG$7:$CG$696,0)),"")</f>
        <v>入金確認済</v>
      </c>
    </row>
    <row r="147" s="137" customFormat="true" ht="19.5" hidden="false" customHeight="true" outlineLevel="0" collapsed="false">
      <c r="A147" s="126" t="s">
        <v>171</v>
      </c>
      <c r="B147" s="127" t="n">
        <f aca="false">SUMIFS(報告入力!$AU$7:$AU$696,報告入力!$A$7:$A$696,$S$132,報告入力!$B$7:$B$696,$A147)</f>
        <v>0</v>
      </c>
      <c r="C147" s="128" t="n">
        <f aca="false">SUMIFS(報告入力!$AV$7:$AV$696,報告入力!$A$7:$A$696,$S$132,報告入力!$B$7:$B$696,$A147)</f>
        <v>0</v>
      </c>
      <c r="D147" s="129"/>
      <c r="E147" s="130"/>
      <c r="F147" s="131" t="n">
        <f aca="false">SUMIFS(報告入力!$AY$7:$AY$696,報告入力!$A$7:$A$696,$S$132,報告入力!$B$7:$B$696,$A147)</f>
        <v>0</v>
      </c>
      <c r="G147" s="132" t="n">
        <f aca="false">SUM(B147:F147)</f>
        <v>0</v>
      </c>
      <c r="H147" s="114" t="n">
        <f aca="false">SUMIFS(報告入力!$AZ$7:$AZ$696,報告入力!$A$7:$A$696,$S$132,報告入力!$B$7:$B$696,$A147)</f>
        <v>277437</v>
      </c>
      <c r="I147" s="115" t="n">
        <f aca="false">SUMIFS(報告入力!$BA$7:$BA$696,報告入力!$A$7:$A$696,$S$132,報告入力!$B$7:$B$696,$A147)</f>
        <v>282103</v>
      </c>
      <c r="J147" s="317" t="n">
        <f aca="false">SUM(H147:I147)</f>
        <v>559540</v>
      </c>
      <c r="K147" s="109" t="n">
        <f aca="false">SUMIFS(報告入力!$BB$7:$BB$696,報告入力!$A$7:$A$696,$S$132,報告入力!$B$7:$B$696,$A147)</f>
        <v>14378</v>
      </c>
      <c r="L147" s="115" t="n">
        <f aca="false">SUMIFS(報告入力!$BC$7:$BC$696,報告入力!$A$7:$A$696,$S$132,報告入力!$B$7:$B$696,$A147)</f>
        <v>14378</v>
      </c>
      <c r="M147" s="116" t="n">
        <f aca="false">SUM(K147:L147)</f>
        <v>28756</v>
      </c>
      <c r="N147" s="205" t="n">
        <f aca="false">SUMIFS(報告入力!$BD$7:$BD$696,報告入力!$A$7:$A$696,$S$132,報告入力!$B$7:$B$696,$A147)</f>
        <v>6149</v>
      </c>
      <c r="O147" s="205" t="n">
        <f aca="false">SUMIFS(報告入力!$BE$7:$BE$696,報告入力!$A$7:$A$696,$S$132,報告入力!$B$7:$B$696,$A147)</f>
        <v>6152</v>
      </c>
      <c r="P147" s="116" t="n">
        <f aca="false">SUM(N147:O147)</f>
        <v>12301</v>
      </c>
      <c r="Q147" s="137" t="str">
        <f aca="false">IF(P82=P147,"〇","×")</f>
        <v>×</v>
      </c>
      <c r="R147" s="137" t="str">
        <f aca="false">IFERROR(INDEX(報告入力!$C$7:$C$696,MATCH($S$132&amp;"|"&amp;$A147,報告入力!$CG$7:$CG$696,0)),"")</f>
        <v>入金確認済</v>
      </c>
    </row>
    <row r="148" s="137" customFormat="true" ht="19.5" hidden="false" customHeight="true" outlineLevel="0" collapsed="false">
      <c r="A148" s="138" t="s">
        <v>382</v>
      </c>
      <c r="B148" s="139"/>
      <c r="C148" s="140"/>
      <c r="D148" s="139"/>
      <c r="E148" s="141"/>
      <c r="F148" s="142"/>
      <c r="G148" s="143"/>
      <c r="H148" s="144"/>
      <c r="I148" s="145"/>
      <c r="J148" s="318"/>
      <c r="K148" s="147"/>
      <c r="L148" s="148"/>
      <c r="M148" s="148"/>
      <c r="N148" s="147"/>
      <c r="O148" s="148"/>
      <c r="P148" s="146"/>
      <c r="Q148" s="137" t="str">
        <f aca="false">IF(P83=P148,"〇","×")</f>
        <v>〇</v>
      </c>
    </row>
    <row r="149" s="137" customFormat="true" ht="19.5" hidden="false" customHeight="true" outlineLevel="0" collapsed="false">
      <c r="A149" s="149" t="s">
        <v>382</v>
      </c>
      <c r="B149" s="150"/>
      <c r="C149" s="151"/>
      <c r="D149" s="150"/>
      <c r="E149" s="152"/>
      <c r="F149" s="153"/>
      <c r="G149" s="154"/>
      <c r="H149" s="155"/>
      <c r="I149" s="152"/>
      <c r="J149" s="319"/>
      <c r="K149" s="157"/>
      <c r="L149" s="158"/>
      <c r="M149" s="158"/>
      <c r="N149" s="157"/>
      <c r="O149" s="158"/>
      <c r="P149" s="156"/>
      <c r="Q149" s="137" t="str">
        <f aca="false">IF(P84=P149,"〇","×")</f>
        <v>〇</v>
      </c>
    </row>
    <row r="150" s="137" customFormat="true" ht="19.5" hidden="false" customHeight="true" outlineLevel="0" collapsed="false">
      <c r="A150" s="149" t="s">
        <v>382</v>
      </c>
      <c r="B150" s="139"/>
      <c r="C150" s="140"/>
      <c r="D150" s="139"/>
      <c r="E150" s="141"/>
      <c r="F150" s="142"/>
      <c r="G150" s="143"/>
      <c r="H150" s="159"/>
      <c r="I150" s="141"/>
      <c r="J150" s="318"/>
      <c r="K150" s="160"/>
      <c r="L150" s="161"/>
      <c r="M150" s="161"/>
      <c r="N150" s="160"/>
      <c r="O150" s="161"/>
      <c r="P150" s="146"/>
      <c r="Q150" s="137" t="str">
        <f aca="false">IF(P85=P150,"〇","×")</f>
        <v>〇</v>
      </c>
    </row>
    <row r="151" s="137" customFormat="true" ht="19.5" hidden="false" customHeight="true" outlineLevel="0" collapsed="false">
      <c r="A151" s="162" t="s">
        <v>382</v>
      </c>
      <c r="B151" s="163"/>
      <c r="C151" s="164"/>
      <c r="D151" s="163"/>
      <c r="E151" s="165"/>
      <c r="F151" s="166"/>
      <c r="G151" s="167"/>
      <c r="H151" s="155"/>
      <c r="I151" s="168"/>
      <c r="J151" s="320"/>
      <c r="K151" s="157"/>
      <c r="L151" s="158"/>
      <c r="M151" s="170"/>
      <c r="N151" s="157"/>
      <c r="O151" s="158"/>
      <c r="P151" s="169"/>
      <c r="Q151" s="137" t="str">
        <f aca="false">IF(P86=P151,"〇","×")</f>
        <v>〇</v>
      </c>
    </row>
    <row r="152" s="137" customFormat="true" ht="19.5" hidden="false" customHeight="true" outlineLevel="0" collapsed="false">
      <c r="A152" s="171" t="s">
        <v>383</v>
      </c>
      <c r="B152" s="172" t="n">
        <f aca="false">SUM(B136:B151)</f>
        <v>360188926</v>
      </c>
      <c r="C152" s="173" t="n">
        <f aca="false">SUM(C136:C151)</f>
        <v>29529427</v>
      </c>
      <c r="D152" s="172" t="n">
        <f aca="false">SUM(D136:D151)</f>
        <v>517152975</v>
      </c>
      <c r="E152" s="174" t="n">
        <f aca="false">SUM(E136:E151)</f>
        <v>28993733</v>
      </c>
      <c r="F152" s="175" t="n">
        <f aca="false">SUM(F136:F151)</f>
        <v>347012</v>
      </c>
      <c r="G152" s="176" t="n">
        <f aca="false">SUM(B152:F152)</f>
        <v>936212073</v>
      </c>
      <c r="H152" s="173" t="n">
        <f aca="false">SUM(H136:H151)</f>
        <v>253998536</v>
      </c>
      <c r="I152" s="173" t="n">
        <f aca="false">SUM(I136:I151)</f>
        <v>254471719</v>
      </c>
      <c r="J152" s="175" t="n">
        <f aca="false">SUM(H152:I152)</f>
        <v>508470255</v>
      </c>
      <c r="K152" s="172" t="n">
        <f aca="false">SUM(K136:K151)</f>
        <v>23258730</v>
      </c>
      <c r="L152" s="173" t="n">
        <f aca="false">SUM(L136:L151)</f>
        <v>22816910</v>
      </c>
      <c r="M152" s="175" t="n">
        <f aca="false">SUM(K152:L152)</f>
        <v>46075640</v>
      </c>
      <c r="N152" s="172" t="n">
        <f aca="false">SUM(N136:N151)</f>
        <v>5629255</v>
      </c>
      <c r="O152" s="173" t="n">
        <f aca="false">SUM(O136:O151)</f>
        <v>5546331</v>
      </c>
      <c r="P152" s="175" t="n">
        <f aca="false">SUM(N152:O152)</f>
        <v>11175586</v>
      </c>
      <c r="Q152" s="137" t="str">
        <f aca="false">IF(P87=P152,"〇","×")</f>
        <v>×</v>
      </c>
    </row>
    <row r="153" s="110" customFormat="true" ht="20.1" hidden="false" customHeight="true" outlineLevel="0" collapsed="false">
      <c r="A153" s="177" t="s">
        <v>172</v>
      </c>
      <c r="B153" s="299"/>
      <c r="C153" s="300"/>
      <c r="D153" s="299"/>
      <c r="E153" s="301"/>
      <c r="F153" s="300"/>
      <c r="G153" s="302" t="n">
        <f aca="false">SUM(B153:F153)</f>
        <v>0</v>
      </c>
      <c r="H153" s="303"/>
      <c r="I153" s="304"/>
      <c r="J153" s="305" t="n">
        <f aca="false">SUM(H153:I153)</f>
        <v>0</v>
      </c>
      <c r="K153" s="303"/>
      <c r="L153" s="304"/>
      <c r="M153" s="306" t="n">
        <f aca="false">SUM(K153:L153)</f>
        <v>0</v>
      </c>
      <c r="N153" s="303"/>
      <c r="O153" s="304"/>
      <c r="P153" s="306" t="n">
        <f aca="false">SUM(N153:O153)</f>
        <v>0</v>
      </c>
      <c r="Q153" s="110" t="str">
        <f aca="false">IF(P88=P153,"〇","×")</f>
        <v>〇</v>
      </c>
      <c r="R153" s="110" t="str">
        <f aca="false">IFERROR(INDEX(報告入力!$C$7:$C$696,MATCH($S$132&amp;"|"&amp;$A153,報告入力!$CG$7:$CG$696,0)),"")</f>
        <v>報告なし</v>
      </c>
    </row>
    <row r="154" s="110" customFormat="true" ht="20.1" hidden="false" customHeight="true" outlineLevel="0" collapsed="false">
      <c r="A154" s="100" t="s">
        <v>174</v>
      </c>
      <c r="B154" s="111" t="n">
        <f aca="false">SUMIFS(報告入力!$AU$7:$AU$696,報告入力!$A$7:$A$696,$S$132,報告入力!$B$7:$B$696,$A154)</f>
        <v>0</v>
      </c>
      <c r="C154" s="112" t="n">
        <f aca="false">SUMIFS(報告入力!$AV$7:$AV$696,報告入力!$A$7:$A$696,$S$132,報告入力!$B$7:$B$696,$A154)</f>
        <v>0</v>
      </c>
      <c r="D154" s="117" t="n">
        <f aca="false">SUMIFS(報告入力!$AW$7:$AW$696,報告入力!$A$7:$A$696,$S$132,報告入力!$B$7:$B$696,$A154)</f>
        <v>765855</v>
      </c>
      <c r="E154" s="118" t="n">
        <f aca="false">SUMIFS(報告入力!$AX$7:$AX$696,報告入力!$A$7:$A$696,$S$132,報告入力!$B$7:$B$696,$A154)</f>
        <v>62775</v>
      </c>
      <c r="F154" s="113" t="n">
        <f aca="false">SUMIFS(報告入力!$AY$7:$AY$696,報告入力!$A$7:$A$696,$S$132,報告入力!$B$7:$B$696,$A154)</f>
        <v>789</v>
      </c>
      <c r="G154" s="108" t="n">
        <f aca="false">SUM(B154:F154)</f>
        <v>829419</v>
      </c>
      <c r="H154" s="114" t="n">
        <f aca="false">SUMIFS(報告入力!$AZ$7:$AZ$696,報告入力!$A$7:$A$696,$S$132,報告入力!$B$7:$B$696,$A154)</f>
        <v>0</v>
      </c>
      <c r="I154" s="115" t="n">
        <f aca="false">SUMIFS(報告入力!$BA$7:$BA$696,報告入力!$A$7:$A$696,$S$132,報告入力!$B$7:$B$696,$A154)</f>
        <v>441236</v>
      </c>
      <c r="J154" s="116" t="n">
        <f aca="false">SUM(H154:I154)</f>
        <v>441236</v>
      </c>
      <c r="K154" s="114" t="n">
        <f aca="false">SUMIFS(報告入力!$BB$7:$BB$696,報告入力!$A$7:$A$696,$S$132,報告入力!$B$7:$B$696,$A154)</f>
        <v>0</v>
      </c>
      <c r="L154" s="115" t="n">
        <f aca="false">SUMIFS(報告入力!$BC$7:$BC$696,報告入力!$A$7:$A$696,$S$132,報告入力!$B$7:$B$696,$A154)</f>
        <v>54826</v>
      </c>
      <c r="M154" s="298" t="n">
        <f aca="false">SUM(K154:L154)</f>
        <v>54826</v>
      </c>
      <c r="N154" s="114" t="n">
        <f aca="false">SUMIFS(報告入力!$BD$7:$BD$696,報告入力!$A$7:$A$696,$S$132,報告入力!$B$7:$B$696,$A154)</f>
        <v>0</v>
      </c>
      <c r="O154" s="115" t="n">
        <f aca="false">SUMIFS(報告入力!$BE$7:$BE$696,報告入力!$A$7:$A$696,$S$132,報告入力!$B$7:$B$696,$A154)</f>
        <v>9775</v>
      </c>
      <c r="P154" s="120" t="n">
        <f aca="false">SUM(N154:O154)</f>
        <v>9775</v>
      </c>
      <c r="Q154" s="110" t="str">
        <f aca="false">IF(P89=P154,"〇","×")</f>
        <v>〇</v>
      </c>
      <c r="R154" s="110" t="str">
        <f aca="false">IFERROR(INDEX(報告入力!$C$7:$C$696,MATCH($S$132&amp;"|"&amp;$A154,報告入力!$CG$7:$CG$696,0)),"")</f>
        <v>入金確認済</v>
      </c>
    </row>
    <row r="155" s="110" customFormat="true" ht="20.1" hidden="false" customHeight="true" outlineLevel="0" collapsed="false">
      <c r="A155" s="100" t="s">
        <v>175</v>
      </c>
      <c r="B155" s="186"/>
      <c r="C155" s="187"/>
      <c r="D155" s="111" t="n">
        <f aca="false">SUMIFS(報告入力!$AW$7:$AW$696,報告入力!$A$7:$A$696,$S$132,報告入力!$B$7:$B$696,$A155)</f>
        <v>1990125</v>
      </c>
      <c r="E155" s="114" t="n">
        <f aca="false">SUMIFS(報告入力!$AX$7:$AX$696,報告入力!$A$7:$A$696,$S$132,報告入力!$B$7:$B$696,$A155)</f>
        <v>163125</v>
      </c>
      <c r="F155" s="113" t="n">
        <f aca="false">SUMIFS(報告入力!$AY$7:$AY$696,報告入力!$A$7:$A$696,$S$132,報告入力!$B$7:$B$696,$A155)</f>
        <v>1996</v>
      </c>
      <c r="G155" s="108" t="n">
        <f aca="false">SUM(B155:F155)</f>
        <v>2155246</v>
      </c>
      <c r="H155" s="188"/>
      <c r="I155" s="205" t="n">
        <f aca="false">SUMIFS(報告入力!$BA$7:$BA$696,報告入力!$A$7:$A$696,$S$132,報告入力!$B$7:$B$696,$A155)</f>
        <v>1279122</v>
      </c>
      <c r="J155" s="108" t="n">
        <f aca="false">SUM(H155:I155)</f>
        <v>1279122</v>
      </c>
      <c r="K155" s="188"/>
      <c r="L155" s="205" t="n">
        <f aca="false">SUMIFS(報告入力!$BC$7:$BC$696,報告入力!$A$7:$A$696,$S$132,報告入力!$B$7:$B$696,$A155)</f>
        <v>141726</v>
      </c>
      <c r="M155" s="108" t="n">
        <f aca="false">SUM(K155:L155)</f>
        <v>141726</v>
      </c>
      <c r="N155" s="188"/>
      <c r="O155" s="115" t="n">
        <f aca="false">SUMIFS(報告入力!$BE$7:$BE$696,報告入力!$A$7:$A$696,$S$132,報告入力!$B$7:$B$696,$A155)</f>
        <v>28333</v>
      </c>
      <c r="P155" s="116" t="n">
        <f aca="false">SUM(N155:O155)</f>
        <v>28333</v>
      </c>
      <c r="Q155" s="110" t="str">
        <f aca="false">IF(P90=P155,"〇","×")</f>
        <v>×</v>
      </c>
      <c r="R155" s="110" t="str">
        <f aca="false">IFERROR(INDEX(報告入力!$C$7:$C$696,MATCH($S$132&amp;"|"&amp;$A155,報告入力!$CG$7:$CG$696,0)),"")</f>
        <v>入金確認済</v>
      </c>
    </row>
    <row r="156" s="110" customFormat="true" ht="20.1" hidden="false" customHeight="true" outlineLevel="0" collapsed="false">
      <c r="A156" s="100" t="s">
        <v>176</v>
      </c>
      <c r="B156" s="186"/>
      <c r="C156" s="187"/>
      <c r="D156" s="103" t="n">
        <f aca="false">SUMIFS(報告入力!$AW$7:$AW$696,報告入力!$A$7:$A$696,$S$132,報告入力!$B$7:$B$696,$A156)</f>
        <v>59475</v>
      </c>
      <c r="E156" s="114" t="n">
        <f aca="false">SUMIFS(報告入力!$AX$7:$AX$696,報告入力!$A$7:$A$696,$S$132,報告入力!$B$7:$B$696,$A156)</f>
        <v>4875</v>
      </c>
      <c r="F156" s="113" t="n">
        <f aca="false">SUMIFS(報告入力!$AY$7:$AY$696,報告入力!$A$7:$A$696,$S$132,報告入力!$B$7:$B$696,$A156)</f>
        <v>56</v>
      </c>
      <c r="G156" s="108" t="n">
        <f aca="false">SUM(B156:F156)</f>
        <v>64406</v>
      </c>
      <c r="H156" s="188"/>
      <c r="I156" s="205" t="n">
        <f aca="false">SUMIFS(報告入力!$BA$7:$BA$696,報告入力!$A$7:$A$696,$S$132,報告入力!$B$7:$B$696,$A156)</f>
        <v>36856</v>
      </c>
      <c r="J156" s="298" t="n">
        <f aca="false">SUM(H156:I156)</f>
        <v>36856</v>
      </c>
      <c r="K156" s="188"/>
      <c r="L156" s="205" t="n">
        <f aca="false">SUMIFS(報告入力!$BC$7:$BC$696,報告入力!$A$7:$A$696,$S$132,報告入力!$B$7:$B$696,$A156)</f>
        <v>5609</v>
      </c>
      <c r="M156" s="108" t="n">
        <f aca="false">SUM(K156:L156)</f>
        <v>5609</v>
      </c>
      <c r="N156" s="188"/>
      <c r="O156" s="115" t="n">
        <f aca="false">SUMIFS(報告入力!$BE$7:$BE$696,報告入力!$A$7:$A$696,$S$132,報告入力!$B$7:$B$696,$A156)</f>
        <v>816</v>
      </c>
      <c r="P156" s="116" t="n">
        <f aca="false">SUM(N156:O156)</f>
        <v>816</v>
      </c>
      <c r="Q156" s="110" t="str">
        <f aca="false">IF(P91=P156,"〇","×")</f>
        <v>〇</v>
      </c>
      <c r="R156" s="110" t="str">
        <f aca="false">IFERROR(INDEX(報告入力!$C$7:$C$696,MATCH($S$132&amp;"|"&amp;$A156,報告入力!$CG$7:$CG$696,0)),"")</f>
        <v>入金確認済</v>
      </c>
    </row>
    <row r="157" s="110" customFormat="true" ht="20.1" hidden="false" customHeight="true" outlineLevel="0" collapsed="false">
      <c r="A157" s="189" t="s">
        <v>177</v>
      </c>
      <c r="B157" s="186"/>
      <c r="C157" s="187"/>
      <c r="D157" s="103" t="n">
        <f aca="false">SUMIFS(報告入力!$AW$7:$AW$696,報告入力!$A$7:$A$696,$S$132,報告入力!$B$7:$B$696,$A157)</f>
        <v>368745</v>
      </c>
      <c r="E157" s="114" t="n">
        <f aca="false">SUMIFS(報告入力!$AX$7:$AX$696,報告入力!$A$7:$A$696,$S$132,報告入力!$B$7:$B$696,$A157)</f>
        <v>30225</v>
      </c>
      <c r="F157" s="113" t="n">
        <f aca="false">SUMIFS(報告入力!$AY$7:$AY$696,報告入力!$A$7:$A$696,$S$132,報告入力!$B$7:$B$696,$A157)</f>
        <v>395</v>
      </c>
      <c r="G157" s="108" t="n">
        <f aca="false">SUM(B157:F157)</f>
        <v>399365</v>
      </c>
      <c r="H157" s="188"/>
      <c r="I157" s="115" t="n">
        <f aca="false">SUMIFS(報告入力!$BA$7:$BA$696,報告入力!$A$7:$A$696,$S$132,報告入力!$B$7:$B$696,$A157)</f>
        <v>209223</v>
      </c>
      <c r="J157" s="116" t="n">
        <f aca="false">SUM(H157:I157)</f>
        <v>209223</v>
      </c>
      <c r="K157" s="188"/>
      <c r="L157" s="115" t="n">
        <f aca="false">SUMIFS(報告入力!$BC$7:$BC$696,報告入力!$A$7:$A$696,$S$132,報告入力!$B$7:$B$696,$A157)</f>
        <v>26781</v>
      </c>
      <c r="M157" s="298" t="n">
        <f aca="false">SUM(K157:L157)</f>
        <v>26781</v>
      </c>
      <c r="N157" s="188"/>
      <c r="O157" s="115" t="n">
        <f aca="false">SUMIFS(報告入力!$BE$7:$BE$696,報告入力!$A$7:$A$696,$S$132,報告入力!$B$7:$B$696,$A157)</f>
        <v>4634</v>
      </c>
      <c r="P157" s="120" t="n">
        <f aca="false">SUM(N157:O157)</f>
        <v>4634</v>
      </c>
      <c r="Q157" s="110" t="str">
        <f aca="false">IF(P92=P157,"〇","×")</f>
        <v>×</v>
      </c>
      <c r="R157" s="110" t="str">
        <f aca="false">IFERROR(INDEX(報告入力!$C$7:$C$696,MATCH($S$132&amp;"|"&amp;$A157,報告入力!$CG$7:$CG$696,0)),"")</f>
        <v>入金確認済</v>
      </c>
    </row>
    <row r="158" s="110" customFormat="true" ht="20.1" hidden="false" customHeight="true" outlineLevel="0" collapsed="false">
      <c r="A158" s="121" t="s">
        <v>178</v>
      </c>
      <c r="B158" s="186"/>
      <c r="C158" s="191"/>
      <c r="D158" s="103" t="n">
        <f aca="false">SUMIFS(報告入力!$AW$7:$AW$696,報告入力!$A$7:$A$696,$S$132,報告入力!$B$7:$B$696,$A158)</f>
        <v>40260</v>
      </c>
      <c r="E158" s="114" t="n">
        <f aca="false">SUMIFS(報告入力!$AX$7:$AX$696,報告入力!$A$7:$A$696,$S$132,報告入力!$B$7:$B$696,$A158)</f>
        <v>3300</v>
      </c>
      <c r="F158" s="123" t="n">
        <f aca="false">SUMIFS(報告入力!$AY$7:$AY$696,報告入力!$A$7:$A$696,$S$132,報告入力!$B$7:$B$696,$A158)</f>
        <v>38</v>
      </c>
      <c r="G158" s="108" t="n">
        <f aca="false">SUM(B158:F158)</f>
        <v>43598</v>
      </c>
      <c r="H158" s="188"/>
      <c r="I158" s="205" t="n">
        <f aca="false">SUMIFS(報告入力!$BA$7:$BA$696,報告入力!$A$7:$A$696,$S$132,報告入力!$B$7:$B$696,$A158)</f>
        <v>22840</v>
      </c>
      <c r="J158" s="298" t="n">
        <f aca="false">SUM(H158:I158)</f>
        <v>22840</v>
      </c>
      <c r="K158" s="188"/>
      <c r="L158" s="205" t="n">
        <f aca="false">SUMIFS(報告入力!$BC$7:$BC$696,報告入力!$A$7:$A$696,$S$132,報告入力!$B$7:$B$696,$A158)</f>
        <v>3476</v>
      </c>
      <c r="M158" s="108" t="n">
        <f aca="false">SUM(K158:L158)</f>
        <v>3476</v>
      </c>
      <c r="N158" s="188"/>
      <c r="O158" s="115" t="n">
        <f aca="false">SUMIFS(報告入力!$BE$7:$BE$696,報告入力!$A$7:$A$696,$S$132,報告入力!$B$7:$B$696,$A158)</f>
        <v>506</v>
      </c>
      <c r="P158" s="116" t="n">
        <f aca="false">SUM(N158:O158)</f>
        <v>506</v>
      </c>
      <c r="Q158" s="110" t="str">
        <f aca="false">IF(P93=P158,"〇","×")</f>
        <v>〇</v>
      </c>
      <c r="R158" s="110" t="str">
        <f aca="false">IFERROR(INDEX(報告入力!$C$7:$C$696,MATCH($S$132&amp;"|"&amp;$A158,報告入力!$CG$7:$CG$696,0)),"")</f>
        <v>入金確認済</v>
      </c>
    </row>
    <row r="159" s="110" customFormat="true" ht="19.5" hidden="false" customHeight="true" outlineLevel="0" collapsed="false">
      <c r="A159" s="121" t="s">
        <v>179</v>
      </c>
      <c r="B159" s="186"/>
      <c r="C159" s="191"/>
      <c r="D159" s="111" t="n">
        <f aca="false">SUMIFS(報告入力!$AW$7:$AW$696,報告入力!$A$7:$A$696,$S$132,報告入力!$B$7:$B$696,$A159)</f>
        <v>0</v>
      </c>
      <c r="E159" s="114" t="n">
        <f aca="false">SUMIFS(報告入力!$AX$7:$AX$696,報告入力!$A$7:$A$696,$S$132,報告入力!$B$7:$B$696,$A159)</f>
        <v>0</v>
      </c>
      <c r="F159" s="113" t="n">
        <f aca="false">SUMIFS(報告入力!$AY$7:$AY$696,報告入力!$A$7:$A$696,$S$132,報告入力!$B$7:$B$696,$A159)</f>
        <v>0</v>
      </c>
      <c r="G159" s="108" t="n">
        <f aca="false">SUM(B159:F159)</f>
        <v>0</v>
      </c>
      <c r="H159" s="188"/>
      <c r="I159" s="205" t="n">
        <f aca="false">SUMIFS(報告入力!$BA$7:$BA$696,報告入力!$A$7:$A$696,$S$132,報告入力!$B$7:$B$696,$A159)</f>
        <v>0</v>
      </c>
      <c r="J159" s="108" t="n">
        <f aca="false">SUM(H159:I159)</f>
        <v>0</v>
      </c>
      <c r="K159" s="188"/>
      <c r="L159" s="205" t="n">
        <f aca="false">SUMIFS(報告入力!$BC$7:$BC$696,報告入力!$A$7:$A$696,$S$132,報告入力!$B$7:$B$696,$A159)</f>
        <v>0</v>
      </c>
      <c r="M159" s="108" t="n">
        <f aca="false">SUM(K159:L159)</f>
        <v>0</v>
      </c>
      <c r="N159" s="188"/>
      <c r="O159" s="115" t="n">
        <f aca="false">SUMIFS(報告入力!$BE$7:$BE$696,報告入力!$A$7:$A$696,$S$132,報告入力!$B$7:$B$696,$A159)</f>
        <v>0</v>
      </c>
      <c r="P159" s="116" t="n">
        <f aca="false">SUM(N159:O159)</f>
        <v>0</v>
      </c>
      <c r="Q159" s="110" t="str">
        <f aca="false">IF(P94=P159,"〇","×")</f>
        <v>〇</v>
      </c>
      <c r="R159" s="110" t="str">
        <f aca="false">IFERROR(INDEX(報告入力!$C$7:$C$696,MATCH($S$132&amp;"|"&amp;$A159,報告入力!$CG$7:$CG$696,0)),"")</f>
        <v>入金確認済</v>
      </c>
    </row>
    <row r="160" s="110" customFormat="true" ht="20.1" hidden="false" customHeight="true" outlineLevel="0" collapsed="false">
      <c r="A160" s="192" t="s">
        <v>180</v>
      </c>
      <c r="B160" s="186"/>
      <c r="C160" s="193"/>
      <c r="D160" s="111" t="n">
        <f aca="false">SUMIFS(報告入力!$AW$7:$AW$696,報告入力!$A$7:$A$696,$S$132,報告入力!$B$7:$B$696,$A160)</f>
        <v>193065</v>
      </c>
      <c r="E160" s="114" t="n">
        <f aca="false">SUMIFS(報告入力!$AX$7:$AX$696,報告入力!$A$7:$A$696,$S$132,報告入力!$B$7:$B$696,$A160)</f>
        <v>15825</v>
      </c>
      <c r="F160" s="113" t="n">
        <f aca="false">SUMIFS(報告入力!$AY$7:$AY$696,報告入力!$A$7:$A$696,$S$132,報告入力!$B$7:$B$696,$A160)</f>
        <v>183</v>
      </c>
      <c r="G160" s="108" t="n">
        <f aca="false">SUM(B160:F160)</f>
        <v>209073</v>
      </c>
      <c r="H160" s="188"/>
      <c r="I160" s="205" t="n">
        <f aca="false">SUMIFS(報告入力!$BA$7:$BA$696,報告入力!$A$7:$A$696,$S$132,報告入力!$B$7:$B$696,$A160)</f>
        <v>109530</v>
      </c>
      <c r="J160" s="108" t="n">
        <f aca="false">SUM(H160:I160)</f>
        <v>109530</v>
      </c>
      <c r="K160" s="188"/>
      <c r="L160" s="205" t="n">
        <f aca="false">SUMIFS(報告入力!$BC$7:$BC$696,報告入力!$A$7:$A$696,$S$132,報告入力!$B$7:$B$696,$A160)</f>
        <v>12956</v>
      </c>
      <c r="M160" s="108" t="n">
        <f aca="false">SUM(K160:L160)</f>
        <v>12956</v>
      </c>
      <c r="N160" s="188"/>
      <c r="O160" s="115" t="n">
        <f aca="false">SUMIFS(報告入力!$BE$7:$BE$696,報告入力!$A$7:$A$696,$S$132,報告入力!$B$7:$B$696,$A160)</f>
        <v>2426</v>
      </c>
      <c r="P160" s="116" t="n">
        <f aca="false">SUM(N160:O160)</f>
        <v>2426</v>
      </c>
      <c r="Q160" s="110" t="str">
        <f aca="false">IF(P95=P160,"〇","×")</f>
        <v>〇</v>
      </c>
      <c r="R160" s="110" t="str">
        <f aca="false">IFERROR(INDEX(報告入力!$C$7:$C$696,MATCH($S$132&amp;"|"&amp;$A160,報告入力!$CG$7:$CG$696,0)),"")</f>
        <v>入金確認済</v>
      </c>
    </row>
    <row r="161" s="110" customFormat="true" ht="20.1" hidden="false" customHeight="true" outlineLevel="0" collapsed="false">
      <c r="A161" s="100" t="s">
        <v>181</v>
      </c>
      <c r="B161" s="117" t="n">
        <f aca="false">SUMIFS(報告入力!$AU$7:$AU$696,報告入力!$A$7:$A$696,$S$132,報告入力!$B$7:$B$696,$A161)</f>
        <v>237900</v>
      </c>
      <c r="C161" s="113" t="n">
        <f aca="false">SUMIFS(報告入力!$AV$7:$AV$696,報告入力!$A$7:$A$696,$S$132,報告入力!$B$7:$B$696,$A161)</f>
        <v>19500</v>
      </c>
      <c r="D161" s="111" t="n">
        <f aca="false">SUMIFS(報告入力!$AW$7:$AW$696,報告入力!$A$7:$A$696,$S$132,報告入力!$B$7:$B$696,$A161)</f>
        <v>237900</v>
      </c>
      <c r="E161" s="114" t="n">
        <f aca="false">SUMIFS(報告入力!$AX$7:$AX$696,報告入力!$A$7:$A$696,$S$132,報告入力!$B$7:$B$696,$A161)</f>
        <v>19500</v>
      </c>
      <c r="F161" s="113" t="n">
        <f aca="false">SUMIFS(報告入力!$AY$7:$AY$696,報告入力!$A$7:$A$696,$S$132,報告入力!$B$7:$B$696,$A161)</f>
        <v>225</v>
      </c>
      <c r="G161" s="108" t="n">
        <f aca="false">SUM(B161:F161)</f>
        <v>515025</v>
      </c>
      <c r="H161" s="114" t="n">
        <f aca="false">SUMIFS(報告入力!$AZ$7:$AZ$696,報告入力!$A$7:$A$696,$S$132,報告入力!$B$7:$B$696,$A161)</f>
        <v>137945</v>
      </c>
      <c r="I161" s="115" t="n">
        <f aca="false">SUMIFS(報告入力!$BA$7:$BA$696,報告入力!$A$7:$A$696,$S$132,報告入力!$B$7:$B$696,$A161)</f>
        <v>138080</v>
      </c>
      <c r="J161" s="116" t="n">
        <f aca="false">SUM(H161:I161)</f>
        <v>276025</v>
      </c>
      <c r="K161" s="114" t="n">
        <f aca="false">SUMIFS(報告入力!$BB$7:$BB$696,報告入力!$A$7:$A$696,$S$132,報告入力!$B$7:$B$696,$A161)</f>
        <v>10744</v>
      </c>
      <c r="L161" s="115" t="n">
        <f aca="false">SUMIFS(報告入力!$BC$7:$BC$696,報告入力!$A$7:$A$696,$S$132,報告入力!$B$7:$B$696,$A161)</f>
        <v>10744</v>
      </c>
      <c r="M161" s="298" t="n">
        <f aca="false">SUM(K161:L161)</f>
        <v>21488</v>
      </c>
      <c r="N161" s="114" t="n">
        <f aca="false">SUMIFS(報告入力!$BD$7:$BD$696,報告入力!$A$7:$A$696,$S$132,報告入力!$B$7:$B$696,$A161)</f>
        <v>3058</v>
      </c>
      <c r="O161" s="115" t="n">
        <f aca="false">SUMIFS(報告入力!$BE$7:$BE$696,報告入力!$A$7:$A$696,$S$132,報告入力!$B$7:$B$696,$A161)</f>
        <v>3059</v>
      </c>
      <c r="P161" s="120" t="n">
        <f aca="false">SUM(N161:O161)</f>
        <v>6117</v>
      </c>
      <c r="Q161" s="110" t="str">
        <f aca="false">IF(P96=P161,"〇","×")</f>
        <v>〇</v>
      </c>
      <c r="R161" s="110" t="str">
        <f aca="false">IFERROR(INDEX(報告入力!$C$7:$C$696,MATCH($S$132&amp;"|"&amp;$A161,報告入力!$CG$7:$CG$696,0)),"")</f>
        <v>入金確認済</v>
      </c>
    </row>
    <row r="162" s="110" customFormat="true" ht="20.1" hidden="false" customHeight="true" outlineLevel="0" collapsed="false">
      <c r="A162" s="194" t="s">
        <v>182</v>
      </c>
      <c r="B162" s="111" t="n">
        <f aca="false">SUMIFS(報告入力!$AU$7:$AU$696,報告入力!$A$7:$A$696,$S$132,報告入力!$B$7:$B$696,$A162)</f>
        <v>40260</v>
      </c>
      <c r="C162" s="113" t="n">
        <f aca="false">SUMIFS(報告入力!$AV$7:$AV$696,報告入力!$A$7:$A$696,$S$132,報告入力!$B$7:$B$696,$A162)</f>
        <v>3300</v>
      </c>
      <c r="D162" s="111" t="n">
        <f aca="false">SUMIFS(報告入力!$AW$7:$AW$696,報告入力!$A$7:$A$696,$S$132,報告入力!$B$7:$B$696,$A162)</f>
        <v>40260</v>
      </c>
      <c r="E162" s="114" t="n">
        <f aca="false">SUMIFS(報告入力!$AX$7:$AX$696,報告入力!$A$7:$A$696,$S$132,報告入力!$B$7:$B$696,$A162)</f>
        <v>3300</v>
      </c>
      <c r="F162" s="113" t="n">
        <f aca="false">SUMIFS(報告入力!$AY$7:$AY$696,報告入力!$A$7:$A$696,$S$132,報告入力!$B$7:$B$696,$A162)</f>
        <v>38</v>
      </c>
      <c r="G162" s="108" t="n">
        <f aca="false">SUM(B162:F162)</f>
        <v>87158</v>
      </c>
      <c r="H162" s="114" t="n">
        <f aca="false">SUMIFS(報告入力!$AZ$7:$AZ$696,報告入力!$A$7:$A$696,$S$132,報告入力!$B$7:$B$696,$A162)</f>
        <v>22818</v>
      </c>
      <c r="I162" s="205" t="n">
        <f aca="false">SUMIFS(報告入力!$BA$7:$BA$696,報告入力!$A$7:$A$696,$S$132,報告入力!$B$7:$B$696,$A162)</f>
        <v>22840</v>
      </c>
      <c r="J162" s="108" t="n">
        <f aca="false">SUM(H162:I162)</f>
        <v>45658</v>
      </c>
      <c r="K162" s="114" t="n">
        <f aca="false">SUMIFS(報告入力!$BB$7:$BB$696,報告入力!$A$7:$A$696,$S$132,報告入力!$B$7:$B$696,$A162)</f>
        <v>0</v>
      </c>
      <c r="L162" s="205" t="n">
        <f aca="false">SUMIFS(報告入力!$BC$7:$BC$696,報告入力!$A$7:$A$696,$S$132,報告入力!$B$7:$B$696,$A162)</f>
        <v>0</v>
      </c>
      <c r="M162" s="108" t="n">
        <f aca="false">SUM(K162:L162)</f>
        <v>0</v>
      </c>
      <c r="N162" s="114" t="n">
        <f aca="false">SUMIFS(報告入力!$BD$7:$BD$696,報告入力!$A$7:$A$696,$S$132,報告入力!$B$7:$B$696,$A162)</f>
        <v>506</v>
      </c>
      <c r="O162" s="115" t="n">
        <f aca="false">SUMIFS(報告入力!$BE$7:$BE$696,報告入力!$A$7:$A$696,$S$132,報告入力!$B$7:$B$696,$A162)</f>
        <v>506</v>
      </c>
      <c r="P162" s="116" t="n">
        <f aca="false">SUM(N162:O162)</f>
        <v>1012</v>
      </c>
      <c r="Q162" s="110" t="str">
        <f aca="false">IF(P97=P162,"〇","×")</f>
        <v>〇</v>
      </c>
      <c r="R162" s="110" t="str">
        <f aca="false">IFERROR(INDEX(報告入力!$C$7:$C$696,MATCH($S$132&amp;"|"&amp;$A162,報告入力!$CG$7:$CG$696,0)),"")</f>
        <v>入金確認済</v>
      </c>
    </row>
    <row r="163" s="110" customFormat="true" ht="18.75" hidden="false" customHeight="true" outlineLevel="0" collapsed="false">
      <c r="A163" s="197" t="s">
        <v>183</v>
      </c>
      <c r="B163" s="111" t="n">
        <f aca="false">SUMIFS(報告入力!$AU$7:$AU$696,報告入力!$A$7:$A$696,$S$132,報告入力!$B$7:$B$696,$A163)</f>
        <v>107970</v>
      </c>
      <c r="C163" s="113" t="n">
        <f aca="false">SUMIFS(報告入力!$AV$7:$AV$696,報告入力!$A$7:$A$696,$S$132,報告入力!$B$7:$B$696,$A163)</f>
        <v>8850</v>
      </c>
      <c r="D163" s="111" t="n">
        <f aca="false">SUMIFS(報告入力!$AW$7:$AW$696,報告入力!$A$7:$A$696,$S$132,報告入力!$B$7:$B$696,$A163)</f>
        <v>107970</v>
      </c>
      <c r="E163" s="114" t="n">
        <f aca="false">SUMIFS(報告入力!$AX$7:$AX$696,報告入力!$A$7:$A$696,$S$132,報告入力!$B$7:$B$696,$A163)</f>
        <v>8850</v>
      </c>
      <c r="F163" s="113" t="n">
        <f aca="false">SUMIFS(報告入力!$AY$7:$AY$696,報告入力!$A$7:$A$696,$S$132,報告入力!$B$7:$B$696,$A163)</f>
        <v>102</v>
      </c>
      <c r="G163" s="108" t="n">
        <f aca="false">SUM(B163:F163)</f>
        <v>233742</v>
      </c>
      <c r="H163" s="114" t="n">
        <f aca="false">SUMIFS(報告入力!$AZ$7:$AZ$696,報告入力!$A$7:$A$696,$S$132,報告入力!$B$7:$B$696,$A163)</f>
        <v>61194</v>
      </c>
      <c r="I163" s="115" t="n">
        <f aca="false">SUMIFS(報告入力!$BA$7:$BA$696,報告入力!$A$7:$A$696,$S$132,報告入力!$B$7:$B$696,$A163)</f>
        <v>61253</v>
      </c>
      <c r="J163" s="298" t="n">
        <f aca="false">SUM(H163:I163)</f>
        <v>122447</v>
      </c>
      <c r="K163" s="114" t="n">
        <f aca="false">SUMIFS(報告入力!$BB$7:$BB$696,報告入力!$A$7:$A$696,$S$132,報告入力!$B$7:$B$696,$A163)</f>
        <v>9322</v>
      </c>
      <c r="L163" s="205" t="n">
        <f aca="false">SUMIFS(報告入力!$BC$7:$BC$696,報告入力!$A$7:$A$696,$S$132,報告入力!$B$7:$B$696,$A163)</f>
        <v>9322</v>
      </c>
      <c r="M163" s="108" t="n">
        <f aca="false">SUM(K163:L163)</f>
        <v>18644</v>
      </c>
      <c r="N163" s="114" t="n">
        <f aca="false">SUMIFS(報告入力!$BD$7:$BD$696,報告入力!$A$7:$A$696,$S$132,報告入力!$B$7:$B$696,$A163)</f>
        <v>1356</v>
      </c>
      <c r="O163" s="115" t="n">
        <f aca="false">SUMIFS(報告入力!$BE$7:$BE$696,報告入力!$A$7:$A$696,$S$132,報告入力!$B$7:$B$696,$A163)</f>
        <v>1357</v>
      </c>
      <c r="P163" s="116" t="n">
        <f aca="false">SUM(N163:O163)</f>
        <v>2713</v>
      </c>
      <c r="Q163" s="110" t="str">
        <f aca="false">IF(P98=P163,"〇","×")</f>
        <v>〇</v>
      </c>
      <c r="R163" s="110" t="str">
        <f aca="false">IFERROR(INDEX(報告入力!$C$7:$C$696,MATCH($S$132&amp;"|"&amp;$A163,報告入力!$CG$7:$CG$696,0)),"")</f>
        <v>入金確認済</v>
      </c>
    </row>
    <row r="164" s="110" customFormat="true" ht="20.1" hidden="false" customHeight="true" outlineLevel="0" collapsed="false">
      <c r="A164" s="100" t="s">
        <v>184</v>
      </c>
      <c r="B164" s="321" t="n">
        <f aca="false">SUMIFS(報告入力!$AU$7:$AU$696,報告入力!$A$7:$A$696,$S$132,報告入力!$B$7:$B$696,$A164)</f>
        <v>746640</v>
      </c>
      <c r="C164" s="322" t="n">
        <f aca="false">SUMIFS(報告入力!$AV$7:$AV$696,報告入力!$A$7:$A$696,$S$132,報告入力!$B$7:$B$696,$A164)</f>
        <v>61200</v>
      </c>
      <c r="D164" s="323" t="n">
        <f aca="false">SUMIFS(報告入力!$AW$7:$AW$696,報告入力!$A$7:$A$696,$S$132,報告入力!$B$7:$B$696,$A164)</f>
        <v>718038</v>
      </c>
      <c r="E164" s="324" t="n">
        <f aca="false">SUMIFS(報告入力!$AX$7:$AX$696,報告入力!$A$7:$A$696,$S$132,報告入力!$B$7:$B$696,$A164)</f>
        <v>58125</v>
      </c>
      <c r="F164" s="322" t="n">
        <f aca="false">SUMIFS(報告入力!$AY$7:$AY$696,報告入力!$A$7:$A$696,$S$132,報告入力!$B$7:$B$696,$A164)</f>
        <v>684</v>
      </c>
      <c r="G164" s="108" t="n">
        <f aca="false">SUM(B164:F164)</f>
        <v>1584687</v>
      </c>
      <c r="H164" s="324" t="n">
        <f aca="false">SUMIFS(報告入力!$AZ$7:$AZ$696,報告入力!$A$7:$A$696,$S$132,報告入力!$B$7:$B$696,$A164)</f>
        <v>423172</v>
      </c>
      <c r="I164" s="325" t="n">
        <f aca="false">SUMIFS(報告入力!$BA$7:$BA$696,報告入力!$A$7:$A$696,$S$132,報告入力!$B$7:$B$696,$A164)</f>
        <v>393389</v>
      </c>
      <c r="J164" s="108" t="n">
        <f aca="false">SUM(H164:I164)</f>
        <v>816561</v>
      </c>
      <c r="K164" s="325" t="n">
        <f aca="false">SUMIFS(報告入力!$BB$7:$BB$696,報告入力!$A$7:$A$696,$S$132,報告入力!$B$7:$B$696,$A164)</f>
        <v>39342</v>
      </c>
      <c r="L164" s="325" t="n">
        <f aca="false">SUMIFS(報告入力!$BC$7:$BC$696,報告入力!$A$7:$A$696,$S$132,報告入力!$B$7:$B$696,$A164)</f>
        <v>39342</v>
      </c>
      <c r="M164" s="108" t="n">
        <f aca="false">SUM(K164:L164)</f>
        <v>78684</v>
      </c>
      <c r="N164" s="325" t="n">
        <f aca="false">SUMIFS(報告入力!$BD$7:$BD$696,報告入力!$A$7:$A$696,$S$132,報告入力!$B$7:$B$696,$A164)</f>
        <v>9380</v>
      </c>
      <c r="O164" s="326" t="n">
        <f aca="false">SUMIFS(報告入力!$BE$7:$BE$696,報告入力!$A$7:$A$696,$S$132,報告入力!$B$7:$B$696,$A164)</f>
        <v>8913</v>
      </c>
      <c r="P164" s="116" t="n">
        <f aca="false">SUM(N164:O164)</f>
        <v>18293</v>
      </c>
      <c r="Q164" s="110" t="str">
        <f aca="false">IF(P99=P164,"〇","×")</f>
        <v>×</v>
      </c>
      <c r="R164" s="110" t="str">
        <f aca="false">IFERROR(INDEX(報告入力!$C$7:$C$696,MATCH($S$132&amp;"|"&amp;$A164,報告入力!$CG$7:$CG$696,0)),"")</f>
        <v>入金確認済</v>
      </c>
    </row>
    <row r="165" s="110" customFormat="true" ht="20.1" hidden="false" customHeight="true" outlineLevel="0" collapsed="false">
      <c r="A165" s="100" t="s">
        <v>185</v>
      </c>
      <c r="B165" s="201"/>
      <c r="C165" s="191"/>
      <c r="D165" s="117" t="n">
        <f aca="false">SUMIFS(報告入力!$AW$7:$AW$696,報告入力!$A$7:$A$696,$S$132,報告入力!$B$7:$B$696,$A165)</f>
        <v>607560</v>
      </c>
      <c r="E165" s="124" t="n">
        <f aca="false">SUMIFS(報告入力!$AX$7:$AX$696,報告入力!$A$7:$A$696,$S$132,報告入力!$B$7:$B$696,$A165)</f>
        <v>49800</v>
      </c>
      <c r="F165" s="123" t="n">
        <f aca="false">SUMIFS(報告入力!$AY$7:$AY$696,報告入力!$A$7:$A$696,$S$132,報告入力!$B$7:$B$696,$A165)</f>
        <v>603</v>
      </c>
      <c r="G165" s="108" t="n">
        <f aca="false">SUM(B165:F165)</f>
        <v>657963</v>
      </c>
      <c r="H165" s="202"/>
      <c r="I165" s="125" t="n">
        <f aca="false">SUMIFS(報告入力!$BA$7:$BA$696,報告入力!$A$7:$A$696,$S$132,報告入力!$B$7:$B$696,$A165)</f>
        <v>344697</v>
      </c>
      <c r="J165" s="116" t="n">
        <f aca="false">SUM(H165:I165)</f>
        <v>344697</v>
      </c>
      <c r="K165" s="202"/>
      <c r="L165" s="205" t="n">
        <f aca="false">SUMIFS(報告入力!$BC$7:$BC$696,報告入力!$A$7:$A$696,$S$132,報告入力!$B$7:$B$696,$A165)</f>
        <v>28203</v>
      </c>
      <c r="M165" s="108" t="n">
        <f aca="false">SUM(K165:L165)</f>
        <v>28203</v>
      </c>
      <c r="N165" s="202"/>
      <c r="O165" s="205" t="n">
        <f aca="false">SUMIFS(報告入力!$BE$7:$BE$696,報告入力!$A$7:$A$696,$S$132,報告入力!$B$7:$B$696,$A165)</f>
        <v>7634</v>
      </c>
      <c r="P165" s="116" t="n">
        <f aca="false">SUM(N165:O165)</f>
        <v>7634</v>
      </c>
      <c r="Q165" s="110" t="str">
        <f aca="false">IF(P100=P165,"〇","×")</f>
        <v>〇</v>
      </c>
      <c r="R165" s="110" t="str">
        <f aca="false">IFERROR(INDEX(報告入力!$C$7:$C$696,MATCH($S$132&amp;"|"&amp;$A165,報告入力!$CG$7:$CG$696,0)),"")</f>
        <v>入金確認済</v>
      </c>
    </row>
    <row r="166" s="110" customFormat="true" ht="20.1" hidden="false" customHeight="true" outlineLevel="0" collapsed="false">
      <c r="A166" s="203" t="s">
        <v>186</v>
      </c>
      <c r="B166" s="186"/>
      <c r="C166" s="193"/>
      <c r="D166" s="111" t="n">
        <f aca="false">SUMIFS(報告入力!$AW$7:$AW$696,報告入力!$A$7:$A$696,$S$132,報告入力!$B$7:$B$696,$A166)</f>
        <v>1056825</v>
      </c>
      <c r="E166" s="114" t="n">
        <f aca="false">SUMIFS(報告入力!$AX$7:$AX$696,報告入力!$A$7:$A$696,$S$132,報告入力!$B$7:$B$696,$A166)</f>
        <v>86625</v>
      </c>
      <c r="F166" s="123" t="n">
        <f aca="false">SUMIFS(報告入力!$AY$7:$AY$696,報告入力!$A$7:$A$696,$S$132,報告入力!$B$7:$B$696,$A166)</f>
        <v>1000</v>
      </c>
      <c r="G166" s="108" t="n">
        <f aca="false">SUM(B166:F166)</f>
        <v>1144450</v>
      </c>
      <c r="H166" s="188"/>
      <c r="I166" s="125" t="n">
        <f aca="false">SUMIFS(報告入力!$BA$7:$BA$696,報告入力!$A$7:$A$696,$S$132,報告入力!$B$7:$B$696,$A166)</f>
        <v>602672</v>
      </c>
      <c r="J166" s="298" t="n">
        <f aca="false">SUM(H166:I166)</f>
        <v>602672</v>
      </c>
      <c r="K166" s="188"/>
      <c r="L166" s="205" t="n">
        <f aca="false">SUMIFS(報告入力!$BC$7:$BC$696,報告入力!$A$7:$A$696,$S$132,報告入力!$B$7:$B$696,$A166)</f>
        <v>86347</v>
      </c>
      <c r="M166" s="298" t="n">
        <f aca="false">SUM(K166:L166)</f>
        <v>86347</v>
      </c>
      <c r="N166" s="188"/>
      <c r="O166" s="205" t="n">
        <f aca="false">SUMIFS(報告入力!$BE$7:$BE$696,報告入力!$A$7:$A$696,$S$132,報告入力!$B$7:$B$696,$A166)</f>
        <v>13350</v>
      </c>
      <c r="P166" s="120" t="n">
        <f aca="false">SUM(N166:O166)</f>
        <v>13350</v>
      </c>
      <c r="Q166" s="110" t="str">
        <f aca="false">IF(P101=P166,"〇","×")</f>
        <v>〇</v>
      </c>
      <c r="R166" s="110" t="str">
        <f aca="false">IFERROR(INDEX(報告入力!$C$7:$C$696,MATCH($S$132&amp;"|"&amp;$A166,報告入力!$CG$7:$CG$696,0)),"")</f>
        <v>入金確認済</v>
      </c>
    </row>
    <row r="167" s="110" customFormat="true" ht="20.1" hidden="false" customHeight="true" outlineLevel="0" collapsed="false">
      <c r="A167" s="204" t="s">
        <v>187</v>
      </c>
      <c r="B167" s="186"/>
      <c r="C167" s="193"/>
      <c r="D167" s="111" t="n">
        <f aca="false">SUMIFS(報告入力!$AW$7:$AW$696,報告入力!$A$7:$A$696,$S$132,報告入力!$B$7:$B$696,$A167)</f>
        <v>0</v>
      </c>
      <c r="E167" s="114" t="n">
        <f aca="false">SUMIFS(報告入力!$AX$7:$AX$696,報告入力!$A$7:$A$696,$S$132,報告入力!$B$7:$B$696,$A167)</f>
        <v>0</v>
      </c>
      <c r="F167" s="123" t="n">
        <f aca="false">SUMIFS(報告入力!$AY$7:$AY$696,報告入力!$A$7:$A$696,$S$132,報告入力!$B$7:$B$696,$A167)</f>
        <v>0</v>
      </c>
      <c r="G167" s="108" t="n">
        <f aca="false">SUM(B167:F167)</f>
        <v>0</v>
      </c>
      <c r="H167" s="188"/>
      <c r="I167" s="125" t="n">
        <f aca="false">SUMIFS(報告入力!$BA$7:$BA$696,報告入力!$A$7:$A$696,$S$132,報告入力!$B$7:$B$696,$A167)</f>
        <v>0</v>
      </c>
      <c r="J167" s="298" t="n">
        <f aca="false">SUM(H167:I167)</f>
        <v>0</v>
      </c>
      <c r="K167" s="188"/>
      <c r="L167" s="205" t="n">
        <f aca="false">SUMIFS(報告入力!$BC$7:$BC$696,報告入力!$A$7:$A$696,$S$132,報告入力!$B$7:$B$696,$A167)</f>
        <v>0</v>
      </c>
      <c r="M167" s="298" t="n">
        <f aca="false">SUM(K167:L167)</f>
        <v>0</v>
      </c>
      <c r="N167" s="188"/>
      <c r="O167" s="205" t="n">
        <f aca="false">SUMIFS(報告入力!$BE$7:$BE$696,報告入力!$A$7:$A$696,$S$132,報告入力!$B$7:$B$696,$A167)</f>
        <v>0</v>
      </c>
      <c r="P167" s="120" t="n">
        <f aca="false">SUM(N167:O167)</f>
        <v>0</v>
      </c>
      <c r="Q167" s="110" t="str">
        <f aca="false">IF(P102=P167,"〇","×")</f>
        <v>〇</v>
      </c>
      <c r="R167" s="110" t="str">
        <f aca="false">IFERROR(INDEX(報告入力!$C$7:$C$696,MATCH($S$132&amp;"|"&amp;$A167,報告入力!$CG$7:$CG$696,0)),"")</f>
        <v>入金確認済</v>
      </c>
    </row>
    <row r="168" s="110" customFormat="true" ht="20.1" hidden="false" customHeight="true" outlineLevel="0" collapsed="false">
      <c r="A168" s="100" t="s">
        <v>188</v>
      </c>
      <c r="B168" s="186"/>
      <c r="C168" s="193"/>
      <c r="D168" s="111" t="n">
        <f aca="false">SUMIFS(報告入力!$AW$7:$AW$696,報告入力!$A$7:$A$696,$S$132,報告入力!$B$7:$B$696,$A168)</f>
        <v>405345</v>
      </c>
      <c r="E168" s="114" t="n">
        <f aca="false">SUMIFS(報告入力!$AX$7:$AX$696,報告入力!$A$7:$A$696,$S$132,報告入力!$B$7:$B$696,$A168)</f>
        <v>33225</v>
      </c>
      <c r="F168" s="123" t="n">
        <f aca="false">SUMIFS(報告入力!$AY$7:$AY$696,報告入力!$A$7:$A$696,$S$132,報告入力!$B$7:$B$696,$A168)</f>
        <v>383</v>
      </c>
      <c r="G168" s="108" t="n">
        <f aca="false">SUM(B168:F168)</f>
        <v>438953</v>
      </c>
      <c r="H168" s="188"/>
      <c r="I168" s="125" t="n">
        <f aca="false">SUMIFS(報告入力!$BA$7:$BA$696,報告入力!$A$7:$A$696,$S$132,報告入力!$B$7:$B$696,$A168)</f>
        <v>229959</v>
      </c>
      <c r="J168" s="116" t="n">
        <f aca="false">SUM(H168:I168)</f>
        <v>229959</v>
      </c>
      <c r="K168" s="188"/>
      <c r="L168" s="205" t="n">
        <f aca="false">SUMIFS(報告入力!$BC$7:$BC$696,報告入力!$A$7:$A$696,$S$132,報告入力!$B$7:$B$696,$A168)</f>
        <v>34997</v>
      </c>
      <c r="M168" s="108" t="n">
        <f aca="false">SUM(K168:L168)</f>
        <v>34997</v>
      </c>
      <c r="N168" s="188"/>
      <c r="O168" s="205" t="n">
        <f aca="false">SUMIFS(報告入力!$BE$7:$BE$696,報告入力!$A$7:$A$696,$S$132,報告入力!$B$7:$B$696,$A168)</f>
        <v>5093</v>
      </c>
      <c r="P168" s="116" t="n">
        <f aca="false">SUM(N168:O168)</f>
        <v>5093</v>
      </c>
      <c r="Q168" s="110" t="str">
        <f aca="false">IF(P103=P168,"〇","×")</f>
        <v>〇</v>
      </c>
      <c r="R168" s="110" t="str">
        <f aca="false">IFERROR(INDEX(報告入力!$C$7:$C$696,MATCH($S$132&amp;"|"&amp;$A168,報告入力!$CG$7:$CG$696,0)),"")</f>
        <v>入金確認済</v>
      </c>
    </row>
    <row r="169" s="110" customFormat="true" ht="20.1" hidden="false" customHeight="true" outlineLevel="0" collapsed="false">
      <c r="A169" s="121" t="s">
        <v>189</v>
      </c>
      <c r="B169" s="117" t="n">
        <f aca="false">SUMIFS(報告入力!$AU$7:$AU$696,報告入力!$A$7:$A$696,$S$132,報告入力!$B$7:$B$696,$A169)</f>
        <v>148230</v>
      </c>
      <c r="C169" s="113" t="n">
        <f aca="false">SUMIFS(報告入力!$AV$7:$AV$696,報告入力!$A$7:$A$696,$S$132,報告入力!$B$7:$B$696,$A169)</f>
        <v>12150</v>
      </c>
      <c r="D169" s="111" t="n">
        <f aca="false">SUMIFS(報告入力!$AW$7:$AW$696,報告入力!$A$7:$A$696,$S$132,報告入力!$B$7:$B$696,$A169)</f>
        <v>148230</v>
      </c>
      <c r="E169" s="114" t="n">
        <f aca="false">SUMIFS(報告入力!$AX$7:$AX$696,報告入力!$A$7:$A$696,$S$132,報告入力!$B$7:$B$696,$A169)</f>
        <v>12150</v>
      </c>
      <c r="F169" s="113" t="n">
        <f aca="false">SUMIFS(報告入力!$AY$7:$AY$696,報告入力!$A$7:$A$696,$S$132,報告入力!$B$7:$B$696,$A169)</f>
        <v>140</v>
      </c>
      <c r="G169" s="108" t="n">
        <f aca="false">SUM(B169:F169)</f>
        <v>320900</v>
      </c>
      <c r="H169" s="114" t="n">
        <f aca="false">SUMIFS(報告入力!$AZ$7:$AZ$696,報告入力!$A$7:$A$696,$S$132,報告入力!$B$7:$B$696,$A169)</f>
        <v>87123</v>
      </c>
      <c r="I169" s="205" t="n">
        <f aca="false">SUMIFS(報告入力!$BA$7:$BA$696,報告入力!$A$7:$A$696,$S$132,報告入力!$B$7:$B$696,$A169)</f>
        <v>87208</v>
      </c>
      <c r="J169" s="108" t="n">
        <f aca="false">SUM(H169:I169)</f>
        <v>174331</v>
      </c>
      <c r="K169" s="205" t="n">
        <f aca="false">SUMIFS(報告入力!$BB$7:$BB$696,報告入力!$A$7:$A$696,$S$132,報告入力!$B$7:$B$696,$A169)</f>
        <v>10033</v>
      </c>
      <c r="L169" s="205" t="n">
        <f aca="false">SUMIFS(報告入力!$BC$7:$BC$696,報告入力!$A$7:$A$696,$S$132,報告入力!$B$7:$B$696,$A169)</f>
        <v>10033</v>
      </c>
      <c r="M169" s="108" t="n">
        <f aca="false">SUM(K169:L169)</f>
        <v>20066</v>
      </c>
      <c r="N169" s="205" t="n">
        <f aca="false">SUMIFS(報告入力!$BD$7:$BD$696,報告入力!$A$7:$A$696,$S$132,報告入力!$B$7:$B$696,$A169)</f>
        <v>1931</v>
      </c>
      <c r="O169" s="205" t="n">
        <f aca="false">SUMIFS(報告入力!$BE$7:$BE$696,報告入力!$A$7:$A$696,$S$132,報告入力!$B$7:$B$696,$A169)</f>
        <v>1932</v>
      </c>
      <c r="P169" s="116" t="n">
        <f aca="false">SUM(N169:O169)</f>
        <v>3863</v>
      </c>
      <c r="Q169" s="110" t="str">
        <f aca="false">IF(P104=P169,"〇","×")</f>
        <v>〇</v>
      </c>
      <c r="R169" s="110" t="str">
        <f aca="false">IFERROR(INDEX(報告入力!$C$7:$C$696,MATCH($S$132&amp;"|"&amp;$A169,報告入力!$CG$7:$CG$696,0)),"")</f>
        <v>入金確認済</v>
      </c>
    </row>
    <row r="170" s="110" customFormat="true" ht="20.1" hidden="false" customHeight="true" outlineLevel="0" collapsed="false">
      <c r="A170" s="206" t="s">
        <v>190</v>
      </c>
      <c r="B170" s="201"/>
      <c r="C170" s="191"/>
      <c r="D170" s="117" t="n">
        <f aca="false">SUMIFS(報告入力!$AW$7:$AW$696,報告入力!$A$7:$A$696,$S$132,報告入力!$B$7:$B$696,$A170)</f>
        <v>455670</v>
      </c>
      <c r="E170" s="124" t="n">
        <f aca="false">SUMIFS(報告入力!$AX$7:$AX$696,報告入力!$A$7:$A$696,$S$132,報告入力!$B$7:$B$696,$A170)</f>
        <v>37350</v>
      </c>
      <c r="F170" s="123" t="n">
        <f aca="false">SUMIFS(報告入力!$AY$7:$AY$696,報告入力!$A$7:$A$696,$S$132,報告入力!$B$7:$B$696,$A170)</f>
        <v>432</v>
      </c>
      <c r="G170" s="108" t="n">
        <f aca="false">SUM(B170:F170)</f>
        <v>493452</v>
      </c>
      <c r="H170" s="202"/>
      <c r="I170" s="205" t="n">
        <f aca="false">SUMIFS(報告入力!$BA$7:$BA$696,報告入力!$A$7:$A$696,$S$132,報告入力!$B$7:$B$696,$A170)</f>
        <v>263702</v>
      </c>
      <c r="J170" s="298" t="n">
        <f aca="false">SUM(H170:I170)</f>
        <v>263702</v>
      </c>
      <c r="K170" s="202"/>
      <c r="L170" s="205" t="n">
        <f aca="false">SUMIFS(報告入力!$BC$7:$BC$696,報告入力!$A$7:$A$696,$S$132,報告入力!$B$7:$B$696,$A170)</f>
        <v>21093</v>
      </c>
      <c r="M170" s="108" t="n">
        <f aca="false">SUM(K170:L170)</f>
        <v>21093</v>
      </c>
      <c r="N170" s="202"/>
      <c r="O170" s="205" t="n">
        <f aca="false">SUMIFS(報告入力!$BE$7:$BE$696,報告入力!$A$7:$A$696,$S$132,報告入力!$B$7:$B$696,$A170)</f>
        <v>5842</v>
      </c>
      <c r="P170" s="116" t="n">
        <f aca="false">SUM(N170:O170)</f>
        <v>5842</v>
      </c>
      <c r="Q170" s="110" t="str">
        <f aca="false">IF(P105=P170,"〇","×")</f>
        <v>〇</v>
      </c>
      <c r="R170" s="110" t="str">
        <f aca="false">IFERROR(INDEX(報告入力!$C$7:$C$696,MATCH($S$132&amp;"|"&amp;$A170,報告入力!$CG$7:$CG$696,0)),"")</f>
        <v>入金確認済</v>
      </c>
    </row>
    <row r="171" s="110" customFormat="true" ht="20.1" hidden="false" customHeight="true" outlineLevel="0" collapsed="false">
      <c r="A171" s="189" t="s">
        <v>191</v>
      </c>
      <c r="B171" s="111" t="n">
        <f aca="false">SUMIFS(報告入力!$AU$7:$AU$696,報告入力!$A$7:$A$696,$S$132,報告入力!$B$7:$B$696,$A171)</f>
        <v>56730</v>
      </c>
      <c r="C171" s="113" t="n">
        <f aca="false">SUMIFS(報告入力!$AV$7:$AV$696,報告入力!$A$7:$A$696,$S$132,報告入力!$B$7:$B$696,$A171)</f>
        <v>4650</v>
      </c>
      <c r="D171" s="111" t="n">
        <f aca="false">SUMIFS(報告入力!$AW$7:$AW$696,報告入力!$A$7:$A$696,$S$132,報告入力!$B$7:$B$696,$A171)</f>
        <v>56730</v>
      </c>
      <c r="E171" s="114" t="n">
        <f aca="false">SUMIFS(報告入力!$AX$7:$AX$696,報告入力!$A$7:$A$696,$S$132,報告入力!$B$7:$B$696,$A171)</f>
        <v>4650</v>
      </c>
      <c r="F171" s="113" t="n">
        <f aca="false">SUMIFS(報告入力!$AY$7:$AY$696,報告入力!$A$7:$A$696,$S$132,報告入力!$B$7:$B$696,$A171)</f>
        <v>53</v>
      </c>
      <c r="G171" s="108" t="n">
        <f aca="false">SUM(B171:F171)</f>
        <v>122813</v>
      </c>
      <c r="H171" s="114" t="n">
        <f aca="false">SUMIFS(報告入力!$AZ$7:$AZ$696,報告入力!$A$7:$A$696,$S$132,報告入力!$B$7:$B$696,$A171)</f>
        <v>32153</v>
      </c>
      <c r="I171" s="115" t="n">
        <f aca="false">SUMIFS(報告入力!$BA$7:$BA$696,報告入力!$A$7:$A$696,$S$132,報告入力!$B$7:$B$696,$A171)</f>
        <v>32184</v>
      </c>
      <c r="J171" s="298" t="n">
        <f aca="false">SUM(H171:I171)</f>
        <v>64337</v>
      </c>
      <c r="K171" s="205" t="n">
        <f aca="false">SUMIFS(報告入力!$BB$7:$BB$696,報告入力!$A$7:$A$696,$S$132,報告入力!$B$7:$B$696,$A171)</f>
        <v>4898</v>
      </c>
      <c r="L171" s="205" t="n">
        <f aca="false">SUMIFS(報告入力!$BC$7:$BC$696,報告入力!$A$7:$A$696,$S$132,報告入力!$B$7:$B$696,$A171)</f>
        <v>4898</v>
      </c>
      <c r="M171" s="298" t="n">
        <f aca="false">SUM(K171:L171)</f>
        <v>9796</v>
      </c>
      <c r="N171" s="205" t="n">
        <f aca="false">SUMIFS(報告入力!$BD$7:$BD$696,報告入力!$A$7:$A$696,$S$132,報告入力!$B$7:$B$696,$A171)</f>
        <v>713</v>
      </c>
      <c r="O171" s="205" t="n">
        <f aca="false">SUMIFS(報告入力!$BE$7:$BE$696,報告入力!$A$7:$A$696,$S$132,報告入力!$B$7:$B$696,$A171)</f>
        <v>713</v>
      </c>
      <c r="P171" s="120" t="n">
        <f aca="false">SUM(N171:O171)</f>
        <v>1426</v>
      </c>
      <c r="Q171" s="110" t="str">
        <f aca="false">IF(P106=P171,"〇","×")</f>
        <v>〇</v>
      </c>
      <c r="R171" s="110" t="str">
        <f aca="false">IFERROR(INDEX(報告入力!$C$7:$C$696,MATCH($S$132&amp;"|"&amp;$A171,報告入力!$CG$7:$CG$696,0)),"")</f>
        <v>入金確認済</v>
      </c>
    </row>
    <row r="172" s="110" customFormat="true" ht="20.1" hidden="false" customHeight="true" outlineLevel="0" collapsed="false">
      <c r="A172" s="189" t="s">
        <v>192</v>
      </c>
      <c r="B172" s="111" t="n">
        <f aca="false">SUMIFS(報告入力!$AU$7:$AU$696,報告入力!$A$7:$A$696,$S$132,報告入力!$B$7:$B$696,$A172)</f>
        <v>59475</v>
      </c>
      <c r="C172" s="113" t="n">
        <f aca="false">SUMIFS(報告入力!$AV$7:$AV$696,報告入力!$A$7:$A$696,$S$132,報告入力!$B$7:$B$696,$A172)</f>
        <v>4875</v>
      </c>
      <c r="D172" s="111" t="n">
        <f aca="false">SUMIFS(報告入力!$AW$7:$AW$696,報告入力!$A$7:$A$696,$S$132,報告入力!$B$7:$B$696,$A172)</f>
        <v>59475</v>
      </c>
      <c r="E172" s="114" t="n">
        <f aca="false">SUMIFS(報告入力!$AX$7:$AX$696,報告入力!$A$7:$A$696,$S$132,報告入力!$B$7:$B$696,$A172)</f>
        <v>4875</v>
      </c>
      <c r="F172" s="113" t="n">
        <f aca="false">SUMIFS(報告入力!$AY$7:$AY$696,報告入力!$A$7:$A$696,$S$132,報告入力!$B$7:$B$696,$A172)</f>
        <v>56</v>
      </c>
      <c r="G172" s="108" t="n">
        <f aca="false">SUM(B172:F172)</f>
        <v>128756</v>
      </c>
      <c r="H172" s="114" t="n">
        <f aca="false">SUMIFS(報告入力!$AZ$7:$AZ$696,報告入力!$A$7:$A$696,$S$132,報告入力!$B$7:$B$696,$A172)</f>
        <v>38895</v>
      </c>
      <c r="I172" s="115" t="n">
        <f aca="false">SUMIFS(報告入力!$BA$7:$BA$696,報告入力!$A$7:$A$696,$S$132,報告入力!$B$7:$B$696,$A172)</f>
        <v>38932</v>
      </c>
      <c r="J172" s="298" t="n">
        <f aca="false">SUM(H172:I172)</f>
        <v>77827</v>
      </c>
      <c r="K172" s="205" t="n">
        <f aca="false">SUMIFS(報告入力!$BB$7:$BB$696,報告入力!$A$7:$A$696,$S$132,報告入力!$B$7:$B$696,$A172)</f>
        <v>5925</v>
      </c>
      <c r="L172" s="205" t="n">
        <f aca="false">SUMIFS(報告入力!$BC$7:$BC$696,報告入力!$A$7:$A$696,$S$132,報告入力!$B$7:$B$696,$A172)</f>
        <v>5925</v>
      </c>
      <c r="M172" s="108" t="n">
        <f aca="false">SUM(K172:L172)</f>
        <v>11850</v>
      </c>
      <c r="N172" s="205" t="n">
        <f aca="false">SUMIFS(報告入力!$BD$7:$BD$696,報告入力!$A$7:$A$696,$S$132,報告入力!$B$7:$B$696,$A172)</f>
        <v>862</v>
      </c>
      <c r="O172" s="205" t="n">
        <f aca="false">SUMIFS(報告入力!$BE$7:$BE$696,報告入力!$A$7:$A$696,$S$132,報告入力!$B$7:$B$696,$A172)</f>
        <v>862</v>
      </c>
      <c r="P172" s="116" t="n">
        <f aca="false">SUM(N172:O172)</f>
        <v>1724</v>
      </c>
      <c r="Q172" s="110" t="str">
        <f aca="false">IF(P107=P172,"〇","×")</f>
        <v>〇</v>
      </c>
      <c r="R172" s="110" t="str">
        <f aca="false">IFERROR(INDEX(報告入力!$C$7:$C$696,MATCH($S$132&amp;"|"&amp;$A172,報告入力!$CG$7:$CG$696,0)),"")</f>
        <v>入金確認済</v>
      </c>
    </row>
    <row r="173" s="110" customFormat="true" ht="20.1" hidden="false" customHeight="true" outlineLevel="0" collapsed="false">
      <c r="A173" s="189" t="s">
        <v>193</v>
      </c>
      <c r="B173" s="111" t="n">
        <f aca="false">SUMIFS(報告入力!$AU$7:$AU$696,報告入力!$A$7:$A$696,$S$132,報告入力!$B$7:$B$696,$A173)</f>
        <v>37515</v>
      </c>
      <c r="C173" s="113" t="n">
        <f aca="false">SUMIFS(報告入力!$AV$7:$AV$696,報告入力!$A$7:$A$696,$S$132,報告入力!$B$7:$B$696,$A173)</f>
        <v>3075</v>
      </c>
      <c r="D173" s="111" t="n">
        <f aca="false">SUMIFS(報告入力!$AW$7:$AW$696,報告入力!$A$7:$A$696,$S$132,報告入力!$B$7:$B$696,$A173)</f>
        <v>37515</v>
      </c>
      <c r="E173" s="114" t="n">
        <f aca="false">SUMIFS(報告入力!$AX$7:$AX$696,報告入力!$A$7:$A$696,$S$132,報告入力!$B$7:$B$696,$A173)</f>
        <v>3075</v>
      </c>
      <c r="F173" s="113" t="n">
        <f aca="false">SUMIFS(報告入力!$AY$7:$AY$696,報告入力!$A$7:$A$696,$S$132,報告入力!$B$7:$B$696,$A173)</f>
        <v>35</v>
      </c>
      <c r="G173" s="108" t="n">
        <f aca="false">SUM(B173:F173)</f>
        <v>81215</v>
      </c>
      <c r="H173" s="114" t="n">
        <f aca="false">SUMIFS(報告入力!$AZ$7:$AZ$696,報告入力!$A$7:$A$696,$S$132,報告入力!$B$7:$B$696,$A173)</f>
        <v>21262</v>
      </c>
      <c r="I173" s="115" t="n">
        <f aca="false">SUMIFS(報告入力!$BA$7:$BA$696,報告入力!$A$7:$A$696,$S$132,報告入力!$B$7:$B$696,$A173)</f>
        <v>21283</v>
      </c>
      <c r="J173" s="116" t="n">
        <f aca="false">SUM(H173:I173)</f>
        <v>42545</v>
      </c>
      <c r="K173" s="114" t="n">
        <f aca="false">SUMIFS(報告入力!$BB$7:$BB$696,報告入力!$A$7:$A$696,$S$132,報告入力!$B$7:$B$696,$A173)</f>
        <v>0</v>
      </c>
      <c r="L173" s="115" t="n">
        <f aca="false">SUMIFS(報告入力!$BC$7:$BC$696,報告入力!$A$7:$A$696,$S$132,報告入力!$B$7:$B$696,$A173)</f>
        <v>0</v>
      </c>
      <c r="M173" s="298" t="n">
        <f aca="false">SUM(K173:L173)</f>
        <v>0</v>
      </c>
      <c r="N173" s="114" t="n">
        <f aca="false">SUMIFS(報告入力!$BD$7:$BD$696,報告入力!$A$7:$A$696,$S$132,報告入力!$B$7:$B$696,$A173)</f>
        <v>471</v>
      </c>
      <c r="O173" s="115" t="n">
        <f aca="false">SUMIFS(報告入力!$BE$7:$BE$696,報告入力!$A$7:$A$696,$S$132,報告入力!$B$7:$B$696,$A173)</f>
        <v>471</v>
      </c>
      <c r="P173" s="120" t="n">
        <f aca="false">SUM(N173:O173)</f>
        <v>942</v>
      </c>
      <c r="Q173" s="110" t="str">
        <f aca="false">IF(P108=P173,"〇","×")</f>
        <v>〇</v>
      </c>
      <c r="R173" s="110" t="str">
        <f aca="false">IFERROR(INDEX(報告入力!$C$7:$C$696,MATCH($S$132&amp;"|"&amp;$A173,報告入力!$CG$7:$CG$696,0)),"")</f>
        <v>入金確認済</v>
      </c>
    </row>
    <row r="174" s="110" customFormat="true" ht="20.1" hidden="false" customHeight="true" outlineLevel="0" collapsed="false">
      <c r="A174" s="327" t="s">
        <v>194</v>
      </c>
      <c r="B174" s="117" t="n">
        <f aca="false">SUMIFS(報告入力!$AU$7:$AU$696,報告入力!$A$7:$A$696,$S$132,報告入力!$B$7:$B$696,$A174)</f>
        <v>1201395</v>
      </c>
      <c r="C174" s="113" t="n">
        <f aca="false">SUMIFS(報告入力!$AV$7:$AV$696,報告入力!$A$7:$A$696,$S$132,報告入力!$B$7:$B$696,$A174)</f>
        <v>98475</v>
      </c>
      <c r="D174" s="111" t="n">
        <f aca="false">SUMIFS(報告入力!$AW$7:$AW$696,報告入力!$A$7:$A$696,$S$132,報告入力!$B$7:$B$696,$A174)</f>
        <v>1201395</v>
      </c>
      <c r="E174" s="114" t="n">
        <f aca="false">SUMIFS(報告入力!$AX$7:$AX$696,報告入力!$A$7:$A$696,$S$132,報告入力!$B$7:$B$696,$A174)</f>
        <v>98475</v>
      </c>
      <c r="F174" s="113" t="n">
        <f aca="false">SUMIFS(報告入力!$AY$7:$AY$696,報告入力!$A$7:$A$696,$S$132,報告入力!$B$7:$B$696,$A174)</f>
        <v>1208</v>
      </c>
      <c r="G174" s="108" t="n">
        <f aca="false">SUM(B174:F174)</f>
        <v>2600948</v>
      </c>
      <c r="H174" s="114" t="n">
        <f aca="false">SUMIFS(報告入力!$AZ$7:$AZ$696,報告入力!$A$7:$A$696,$S$132,報告入力!$B$7:$B$696,$A174)</f>
        <v>690245</v>
      </c>
      <c r="I174" s="205" t="n">
        <f aca="false">SUMIFS(報告入力!$BA$7:$BA$696,報告入力!$A$7:$A$696,$S$132,報告入力!$B$7:$B$696,$A174)</f>
        <v>690961</v>
      </c>
      <c r="J174" s="298" t="n">
        <f aca="false">SUM(H174:I174)</f>
        <v>1381206</v>
      </c>
      <c r="K174" s="205" t="n">
        <f aca="false">SUMIFS(報告入力!$BB$7:$BB$696,報告入力!$A$7:$A$696,$S$132,報告入力!$B$7:$B$696,$A174)</f>
        <v>79632</v>
      </c>
      <c r="L174" s="205" t="n">
        <f aca="false">SUMIFS(報告入力!$BC$7:$BC$696,報告入力!$A$7:$A$696,$S$132,報告入力!$B$7:$B$696,$A174)</f>
        <v>79632</v>
      </c>
      <c r="M174" s="108" t="n">
        <f aca="false">SUM(K174:L174)</f>
        <v>159264</v>
      </c>
      <c r="N174" s="205" t="n">
        <f aca="false">SUMIFS(報告入力!$BD$7:$BD$696,報告入力!$A$7:$A$696,$S$132,報告入力!$B$7:$B$696,$A174)</f>
        <v>15300</v>
      </c>
      <c r="O174" s="205" t="n">
        <f aca="false">SUMIFS(報告入力!$BE$7:$BE$696,報告入力!$A$7:$A$696,$S$132,報告入力!$B$7:$B$696,$A174)</f>
        <v>15306</v>
      </c>
      <c r="P174" s="116" t="n">
        <f aca="false">SUM(N174:O174)</f>
        <v>30606</v>
      </c>
      <c r="Q174" s="110" t="str">
        <f aca="false">IF(P109=P174,"〇","×")</f>
        <v>〇</v>
      </c>
      <c r="R174" s="110" t="str">
        <f aca="false">IFERROR(INDEX(報告入力!$C$7:$C$696,MATCH($S$132&amp;"|"&amp;$A174,報告入力!$CG$7:$CG$696,0)),"")</f>
        <v>入金確認済</v>
      </c>
    </row>
    <row r="175" s="110" customFormat="true" ht="20.1" hidden="false" customHeight="true" outlineLevel="0" collapsed="false">
      <c r="A175" s="121" t="s">
        <v>195</v>
      </c>
      <c r="B175" s="201"/>
      <c r="C175" s="191"/>
      <c r="D175" s="117" t="n">
        <f aca="false">SUMIFS(報告入力!$AW$7:$AW$696,報告入力!$A$7:$A$696,$S$132,報告入力!$B$7:$B$696,$A175)</f>
        <v>242475</v>
      </c>
      <c r="E175" s="118" t="n">
        <f aca="false">SUMIFS(報告入力!$AX$7:$AX$696,報告入力!$A$7:$A$696,$S$132,報告入力!$B$7:$B$696,$A175)</f>
        <v>19875</v>
      </c>
      <c r="F175" s="123" t="n">
        <f aca="false">SUMIFS(報告入力!$AY$7:$AY$696,報告入力!$A$7:$A$696,$S$132,報告入力!$B$7:$B$696,$A175)</f>
        <v>230</v>
      </c>
      <c r="G175" s="108" t="n">
        <f aca="false">SUM(B175:F175)</f>
        <v>262580</v>
      </c>
      <c r="H175" s="202"/>
      <c r="I175" s="205" t="n">
        <f aca="false">SUMIFS(報告入力!$BA$7:$BA$696,報告入力!$A$7:$A$696,$S$132,報告入力!$B$7:$B$696,$A175)</f>
        <v>140676</v>
      </c>
      <c r="J175" s="116" t="n">
        <f aca="false">SUM(H175:I175)</f>
        <v>140676</v>
      </c>
      <c r="K175" s="202"/>
      <c r="L175" s="205" t="n">
        <f aca="false">SUMIFS(報告入力!$BC$7:$BC$696,報告入力!$A$7:$A$696,$S$132,報告入力!$B$7:$B$696,$A175)</f>
        <v>10507</v>
      </c>
      <c r="M175" s="298" t="n">
        <f aca="false">SUM(K175:L175)</f>
        <v>10507</v>
      </c>
      <c r="N175" s="202"/>
      <c r="O175" s="205" t="n">
        <f aca="false">SUMIFS(報告入力!$BE$7:$BE$696,報告入力!$A$7:$A$696,$S$132,報告入力!$B$7:$B$696,$A175)</f>
        <v>3116</v>
      </c>
      <c r="P175" s="120" t="n">
        <f aca="false">SUM(N175:O175)</f>
        <v>3116</v>
      </c>
      <c r="Q175" s="110" t="str">
        <f aca="false">IF(P110=P175,"〇","×")</f>
        <v>〇</v>
      </c>
      <c r="R175" s="110" t="str">
        <f aca="false">IFERROR(INDEX(報告入力!$C$7:$C$696,MATCH($S$132&amp;"|"&amp;$A175,報告入力!$CG$7:$CG$696,0)),"")</f>
        <v>入金確認済</v>
      </c>
    </row>
    <row r="176" s="110" customFormat="true" ht="19.5" hidden="false" customHeight="true" outlineLevel="0" collapsed="false">
      <c r="A176" s="207" t="s">
        <v>196</v>
      </c>
      <c r="B176" s="117" t="n">
        <f aca="false">SUMIFS(報告入力!$AU$7:$AU$696,報告入力!$A$7:$A$696,$S$132,報告入力!$B$7:$B$696,$A176)</f>
        <v>127369830</v>
      </c>
      <c r="C176" s="113" t="n">
        <f aca="false">SUMIFS(報告入力!$AV$7:$AV$696,報告入力!$A$7:$A$696,$S$132,報告入力!$B$7:$B$696,$A176)</f>
        <v>10437000</v>
      </c>
      <c r="D176" s="111" t="n">
        <f aca="false">SUMIFS(報告入力!$AW$7:$AW$696,報告入力!$A$7:$A$696,$S$132,報告入力!$B$7:$B$696,$A176)</f>
        <v>185771486</v>
      </c>
      <c r="E176" s="114" t="n">
        <f aca="false">SUMIFS(報告入力!$AX$7:$AX$696,報告入力!$A$7:$A$696,$S$132,報告入力!$B$7:$B$696,$A176)</f>
        <v>10437000</v>
      </c>
      <c r="F176" s="113" t="n">
        <f aca="false">SUMIFS(報告入力!$AY$7:$AY$696,報告入力!$A$7:$A$696,$S$132,報告入力!$B$7:$B$696,$A176)</f>
        <v>126968</v>
      </c>
      <c r="G176" s="108" t="n">
        <f aca="false">SUM(B176:F176)</f>
        <v>334142284</v>
      </c>
      <c r="H176" s="114" t="n">
        <f aca="false">SUMIFS(報告入力!$AZ$7:$AZ$696,報告入力!$A$7:$A$696,$S$132,報告入力!$B$7:$B$696,$A176)</f>
        <v>94159487</v>
      </c>
      <c r="I176" s="205" t="n">
        <f aca="false">SUMIFS(報告入力!$BA$7:$BA$696,報告入力!$A$7:$A$696,$S$132,報告入力!$B$7:$B$696,$A176)</f>
        <v>94264854</v>
      </c>
      <c r="J176" s="108" t="n">
        <f aca="false">SUM(H176:I176)</f>
        <v>188424341</v>
      </c>
      <c r="K176" s="205" t="n">
        <f aca="false">SUMIFS(報告入力!$BB$7:$BB$696,報告入力!$A$7:$A$696,$S$132,報告入力!$B$7:$B$696,$A176)</f>
        <v>7969836</v>
      </c>
      <c r="L176" s="205" t="n">
        <f aca="false">SUMIFS(報告入力!$BC$7:$BC$696,報告入力!$A$7:$A$696,$S$132,報告入力!$B$7:$B$696,$A176)</f>
        <v>7975700</v>
      </c>
      <c r="M176" s="298" t="n">
        <f aca="false">SUM(K176:L176)</f>
        <v>15945536</v>
      </c>
      <c r="N176" s="205" t="n">
        <f aca="false">SUMIFS(報告入力!$BD$7:$BD$696,報告入力!$A$7:$A$696,$S$132,報告入力!$B$7:$B$696,$A176)</f>
        <v>2086588</v>
      </c>
      <c r="O176" s="205" t="n">
        <f aca="false">SUMIFS(報告入力!$BE$7:$BE$696,報告入力!$A$7:$A$696,$S$132,報告入力!$B$7:$B$696,$A176)</f>
        <v>2086587</v>
      </c>
      <c r="P176" s="120" t="n">
        <f aca="false">SUM(N176:O176)</f>
        <v>4173175</v>
      </c>
      <c r="Q176" s="110" t="str">
        <f aca="false">IF(P111=P176,"〇","×")</f>
        <v>×</v>
      </c>
      <c r="R176" s="110" t="str">
        <f aca="false">IFERROR(INDEX(報告入力!$C$7:$C$696,MATCH($S$132&amp;"|"&amp;$A176,報告入力!$CG$7:$CG$696,0)),"")</f>
        <v>入金確認済</v>
      </c>
    </row>
    <row r="177" s="137" customFormat="true" ht="21.75" hidden="false" customHeight="true" outlineLevel="0" collapsed="false">
      <c r="A177" s="189" t="s">
        <v>197</v>
      </c>
      <c r="B177" s="127"/>
      <c r="C177" s="131"/>
      <c r="D177" s="328" t="n">
        <f aca="false">SUMIFS(報告入力!$AW$7:$AW$696,報告入力!$A$7:$A$696,$S$132,報告入力!$B$7:$B$696,$A177)</f>
        <v>0</v>
      </c>
      <c r="E177" s="329" t="n">
        <f aca="false">SUMIFS(報告入力!$AX$7:$AX$696,報告入力!$A$7:$A$696,$S$132,報告入力!$B$7:$B$696,$A177)</f>
        <v>0</v>
      </c>
      <c r="F177" s="218" t="n">
        <f aca="false">SUMIFS(報告入力!$AY$7:$AY$696,報告入力!$A$7:$A$696,$S$132,報告入力!$B$7:$B$696,$A177)</f>
        <v>0</v>
      </c>
      <c r="G177" s="181" t="n">
        <f aca="false">SUM(B177:F177)</f>
        <v>0</v>
      </c>
      <c r="H177" s="118" t="n">
        <f aca="false">SUMIFS(報告入力!$AZ$7:$AZ$696,報告入力!$A$7:$A$696,$S$132,報告入力!$B$7:$B$696,$A177)</f>
        <v>104755</v>
      </c>
      <c r="I177" s="125" t="n">
        <f aca="false">SUMIFS(報告入力!$BA$7:$BA$696,報告入力!$A$7:$A$696,$S$132,報告入力!$B$7:$B$696,$A177)</f>
        <v>104857</v>
      </c>
      <c r="J177" s="116" t="n">
        <f aca="false">SUM(H177:I177)</f>
        <v>209612</v>
      </c>
      <c r="K177" s="117" t="n">
        <f aca="false">SUMIFS(報告入力!$BB$7:$BB$696,報告入力!$A$7:$A$696,$S$132,報告入力!$B$7:$B$696,$A177)</f>
        <v>11060</v>
      </c>
      <c r="L177" s="125" t="n">
        <f aca="false">SUMIFS(報告入力!$BC$7:$BC$696,報告入力!$A$7:$A$696,$S$132,報告入力!$B$7:$B$696,$A177)</f>
        <v>11060</v>
      </c>
      <c r="M177" s="116" t="n">
        <f aca="false">SUM(K177:L177)</f>
        <v>22120</v>
      </c>
      <c r="N177" s="117" t="n">
        <f aca="false">SUMIFS(報告入力!$BD$7:$BD$696,報告入力!$A$7:$A$696,$S$132,報告入力!$B$7:$B$696,$A177)</f>
        <v>2321</v>
      </c>
      <c r="O177" s="205" t="n">
        <f aca="false">SUMIFS(報告入力!$BE$7:$BE$696,報告入力!$A$7:$A$696,$S$132,報告入力!$B$7:$B$696,$A177)</f>
        <v>2322</v>
      </c>
      <c r="P177" s="116" t="n">
        <f aca="false">SUM(N177:O177)</f>
        <v>4643</v>
      </c>
      <c r="Q177" s="137" t="str">
        <f aca="false">IF(P112=P177,"〇","×")</f>
        <v>×</v>
      </c>
      <c r="R177" s="137" t="str">
        <f aca="false">IFERROR(INDEX(報告入力!$C$7:$C$696,MATCH($S$132&amp;"|"&amp;$A177,報告入力!$CG$7:$CG$696,0)),"")</f>
        <v>入金確認済</v>
      </c>
    </row>
    <row r="178" s="137" customFormat="true" ht="21.75" hidden="false" customHeight="true" outlineLevel="0" collapsed="false">
      <c r="A178" s="211" t="s">
        <v>216</v>
      </c>
      <c r="B178" s="311"/>
      <c r="C178" s="330"/>
      <c r="D178" s="311"/>
      <c r="E178" s="309"/>
      <c r="F178" s="331"/>
      <c r="G178" s="302" t="n">
        <f aca="false">SUM(B178:F178)</f>
        <v>0</v>
      </c>
      <c r="H178" s="309"/>
      <c r="I178" s="310"/>
      <c r="J178" s="305" t="n">
        <f aca="false">SUM(H178:I178)</f>
        <v>0</v>
      </c>
      <c r="K178" s="309"/>
      <c r="L178" s="310"/>
      <c r="M178" s="305" t="n">
        <f aca="false">SUM(K178:L178)</f>
        <v>0</v>
      </c>
      <c r="N178" s="309"/>
      <c r="O178" s="310"/>
      <c r="P178" s="305" t="n">
        <f aca="false">SUM(N178:O178)</f>
        <v>0</v>
      </c>
      <c r="Q178" s="137" t="str">
        <f aca="false">IF(P113=P178,"〇","×")</f>
        <v>〇</v>
      </c>
      <c r="R178" s="137" t="str">
        <f aca="false">IFERROR(INDEX(報告入力!$C$7:$C$696,MATCH($S$132&amp;"|"&amp;$A178,報告入力!$CG$7:$CG$696,0)),"")</f>
        <v>報告なし</v>
      </c>
    </row>
    <row r="179" s="137" customFormat="true" ht="21.75" hidden="false" customHeight="true" outlineLevel="0" collapsed="false">
      <c r="A179" s="211" t="s">
        <v>199</v>
      </c>
      <c r="B179" s="117" t="n">
        <f aca="false">SUMIFS(報告入力!$AU$7:$AU$696,報告入力!$A$7:$A$696,$S$132,報告入力!$B$7:$B$696,$A179)</f>
        <v>118950</v>
      </c>
      <c r="C179" s="122" t="n">
        <f aca="false">SUMIFS(報告入力!$AV$7:$AV$696,報告入力!$A$7:$A$696,$S$132,報告入力!$B$7:$B$696,$A179)</f>
        <v>9750</v>
      </c>
      <c r="D179" s="117" t="n">
        <f aca="false">SUMIFS(報告入力!$AW$7:$AW$696,報告入力!$A$7:$A$696,$S$132,報告入力!$B$7:$B$696,$A179)</f>
        <v>118950</v>
      </c>
      <c r="E179" s="118" t="n">
        <f aca="false">SUMIFS(報告入力!$AX$7:$AX$696,報告入力!$A$7:$A$696,$S$132,報告入力!$B$7:$B$696,$A179)</f>
        <v>9750</v>
      </c>
      <c r="F179" s="123" t="n">
        <f aca="false">SUMIFS(報告入力!$AY$7:$AY$696,報告入力!$A$7:$A$696,$S$132,報告入力!$B$7:$B$696,$A179)</f>
        <v>112</v>
      </c>
      <c r="G179" s="108" t="n">
        <f aca="false">SUM(B179:F179)</f>
        <v>257512</v>
      </c>
      <c r="H179" s="118" t="n">
        <f aca="false">SUMIFS(報告入力!$AZ$7:$AZ$696,報告入力!$A$7:$A$696,$S$132,報告入力!$B$7:$B$696,$A179)</f>
        <v>84531</v>
      </c>
      <c r="I179" s="205" t="n">
        <f aca="false">SUMIFS(報告入力!$BA$7:$BA$696,報告入力!$A$7:$A$696,$S$132,報告入力!$B$7:$B$696,$A179)</f>
        <v>84613</v>
      </c>
      <c r="J179" s="116" t="n">
        <f aca="false">SUM(H179:I179)</f>
        <v>169144</v>
      </c>
      <c r="K179" s="118" t="n">
        <f aca="false">SUMIFS(報告入力!$BB$7:$BB$696,報告入力!$A$7:$A$696,$S$132,報告入力!$B$7:$B$696,$A179)</f>
        <v>12877</v>
      </c>
      <c r="L179" s="205" t="n">
        <f aca="false">SUMIFS(報告入力!$BC$7:$BC$696,報告入力!$A$7:$A$696,$S$132,報告入力!$B$7:$B$696,$A179)</f>
        <v>12877</v>
      </c>
      <c r="M179" s="116" t="n">
        <f aca="false">SUM(K179:L179)</f>
        <v>25754</v>
      </c>
      <c r="N179" s="118" t="n">
        <f aca="false">SUMIFS(報告入力!$BD$7:$BD$696,報告入力!$A$7:$A$696,$S$132,報告入力!$B$7:$B$696,$A179)</f>
        <v>1874</v>
      </c>
      <c r="O179" s="205" t="n">
        <f aca="false">SUMIFS(報告入力!$BE$7:$BE$696,報告入力!$A$7:$A$696,$S$132,報告入力!$B$7:$B$696,$A179)</f>
        <v>1874</v>
      </c>
      <c r="P179" s="116" t="n">
        <f aca="false">SUM(N179:O179)</f>
        <v>3748</v>
      </c>
      <c r="Q179" s="137" t="str">
        <f aca="false">IF(P114=P179,"〇","×")</f>
        <v>×</v>
      </c>
      <c r="R179" s="137" t="str">
        <f aca="false">IFERROR(INDEX(報告入力!$C$7:$C$696,MATCH($S$132&amp;"|"&amp;$A179,報告入力!$CG$7:$CG$696,0)),"")</f>
        <v>入金確認済</v>
      </c>
    </row>
    <row r="180" s="137" customFormat="true" ht="21.75" hidden="false" customHeight="true" outlineLevel="0" collapsed="false">
      <c r="A180" s="149"/>
      <c r="B180" s="157"/>
      <c r="C180" s="156"/>
      <c r="D180" s="220"/>
      <c r="E180" s="158"/>
      <c r="F180" s="156"/>
      <c r="G180" s="221" t="n">
        <f aca="false">SUM(B180:F180)</f>
        <v>0</v>
      </c>
      <c r="H180" s="222"/>
      <c r="I180" s="158"/>
      <c r="J180" s="223" t="n">
        <f aca="false">SUM(H180:I180)</f>
        <v>0</v>
      </c>
      <c r="K180" s="220"/>
      <c r="L180" s="158"/>
      <c r="M180" s="223" t="n">
        <f aca="false">SUM(K180:L180)</f>
        <v>0</v>
      </c>
      <c r="N180" s="220"/>
      <c r="O180" s="158"/>
      <c r="P180" s="223" t="n">
        <f aca="false">SUM(N180:O180)</f>
        <v>0</v>
      </c>
      <c r="Q180" s="137" t="str">
        <f aca="false">IF(P115=P180,"〇","×")</f>
        <v>〇</v>
      </c>
    </row>
    <row r="181" s="137" customFormat="true" ht="0.2" hidden="false" customHeight="true" outlineLevel="0" collapsed="false">
      <c r="A181" s="149"/>
      <c r="B181" s="157"/>
      <c r="C181" s="156"/>
      <c r="D181" s="220"/>
      <c r="E181" s="158"/>
      <c r="F181" s="156"/>
      <c r="G181" s="221" t="n">
        <f aca="false">SUM(B181:F181)</f>
        <v>0</v>
      </c>
      <c r="H181" s="222"/>
      <c r="I181" s="158"/>
      <c r="J181" s="223" t="n">
        <f aca="false">SUM(H181:I181)</f>
        <v>0</v>
      </c>
      <c r="K181" s="220"/>
      <c r="L181" s="158"/>
      <c r="M181" s="223" t="n">
        <f aca="false">SUM(K181:L181)</f>
        <v>0</v>
      </c>
      <c r="N181" s="220"/>
      <c r="O181" s="158"/>
      <c r="P181" s="223" t="n">
        <f aca="false">SUM(N181:O181)</f>
        <v>0</v>
      </c>
      <c r="Q181" s="137" t="str">
        <f aca="false">IF(P116=P181,"〇","×")</f>
        <v>〇</v>
      </c>
    </row>
    <row r="182" s="137" customFormat="true" ht="0.2" hidden="false" customHeight="true" outlineLevel="0" collapsed="false">
      <c r="A182" s="162"/>
      <c r="B182" s="224"/>
      <c r="C182" s="225"/>
      <c r="D182" s="226"/>
      <c r="E182" s="227"/>
      <c r="F182" s="225"/>
      <c r="G182" s="228"/>
      <c r="H182" s="229"/>
      <c r="I182" s="229"/>
      <c r="J182" s="230"/>
      <c r="K182" s="231"/>
      <c r="L182" s="229"/>
      <c r="M182" s="230"/>
      <c r="N182" s="231"/>
      <c r="O182" s="229"/>
      <c r="P182" s="230"/>
      <c r="Q182" s="137" t="str">
        <f aca="false">IF(P117=P182,"〇","×")</f>
        <v>〇</v>
      </c>
    </row>
    <row r="183" s="110" customFormat="true" ht="20.1" hidden="false" customHeight="true" outlineLevel="0" collapsed="false">
      <c r="A183" s="171" t="s">
        <v>383</v>
      </c>
      <c r="B183" s="172" t="n">
        <f aca="false">SUM(B153:B182)</f>
        <v>130124895</v>
      </c>
      <c r="C183" s="175" t="n">
        <f aca="false">SUM(C153:C182)</f>
        <v>10662825</v>
      </c>
      <c r="D183" s="173" t="n">
        <f aca="false">SUM(D153:D182)</f>
        <v>194683349</v>
      </c>
      <c r="E183" s="174" t="n">
        <f aca="false">SUM(E153:E182)</f>
        <v>11166750</v>
      </c>
      <c r="F183" s="175" t="n">
        <f aca="false">SUM(F153:F182)</f>
        <v>135726</v>
      </c>
      <c r="G183" s="176" t="n">
        <f aca="false">SUM(B183:F183)</f>
        <v>346773545</v>
      </c>
      <c r="H183" s="173" t="n">
        <f aca="false">SUM(H153:H181)</f>
        <v>95863580</v>
      </c>
      <c r="I183" s="173" t="n">
        <f aca="false">SUM(I153:I181)</f>
        <v>99620967</v>
      </c>
      <c r="J183" s="175" t="n">
        <f aca="false">SUM(H183:I183)</f>
        <v>195484547</v>
      </c>
      <c r="K183" s="172" t="n">
        <f aca="false">SUM(K153:K181)</f>
        <v>8153669</v>
      </c>
      <c r="L183" s="173" t="n">
        <f aca="false">SUM(L153:L181)</f>
        <v>8586054</v>
      </c>
      <c r="M183" s="175" t="n">
        <f aca="false">SUM(K183:L183)</f>
        <v>16739723</v>
      </c>
      <c r="N183" s="172" t="n">
        <f aca="false">SUM(N153:N181)</f>
        <v>2124360</v>
      </c>
      <c r="O183" s="173" t="n">
        <f aca="false">SUM(O153:O181)</f>
        <v>2205427</v>
      </c>
      <c r="P183" s="175" t="n">
        <f aca="false">SUM(N183:O183)</f>
        <v>4329787</v>
      </c>
      <c r="Q183" s="110" t="str">
        <f aca="false">IF(P118=P183,"〇","×")</f>
        <v>×</v>
      </c>
    </row>
    <row r="184" s="137" customFormat="true" ht="0.2" hidden="false" customHeight="true" outlineLevel="0" collapsed="false">
      <c r="A184" s="149" t="s">
        <v>382</v>
      </c>
      <c r="B184" s="231"/>
      <c r="C184" s="232"/>
      <c r="D184" s="229"/>
      <c r="E184" s="233"/>
      <c r="F184" s="234"/>
      <c r="G184" s="235"/>
      <c r="H184" s="236"/>
      <c r="I184" s="236"/>
      <c r="J184" s="237"/>
      <c r="K184" s="238"/>
      <c r="L184" s="239"/>
      <c r="M184" s="240"/>
      <c r="N184" s="238"/>
      <c r="O184" s="239"/>
      <c r="P184" s="240"/>
      <c r="Q184" s="137" t="str">
        <f aca="false">IF(P119=P184,"〇","×")</f>
        <v>〇</v>
      </c>
    </row>
    <row r="185" s="137" customFormat="true" ht="0.2" hidden="false" customHeight="true" outlineLevel="0" collapsed="false">
      <c r="A185" s="241" t="s">
        <v>382</v>
      </c>
      <c r="B185" s="242"/>
      <c r="C185" s="243"/>
      <c r="D185" s="229"/>
      <c r="E185" s="233"/>
      <c r="F185" s="232"/>
      <c r="G185" s="228"/>
      <c r="H185" s="244"/>
      <c r="I185" s="244"/>
      <c r="J185" s="245"/>
      <c r="K185" s="246"/>
      <c r="L185" s="247"/>
      <c r="M185" s="248"/>
      <c r="N185" s="246"/>
      <c r="O185" s="247"/>
      <c r="P185" s="248"/>
      <c r="Q185" s="137" t="str">
        <f aca="false">IF(P120=P185,"〇","×")</f>
        <v>〇</v>
      </c>
    </row>
    <row r="186" s="110" customFormat="true" ht="20.1" hidden="false" customHeight="true" outlineLevel="0" collapsed="false">
      <c r="A186" s="189" t="s">
        <v>200</v>
      </c>
      <c r="B186" s="185" t="n">
        <f aca="false">SUMIFS(報告入力!$AU$7:$AU$696,報告入力!$A$7:$A$696,$S$132,報告入力!$B$7:$B$696,$A186)</f>
        <v>145485</v>
      </c>
      <c r="C186" s="199" t="n">
        <f aca="false">SUMIFS(報告入力!$AV$7:$AV$696,報告入力!$A$7:$A$696,$S$132,報告入力!$B$7:$B$696,$A186)</f>
        <v>11925</v>
      </c>
      <c r="D186" s="118" t="n">
        <f aca="false">SUMIFS(報告入力!$AW$7:$AW$696,報告入力!$A$7:$A$696,$S$132,報告入力!$B$7:$B$696,$A186)</f>
        <v>145485</v>
      </c>
      <c r="E186" s="205" t="n">
        <f aca="false">SUMIFS(報告入力!$AX$7:$AX$696,報告入力!$A$7:$A$696,$S$132,報告入力!$B$7:$B$696,$A186)</f>
        <v>11925</v>
      </c>
      <c r="F186" s="123" t="n">
        <f aca="false">SUMIFS(報告入力!$AY$7:$AY$696,報告入力!$A$7:$A$696,$S$132,報告入力!$B$7:$B$696,$A186)</f>
        <v>138</v>
      </c>
      <c r="G186" s="108" t="n">
        <f aca="false">SUM(B186:F186)</f>
        <v>314958</v>
      </c>
      <c r="H186" s="130"/>
      <c r="I186" s="130"/>
      <c r="J186" s="196" t="n">
        <f aca="false">SUM(H186:I186)</f>
        <v>0</v>
      </c>
      <c r="K186" s="130"/>
      <c r="L186" s="130"/>
      <c r="M186" s="196" t="n">
        <f aca="false">SUM(K186:L186)</f>
        <v>0</v>
      </c>
      <c r="N186" s="130"/>
      <c r="O186" s="130"/>
      <c r="P186" s="196" t="n">
        <f aca="false">SUM(N186:O186)</f>
        <v>0</v>
      </c>
      <c r="Q186" s="110" t="str">
        <f aca="false">IF(P121=P186,"〇","×")</f>
        <v>〇</v>
      </c>
      <c r="R186" s="110" t="str">
        <f aca="false">IFERROR(INDEX(報告入力!$C$7:$C$696,MATCH($S$132&amp;"|"&amp;$A186,報告入力!$CG$7:$CG$696,0)),"")</f>
        <v>入金確認済</v>
      </c>
    </row>
    <row r="187" s="110" customFormat="true" ht="21.75" hidden="false" customHeight="true" outlineLevel="0" collapsed="false">
      <c r="A187" s="189" t="s">
        <v>201</v>
      </c>
      <c r="B187" s="117" t="n">
        <f aca="false">SUMIFS(報告入力!$AU$7:$AU$696,報告入力!$A$7:$A$696,$S$132,報告入力!$B$7:$B$696,$A187)</f>
        <v>45750</v>
      </c>
      <c r="C187" s="122" t="n">
        <f aca="false">SUMIFS(報告入力!$AV$7:$AV$696,報告入力!$A$7:$A$696,$S$132,報告入力!$B$7:$B$696,$A187)</f>
        <v>3750</v>
      </c>
      <c r="D187" s="117" t="n">
        <f aca="false">SUMIFS(報告入力!$AW$7:$AW$696,報告入力!$A$7:$A$696,$S$132,報告入力!$B$7:$B$696,$A187)</f>
        <v>45750</v>
      </c>
      <c r="E187" s="118" t="n">
        <f aca="false">SUMIFS(報告入力!$AX$7:$AX$696,報告入力!$A$7:$A$696,$S$132,報告入力!$B$7:$B$696,$A187)</f>
        <v>3750</v>
      </c>
      <c r="F187" s="123" t="n">
        <f aca="false">SUMIFS(報告入力!$AY$7:$AY$696,報告入力!$A$7:$A$696,$S$132,報告入力!$B$7:$B$696,$A187)</f>
        <v>43</v>
      </c>
      <c r="G187" s="119" t="n">
        <f aca="false">SUM(B187:F187)</f>
        <v>99043</v>
      </c>
      <c r="H187" s="252"/>
      <c r="I187" s="252"/>
      <c r="J187" s="253" t="n">
        <f aca="false">SUM(H187:I187)</f>
        <v>0</v>
      </c>
      <c r="K187" s="252"/>
      <c r="L187" s="252"/>
      <c r="M187" s="253" t="n">
        <f aca="false">SUM(K187:L187)</f>
        <v>0</v>
      </c>
      <c r="N187" s="252"/>
      <c r="O187" s="252"/>
      <c r="P187" s="253" t="n">
        <f aca="false">SUM(N187:O187)</f>
        <v>0</v>
      </c>
      <c r="Q187" s="110" t="str">
        <f aca="false">IF(P122=P187,"〇","×")</f>
        <v>〇</v>
      </c>
      <c r="R187" s="110" t="str">
        <f aca="false">IFERROR(INDEX(報告入力!$C$7:$C$696,MATCH($S$132&amp;"|"&amp;$A187,報告入力!$CG$7:$CG$696,0)),"")</f>
        <v>入金確認済</v>
      </c>
    </row>
    <row r="188" s="110" customFormat="true" ht="19.5" hidden="false" customHeight="true" outlineLevel="0" collapsed="false">
      <c r="A188" s="171" t="s">
        <v>383</v>
      </c>
      <c r="B188" s="172" t="n">
        <f aca="false">SUM(B184:B187)</f>
        <v>191235</v>
      </c>
      <c r="C188" s="175" t="n">
        <f aca="false">SUM(C184:C187)</f>
        <v>15675</v>
      </c>
      <c r="D188" s="173" t="n">
        <f aca="false">SUM(D184:D187)</f>
        <v>191235</v>
      </c>
      <c r="E188" s="174" t="n">
        <f aca="false">SUM(E184:E187)</f>
        <v>15675</v>
      </c>
      <c r="F188" s="175" t="n">
        <f aca="false">SUM(F184:F187)</f>
        <v>181</v>
      </c>
      <c r="G188" s="176" t="n">
        <f aca="false">SUM(B188:F188)</f>
        <v>414001</v>
      </c>
      <c r="H188" s="256" t="n">
        <f aca="false">SUM(H184:H187)</f>
        <v>0</v>
      </c>
      <c r="I188" s="257" t="n">
        <f aca="false">SUM(I184:I187)</f>
        <v>0</v>
      </c>
      <c r="J188" s="258" t="n">
        <f aca="false">SUM(H188:I188)</f>
        <v>0</v>
      </c>
      <c r="K188" s="256" t="n">
        <f aca="false">SUM(K184:K187)</f>
        <v>0</v>
      </c>
      <c r="L188" s="257" t="n">
        <f aca="false">SUM(L184:L187)</f>
        <v>0</v>
      </c>
      <c r="M188" s="258" t="n">
        <f aca="false">SUM(K188:L188)</f>
        <v>0</v>
      </c>
      <c r="N188" s="256" t="n">
        <f aca="false">SUM(N184:N187)</f>
        <v>0</v>
      </c>
      <c r="O188" s="257" t="n">
        <f aca="false">SUM(O184:O187)</f>
        <v>0</v>
      </c>
      <c r="P188" s="258" t="n">
        <f aca="false">SUM(N188:O188)</f>
        <v>0</v>
      </c>
      <c r="Q188" s="110" t="str">
        <f aca="false">IF(P123=P188,"〇","×")</f>
        <v>〇</v>
      </c>
    </row>
    <row r="189" s="110" customFormat="true" ht="20.1" hidden="false" customHeight="true" outlineLevel="0" collapsed="false">
      <c r="A189" s="100" t="s">
        <v>202</v>
      </c>
      <c r="B189" s="117" t="n">
        <f aca="false">SUMIFS(報告入力!$AU$7:$AU$696,報告入力!$A$7:$A$696,$S$132,報告入力!$B$7:$B$696,$A189)</f>
        <v>29280</v>
      </c>
      <c r="C189" s="113" t="n">
        <f aca="false">SUMIFS(報告入力!$AV$7:$AV$696,報告入力!$A$7:$A$696,$S$132,報告入力!$B$7:$B$696,$A189)</f>
        <v>2400</v>
      </c>
      <c r="D189" s="111" t="n">
        <f aca="false">SUMIFS(報告入力!$AW$7:$AW$696,報告入力!$A$7:$A$696,$S$132,報告入力!$B$7:$B$696,$A189)</f>
        <v>29280</v>
      </c>
      <c r="E189" s="114" t="n">
        <f aca="false">SUMIFS(報告入力!$AX$7:$AX$696,報告入力!$A$7:$A$696,$S$132,報告入力!$B$7:$B$696,$A189)</f>
        <v>2400</v>
      </c>
      <c r="F189" s="193"/>
      <c r="G189" s="108" t="n">
        <f aca="false">SUM(B189:F189)</f>
        <v>63360</v>
      </c>
      <c r="H189" s="114" t="n">
        <f aca="false">SUMIFS(報告入力!$AZ$7:$AZ$696,報告入力!$A$7:$A$696,$S$132,報告入力!$B$7:$B$696,$A189)</f>
        <v>16595</v>
      </c>
      <c r="I189" s="115" t="n">
        <f aca="false">SUMIFS(報告入力!$BA$7:$BA$696,報告入力!$A$7:$A$696,$S$132,報告入力!$B$7:$B$696,$A189)</f>
        <v>17907</v>
      </c>
      <c r="J189" s="116" t="n">
        <f aca="false">SUM(H189:I189)</f>
        <v>34502</v>
      </c>
      <c r="K189" s="114" t="n">
        <f aca="false">SUMIFS(報告入力!$BB$7:$BB$696,報告入力!$A$7:$A$696,$S$132,報告入力!$B$7:$B$696,$A189)</f>
        <v>2528</v>
      </c>
      <c r="L189" s="115" t="n">
        <f aca="false">SUMIFS(報告入力!$BC$7:$BC$696,報告入力!$A$7:$A$696,$S$132,報告入力!$B$7:$B$696,$A189)</f>
        <v>2528</v>
      </c>
      <c r="M189" s="116" t="n">
        <f aca="false">SUM(K189:L189)</f>
        <v>5056</v>
      </c>
      <c r="N189" s="114" t="n">
        <f aca="false">SUMIFS(報告入力!$BD$7:$BD$696,報告入力!$A$7:$A$696,$S$132,報告入力!$B$7:$B$696,$A189)</f>
        <v>368</v>
      </c>
      <c r="O189" s="115" t="n">
        <f aca="false">SUMIFS(報告入力!$BE$7:$BE$696,報告入力!$A$7:$A$696,$S$132,報告入力!$B$7:$B$696,$A189)</f>
        <v>368</v>
      </c>
      <c r="P189" s="116" t="n">
        <f aca="false">SUM(N189:O189)</f>
        <v>736</v>
      </c>
      <c r="Q189" s="110" t="str">
        <f aca="false">IF(P124=P189,"〇","×")</f>
        <v>〇</v>
      </c>
      <c r="R189" s="110" t="str">
        <f aca="false">IFERROR(INDEX(報告入力!$C$7:$C$696,MATCH($S$132&amp;"|"&amp;$A189,報告入力!$CG$7:$CG$696,0)),"")</f>
        <v>入金確認済</v>
      </c>
    </row>
    <row r="190" s="110" customFormat="true" ht="20.1" hidden="false" customHeight="true" outlineLevel="0" collapsed="false">
      <c r="A190" s="100" t="s">
        <v>203</v>
      </c>
      <c r="B190" s="215" t="n">
        <f aca="false">SUMIFS(報告入力!$AU$7:$AU$696,報告入力!$A$7:$A$696,$S$132,報告入力!$B$7:$B$696,$A190)</f>
        <v>0</v>
      </c>
      <c r="C190" s="212" t="n">
        <f aca="false">SUMIFS(報告入力!$AV$7:$AV$696,報告入力!$A$7:$A$696,$S$132,報告入力!$B$7:$B$696,$A190)</f>
        <v>0</v>
      </c>
      <c r="D190" s="178" t="n">
        <f aca="false">SUMIFS(報告入力!$AW$7:$AW$696,報告入力!$A$7:$A$696,$S$132,報告入力!$B$7:$B$696,$A190)</f>
        <v>0</v>
      </c>
      <c r="E190" s="182" t="n">
        <f aca="false">SUMIFS(報告入力!$AX$7:$AX$696,報告入力!$A$7:$A$696,$S$132,報告入力!$B$7:$B$696,$A190)</f>
        <v>0</v>
      </c>
      <c r="F190" s="193"/>
      <c r="G190" s="181" t="n">
        <f aca="false">SUM(B190:F190)</f>
        <v>0</v>
      </c>
      <c r="H190" s="182" t="n">
        <f aca="false">SUMIFS(報告入力!$AZ$7:$AZ$696,報告入力!$A$7:$A$696,$S$132,報告入力!$B$7:$B$696,$A190)</f>
        <v>0</v>
      </c>
      <c r="I190" s="183" t="n">
        <f aca="false">SUMIFS(報告入力!$BA$7:$BA$696,報告入力!$A$7:$A$696,$S$132,報告入力!$B$7:$B$696,$A190)</f>
        <v>0</v>
      </c>
      <c r="J190" s="135" t="n">
        <f aca="false">SUM(H190:I190)</f>
        <v>0</v>
      </c>
      <c r="K190" s="262" t="n">
        <f aca="false">SUMIFS(報告入力!$BB$7:$BB$696,報告入力!$A$7:$A$696,$S$132,報告入力!$B$7:$B$696,$A190)</f>
        <v>0</v>
      </c>
      <c r="L190" s="183" t="n">
        <f aca="false">SUMIFS(報告入力!$BC$7:$BC$696,報告入力!$A$7:$A$696,$S$132,報告入力!$B$7:$B$696,$A190)</f>
        <v>0</v>
      </c>
      <c r="M190" s="135" t="n">
        <f aca="false">SUM(K190:L190)</f>
        <v>0</v>
      </c>
      <c r="N190" s="262" t="n">
        <f aca="false">SUMIFS(報告入力!$BD$7:$BD$696,報告入力!$A$7:$A$696,$S$132,報告入力!$B$7:$B$696,$A190)</f>
        <v>0</v>
      </c>
      <c r="O190" s="183" t="n">
        <f aca="false">SUMIFS(報告入力!$BE$7:$BE$696,報告入力!$A$7:$A$696,$S$132,報告入力!$B$7:$B$696,$A190)</f>
        <v>0</v>
      </c>
      <c r="P190" s="135" t="n">
        <f aca="false">SUM(N190:O190)</f>
        <v>0</v>
      </c>
      <c r="Q190" s="110" t="str">
        <f aca="false">IF(P125=P190,"〇","×")</f>
        <v>〇</v>
      </c>
      <c r="R190" s="110" t="str">
        <f aca="false">IFERROR(INDEX(報告入力!$C$7:$C$696,MATCH($S$132&amp;"|"&amp;$A190,報告入力!$CG$7:$CG$696,0)),"")</f>
        <v>未受領</v>
      </c>
    </row>
    <row r="191" s="110" customFormat="true" ht="20.1" hidden="false" customHeight="true" outlineLevel="0" collapsed="false">
      <c r="A191" s="192" t="s">
        <v>204</v>
      </c>
      <c r="B191" s="111" t="n">
        <f aca="false">SUMIFS(報告入力!$AU$7:$AU$696,報告入力!$A$7:$A$696,$S$132,報告入力!$B$7:$B$696,$A191)</f>
        <v>27450</v>
      </c>
      <c r="C191" s="112" t="n">
        <f aca="false">SUMIFS(報告入力!$AV$7:$AV$696,報告入力!$A$7:$A$696,$S$132,報告入力!$B$7:$B$696,$A191)</f>
        <v>2250</v>
      </c>
      <c r="D191" s="111" t="n">
        <f aca="false">SUMIFS(報告入力!$AW$7:$AW$696,報告入力!$A$7:$A$696,$S$132,報告入力!$B$7:$B$696,$A191)</f>
        <v>27450</v>
      </c>
      <c r="E191" s="259" t="n">
        <f aca="false">SUMIFS(報告入力!$AX$7:$AX$696,報告入力!$A$7:$A$696,$S$132,報告入力!$B$7:$B$696,$A191)</f>
        <v>2250</v>
      </c>
      <c r="F191" s="193"/>
      <c r="G191" s="108" t="n">
        <f aca="false">SUM(B191:F191)</f>
        <v>59400</v>
      </c>
      <c r="H191" s="114" t="n">
        <f aca="false">SUMIFS(報告入力!$AZ$7:$AZ$696,報告入力!$A$7:$A$696,$S$132,報告入力!$B$7:$B$696,$A191)</f>
        <v>31116</v>
      </c>
      <c r="I191" s="115" t="n">
        <f aca="false">SUMIFS(報告入力!$BA$7:$BA$696,報告入力!$A$7:$A$696,$S$132,報告入力!$B$7:$B$696,$A191)</f>
        <v>31146</v>
      </c>
      <c r="J191" s="116" t="n">
        <f aca="false">SUM(H191:I191)</f>
        <v>62262</v>
      </c>
      <c r="K191" s="109" t="n">
        <f aca="false">SUMIFS(報告入力!$BB$7:$BB$696,報告入力!$A$7:$A$696,$S$132,報告入力!$B$7:$B$696,$A191)</f>
        <v>2370</v>
      </c>
      <c r="L191" s="115" t="n">
        <f aca="false">SUMIFS(報告入力!$BC$7:$BC$696,報告入力!$A$7:$A$696,$S$132,報告入力!$B$7:$B$696,$A191)</f>
        <v>2370</v>
      </c>
      <c r="M191" s="116" t="n">
        <f aca="false">SUM(K191:L191)</f>
        <v>4740</v>
      </c>
      <c r="N191" s="109" t="n">
        <f aca="false">SUMIFS(報告入力!$BD$7:$BD$696,報告入力!$A$7:$A$696,$S$132,報告入力!$B$7:$B$696,$A191)</f>
        <v>690</v>
      </c>
      <c r="O191" s="115" t="n">
        <f aca="false">SUMIFS(報告入力!$BE$7:$BE$696,報告入力!$A$7:$A$696,$S$132,報告入力!$B$7:$B$696,$A191)</f>
        <v>690</v>
      </c>
      <c r="P191" s="116" t="n">
        <f aca="false">SUM(N191:O191)</f>
        <v>1380</v>
      </c>
      <c r="Q191" s="110" t="str">
        <f aca="false">IF(P126=P191,"〇","×")</f>
        <v>〇</v>
      </c>
      <c r="R191" s="110" t="str">
        <f aca="false">IFERROR(INDEX(報告入力!$C$7:$C$696,MATCH($S$132&amp;"|"&amp;$A191,報告入力!$CG$7:$CG$696,0)),"")</f>
        <v>入金確認済</v>
      </c>
    </row>
    <row r="192" s="110" customFormat="true" ht="20.1" hidden="false" customHeight="true" outlineLevel="0" collapsed="false">
      <c r="A192" s="192" t="s">
        <v>205</v>
      </c>
      <c r="B192" s="215"/>
      <c r="C192" s="212"/>
      <c r="D192" s="178"/>
      <c r="E192" s="182"/>
      <c r="F192" s="312"/>
      <c r="G192" s="181" t="n">
        <f aca="false">SUM(B192:F192)</f>
        <v>0</v>
      </c>
      <c r="H192" s="332"/>
      <c r="I192" s="333"/>
      <c r="J192" s="284" t="n">
        <f aca="false">SUM(H192:I192)</f>
        <v>0</v>
      </c>
      <c r="K192" s="334"/>
      <c r="L192" s="333"/>
      <c r="M192" s="284" t="n">
        <f aca="false">SUM(K192:L192)</f>
        <v>0</v>
      </c>
      <c r="N192" s="334"/>
      <c r="O192" s="333"/>
      <c r="P192" s="284" t="n">
        <f aca="false">SUM(N192:O192)</f>
        <v>0</v>
      </c>
      <c r="Q192" s="110" t="str">
        <f aca="false">IF(P127=P192,"〇","×")</f>
        <v>〇</v>
      </c>
      <c r="R192" s="110" t="str">
        <f aca="false">IFERROR(INDEX(報告入力!$C$7:$C$696,MATCH($S$132&amp;"|"&amp;$A192,報告入力!$CG$7:$CG$696,0)),"")</f>
        <v>報告なし</v>
      </c>
    </row>
    <row r="193" s="110" customFormat="true" ht="20.1" hidden="false" customHeight="true" outlineLevel="0" collapsed="false">
      <c r="A193" s="171" t="s">
        <v>383</v>
      </c>
      <c r="B193" s="172" t="n">
        <f aca="false">SUM(B189:B192)</f>
        <v>56730</v>
      </c>
      <c r="C193" s="176" t="n">
        <f aca="false">SUM(C189:C192)</f>
        <v>4650</v>
      </c>
      <c r="D193" s="172" t="n">
        <f aca="false">SUM(D189:D192)</f>
        <v>56730</v>
      </c>
      <c r="E193" s="174" t="n">
        <f aca="false">SUM(E189:E192)</f>
        <v>4650</v>
      </c>
      <c r="F193" s="175" t="n">
        <f aca="false">SUM(F189:F192)</f>
        <v>0</v>
      </c>
      <c r="G193" s="176" t="n">
        <f aca="false">SUM(B193:F193)</f>
        <v>122760</v>
      </c>
      <c r="H193" s="276" t="n">
        <f aca="false">SUM(H189:H192)</f>
        <v>47711</v>
      </c>
      <c r="I193" s="174" t="n">
        <f aca="false">SUM(I189:I192)</f>
        <v>49053</v>
      </c>
      <c r="J193" s="175" t="n">
        <f aca="false">SUM(H193:I193)</f>
        <v>96764</v>
      </c>
      <c r="K193" s="172" t="n">
        <f aca="false">SUM(K189:K192)</f>
        <v>4898</v>
      </c>
      <c r="L193" s="276" t="n">
        <f aca="false">SUM(L189:L192)</f>
        <v>4898</v>
      </c>
      <c r="M193" s="175" t="n">
        <f aca="false">SUM(K193:L193)</f>
        <v>9796</v>
      </c>
      <c r="N193" s="172" t="n">
        <f aca="false">SUM(N189:N192)</f>
        <v>1058</v>
      </c>
      <c r="O193" s="276" t="n">
        <f aca="false">SUM(O189:O192)</f>
        <v>1058</v>
      </c>
      <c r="P193" s="175" t="n">
        <f aca="false">SUM(N193:O193)</f>
        <v>2116</v>
      </c>
      <c r="Q193" s="110" t="str">
        <f aca="false">IF(P128=P193,"〇","×")</f>
        <v>〇</v>
      </c>
    </row>
    <row r="194" s="110" customFormat="true" ht="20.1" hidden="false" customHeight="true" outlineLevel="0" collapsed="false">
      <c r="A194" s="277" t="s">
        <v>206</v>
      </c>
      <c r="B194" s="278"/>
      <c r="C194" s="279"/>
      <c r="D194" s="280"/>
      <c r="E194" s="281"/>
      <c r="F194" s="267"/>
      <c r="G194" s="268"/>
      <c r="H194" s="282" t="n">
        <f aca="false">SUMIFS(報告入力!$AZ$7:$AZ$696,報告入力!$A$7:$A$696,$S$132,報告入力!$B$7:$B$696,$A194)</f>
        <v>2880046</v>
      </c>
      <c r="I194" s="314"/>
      <c r="J194" s="284" t="n">
        <f aca="false">SUM(H194:I194)</f>
        <v>2880046</v>
      </c>
      <c r="K194" s="282" t="n">
        <f aca="false">SUMIFS(報告入力!$BB$7:$BB$696,報告入力!$A$7:$A$696,$S$132,報告入力!$B$7:$B$696,$A194)</f>
        <v>227024</v>
      </c>
      <c r="L194" s="314"/>
      <c r="M194" s="284" t="n">
        <f aca="false">SUM(K194:L194)</f>
        <v>227024</v>
      </c>
      <c r="N194" s="282" t="n">
        <f aca="false">SUMIFS(報告入力!$BD$7:$BD$696,報告入力!$A$7:$A$696,$S$132,報告入力!$B$7:$B$696,$A194)</f>
        <v>63859</v>
      </c>
      <c r="O194" s="314"/>
      <c r="P194" s="284" t="n">
        <f aca="false">SUM(N194:O194)</f>
        <v>63859</v>
      </c>
      <c r="Q194" s="110" t="str">
        <f aca="false">IF(P129=P194,"〇","×")</f>
        <v>×</v>
      </c>
      <c r="R194" s="110" t="str">
        <f aca="false">IFERROR(INDEX(報告入力!$C$7:$C$696,MATCH($S$132&amp;"|"&amp;$A194,報告入力!$CG$7:$CG$696,0)),"")</f>
        <v>受領済</v>
      </c>
    </row>
    <row r="195" s="110" customFormat="true" ht="30" hidden="false" customHeight="true" outlineLevel="0" collapsed="false">
      <c r="A195" s="285" t="s">
        <v>385</v>
      </c>
      <c r="B195" s="286" t="n">
        <f aca="false">SUM(+B152+B183+B188+B193+B194)</f>
        <v>490561786</v>
      </c>
      <c r="C195" s="287" t="n">
        <f aca="false">SUM(+C152+C183+C188+C193+C194)</f>
        <v>40212577</v>
      </c>
      <c r="D195" s="286" t="n">
        <f aca="false">SUM(+D152+D183+D188+D193+D194)</f>
        <v>712084289</v>
      </c>
      <c r="E195" s="288" t="n">
        <f aca="false">SUM(+E152+E183+E188+E193+E194)</f>
        <v>40180808</v>
      </c>
      <c r="F195" s="287" t="n">
        <f aca="false">SUM(+F152+F183+F188+F193+F194)</f>
        <v>482919</v>
      </c>
      <c r="G195" s="289" t="n">
        <f aca="false">SUM(B195:F195)</f>
        <v>1283522379</v>
      </c>
      <c r="H195" s="290" t="n">
        <f aca="false">SUM(+H152+H183+H188+H193+H194)</f>
        <v>352789873</v>
      </c>
      <c r="I195" s="290" t="n">
        <f aca="false">SUM(+I152+I183+I188+I193+I194)</f>
        <v>354141739</v>
      </c>
      <c r="J195" s="291" t="n">
        <f aca="false">SUM(H195:I195)</f>
        <v>706931612</v>
      </c>
      <c r="K195" s="292" t="n">
        <f aca="false">SUM(+K152+K183+K188+K193+K194)</f>
        <v>31644321</v>
      </c>
      <c r="L195" s="290" t="n">
        <f aca="false">SUM(+L152+L183+L188+L193+L194)</f>
        <v>31407862</v>
      </c>
      <c r="M195" s="291" t="n">
        <f aca="false">SUM(K195:L195)</f>
        <v>63052183</v>
      </c>
      <c r="N195" s="292" t="n">
        <f aca="false">SUM(+N152+N183+N188+N193+N194)</f>
        <v>7818532</v>
      </c>
      <c r="O195" s="290" t="n">
        <f aca="false">SUM(+O152+O183+O188+O193+O194)</f>
        <v>7752816</v>
      </c>
      <c r="P195" s="291" t="n">
        <f aca="false">SUM(N195:O195)</f>
        <v>15571348</v>
      </c>
      <c r="Q195" s="110" t="str">
        <f aca="false">IF(P130=P195,"〇","×")</f>
        <v>×</v>
      </c>
    </row>
    <row r="196" s="316" customFormat="true" ht="39" hidden="false" customHeight="true" outlineLevel="0" collapsed="false">
      <c r="A196" s="315"/>
      <c r="G196" s="84"/>
      <c r="Q196" s="316" t="str">
        <f aca="false">IF(P131=P196,"〇","×")</f>
        <v>〇</v>
      </c>
    </row>
    <row r="197" s="297" customFormat="true" ht="30" hidden="false" customHeight="true" outlineLevel="0" collapsed="false">
      <c r="A197" s="335"/>
      <c r="B197" s="336" t="n">
        <f aca="false">B132</f>
        <v>46203</v>
      </c>
      <c r="C197" s="336"/>
      <c r="D197" s="336"/>
      <c r="E197" s="336"/>
      <c r="F197" s="336"/>
      <c r="G197" s="336"/>
      <c r="H197" s="336" t="n">
        <f aca="false">B197</f>
        <v>46203</v>
      </c>
      <c r="I197" s="336"/>
      <c r="J197" s="336"/>
      <c r="K197" s="336" t="n">
        <f aca="false">H197</f>
        <v>46203</v>
      </c>
      <c r="L197" s="336"/>
      <c r="M197" s="336"/>
      <c r="N197" s="336" t="n">
        <f aca="false">K197</f>
        <v>46203</v>
      </c>
      <c r="O197" s="336"/>
      <c r="P197" s="336"/>
      <c r="Q197" s="297" t="str">
        <f aca="false">IF(P132=P197,"〇","×")</f>
        <v>〇</v>
      </c>
      <c r="S197" s="297" t="s">
        <v>389</v>
      </c>
    </row>
    <row r="198" customFormat="false" ht="22.5" hidden="false" customHeight="true" outlineLevel="0" collapsed="false">
      <c r="A198" s="89" t="s">
        <v>369</v>
      </c>
      <c r="B198" s="89" t="s">
        <v>370</v>
      </c>
      <c r="C198" s="89"/>
      <c r="D198" s="89"/>
      <c r="E198" s="89"/>
      <c r="F198" s="89"/>
      <c r="G198" s="89"/>
      <c r="H198" s="91" t="s">
        <v>371</v>
      </c>
      <c r="I198" s="91"/>
      <c r="J198" s="91"/>
      <c r="K198" s="91" t="s">
        <v>372</v>
      </c>
      <c r="L198" s="91"/>
      <c r="M198" s="91"/>
      <c r="N198" s="91" t="str">
        <f aca="false">$N$3</f>
        <v>子ども・子育て支援納付金</v>
      </c>
      <c r="O198" s="91"/>
      <c r="P198" s="91"/>
      <c r="Q198" s="80" t="str">
        <f aca="false">IF(P133=P198,"〇","×")</f>
        <v>〇</v>
      </c>
    </row>
    <row r="199" customFormat="false" ht="22.5" hidden="false" customHeight="true" outlineLevel="0" collapsed="false">
      <c r="A199" s="89"/>
      <c r="B199" s="92" t="s">
        <v>373</v>
      </c>
      <c r="C199" s="92"/>
      <c r="D199" s="92" t="s">
        <v>374</v>
      </c>
      <c r="E199" s="92"/>
      <c r="F199" s="92"/>
      <c r="G199" s="92" t="s">
        <v>375</v>
      </c>
      <c r="H199" s="96" t="s">
        <v>376</v>
      </c>
      <c r="I199" s="94" t="s">
        <v>377</v>
      </c>
      <c r="J199" s="95" t="s">
        <v>375</v>
      </c>
      <c r="K199" s="96" t="s">
        <v>376</v>
      </c>
      <c r="L199" s="94" t="s">
        <v>377</v>
      </c>
      <c r="M199" s="95" t="s">
        <v>375</v>
      </c>
      <c r="N199" s="96" t="s">
        <v>376</v>
      </c>
      <c r="O199" s="94" t="s">
        <v>377</v>
      </c>
      <c r="P199" s="95" t="s">
        <v>375</v>
      </c>
      <c r="Q199" s="80" t="str">
        <f aca="false">IF(P134=P199,"〇","×")</f>
        <v>〇</v>
      </c>
    </row>
    <row r="200" customFormat="false" ht="22.5" hidden="false" customHeight="true" outlineLevel="0" collapsed="false">
      <c r="A200" s="89"/>
      <c r="B200" s="97" t="s">
        <v>378</v>
      </c>
      <c r="C200" s="98" t="s">
        <v>379</v>
      </c>
      <c r="D200" s="99" t="s">
        <v>378</v>
      </c>
      <c r="E200" s="99" t="s">
        <v>380</v>
      </c>
      <c r="F200" s="98" t="s">
        <v>85</v>
      </c>
      <c r="G200" s="92"/>
      <c r="H200" s="96"/>
      <c r="I200" s="94"/>
      <c r="J200" s="95"/>
      <c r="K200" s="96"/>
      <c r="L200" s="94"/>
      <c r="M200" s="95"/>
      <c r="N200" s="96"/>
      <c r="O200" s="94"/>
      <c r="P200" s="95"/>
      <c r="Q200" s="80" t="str">
        <f aca="false">IF(P135=P200,"〇","×")</f>
        <v>〇</v>
      </c>
    </row>
    <row r="201" s="110" customFormat="true" ht="20.1" hidden="false" customHeight="true" outlineLevel="0" collapsed="false">
      <c r="A201" s="100" t="s">
        <v>158</v>
      </c>
      <c r="B201" s="117" t="n">
        <f aca="false">SUMIFS(報告入力!$AU$7:$AU$696,報告入力!$A$7:$A$696,$S$197,報告入力!$B$7:$B$696,$A201)</f>
        <v>455608135</v>
      </c>
      <c r="C201" s="113" t="n">
        <f aca="false">SUMIFS(報告入力!$AV$7:$AV$696,報告入力!$A$7:$A$696,$S$197,報告入力!$B$7:$B$696,$A201)</f>
        <v>37354825</v>
      </c>
      <c r="D201" s="111" t="n">
        <f aca="false">SUMIFS(報告入力!$AW$7:$AW$696,報告入力!$A$7:$A$696,$S$197,報告入力!$B$7:$B$696,$A201)</f>
        <v>647860052</v>
      </c>
      <c r="E201" s="114" t="n">
        <f aca="false">SUMIFS(報告入力!$AX$7:$AX$696,報告入力!$A$7:$A$696,$S$197,報告入力!$B$7:$B$696,$A201)</f>
        <v>36359511</v>
      </c>
      <c r="F201" s="113" t="n">
        <f aca="false">SUMIFS(報告入力!$AY$7:$AY$696,報告入力!$A$7:$A$696,$S$197,報告入力!$B$7:$B$696,$A201)</f>
        <v>428110</v>
      </c>
      <c r="G201" s="108" t="n">
        <f aca="false">SUM(B201:F201)</f>
        <v>1177610633</v>
      </c>
      <c r="H201" s="114" t="n">
        <f aca="false">SUMIFS(報告入力!$AZ$7:$AZ$696,報告入力!$A$7:$A$696,$S$197,報告入力!$B$7:$B$696,$A201)</f>
        <v>329922975</v>
      </c>
      <c r="I201" s="205" t="n">
        <f aca="false">SUMIFS(報告入力!$BA$7:$BA$696,報告入力!$A$7:$A$696,$S$197,報告入力!$B$7:$B$696,$A201)</f>
        <v>328612946</v>
      </c>
      <c r="J201" s="108" t="n">
        <f aca="false">SUM(H201:I201)</f>
        <v>658535921</v>
      </c>
      <c r="K201" s="205" t="n">
        <f aca="false">SUMIFS(報告入力!$BB$7:$BB$696,報告入力!$A$7:$A$696,$S$197,報告入力!$B$7:$B$696,$A201)</f>
        <v>31461358</v>
      </c>
      <c r="L201" s="205" t="n">
        <f aca="false">SUMIFS(報告入力!$BC$7:$BC$696,報告入力!$A$7:$A$696,$S$197,報告入力!$B$7:$B$696,$A201)</f>
        <v>30627469</v>
      </c>
      <c r="M201" s="108" t="n">
        <f aca="false">SUM(K201:L201)</f>
        <v>62088827</v>
      </c>
      <c r="N201" s="205" t="n">
        <f aca="false">SUMIFS(報告入力!$BD$7:$BD$696,報告入力!$A$7:$A$696,$S$197,報告入力!$B$7:$B$696,$A201)</f>
        <v>7311253</v>
      </c>
      <c r="O201" s="205" t="n">
        <f aca="false">SUMIFS(報告入力!$BE$7:$BE$696,報告入力!$A$7:$A$696,$S$197,報告入力!$B$7:$B$696,$A201)</f>
        <v>7161439</v>
      </c>
      <c r="P201" s="108" t="n">
        <f aca="false">SUM(N201:O201)</f>
        <v>14472692</v>
      </c>
      <c r="Q201" s="110" t="str">
        <f aca="false">IF(P136=P201,"〇","×")</f>
        <v>×</v>
      </c>
      <c r="R201" s="110" t="str">
        <f aca="false">IFERROR(INDEX(報告入力!$C$7:$C$696,MATCH($S$197&amp;"|"&amp;$A201,報告入力!$CG$7:$CG$696,0)),"")</f>
        <v>入金確認済</v>
      </c>
    </row>
    <row r="202" s="110" customFormat="true" ht="20.1" hidden="false" customHeight="true" outlineLevel="0" collapsed="false">
      <c r="A202" s="100" t="s">
        <v>161</v>
      </c>
      <c r="B202" s="117" t="n">
        <f aca="false">SUMIFS(報告入力!$AU$7:$AU$696,報告入力!$A$7:$A$696,$S$197,報告入力!$B$7:$B$696,$A202)</f>
        <v>30049885</v>
      </c>
      <c r="C202" s="113" t="n">
        <f aca="false">SUMIFS(報告入力!$AV$7:$AV$696,報告入力!$A$7:$A$696,$S$197,報告入力!$B$7:$B$696,$A202)</f>
        <v>2463025</v>
      </c>
      <c r="D202" s="111" t="n">
        <f aca="false">SUMIFS(報告入力!$AW$7:$AW$696,報告入力!$A$7:$A$696,$S$197,報告入力!$B$7:$B$696,$A202)</f>
        <v>43316678</v>
      </c>
      <c r="E202" s="114" t="n">
        <f aca="false">SUMIFS(報告入力!$AX$7:$AX$696,報告入力!$A$7:$A$696,$S$197,報告入力!$B$7:$B$696,$A202)</f>
        <v>2463110</v>
      </c>
      <c r="F202" s="113" t="n">
        <f aca="false">SUMIFS(報告入力!$AY$7:$AY$696,報告入力!$A$7:$A$696,$S$197,報告入力!$B$7:$B$696,$A202)</f>
        <v>28886</v>
      </c>
      <c r="G202" s="108" t="n">
        <f aca="false">SUM(B202:F202)</f>
        <v>78321584</v>
      </c>
      <c r="H202" s="114" t="n">
        <f aca="false">SUMIFS(報告入力!$AZ$7:$AZ$696,報告入力!$A$7:$A$696,$S$197,報告入力!$B$7:$B$696,$A202)</f>
        <v>17587186</v>
      </c>
      <c r="I202" s="205" t="n">
        <f aca="false">SUMIFS(報告入力!$BA$7:$BA$696,報告入力!$A$7:$A$696,$S$197,報告入力!$B$7:$B$696,$A202)</f>
        <v>17885974</v>
      </c>
      <c r="J202" s="108" t="n">
        <f aca="false">SUM(H202:I202)</f>
        <v>35473160</v>
      </c>
      <c r="K202" s="205" t="n">
        <f aca="false">SUMIFS(報告入力!$BB$7:$BB$696,報告入力!$A$7:$A$696,$S$197,報告入力!$B$7:$B$696,$A202)</f>
        <v>1915098</v>
      </c>
      <c r="L202" s="205" t="n">
        <f aca="false">SUMIFS(報告入力!$BC$7:$BC$696,報告入力!$A$7:$A$696,$S$197,報告入力!$B$7:$B$696,$A202)</f>
        <v>1915206</v>
      </c>
      <c r="M202" s="108" t="n">
        <f aca="false">SUM(K202:L202)</f>
        <v>3830304</v>
      </c>
      <c r="N202" s="205" t="n">
        <f aca="false">SUMIFS(報告入力!$BD$7:$BD$696,報告入力!$A$7:$A$696,$S$197,報告入力!$B$7:$B$696,$A202)</f>
        <v>389813</v>
      </c>
      <c r="O202" s="205" t="n">
        <f aca="false">SUMIFS(報告入力!$BE$7:$BE$696,報告入力!$A$7:$A$696,$S$197,報告入力!$B$7:$B$696,$A202)</f>
        <v>389997</v>
      </c>
      <c r="P202" s="108" t="n">
        <f aca="false">SUM(N202:O202)</f>
        <v>779810</v>
      </c>
      <c r="Q202" s="110" t="str">
        <f aca="false">IF(P137=P202,"〇","×")</f>
        <v>×</v>
      </c>
      <c r="R202" s="110" t="str">
        <f aca="false">IFERROR(INDEX(報告入力!$C$7:$C$696,MATCH($S$197&amp;"|"&amp;$A202,報告入力!$CG$7:$CG$696,0)),"")</f>
        <v>入金確認済</v>
      </c>
    </row>
    <row r="203" s="110" customFormat="true" ht="20.1" hidden="false" customHeight="true" outlineLevel="0" collapsed="false">
      <c r="A203" s="100" t="s">
        <v>162</v>
      </c>
      <c r="B203" s="117" t="n">
        <f aca="false">SUMIFS(報告入力!$AU$7:$AU$696,報告入力!$A$7:$A$696,$S$197,報告入力!$B$7:$B$696,$A203)</f>
        <v>99026244</v>
      </c>
      <c r="C203" s="113" t="n">
        <f aca="false">SUMIFS(報告入力!$AV$7:$AV$696,報告入力!$A$7:$A$696,$S$197,報告入力!$B$7:$B$696,$A203)</f>
        <v>8116572</v>
      </c>
      <c r="D203" s="111" t="n">
        <f aca="false">SUMIFS(報告入力!$AW$7:$AW$696,報告入力!$A$7:$A$696,$S$197,報告入力!$B$7:$B$696,$A203)</f>
        <v>142153458</v>
      </c>
      <c r="E203" s="114" t="n">
        <f aca="false">SUMIFS(報告入力!$AX$7:$AX$696,報告入力!$A$7:$A$696,$S$197,報告入力!$B$7:$B$696,$A203)</f>
        <v>8083623</v>
      </c>
      <c r="F203" s="113" t="n">
        <f aca="false">SUMIFS(報告入力!$AY$7:$AY$696,報告入力!$A$7:$A$696,$S$197,報告入力!$B$7:$B$696,$A203)</f>
        <v>94244</v>
      </c>
      <c r="G203" s="108" t="n">
        <f aca="false">SUM(B203:F203)</f>
        <v>257474141</v>
      </c>
      <c r="H203" s="114" t="n">
        <f aca="false">SUMIFS(報告入力!$AZ$7:$AZ$696,報告入力!$A$7:$A$696,$S$197,報告入力!$B$7:$B$696,$A203)</f>
        <v>57373599</v>
      </c>
      <c r="I203" s="205" t="n">
        <f aca="false">SUMIFS(報告入力!$BA$7:$BA$696,報告入力!$A$7:$A$696,$S$197,報告入力!$B$7:$B$696,$A203)</f>
        <v>58113751</v>
      </c>
      <c r="J203" s="108" t="n">
        <f aca="false">SUM(H203:I203)</f>
        <v>115487350</v>
      </c>
      <c r="K203" s="205" t="n">
        <f aca="false">SUMIFS(報告入力!$BB$7:$BB$696,報告入力!$A$7:$A$696,$S$197,報告入力!$B$7:$B$696,$A203)</f>
        <v>3928389</v>
      </c>
      <c r="L203" s="205" t="n">
        <f aca="false">SUMIFS(報告入力!$BC$7:$BC$696,報告入力!$A$7:$A$696,$S$197,報告入力!$B$7:$B$696,$A203)</f>
        <v>3900877</v>
      </c>
      <c r="M203" s="108" t="n">
        <f aca="false">SUM(K203:L203)</f>
        <v>7829266</v>
      </c>
      <c r="N203" s="205" t="n">
        <f aca="false">SUMIFS(報告入力!$BD$7:$BD$696,報告入力!$A$7:$A$696,$S$197,報告入力!$B$7:$B$696,$A203)</f>
        <v>1271613</v>
      </c>
      <c r="O203" s="205" t="n">
        <f aca="false">SUMIFS(報告入力!$BE$7:$BE$696,報告入力!$A$7:$A$696,$S$197,報告入力!$B$7:$B$696,$A203)</f>
        <v>1267175</v>
      </c>
      <c r="P203" s="108" t="n">
        <f aca="false">SUM(N203:O203)</f>
        <v>2538788</v>
      </c>
      <c r="Q203" s="110" t="str">
        <f aca="false">IF(P138=P203,"〇","×")</f>
        <v>×</v>
      </c>
      <c r="R203" s="110" t="str">
        <f aca="false">IFERROR(INDEX(報告入力!$C$7:$C$696,MATCH($S$197&amp;"|"&amp;$A203,報告入力!$CG$7:$CG$696,0)),"")</f>
        <v>入金確認済</v>
      </c>
    </row>
    <row r="204" s="110" customFormat="true" ht="20.1" hidden="false" customHeight="true" outlineLevel="0" collapsed="false">
      <c r="A204" s="100" t="s">
        <v>163</v>
      </c>
      <c r="B204" s="117" t="n">
        <f aca="false">SUMIFS(報告入力!$AU$7:$AU$696,報告入力!$A$7:$A$696,$S$197,報告入力!$B$7:$B$696,$A204)</f>
        <v>3574348</v>
      </c>
      <c r="C204" s="113" t="n">
        <f aca="false">SUMIFS(報告入力!$AV$7:$AV$696,報告入力!$A$7:$A$696,$S$197,報告入力!$B$7:$B$696,$A204)</f>
        <v>292972</v>
      </c>
      <c r="D204" s="111" t="n">
        <f aca="false">SUMIFS(報告入力!$AW$7:$AW$696,報告入力!$A$7:$A$696,$S$197,報告入力!$B$7:$B$696,$A204)</f>
        <v>5142387</v>
      </c>
      <c r="E204" s="114" t="n">
        <f aca="false">SUMIFS(報告入力!$AX$7:$AX$696,報告入力!$A$7:$A$696,$S$197,報告入力!$B$7:$B$696,$A204)</f>
        <v>292980</v>
      </c>
      <c r="F204" s="113" t="n">
        <f aca="false">SUMIFS(報告入力!$AY$7:$AY$696,報告入力!$A$7:$A$696,$S$197,報告入力!$B$7:$B$696,$A204)</f>
        <v>3415</v>
      </c>
      <c r="G204" s="108" t="n">
        <f aca="false">SUM(B204:F204)</f>
        <v>9306102</v>
      </c>
      <c r="H204" s="114" t="n">
        <f aca="false">SUMIFS(報告入力!$AZ$7:$AZ$696,報告入力!$A$7:$A$696,$S$197,報告入力!$B$7:$B$696,$A204)</f>
        <v>2038752</v>
      </c>
      <c r="I204" s="205" t="n">
        <f aca="false">SUMIFS(報告入力!$BA$7:$BA$696,報告入力!$A$7:$A$696,$S$197,報告入力!$B$7:$B$696,$A204)</f>
        <v>2073179</v>
      </c>
      <c r="J204" s="108" t="n">
        <f aca="false">SUM(H204:I204)</f>
        <v>4111931</v>
      </c>
      <c r="K204" s="205" t="n">
        <f aca="false">SUMIFS(報告入力!$BB$7:$BB$696,報告入力!$A$7:$A$696,$S$197,報告入力!$B$7:$B$696,$A204)</f>
        <v>205225</v>
      </c>
      <c r="L204" s="205" t="n">
        <f aca="false">SUMIFS(報告入力!$BC$7:$BC$696,報告入力!$A$7:$A$696,$S$197,報告入力!$B$7:$B$696,$A204)</f>
        <v>205234</v>
      </c>
      <c r="M204" s="108" t="n">
        <f aca="false">SUM(K204:L204)</f>
        <v>410459</v>
      </c>
      <c r="N204" s="205" t="n">
        <f aca="false">SUMIFS(報告入力!$BD$7:$BD$696,報告入力!$A$7:$A$696,$S$197,報告入力!$B$7:$B$696,$A204)</f>
        <v>45191</v>
      </c>
      <c r="O204" s="205" t="n">
        <f aca="false">SUMIFS(報告入力!$BE$7:$BE$696,報告入力!$A$7:$A$696,$S$197,報告入力!$B$7:$B$696,$A204)</f>
        <v>45210</v>
      </c>
      <c r="P204" s="108" t="n">
        <f aca="false">SUM(N204:O204)</f>
        <v>90401</v>
      </c>
      <c r="Q204" s="110" t="str">
        <f aca="false">IF(P139=P204,"〇","×")</f>
        <v>×</v>
      </c>
      <c r="R204" s="110" t="str">
        <f aca="false">IFERROR(INDEX(報告入力!$C$7:$C$696,MATCH($S$197&amp;"|"&amp;$A204,報告入力!$CG$7:$CG$696,0)),"")</f>
        <v>入金確認済</v>
      </c>
    </row>
    <row r="205" s="110" customFormat="true" ht="20.1" hidden="false" customHeight="true" outlineLevel="0" collapsed="false">
      <c r="A205" s="100" t="s">
        <v>164</v>
      </c>
      <c r="B205" s="117" t="n">
        <f aca="false">SUMIFS(報告入力!$AU$7:$AU$696,報告入力!$A$7:$A$696,$S$197,報告入力!$B$7:$B$696,$A205)</f>
        <v>48022328</v>
      </c>
      <c r="C205" s="113" t="n">
        <f aca="false">SUMIFS(報告入力!$AV$7:$AV$696,報告入力!$A$7:$A$696,$S$197,報告入力!$B$7:$B$696,$A205)</f>
        <v>3936104</v>
      </c>
      <c r="D205" s="111" t="n">
        <f aca="false">SUMIFS(報告入力!$AW$7:$AW$696,報告入力!$A$7:$A$696,$S$197,報告入力!$B$7:$B$696,$A205)</f>
        <v>69053418</v>
      </c>
      <c r="E205" s="114" t="n">
        <f aca="false">SUMIFS(報告入力!$AX$7:$AX$696,報告入力!$A$7:$A$696,$S$197,報告入力!$B$7:$B$696,$A205)</f>
        <v>3936268</v>
      </c>
      <c r="F205" s="113" t="n">
        <f aca="false">SUMIFS(報告入力!$AY$7:$AY$696,報告入力!$A$7:$A$696,$S$197,報告入力!$B$7:$B$696,$A205)</f>
        <v>45799</v>
      </c>
      <c r="G205" s="108" t="n">
        <f aca="false">SUM(B205:F205)</f>
        <v>124993917</v>
      </c>
      <c r="H205" s="114" t="n">
        <f aca="false">SUMIFS(報告入力!$AZ$7:$AZ$696,報告入力!$A$7:$A$696,$S$197,報告入力!$B$7:$B$696,$A205)</f>
        <v>45278832</v>
      </c>
      <c r="I205" s="205" t="n">
        <f aca="false">SUMIFS(報告入力!$BA$7:$BA$696,報告入力!$A$7:$A$696,$S$197,報告入力!$B$7:$B$696,$A205)</f>
        <v>46042286</v>
      </c>
      <c r="J205" s="108" t="n">
        <f aca="false">SUM(H205:I205)</f>
        <v>91321118</v>
      </c>
      <c r="K205" s="205" t="n">
        <f aca="false">SUMIFS(報告入力!$BB$7:$BB$696,報告入力!$A$7:$A$696,$S$197,報告入力!$B$7:$B$696,$A205)</f>
        <v>5364033</v>
      </c>
      <c r="L205" s="205" t="n">
        <f aca="false">SUMIFS(報告入力!$BC$7:$BC$696,報告入力!$A$7:$A$696,$S$197,報告入力!$B$7:$B$696,$A205)</f>
        <v>5364524</v>
      </c>
      <c r="M205" s="108" t="n">
        <f aca="false">SUM(K205:L205)</f>
        <v>10728557</v>
      </c>
      <c r="N205" s="205" t="n">
        <f aca="false">SUMIFS(報告入力!$BD$7:$BD$696,報告入力!$A$7:$A$696,$S$197,報告入力!$B$7:$B$696,$A205)</f>
        <v>1003307</v>
      </c>
      <c r="O205" s="205" t="n">
        <f aca="false">SUMIFS(報告入力!$BE$7:$BE$696,報告入力!$A$7:$A$696,$S$197,報告入力!$B$7:$B$696,$A205)</f>
        <v>1003988</v>
      </c>
      <c r="P205" s="108" t="n">
        <f aca="false">SUM(N205:O205)</f>
        <v>2007295</v>
      </c>
      <c r="Q205" s="110" t="str">
        <f aca="false">IF(P140=P205,"〇","×")</f>
        <v>×</v>
      </c>
      <c r="R205" s="110" t="str">
        <f aca="false">IFERROR(INDEX(報告入力!$C$7:$C$696,MATCH($S$197&amp;"|"&amp;$A205,報告入力!$CG$7:$CG$696,0)),"")</f>
        <v>入金確認済</v>
      </c>
    </row>
    <row r="206" s="110" customFormat="true" ht="20.1" hidden="false" customHeight="true" outlineLevel="0" collapsed="false">
      <c r="A206" s="100" t="s">
        <v>165</v>
      </c>
      <c r="B206" s="117" t="n">
        <f aca="false">SUMIFS(報告入力!$AU$7:$AU$696,報告入力!$A$7:$A$696,$S$197,報告入力!$B$7:$B$696,$A206)</f>
        <v>578461</v>
      </c>
      <c r="C206" s="113" t="n">
        <f aca="false">SUMIFS(報告入力!$AV$7:$AV$696,報告入力!$A$7:$A$696,$S$197,報告入力!$B$7:$B$696,$A206)</f>
        <v>47413</v>
      </c>
      <c r="D206" s="111" t="n">
        <f aca="false">SUMIFS(報告入力!$AW$7:$AW$696,報告入力!$A$7:$A$696,$S$197,報告入力!$B$7:$B$696,$A206)</f>
        <v>830710</v>
      </c>
      <c r="E206" s="114" t="n">
        <f aca="false">SUMIFS(報告入力!$AX$7:$AX$696,報告入力!$A$7:$A$696,$S$197,報告入力!$B$7:$B$696,$A206)</f>
        <v>47415</v>
      </c>
      <c r="F206" s="113" t="n">
        <f aca="false">SUMIFS(報告入力!$AY$7:$AY$696,報告入力!$A$7:$A$696,$S$197,報告入力!$B$7:$B$696,$A206)</f>
        <v>549</v>
      </c>
      <c r="G206" s="108" t="n">
        <f aca="false">SUM(B206:F206)</f>
        <v>1504548</v>
      </c>
      <c r="H206" s="114" t="n">
        <f aca="false">SUMIFS(報告入力!$AZ$7:$AZ$696,報告入力!$A$7:$A$696,$S$197,報告入力!$B$7:$B$696,$A206)</f>
        <v>366231</v>
      </c>
      <c r="I206" s="205" t="n">
        <f aca="false">SUMIFS(報告入力!$BA$7:$BA$696,報告入力!$A$7:$A$696,$S$197,報告入力!$B$7:$B$696,$A206)</f>
        <v>372379</v>
      </c>
      <c r="J206" s="108" t="n">
        <f aca="false">SUM(H206:I206)</f>
        <v>738610</v>
      </c>
      <c r="K206" s="205" t="n">
        <f aca="false">SUMIFS(報告入力!$BB$7:$BB$696,報告入力!$A$7:$A$696,$S$197,報告入力!$B$7:$B$696,$A206)</f>
        <v>33305</v>
      </c>
      <c r="L206" s="205" t="n">
        <f aca="false">SUMIFS(報告入力!$BC$7:$BC$696,報告入力!$A$7:$A$696,$S$197,報告入力!$B$7:$B$696,$A206)</f>
        <v>33306</v>
      </c>
      <c r="M206" s="108" t="n">
        <f aca="false">SUM(K206:L206)</f>
        <v>66611</v>
      </c>
      <c r="N206" s="205" t="n">
        <f aca="false">SUMIFS(報告入力!$BD$7:$BD$696,報告入力!$A$7:$A$696,$S$197,報告入力!$B$7:$B$696,$A206)</f>
        <v>8117</v>
      </c>
      <c r="O206" s="205" t="n">
        <f aca="false">SUMIFS(報告入力!$BE$7:$BE$696,報告入力!$A$7:$A$696,$S$197,報告入力!$B$7:$B$696,$A206)</f>
        <v>8121</v>
      </c>
      <c r="P206" s="108" t="n">
        <f aca="false">SUM(N206:O206)</f>
        <v>16238</v>
      </c>
      <c r="Q206" s="110" t="str">
        <f aca="false">IF(P141=P206,"〇","×")</f>
        <v>×</v>
      </c>
      <c r="R206" s="110" t="str">
        <f aca="false">IFERROR(INDEX(報告入力!$C$7:$C$696,MATCH($S$197&amp;"|"&amp;$A206,報告入力!$CG$7:$CG$696,0)),"")</f>
        <v>入金確認済</v>
      </c>
    </row>
    <row r="207" s="110" customFormat="true" ht="20.1" hidden="false" customHeight="true" outlineLevel="0" collapsed="false">
      <c r="A207" s="100" t="s">
        <v>166</v>
      </c>
      <c r="B207" s="117" t="n">
        <f aca="false">SUMIFS(報告入力!$AU$7:$AU$696,報告入力!$A$7:$A$696,$S$197,報告入力!$B$7:$B$696,$A207)</f>
        <v>1213286</v>
      </c>
      <c r="C207" s="113" t="n">
        <f aca="false">SUMIFS(報告入力!$AV$7:$AV$696,報告入力!$A$7:$A$696,$S$197,報告入力!$B$7:$B$696,$A207)</f>
        <v>99446</v>
      </c>
      <c r="D207" s="111" t="n">
        <f aca="false">SUMIFS(報告入力!$AW$7:$AW$696,報告入力!$A$7:$A$696,$S$197,報告入力!$B$7:$B$696,$A207)</f>
        <v>1742364</v>
      </c>
      <c r="E207" s="114" t="n">
        <f aca="false">SUMIFS(報告入力!$AX$7:$AX$696,報告入力!$A$7:$A$696,$S$197,報告入力!$B$7:$B$696,$A207)</f>
        <v>99450</v>
      </c>
      <c r="F207" s="113" t="n">
        <f aca="false">SUMIFS(報告入力!$AY$7:$AY$696,報告入力!$A$7:$A$696,$S$197,報告入力!$B$7:$B$696,$A207)</f>
        <v>1152</v>
      </c>
      <c r="G207" s="108" t="n">
        <f aca="false">SUM(B207:F207)</f>
        <v>3155698</v>
      </c>
      <c r="H207" s="114" t="n">
        <f aca="false">SUMIFS(報告入力!$AZ$7:$AZ$696,報告入力!$A$7:$A$696,$S$197,報告入力!$B$7:$B$696,$A207)</f>
        <v>704926</v>
      </c>
      <c r="I207" s="205" t="n">
        <f aca="false">SUMIFS(報告入力!$BA$7:$BA$696,報告入力!$A$7:$A$696,$S$197,報告入力!$B$7:$B$696,$A207)</f>
        <v>716758</v>
      </c>
      <c r="J207" s="108" t="n">
        <f aca="false">SUM(H207:I207)</f>
        <v>1421684</v>
      </c>
      <c r="K207" s="205" t="n">
        <f aca="false">SUMIFS(報告入力!$BB$7:$BB$696,報告入力!$A$7:$A$696,$S$197,報告入力!$B$7:$B$696,$A207)</f>
        <v>62454</v>
      </c>
      <c r="L207" s="205" t="n">
        <f aca="false">SUMIFS(報告入力!$BC$7:$BC$696,報告入力!$A$7:$A$696,$S$197,報告入力!$B$7:$B$696,$A207)</f>
        <v>62456</v>
      </c>
      <c r="M207" s="108" t="n">
        <f aca="false">SUM(K207:L207)</f>
        <v>124910</v>
      </c>
      <c r="N207" s="205" t="n">
        <f aca="false">SUMIFS(報告入力!$BD$7:$BD$696,報告入力!$A$7:$A$696,$S$197,報告入力!$B$7:$B$696,$A207)</f>
        <v>15625</v>
      </c>
      <c r="O207" s="205" t="n">
        <f aca="false">SUMIFS(報告入力!$BE$7:$BE$696,報告入力!$A$7:$A$696,$S$197,報告入力!$B$7:$B$696,$A207)</f>
        <v>15631</v>
      </c>
      <c r="P207" s="120" t="n">
        <f aca="false">SUM(N207:O207)</f>
        <v>31256</v>
      </c>
      <c r="Q207" s="110" t="str">
        <f aca="false">IF(P142=P207,"〇","×")</f>
        <v>×</v>
      </c>
      <c r="R207" s="110" t="str">
        <f aca="false">IFERROR(INDEX(報告入力!$C$7:$C$696,MATCH($S$197&amp;"|"&amp;$A207,報告入力!$CG$7:$CG$696,0)),"")</f>
        <v>入金確認済</v>
      </c>
    </row>
    <row r="208" s="110" customFormat="true" ht="20.1" hidden="false" customHeight="true" outlineLevel="0" collapsed="false">
      <c r="A208" s="100" t="s">
        <v>167</v>
      </c>
      <c r="B208" s="117" t="n">
        <f aca="false">SUMIFS(報告入力!$AU$7:$AU$696,報告入力!$A$7:$A$696,$S$197,報告入力!$B$7:$B$696,$A208)</f>
        <v>2716629</v>
      </c>
      <c r="C208" s="113" t="n">
        <f aca="false">SUMIFS(報告入力!$AV$7:$AV$696,報告入力!$A$7:$A$696,$S$197,報告入力!$B$7:$B$696,$A208)</f>
        <v>222669</v>
      </c>
      <c r="D208" s="111" t="n">
        <f aca="false">SUMIFS(報告入力!$AW$7:$AW$696,報告入力!$A$7:$A$696,$S$197,報告入力!$B$7:$B$696,$A208)</f>
        <v>3901266</v>
      </c>
      <c r="E208" s="114" t="n">
        <f aca="false">SUMIFS(報告入力!$AX$7:$AX$696,報告入力!$A$7:$A$696,$S$197,報告入力!$B$7:$B$696,$A208)</f>
        <v>222675</v>
      </c>
      <c r="F208" s="113" t="n">
        <f aca="false">SUMIFS(報告入力!$AY$7:$AY$696,報告入力!$A$7:$A$696,$S$197,報告入力!$B$7:$B$696,$A208)</f>
        <v>2579</v>
      </c>
      <c r="G208" s="108" t="n">
        <f aca="false">SUM(B208:F208)</f>
        <v>7065818</v>
      </c>
      <c r="H208" s="114" t="n">
        <f aca="false">SUMIFS(報告入力!$AZ$7:$AZ$696,報告入力!$A$7:$A$696,$S$197,報告入力!$B$7:$B$696,$A208)</f>
        <v>1597685</v>
      </c>
      <c r="I208" s="205" t="n">
        <f aca="false">SUMIFS(報告入力!$BA$7:$BA$696,報告入力!$A$7:$A$696,$S$197,報告入力!$B$7:$B$696,$A208)</f>
        <v>1624505</v>
      </c>
      <c r="J208" s="108" t="n">
        <f aca="false">SUM(H208:I208)</f>
        <v>3222190</v>
      </c>
      <c r="K208" s="205" t="n">
        <f aca="false">SUMIFS(報告入力!$BB$7:$BB$696,報告入力!$A$7:$A$696,$S$197,報告入力!$B$7:$B$696,$A208)</f>
        <v>221526</v>
      </c>
      <c r="L208" s="205" t="n">
        <f aca="false">SUMIFS(報告入力!$BC$7:$BC$696,報告入力!$A$7:$A$696,$S$197,報告入力!$B$7:$B$696,$A208)</f>
        <v>221538</v>
      </c>
      <c r="M208" s="108" t="n">
        <f aca="false">SUM(K208:L208)</f>
        <v>443064</v>
      </c>
      <c r="N208" s="205" t="n">
        <f aca="false">SUMIFS(報告入力!$BD$7:$BD$696,報告入力!$A$7:$A$696,$S$197,報告入力!$B$7:$B$696,$A208)</f>
        <v>35416</v>
      </c>
      <c r="O208" s="205" t="n">
        <f aca="false">SUMIFS(報告入力!$BE$7:$BE$696,報告入力!$A$7:$A$696,$S$197,報告入力!$B$7:$B$696,$A208)</f>
        <v>35428</v>
      </c>
      <c r="P208" s="116" t="n">
        <f aca="false">SUM(N208:O208)</f>
        <v>70844</v>
      </c>
      <c r="Q208" s="110" t="str">
        <f aca="false">IF(P143=P208,"〇","×")</f>
        <v>×</v>
      </c>
      <c r="R208" s="110" t="str">
        <f aca="false">IFERROR(INDEX(報告入力!$C$7:$C$696,MATCH($S$197&amp;"|"&amp;$A208,報告入力!$CG$7:$CG$696,0)),"")</f>
        <v>入金確認済</v>
      </c>
    </row>
    <row r="209" s="110" customFormat="true" ht="20.1" hidden="false" customHeight="true" outlineLevel="0" collapsed="false">
      <c r="A209" s="100" t="s">
        <v>168</v>
      </c>
      <c r="B209" s="117" t="n">
        <f aca="false">SUMIFS(報告入力!$AU$7:$AU$696,報告入力!$A$7:$A$696,$S$197,報告入力!$B$7:$B$696,$A209)</f>
        <v>753501</v>
      </c>
      <c r="C209" s="113" t="n">
        <f aca="false">SUMIFS(報告入力!$AV$7:$AV$696,報告入力!$A$7:$A$696,$S$197,報告入力!$B$7:$B$696,$A209)</f>
        <v>61761</v>
      </c>
      <c r="D209" s="111" t="n">
        <f aca="false">SUMIFS(報告入力!$AW$7:$AW$696,報告入力!$A$7:$A$696,$S$197,報告入力!$B$7:$B$696,$A209)</f>
        <v>1082078</v>
      </c>
      <c r="E209" s="114" t="n">
        <f aca="false">SUMIFS(報告入力!$AX$7:$AX$696,報告入力!$A$7:$A$696,$S$197,報告入力!$B$7:$B$696,$A209)</f>
        <v>61762</v>
      </c>
      <c r="F209" s="113" t="n">
        <f aca="false">SUMIFS(報告入力!$AY$7:$AY$696,報告入力!$A$7:$A$696,$S$197,報告入力!$B$7:$B$696,$A209)</f>
        <v>715</v>
      </c>
      <c r="G209" s="108" t="n">
        <f aca="false">SUM(B209:F209)</f>
        <v>1959817</v>
      </c>
      <c r="H209" s="114" t="n">
        <f aca="false">SUMIFS(報告入力!$AZ$7:$AZ$696,報告入力!$A$7:$A$696,$S$197,報告入力!$B$7:$B$696,$A209)</f>
        <v>587876</v>
      </c>
      <c r="I209" s="205" t="n">
        <f aca="false">SUMIFS(報告入力!$BA$7:$BA$696,報告入力!$A$7:$A$696,$S$197,報告入力!$B$7:$B$696,$A209)</f>
        <v>597746</v>
      </c>
      <c r="J209" s="108" t="n">
        <f aca="false">SUM(H209:I209)</f>
        <v>1185622</v>
      </c>
      <c r="K209" s="205" t="n">
        <f aca="false">SUMIFS(報告入力!$BB$7:$BB$696,報告入力!$A$7:$A$696,$S$197,報告入力!$B$7:$B$696,$A209)</f>
        <v>66458</v>
      </c>
      <c r="L209" s="205" t="n">
        <f aca="false">SUMIFS(報告入力!$BC$7:$BC$696,報告入力!$A$7:$A$696,$S$197,報告入力!$B$7:$B$696,$A209)</f>
        <v>66462</v>
      </c>
      <c r="M209" s="108" t="n">
        <f aca="false">SUM(K209:L209)</f>
        <v>132920</v>
      </c>
      <c r="N209" s="205" t="n">
        <f aca="false">SUMIFS(報告入力!$BD$7:$BD$696,報告入力!$A$7:$A$696,$S$197,報告入力!$B$7:$B$696,$A209)</f>
        <v>13029</v>
      </c>
      <c r="O209" s="205" t="n">
        <f aca="false">SUMIFS(報告入力!$BE$7:$BE$696,報告入力!$A$7:$A$696,$S$197,報告入力!$B$7:$B$696,$A209)</f>
        <v>13036</v>
      </c>
      <c r="P209" s="116" t="n">
        <f aca="false">SUM(N209:O209)</f>
        <v>26065</v>
      </c>
      <c r="Q209" s="110" t="str">
        <f aca="false">IF(P144=P209,"〇","×")</f>
        <v>×</v>
      </c>
      <c r="R209" s="110" t="str">
        <f aca="false">IFERROR(INDEX(報告入力!$C$7:$C$696,MATCH($S$197&amp;"|"&amp;$A209,報告入力!$CG$7:$CG$696,0)),"")</f>
        <v>入金確認済</v>
      </c>
    </row>
    <row r="210" s="110" customFormat="true" ht="20.1" hidden="false" customHeight="true" outlineLevel="0" collapsed="false">
      <c r="A210" s="100" t="s">
        <v>169</v>
      </c>
      <c r="B210" s="117" t="n">
        <f aca="false">SUMIFS(報告入力!$AU$7:$AU$696,報告入力!$A$7:$A$696,$S$197,報告入力!$B$7:$B$696,$A210)</f>
        <v>46126839</v>
      </c>
      <c r="C210" s="113" t="n">
        <f aca="false">SUMIFS(報告入力!$AV$7:$AV$696,報告入力!$A$7:$A$696,$S$197,報告入力!$B$7:$B$696,$A210)</f>
        <v>3780759</v>
      </c>
      <c r="D210" s="111" t="n">
        <f aca="false">SUMIFS(報告入力!$AW$7:$AW$696,報告入力!$A$7:$A$696,$S$197,報告入力!$B$7:$B$696,$A210)</f>
        <v>66545746</v>
      </c>
      <c r="E210" s="114" t="n">
        <f aca="false">SUMIFS(報告入力!$AX$7:$AX$696,報告入力!$A$7:$A$696,$S$197,報告入力!$B$7:$B$696,$A210)</f>
        <v>3780898</v>
      </c>
      <c r="F210" s="113" t="n">
        <f aca="false">SUMIFS(報告入力!$AY$7:$AY$696,報告入力!$A$7:$A$696,$S$197,報告入力!$B$7:$B$696,$A210)</f>
        <v>44463</v>
      </c>
      <c r="G210" s="108" t="n">
        <f aca="false">SUM(B210:F210)</f>
        <v>120278705</v>
      </c>
      <c r="H210" s="114" t="n">
        <f aca="false">SUMIFS(報告入力!$AZ$7:$AZ$696,報告入力!$A$7:$A$696,$S$197,報告入力!$B$7:$B$696,$A210)</f>
        <v>27231622</v>
      </c>
      <c r="I210" s="205" t="n">
        <f aca="false">SUMIFS(報告入力!$BA$7:$BA$696,報告入力!$A$7:$A$696,$S$197,報告入力!$B$7:$B$696,$A210)</f>
        <v>27695421</v>
      </c>
      <c r="J210" s="108" t="n">
        <f aca="false">SUM(H210:I210)</f>
        <v>54927043</v>
      </c>
      <c r="K210" s="205" t="n">
        <f aca="false">SUMIFS(報告入力!$BB$7:$BB$696,報告入力!$A$7:$A$696,$S$197,報告入力!$B$7:$B$696,$A210)</f>
        <v>2844074</v>
      </c>
      <c r="L210" s="205" t="n">
        <f aca="false">SUMIFS(報告入力!$BC$7:$BC$696,報告入力!$A$7:$A$696,$S$197,報告入力!$B$7:$B$696,$A210)</f>
        <v>2844233</v>
      </c>
      <c r="M210" s="108" t="n">
        <f aca="false">SUM(K210:L210)</f>
        <v>5688307</v>
      </c>
      <c r="N210" s="205" t="n">
        <f aca="false">SUMIFS(報告入力!$BD$7:$BD$696,報告入力!$A$7:$A$696,$S$197,報告入力!$B$7:$B$696,$A210)</f>
        <v>603556</v>
      </c>
      <c r="O210" s="205" t="n">
        <f aca="false">SUMIFS(報告入力!$BE$7:$BE$696,報告入力!$A$7:$A$696,$S$197,報告入力!$B$7:$B$696,$A210)</f>
        <v>603873</v>
      </c>
      <c r="P210" s="116" t="n">
        <f aca="false">SUM(N210:O210)</f>
        <v>1207429</v>
      </c>
      <c r="Q210" s="110" t="str">
        <f aca="false">IF(P145=P210,"〇","×")</f>
        <v>×</v>
      </c>
      <c r="R210" s="110" t="str">
        <f aca="false">IFERROR(INDEX(報告入力!$C$7:$C$696,MATCH($S$197&amp;"|"&amp;$A210,報告入力!$CG$7:$CG$696,0)),"")</f>
        <v>入金確認済</v>
      </c>
    </row>
    <row r="211" s="110" customFormat="true" ht="19.5" hidden="false" customHeight="true" outlineLevel="0" collapsed="false">
      <c r="A211" s="121" t="s">
        <v>381</v>
      </c>
      <c r="B211" s="117" t="n">
        <f aca="false">SUMIFS(報告入力!$AU$7:$AU$696,報告入力!$A$7:$A$696,$S$197,報告入力!$B$7:$B$696,$A211)</f>
        <v>74115</v>
      </c>
      <c r="C211" s="113" t="n">
        <f aca="false">SUMIFS(報告入力!$AV$7:$AV$696,報告入力!$A$7:$A$696,$S$197,報告入力!$B$7:$B$696,$A211)</f>
        <v>6075</v>
      </c>
      <c r="D211" s="111" t="n">
        <f aca="false">SUMIFS(報告入力!$AW$7:$AW$696,報告入力!$A$7:$A$696,$S$197,報告入力!$B$7:$B$696,$A211)</f>
        <v>106434</v>
      </c>
      <c r="E211" s="114" t="n">
        <f aca="false">SUMIFS(報告入力!$AX$7:$AX$696,報告入力!$A$7:$A$696,$S$197,報告入力!$B$7:$B$696,$A211)</f>
        <v>6075</v>
      </c>
      <c r="F211" s="113" t="n">
        <f aca="false">SUMIFS(報告入力!$AY$7:$AY$696,報告入力!$A$7:$A$696,$S$197,報告入力!$B$7:$B$696,$A211)</f>
        <v>70</v>
      </c>
      <c r="G211" s="108" t="n">
        <f aca="false">SUM(B211:F211)</f>
        <v>192769</v>
      </c>
      <c r="H211" s="114" t="n">
        <f aca="false">SUMIFS(報告入力!$AZ$7:$AZ$696,報告入力!$A$7:$A$696,$S$197,報告入力!$B$7:$B$696,$A211)</f>
        <v>42006</v>
      </c>
      <c r="I211" s="205" t="n">
        <f aca="false">SUMIFS(報告入力!$BA$7:$BA$696,報告入力!$A$7:$A$696,$S$197,報告入力!$B$7:$B$696,$A211)</f>
        <v>42711</v>
      </c>
      <c r="J211" s="108" t="n">
        <f aca="false">SUM(H211:I211)</f>
        <v>84717</v>
      </c>
      <c r="K211" s="205" t="n">
        <f aca="false">SUMIFS(報告入力!$BB$7:$BB$696,報告入力!$A$7:$A$696,$S$197,報告入力!$B$7:$B$696,$A211)</f>
        <v>6399</v>
      </c>
      <c r="L211" s="205" t="n">
        <f aca="false">SUMIFS(報告入力!$BC$7:$BC$696,報告入力!$A$7:$A$696,$S$197,報告入力!$B$7:$B$696,$A211)</f>
        <v>6399</v>
      </c>
      <c r="M211" s="108" t="n">
        <f aca="false">SUM(K211:L211)</f>
        <v>12798</v>
      </c>
      <c r="N211" s="205" t="n">
        <f aca="false">SUMIFS(報告入力!$BD$7:$BD$696,報告入力!$A$7:$A$696,$S$197,報告入力!$B$7:$B$696,$A211)</f>
        <v>931</v>
      </c>
      <c r="O211" s="205" t="n">
        <f aca="false">SUMIFS(報告入力!$BE$7:$BE$696,報告入力!$A$7:$A$696,$S$197,報告入力!$B$7:$B$696,$A211)</f>
        <v>931</v>
      </c>
      <c r="P211" s="116" t="n">
        <f aca="false">SUM(N211:O211)</f>
        <v>1862</v>
      </c>
      <c r="Q211" s="110" t="str">
        <f aca="false">IF(P146=P211,"〇","×")</f>
        <v>×</v>
      </c>
      <c r="R211" s="110" t="str">
        <f aca="false">IFERROR(INDEX(報告入力!$C$7:$C$696,MATCH($S$197&amp;"|"&amp;$A211,報告入力!$CG$7:$CG$696,0)),"")</f>
        <v>入金確認済</v>
      </c>
    </row>
    <row r="212" s="137" customFormat="true" ht="19.5" hidden="false" customHeight="true" outlineLevel="0" collapsed="false">
      <c r="A212" s="126" t="s">
        <v>171</v>
      </c>
      <c r="B212" s="127" t="n">
        <f aca="false">SUMIFS(報告入力!$AU$7:$AU$696,報告入力!$A$7:$A$696,$S$197,報告入力!$B$7:$B$696,$A212)</f>
        <v>0</v>
      </c>
      <c r="C212" s="128" t="n">
        <f aca="false">SUMIFS(報告入力!$AV$7:$AV$696,報告入力!$A$7:$A$696,$S$197,報告入力!$B$7:$B$696,$A212)</f>
        <v>0</v>
      </c>
      <c r="D212" s="129"/>
      <c r="E212" s="130"/>
      <c r="F212" s="131" t="n">
        <f aca="false">SUMIFS(報告入力!$AY$7:$AY$696,報告入力!$A$7:$A$696,$S$197,報告入力!$B$7:$B$696,$A212)</f>
        <v>0</v>
      </c>
      <c r="G212" s="132" t="n">
        <f aca="false">SUM(B212:F212)</f>
        <v>0</v>
      </c>
      <c r="H212" s="114" t="n">
        <f aca="false">SUMIFS(報告入力!$AZ$7:$AZ$696,報告入力!$A$7:$A$696,$S$197,報告入力!$B$7:$B$696,$A212)</f>
        <v>352375</v>
      </c>
      <c r="I212" s="115" t="n">
        <f aca="false">SUMIFS(報告入力!$BA$7:$BA$696,報告入力!$A$7:$A$696,$S$197,報告入力!$B$7:$B$696,$A212)</f>
        <v>358299</v>
      </c>
      <c r="J212" s="116" t="n">
        <f aca="false">SUM(H212:I212)</f>
        <v>710674</v>
      </c>
      <c r="K212" s="109" t="n">
        <f aca="false">SUMIFS(報告入力!$BB$7:$BB$696,報告入力!$A$7:$A$696,$S$197,報告入力!$B$7:$B$696,$A212)</f>
        <v>12083</v>
      </c>
      <c r="L212" s="115" t="n">
        <f aca="false">SUMIFS(報告入力!$BC$7:$BC$696,報告入力!$A$7:$A$696,$S$197,報告入力!$B$7:$B$696,$A212)</f>
        <v>12086</v>
      </c>
      <c r="M212" s="116" t="n">
        <f aca="false">SUM(K212:L212)</f>
        <v>24169</v>
      </c>
      <c r="N212" s="205" t="n">
        <f aca="false">SUMIFS(報告入力!$BD$7:$BD$696,報告入力!$A$7:$A$696,$S$197,報告入力!$B$7:$B$696,$A212)</f>
        <v>7804</v>
      </c>
      <c r="O212" s="205" t="n">
        <f aca="false">SUMIFS(報告入力!$BE$7:$BE$696,報告入力!$A$7:$A$696,$S$197,報告入力!$B$7:$B$696,$A212)</f>
        <v>7813</v>
      </c>
      <c r="P212" s="116" t="n">
        <f aca="false">SUM(N212:O212)</f>
        <v>15617</v>
      </c>
      <c r="Q212" s="137" t="str">
        <f aca="false">IF(P147=P212,"〇","×")</f>
        <v>×</v>
      </c>
      <c r="R212" s="137" t="str">
        <f aca="false">IFERROR(INDEX(報告入力!$C$7:$C$696,MATCH($S$197&amp;"|"&amp;$A212,報告入力!$CG$7:$CG$696,0)),"")</f>
        <v>入金確認済</v>
      </c>
    </row>
    <row r="213" s="137" customFormat="true" ht="19.5" hidden="false" customHeight="true" outlineLevel="0" collapsed="false">
      <c r="A213" s="138" t="s">
        <v>382</v>
      </c>
      <c r="B213" s="139"/>
      <c r="C213" s="140"/>
      <c r="D213" s="139"/>
      <c r="E213" s="141"/>
      <c r="F213" s="142"/>
      <c r="G213" s="143"/>
      <c r="H213" s="144"/>
      <c r="I213" s="145"/>
      <c r="J213" s="146"/>
      <c r="K213" s="147"/>
      <c r="L213" s="148"/>
      <c r="M213" s="148"/>
      <c r="N213" s="147"/>
      <c r="O213" s="148"/>
      <c r="P213" s="146"/>
      <c r="Q213" s="137" t="str">
        <f aca="false">IF(P148=P213,"〇","×")</f>
        <v>〇</v>
      </c>
    </row>
    <row r="214" s="137" customFormat="true" ht="19.5" hidden="false" customHeight="true" outlineLevel="0" collapsed="false">
      <c r="A214" s="149" t="s">
        <v>382</v>
      </c>
      <c r="B214" s="150"/>
      <c r="C214" s="151"/>
      <c r="D214" s="150"/>
      <c r="E214" s="152"/>
      <c r="F214" s="153"/>
      <c r="G214" s="154"/>
      <c r="H214" s="155"/>
      <c r="I214" s="152"/>
      <c r="J214" s="156"/>
      <c r="K214" s="157"/>
      <c r="L214" s="158"/>
      <c r="M214" s="158"/>
      <c r="N214" s="157"/>
      <c r="O214" s="158"/>
      <c r="P214" s="156"/>
      <c r="Q214" s="137" t="str">
        <f aca="false">IF(P149=P214,"〇","×")</f>
        <v>〇</v>
      </c>
    </row>
    <row r="215" s="137" customFormat="true" ht="19.5" hidden="false" customHeight="true" outlineLevel="0" collapsed="false">
      <c r="A215" s="149" t="s">
        <v>382</v>
      </c>
      <c r="B215" s="139"/>
      <c r="C215" s="140"/>
      <c r="D215" s="139"/>
      <c r="E215" s="141"/>
      <c r="F215" s="142"/>
      <c r="G215" s="143"/>
      <c r="H215" s="159"/>
      <c r="I215" s="141"/>
      <c r="J215" s="146"/>
      <c r="K215" s="160"/>
      <c r="L215" s="161"/>
      <c r="M215" s="161"/>
      <c r="N215" s="160"/>
      <c r="O215" s="161"/>
      <c r="P215" s="146"/>
      <c r="Q215" s="137" t="str">
        <f aca="false">IF(P150=P215,"〇","×")</f>
        <v>〇</v>
      </c>
    </row>
    <row r="216" s="137" customFormat="true" ht="19.5" hidden="false" customHeight="true" outlineLevel="0" collapsed="false">
      <c r="A216" s="162" t="s">
        <v>382</v>
      </c>
      <c r="B216" s="163"/>
      <c r="C216" s="164"/>
      <c r="D216" s="163"/>
      <c r="E216" s="165"/>
      <c r="F216" s="166"/>
      <c r="G216" s="167"/>
      <c r="H216" s="155"/>
      <c r="I216" s="168"/>
      <c r="J216" s="169"/>
      <c r="K216" s="157"/>
      <c r="L216" s="158"/>
      <c r="M216" s="170"/>
      <c r="N216" s="157"/>
      <c r="O216" s="158"/>
      <c r="P216" s="169"/>
      <c r="Q216" s="137" t="str">
        <f aca="false">IF(P151=P216,"〇","×")</f>
        <v>〇</v>
      </c>
    </row>
    <row r="217" s="137" customFormat="true" ht="19.5" hidden="false" customHeight="true" outlineLevel="0" collapsed="false">
      <c r="A217" s="171" t="s">
        <v>383</v>
      </c>
      <c r="B217" s="172" t="n">
        <f aca="false">SUM(B201:B216)</f>
        <v>687743771</v>
      </c>
      <c r="C217" s="173" t="n">
        <f aca="false">SUM(C201:C216)</f>
        <v>56381621</v>
      </c>
      <c r="D217" s="172" t="n">
        <f aca="false">SUM(D201:D216)</f>
        <v>981734591</v>
      </c>
      <c r="E217" s="174" t="n">
        <f aca="false">SUM(E201:E216)</f>
        <v>55353767</v>
      </c>
      <c r="F217" s="175" t="n">
        <f aca="false">SUM(F201:F216)</f>
        <v>649982</v>
      </c>
      <c r="G217" s="176" t="n">
        <f aca="false">SUM(B217:F217)</f>
        <v>1781863732</v>
      </c>
      <c r="H217" s="173" t="n">
        <f aca="false">SUM(H201:H216)</f>
        <v>483084065</v>
      </c>
      <c r="I217" s="173" t="n">
        <f aca="false">SUM(I201:I216)</f>
        <v>484135955</v>
      </c>
      <c r="J217" s="175" t="n">
        <f aca="false">SUM(H217:I217)</f>
        <v>967220020</v>
      </c>
      <c r="K217" s="172" t="n">
        <f aca="false">SUM(K201:K216)</f>
        <v>46120402</v>
      </c>
      <c r="L217" s="173" t="n">
        <f aca="false">SUM(L201:L216)</f>
        <v>45259790</v>
      </c>
      <c r="M217" s="175" t="n">
        <f aca="false">SUM(K217:L217)</f>
        <v>91380192</v>
      </c>
      <c r="N217" s="172" t="n">
        <f aca="false">SUM(N201:N216)</f>
        <v>10705655</v>
      </c>
      <c r="O217" s="173" t="n">
        <f aca="false">SUM(O201:O216)</f>
        <v>10552642</v>
      </c>
      <c r="P217" s="175" t="n">
        <f aca="false">SUM(N217:O217)</f>
        <v>21258297</v>
      </c>
      <c r="Q217" s="137" t="str">
        <f aca="false">IF(P152=P217,"〇","×")</f>
        <v>×</v>
      </c>
    </row>
    <row r="218" s="110" customFormat="true" ht="20.1" hidden="false" customHeight="true" outlineLevel="0" collapsed="false">
      <c r="A218" s="177" t="s">
        <v>172</v>
      </c>
      <c r="B218" s="311"/>
      <c r="C218" s="308"/>
      <c r="D218" s="299"/>
      <c r="E218" s="303"/>
      <c r="F218" s="308"/>
      <c r="G218" s="302" t="n">
        <f aca="false">SUM(B218:F218)</f>
        <v>0</v>
      </c>
      <c r="H218" s="303"/>
      <c r="I218" s="310"/>
      <c r="J218" s="302" t="n">
        <f aca="false">SUM(H218:I218)</f>
        <v>0</v>
      </c>
      <c r="K218" s="310"/>
      <c r="L218" s="310"/>
      <c r="M218" s="302" t="n">
        <f aca="false">SUM(K218:L218)</f>
        <v>0</v>
      </c>
      <c r="N218" s="310"/>
      <c r="O218" s="310"/>
      <c r="P218" s="305" t="n">
        <f aca="false">SUM(N218:O218)</f>
        <v>0</v>
      </c>
      <c r="Q218" s="110" t="str">
        <f aca="false">IF(P153=P218,"〇","×")</f>
        <v>〇</v>
      </c>
      <c r="R218" s="110" t="str">
        <f aca="false">IFERROR(INDEX(報告入力!$C$7:$C$696,MATCH($S$197&amp;"|"&amp;$A218,報告入力!$CG$7:$CG$696,0)),"")</f>
        <v>報告なし</v>
      </c>
    </row>
    <row r="219" s="110" customFormat="true" ht="20.1" hidden="false" customHeight="true" outlineLevel="0" collapsed="false">
      <c r="A219" s="100" t="s">
        <v>174</v>
      </c>
      <c r="B219" s="117" t="n">
        <f aca="false">SUMIFS(報告入力!$AU$7:$AU$696,報告入力!$A$7:$A$696,$S$197,報告入力!$B$7:$B$696,$A219)</f>
        <v>0</v>
      </c>
      <c r="C219" s="113" t="n">
        <f aca="false">SUMIFS(報告入力!$AV$7:$AV$696,報告入力!$A$7:$A$696,$S$197,報告入力!$B$7:$B$696,$A219)</f>
        <v>0</v>
      </c>
      <c r="D219" s="111" t="n">
        <f aca="false">SUMIFS(報告入力!$AW$7:$AW$696,報告入力!$A$7:$A$696,$S$197,報告入力!$B$7:$B$696,$A219)</f>
        <v>1500878</v>
      </c>
      <c r="E219" s="114" t="n">
        <f aca="false">SUMIFS(報告入力!$AX$7:$AX$696,報告入力!$A$7:$A$696,$S$197,報告入力!$B$7:$B$696,$A219)</f>
        <v>123022</v>
      </c>
      <c r="F219" s="113" t="n">
        <f aca="false">SUMIFS(報告入力!$AY$7:$AY$696,報告入力!$A$7:$A$696,$S$197,報告入力!$B$7:$B$696,$A219)</f>
        <v>1425</v>
      </c>
      <c r="G219" s="108" t="n">
        <f aca="false">SUM(B219:F219)</f>
        <v>1625325</v>
      </c>
      <c r="H219" s="114" t="n">
        <f aca="false">SUMIFS(報告入力!$AZ$7:$AZ$696,報告入力!$A$7:$A$696,$S$197,報告入力!$B$7:$B$696,$A219)</f>
        <v>0</v>
      </c>
      <c r="I219" s="205" t="n">
        <f aca="false">SUMIFS(報告入力!$BA$7:$BA$696,報告入力!$A$7:$A$696,$S$197,報告入力!$B$7:$B$696,$A219)</f>
        <v>851479</v>
      </c>
      <c r="J219" s="108" t="n">
        <f aca="false">SUM(H219:I219)</f>
        <v>851479</v>
      </c>
      <c r="K219" s="205" t="n">
        <f aca="false">SUMIFS(報告入力!$BB$7:$BB$696,報告入力!$A$7:$A$696,$S$197,報告入力!$B$7:$B$696,$A219)</f>
        <v>0</v>
      </c>
      <c r="L219" s="205" t="n">
        <f aca="false">SUMIFS(報告入力!$BC$7:$BC$696,報告入力!$A$7:$A$696,$S$197,報告入力!$B$7:$B$696,$A219)</f>
        <v>108719</v>
      </c>
      <c r="M219" s="108" t="n">
        <f aca="false">SUM(K219:L219)</f>
        <v>108719</v>
      </c>
      <c r="N219" s="205" t="n">
        <f aca="false">SUMIFS(報告入力!$BD$7:$BD$696,報告入力!$A$7:$A$696,$S$197,報告入力!$B$7:$B$696,$A219)</f>
        <v>0</v>
      </c>
      <c r="O219" s="205" t="n">
        <f aca="false">SUMIFS(報告入力!$BE$7:$BE$696,報告入力!$A$7:$A$696,$S$197,報告入力!$B$7:$B$696,$A219)</f>
        <v>18863</v>
      </c>
      <c r="P219" s="116" t="n">
        <f aca="false">SUM(N219:O219)</f>
        <v>18863</v>
      </c>
      <c r="Q219" s="110" t="str">
        <f aca="false">IF(P154=P219,"〇","×")</f>
        <v>×</v>
      </c>
      <c r="R219" s="110" t="str">
        <f aca="false">IFERROR(INDEX(報告入力!$C$7:$C$696,MATCH($S$197&amp;"|"&amp;$A219,報告入力!$CG$7:$CG$696,0)),"")</f>
        <v>入金確認済</v>
      </c>
    </row>
    <row r="220" s="110" customFormat="true" ht="20.1" hidden="false" customHeight="true" outlineLevel="0" collapsed="false">
      <c r="A220" s="100" t="s">
        <v>175</v>
      </c>
      <c r="B220" s="186"/>
      <c r="C220" s="187"/>
      <c r="D220" s="111" t="n">
        <f aca="false">SUMIFS(報告入力!$AW$7:$AW$696,報告入力!$A$7:$A$696,$S$197,報告入力!$B$7:$B$696,$A220)</f>
        <v>4100217</v>
      </c>
      <c r="E220" s="114" t="n">
        <f aca="false">SUMIFS(報告入力!$AX$7:$AX$696,報告入力!$A$7:$A$696,$S$197,報告入力!$B$7:$B$696,$A220)</f>
        <v>336079</v>
      </c>
      <c r="F220" s="113" t="n">
        <f aca="false">SUMIFS(報告入力!$AY$7:$AY$696,報告入力!$A$7:$A$696,$S$197,報告入力!$B$7:$B$696,$A220)</f>
        <v>4035</v>
      </c>
      <c r="G220" s="108" t="n">
        <f aca="false">SUM(B220:F220)</f>
        <v>4440331</v>
      </c>
      <c r="H220" s="188"/>
      <c r="I220" s="205" t="n">
        <f aca="false">SUMIFS(報告入力!$BA$7:$BA$696,報告入力!$A$7:$A$696,$S$197,報告入力!$B$7:$B$696,$A220)</f>
        <v>2386276</v>
      </c>
      <c r="J220" s="108" t="n">
        <f aca="false">SUM(H220:I220)</f>
        <v>2386276</v>
      </c>
      <c r="K220" s="188"/>
      <c r="L220" s="205" t="n">
        <f aca="false">SUMIFS(報告入力!$BC$7:$BC$696,報告入力!$A$7:$A$696,$S$197,報告入力!$B$7:$B$696,$A220)</f>
        <v>271657</v>
      </c>
      <c r="M220" s="108" t="n">
        <f aca="false">SUM(K220:L220)</f>
        <v>271657</v>
      </c>
      <c r="N220" s="188"/>
      <c r="O220" s="205" t="n">
        <f aca="false">SUMIFS(報告入力!$BE$7:$BE$696,報告入力!$A$7:$A$696,$S$197,報告入力!$B$7:$B$696,$A220)</f>
        <v>52855</v>
      </c>
      <c r="P220" s="116" t="n">
        <f aca="false">SUM(N220:O220)</f>
        <v>52855</v>
      </c>
      <c r="Q220" s="110" t="str">
        <f aca="false">IF(P155=P220,"〇","×")</f>
        <v>×</v>
      </c>
      <c r="R220" s="110" t="str">
        <f aca="false">IFERROR(INDEX(報告入力!$C$7:$C$696,MATCH($S$197&amp;"|"&amp;$A220,報告入力!$CG$7:$CG$696,0)),"")</f>
        <v>入金確認済</v>
      </c>
    </row>
    <row r="221" s="110" customFormat="true" ht="20.1" hidden="false" customHeight="true" outlineLevel="0" collapsed="false">
      <c r="A221" s="100" t="s">
        <v>176</v>
      </c>
      <c r="B221" s="186"/>
      <c r="C221" s="187"/>
      <c r="D221" s="111" t="n">
        <f aca="false">SUMIFS(報告入力!$AW$7:$AW$696,報告入力!$A$7:$A$696,$S$197,報告入力!$B$7:$B$696,$A221)</f>
        <v>100467</v>
      </c>
      <c r="E221" s="114" t="n">
        <f aca="false">SUMIFS(報告入力!$AX$7:$AX$696,報告入力!$A$7:$A$696,$S$197,報告入力!$B$7:$B$696,$A221)</f>
        <v>8235</v>
      </c>
      <c r="F221" s="113" t="n">
        <f aca="false">SUMIFS(報告入力!$AY$7:$AY$696,報告入力!$A$7:$A$696,$S$197,報告入力!$B$7:$B$696,$A221)</f>
        <v>95</v>
      </c>
      <c r="G221" s="108" t="n">
        <f aca="false">SUM(B221:F221)</f>
        <v>108797</v>
      </c>
      <c r="H221" s="188"/>
      <c r="I221" s="205" t="n">
        <f aca="false">SUMIFS(報告入力!$BA$7:$BA$696,報告入力!$A$7:$A$696,$S$197,報告入力!$B$7:$B$696,$A221)</f>
        <v>56997</v>
      </c>
      <c r="J221" s="108" t="n">
        <f aca="false">SUM(H221:I221)</f>
        <v>56997</v>
      </c>
      <c r="K221" s="188"/>
      <c r="L221" s="205" t="n">
        <f aca="false">SUMIFS(報告入力!$BC$7:$BC$696,報告入力!$A$7:$A$696,$S$197,報告入力!$B$7:$B$696,$A221)</f>
        <v>8674</v>
      </c>
      <c r="M221" s="108" t="n">
        <f aca="false">SUM(K221:L221)</f>
        <v>8674</v>
      </c>
      <c r="N221" s="188"/>
      <c r="O221" s="205" t="n">
        <f aca="false">SUMIFS(報告入力!$BE$7:$BE$696,報告入力!$A$7:$A$696,$S$197,報告入力!$B$7:$B$696,$A221)</f>
        <v>1262</v>
      </c>
      <c r="P221" s="116" t="n">
        <f aca="false">SUM(N221:O221)</f>
        <v>1262</v>
      </c>
      <c r="Q221" s="110" t="str">
        <f aca="false">IF(P156=P221,"〇","×")</f>
        <v>×</v>
      </c>
      <c r="R221" s="110" t="str">
        <f aca="false">IFERROR(INDEX(報告入力!$C$7:$C$696,MATCH($S$197&amp;"|"&amp;$A221,報告入力!$CG$7:$CG$696,0)),"")</f>
        <v>入金確認済</v>
      </c>
    </row>
    <row r="222" s="110" customFormat="true" ht="20.1" hidden="false" customHeight="true" outlineLevel="0" collapsed="false">
      <c r="A222" s="189" t="s">
        <v>177</v>
      </c>
      <c r="B222" s="186"/>
      <c r="C222" s="187"/>
      <c r="D222" s="111" t="n">
        <f aca="false">SUMIFS(報告入力!$AW$7:$AW$696,報告入力!$A$7:$A$696,$S$197,報告入力!$B$7:$B$696,$A222)</f>
        <v>761008</v>
      </c>
      <c r="E222" s="114" t="n">
        <f aca="false">SUMIFS(報告入力!$AX$7:$AX$696,報告入力!$A$7:$A$696,$S$197,報告入力!$B$7:$B$696,$A222)</f>
        <v>62378</v>
      </c>
      <c r="F222" s="113" t="n">
        <f aca="false">SUMIFS(報告入力!$AY$7:$AY$696,報告入力!$A$7:$A$696,$S$197,報告入力!$B$7:$B$696,$A222)</f>
        <v>817</v>
      </c>
      <c r="G222" s="108" t="n">
        <f aca="false">SUM(B222:F222)</f>
        <v>824203</v>
      </c>
      <c r="H222" s="188"/>
      <c r="I222" s="205" t="n">
        <f aca="false">SUMIFS(報告入力!$BA$7:$BA$696,報告入力!$A$7:$A$696,$S$197,報告入力!$B$7:$B$696,$A222)</f>
        <v>431790</v>
      </c>
      <c r="J222" s="108" t="n">
        <f aca="false">SUM(H222:I222)</f>
        <v>431790</v>
      </c>
      <c r="K222" s="188"/>
      <c r="L222" s="205" t="n">
        <f aca="false">SUMIFS(報告入力!$BC$7:$BC$696,報告入力!$A$7:$A$696,$S$197,報告入力!$B$7:$B$696,$A222)</f>
        <v>55725</v>
      </c>
      <c r="M222" s="108" t="n">
        <f aca="false">SUM(K222:L222)</f>
        <v>55725</v>
      </c>
      <c r="N222" s="188"/>
      <c r="O222" s="205" t="n">
        <f aca="false">SUMIFS(報告入力!$BE$7:$BE$696,報告入力!$A$7:$A$696,$S$197,報告入力!$B$7:$B$696,$A222)</f>
        <v>9563</v>
      </c>
      <c r="P222" s="116" t="n">
        <f aca="false">SUM(N222:O222)</f>
        <v>9563</v>
      </c>
      <c r="Q222" s="110" t="str">
        <f aca="false">IF(P157=P222,"〇","×")</f>
        <v>×</v>
      </c>
      <c r="R222" s="110" t="str">
        <f aca="false">IFERROR(INDEX(報告入力!$C$7:$C$696,MATCH($S$197&amp;"|"&amp;$A222,報告入力!$CG$7:$CG$696,0)),"")</f>
        <v>入金確認済</v>
      </c>
    </row>
    <row r="223" s="110" customFormat="true" ht="20.1" hidden="false" customHeight="true" outlineLevel="0" collapsed="false">
      <c r="A223" s="121" t="s">
        <v>178</v>
      </c>
      <c r="B223" s="186"/>
      <c r="C223" s="191"/>
      <c r="D223" s="111" t="n">
        <f aca="false">SUMIFS(報告入力!$AW$7:$AW$696,報告入力!$A$7:$A$696,$S$197,報告入力!$B$7:$B$696,$A223)</f>
        <v>97264</v>
      </c>
      <c r="E223" s="114" t="n">
        <f aca="false">SUMIFS(報告入力!$AX$7:$AX$696,報告入力!$A$7:$A$696,$S$197,報告入力!$B$7:$B$696,$A223)</f>
        <v>7972</v>
      </c>
      <c r="F223" s="113" t="n">
        <f aca="false">SUMIFS(報告入力!$AY$7:$AY$696,報告入力!$A$7:$A$696,$S$197,報告入力!$B$7:$B$696,$A223)</f>
        <v>92</v>
      </c>
      <c r="G223" s="108" t="n">
        <f aca="false">SUM(B223:F223)</f>
        <v>105328</v>
      </c>
      <c r="H223" s="188"/>
      <c r="I223" s="205" t="n">
        <f aca="false">SUMIFS(報告入力!$BA$7:$BA$696,報告入力!$A$7:$A$696,$S$197,報告入力!$B$7:$B$696,$A223)</f>
        <v>55180</v>
      </c>
      <c r="J223" s="108" t="n">
        <f aca="false">SUM(H223:I223)</f>
        <v>55180</v>
      </c>
      <c r="K223" s="188"/>
      <c r="L223" s="205" t="n">
        <f aca="false">SUMIFS(報告入力!$BC$7:$BC$696,報告入力!$A$7:$A$696,$S$197,報告入力!$B$7:$B$696,$A223)</f>
        <v>8397</v>
      </c>
      <c r="M223" s="108" t="n">
        <f aca="false">SUM(K223:L223)</f>
        <v>8397</v>
      </c>
      <c r="N223" s="188"/>
      <c r="O223" s="205" t="n">
        <f aca="false">SUMIFS(報告入力!$BE$7:$BE$696,報告入力!$A$7:$A$696,$S$197,報告入力!$B$7:$B$696,$A223)</f>
        <v>1222</v>
      </c>
      <c r="P223" s="116" t="n">
        <f aca="false">SUM(N223:O223)</f>
        <v>1222</v>
      </c>
      <c r="Q223" s="110" t="str">
        <f aca="false">IF(P158=P223,"〇","×")</f>
        <v>×</v>
      </c>
      <c r="R223" s="110" t="str">
        <f aca="false">IFERROR(INDEX(報告入力!$C$7:$C$696,MATCH($S$197&amp;"|"&amp;$A223,報告入力!$CG$7:$CG$696,0)),"")</f>
        <v>入金確認済</v>
      </c>
    </row>
    <row r="224" s="110" customFormat="true" ht="20.1" hidden="false" customHeight="true" outlineLevel="0" collapsed="false">
      <c r="A224" s="121" t="s">
        <v>179</v>
      </c>
      <c r="B224" s="186"/>
      <c r="C224" s="191"/>
      <c r="D224" s="111" t="n">
        <f aca="false">SUMIFS(報告入力!$AW$7:$AW$696,報告入力!$A$7:$A$696,$S$197,報告入力!$B$7:$B$696,$A224)</f>
        <v>0</v>
      </c>
      <c r="E224" s="114" t="n">
        <f aca="false">SUMIFS(報告入力!$AX$7:$AX$696,報告入力!$A$7:$A$696,$S$197,報告入力!$B$7:$B$696,$A224)</f>
        <v>0</v>
      </c>
      <c r="F224" s="113" t="n">
        <f aca="false">SUMIFS(報告入力!$AY$7:$AY$696,報告入力!$A$7:$A$696,$S$197,報告入力!$B$7:$B$696,$A224)</f>
        <v>0</v>
      </c>
      <c r="G224" s="108" t="n">
        <f aca="false">SUM(B224:F224)</f>
        <v>0</v>
      </c>
      <c r="H224" s="188"/>
      <c r="I224" s="205" t="n">
        <f aca="false">SUMIFS(報告入力!$BA$7:$BA$696,報告入力!$A$7:$A$696,$S$197,報告入力!$B$7:$B$696,$A224)</f>
        <v>0</v>
      </c>
      <c r="J224" s="108" t="n">
        <f aca="false">SUM(H224:I224)</f>
        <v>0</v>
      </c>
      <c r="K224" s="188"/>
      <c r="L224" s="205" t="n">
        <f aca="false">SUMIFS(報告入力!$BC$7:$BC$696,報告入力!$A$7:$A$696,$S$197,報告入力!$B$7:$B$696,$A224)</f>
        <v>0</v>
      </c>
      <c r="M224" s="108" t="n">
        <f aca="false">SUM(K224:L224)</f>
        <v>0</v>
      </c>
      <c r="N224" s="188"/>
      <c r="O224" s="205" t="n">
        <f aca="false">SUMIFS(報告入力!$BE$7:$BE$696,報告入力!$A$7:$A$696,$S$197,報告入力!$B$7:$B$696,$A224)</f>
        <v>0</v>
      </c>
      <c r="P224" s="116" t="n">
        <f aca="false">SUM(N224:O224)</f>
        <v>0</v>
      </c>
      <c r="Q224" s="110" t="str">
        <f aca="false">IF(P159=P224,"〇","×")</f>
        <v>〇</v>
      </c>
      <c r="R224" s="110" t="str">
        <f aca="false">IFERROR(INDEX(報告入力!$C$7:$C$696,MATCH($S$197&amp;"|"&amp;$A224,報告入力!$CG$7:$CG$696,0)),"")</f>
        <v>入金確認済</v>
      </c>
    </row>
    <row r="225" s="110" customFormat="true" ht="20.1" hidden="false" customHeight="true" outlineLevel="0" collapsed="false">
      <c r="A225" s="192" t="s">
        <v>180</v>
      </c>
      <c r="B225" s="186"/>
      <c r="C225" s="193"/>
      <c r="D225" s="111" t="n">
        <f aca="false">SUMIFS(報告入力!$AW$7:$AW$696,報告入力!$A$7:$A$696,$S$197,報告入力!$B$7:$B$696,$A225)</f>
        <v>406444</v>
      </c>
      <c r="E225" s="114" t="n">
        <f aca="false">SUMIFS(報告入力!$AX$7:$AX$696,報告入力!$A$7:$A$696,$S$197,報告入力!$B$7:$B$696,$A225)</f>
        <v>33315</v>
      </c>
      <c r="F225" s="113" t="n">
        <f aca="false">SUMIFS(報告入力!$AY$7:$AY$696,報告入力!$A$7:$A$696,$S$197,報告入力!$B$7:$B$696,$A225)</f>
        <v>386</v>
      </c>
      <c r="G225" s="108" t="n">
        <f aca="false">SUM(B225:F225)</f>
        <v>440145</v>
      </c>
      <c r="H225" s="188"/>
      <c r="I225" s="205" t="n">
        <f aca="false">SUMIFS(報告入力!$BA$7:$BA$696,報告入力!$A$7:$A$696,$S$197,報告入力!$B$7:$B$696,$A225)</f>
        <v>230584</v>
      </c>
      <c r="J225" s="108" t="n">
        <f aca="false">SUM(H225:I225)</f>
        <v>230584</v>
      </c>
      <c r="K225" s="188"/>
      <c r="L225" s="205" t="n">
        <f aca="false">SUMIFS(報告入力!$BC$7:$BC$696,報告入力!$A$7:$A$696,$S$197,報告入力!$B$7:$B$696,$A225)</f>
        <v>27744</v>
      </c>
      <c r="M225" s="108" t="n">
        <f aca="false">SUM(K225:L225)</f>
        <v>27744</v>
      </c>
      <c r="N225" s="188"/>
      <c r="O225" s="205" t="n">
        <f aca="false">SUMIFS(報告入力!$BE$7:$BE$696,報告入力!$A$7:$A$696,$S$197,報告入力!$B$7:$B$696,$A225)</f>
        <v>5108</v>
      </c>
      <c r="P225" s="116" t="n">
        <f aca="false">SUM(N225:O225)</f>
        <v>5108</v>
      </c>
      <c r="Q225" s="110" t="str">
        <f aca="false">IF(P160=P225,"〇","×")</f>
        <v>×</v>
      </c>
      <c r="R225" s="110" t="str">
        <f aca="false">IFERROR(INDEX(報告入力!$C$7:$C$696,MATCH($S$197&amp;"|"&amp;$A225,報告入力!$CG$7:$CG$696,0)),"")</f>
        <v>入金確認済</v>
      </c>
    </row>
    <row r="226" s="110" customFormat="true" ht="20.1" hidden="false" customHeight="true" outlineLevel="0" collapsed="false">
      <c r="A226" s="100" t="s">
        <v>181</v>
      </c>
      <c r="B226" s="117" t="n">
        <f aca="false">SUMIFS(報告入力!$AU$7:$AU$696,報告入力!$A$7:$A$696,$S$197,報告入力!$B$7:$B$696,$A226)</f>
        <v>472780</v>
      </c>
      <c r="C226" s="113" t="n">
        <f aca="false">SUMIFS(報告入力!$AV$7:$AV$696,報告入力!$A$7:$A$696,$S$197,報告入力!$B$7:$B$696,$A226)</f>
        <v>38752</v>
      </c>
      <c r="D226" s="111" t="n">
        <f aca="false">SUMIFS(報告入力!$AW$7:$AW$696,報告入力!$A$7:$A$696,$S$197,報告入力!$B$7:$B$696,$A226)</f>
        <v>472781</v>
      </c>
      <c r="E226" s="114" t="n">
        <f aca="false">SUMIFS(報告入力!$AX$7:$AX$696,報告入力!$A$7:$A$696,$S$197,報告入力!$B$7:$B$696,$A226)</f>
        <v>38752</v>
      </c>
      <c r="F226" s="113" t="n">
        <f aca="false">SUMIFS(報告入力!$AY$7:$AY$696,報告入力!$A$7:$A$696,$S$197,報告入力!$B$7:$B$696,$A226)</f>
        <v>449</v>
      </c>
      <c r="G226" s="108" t="n">
        <f aca="false">SUM(B226:F226)</f>
        <v>1023514</v>
      </c>
      <c r="H226" s="114" t="n">
        <f aca="false">SUMIFS(報告入力!$AZ$7:$AZ$696,報告入力!$A$7:$A$696,$S$197,報告入力!$B$7:$B$696,$A226)</f>
        <v>267959</v>
      </c>
      <c r="I226" s="205" t="n">
        <f aca="false">SUMIFS(報告入力!$BA$7:$BA$696,報告入力!$A$7:$A$696,$S$197,報告入力!$B$7:$B$696,$A226)</f>
        <v>268218</v>
      </c>
      <c r="J226" s="108" t="n">
        <f aca="false">SUM(H226:I226)</f>
        <v>536177</v>
      </c>
      <c r="K226" s="205" t="n">
        <f aca="false">SUMIFS(報告入力!$BB$7:$BB$696,報告入力!$A$7:$A$696,$S$197,報告入力!$B$7:$B$696,$A226)</f>
        <v>19702</v>
      </c>
      <c r="L226" s="205" t="n">
        <f aca="false">SUMIFS(報告入力!$BC$7:$BC$696,報告入力!$A$7:$A$696,$S$197,報告入力!$B$7:$B$696,$A226)</f>
        <v>19702</v>
      </c>
      <c r="M226" s="108" t="n">
        <f aca="false">SUM(K226:L226)</f>
        <v>39404</v>
      </c>
      <c r="N226" s="205" t="n">
        <f aca="false">SUMIFS(報告入力!$BD$7:$BD$696,報告入力!$A$7:$A$696,$S$197,報告入力!$B$7:$B$696,$A226)</f>
        <v>5940</v>
      </c>
      <c r="O226" s="205" t="n">
        <f aca="false">SUMIFS(報告入力!$BE$7:$BE$696,報告入力!$A$7:$A$696,$S$197,報告入力!$B$7:$B$696,$A226)</f>
        <v>5942</v>
      </c>
      <c r="P226" s="116" t="n">
        <f aca="false">SUM(N226:O226)</f>
        <v>11882</v>
      </c>
      <c r="Q226" s="110" t="str">
        <f aca="false">IF(P161=P226,"〇","×")</f>
        <v>×</v>
      </c>
      <c r="R226" s="110" t="str">
        <f aca="false">IFERROR(INDEX(報告入力!$C$7:$C$696,MATCH($S$197&amp;"|"&amp;$A226,報告入力!$CG$7:$CG$696,0)),"")</f>
        <v>入金確認済</v>
      </c>
    </row>
    <row r="227" s="110" customFormat="true" ht="20.1" hidden="false" customHeight="true" outlineLevel="0" collapsed="false">
      <c r="A227" s="194" t="s">
        <v>182</v>
      </c>
      <c r="B227" s="111" t="n">
        <f aca="false">SUMIFS(報告入力!$AU$7:$AU$696,報告入力!$A$7:$A$696,$S$197,報告入力!$B$7:$B$696,$A227)</f>
        <v>73474</v>
      </c>
      <c r="C227" s="113" t="n">
        <f aca="false">SUMIFS(報告入力!$AV$7:$AV$696,報告入力!$A$7:$A$696,$S$197,報告入力!$B$7:$B$696,$A227)</f>
        <v>6022</v>
      </c>
      <c r="D227" s="111" t="n">
        <f aca="false">SUMIFS(報告入力!$AW$7:$AW$696,報告入力!$A$7:$A$696,$S$197,報告入力!$B$7:$B$696,$A227)</f>
        <v>73475</v>
      </c>
      <c r="E227" s="114" t="n">
        <f aca="false">SUMIFS(報告入力!$AX$7:$AX$696,報告入力!$A$7:$A$696,$S$197,報告入力!$B$7:$B$696,$A227)</f>
        <v>6022</v>
      </c>
      <c r="F227" s="113" t="n">
        <f aca="false">SUMIFS(報告入力!$AY$7:$AY$696,報告入力!$A$7:$A$696,$S$197,報告入力!$B$7:$B$696,$A227)</f>
        <v>69</v>
      </c>
      <c r="G227" s="108" t="n">
        <f aca="false">SUM(B227:F227)</f>
        <v>159062</v>
      </c>
      <c r="H227" s="114" t="n">
        <f aca="false">SUMIFS(報告入力!$AZ$7:$AZ$696,報告入力!$A$7:$A$696,$S$197,報告入力!$B$7:$B$696,$A227)</f>
        <v>41643</v>
      </c>
      <c r="I227" s="205" t="n">
        <f aca="false">SUMIFS(報告入力!$BA$7:$BA$696,報告入力!$A$7:$A$696,$S$197,報告入力!$B$7:$B$696,$A227)</f>
        <v>41683</v>
      </c>
      <c r="J227" s="108" t="n">
        <f aca="false">SUM(H227:I227)</f>
        <v>83326</v>
      </c>
      <c r="K227" s="114" t="n">
        <f aca="false">SUMIFS(報告入力!$BB$7:$BB$696,報告入力!$A$7:$A$696,$S$197,報告入力!$B$7:$B$696,$A227)</f>
        <v>0</v>
      </c>
      <c r="L227" s="205" t="n">
        <f aca="false">SUMIFS(報告入力!$BC$7:$BC$696,報告入力!$A$7:$A$696,$S$197,報告入力!$B$7:$B$696,$A227)</f>
        <v>0</v>
      </c>
      <c r="M227" s="108" t="n">
        <f aca="false">SUM(K227:L227)</f>
        <v>0</v>
      </c>
      <c r="N227" s="114" t="n">
        <f aca="false">SUMIFS(報告入力!$BD$7:$BD$696,報告入力!$A$7:$A$696,$S$197,報告入力!$B$7:$B$696,$A227)</f>
        <v>923</v>
      </c>
      <c r="O227" s="205" t="n">
        <f aca="false">SUMIFS(報告入力!$BE$7:$BE$696,報告入力!$A$7:$A$696,$S$197,報告入力!$B$7:$B$696,$A227)</f>
        <v>923</v>
      </c>
      <c r="P227" s="116" t="n">
        <f aca="false">SUM(N227:O227)</f>
        <v>1846</v>
      </c>
      <c r="Q227" s="110" t="str">
        <f aca="false">IF(P162=P227,"〇","×")</f>
        <v>×</v>
      </c>
      <c r="R227" s="110" t="str">
        <f aca="false">IFERROR(INDEX(報告入力!$C$7:$C$696,MATCH($S$197&amp;"|"&amp;$A227,報告入力!$CG$7:$CG$696,0)),"")</f>
        <v>入金確認済</v>
      </c>
    </row>
    <row r="228" s="110" customFormat="true" ht="20.1" hidden="false" customHeight="true" outlineLevel="0" collapsed="false">
      <c r="A228" s="197" t="s">
        <v>183</v>
      </c>
      <c r="B228" s="117" t="n">
        <f aca="false">SUMIFS(報告入力!$AU$7:$AU$696,報告入力!$A$7:$A$696,$S$197,報告入力!$B$7:$B$696,$A228)</f>
        <v>191783</v>
      </c>
      <c r="C228" s="113" t="n">
        <f aca="false">SUMIFS(報告入力!$AV$7:$AV$696,報告入力!$A$7:$A$696,$S$197,報告入力!$B$7:$B$696,$A228)</f>
        <v>15719</v>
      </c>
      <c r="D228" s="111" t="n">
        <f aca="false">SUMIFS(報告入力!$AW$7:$AW$696,報告入力!$A$7:$A$696,$S$197,報告入力!$B$7:$B$696,$A228)</f>
        <v>191785</v>
      </c>
      <c r="E228" s="114" t="n">
        <f aca="false">SUMIFS(報告入力!$AX$7:$AX$696,報告入力!$A$7:$A$696,$S$197,報告入力!$B$7:$B$696,$A228)</f>
        <v>15720</v>
      </c>
      <c r="F228" s="113" t="n">
        <f aca="false">SUMIFS(報告入力!$AY$7:$AY$696,報告入力!$A$7:$A$696,$S$197,報告入力!$B$7:$B$696,$A228)</f>
        <v>182</v>
      </c>
      <c r="G228" s="108" t="n">
        <f aca="false">SUM(B228:F228)</f>
        <v>415189</v>
      </c>
      <c r="H228" s="114" t="n">
        <f aca="false">SUMIFS(報告入力!$AZ$7:$AZ$696,報告入力!$A$7:$A$696,$S$197,報告入力!$B$7:$B$696,$A228)</f>
        <v>108698</v>
      </c>
      <c r="I228" s="205" t="n">
        <f aca="false">SUMIFS(報告入力!$BA$7:$BA$696,報告入力!$A$7:$A$696,$S$197,報告入力!$B$7:$B$696,$A228)</f>
        <v>108803</v>
      </c>
      <c r="J228" s="108" t="n">
        <f aca="false">SUM(H228:I228)</f>
        <v>217501</v>
      </c>
      <c r="K228" s="205" t="n">
        <f aca="false">SUMIFS(報告入力!$BB$7:$BB$696,報告入力!$A$7:$A$696,$S$197,報告入力!$B$7:$B$696,$A228)</f>
        <v>16558</v>
      </c>
      <c r="L228" s="205" t="n">
        <f aca="false">SUMIFS(報告入力!$BC$7:$BC$696,報告入力!$A$7:$A$696,$S$197,報告入力!$B$7:$B$696,$A228)</f>
        <v>16558</v>
      </c>
      <c r="M228" s="108" t="n">
        <f aca="false">SUM(K228:L228)</f>
        <v>33116</v>
      </c>
      <c r="N228" s="205" t="n">
        <f aca="false">SUMIFS(報告入力!$BD$7:$BD$696,報告入力!$A$7:$A$696,$S$197,報告入力!$B$7:$B$696,$A228)</f>
        <v>2410</v>
      </c>
      <c r="O228" s="205" t="n">
        <f aca="false">SUMIFS(報告入力!$BE$7:$BE$696,報告入力!$A$7:$A$696,$S$197,報告入力!$B$7:$B$696,$A228)</f>
        <v>2410</v>
      </c>
      <c r="P228" s="116" t="n">
        <f aca="false">SUM(N228:O228)</f>
        <v>4820</v>
      </c>
      <c r="Q228" s="110" t="str">
        <f aca="false">IF(P163=P228,"〇","×")</f>
        <v>×</v>
      </c>
      <c r="R228" s="110" t="str">
        <f aca="false">IFERROR(INDEX(報告入力!$C$7:$C$696,MATCH($S$197&amp;"|"&amp;$A228,報告入力!$CG$7:$CG$696,0)),"")</f>
        <v>入金確認済</v>
      </c>
    </row>
    <row r="229" s="110" customFormat="true" ht="20.1" hidden="false" customHeight="true" outlineLevel="0" collapsed="false">
      <c r="A229" s="100" t="s">
        <v>184</v>
      </c>
      <c r="B229" s="117" t="n">
        <f aca="false">SUMIFS(報告入力!$AU$7:$AU$696,報告入力!$A$7:$A$696,$S$197,報告入力!$B$7:$B$696,$A229)</f>
        <v>1493001</v>
      </c>
      <c r="C229" s="113" t="n">
        <f aca="false">SUMIFS(報告入力!$AV$7:$AV$696,報告入力!$A$7:$A$696,$S$197,報告入力!$B$7:$B$696,$A229)</f>
        <v>122373</v>
      </c>
      <c r="D229" s="111" t="n">
        <f aca="false">SUMIFS(報告入力!$AW$7:$AW$696,報告入力!$A$7:$A$696,$S$197,報告入力!$B$7:$B$696,$A229)</f>
        <v>1493006</v>
      </c>
      <c r="E229" s="114" t="n">
        <f aca="false">SUMIFS(報告入力!$AX$7:$AX$696,報告入力!$A$7:$A$696,$S$197,報告入力!$B$7:$B$696,$A229)</f>
        <v>122378</v>
      </c>
      <c r="F229" s="113" t="n">
        <f aca="false">SUMIFS(報告入力!$AY$7:$AY$696,報告入力!$A$7:$A$696,$S$197,報告入力!$B$7:$B$696,$A229)</f>
        <v>1474</v>
      </c>
      <c r="G229" s="108" t="n">
        <f aca="false">SUM(B229:F229)</f>
        <v>3232232</v>
      </c>
      <c r="H229" s="114" t="n">
        <f aca="false">SUMIFS(報告入力!$AZ$7:$AZ$696,報告入力!$A$7:$A$696,$S$197,報告入力!$B$7:$B$696,$A229)</f>
        <v>846191</v>
      </c>
      <c r="I229" s="205" t="n">
        <f aca="false">SUMIFS(報告入力!$BA$7:$BA$696,報告入力!$A$7:$A$696,$S$197,報告入力!$B$7:$B$696,$A229)</f>
        <v>847048</v>
      </c>
      <c r="J229" s="108" t="n">
        <f aca="false">SUM(H229:I229)</f>
        <v>1693239</v>
      </c>
      <c r="K229" s="205" t="n">
        <f aca="false">SUMIFS(報告入力!$BB$7:$BB$696,報告入力!$A$7:$A$696,$S$197,報告入力!$B$7:$B$696,$A229)</f>
        <v>85096</v>
      </c>
      <c r="L229" s="205" t="n">
        <f aca="false">SUMIFS(報告入力!$BC$7:$BC$696,報告入力!$A$7:$A$696,$S$197,報告入力!$B$7:$B$696,$A229)</f>
        <v>85098</v>
      </c>
      <c r="M229" s="108" t="n">
        <f aca="false">SUM(K229:L229)</f>
        <v>170194</v>
      </c>
      <c r="N229" s="205" t="n">
        <f aca="false">SUMIFS(報告入力!$BD$7:$BD$696,報告入力!$A$7:$A$696,$S$197,報告入力!$B$7:$B$696,$A229)</f>
        <v>18756</v>
      </c>
      <c r="O229" s="205" t="n">
        <f aca="false">SUMIFS(報告入力!$BE$7:$BE$696,報告入力!$A$7:$A$696,$S$197,報告入力!$B$7:$B$696,$A229)</f>
        <v>18765</v>
      </c>
      <c r="P229" s="116" t="n">
        <f aca="false">SUM(N229:O229)</f>
        <v>37521</v>
      </c>
      <c r="Q229" s="110" t="str">
        <f aca="false">IF(P164=P229,"〇","×")</f>
        <v>×</v>
      </c>
      <c r="R229" s="110" t="str">
        <f aca="false">IFERROR(INDEX(報告入力!$C$7:$C$696,MATCH($S$197&amp;"|"&amp;$A229,報告入力!$CG$7:$CG$696,0)),"")</f>
        <v>入金確認済</v>
      </c>
    </row>
    <row r="230" s="110" customFormat="true" ht="20.1" hidden="false" customHeight="true" outlineLevel="0" collapsed="false">
      <c r="A230" s="100" t="s">
        <v>185</v>
      </c>
      <c r="B230" s="201"/>
      <c r="C230" s="191"/>
      <c r="D230" s="111" t="n">
        <f aca="false">SUMIFS(報告入力!$AW$7:$AW$696,報告入力!$A$7:$A$696,$S$197,報告入力!$B$7:$B$696,$A230)</f>
        <v>1167447</v>
      </c>
      <c r="E230" s="114" t="n">
        <f aca="false">SUMIFS(報告入力!$AX$7:$AX$696,報告入力!$A$7:$A$696,$S$197,報告入力!$B$7:$B$696,$A230)</f>
        <v>95691</v>
      </c>
      <c r="F230" s="113" t="n">
        <f aca="false">SUMIFS(報告入力!$AY$7:$AY$696,報告入力!$A$7:$A$696,$S$197,報告入力!$B$7:$B$696,$A230)</f>
        <v>1105</v>
      </c>
      <c r="G230" s="108" t="n">
        <f aca="false">SUM(B230:F230)</f>
        <v>1264243</v>
      </c>
      <c r="H230" s="202"/>
      <c r="I230" s="205" t="n">
        <f aca="false">SUMIFS(報告入力!$BA$7:$BA$696,報告入力!$A$7:$A$696,$S$197,報告入力!$B$7:$B$696,$A230)</f>
        <v>662316</v>
      </c>
      <c r="J230" s="108" t="n">
        <f aca="false">SUM(H230:I230)</f>
        <v>662316</v>
      </c>
      <c r="K230" s="188"/>
      <c r="L230" s="205" t="n">
        <f aca="false">SUMIFS(報告入力!$BC$7:$BC$696,報告入力!$A$7:$A$696,$S$197,報告入力!$B$7:$B$696,$A230)</f>
        <v>56658</v>
      </c>
      <c r="M230" s="108" t="n">
        <f aca="false">SUM(K230:L230)</f>
        <v>56658</v>
      </c>
      <c r="N230" s="188"/>
      <c r="O230" s="205" t="n">
        <f aca="false">SUMIFS(報告入力!$BE$7:$BE$696,報告入力!$A$7:$A$696,$S$197,報告入力!$B$7:$B$696,$A230)</f>
        <v>14669</v>
      </c>
      <c r="P230" s="108" t="n">
        <f aca="false">SUM(N230:O230)</f>
        <v>14669</v>
      </c>
      <c r="Q230" s="110" t="str">
        <f aca="false">IF(P165=P230,"〇","×")</f>
        <v>×</v>
      </c>
      <c r="R230" s="110" t="str">
        <f aca="false">IFERROR(INDEX(報告入力!$C$7:$C$696,MATCH($S$197&amp;"|"&amp;$A230,報告入力!$CG$7:$CG$696,0)),"")</f>
        <v>入金確認済</v>
      </c>
    </row>
    <row r="231" s="110" customFormat="true" ht="20.1" hidden="false" customHeight="true" outlineLevel="0" collapsed="false">
      <c r="A231" s="203" t="s">
        <v>186</v>
      </c>
      <c r="B231" s="186"/>
      <c r="C231" s="193"/>
      <c r="D231" s="111" t="n">
        <f aca="false">SUMIFS(報告入力!$AW$7:$AW$696,報告入力!$A$7:$A$696,$S$197,報告入力!$B$7:$B$696,$A231)</f>
        <v>2185941</v>
      </c>
      <c r="E231" s="114" t="n">
        <f aca="false">SUMIFS(報告入力!$AX$7:$AX$696,報告入力!$A$7:$A$696,$S$197,報告入力!$B$7:$B$696,$A231)</f>
        <v>179172</v>
      </c>
      <c r="F231" s="113" t="n">
        <f aca="false">SUMIFS(報告入力!$AY$7:$AY$696,報告入力!$A$7:$A$696,$S$197,報告入力!$B$7:$B$696,$A231)</f>
        <v>2073</v>
      </c>
      <c r="G231" s="108" t="n">
        <f aca="false">SUM(B231:F231)</f>
        <v>2367186</v>
      </c>
      <c r="H231" s="188"/>
      <c r="I231" s="205" t="n">
        <f aca="false">SUMIFS(報告入力!$BA$7:$BA$696,報告入力!$A$7:$A$696,$S$197,報告入力!$B$7:$B$696,$A231)</f>
        <v>1240127</v>
      </c>
      <c r="J231" s="108" t="n">
        <f aca="false">SUM(H231:I231)</f>
        <v>1240127</v>
      </c>
      <c r="K231" s="188"/>
      <c r="L231" s="205" t="n">
        <f aca="false">SUMIFS(報告入力!$BC$7:$BC$696,報告入力!$A$7:$A$696,$S$197,報告入力!$B$7:$B$696,$A231)</f>
        <v>181974</v>
      </c>
      <c r="M231" s="108" t="n">
        <f aca="false">SUM(K231:L231)</f>
        <v>181974</v>
      </c>
      <c r="N231" s="188"/>
      <c r="O231" s="205" t="n">
        <f aca="false">SUMIFS(報告入力!$BE$7:$BE$696,報告入力!$A$7:$A$696,$S$197,報告入力!$B$7:$B$696,$A231)</f>
        <v>27471</v>
      </c>
      <c r="P231" s="108" t="n">
        <f aca="false">SUM(N231:O231)</f>
        <v>27471</v>
      </c>
      <c r="Q231" s="110" t="str">
        <f aca="false">IF(P166=P231,"〇","×")</f>
        <v>×</v>
      </c>
      <c r="R231" s="110" t="str">
        <f aca="false">IFERROR(INDEX(報告入力!$C$7:$C$696,MATCH($S$197&amp;"|"&amp;$A231,報告入力!$CG$7:$CG$696,0)),"")</f>
        <v>入金確認済</v>
      </c>
    </row>
    <row r="232" s="110" customFormat="true" ht="20.1" hidden="false" customHeight="true" outlineLevel="0" collapsed="false">
      <c r="A232" s="204" t="s">
        <v>187</v>
      </c>
      <c r="B232" s="186"/>
      <c r="C232" s="193"/>
      <c r="D232" s="111" t="n">
        <f aca="false">SUMIFS(報告入力!$AW$7:$AW$696,報告入力!$A$7:$A$696,$S$197,報告入力!$B$7:$B$696,$A232)</f>
        <v>0</v>
      </c>
      <c r="E232" s="114" t="n">
        <f aca="false">SUMIFS(報告入力!$AX$7:$AX$696,報告入力!$A$7:$A$696,$S$197,報告入力!$B$7:$B$696,$A232)</f>
        <v>0</v>
      </c>
      <c r="F232" s="113" t="n">
        <f aca="false">SUMIFS(報告入力!$AY$7:$AY$696,報告入力!$A$7:$A$696,$S$197,報告入力!$B$7:$B$696,$A232)</f>
        <v>0</v>
      </c>
      <c r="G232" s="108" t="n">
        <f aca="false">SUM(B232:F232)</f>
        <v>0</v>
      </c>
      <c r="H232" s="188"/>
      <c r="I232" s="205" t="n">
        <f aca="false">SUMIFS(報告入力!$BA$7:$BA$696,報告入力!$A$7:$A$696,$S$197,報告入力!$B$7:$B$696,$A232)</f>
        <v>0</v>
      </c>
      <c r="J232" s="108" t="n">
        <f aca="false">SUM(H232:I232)</f>
        <v>0</v>
      </c>
      <c r="K232" s="188"/>
      <c r="L232" s="205" t="n">
        <f aca="false">SUMIFS(報告入力!$BC$7:$BC$696,報告入力!$A$7:$A$696,$S$197,報告入力!$B$7:$B$696,$A232)</f>
        <v>0</v>
      </c>
      <c r="M232" s="108" t="n">
        <f aca="false">SUM(K232:L232)</f>
        <v>0</v>
      </c>
      <c r="N232" s="188"/>
      <c r="O232" s="205" t="n">
        <f aca="false">SUMIFS(報告入力!$BE$7:$BE$696,報告入力!$A$7:$A$696,$S$197,報告入力!$B$7:$B$696,$A232)</f>
        <v>0</v>
      </c>
      <c r="P232" s="108" t="n">
        <f aca="false">SUM(N232:O232)</f>
        <v>0</v>
      </c>
      <c r="Q232" s="110" t="str">
        <f aca="false">IF(P167=P232,"〇","×")</f>
        <v>〇</v>
      </c>
      <c r="R232" s="110" t="str">
        <f aca="false">IFERROR(INDEX(報告入力!$C$7:$C$696,MATCH($S$197&amp;"|"&amp;$A232,報告入力!$CG$7:$CG$696,0)),"")</f>
        <v>入金確認済</v>
      </c>
    </row>
    <row r="233" s="110" customFormat="true" ht="20.1" hidden="false" customHeight="true" outlineLevel="0" collapsed="false">
      <c r="A233" s="100" t="s">
        <v>188</v>
      </c>
      <c r="B233" s="186"/>
      <c r="C233" s="193"/>
      <c r="D233" s="111" t="n">
        <f aca="false">SUMIFS(報告入力!$AW$7:$AW$696,報告入力!$A$7:$A$696,$S$197,報告入力!$B$7:$B$696,$A233)</f>
        <v>917199</v>
      </c>
      <c r="E233" s="114" t="n">
        <f aca="false">SUMIFS(報告入力!$AX$7:$AX$696,報告入力!$A$7:$A$696,$S$197,報告入力!$B$7:$B$696,$A233)</f>
        <v>75179</v>
      </c>
      <c r="F233" s="113" t="n">
        <f aca="false">SUMIFS(報告入力!$AY$7:$AY$696,報告入力!$A$7:$A$696,$S$197,報告入力!$B$7:$B$696,$A233)</f>
        <v>869</v>
      </c>
      <c r="G233" s="108" t="n">
        <f aca="false">SUM(B233:F233)</f>
        <v>993247</v>
      </c>
      <c r="H233" s="188"/>
      <c r="I233" s="205" t="n">
        <f aca="false">SUMIFS(報告入力!$BA$7:$BA$696,報告入力!$A$7:$A$696,$S$197,報告入力!$B$7:$B$696,$A233)</f>
        <v>520344</v>
      </c>
      <c r="J233" s="108" t="n">
        <f aca="false">SUM(H233:I233)</f>
        <v>520344</v>
      </c>
      <c r="K233" s="188"/>
      <c r="L233" s="205" t="n">
        <f aca="false">SUMIFS(報告入力!$BC$7:$BC$696,報告入力!$A$7:$A$696,$S$197,報告入力!$B$7:$B$696,$A233)</f>
        <v>79187</v>
      </c>
      <c r="M233" s="108" t="n">
        <f aca="false">SUM(K233:L233)</f>
        <v>79187</v>
      </c>
      <c r="N233" s="188"/>
      <c r="O233" s="205" t="n">
        <f aca="false">SUMIFS(報告入力!$BE$7:$BE$696,報告入力!$A$7:$A$696,$S$197,報告入力!$B$7:$B$696,$A233)</f>
        <v>11526</v>
      </c>
      <c r="P233" s="108" t="n">
        <f aca="false">SUM(N233:O233)</f>
        <v>11526</v>
      </c>
      <c r="Q233" s="110" t="str">
        <f aca="false">IF(P168=P233,"〇","×")</f>
        <v>×</v>
      </c>
      <c r="R233" s="110" t="str">
        <f aca="false">IFERROR(INDEX(報告入力!$C$7:$C$696,MATCH($S$197&amp;"|"&amp;$A233,報告入力!$CG$7:$CG$696,0)),"")</f>
        <v>入金確認済</v>
      </c>
    </row>
    <row r="234" s="110" customFormat="true" ht="20.1" hidden="false" customHeight="true" outlineLevel="0" collapsed="false">
      <c r="A234" s="121" t="s">
        <v>189</v>
      </c>
      <c r="B234" s="117" t="n">
        <f aca="false">SUMIFS(報告入力!$AU$7:$AU$696,報告入力!$A$7:$A$696,$S$197,報告入力!$B$7:$B$696,$A234)</f>
        <v>295178</v>
      </c>
      <c r="C234" s="113" t="n">
        <f aca="false">SUMIFS(報告入力!$AV$7:$AV$696,報告入力!$A$7:$A$696,$S$197,報告入力!$B$7:$B$696,$A234)</f>
        <v>24194</v>
      </c>
      <c r="D234" s="111" t="n">
        <f aca="false">SUMIFS(報告入力!$AW$7:$AW$696,報告入力!$A$7:$A$696,$S$197,報告入力!$B$7:$B$696,$A234)</f>
        <v>295180</v>
      </c>
      <c r="E234" s="114" t="n">
        <f aca="false">SUMIFS(報告入力!$AX$7:$AX$696,報告入力!$A$7:$A$696,$S$197,報告入力!$B$7:$B$696,$A234)</f>
        <v>24195</v>
      </c>
      <c r="F234" s="113" t="n">
        <f aca="false">SUMIFS(報告入力!$AY$7:$AY$696,報告入力!$A$7:$A$696,$S$197,報告入力!$B$7:$B$696,$A234)</f>
        <v>280</v>
      </c>
      <c r="G234" s="108" t="n">
        <f aca="false">SUM(B234:F234)</f>
        <v>639027</v>
      </c>
      <c r="H234" s="114" t="n">
        <f aca="false">SUMIFS(報告入力!$AZ$7:$AZ$696,報告入力!$A$7:$A$696,$S$197,報告入力!$B$7:$B$696,$A234)</f>
        <v>167299</v>
      </c>
      <c r="I234" s="205" t="n">
        <f aca="false">SUMIFS(報告入力!$BA$7:$BA$696,報告入力!$A$7:$A$696,$S$197,報告入力!$B$7:$B$696,$A234)</f>
        <v>167461</v>
      </c>
      <c r="J234" s="108" t="n">
        <f aca="false">SUM(H234:I234)</f>
        <v>334760</v>
      </c>
      <c r="K234" s="205" t="n">
        <f aca="false">SUMIFS(報告入力!$BB$7:$BB$696,報告入力!$A$7:$A$696,$S$197,報告入力!$B$7:$B$696,$A234)</f>
        <v>18983</v>
      </c>
      <c r="L234" s="205" t="n">
        <f aca="false">SUMIFS(報告入力!$BC$7:$BC$696,報告入力!$A$7:$A$696,$S$197,報告入力!$B$7:$B$696,$A234)</f>
        <v>18983</v>
      </c>
      <c r="M234" s="108" t="n">
        <f aca="false">SUM(K234:L234)</f>
        <v>37966</v>
      </c>
      <c r="N234" s="205" t="n">
        <f aca="false">SUMIFS(報告入力!$BD$7:$BD$696,報告入力!$A$7:$A$696,$S$197,報告入力!$B$7:$B$696,$A234)</f>
        <v>3709</v>
      </c>
      <c r="O234" s="205" t="n">
        <f aca="false">SUMIFS(報告入力!$BE$7:$BE$696,報告入力!$A$7:$A$696,$S$197,報告入力!$B$7:$B$696,$A234)</f>
        <v>3709</v>
      </c>
      <c r="P234" s="108" t="n">
        <f aca="false">SUM(N234:O234)</f>
        <v>7418</v>
      </c>
      <c r="Q234" s="110" t="str">
        <f aca="false">IF(P169=P234,"〇","×")</f>
        <v>×</v>
      </c>
      <c r="R234" s="110" t="str">
        <f aca="false">IFERROR(INDEX(報告入力!$C$7:$C$696,MATCH($S$197&amp;"|"&amp;$A234,報告入力!$CG$7:$CG$696,0)),"")</f>
        <v>入金確認済</v>
      </c>
    </row>
    <row r="235" s="110" customFormat="true" ht="20.1" hidden="false" customHeight="true" outlineLevel="0" collapsed="false">
      <c r="A235" s="206" t="s">
        <v>190</v>
      </c>
      <c r="B235" s="201"/>
      <c r="C235" s="191"/>
      <c r="D235" s="111" t="n">
        <f aca="false">SUMIFS(報告入力!$AW$7:$AW$696,報告入力!$A$7:$A$696,$S$197,報告入力!$B$7:$B$696,$A235)</f>
        <v>866873</v>
      </c>
      <c r="E235" s="114" t="n">
        <f aca="false">SUMIFS(報告入力!$AX$7:$AX$696,報告入力!$A$7:$A$696,$S$197,報告入力!$B$7:$B$696,$A235)</f>
        <v>71055</v>
      </c>
      <c r="F235" s="113" t="n">
        <f aca="false">SUMIFS(報告入力!$AY$7:$AY$696,報告入力!$A$7:$A$696,$S$197,報告入力!$B$7:$B$696,$A235)</f>
        <v>823</v>
      </c>
      <c r="G235" s="108" t="n">
        <f aca="false">SUM(B235:F235)</f>
        <v>938751</v>
      </c>
      <c r="H235" s="202"/>
      <c r="I235" s="205" t="n">
        <f aca="false">SUMIFS(報告入力!$BA$7:$BA$696,報告入力!$A$7:$A$696,$S$197,報告入力!$B$7:$B$696,$A235)</f>
        <v>491795</v>
      </c>
      <c r="J235" s="108" t="n">
        <f aca="false">SUM(H235:I235)</f>
        <v>491795</v>
      </c>
      <c r="K235" s="188"/>
      <c r="L235" s="205" t="n">
        <f aca="false">SUMIFS(報告入力!$BC$7:$BC$696,報告入力!$A$7:$A$696,$S$197,報告入力!$B$7:$B$696,$A235)</f>
        <v>42612</v>
      </c>
      <c r="M235" s="108" t="n">
        <f aca="false">SUM(K235:L235)</f>
        <v>42612</v>
      </c>
      <c r="N235" s="188"/>
      <c r="O235" s="205" t="n">
        <f aca="false">SUMIFS(報告入力!$BE$7:$BE$696,報告入力!$A$7:$A$696,$S$197,報告入力!$B$7:$B$696,$A235)</f>
        <v>10895</v>
      </c>
      <c r="P235" s="108" t="n">
        <f aca="false">SUM(N235:O235)</f>
        <v>10895</v>
      </c>
      <c r="Q235" s="110" t="str">
        <f aca="false">IF(P170=P235,"〇","×")</f>
        <v>×</v>
      </c>
      <c r="R235" s="110" t="str">
        <f aca="false">IFERROR(INDEX(報告入力!$C$7:$C$696,MATCH($S$197&amp;"|"&amp;$A235,報告入力!$CG$7:$CG$696,0)),"")</f>
        <v>入金確認済</v>
      </c>
    </row>
    <row r="236" s="110" customFormat="true" ht="20.1" hidden="false" customHeight="true" outlineLevel="0" collapsed="false">
      <c r="A236" s="189" t="s">
        <v>191</v>
      </c>
      <c r="B236" s="117" t="n">
        <f aca="false">SUMIFS(報告入力!$AU$7:$AU$696,報告入力!$A$7:$A$696,$S$197,報告入力!$B$7:$B$696,$A236)</f>
        <v>118309</v>
      </c>
      <c r="C236" s="113" t="n">
        <f aca="false">SUMIFS(報告入力!$AV$7:$AV$696,報告入力!$A$7:$A$696,$S$197,報告入力!$B$7:$B$696,$A236)</f>
        <v>9697</v>
      </c>
      <c r="D236" s="111" t="n">
        <f aca="false">SUMIFS(報告入力!$AW$7:$AW$696,報告入力!$A$7:$A$696,$S$197,報告入力!$B$7:$B$696,$A236)</f>
        <v>118310</v>
      </c>
      <c r="E236" s="114" t="n">
        <f aca="false">SUMIFS(報告入力!$AX$7:$AX$696,報告入力!$A$7:$A$696,$S$197,報告入力!$B$7:$B$696,$A236)</f>
        <v>9697</v>
      </c>
      <c r="F236" s="113" t="n">
        <f aca="false">SUMIFS(報告入力!$AY$7:$AY$696,報告入力!$A$7:$A$696,$S$197,報告入力!$B$7:$B$696,$A236)</f>
        <v>112</v>
      </c>
      <c r="G236" s="108" t="n">
        <f aca="false">SUM(B236:F236)</f>
        <v>256125</v>
      </c>
      <c r="H236" s="114" t="n">
        <f aca="false">SUMIFS(報告入力!$AZ$7:$AZ$696,報告入力!$A$7:$A$696,$S$197,報告入力!$B$7:$B$696,$A236)</f>
        <v>67054</v>
      </c>
      <c r="I236" s="205" t="n">
        <f aca="false">SUMIFS(報告入力!$BA$7:$BA$696,報告入力!$A$7:$A$696,$S$197,報告入力!$B$7:$B$696,$A236)</f>
        <v>67119</v>
      </c>
      <c r="J236" s="108" t="n">
        <f aca="false">SUM(H236:I236)</f>
        <v>134173</v>
      </c>
      <c r="K236" s="205" t="n">
        <f aca="false">SUMIFS(報告入力!$BB$7:$BB$696,報告入力!$A$7:$A$696,$S$197,報告入力!$B$7:$B$696,$A236)</f>
        <v>10214</v>
      </c>
      <c r="L236" s="205" t="n">
        <f aca="false">SUMIFS(報告入力!$BC$7:$BC$696,報告入力!$A$7:$A$696,$S$197,報告入力!$B$7:$B$696,$A236)</f>
        <v>10214</v>
      </c>
      <c r="M236" s="108" t="n">
        <f aca="false">SUM(K236:L236)</f>
        <v>20428</v>
      </c>
      <c r="N236" s="205" t="n">
        <f aca="false">SUMIFS(報告入力!$BD$7:$BD$696,報告入力!$A$7:$A$696,$S$197,報告入力!$B$7:$B$696,$A236)</f>
        <v>1486</v>
      </c>
      <c r="O236" s="205" t="n">
        <f aca="false">SUMIFS(報告入力!$BE$7:$BE$696,報告入力!$A$7:$A$696,$S$197,報告入力!$B$7:$B$696,$A236)</f>
        <v>1486</v>
      </c>
      <c r="P236" s="108" t="n">
        <f aca="false">SUM(N236:O236)</f>
        <v>2972</v>
      </c>
      <c r="Q236" s="110" t="str">
        <f aca="false">IF(P171=P236,"〇","×")</f>
        <v>×</v>
      </c>
      <c r="R236" s="110" t="str">
        <f aca="false">IFERROR(INDEX(報告入力!$C$7:$C$696,MATCH($S$197&amp;"|"&amp;$A236,報告入力!$CG$7:$CG$696,0)),"")</f>
        <v>入金確認済</v>
      </c>
    </row>
    <row r="237" s="110" customFormat="true" ht="20.1" hidden="false" customHeight="true" outlineLevel="0" collapsed="false">
      <c r="A237" s="189" t="s">
        <v>192</v>
      </c>
      <c r="B237" s="117" t="n">
        <f aca="false">SUMIFS(報告入力!$AU$7:$AU$696,報告入力!$A$7:$A$696,$S$197,報告入力!$B$7:$B$696,$A237)</f>
        <v>137250</v>
      </c>
      <c r="C237" s="113" t="n">
        <f aca="false">SUMIFS(報告入力!$AV$7:$AV$696,報告入力!$A$7:$A$696,$S$197,報告入力!$B$7:$B$696,$A237)</f>
        <v>11250</v>
      </c>
      <c r="D237" s="111" t="n">
        <f aca="false">SUMIFS(報告入力!$AW$7:$AW$696,報告入力!$A$7:$A$696,$S$197,報告入力!$B$7:$B$696,$A237)</f>
        <v>137250</v>
      </c>
      <c r="E237" s="114" t="n">
        <f aca="false">SUMIFS(報告入力!$AX$7:$AX$696,報告入力!$A$7:$A$696,$S$197,報告入力!$B$7:$B$696,$A237)</f>
        <v>11250</v>
      </c>
      <c r="F237" s="113" t="n">
        <f aca="false">SUMIFS(報告入力!$AY$7:$AY$696,報告入力!$A$7:$A$696,$S$197,報告入力!$B$7:$B$696,$A237)</f>
        <v>130</v>
      </c>
      <c r="G237" s="108" t="n">
        <f aca="false">SUM(B237:F237)</f>
        <v>297130</v>
      </c>
      <c r="H237" s="114" t="n">
        <f aca="false">SUMIFS(報告入力!$AZ$7:$AZ$696,報告入力!$A$7:$A$696,$S$197,報告入力!$B$7:$B$696,$A237)</f>
        <v>82872</v>
      </c>
      <c r="I237" s="205" t="n">
        <f aca="false">SUMIFS(報告入力!$BA$7:$BA$696,報告入力!$A$7:$A$696,$S$197,報告入力!$B$7:$B$696,$A237)</f>
        <v>82952</v>
      </c>
      <c r="J237" s="108" t="n">
        <f aca="false">SUM(H237:I237)</f>
        <v>165824</v>
      </c>
      <c r="K237" s="205" t="n">
        <f aca="false">SUMIFS(報告入力!$BB$7:$BB$696,報告入力!$A$7:$A$696,$S$197,報告入力!$B$7:$B$696,$A237)</f>
        <v>12624</v>
      </c>
      <c r="L237" s="205" t="n">
        <f aca="false">SUMIFS(報告入力!$BC$7:$BC$696,報告入力!$A$7:$A$696,$S$197,報告入力!$B$7:$B$696,$A237)</f>
        <v>12624</v>
      </c>
      <c r="M237" s="108" t="n">
        <f aca="false">SUM(K237:L237)</f>
        <v>25248</v>
      </c>
      <c r="N237" s="205" t="n">
        <f aca="false">SUMIFS(報告入力!$BD$7:$BD$696,報告入力!$A$7:$A$696,$S$197,報告入力!$B$7:$B$696,$A237)</f>
        <v>1837</v>
      </c>
      <c r="O237" s="205" t="n">
        <f aca="false">SUMIFS(報告入力!$BE$7:$BE$696,報告入力!$A$7:$A$696,$S$197,報告入力!$B$7:$B$696,$A237)</f>
        <v>1837</v>
      </c>
      <c r="P237" s="108" t="n">
        <f aca="false">SUM(N237:O237)</f>
        <v>3674</v>
      </c>
      <c r="Q237" s="110" t="str">
        <f aca="false">IF(P172=P237,"〇","×")</f>
        <v>×</v>
      </c>
      <c r="R237" s="110" t="str">
        <f aca="false">IFERROR(INDEX(報告入力!$C$7:$C$696,MATCH($S$197&amp;"|"&amp;$A237,報告入力!$CG$7:$CG$696,0)),"")</f>
        <v>入金確認済</v>
      </c>
    </row>
    <row r="238" s="110" customFormat="true" ht="20.1" hidden="false" customHeight="true" outlineLevel="0" collapsed="false">
      <c r="A238" s="189" t="s">
        <v>193</v>
      </c>
      <c r="B238" s="117" t="n">
        <f aca="false">SUMIFS(報告入力!$AU$7:$AU$696,報告入力!$A$7:$A$696,$S$197,報告入力!$B$7:$B$696,$A238)</f>
        <v>97264</v>
      </c>
      <c r="C238" s="113" t="n">
        <f aca="false">SUMIFS(報告入力!$AV$7:$AV$696,報告入力!$A$7:$A$696,$S$197,報告入力!$B$7:$B$696,$A238)</f>
        <v>7972</v>
      </c>
      <c r="D238" s="111" t="n">
        <f aca="false">SUMIFS(報告入力!$AW$7:$AW$696,報告入力!$A$7:$A$696,$S$197,報告入力!$B$7:$B$696,$A238)</f>
        <v>97265</v>
      </c>
      <c r="E238" s="114" t="n">
        <f aca="false">SUMIFS(報告入力!$AX$7:$AX$696,報告入力!$A$7:$A$696,$S$197,報告入力!$B$7:$B$696,$A238)</f>
        <v>7972</v>
      </c>
      <c r="F238" s="113" t="n">
        <f aca="false">SUMIFS(報告入力!$AY$7:$AY$696,報告入力!$A$7:$A$696,$S$197,報告入力!$B$7:$B$696,$A238)</f>
        <v>92</v>
      </c>
      <c r="G238" s="108" t="n">
        <f aca="false">SUM(B238:F238)</f>
        <v>210565</v>
      </c>
      <c r="H238" s="114" t="n">
        <f aca="false">SUMIFS(報告入力!$AZ$7:$AZ$696,報告入力!$A$7:$A$696,$S$197,報告入力!$B$7:$B$696,$A238)</f>
        <v>55127</v>
      </c>
      <c r="I238" s="205" t="n">
        <f aca="false">SUMIFS(報告入力!$BA$7:$BA$696,報告入力!$A$7:$A$696,$S$197,報告入力!$B$7:$B$696,$A238)</f>
        <v>55180</v>
      </c>
      <c r="J238" s="108" t="n">
        <f aca="false">SUM(H238:I238)</f>
        <v>110307</v>
      </c>
      <c r="K238" s="205" t="n">
        <f aca="false">SUMIFS(報告入力!$BB$7:$BB$696,報告入力!$A$7:$A$696,$S$197,報告入力!$B$7:$B$696,$A238)</f>
        <v>0</v>
      </c>
      <c r="L238" s="205" t="n">
        <f aca="false">SUMIFS(報告入力!$BC$7:$BC$696,報告入力!$A$7:$A$696,$S$197,報告入力!$B$7:$B$696,$A238)</f>
        <v>0</v>
      </c>
      <c r="M238" s="108" t="n">
        <f aca="false">SUM(K238:L238)</f>
        <v>0</v>
      </c>
      <c r="N238" s="205" t="n">
        <f aca="false">SUMIFS(報告入力!$BD$7:$BD$696,報告入力!$A$7:$A$696,$S$197,報告入力!$B$7:$B$696,$A238)</f>
        <v>1222</v>
      </c>
      <c r="O238" s="205" t="n">
        <f aca="false">SUMIFS(報告入力!$BE$7:$BE$696,報告入力!$A$7:$A$696,$S$197,報告入力!$B$7:$B$696,$A238)</f>
        <v>1222</v>
      </c>
      <c r="P238" s="108" t="n">
        <f aca="false">SUM(N238:O238)</f>
        <v>2444</v>
      </c>
      <c r="Q238" s="110" t="str">
        <f aca="false">IF(P173=P238,"〇","×")</f>
        <v>×</v>
      </c>
      <c r="R238" s="110" t="str">
        <f aca="false">IFERROR(INDEX(報告入力!$C$7:$C$696,MATCH($S$197&amp;"|"&amp;$A238,報告入力!$CG$7:$CG$696,0)),"")</f>
        <v>入金確認済</v>
      </c>
    </row>
    <row r="239" s="110" customFormat="true" ht="20.1" hidden="false" customHeight="true" outlineLevel="0" collapsed="false">
      <c r="A239" s="121" t="s">
        <v>194</v>
      </c>
      <c r="B239" s="117" t="n">
        <f aca="false">SUMIFS(報告入力!$AU$7:$AU$696,報告入力!$A$7:$A$696,$S$197,報告入力!$B$7:$B$696,$A239)</f>
        <v>2344680</v>
      </c>
      <c r="C239" s="113" t="n">
        <f aca="false">SUMIFS(報告入力!$AV$7:$AV$696,報告入力!$A$7:$A$696,$S$197,報告入力!$B$7:$B$696,$A239)</f>
        <v>192180</v>
      </c>
      <c r="D239" s="111" t="n">
        <f aca="false">SUMIFS(報告入力!$AW$7:$AW$696,報告入力!$A$7:$A$696,$S$197,報告入力!$B$7:$B$696,$A239)</f>
        <v>2352564</v>
      </c>
      <c r="E239" s="114" t="n">
        <f aca="false">SUMIFS(報告入力!$AX$7:$AX$696,報告入力!$A$7:$A$696,$S$197,報告入力!$B$7:$B$696,$A239)</f>
        <v>192510</v>
      </c>
      <c r="F239" s="113" t="n">
        <f aca="false">SUMIFS(報告入力!$AY$7:$AY$696,報告入力!$A$7:$A$696,$S$197,報告入力!$B$7:$B$696,$A239)</f>
        <v>2230</v>
      </c>
      <c r="G239" s="108" t="n">
        <f aca="false">SUM(B239:F239)</f>
        <v>5084164</v>
      </c>
      <c r="H239" s="114" t="n">
        <f aca="false">SUMIFS(報告入力!$AZ$7:$AZ$696,報告入力!$A$7:$A$696,$S$197,報告入力!$B$7:$B$696,$A239)</f>
        <v>1331127</v>
      </c>
      <c r="I239" s="205" t="n">
        <f aca="false">SUMIFS(報告入力!$BA$7:$BA$696,報告入力!$A$7:$A$696,$S$197,報告入力!$B$7:$B$696,$A239)</f>
        <v>1332425</v>
      </c>
      <c r="J239" s="108" t="n">
        <f aca="false">SUM(H239:I239)</f>
        <v>2663552</v>
      </c>
      <c r="K239" s="205" t="n">
        <f aca="false">SUMIFS(報告入力!$BB$7:$BB$696,報告入力!$A$7:$A$696,$S$197,報告入力!$B$7:$B$696,$A239)</f>
        <v>158559</v>
      </c>
      <c r="L239" s="205" t="n">
        <f aca="false">SUMIFS(報告入力!$BC$7:$BC$696,報告入力!$A$7:$A$696,$S$197,報告入力!$B$7:$B$696,$A239)</f>
        <v>158568</v>
      </c>
      <c r="M239" s="108" t="n">
        <f aca="false">SUM(K239:L239)</f>
        <v>317127</v>
      </c>
      <c r="N239" s="205" t="n">
        <f aca="false">SUMIFS(報告入力!$BD$7:$BD$696,報告入力!$A$7:$A$696,$S$197,報告入力!$B$7:$B$696,$A239)</f>
        <v>29507</v>
      </c>
      <c r="O239" s="205" t="n">
        <f aca="false">SUMIFS(報告入力!$BE$7:$BE$696,報告入力!$A$7:$A$696,$S$197,報告入力!$B$7:$B$696,$A239)</f>
        <v>29518</v>
      </c>
      <c r="P239" s="108" t="n">
        <f aca="false">SUM(N239:O239)</f>
        <v>59025</v>
      </c>
      <c r="Q239" s="110" t="str">
        <f aca="false">IF(P174=P239,"〇","×")</f>
        <v>×</v>
      </c>
      <c r="R239" s="110" t="str">
        <f aca="false">IFERROR(INDEX(報告入力!$C$7:$C$696,MATCH($S$197&amp;"|"&amp;$A239,報告入力!$CG$7:$CG$696,0)),"")</f>
        <v>入金確認済</v>
      </c>
    </row>
    <row r="240" s="110" customFormat="true" ht="20.1" hidden="false" customHeight="true" outlineLevel="0" collapsed="false">
      <c r="A240" s="121" t="s">
        <v>195</v>
      </c>
      <c r="B240" s="201"/>
      <c r="C240" s="191"/>
      <c r="D240" s="111" t="n">
        <f aca="false">SUMIFS(報告入力!$AW$7:$AW$696,報告入力!$A$7:$A$696,$S$197,報告入力!$B$7:$B$696,$A240)</f>
        <v>463724</v>
      </c>
      <c r="E240" s="114" t="n">
        <f aca="false">SUMIFS(報告入力!$AX$7:$AX$696,報告入力!$A$7:$A$696,$S$197,報告入力!$B$7:$B$696,$A240)</f>
        <v>38010</v>
      </c>
      <c r="F240" s="113" t="n">
        <f aca="false">SUMIFS(報告入力!$AY$7:$AY$696,報告入力!$A$7:$A$696,$S$197,報告入力!$B$7:$B$696,$A240)</f>
        <v>440</v>
      </c>
      <c r="G240" s="108" t="n">
        <f aca="false">SUM(B240:F240)</f>
        <v>502174</v>
      </c>
      <c r="H240" s="202"/>
      <c r="I240" s="205" t="n">
        <f aca="false">SUMIFS(報告入力!$BA$7:$BA$696,報告入力!$A$7:$A$696,$S$197,報告入力!$B$7:$B$696,$A240)</f>
        <v>277095</v>
      </c>
      <c r="J240" s="108" t="n">
        <f aca="false">SUM(H240:I240)</f>
        <v>277095</v>
      </c>
      <c r="K240" s="202"/>
      <c r="L240" s="205" t="n">
        <f aca="false">SUMIFS(報告入力!$BC$7:$BC$696,報告入力!$A$7:$A$696,$S$197,報告入力!$B$7:$B$696,$A240)</f>
        <v>22649</v>
      </c>
      <c r="M240" s="108" t="n">
        <f aca="false">SUM(K240:L240)</f>
        <v>22649</v>
      </c>
      <c r="N240" s="202"/>
      <c r="O240" s="205" t="n">
        <f aca="false">SUMIFS(報告入力!$BE$7:$BE$696,報告入力!$A$7:$A$696,$S$197,報告入力!$B$7:$B$696,$A240)</f>
        <v>6138</v>
      </c>
      <c r="P240" s="108" t="n">
        <f aca="false">SUM(N240:O240)</f>
        <v>6138</v>
      </c>
      <c r="Q240" s="110" t="str">
        <f aca="false">IF(P175=P240,"〇","×")</f>
        <v>×</v>
      </c>
      <c r="R240" s="110" t="str">
        <f aca="false">IFERROR(INDEX(報告入力!$C$7:$C$696,MATCH($S$197&amp;"|"&amp;$A240,報告入力!$CG$7:$CG$696,0)),"")</f>
        <v>入金確認済</v>
      </c>
    </row>
    <row r="241" s="110" customFormat="true" ht="19.5" hidden="false" customHeight="true" outlineLevel="0" collapsed="false">
      <c r="A241" s="207" t="s">
        <v>196</v>
      </c>
      <c r="B241" s="117" t="n">
        <f aca="false">SUMIFS(報告入力!$AU$7:$AU$696,報告入力!$A$7:$A$696,$S$197,報告入力!$B$7:$B$696,$A241)</f>
        <v>213467757</v>
      </c>
      <c r="C241" s="113" t="n">
        <f aca="false">SUMIFS(報告入力!$AV$7:$AV$696,報告入力!$A$7:$A$696,$S$197,報告入力!$B$7:$B$696,$A241)</f>
        <v>17496681</v>
      </c>
      <c r="D241" s="111" t="n">
        <f aca="false">SUMIFS(報告入力!$AW$7:$AW$696,報告入力!$A$7:$A$696,$S$197,報告入力!$B$7:$B$696,$A241)</f>
        <v>308184891</v>
      </c>
      <c r="E241" s="114" t="n">
        <f aca="false">SUMIFS(報告入力!$AX$7:$AX$696,報告入力!$A$7:$A$696,$S$197,報告入力!$B$7:$B$696,$A241)</f>
        <v>17496681</v>
      </c>
      <c r="F241" s="113" t="n">
        <f aca="false">SUMIFS(報告入力!$AY$7:$AY$696,報告入力!$A$7:$A$696,$S$197,報告入力!$B$7:$B$696,$A241)</f>
        <v>206290</v>
      </c>
      <c r="G241" s="108" t="n">
        <f aca="false">SUM(B241:F241)</f>
        <v>556852300</v>
      </c>
      <c r="H241" s="114" t="n">
        <f aca="false">SUMIFS(報告入力!$AZ$7:$AZ$696,報告入力!$A$7:$A$696,$S$197,報告入力!$B$7:$B$696,$A241)</f>
        <v>128088779</v>
      </c>
      <c r="I241" s="205" t="n">
        <f aca="false">SUMIFS(報告入力!$BA$7:$BA$696,報告入力!$A$7:$A$696,$S$197,報告入力!$B$7:$B$696,$A241)</f>
        <v>128231932</v>
      </c>
      <c r="J241" s="108" t="n">
        <f aca="false">SUM(H241:I241)</f>
        <v>256320711</v>
      </c>
      <c r="K241" s="205" t="n">
        <f aca="false">SUMIFS(報告入力!$BB$7:$BB$696,報告入力!$A$7:$A$696,$S$197,報告入力!$B$7:$B$696,$A241)</f>
        <v>11861523</v>
      </c>
      <c r="L241" s="205" t="n">
        <f aca="false">SUMIFS(報告入力!$BC$7:$BC$696,報告入力!$A$7:$A$696,$S$197,報告入力!$B$7:$B$696,$A241)</f>
        <v>11861523</v>
      </c>
      <c r="M241" s="108" t="n">
        <f aca="false">SUM(K241:L241)</f>
        <v>23723046</v>
      </c>
      <c r="N241" s="205" t="n">
        <f aca="false">SUMIFS(報告入力!$BD$7:$BD$696,報告入力!$A$7:$A$696,$S$197,報告入力!$B$7:$B$696,$A241)</f>
        <v>2838695</v>
      </c>
      <c r="O241" s="205" t="n">
        <f aca="false">SUMIFS(報告入力!$BE$7:$BE$696,報告入力!$A$7:$A$696,$S$197,報告入力!$B$7:$B$696,$A241)</f>
        <v>2838695</v>
      </c>
      <c r="P241" s="108" t="n">
        <f aca="false">SUM(N241:O241)</f>
        <v>5677390</v>
      </c>
      <c r="Q241" s="110" t="str">
        <f aca="false">IF(P176=P241,"〇","×")</f>
        <v>×</v>
      </c>
      <c r="R241" s="110" t="str">
        <f aca="false">IFERROR(INDEX(報告入力!$C$7:$C$696,MATCH($S$197&amp;"|"&amp;$A241,報告入力!$CG$7:$CG$696,0)),"")</f>
        <v>入金確認済</v>
      </c>
    </row>
    <row r="242" s="137" customFormat="true" ht="21.75" hidden="false" customHeight="true" outlineLevel="0" collapsed="false">
      <c r="A242" s="189" t="s">
        <v>197</v>
      </c>
      <c r="B242" s="127"/>
      <c r="C242" s="131"/>
      <c r="D242" s="127"/>
      <c r="E242" s="209"/>
      <c r="F242" s="131"/>
      <c r="G242" s="210" t="n">
        <f aca="false">SUM(B242:F242)</f>
        <v>0</v>
      </c>
      <c r="H242" s="118" t="n">
        <f aca="false">SUMIFS(報告入力!$AZ$7:$AZ$696,報告入力!$A$7:$A$696,$S$197,報告入力!$B$7:$B$696,$A242)</f>
        <v>121298</v>
      </c>
      <c r="I242" s="125" t="n">
        <f aca="false">SUMIFS(報告入力!$BA$7:$BA$696,報告入力!$A$7:$A$696,$S$197,報告入力!$B$7:$B$696,$A242)</f>
        <v>121416</v>
      </c>
      <c r="J242" s="116" t="n">
        <f aca="false">SUM(H242:I242)</f>
        <v>242714</v>
      </c>
      <c r="K242" s="117" t="n">
        <f aca="false">SUMIFS(報告入力!$BB$7:$BB$696,報告入力!$A$7:$A$696,$S$197,報告入力!$B$7:$B$696,$A242)</f>
        <v>14756</v>
      </c>
      <c r="L242" s="125" t="n">
        <f aca="false">SUMIFS(報告入力!$BC$7:$BC$696,報告入力!$A$7:$A$696,$S$197,報告入力!$B$7:$B$696,$A242)</f>
        <v>14756</v>
      </c>
      <c r="M242" s="116" t="n">
        <f aca="false">SUM(K242:L242)</f>
        <v>29512</v>
      </c>
      <c r="N242" s="205" t="n">
        <f aca="false">SUMIFS(報告入力!$BD$7:$BD$696,報告入力!$A$7:$A$696,$S$197,報告入力!$B$7:$B$696,$A242)</f>
        <v>2687</v>
      </c>
      <c r="O242" s="205" t="n">
        <f aca="false">SUMIFS(報告入力!$BE$7:$BE$696,報告入力!$A$7:$A$696,$S$197,報告入力!$B$7:$B$696,$A242)</f>
        <v>2688</v>
      </c>
      <c r="P242" s="116" t="n">
        <f aca="false">SUM(N242:O242)</f>
        <v>5375</v>
      </c>
      <c r="Q242" s="137" t="str">
        <f aca="false">IF(P177=P242,"〇","×")</f>
        <v>×</v>
      </c>
      <c r="R242" s="137" t="str">
        <f aca="false">IFERROR(INDEX(報告入力!$C$7:$C$696,MATCH($S$197&amp;"|"&amp;$A242,報告入力!$CG$7:$CG$696,0)),"")</f>
        <v>入金確認済</v>
      </c>
    </row>
    <row r="243" s="137" customFormat="true" ht="21.75" hidden="false" customHeight="true" outlineLevel="0" collapsed="false">
      <c r="A243" s="211" t="s">
        <v>216</v>
      </c>
      <c r="B243" s="311"/>
      <c r="C243" s="330"/>
      <c r="D243" s="311"/>
      <c r="E243" s="309"/>
      <c r="F243" s="331"/>
      <c r="G243" s="302" t="n">
        <f aca="false">SUM(B243:F243)</f>
        <v>0</v>
      </c>
      <c r="H243" s="309"/>
      <c r="I243" s="310"/>
      <c r="J243" s="305" t="n">
        <f aca="false">SUM(H243:I243)</f>
        <v>0</v>
      </c>
      <c r="K243" s="309"/>
      <c r="L243" s="310"/>
      <c r="M243" s="305" t="n">
        <f aca="false">SUM(K243:L243)</f>
        <v>0</v>
      </c>
      <c r="N243" s="310"/>
      <c r="O243" s="310"/>
      <c r="P243" s="305" t="n">
        <f aca="false">SUM(N243:O243)</f>
        <v>0</v>
      </c>
      <c r="Q243" s="137" t="str">
        <f aca="false">IF(P178=P243,"〇","×")</f>
        <v>〇</v>
      </c>
      <c r="R243" s="137" t="str">
        <f aca="false">IFERROR(INDEX(報告入力!$C$7:$C$696,MATCH($S$197&amp;"|"&amp;$A243,報告入力!$CG$7:$CG$696,0)),"")</f>
        <v>報告なし</v>
      </c>
    </row>
    <row r="244" s="137" customFormat="true" ht="21.75" hidden="false" customHeight="true" outlineLevel="0" collapsed="false">
      <c r="A244" s="211" t="s">
        <v>199</v>
      </c>
      <c r="B244" s="117" t="n">
        <f aca="false">SUMIFS(報告入力!$AU$7:$AU$696,報告入力!$A$7:$A$696,$S$197,報告入力!$B$7:$B$696,$A244)</f>
        <v>274500</v>
      </c>
      <c r="C244" s="122" t="n">
        <f aca="false">SUMIFS(報告入力!$AV$7:$AV$696,報告入力!$A$7:$A$696,$S$197,報告入力!$B$7:$B$696,$A244)</f>
        <v>22500</v>
      </c>
      <c r="D244" s="117" t="n">
        <f aca="false">SUMIFS(報告入力!$AW$7:$AW$696,報告入力!$A$7:$A$696,$S$197,報告入力!$B$7:$B$696,$A244)</f>
        <v>274500</v>
      </c>
      <c r="E244" s="118" t="n">
        <f aca="false">SUMIFS(報告入力!$AX$7:$AX$696,報告入力!$A$7:$A$696,$S$197,報告入力!$B$7:$B$696,$A244)</f>
        <v>22500</v>
      </c>
      <c r="F244" s="123" t="n">
        <f aca="false">SUMIFS(報告入力!$AY$7:$AY$696,報告入力!$A$7:$A$696,$S$197,報告入力!$B$7:$B$696,$A244)</f>
        <v>260</v>
      </c>
      <c r="G244" s="108" t="n">
        <f aca="false">SUM(B244:F244)</f>
        <v>594260</v>
      </c>
      <c r="H244" s="118" t="n">
        <f aca="false">SUMIFS(報告入力!$AZ$7:$AZ$696,報告入力!$A$7:$A$696,$S$197,報告入力!$B$7:$B$696,$A244)</f>
        <v>207958</v>
      </c>
      <c r="I244" s="205" t="n">
        <f aca="false">SUMIFS(報告入力!$BA$7:$BA$696,報告入力!$A$7:$A$696,$S$197,報告入力!$B$7:$B$696,$A244)</f>
        <v>208159</v>
      </c>
      <c r="J244" s="116" t="n">
        <f aca="false">SUM(H244:I244)</f>
        <v>416117</v>
      </c>
      <c r="K244" s="118" t="n">
        <f aca="false">SUMIFS(報告入力!$BB$7:$BB$696,報告入力!$A$7:$A$696,$S$197,報告入力!$B$7:$B$696,$A244)</f>
        <v>31678</v>
      </c>
      <c r="L244" s="205" t="n">
        <f aca="false">SUMIFS(報告入力!$BC$7:$BC$696,報告入力!$A$7:$A$696,$S$197,報告入力!$B$7:$B$696,$A244)</f>
        <v>31679</v>
      </c>
      <c r="M244" s="116" t="n">
        <f aca="false">SUM(K244:L244)</f>
        <v>63357</v>
      </c>
      <c r="N244" s="205" t="n">
        <f aca="false">SUMIFS(報告入力!$BD$7:$BD$696,報告入力!$A$7:$A$696,$S$197,報告入力!$B$7:$B$696,$A244)</f>
        <v>4610</v>
      </c>
      <c r="O244" s="205" t="n">
        <f aca="false">SUMIFS(報告入力!$BE$7:$BE$696,報告入力!$A$7:$A$696,$S$197,報告入力!$B$7:$B$696,$A244)</f>
        <v>4611</v>
      </c>
      <c r="P244" s="116" t="n">
        <f aca="false">SUM(N244:O244)</f>
        <v>9221</v>
      </c>
      <c r="Q244" s="137" t="str">
        <f aca="false">IF(P179=P244,"〇","×")</f>
        <v>×</v>
      </c>
      <c r="R244" s="137" t="str">
        <f aca="false">IFERROR(INDEX(報告入力!$C$7:$C$696,MATCH($S$197&amp;"|"&amp;$A244,報告入力!$CG$7:$CG$696,0)),"")</f>
        <v>入金確認済</v>
      </c>
    </row>
    <row r="245" s="137" customFormat="true" ht="19.5" hidden="false" customHeight="true" outlineLevel="0" collapsed="false">
      <c r="A245" s="149"/>
      <c r="B245" s="157"/>
      <c r="C245" s="156"/>
      <c r="D245" s="220"/>
      <c r="E245" s="158"/>
      <c r="F245" s="156"/>
      <c r="G245" s="221" t="n">
        <f aca="false">SUM(B245:F245)</f>
        <v>0</v>
      </c>
      <c r="H245" s="222"/>
      <c r="I245" s="158"/>
      <c r="J245" s="223" t="n">
        <f aca="false">SUM(H245:I245)</f>
        <v>0</v>
      </c>
      <c r="K245" s="220"/>
      <c r="L245" s="158"/>
      <c r="M245" s="223" t="n">
        <f aca="false">SUM(K245:L245)</f>
        <v>0</v>
      </c>
      <c r="N245" s="220"/>
      <c r="O245" s="158"/>
      <c r="P245" s="223" t="n">
        <f aca="false">SUM(N245:O245)</f>
        <v>0</v>
      </c>
      <c r="Q245" s="137" t="str">
        <f aca="false">IF(P180=P245,"〇","×")</f>
        <v>〇</v>
      </c>
    </row>
    <row r="246" s="137" customFormat="true" ht="19.5" hidden="false" customHeight="true" outlineLevel="0" collapsed="false">
      <c r="A246" s="149"/>
      <c r="B246" s="157"/>
      <c r="C246" s="156"/>
      <c r="D246" s="220"/>
      <c r="E246" s="158"/>
      <c r="F246" s="156"/>
      <c r="G246" s="221" t="n">
        <f aca="false">SUM(B246:F246)</f>
        <v>0</v>
      </c>
      <c r="H246" s="222"/>
      <c r="I246" s="158"/>
      <c r="J246" s="223" t="n">
        <f aca="false">SUM(H246:I246)</f>
        <v>0</v>
      </c>
      <c r="K246" s="220"/>
      <c r="L246" s="158"/>
      <c r="M246" s="223" t="n">
        <f aca="false">SUM(K246:L246)</f>
        <v>0</v>
      </c>
      <c r="N246" s="220"/>
      <c r="O246" s="158"/>
      <c r="P246" s="223" t="n">
        <f aca="false">SUM(N246:O246)</f>
        <v>0</v>
      </c>
      <c r="Q246" s="137" t="str">
        <f aca="false">IF(P181=P246,"〇","×")</f>
        <v>〇</v>
      </c>
    </row>
    <row r="247" s="137" customFormat="true" ht="19.5" hidden="false" customHeight="true" outlineLevel="0" collapsed="false">
      <c r="A247" s="162"/>
      <c r="B247" s="224"/>
      <c r="C247" s="225"/>
      <c r="D247" s="226"/>
      <c r="E247" s="227"/>
      <c r="F247" s="225"/>
      <c r="G247" s="228"/>
      <c r="H247" s="229"/>
      <c r="I247" s="229"/>
      <c r="J247" s="230"/>
      <c r="K247" s="231"/>
      <c r="L247" s="229"/>
      <c r="M247" s="230"/>
      <c r="N247" s="231"/>
      <c r="O247" s="229"/>
      <c r="P247" s="230"/>
      <c r="Q247" s="137" t="str">
        <f aca="false">IF(P182=P247,"〇","×")</f>
        <v>〇</v>
      </c>
    </row>
    <row r="248" s="110" customFormat="true" ht="19.5" hidden="false" customHeight="true" outlineLevel="0" collapsed="false">
      <c r="A248" s="171" t="s">
        <v>383</v>
      </c>
      <c r="B248" s="172" t="n">
        <f aca="false">SUM(B218:B247)</f>
        <v>218965976</v>
      </c>
      <c r="C248" s="175" t="n">
        <f aca="false">SUM(C218:C247)</f>
        <v>17947340</v>
      </c>
      <c r="D248" s="173" t="n">
        <f aca="false">SUM(D218:D247)</f>
        <v>326258469</v>
      </c>
      <c r="E248" s="174" t="n">
        <f aca="false">SUM(E218:E247)</f>
        <v>18977785</v>
      </c>
      <c r="F248" s="175" t="n">
        <f aca="false">SUM(F218:F247)</f>
        <v>223728</v>
      </c>
      <c r="G248" s="176" t="n">
        <f aca="false">SUM(B248:F248)</f>
        <v>582373298</v>
      </c>
      <c r="H248" s="173" t="n">
        <f aca="false">SUM(H218:H246)</f>
        <v>131386005</v>
      </c>
      <c r="I248" s="173" t="n">
        <f aca="false">SUM(I218:I246)</f>
        <v>138736379</v>
      </c>
      <c r="J248" s="175" t="n">
        <f aca="false">SUM(H248:I248)</f>
        <v>270122384</v>
      </c>
      <c r="K248" s="172" t="n">
        <f aca="false">SUM(K218:K246)</f>
        <v>12229693</v>
      </c>
      <c r="L248" s="173" t="n">
        <f aca="false">SUM(L218:L246)</f>
        <v>13093701</v>
      </c>
      <c r="M248" s="175" t="n">
        <f aca="false">SUM(K248:L248)</f>
        <v>25323394</v>
      </c>
      <c r="N248" s="172" t="n">
        <f aca="false">SUM(N218:N246)</f>
        <v>2911782</v>
      </c>
      <c r="O248" s="173" t="n">
        <f aca="false">SUM(O218:O246)</f>
        <v>3071378</v>
      </c>
      <c r="P248" s="175" t="n">
        <f aca="false">SUM(N248:O248)</f>
        <v>5983160</v>
      </c>
      <c r="Q248" s="110" t="str">
        <f aca="false">IF(P183=P248,"〇","×")</f>
        <v>×</v>
      </c>
    </row>
    <row r="249" s="137" customFormat="true" ht="0.2" hidden="false" customHeight="true" outlineLevel="0" collapsed="false">
      <c r="A249" s="149" t="s">
        <v>382</v>
      </c>
      <c r="B249" s="231"/>
      <c r="C249" s="232"/>
      <c r="D249" s="229"/>
      <c r="E249" s="233"/>
      <c r="F249" s="234"/>
      <c r="G249" s="235"/>
      <c r="H249" s="236"/>
      <c r="I249" s="236"/>
      <c r="J249" s="237"/>
      <c r="K249" s="238"/>
      <c r="L249" s="239"/>
      <c r="M249" s="240"/>
      <c r="N249" s="238"/>
      <c r="O249" s="239"/>
      <c r="P249" s="240"/>
      <c r="Q249" s="137" t="str">
        <f aca="false">IF(P184=P249,"〇","×")</f>
        <v>〇</v>
      </c>
    </row>
    <row r="250" s="137" customFormat="true" ht="0.2" hidden="false" customHeight="true" outlineLevel="0" collapsed="false">
      <c r="A250" s="241" t="s">
        <v>382</v>
      </c>
      <c r="B250" s="242"/>
      <c r="C250" s="243"/>
      <c r="D250" s="229"/>
      <c r="E250" s="233"/>
      <c r="F250" s="232"/>
      <c r="G250" s="228"/>
      <c r="H250" s="244"/>
      <c r="I250" s="244"/>
      <c r="J250" s="245"/>
      <c r="K250" s="246"/>
      <c r="L250" s="247"/>
      <c r="M250" s="248"/>
      <c r="N250" s="246"/>
      <c r="O250" s="247"/>
      <c r="P250" s="248"/>
      <c r="Q250" s="137" t="str">
        <f aca="false">IF(P185=P250,"〇","×")</f>
        <v>〇</v>
      </c>
    </row>
    <row r="251" s="110" customFormat="true" ht="20.1" hidden="false" customHeight="true" outlineLevel="0" collapsed="false">
      <c r="A251" s="189" t="s">
        <v>200</v>
      </c>
      <c r="B251" s="117" t="n">
        <f aca="false">SUMIFS(報告入力!$AU$7:$AU$696,報告入力!$A$7:$A$696,$S$197,報告入力!$B$7:$B$696,$A251)</f>
        <v>305244</v>
      </c>
      <c r="C251" s="113" t="n">
        <f aca="false">SUMIFS(報告入力!$AV$7:$AV$696,報告入力!$A$7:$A$696,$S$197,報告入力!$B$7:$B$696,$A251)</f>
        <v>25020</v>
      </c>
      <c r="D251" s="111" t="n">
        <f aca="false">SUMIFS(報告入力!$AW$7:$AW$696,報告入力!$A$7:$A$696,$S$197,報告入力!$B$7:$B$696,$A251)</f>
        <v>305244</v>
      </c>
      <c r="E251" s="114" t="n">
        <f aca="false">SUMIFS(報告入力!$AX$7:$AX$696,報告入力!$A$7:$A$696,$S$197,報告入力!$B$7:$B$696,$A251)</f>
        <v>25020</v>
      </c>
      <c r="F251" s="113" t="n">
        <f aca="false">SUMIFS(報告入力!$AY$7:$AY$696,報告入力!$A$7:$A$696,$S$197,報告入力!$B$7:$B$696,$A251)</f>
        <v>289</v>
      </c>
      <c r="G251" s="108" t="n">
        <f aca="false">SUM(B251:F251)</f>
        <v>660817</v>
      </c>
      <c r="H251" s="130"/>
      <c r="I251" s="130"/>
      <c r="J251" s="196" t="n">
        <f aca="false">SUM(H251:I251)</f>
        <v>0</v>
      </c>
      <c r="K251" s="130"/>
      <c r="L251" s="130"/>
      <c r="M251" s="196" t="n">
        <f aca="false">SUM(K251:L251)</f>
        <v>0</v>
      </c>
      <c r="N251" s="130"/>
      <c r="O251" s="130"/>
      <c r="P251" s="196" t="n">
        <f aca="false">SUM(N251:O251)</f>
        <v>0</v>
      </c>
      <c r="Q251" s="110" t="str">
        <f aca="false">IF(P186=P251,"〇","×")</f>
        <v>〇</v>
      </c>
      <c r="R251" s="110" t="str">
        <f aca="false">IFERROR(INDEX(報告入力!$C$7:$C$696,MATCH($S$197&amp;"|"&amp;$A251,報告入力!$CG$7:$CG$696,0)),"")</f>
        <v>入金確認済</v>
      </c>
    </row>
    <row r="252" s="110" customFormat="true" ht="21.75" hidden="false" customHeight="true" outlineLevel="0" collapsed="false">
      <c r="A252" s="189" t="s">
        <v>201</v>
      </c>
      <c r="B252" s="185" t="n">
        <f aca="false">SUMIFS(報告入力!$AU$7:$AU$696,報告入力!$A$7:$A$696,$S$197,報告入力!$B$7:$B$696,$A252)</f>
        <v>120871</v>
      </c>
      <c r="C252" s="199" t="n">
        <f aca="false">SUMIFS(報告入力!$AV$7:$AV$696,報告入力!$A$7:$A$696,$S$197,報告入力!$B$7:$B$696,$A252)</f>
        <v>9907</v>
      </c>
      <c r="D252" s="249" t="n">
        <f aca="false">SUMIFS(報告入力!$AW$7:$AW$696,報告入力!$A$7:$A$696,$S$197,報告入力!$B$7:$B$696,$A252)</f>
        <v>120872</v>
      </c>
      <c r="E252" s="250" t="n">
        <f aca="false">SUMIFS(報告入力!$AX$7:$AX$696,報告入力!$A$7:$A$696,$S$197,報告入力!$B$7:$B$696,$A252)</f>
        <v>9907</v>
      </c>
      <c r="F252" s="251" t="n">
        <f aca="false">SUMIFS(報告入力!$AY$7:$AY$696,報告入力!$A$7:$A$696,$S$197,報告入力!$B$7:$B$696,$A252)</f>
        <v>114</v>
      </c>
      <c r="G252" s="119" t="n">
        <f aca="false">SUM(B252:F252)</f>
        <v>261671</v>
      </c>
      <c r="H252" s="252"/>
      <c r="I252" s="252"/>
      <c r="J252" s="253" t="n">
        <f aca="false">SUM(H252:I252)</f>
        <v>0</v>
      </c>
      <c r="K252" s="252"/>
      <c r="L252" s="252"/>
      <c r="M252" s="253" t="n">
        <f aca="false">SUM(K252:L252)</f>
        <v>0</v>
      </c>
      <c r="N252" s="252"/>
      <c r="O252" s="252"/>
      <c r="P252" s="253" t="n">
        <f aca="false">SUM(N252:O252)</f>
        <v>0</v>
      </c>
      <c r="Q252" s="110" t="str">
        <f aca="false">IF(P187=P252,"〇","×")</f>
        <v>〇</v>
      </c>
      <c r="R252" s="110" t="str">
        <f aca="false">IFERROR(INDEX(報告入力!$C$7:$C$696,MATCH($S$197&amp;"|"&amp;$A252,報告入力!$CG$7:$CG$696,0)),"")</f>
        <v>入金確認済</v>
      </c>
    </row>
    <row r="253" s="110" customFormat="true" ht="20.25" hidden="false" customHeight="true" outlineLevel="0" collapsed="false">
      <c r="A253" s="171" t="s">
        <v>383</v>
      </c>
      <c r="B253" s="172" t="n">
        <f aca="false">SUM(B249:B252)</f>
        <v>426115</v>
      </c>
      <c r="C253" s="175" t="n">
        <f aca="false">SUM(C249:C252)</f>
        <v>34927</v>
      </c>
      <c r="D253" s="173" t="n">
        <f aca="false">SUM(D249:D252)</f>
        <v>426116</v>
      </c>
      <c r="E253" s="174" t="n">
        <f aca="false">SUM(E249:E252)</f>
        <v>34927</v>
      </c>
      <c r="F253" s="175" t="n">
        <f aca="false">SUM(F249:F252)</f>
        <v>403</v>
      </c>
      <c r="G253" s="176" t="n">
        <f aca="false">SUM(B253:F253)</f>
        <v>922488</v>
      </c>
      <c r="H253" s="278" t="n">
        <f aca="false">SUM(H249:H252)</f>
        <v>0</v>
      </c>
      <c r="I253" s="337" t="n">
        <f aca="false">SUM(I249:I252)</f>
        <v>0</v>
      </c>
      <c r="J253" s="258" t="n">
        <f aca="false">SUM(H253:I253)</f>
        <v>0</v>
      </c>
      <c r="K253" s="256" t="n">
        <f aca="false">SUM(K249:K252)</f>
        <v>0</v>
      </c>
      <c r="L253" s="257" t="n">
        <f aca="false">SUM(L249:L252)</f>
        <v>0</v>
      </c>
      <c r="M253" s="258" t="n">
        <f aca="false">SUM(K253:L253)</f>
        <v>0</v>
      </c>
      <c r="N253" s="256" t="n">
        <f aca="false">SUM(N249:N252)</f>
        <v>0</v>
      </c>
      <c r="O253" s="257" t="n">
        <f aca="false">SUM(O249:O252)</f>
        <v>0</v>
      </c>
      <c r="P253" s="258" t="n">
        <f aca="false">SUM(N253:O253)</f>
        <v>0</v>
      </c>
      <c r="Q253" s="110" t="str">
        <f aca="false">IF(P188=P253,"〇","×")</f>
        <v>〇</v>
      </c>
    </row>
    <row r="254" s="110" customFormat="true" ht="20.1" hidden="false" customHeight="true" outlineLevel="0" collapsed="false">
      <c r="A254" s="100" t="s">
        <v>202</v>
      </c>
      <c r="B254" s="117" t="n">
        <f aca="false">SUMIFS(報告入力!$AU$7:$AU$696,報告入力!$A$7:$A$696,$S$197,報告入力!$B$7:$B$696,$A254)</f>
        <v>31384</v>
      </c>
      <c r="C254" s="113" t="n">
        <f aca="false">SUMIFS(報告入力!$AV$7:$AV$696,報告入力!$A$7:$A$696,$S$197,報告入力!$B$7:$B$696,$A254)</f>
        <v>2572</v>
      </c>
      <c r="D254" s="111" t="n">
        <f aca="false">SUMIFS(報告入力!$AW$7:$AW$696,報告入力!$A$7:$A$696,$S$197,報告入力!$B$7:$B$696,$A254)</f>
        <v>31385</v>
      </c>
      <c r="E254" s="114" t="n">
        <f aca="false">SUMIFS(報告入力!$AX$7:$AX$696,報告入力!$A$7:$A$696,$S$197,報告入力!$B$7:$B$696,$A254)</f>
        <v>2572</v>
      </c>
      <c r="F254" s="193"/>
      <c r="G254" s="108" t="n">
        <f aca="false">SUM(B254:F254)</f>
        <v>67913</v>
      </c>
      <c r="H254" s="114" t="n">
        <f aca="false">SUMIFS(報告入力!$AZ$7:$AZ$696,報告入力!$A$7:$A$696,$S$197,報告入力!$B$7:$B$696,$A254)</f>
        <v>17787</v>
      </c>
      <c r="I254" s="115" t="n">
        <f aca="false">SUMIFS(報告入力!$BA$7:$BA$696,報告入力!$A$7:$A$696,$S$197,報告入力!$B$7:$B$696,$A254)</f>
        <v>17805</v>
      </c>
      <c r="J254" s="116" t="n">
        <f aca="false">SUM(H254:I254)</f>
        <v>35592</v>
      </c>
      <c r="K254" s="114" t="n">
        <f aca="false">SUMIFS(報告入力!$BB$7:$BB$696,報告入力!$A$7:$A$696,$S$197,報告入力!$B$7:$B$696,$A254)</f>
        <v>2709</v>
      </c>
      <c r="L254" s="115" t="n">
        <f aca="false">SUMIFS(報告入力!$BC$7:$BC$696,報告入力!$A$7:$A$696,$S$197,報告入力!$B$7:$B$696,$A254)</f>
        <v>2709</v>
      </c>
      <c r="M254" s="116" t="n">
        <f aca="false">SUM(K254:L254)</f>
        <v>5418</v>
      </c>
      <c r="N254" s="114" t="n">
        <f aca="false">SUMIFS(報告入力!$BD$7:$BD$696,報告入力!$A$7:$A$696,$S$197,報告入力!$B$7:$B$696,$A254)</f>
        <v>394</v>
      </c>
      <c r="O254" s="115" t="n">
        <f aca="false">SUMIFS(報告入力!$BE$7:$BE$696,報告入力!$A$7:$A$696,$S$197,報告入力!$B$7:$B$696,$A254)</f>
        <v>394</v>
      </c>
      <c r="P254" s="116" t="n">
        <f aca="false">SUM(N254:O254)</f>
        <v>788</v>
      </c>
      <c r="Q254" s="110" t="str">
        <f aca="false">IF(P189=P254,"〇","×")</f>
        <v>×</v>
      </c>
      <c r="R254" s="110" t="str">
        <f aca="false">IFERROR(INDEX(報告入力!$C$7:$C$696,MATCH($S$197&amp;"|"&amp;$A254,報告入力!$CG$7:$CG$696,0)),"")</f>
        <v>入金確認済</v>
      </c>
    </row>
    <row r="255" s="110" customFormat="true" ht="20.1" hidden="false" customHeight="true" outlineLevel="0" collapsed="false">
      <c r="A255" s="100" t="s">
        <v>203</v>
      </c>
      <c r="B255" s="215" t="n">
        <f aca="false">SUMIFS(報告入力!$AU$7:$AU$696,報告入力!$A$7:$A$696,$S$197,報告入力!$B$7:$B$696,$A255)</f>
        <v>0</v>
      </c>
      <c r="C255" s="212" t="n">
        <f aca="false">SUMIFS(報告入力!$AV$7:$AV$696,報告入力!$A$7:$A$696,$S$197,報告入力!$B$7:$B$696,$A255)</f>
        <v>0</v>
      </c>
      <c r="D255" s="178" t="n">
        <f aca="false">SUMIFS(報告入力!$AW$7:$AW$696,報告入力!$A$7:$A$696,$S$197,報告入力!$B$7:$B$696,$A255)</f>
        <v>0</v>
      </c>
      <c r="E255" s="182" t="n">
        <f aca="false">SUMIFS(報告入力!$AX$7:$AX$696,報告入力!$A$7:$A$696,$S$197,報告入力!$B$7:$B$696,$A255)</f>
        <v>0</v>
      </c>
      <c r="F255" s="193"/>
      <c r="G255" s="181" t="n">
        <f aca="false">SUM(B255:F255)</f>
        <v>0</v>
      </c>
      <c r="H255" s="182" t="n">
        <f aca="false">SUMIFS(報告入力!$AZ$7:$AZ$696,報告入力!$A$7:$A$696,$S$197,報告入力!$B$7:$B$696,$A255)</f>
        <v>0</v>
      </c>
      <c r="I255" s="183" t="n">
        <f aca="false">SUMIFS(報告入力!$BA$7:$BA$696,報告入力!$A$7:$A$696,$S$197,報告入力!$B$7:$B$696,$A255)</f>
        <v>0</v>
      </c>
      <c r="J255" s="135" t="n">
        <f aca="false">SUM(H255:I255)</f>
        <v>0</v>
      </c>
      <c r="K255" s="262" t="n">
        <f aca="false">SUMIFS(報告入力!$BB$7:$BB$696,報告入力!$A$7:$A$696,$S$197,報告入力!$B$7:$B$696,$A255)</f>
        <v>0</v>
      </c>
      <c r="L255" s="183" t="n">
        <f aca="false">SUMIFS(報告入力!$BC$7:$BC$696,報告入力!$A$7:$A$696,$S$197,報告入力!$B$7:$B$696,$A255)</f>
        <v>0</v>
      </c>
      <c r="M255" s="135" t="n">
        <f aca="false">SUM(K255:L255)</f>
        <v>0</v>
      </c>
      <c r="N255" s="262" t="n">
        <f aca="false">SUMIFS(報告入力!$BD$7:$BD$696,報告入力!$A$7:$A$696,$S$197,報告入力!$B$7:$B$696,$A255)</f>
        <v>0</v>
      </c>
      <c r="O255" s="183" t="n">
        <f aca="false">SUMIFS(報告入力!$BE$7:$BE$696,報告入力!$A$7:$A$696,$S$197,報告入力!$B$7:$B$696,$A255)</f>
        <v>0</v>
      </c>
      <c r="P255" s="135" t="n">
        <f aca="false">SUM(N255:O255)</f>
        <v>0</v>
      </c>
      <c r="Q255" s="110" t="str">
        <f aca="false">IF(P190=P255,"〇","×")</f>
        <v>〇</v>
      </c>
      <c r="R255" s="110" t="str">
        <f aca="false">IFERROR(INDEX(報告入力!$C$7:$C$696,MATCH($S$197&amp;"|"&amp;$A255,報告入力!$CG$7:$CG$696,0)),"")</f>
        <v>未受領</v>
      </c>
    </row>
    <row r="256" s="110" customFormat="true" ht="20.1" hidden="false" customHeight="true" outlineLevel="0" collapsed="false">
      <c r="A256" s="192" t="s">
        <v>204</v>
      </c>
      <c r="B256" s="117" t="n">
        <f aca="false">SUMIFS(報告入力!$AU$7:$AU$696,報告入力!$A$7:$A$696,$S$197,報告入力!$B$7:$B$696,$A256)</f>
        <v>46024</v>
      </c>
      <c r="C256" s="113" t="n">
        <f aca="false">SUMIFS(報告入力!$AV$7:$AV$696,報告入力!$A$7:$A$696,$S$197,報告入力!$B$7:$B$696,$A256)</f>
        <v>3772</v>
      </c>
      <c r="D256" s="111" t="n">
        <f aca="false">SUMIFS(報告入力!$AW$7:$AW$696,報告入力!$A$7:$A$696,$S$197,報告入力!$B$7:$B$696,$A256)</f>
        <v>46025</v>
      </c>
      <c r="E256" s="114" t="n">
        <f aca="false">SUMIFS(報告入力!$AX$7:$AX$696,報告入力!$A$7:$A$696,$S$197,報告入力!$B$7:$B$696,$A256)</f>
        <v>3772</v>
      </c>
      <c r="F256" s="193"/>
      <c r="G256" s="108" t="n">
        <f aca="false">SUM(B256:F256)</f>
        <v>99593</v>
      </c>
      <c r="H256" s="114" t="n">
        <f aca="false">SUMIFS(報告入力!$AZ$7:$AZ$696,報告入力!$A$7:$A$696,$S$197,報告入力!$B$7:$B$696,$A256)</f>
        <v>39568</v>
      </c>
      <c r="I256" s="115" t="n">
        <f aca="false">SUMIFS(報告入力!$BA$7:$BA$696,報告入力!$A$7:$A$696,$S$197,報告入力!$B$7:$B$696,$A256)</f>
        <v>39607</v>
      </c>
      <c r="J256" s="116" t="n">
        <f aca="false">SUM(H256:I256)</f>
        <v>79175</v>
      </c>
      <c r="K256" s="109" t="n">
        <f aca="false">SUMIFS(報告入力!$BB$7:$BB$696,報告入力!$A$7:$A$696,$S$197,報告入力!$B$7:$B$696,$A256)</f>
        <v>2054</v>
      </c>
      <c r="L256" s="115" t="n">
        <f aca="false">SUMIFS(報告入力!$BC$7:$BC$696,報告入力!$A$7:$A$696,$S$197,報告入力!$B$7:$B$696,$A256)</f>
        <v>2054</v>
      </c>
      <c r="M256" s="116" t="n">
        <f aca="false">SUM(K256:L256)</f>
        <v>4108</v>
      </c>
      <c r="N256" s="109" t="n">
        <f aca="false">SUMIFS(報告入力!$BD$7:$BD$696,報告入力!$A$7:$A$696,$S$197,報告入力!$B$7:$B$696,$A256)</f>
        <v>877</v>
      </c>
      <c r="O256" s="115" t="n">
        <f aca="false">SUMIFS(報告入力!$BE$7:$BE$696,報告入力!$A$7:$A$696,$S$197,報告入力!$B$7:$B$696,$A256)</f>
        <v>877</v>
      </c>
      <c r="P256" s="116" t="n">
        <f aca="false">SUM(N256:O256)</f>
        <v>1754</v>
      </c>
      <c r="Q256" s="110" t="str">
        <f aca="false">IF(P191=P256,"〇","×")</f>
        <v>×</v>
      </c>
      <c r="R256" s="110" t="str">
        <f aca="false">IFERROR(INDEX(報告入力!$C$7:$C$696,MATCH($S$197&amp;"|"&amp;$A256,報告入力!$CG$7:$CG$696,0)),"")</f>
        <v>入金確認済</v>
      </c>
    </row>
    <row r="257" s="110" customFormat="true" ht="20.1" hidden="false" customHeight="true" outlineLevel="0" collapsed="false">
      <c r="A257" s="192" t="s">
        <v>205</v>
      </c>
      <c r="B257" s="215"/>
      <c r="C257" s="212"/>
      <c r="D257" s="178"/>
      <c r="E257" s="182"/>
      <c r="F257" s="312"/>
      <c r="G257" s="181" t="n">
        <f aca="false">SUM(B257:F257)</f>
        <v>0</v>
      </c>
      <c r="H257" s="332"/>
      <c r="I257" s="333"/>
      <c r="J257" s="284" t="n">
        <f aca="false">SUM(H257:I257)</f>
        <v>0</v>
      </c>
      <c r="K257" s="334"/>
      <c r="L257" s="333"/>
      <c r="M257" s="284" t="n">
        <f aca="false">SUM(K257:L257)</f>
        <v>0</v>
      </c>
      <c r="N257" s="334"/>
      <c r="O257" s="333"/>
      <c r="P257" s="284" t="n">
        <f aca="false">SUM(N257:O257)</f>
        <v>0</v>
      </c>
      <c r="Q257" s="110" t="str">
        <f aca="false">IF(P192=P257,"〇","×")</f>
        <v>〇</v>
      </c>
      <c r="R257" s="110" t="str">
        <f aca="false">IFERROR(INDEX(報告入力!$C$7:$C$696,MATCH($S$197&amp;"|"&amp;$A257,報告入力!$CG$7:$CG$696,0)),"")</f>
        <v>報告なし</v>
      </c>
    </row>
    <row r="258" s="110" customFormat="true" ht="20.1" hidden="false" customHeight="true" outlineLevel="0" collapsed="false">
      <c r="A258" s="171" t="s">
        <v>383</v>
      </c>
      <c r="B258" s="172" t="n">
        <f aca="false">SUM(B254:B257)</f>
        <v>77408</v>
      </c>
      <c r="C258" s="176" t="n">
        <f aca="false">SUM(C254:C257)</f>
        <v>6344</v>
      </c>
      <c r="D258" s="172" t="n">
        <f aca="false">SUM(D254:D257)</f>
        <v>77410</v>
      </c>
      <c r="E258" s="174" t="n">
        <f aca="false">SUM(E254:E257)</f>
        <v>6344</v>
      </c>
      <c r="F258" s="175" t="n">
        <f aca="false">SUM(F254:F257)</f>
        <v>0</v>
      </c>
      <c r="G258" s="176" t="n">
        <f aca="false">SUM(B258:F258)</f>
        <v>167506</v>
      </c>
      <c r="H258" s="276" t="n">
        <f aca="false">SUM(H254:H257)</f>
        <v>57355</v>
      </c>
      <c r="I258" s="174" t="n">
        <f aca="false">SUM(I254:I257)</f>
        <v>57412</v>
      </c>
      <c r="J258" s="175" t="n">
        <f aca="false">SUM(H258:I258)</f>
        <v>114767</v>
      </c>
      <c r="K258" s="172" t="n">
        <f aca="false">SUM(K254:K257)</f>
        <v>4763</v>
      </c>
      <c r="L258" s="276" t="n">
        <f aca="false">SUM(L254:L257)</f>
        <v>4763</v>
      </c>
      <c r="M258" s="175" t="n">
        <f aca="false">SUM(K258:L258)</f>
        <v>9526</v>
      </c>
      <c r="N258" s="172" t="n">
        <f aca="false">SUM(N254:N257)</f>
        <v>1271</v>
      </c>
      <c r="O258" s="276" t="n">
        <f aca="false">SUM(O254:O257)</f>
        <v>1271</v>
      </c>
      <c r="P258" s="175" t="n">
        <f aca="false">SUM(N258:O258)</f>
        <v>2542</v>
      </c>
      <c r="Q258" s="110" t="str">
        <f aca="false">IF(P193=P258,"〇","×")</f>
        <v>×</v>
      </c>
    </row>
    <row r="259" s="110" customFormat="true" ht="20.1" hidden="false" customHeight="true" outlineLevel="0" collapsed="false">
      <c r="A259" s="277" t="s">
        <v>206</v>
      </c>
      <c r="B259" s="278"/>
      <c r="C259" s="279"/>
      <c r="D259" s="280"/>
      <c r="E259" s="281"/>
      <c r="F259" s="267"/>
      <c r="G259" s="268"/>
      <c r="H259" s="313"/>
      <c r="I259" s="314"/>
      <c r="J259" s="271" t="n">
        <f aca="false">SUM(H259:I259)</f>
        <v>0</v>
      </c>
      <c r="K259" s="313"/>
      <c r="L259" s="314"/>
      <c r="M259" s="271" t="n">
        <f aca="false">SUM(K259:L259)</f>
        <v>0</v>
      </c>
      <c r="N259" s="313"/>
      <c r="O259" s="314"/>
      <c r="P259" s="271" t="n">
        <f aca="false">SUM(N259:O259)</f>
        <v>0</v>
      </c>
      <c r="Q259" s="110" t="str">
        <f aca="false">IF(P194=P259,"〇","×")</f>
        <v>×</v>
      </c>
      <c r="R259" s="110" t="str">
        <f aca="false">IFERROR(INDEX(報告入力!$C$7:$C$696,MATCH($S$197&amp;"|"&amp;$A259,報告入力!$CG$7:$CG$696,0)),"")</f>
        <v>報告なし</v>
      </c>
    </row>
    <row r="260" s="110" customFormat="true" ht="17.35" hidden="false" customHeight="false" outlineLevel="0" collapsed="false">
      <c r="A260" s="285" t="s">
        <v>385</v>
      </c>
      <c r="B260" s="286" t="n">
        <f aca="false">SUM(+B217+B248+B253+B258+B259)</f>
        <v>907213270</v>
      </c>
      <c r="C260" s="287" t="n">
        <f aca="false">SUM(+C217+C248+C253+C258+C259)</f>
        <v>74370232</v>
      </c>
      <c r="D260" s="286" t="n">
        <f aca="false">SUM(+D217+D248+D253+D258+D259)</f>
        <v>1308496586</v>
      </c>
      <c r="E260" s="288" t="n">
        <f aca="false">SUM(+E217+E248+E253+E258+E259)</f>
        <v>74372823</v>
      </c>
      <c r="F260" s="287" t="n">
        <f aca="false">SUM(+F217+F248+F253+F258+F259)</f>
        <v>874113</v>
      </c>
      <c r="G260" s="289" t="n">
        <f aca="false">SUM(B260:F260)</f>
        <v>2365327024</v>
      </c>
      <c r="H260" s="290" t="n">
        <f aca="false">SUM(+H217+H248+H253+H258+H259)</f>
        <v>614527425</v>
      </c>
      <c r="I260" s="290" t="n">
        <f aca="false">SUM(+I217+I248+I253+I258+I259)</f>
        <v>622929746</v>
      </c>
      <c r="J260" s="291" t="n">
        <f aca="false">SUM(H260:I260)</f>
        <v>1237457171</v>
      </c>
      <c r="K260" s="292" t="n">
        <f aca="false">SUM(+K217+K248+K253+K258+K259)</f>
        <v>58354858</v>
      </c>
      <c r="L260" s="290" t="n">
        <f aca="false">SUM(+L217+L248+L253+L258+L259)</f>
        <v>58358254</v>
      </c>
      <c r="M260" s="291" t="n">
        <f aca="false">SUM(K260:L260)</f>
        <v>116713112</v>
      </c>
      <c r="N260" s="292" t="n">
        <f aca="false">SUM(+N217+N248+N253+N258+N259)</f>
        <v>13618708</v>
      </c>
      <c r="O260" s="290" t="n">
        <f aca="false">SUM(+O217+O248+O253+O258+O259)</f>
        <v>13625291</v>
      </c>
      <c r="P260" s="291" t="n">
        <f aca="false">SUM(N260:O260)</f>
        <v>27243999</v>
      </c>
      <c r="Q260" s="110" t="str">
        <f aca="false">IF(P195=P260,"〇","×")</f>
        <v>×</v>
      </c>
    </row>
    <row r="261" s="316" customFormat="true" ht="33.75" hidden="false" customHeight="true" outlineLevel="0" collapsed="false">
      <c r="A261" s="315"/>
      <c r="G261" s="84"/>
      <c r="Q261" s="316" t="str">
        <f aca="false">IF(P196=P261,"〇","×")</f>
        <v>〇</v>
      </c>
    </row>
    <row r="262" s="297" customFormat="true" ht="30" hidden="false" customHeight="true" outlineLevel="0" collapsed="false">
      <c r="A262" s="295"/>
      <c r="B262" s="87" t="n">
        <f aca="false">EOMONTH(B197,1)</f>
        <v>46234</v>
      </c>
      <c r="C262" s="87"/>
      <c r="D262" s="87"/>
      <c r="E262" s="87"/>
      <c r="F262" s="87"/>
      <c r="G262" s="87"/>
      <c r="H262" s="87" t="n">
        <f aca="false">B262</f>
        <v>46234</v>
      </c>
      <c r="I262" s="87"/>
      <c r="J262" s="87"/>
      <c r="K262" s="87" t="n">
        <f aca="false">H262</f>
        <v>46234</v>
      </c>
      <c r="L262" s="87"/>
      <c r="M262" s="87"/>
      <c r="N262" s="87" t="n">
        <f aca="false">K262</f>
        <v>46234</v>
      </c>
      <c r="O262" s="87"/>
      <c r="P262" s="87"/>
      <c r="Q262" s="297" t="str">
        <f aca="false">IF(P197=P262,"〇","×")</f>
        <v>〇</v>
      </c>
      <c r="S262" s="297" t="s">
        <v>390</v>
      </c>
    </row>
    <row r="263" customFormat="false" ht="22.5" hidden="false" customHeight="true" outlineLevel="0" collapsed="false">
      <c r="A263" s="89" t="s">
        <v>369</v>
      </c>
      <c r="B263" s="89" t="s">
        <v>370</v>
      </c>
      <c r="C263" s="89"/>
      <c r="D263" s="89"/>
      <c r="E263" s="89"/>
      <c r="F263" s="89"/>
      <c r="G263" s="89"/>
      <c r="H263" s="91" t="s">
        <v>371</v>
      </c>
      <c r="I263" s="91"/>
      <c r="J263" s="91"/>
      <c r="K263" s="91" t="s">
        <v>372</v>
      </c>
      <c r="L263" s="91"/>
      <c r="M263" s="91"/>
      <c r="N263" s="91" t="str">
        <f aca="false">$N$3</f>
        <v>子ども・子育て支援納付金</v>
      </c>
      <c r="O263" s="91"/>
      <c r="P263" s="91"/>
      <c r="Q263" s="80" t="str">
        <f aca="false">IF(P198=P263,"〇","×")</f>
        <v>〇</v>
      </c>
    </row>
    <row r="264" customFormat="false" ht="22.5" hidden="false" customHeight="true" outlineLevel="0" collapsed="false">
      <c r="A264" s="89"/>
      <c r="B264" s="92" t="s">
        <v>373</v>
      </c>
      <c r="C264" s="92"/>
      <c r="D264" s="92" t="s">
        <v>374</v>
      </c>
      <c r="E264" s="92"/>
      <c r="F264" s="92"/>
      <c r="G264" s="92" t="s">
        <v>375</v>
      </c>
      <c r="H264" s="96" t="s">
        <v>376</v>
      </c>
      <c r="I264" s="94" t="s">
        <v>377</v>
      </c>
      <c r="J264" s="95" t="s">
        <v>375</v>
      </c>
      <c r="K264" s="96" t="s">
        <v>376</v>
      </c>
      <c r="L264" s="94" t="s">
        <v>377</v>
      </c>
      <c r="M264" s="95" t="s">
        <v>375</v>
      </c>
      <c r="N264" s="96" t="s">
        <v>376</v>
      </c>
      <c r="O264" s="94" t="s">
        <v>377</v>
      </c>
      <c r="P264" s="95" t="s">
        <v>375</v>
      </c>
      <c r="Q264" s="80" t="str">
        <f aca="false">IF(P199=P264,"〇","×")</f>
        <v>〇</v>
      </c>
    </row>
    <row r="265" customFormat="false" ht="22.5" hidden="false" customHeight="true" outlineLevel="0" collapsed="false">
      <c r="A265" s="89"/>
      <c r="B265" s="97" t="s">
        <v>378</v>
      </c>
      <c r="C265" s="98" t="s">
        <v>379</v>
      </c>
      <c r="D265" s="99" t="s">
        <v>378</v>
      </c>
      <c r="E265" s="99" t="s">
        <v>380</v>
      </c>
      <c r="F265" s="98" t="s">
        <v>85</v>
      </c>
      <c r="G265" s="92"/>
      <c r="H265" s="96"/>
      <c r="I265" s="94"/>
      <c r="J265" s="95"/>
      <c r="K265" s="96"/>
      <c r="L265" s="94"/>
      <c r="M265" s="95"/>
      <c r="N265" s="96"/>
      <c r="O265" s="94"/>
      <c r="P265" s="95"/>
      <c r="Q265" s="80" t="str">
        <f aca="false">IF(P200=P265,"〇","×")</f>
        <v>〇</v>
      </c>
    </row>
    <row r="266" s="110" customFormat="true" ht="19.5" hidden="false" customHeight="true" outlineLevel="0" collapsed="false">
      <c r="A266" s="100" t="s">
        <v>158</v>
      </c>
      <c r="B266" s="117" t="n">
        <f aca="false">SUMIFS(報告入力!$AU$7:$AU$696,報告入力!$A$7:$A$696,$S$262,報告入力!$B$7:$B$696,$A266)</f>
        <v>244123006</v>
      </c>
      <c r="C266" s="113" t="n">
        <f aca="false">SUMIFS(報告入力!$AV$7:$AV$696,報告入力!$A$7:$A$696,$S$262,報告入力!$B$7:$B$696,$A266)</f>
        <v>20014957</v>
      </c>
      <c r="D266" s="111" t="n">
        <f aca="false">SUMIFS(報告入力!$AW$7:$AW$696,報告入力!$A$7:$A$696,$S$262,報告入力!$B$7:$B$696,$A266)</f>
        <v>350370377</v>
      </c>
      <c r="E266" s="114" t="n">
        <f aca="false">SUMIFS(報告入力!$AX$7:$AX$696,報告入力!$A$7:$A$696,$S$262,報告入力!$B$7:$B$696,$A266)</f>
        <v>19497061</v>
      </c>
      <c r="F266" s="113" t="n">
        <f aca="false">SUMIFS(報告入力!$AY$7:$AY$696,報告入力!$A$7:$A$696,$S$262,報告入力!$B$7:$B$696,$A266)</f>
        <v>236288</v>
      </c>
      <c r="G266" s="108" t="n">
        <f aca="false">SUM(B266:F266)</f>
        <v>634241689</v>
      </c>
      <c r="H266" s="117" t="n">
        <f aca="false">SUMIFS(報告入力!$AZ$7:$AZ$696,報告入力!$A$7:$A$696,$S$262,報告入力!$B$7:$B$696,$A266)</f>
        <v>176768259</v>
      </c>
      <c r="I266" s="205" t="n">
        <f aca="false">SUMIFS(報告入力!$BA$7:$BA$696,報告入力!$A$7:$A$696,$S$262,報告入力!$B$7:$B$696,$A266)</f>
        <v>176034034</v>
      </c>
      <c r="J266" s="108" t="n">
        <f aca="false">SUM(H266:I266)</f>
        <v>352802293</v>
      </c>
      <c r="K266" s="117" t="n">
        <f aca="false">SUMIFS(報告入力!$BB$7:$BB$696,報告入力!$A$7:$A$696,$S$262,報告入力!$B$7:$B$696,$A266)</f>
        <v>16103399</v>
      </c>
      <c r="L266" s="205" t="n">
        <f aca="false">SUMIFS(報告入力!$BC$7:$BC$696,報告入力!$A$7:$A$696,$S$262,報告入力!$B$7:$B$696,$A266)</f>
        <v>15690256</v>
      </c>
      <c r="M266" s="108" t="n">
        <f aca="false">SUM(K266:L266)</f>
        <v>31793655</v>
      </c>
      <c r="N266" s="205" t="n">
        <f aca="false">SUMIFS(報告入力!$BD$7:$BD$696,報告入力!$A$7:$A$696,$S$262,報告入力!$B$7:$B$696,$A266)</f>
        <v>3918168</v>
      </c>
      <c r="O266" s="205" t="n">
        <f aca="false">SUMIFS(報告入力!$BE$7:$BE$696,報告入力!$A$7:$A$696,$S$262,報告入力!$B$7:$B$696,$A266)</f>
        <v>3834790</v>
      </c>
      <c r="P266" s="108" t="n">
        <f aca="false">SUM(N266:O266)</f>
        <v>7752958</v>
      </c>
      <c r="Q266" s="110" t="str">
        <f aca="false">IF(P201=P266,"〇","×")</f>
        <v>×</v>
      </c>
      <c r="R266" s="110" t="str">
        <f aca="false">IFERROR(INDEX(報告入力!$C$7:$C$696,MATCH($S$262&amp;"|"&amp;$A266,報告入力!$CG$7:$CG$696,0)),"")</f>
        <v>入金確認済</v>
      </c>
    </row>
    <row r="267" s="110" customFormat="true" ht="20.1" hidden="false" customHeight="true" outlineLevel="0" collapsed="false">
      <c r="A267" s="100" t="s">
        <v>161</v>
      </c>
      <c r="B267" s="117" t="n">
        <f aca="false">SUMIFS(報告入力!$AU$7:$AU$696,報告入力!$A$7:$A$696,$S$262,報告入力!$B$7:$B$696,$A267)</f>
        <v>16670844</v>
      </c>
      <c r="C267" s="113" t="n">
        <f aca="false">SUMIFS(報告入力!$AV$7:$AV$696,報告入力!$A$7:$A$696,$S$262,報告入力!$B$7:$B$696,$A267)</f>
        <v>1366464</v>
      </c>
      <c r="D267" s="111" t="n">
        <f aca="false">SUMIFS(報告入力!$AW$7:$AW$696,報告入力!$A$7:$A$696,$S$262,報告入力!$B$7:$B$696,$A267)</f>
        <v>24012163</v>
      </c>
      <c r="E267" s="114" t="n">
        <f aca="false">SUMIFS(報告入力!$AX$7:$AX$696,報告入力!$A$7:$A$696,$S$262,報告入力!$B$7:$B$696,$A267)</f>
        <v>1366463</v>
      </c>
      <c r="F267" s="113" t="n">
        <f aca="false">SUMIFS(報告入力!$AY$7:$AY$696,報告入力!$A$7:$A$696,$S$262,報告入力!$B$7:$B$696,$A267)</f>
        <v>15983</v>
      </c>
      <c r="G267" s="108" t="n">
        <f aca="false">SUM(B267:F267)</f>
        <v>43431917</v>
      </c>
      <c r="H267" s="117" t="n">
        <f aca="false">SUMIFS(報告入力!$AZ$7:$AZ$696,報告入力!$A$7:$A$696,$S$262,報告入力!$B$7:$B$696,$A267)</f>
        <v>9763701</v>
      </c>
      <c r="I267" s="205" t="n">
        <f aca="false">SUMIFS(報告入力!$BA$7:$BA$696,報告入力!$A$7:$A$696,$S$262,報告入力!$B$7:$B$696,$A267)</f>
        <v>9929666</v>
      </c>
      <c r="J267" s="108" t="n">
        <f aca="false">SUM(H267:I267)</f>
        <v>19693367</v>
      </c>
      <c r="K267" s="117" t="n">
        <f aca="false">SUMIFS(報告入力!$BB$7:$BB$696,報告入力!$A$7:$A$696,$S$262,報告入力!$B$7:$B$696,$A267)</f>
        <v>1038285</v>
      </c>
      <c r="L267" s="205" t="n">
        <f aca="false">SUMIFS(報告入力!$BC$7:$BC$696,報告入力!$A$7:$A$696,$S$262,報告入力!$B$7:$B$696,$A267)</f>
        <v>1038282</v>
      </c>
      <c r="M267" s="108" t="n">
        <f aca="false">SUM(K267:L267)</f>
        <v>2076567</v>
      </c>
      <c r="N267" s="205" t="n">
        <f aca="false">SUMIFS(報告入力!$BD$7:$BD$696,報告入力!$A$7:$A$696,$S$262,報告入力!$B$7:$B$696,$A267)</f>
        <v>216545</v>
      </c>
      <c r="O267" s="205" t="n">
        <f aca="false">SUMIFS(報告入力!$BE$7:$BE$696,報告入力!$A$7:$A$696,$S$262,報告入力!$B$7:$B$696,$A267)</f>
        <v>216620</v>
      </c>
      <c r="P267" s="108" t="n">
        <f aca="false">SUM(N267:O267)</f>
        <v>433165</v>
      </c>
      <c r="Q267" s="110" t="str">
        <f aca="false">IF(P202=P267,"〇","×")</f>
        <v>×</v>
      </c>
      <c r="R267" s="110" t="str">
        <f aca="false">IFERROR(INDEX(報告入力!$C$7:$C$696,MATCH($S$262&amp;"|"&amp;$A267,報告入力!$CG$7:$CG$696,0)),"")</f>
        <v>入金確認済</v>
      </c>
    </row>
    <row r="268" s="110" customFormat="true" ht="20.1" hidden="false" customHeight="true" outlineLevel="0" collapsed="false">
      <c r="A268" s="100" t="s">
        <v>162</v>
      </c>
      <c r="B268" s="117" t="n">
        <f aca="false">SUMIFS(報告入力!$AU$7:$AU$696,報告入力!$A$7:$A$696,$S$262,報告入力!$B$7:$B$696,$A268)</f>
        <v>55474802</v>
      </c>
      <c r="C268" s="113" t="n">
        <f aca="false">SUMIFS(報告入力!$AV$7:$AV$696,報告入力!$A$7:$A$696,$S$262,報告入力!$B$7:$B$696,$A268)</f>
        <v>4547114</v>
      </c>
      <c r="D268" s="111" t="n">
        <f aca="false">SUMIFS(報告入力!$AW$7:$AW$696,報告入力!$A$7:$A$696,$S$262,報告入力!$B$7:$B$696,$A268)</f>
        <v>79748812</v>
      </c>
      <c r="E268" s="114" t="n">
        <f aca="false">SUMIFS(報告入力!$AX$7:$AX$696,報告入力!$A$7:$A$696,$S$262,報告入力!$B$7:$B$696,$A268)</f>
        <v>4523176</v>
      </c>
      <c r="F268" s="113" t="n">
        <f aca="false">SUMIFS(報告入力!$AY$7:$AY$696,報告入力!$A$7:$A$696,$S$262,報告入力!$B$7:$B$696,$A268)</f>
        <v>53211</v>
      </c>
      <c r="G268" s="108" t="n">
        <f aca="false">SUM(B268:F268)</f>
        <v>144347115</v>
      </c>
      <c r="H268" s="117" t="n">
        <f aca="false">SUMIFS(報告入力!$AZ$7:$AZ$696,報告入力!$A$7:$A$696,$S$262,報告入力!$B$7:$B$696,$A268)</f>
        <v>32141726</v>
      </c>
      <c r="I268" s="205" t="n">
        <f aca="false">SUMIFS(報告入力!$BA$7:$BA$696,報告入力!$A$7:$A$696,$S$262,報告入力!$B$7:$B$696,$A268)</f>
        <v>32523185</v>
      </c>
      <c r="J268" s="108" t="n">
        <f aca="false">SUM(H268:I268)</f>
        <v>64664911</v>
      </c>
      <c r="K268" s="117" t="n">
        <f aca="false">SUMIFS(報告入力!$BB$7:$BB$696,報告入力!$A$7:$A$696,$S$262,報告入力!$B$7:$B$696,$A268)</f>
        <v>2067121</v>
      </c>
      <c r="L268" s="205" t="n">
        <f aca="false">SUMIFS(報告入力!$BC$7:$BC$696,報告入力!$A$7:$A$696,$S$262,報告入力!$B$7:$B$696,$A268)</f>
        <v>2054164</v>
      </c>
      <c r="M268" s="108" t="n">
        <f aca="false">SUM(K268:L268)</f>
        <v>4121285</v>
      </c>
      <c r="N268" s="205" t="n">
        <f aca="false">SUMIFS(報告入力!$BD$7:$BD$696,報告入力!$A$7:$A$696,$S$262,報告入力!$B$7:$B$696,$A268)</f>
        <v>712644</v>
      </c>
      <c r="O268" s="205" t="n">
        <f aca="false">SUMIFS(報告入力!$BE$7:$BE$696,報告入力!$A$7:$A$696,$S$262,報告入力!$B$7:$B$696,$A268)</f>
        <v>709244</v>
      </c>
      <c r="P268" s="108" t="n">
        <f aca="false">SUM(N268:O268)</f>
        <v>1421888</v>
      </c>
      <c r="Q268" s="110" t="str">
        <f aca="false">IF(P203=P268,"〇","×")</f>
        <v>×</v>
      </c>
      <c r="R268" s="110" t="str">
        <f aca="false">IFERROR(INDEX(報告入力!$C$7:$C$696,MATCH($S$262&amp;"|"&amp;$A268,報告入力!$CG$7:$CG$696,0)),"")</f>
        <v>入金確認済</v>
      </c>
    </row>
    <row r="269" s="110" customFormat="true" ht="18.75" hidden="false" customHeight="true" outlineLevel="0" collapsed="false">
      <c r="A269" s="100" t="s">
        <v>163</v>
      </c>
      <c r="B269" s="117" t="n">
        <f aca="false">SUMIFS(報告入力!$AU$7:$AU$696,報告入力!$A$7:$A$696,$S$262,報告入力!$B$7:$B$696,$A269)</f>
        <v>1796328</v>
      </c>
      <c r="C269" s="113" t="n">
        <f aca="false">SUMIFS(報告入力!$AV$7:$AV$696,報告入力!$A$7:$A$696,$S$262,報告入力!$B$7:$B$696,$A269)</f>
        <v>147240</v>
      </c>
      <c r="D269" s="111" t="n">
        <f aca="false">SUMIFS(報告入力!$AW$7:$AW$696,報告入力!$A$7:$A$696,$S$262,報告入力!$B$7:$B$696,$A269)</f>
        <v>2604382</v>
      </c>
      <c r="E269" s="114" t="n">
        <f aca="false">SUMIFS(報告入力!$AX$7:$AX$696,報告入力!$A$7:$A$696,$S$262,報告入力!$B$7:$B$696,$A269)</f>
        <v>147240</v>
      </c>
      <c r="F269" s="113" t="n">
        <f aca="false">SUMIFS(報告入力!$AY$7:$AY$696,報告入力!$A$7:$A$696,$S$262,報告入力!$B$7:$B$696,$A269)</f>
        <v>1759</v>
      </c>
      <c r="G269" s="108" t="n">
        <f aca="false">SUM(B269:F269)</f>
        <v>4696949</v>
      </c>
      <c r="H269" s="117" t="n">
        <f aca="false">SUMIFS(報告入力!$AZ$7:$AZ$696,報告入力!$A$7:$A$696,$S$262,報告入力!$B$7:$B$696,$A269)</f>
        <v>1024323</v>
      </c>
      <c r="I269" s="205" t="n">
        <f aca="false">SUMIFS(報告入力!$BA$7:$BA$696,報告入力!$A$7:$A$696,$S$262,報告入力!$B$7:$B$696,$A269)</f>
        <v>1042063</v>
      </c>
      <c r="J269" s="108" t="n">
        <f aca="false">SUM(H269:I269)</f>
        <v>2066386</v>
      </c>
      <c r="K269" s="117" t="n">
        <f aca="false">SUMIFS(報告入力!$BB$7:$BB$696,報告入力!$A$7:$A$696,$S$262,報告入力!$B$7:$B$696,$A269)</f>
        <v>104770</v>
      </c>
      <c r="L269" s="205" t="n">
        <f aca="false">SUMIFS(報告入力!$BC$7:$BC$696,報告入力!$A$7:$A$696,$S$262,報告入力!$B$7:$B$696,$A269)</f>
        <v>104769</v>
      </c>
      <c r="M269" s="108" t="n">
        <f aca="false">SUM(K269:L269)</f>
        <v>209539</v>
      </c>
      <c r="N269" s="205" t="n">
        <f aca="false">SUMIFS(報告入力!$BD$7:$BD$696,報告入力!$A$7:$A$696,$S$262,報告入力!$B$7:$B$696,$A269)</f>
        <v>22706</v>
      </c>
      <c r="O269" s="205" t="n">
        <f aca="false">SUMIFS(報告入力!$BE$7:$BE$696,報告入力!$A$7:$A$696,$S$262,報告入力!$B$7:$B$696,$A269)</f>
        <v>22715</v>
      </c>
      <c r="P269" s="108" t="n">
        <f aca="false">SUM(N269:O269)</f>
        <v>45421</v>
      </c>
      <c r="Q269" s="110" t="str">
        <f aca="false">IF(P204=P269,"〇","×")</f>
        <v>×</v>
      </c>
      <c r="R269" s="110" t="str">
        <f aca="false">IFERROR(INDEX(報告入力!$C$7:$C$696,MATCH($S$262&amp;"|"&amp;$A269,報告入力!$CG$7:$CG$696,0)),"")</f>
        <v>入金確認済</v>
      </c>
    </row>
    <row r="270" s="110" customFormat="true" ht="20.1" hidden="false" customHeight="true" outlineLevel="0" collapsed="false">
      <c r="A270" s="100" t="s">
        <v>164</v>
      </c>
      <c r="B270" s="117" t="n">
        <f aca="false">SUMIFS(報告入力!$AU$7:$AU$696,報告入力!$A$7:$A$696,$S$262,報告入力!$B$7:$B$696,$A270)</f>
        <v>24640950</v>
      </c>
      <c r="C270" s="113" t="n">
        <f aca="false">SUMIFS(報告入力!$AV$7:$AV$696,報告入力!$A$7:$A$696,$S$262,報告入力!$B$7:$B$696,$A270)</f>
        <v>2019750</v>
      </c>
      <c r="D270" s="111" t="n">
        <f aca="false">SUMIFS(報告入力!$AW$7:$AW$696,報告入力!$A$7:$A$696,$S$262,報告入力!$B$7:$B$696,$A270)</f>
        <v>35480583</v>
      </c>
      <c r="E270" s="114" t="n">
        <f aca="false">SUMIFS(報告入力!$AX$7:$AX$696,報告入力!$A$7:$A$696,$S$262,報告入力!$B$7:$B$696,$A270)</f>
        <v>2019750</v>
      </c>
      <c r="F270" s="113" t="n">
        <f aca="false">SUMIFS(報告入力!$AY$7:$AY$696,報告入力!$A$7:$A$696,$S$262,報告入力!$B$7:$B$696,$A270)</f>
        <v>23603</v>
      </c>
      <c r="G270" s="108" t="n">
        <f aca="false">SUM(B270:F270)</f>
        <v>64184636</v>
      </c>
      <c r="H270" s="117" t="n">
        <f aca="false">SUMIFS(報告入力!$AZ$7:$AZ$696,報告入力!$A$7:$A$696,$S$262,報告入力!$B$7:$B$696,$A270)</f>
        <v>24013321</v>
      </c>
      <c r="I270" s="205" t="n">
        <f aca="false">SUMIFS(報告入力!$BA$7:$BA$696,報告入力!$A$7:$A$696,$S$262,報告入力!$B$7:$B$696,$A270)</f>
        <v>24514598</v>
      </c>
      <c r="J270" s="108" t="n">
        <f aca="false">SUM(H270:I270)</f>
        <v>48527919</v>
      </c>
      <c r="K270" s="117" t="n">
        <f aca="false">SUMIFS(報告入力!$BB$7:$BB$696,報告入力!$A$7:$A$696,$S$262,報告入力!$B$7:$B$696,$A270)</f>
        <v>2806952</v>
      </c>
      <c r="L270" s="205" t="n">
        <f aca="false">SUMIFS(報告入力!$BC$7:$BC$696,報告入力!$A$7:$A$696,$S$262,報告入力!$B$7:$B$696,$A270)</f>
        <v>2818162</v>
      </c>
      <c r="M270" s="108" t="n">
        <f aca="false">SUM(K270:L270)</f>
        <v>5625114</v>
      </c>
      <c r="N270" s="205" t="n">
        <f aca="false">SUMIFS(報告入力!$BD$7:$BD$696,報告入力!$A$7:$A$696,$S$262,報告入力!$B$7:$B$696,$A270)</f>
        <v>533601</v>
      </c>
      <c r="O270" s="205" t="n">
        <f aca="false">SUMIFS(報告入力!$BE$7:$BE$696,報告入力!$A$7:$A$696,$S$262,報告入力!$B$7:$B$696,$A270)</f>
        <v>534518</v>
      </c>
      <c r="P270" s="108" t="n">
        <f aca="false">SUM(N270:O270)</f>
        <v>1068119</v>
      </c>
      <c r="Q270" s="110" t="str">
        <f aca="false">IF(P205=P270,"〇","×")</f>
        <v>×</v>
      </c>
      <c r="R270" s="110" t="str">
        <f aca="false">IFERROR(INDEX(報告入力!$C$7:$C$696,MATCH($S$262&amp;"|"&amp;$A270,報告入力!$CG$7:$CG$696,0)),"")</f>
        <v>入金確認済</v>
      </c>
    </row>
    <row r="271" s="110" customFormat="true" ht="20.1" hidden="false" customHeight="true" outlineLevel="0" collapsed="false">
      <c r="A271" s="100" t="s">
        <v>165</v>
      </c>
      <c r="B271" s="117" t="n">
        <f aca="false">SUMIFS(報告入力!$AU$7:$AU$696,報告入力!$A$7:$A$696,$S$262,報告入力!$B$7:$B$696,$A271)</f>
        <v>269925</v>
      </c>
      <c r="C271" s="113" t="n">
        <f aca="false">SUMIFS(報告入力!$AV$7:$AV$696,報告入力!$A$7:$A$696,$S$262,報告入力!$B$7:$B$696,$A271)</f>
        <v>22125</v>
      </c>
      <c r="D271" s="111" t="n">
        <f aca="false">SUMIFS(報告入力!$AW$7:$AW$696,報告入力!$A$7:$A$696,$S$262,報告入力!$B$7:$B$696,$A271)</f>
        <v>387630</v>
      </c>
      <c r="E271" s="114" t="n">
        <f aca="false">SUMIFS(報告入力!$AX$7:$AX$696,報告入力!$A$7:$A$696,$S$262,報告入力!$B$7:$B$696,$A271)</f>
        <v>22125</v>
      </c>
      <c r="F271" s="113" t="n">
        <f aca="false">SUMIFS(報告入力!$AY$7:$AY$696,報告入力!$A$7:$A$696,$S$262,報告入力!$B$7:$B$696,$A271)</f>
        <v>256</v>
      </c>
      <c r="G271" s="108" t="n">
        <f aca="false">SUM(B271:F271)</f>
        <v>702061</v>
      </c>
      <c r="H271" s="117" t="n">
        <f aca="false">SUMIFS(報告入力!$AZ$7:$AZ$696,報告入力!$A$7:$A$696,$S$262,報告入力!$B$7:$B$696,$A271)</f>
        <v>173210</v>
      </c>
      <c r="I271" s="205" t="n">
        <f aca="false">SUMIFS(報告入力!$BA$7:$BA$696,報告入力!$A$7:$A$696,$S$262,報告入力!$B$7:$B$696,$A271)</f>
        <v>176117</v>
      </c>
      <c r="J271" s="108" t="n">
        <f aca="false">SUM(H271:I271)</f>
        <v>349327</v>
      </c>
      <c r="K271" s="117" t="n">
        <f aca="false">SUMIFS(報告入力!$BB$7:$BB$696,報告入力!$A$7:$A$696,$S$262,報告入力!$B$7:$B$696,$A271)</f>
        <v>15800</v>
      </c>
      <c r="L271" s="205" t="n">
        <f aca="false">SUMIFS(報告入力!$BC$7:$BC$696,報告入力!$A$7:$A$696,$S$262,報告入力!$B$7:$B$696,$A271)</f>
        <v>15800</v>
      </c>
      <c r="M271" s="108" t="n">
        <f aca="false">SUM(K271:L271)</f>
        <v>31600</v>
      </c>
      <c r="N271" s="205" t="n">
        <f aca="false">SUMIFS(報告入力!$BD$7:$BD$696,報告入力!$A$7:$A$696,$S$262,報告入力!$B$7:$B$696,$A271)</f>
        <v>3839</v>
      </c>
      <c r="O271" s="205" t="n">
        <f aca="false">SUMIFS(報告入力!$BE$7:$BE$696,報告入力!$A$7:$A$696,$S$262,報告入力!$B$7:$B$696,$A271)</f>
        <v>3840</v>
      </c>
      <c r="P271" s="108" t="n">
        <f aca="false">SUM(N271:O271)</f>
        <v>7679</v>
      </c>
      <c r="Q271" s="110" t="str">
        <f aca="false">IF(P206=P271,"〇","×")</f>
        <v>×</v>
      </c>
      <c r="R271" s="110" t="str">
        <f aca="false">IFERROR(INDEX(報告入力!$C$7:$C$696,MATCH($S$262&amp;"|"&amp;$A271,報告入力!$CG$7:$CG$696,0)),"")</f>
        <v>入金確認済</v>
      </c>
    </row>
    <row r="272" s="110" customFormat="true" ht="20.1" hidden="false" customHeight="true" outlineLevel="0" collapsed="false">
      <c r="A272" s="100" t="s">
        <v>166</v>
      </c>
      <c r="B272" s="117" t="n">
        <f aca="false">SUMIFS(報告入力!$AU$7:$AU$696,報告入力!$A$7:$A$696,$S$262,報告入力!$B$7:$B$696,$A272)</f>
        <v>618540</v>
      </c>
      <c r="C272" s="113" t="n">
        <f aca="false">SUMIFS(報告入力!$AV$7:$AV$696,報告入力!$A$7:$A$696,$S$262,報告入力!$B$7:$B$696,$A272)</f>
        <v>50700</v>
      </c>
      <c r="D272" s="111" t="n">
        <f aca="false">SUMIFS(報告入力!$AW$7:$AW$696,報告入力!$A$7:$A$696,$S$262,報告入力!$B$7:$B$696,$A272)</f>
        <v>888264</v>
      </c>
      <c r="E272" s="114" t="n">
        <f aca="false">SUMIFS(報告入力!$AX$7:$AX$696,報告入力!$A$7:$A$696,$S$262,報告入力!$B$7:$B$696,$A272)</f>
        <v>50700</v>
      </c>
      <c r="F272" s="113" t="n">
        <f aca="false">SUMIFS(報告入力!$AY$7:$AY$696,報告入力!$A$7:$A$696,$S$262,報告入力!$B$7:$B$696,$A272)</f>
        <v>587</v>
      </c>
      <c r="G272" s="108" t="n">
        <f aca="false">SUM(B272:F272)</f>
        <v>1608791</v>
      </c>
      <c r="H272" s="117" t="n">
        <f aca="false">SUMIFS(報告入力!$AZ$7:$AZ$696,報告入力!$A$7:$A$696,$S$262,報告入力!$B$7:$B$696,$A272)</f>
        <v>364051</v>
      </c>
      <c r="I272" s="205" t="n">
        <f aca="false">SUMIFS(報告入力!$BA$7:$BA$696,報告入力!$A$7:$A$696,$S$262,報告入力!$B$7:$B$696,$A272)</f>
        <v>370163</v>
      </c>
      <c r="J272" s="108" t="n">
        <f aca="false">SUM(H272:I272)</f>
        <v>734214</v>
      </c>
      <c r="K272" s="117" t="n">
        <f aca="false">SUMIFS(報告入力!$BB$7:$BB$696,報告入力!$A$7:$A$696,$S$262,報告入力!$B$7:$B$696,$A272)</f>
        <v>30257</v>
      </c>
      <c r="L272" s="205" t="n">
        <f aca="false">SUMIFS(報告入力!$BC$7:$BC$696,報告入力!$A$7:$A$696,$S$262,報告入力!$B$7:$B$696,$A272)</f>
        <v>30257</v>
      </c>
      <c r="M272" s="108" t="n">
        <f aca="false">SUM(K272:L272)</f>
        <v>60514</v>
      </c>
      <c r="N272" s="205" t="n">
        <f aca="false">SUMIFS(報告入力!$BD$7:$BD$696,報告入力!$A$7:$A$696,$S$262,報告入力!$B$7:$B$696,$A272)</f>
        <v>8070</v>
      </c>
      <c r="O272" s="205" t="n">
        <f aca="false">SUMIFS(報告入力!$BE$7:$BE$696,報告入力!$A$7:$A$696,$S$262,報告入力!$B$7:$B$696,$A272)</f>
        <v>8073</v>
      </c>
      <c r="P272" s="108" t="n">
        <f aca="false">SUM(N272:O272)</f>
        <v>16143</v>
      </c>
      <c r="Q272" s="110" t="str">
        <f aca="false">IF(P207=P272,"〇","×")</f>
        <v>×</v>
      </c>
      <c r="R272" s="110" t="str">
        <f aca="false">IFERROR(INDEX(報告入力!$C$7:$C$696,MATCH($S$262&amp;"|"&amp;$A272,報告入力!$CG$7:$CG$696,0)),"")</f>
        <v>入金確認済</v>
      </c>
    </row>
    <row r="273" s="110" customFormat="true" ht="20.1" hidden="false" customHeight="true" outlineLevel="0" collapsed="false">
      <c r="A273" s="100" t="s">
        <v>167</v>
      </c>
      <c r="B273" s="117" t="n">
        <f aca="false">SUMIFS(報告入力!$AU$7:$AU$696,報告入力!$A$7:$A$696,$S$262,報告入力!$B$7:$B$696,$A273)</f>
        <v>1317600</v>
      </c>
      <c r="C273" s="113" t="n">
        <f aca="false">SUMIFS(報告入力!$AV$7:$AV$696,報告入力!$A$7:$A$696,$S$262,報告入力!$B$7:$B$696,$A273)</f>
        <v>108000</v>
      </c>
      <c r="D273" s="111" t="n">
        <f aca="false">SUMIFS(報告入力!$AW$7:$AW$696,報告入力!$A$7:$A$696,$S$262,報告入力!$B$7:$B$696,$A273)</f>
        <v>1903332</v>
      </c>
      <c r="E273" s="114" t="n">
        <f aca="false">SUMIFS(報告入力!$AX$7:$AX$696,報告入力!$A$7:$A$696,$S$262,報告入力!$B$7:$B$696,$A273)</f>
        <v>108000</v>
      </c>
      <c r="F273" s="113" t="n">
        <f aca="false">SUMIFS(報告入力!$AY$7:$AY$696,報告入力!$A$7:$A$696,$S$262,報告入力!$B$7:$B$696,$A273)</f>
        <v>1275</v>
      </c>
      <c r="G273" s="108" t="n">
        <f aca="false">SUM(B273:F273)</f>
        <v>3438207</v>
      </c>
      <c r="H273" s="117" t="n">
        <f aca="false">SUMIFS(報告入力!$AZ$7:$AZ$696,報告入力!$A$7:$A$696,$S$262,報告入力!$B$7:$B$696,$A273)</f>
        <v>766995</v>
      </c>
      <c r="I273" s="205" t="n">
        <f aca="false">SUMIFS(報告入力!$BA$7:$BA$696,報告入力!$A$7:$A$696,$S$262,報告入力!$B$7:$B$696,$A273)</f>
        <v>780119</v>
      </c>
      <c r="J273" s="108" t="n">
        <f aca="false">SUM(H273:I273)</f>
        <v>1547114</v>
      </c>
      <c r="K273" s="117" t="n">
        <f aca="false">SUMIFS(報告入力!$BB$7:$BB$696,報告入力!$A$7:$A$696,$S$262,報告入力!$B$7:$B$696,$A273)</f>
        <v>107914</v>
      </c>
      <c r="L273" s="205" t="n">
        <f aca="false">SUMIFS(報告入力!$BC$7:$BC$696,報告入力!$A$7:$A$696,$S$262,報告入力!$B$7:$B$696,$A273)</f>
        <v>107914</v>
      </c>
      <c r="M273" s="108" t="n">
        <f aca="false">SUM(K273:L273)</f>
        <v>215828</v>
      </c>
      <c r="N273" s="205" t="n">
        <f aca="false">SUMIFS(報告入力!$BD$7:$BD$696,報告入力!$A$7:$A$696,$S$262,報告入力!$B$7:$B$696,$A273)</f>
        <v>17000</v>
      </c>
      <c r="O273" s="205" t="n">
        <f aca="false">SUMIFS(報告入力!$BE$7:$BE$696,報告入力!$A$7:$A$696,$S$262,報告入力!$B$7:$B$696,$A273)</f>
        <v>17007</v>
      </c>
      <c r="P273" s="108" t="n">
        <f aca="false">SUM(N273:O273)</f>
        <v>34007</v>
      </c>
      <c r="Q273" s="110" t="str">
        <f aca="false">IF(P208=P273,"〇","×")</f>
        <v>×</v>
      </c>
      <c r="R273" s="110" t="str">
        <f aca="false">IFERROR(INDEX(報告入力!$C$7:$C$696,MATCH($S$262&amp;"|"&amp;$A273,報告入力!$CG$7:$CG$696,0)),"")</f>
        <v>入金確認済</v>
      </c>
    </row>
    <row r="274" s="110" customFormat="true" ht="20.1" hidden="false" customHeight="true" outlineLevel="0" collapsed="false">
      <c r="A274" s="100" t="s">
        <v>168</v>
      </c>
      <c r="B274" s="117" t="n">
        <f aca="false">SUMIFS(報告入力!$AU$7:$AU$696,報告入力!$A$7:$A$696,$S$262,報告入力!$B$7:$B$696,$A274)</f>
        <v>396195</v>
      </c>
      <c r="C274" s="113" t="n">
        <f aca="false">SUMIFS(報告入力!$AV$7:$AV$696,報告入力!$A$7:$A$696,$S$262,報告入力!$B$7:$B$696,$A274)</f>
        <v>32475</v>
      </c>
      <c r="D274" s="111" t="n">
        <f aca="false">SUMIFS(報告入力!$AW$7:$AW$696,報告入力!$A$7:$A$696,$S$262,報告入力!$B$7:$B$696,$A274)</f>
        <v>568962</v>
      </c>
      <c r="E274" s="114" t="n">
        <f aca="false">SUMIFS(報告入力!$AX$7:$AX$696,報告入力!$A$7:$A$696,$S$262,報告入力!$B$7:$B$696,$A274)</f>
        <v>32475</v>
      </c>
      <c r="F274" s="113" t="n">
        <f aca="false">SUMIFS(報告入力!$AY$7:$AY$696,報告入力!$A$7:$A$696,$S$262,報告入力!$B$7:$B$696,$A274)</f>
        <v>376</v>
      </c>
      <c r="G274" s="108" t="n">
        <f aca="false">SUM(B274:F274)</f>
        <v>1030483</v>
      </c>
      <c r="H274" s="117" t="n">
        <f aca="false">SUMIFS(報告入力!$AZ$7:$AZ$696,報告入力!$A$7:$A$696,$S$262,報告入力!$B$7:$B$696,$A274)</f>
        <v>299021</v>
      </c>
      <c r="I274" s="205" t="n">
        <f aca="false">SUMIFS(報告入力!$BA$7:$BA$696,報告入力!$A$7:$A$696,$S$262,報告入力!$B$7:$B$696,$A274)</f>
        <v>304040</v>
      </c>
      <c r="J274" s="108" t="n">
        <f aca="false">SUM(H274:I274)</f>
        <v>603061</v>
      </c>
      <c r="K274" s="117" t="n">
        <f aca="false">SUMIFS(報告入力!$BB$7:$BB$696,報告入力!$A$7:$A$696,$S$262,報告入力!$B$7:$B$696,$A274)</f>
        <v>33383</v>
      </c>
      <c r="L274" s="205" t="n">
        <f aca="false">SUMIFS(報告入力!$BC$7:$BC$696,報告入力!$A$7:$A$696,$S$262,報告入力!$B$7:$B$696,$A274)</f>
        <v>33385</v>
      </c>
      <c r="M274" s="108" t="n">
        <f aca="false">SUM(K274:L274)</f>
        <v>66768</v>
      </c>
      <c r="N274" s="205" t="n">
        <f aca="false">SUMIFS(報告入力!$BD$7:$BD$696,報告入力!$A$7:$A$696,$S$262,報告入力!$B$7:$B$696,$A274)</f>
        <v>6628</v>
      </c>
      <c r="O274" s="205" t="n">
        <f aca="false">SUMIFS(報告入力!$BE$7:$BE$696,報告入力!$A$7:$A$696,$S$262,報告入力!$B$7:$B$696,$A274)</f>
        <v>6630</v>
      </c>
      <c r="P274" s="108" t="n">
        <f aca="false">SUM(N274:O274)</f>
        <v>13258</v>
      </c>
      <c r="Q274" s="110" t="str">
        <f aca="false">IF(P209=P274,"〇","×")</f>
        <v>×</v>
      </c>
      <c r="R274" s="110" t="str">
        <f aca="false">IFERROR(INDEX(報告入力!$C$7:$C$696,MATCH($S$262&amp;"|"&amp;$A274,報告入力!$CG$7:$CG$696,0)),"")</f>
        <v>入金確認済</v>
      </c>
    </row>
    <row r="275" s="110" customFormat="true" ht="20.1" hidden="false" customHeight="true" outlineLevel="0" collapsed="false">
      <c r="A275" s="100" t="s">
        <v>169</v>
      </c>
      <c r="B275" s="117" t="n">
        <f aca="false">SUMIFS(報告入力!$AU$7:$AU$696,報告入力!$A$7:$A$696,$S$262,報告入力!$B$7:$B$696,$A275)</f>
        <v>22759527</v>
      </c>
      <c r="C275" s="113" t="n">
        <f aca="false">SUMIFS(報告入力!$AV$7:$AV$696,報告入力!$A$7:$A$696,$S$262,報告入力!$B$7:$B$696,$A275)</f>
        <v>1865535</v>
      </c>
      <c r="D275" s="111" t="n">
        <f aca="false">SUMIFS(報告入力!$AW$7:$AW$696,報告入力!$A$7:$A$696,$S$262,報告入力!$B$7:$B$696,$A275)</f>
        <v>32881359</v>
      </c>
      <c r="E275" s="114" t="n">
        <f aca="false">SUMIFS(報告入力!$AX$7:$AX$696,報告入力!$A$7:$A$696,$S$262,報告入力!$B$7:$B$696,$A275)</f>
        <v>1865535</v>
      </c>
      <c r="F275" s="113" t="n">
        <f aca="false">SUMIFS(報告入力!$AY$7:$AY$696,報告入力!$A$7:$A$696,$S$262,報告入力!$B$7:$B$696,$A275)</f>
        <v>22039</v>
      </c>
      <c r="G275" s="108" t="n">
        <f aca="false">SUM(B275:F275)</f>
        <v>59393995</v>
      </c>
      <c r="H275" s="114" t="n">
        <f aca="false">SUMIFS(報告入力!$AZ$7:$AZ$696,報告入力!$A$7:$A$696,$S$262,報告入力!$B$7:$B$696,$A275)</f>
        <v>13590710</v>
      </c>
      <c r="I275" s="205" t="n">
        <f aca="false">SUMIFS(報告入力!$BA$7:$BA$696,報告入力!$A$7:$A$696,$S$262,報告入力!$B$7:$B$696,$A275)</f>
        <v>13823267</v>
      </c>
      <c r="J275" s="108" t="n">
        <f aca="false">SUM(H275:I275)</f>
        <v>27413977</v>
      </c>
      <c r="K275" s="205" t="n">
        <f aca="false">SUMIFS(報告入力!$BB$7:$BB$696,報告入力!$A$7:$A$696,$S$262,報告入力!$B$7:$B$696,$A275)</f>
        <v>1377049</v>
      </c>
      <c r="L275" s="205" t="n">
        <f aca="false">SUMIFS(報告入力!$BC$7:$BC$696,報告入力!$A$7:$A$696,$S$262,報告入力!$B$7:$B$696,$A275)</f>
        <v>1377049</v>
      </c>
      <c r="M275" s="108" t="n">
        <f aca="false">SUM(K275:L275)</f>
        <v>2754098</v>
      </c>
      <c r="N275" s="205" t="n">
        <f aca="false">SUMIFS(報告入力!$BD$7:$BD$696,報告入力!$A$7:$A$696,$S$262,報告入力!$B$7:$B$696,$A275)</f>
        <v>301037</v>
      </c>
      <c r="O275" s="205" t="n">
        <f aca="false">SUMIFS(報告入力!$BE$7:$BE$696,報告入力!$A$7:$A$696,$S$262,報告入力!$B$7:$B$696,$A275)</f>
        <v>301136</v>
      </c>
      <c r="P275" s="108" t="n">
        <f aca="false">SUM(N275:O275)</f>
        <v>602173</v>
      </c>
      <c r="Q275" s="110" t="str">
        <f aca="false">IF(P210=P275,"〇","×")</f>
        <v>×</v>
      </c>
      <c r="R275" s="110" t="str">
        <f aca="false">IFERROR(INDEX(報告入力!$C$7:$C$696,MATCH($S$262&amp;"|"&amp;$A275,報告入力!$CG$7:$CG$696,0)),"")</f>
        <v>入金確認済</v>
      </c>
    </row>
    <row r="276" s="110" customFormat="true" ht="19.5" hidden="false" customHeight="true" outlineLevel="0" collapsed="false">
      <c r="A276" s="121" t="s">
        <v>381</v>
      </c>
      <c r="B276" s="117" t="n">
        <f aca="false">SUMIFS(報告入力!$AU$7:$AU$696,報告入力!$A$7:$A$696,$S$262,報告入力!$B$7:$B$696,$A276)</f>
        <v>48495</v>
      </c>
      <c r="C276" s="113" t="n">
        <f aca="false">SUMIFS(報告入力!$AV$7:$AV$696,報告入力!$A$7:$A$696,$S$262,報告入力!$B$7:$B$696,$A276)</f>
        <v>3975</v>
      </c>
      <c r="D276" s="111" t="n">
        <f aca="false">SUMIFS(報告入力!$AW$7:$AW$696,報告入力!$A$7:$A$696,$S$262,報告入力!$B$7:$B$696,$A276)</f>
        <v>69642</v>
      </c>
      <c r="E276" s="114" t="n">
        <f aca="false">SUMIFS(報告入力!$AX$7:$AX$696,報告入力!$A$7:$A$696,$S$262,報告入力!$B$7:$B$696,$A276)</f>
        <v>3975</v>
      </c>
      <c r="F276" s="113" t="n">
        <f aca="false">SUMIFS(報告入力!$AY$7:$AY$696,報告入力!$A$7:$A$696,$S$262,報告入力!$B$7:$B$696,$A276)</f>
        <v>46</v>
      </c>
      <c r="G276" s="108" t="n">
        <f aca="false">SUM(B276:F276)</f>
        <v>126133</v>
      </c>
      <c r="H276" s="114" t="n">
        <f aca="false">SUMIFS(報告入力!$AZ$7:$AZ$696,報告入力!$A$7:$A$696,$S$262,報告入力!$B$7:$B$696,$A276)</f>
        <v>27485</v>
      </c>
      <c r="I276" s="205" t="n">
        <f aca="false">SUMIFS(報告入力!$BA$7:$BA$696,報告入力!$A$7:$A$696,$S$262,報告入力!$B$7:$B$696,$A276)</f>
        <v>27946</v>
      </c>
      <c r="J276" s="108" t="n">
        <f aca="false">SUM(H276:I276)</f>
        <v>55431</v>
      </c>
      <c r="K276" s="205" t="n">
        <f aca="false">SUMIFS(報告入力!$BB$7:$BB$696,報告入力!$A$7:$A$696,$S$262,報告入力!$B$7:$B$696,$A276)</f>
        <v>4187</v>
      </c>
      <c r="L276" s="205" t="n">
        <f aca="false">SUMIFS(報告入力!$BC$7:$BC$696,報告入力!$A$7:$A$696,$S$262,報告入力!$B$7:$B$696,$A276)</f>
        <v>4187</v>
      </c>
      <c r="M276" s="108" t="n">
        <f aca="false">SUM(K276:L276)</f>
        <v>8374</v>
      </c>
      <c r="N276" s="205" t="n">
        <f aca="false">SUMIFS(報告入力!$BD$7:$BD$696,報告入力!$A$7:$A$696,$S$262,報告入力!$B$7:$B$696,$A276)</f>
        <v>609</v>
      </c>
      <c r="O276" s="205" t="n">
        <f aca="false">SUMIFS(報告入力!$BE$7:$BE$696,報告入力!$A$7:$A$696,$S$262,報告入力!$B$7:$B$696,$A276)</f>
        <v>609</v>
      </c>
      <c r="P276" s="108" t="n">
        <f aca="false">SUM(N276:O276)</f>
        <v>1218</v>
      </c>
      <c r="Q276" s="110" t="str">
        <f aca="false">IF(P211=P276,"〇","×")</f>
        <v>×</v>
      </c>
      <c r="R276" s="110" t="str">
        <f aca="false">IFERROR(INDEX(報告入力!$C$7:$C$696,MATCH($S$262&amp;"|"&amp;$A276,報告入力!$CG$7:$CG$696,0)),"")</f>
        <v>入金確認済</v>
      </c>
    </row>
    <row r="277" s="137" customFormat="true" ht="19.5" hidden="false" customHeight="true" outlineLevel="0" collapsed="false">
      <c r="A277" s="126" t="s">
        <v>171</v>
      </c>
      <c r="B277" s="127" t="n">
        <f aca="false">SUMIFS(報告入力!$AU$7:$AU$696,報告入力!$A$7:$A$696,$S$262,報告入力!$B$7:$B$696,$A277)</f>
        <v>0</v>
      </c>
      <c r="C277" s="128" t="n">
        <f aca="false">SUMIFS(報告入力!$AV$7:$AV$696,報告入力!$A$7:$A$696,$S$262,報告入力!$B$7:$B$696,$A277)</f>
        <v>0</v>
      </c>
      <c r="D277" s="129"/>
      <c r="E277" s="130"/>
      <c r="F277" s="131" t="n">
        <f aca="false">SUMIFS(報告入力!$AY$7:$AY$696,報告入力!$A$7:$A$696,$S$262,報告入力!$B$7:$B$696,$A277)</f>
        <v>0</v>
      </c>
      <c r="G277" s="132" t="n">
        <f aca="false">SUM(B277:F277)</f>
        <v>0</v>
      </c>
      <c r="H277" s="114" t="n">
        <f aca="false">SUMIFS(報告入力!$AZ$7:$AZ$696,報告入力!$A$7:$A$696,$S$262,報告入力!$B$7:$B$696,$A277)</f>
        <v>386553</v>
      </c>
      <c r="I277" s="115" t="n">
        <f aca="false">SUMIFS(報告入力!$BA$7:$BA$696,報告入力!$A$7:$A$696,$S$262,報告入力!$B$7:$B$696,$A277)</f>
        <v>393048</v>
      </c>
      <c r="J277" s="116" t="n">
        <f aca="false">SUM(H277:I277)</f>
        <v>779601</v>
      </c>
      <c r="K277" s="109" t="n">
        <f aca="false">SUMIFS(報告入力!$BB$7:$BB$696,報告入力!$A$7:$A$696,$S$262,報告入力!$B$7:$B$696,$A277)</f>
        <v>12008</v>
      </c>
      <c r="L277" s="115" t="n">
        <f aca="false">SUMIFS(報告入力!$BC$7:$BC$696,報告入力!$A$7:$A$696,$S$262,報告入力!$B$7:$B$696,$A277)</f>
        <v>12008</v>
      </c>
      <c r="M277" s="116" t="n">
        <f aca="false">SUM(K277:L277)</f>
        <v>24016</v>
      </c>
      <c r="N277" s="205" t="n">
        <f aca="false">SUMIFS(報告入力!$BD$7:$BD$696,報告入力!$A$7:$A$696,$S$262,報告入力!$B$7:$B$696,$A277)</f>
        <v>8565</v>
      </c>
      <c r="O277" s="205" t="n">
        <f aca="false">SUMIFS(報告入力!$BE$7:$BE$696,報告入力!$A$7:$A$696,$S$262,報告入力!$B$7:$B$696,$A277)</f>
        <v>8572</v>
      </c>
      <c r="P277" s="116" t="n">
        <f aca="false">SUM(N277:O277)</f>
        <v>17137</v>
      </c>
      <c r="Q277" s="137" t="str">
        <f aca="false">IF(P212=P277,"〇","×")</f>
        <v>×</v>
      </c>
      <c r="R277" s="137" t="str">
        <f aca="false">IFERROR(INDEX(報告入力!$C$7:$C$696,MATCH($S$262&amp;"|"&amp;$A277,報告入力!$CG$7:$CG$696,0)),"")</f>
        <v>入金確認済</v>
      </c>
    </row>
    <row r="278" s="137" customFormat="true" ht="19.5" hidden="false" customHeight="true" outlineLevel="0" collapsed="false">
      <c r="A278" s="138" t="s">
        <v>382</v>
      </c>
      <c r="B278" s="139"/>
      <c r="C278" s="140"/>
      <c r="D278" s="139"/>
      <c r="E278" s="141"/>
      <c r="F278" s="142"/>
      <c r="G278" s="143"/>
      <c r="H278" s="144"/>
      <c r="I278" s="145"/>
      <c r="J278" s="146"/>
      <c r="K278" s="147"/>
      <c r="L278" s="148"/>
      <c r="M278" s="148"/>
      <c r="N278" s="147"/>
      <c r="O278" s="148"/>
      <c r="P278" s="148"/>
      <c r="Q278" s="137" t="str">
        <f aca="false">IF(P213=P278,"〇","×")</f>
        <v>〇</v>
      </c>
    </row>
    <row r="279" s="137" customFormat="true" ht="19.5" hidden="false" customHeight="true" outlineLevel="0" collapsed="false">
      <c r="A279" s="149" t="s">
        <v>382</v>
      </c>
      <c r="B279" s="150"/>
      <c r="C279" s="151"/>
      <c r="D279" s="150"/>
      <c r="E279" s="152"/>
      <c r="F279" s="153"/>
      <c r="G279" s="154"/>
      <c r="H279" s="155"/>
      <c r="I279" s="152"/>
      <c r="J279" s="156"/>
      <c r="K279" s="157"/>
      <c r="L279" s="158"/>
      <c r="M279" s="158"/>
      <c r="N279" s="157"/>
      <c r="O279" s="158"/>
      <c r="P279" s="158"/>
      <c r="Q279" s="137" t="str">
        <f aca="false">IF(P214=P279,"〇","×")</f>
        <v>〇</v>
      </c>
    </row>
    <row r="280" s="137" customFormat="true" ht="19.5" hidden="false" customHeight="true" outlineLevel="0" collapsed="false">
      <c r="A280" s="149" t="s">
        <v>382</v>
      </c>
      <c r="B280" s="139"/>
      <c r="C280" s="140"/>
      <c r="D280" s="139"/>
      <c r="E280" s="141"/>
      <c r="F280" s="142"/>
      <c r="G280" s="143"/>
      <c r="H280" s="159"/>
      <c r="I280" s="141"/>
      <c r="J280" s="146"/>
      <c r="K280" s="160"/>
      <c r="L280" s="161"/>
      <c r="M280" s="161"/>
      <c r="N280" s="160"/>
      <c r="O280" s="161"/>
      <c r="P280" s="161"/>
      <c r="Q280" s="137" t="str">
        <f aca="false">IF(P215=P280,"〇","×")</f>
        <v>〇</v>
      </c>
    </row>
    <row r="281" s="137" customFormat="true" ht="19.5" hidden="false" customHeight="true" outlineLevel="0" collapsed="false">
      <c r="A281" s="162" t="s">
        <v>382</v>
      </c>
      <c r="B281" s="163"/>
      <c r="C281" s="164"/>
      <c r="D281" s="163"/>
      <c r="E281" s="165"/>
      <c r="F281" s="166"/>
      <c r="G281" s="167"/>
      <c r="H281" s="155"/>
      <c r="I281" s="168"/>
      <c r="J281" s="169"/>
      <c r="K281" s="157"/>
      <c r="L281" s="158"/>
      <c r="M281" s="170"/>
      <c r="N281" s="157"/>
      <c r="O281" s="158"/>
      <c r="P281" s="170"/>
      <c r="Q281" s="137" t="str">
        <f aca="false">IF(P216=P281,"〇","×")</f>
        <v>〇</v>
      </c>
    </row>
    <row r="282" s="137" customFormat="true" ht="19.5" hidden="false" customHeight="true" outlineLevel="0" collapsed="false">
      <c r="A282" s="171" t="s">
        <v>383</v>
      </c>
      <c r="B282" s="172" t="n">
        <f aca="false">SUM(B266:B281)</f>
        <v>368116212</v>
      </c>
      <c r="C282" s="173" t="n">
        <f aca="false">SUM(C266:C281)</f>
        <v>30178335</v>
      </c>
      <c r="D282" s="172" t="n">
        <f aca="false">SUM(D266:D281)</f>
        <v>528915506</v>
      </c>
      <c r="E282" s="174" t="n">
        <f aca="false">SUM(E266:E281)</f>
        <v>29636500</v>
      </c>
      <c r="F282" s="175" t="n">
        <f aca="false">SUM(F266:F281)</f>
        <v>355423</v>
      </c>
      <c r="G282" s="176" t="n">
        <f aca="false">SUM(B282:F282)</f>
        <v>957201976</v>
      </c>
      <c r="H282" s="173" t="n">
        <f aca="false">SUM(H266:H281)</f>
        <v>259319355</v>
      </c>
      <c r="I282" s="173" t="n">
        <f aca="false">SUM(I266:I281)</f>
        <v>259918246</v>
      </c>
      <c r="J282" s="175" t="n">
        <f aca="false">SUM(H282:I282)</f>
        <v>519237601</v>
      </c>
      <c r="K282" s="172" t="n">
        <f aca="false">SUM(K266:K281)</f>
        <v>23701125</v>
      </c>
      <c r="L282" s="173" t="n">
        <f aca="false">SUM(L266:L281)</f>
        <v>23286233</v>
      </c>
      <c r="M282" s="175" t="n">
        <f aca="false">SUM(K282:L282)</f>
        <v>46987358</v>
      </c>
      <c r="N282" s="172" t="n">
        <f aca="false">SUM(N266:N281)</f>
        <v>5749412</v>
      </c>
      <c r="O282" s="173" t="n">
        <f aca="false">SUM(O266:O281)</f>
        <v>5663754</v>
      </c>
      <c r="P282" s="175" t="n">
        <f aca="false">SUM(N282:O282)</f>
        <v>11413166</v>
      </c>
      <c r="Q282" s="137" t="str">
        <f aca="false">IF(P217=P282,"〇","×")</f>
        <v>×</v>
      </c>
    </row>
    <row r="283" s="110" customFormat="true" ht="20.1" hidden="false" customHeight="true" outlineLevel="0" collapsed="false">
      <c r="A283" s="177" t="s">
        <v>172</v>
      </c>
      <c r="B283" s="338"/>
      <c r="C283" s="339"/>
      <c r="D283" s="340"/>
      <c r="E283" s="303"/>
      <c r="F283" s="308"/>
      <c r="G283" s="302" t="n">
        <f aca="false">SUM(B283:F283)</f>
        <v>0</v>
      </c>
      <c r="H283" s="303"/>
      <c r="I283" s="310"/>
      <c r="J283" s="302" t="n">
        <f aca="false">SUM(H283:I283)</f>
        <v>0</v>
      </c>
      <c r="K283" s="310"/>
      <c r="L283" s="310"/>
      <c r="M283" s="302" t="n">
        <f aca="false">SUM(K283:L283)</f>
        <v>0</v>
      </c>
      <c r="N283" s="310"/>
      <c r="O283" s="310"/>
      <c r="P283" s="302" t="n">
        <f aca="false">SUM(N283:O283)</f>
        <v>0</v>
      </c>
      <c r="Q283" s="110" t="str">
        <f aca="false">IF(P218=P283,"〇","×")</f>
        <v>〇</v>
      </c>
      <c r="R283" s="110" t="str">
        <f aca="false">IFERROR(INDEX(報告入力!$C$7:$C$696,MATCH($S$262&amp;"|"&amp;$A283,報告入力!$CG$7:$CG$696,0)),"")</f>
        <v>報告なし</v>
      </c>
    </row>
    <row r="284" s="110" customFormat="true" ht="20.1" hidden="false" customHeight="true" outlineLevel="0" collapsed="false">
      <c r="A284" s="341" t="s">
        <v>174</v>
      </c>
      <c r="B284" s="117" t="n">
        <f aca="false">SUMIFS(報告入力!$AU$7:$AU$696,報告入力!$A$7:$A$696,$S$262,報告入力!$B$7:$B$696,$A284)</f>
        <v>0</v>
      </c>
      <c r="C284" s="113" t="n">
        <f aca="false">SUMIFS(報告入力!$AV$7:$AV$696,報告入力!$A$7:$A$696,$S$262,報告入力!$B$7:$B$696,$A284)</f>
        <v>0</v>
      </c>
      <c r="D284" s="103" t="n">
        <f aca="false">SUMIFS(報告入力!$AW$7:$AW$696,報告入力!$A$7:$A$696,$S$262,報告入力!$B$7:$B$696,$A284)</f>
        <v>807030</v>
      </c>
      <c r="E284" s="114" t="n">
        <f aca="false">SUMIFS(報告入力!$AX$7:$AX$696,報告入力!$A$7:$A$696,$S$262,報告入力!$B$7:$B$696,$A284)</f>
        <v>66150</v>
      </c>
      <c r="F284" s="113" t="n">
        <f aca="false">SUMIFS(報告入力!$AY$7:$AY$696,報告入力!$A$7:$A$696,$S$262,報告入力!$B$7:$B$696,$A284)</f>
        <v>829</v>
      </c>
      <c r="G284" s="108" t="n">
        <f aca="false">SUM(B284:F284)</f>
        <v>874009</v>
      </c>
      <c r="H284" s="114" t="n">
        <f aca="false">SUMIFS(報告入力!$AZ$7:$AZ$696,報告入力!$A$7:$A$696,$S$262,報告入力!$B$7:$B$696,$A284)</f>
        <v>0</v>
      </c>
      <c r="I284" s="205" t="n">
        <f aca="false">SUMIFS(報告入力!$BA$7:$BA$696,報告入力!$A$7:$A$696,$S$262,報告入力!$B$7:$B$696,$A284)</f>
        <v>462519</v>
      </c>
      <c r="J284" s="108" t="n">
        <f aca="false">SUM(H284:I284)</f>
        <v>462519</v>
      </c>
      <c r="K284" s="205" t="n">
        <f aca="false">SUMIFS(報告入力!$BB$7:$BB$696,報告入力!$A$7:$A$696,$S$262,報告入力!$B$7:$B$696,$A284)</f>
        <v>0</v>
      </c>
      <c r="L284" s="205" t="n">
        <f aca="false">SUMIFS(報告入力!$BC$7:$BC$696,報告入力!$A$7:$A$696,$S$262,報告入力!$B$7:$B$696,$A284)</f>
        <v>57354</v>
      </c>
      <c r="M284" s="108" t="n">
        <f aca="false">SUM(K284:L284)</f>
        <v>57354</v>
      </c>
      <c r="N284" s="205" t="n">
        <f aca="false">SUMIFS(報告入力!$BD$7:$BD$696,報告入力!$A$7:$A$696,$S$262,報告入力!$B$7:$B$696,$A284)</f>
        <v>0</v>
      </c>
      <c r="O284" s="205" t="n">
        <f aca="false">SUMIFS(報告入力!$BE$7:$BE$696,報告入力!$A$7:$A$696,$S$262,報告入力!$B$7:$B$696,$A284)</f>
        <v>10246</v>
      </c>
      <c r="P284" s="108" t="n">
        <f aca="false">SUM(N284:O284)</f>
        <v>10246</v>
      </c>
      <c r="Q284" s="110" t="str">
        <f aca="false">IF(P219=P284,"〇","×")</f>
        <v>×</v>
      </c>
      <c r="R284" s="110" t="str">
        <f aca="false">IFERROR(INDEX(報告入力!$C$7:$C$696,MATCH($S$262&amp;"|"&amp;$A284,報告入力!$CG$7:$CG$696,0)),"")</f>
        <v>入金確認済</v>
      </c>
    </row>
    <row r="285" s="110" customFormat="true" ht="20.1" hidden="false" customHeight="true" outlineLevel="0" collapsed="false">
      <c r="A285" s="341" t="s">
        <v>175</v>
      </c>
      <c r="B285" s="186"/>
      <c r="C285" s="187"/>
      <c r="D285" s="103" t="n">
        <f aca="false">SUMIFS(報告入力!$AW$7:$AW$696,報告入力!$A$7:$A$696,$S$262,報告入力!$B$7:$B$696,$A285)</f>
        <v>2034960</v>
      </c>
      <c r="E285" s="114" t="n">
        <f aca="false">SUMIFS(報告入力!$AX$7:$AX$696,報告入力!$A$7:$A$696,$S$262,報告入力!$B$7:$B$696,$A285)</f>
        <v>166800</v>
      </c>
      <c r="F285" s="113" t="n">
        <f aca="false">SUMIFS(報告入力!$AY$7:$AY$696,報告入力!$A$7:$A$696,$S$262,報告入力!$B$7:$B$696,$A285)</f>
        <v>2038</v>
      </c>
      <c r="G285" s="108" t="n">
        <f aca="false">SUM(B285:F285)</f>
        <v>2203798</v>
      </c>
      <c r="H285" s="202"/>
      <c r="I285" s="205" t="n">
        <f aca="false">SUMIFS(報告入力!$BA$7:$BA$696,報告入力!$A$7:$A$696,$S$262,報告入力!$B$7:$B$696,$A285)</f>
        <v>1310786</v>
      </c>
      <c r="J285" s="108" t="n">
        <f aca="false">SUM(H285:I285)</f>
        <v>1310786</v>
      </c>
      <c r="K285" s="188"/>
      <c r="L285" s="205" t="n">
        <f aca="false">SUMIFS(報告入力!$BC$7:$BC$696,報告入力!$A$7:$A$696,$S$262,報告入力!$B$7:$B$696,$A285)</f>
        <v>143859</v>
      </c>
      <c r="M285" s="108" t="n">
        <f aca="false">SUM(K285:L285)</f>
        <v>143859</v>
      </c>
      <c r="N285" s="188"/>
      <c r="O285" s="205" t="n">
        <f aca="false">SUMIFS(報告入力!$BE$7:$BE$696,報告入力!$A$7:$A$696,$S$262,報告入力!$B$7:$B$696,$A285)</f>
        <v>29034</v>
      </c>
      <c r="P285" s="108" t="n">
        <f aca="false">SUM(N285:O285)</f>
        <v>29034</v>
      </c>
      <c r="Q285" s="110" t="str">
        <f aca="false">IF(P220=P285,"〇","×")</f>
        <v>×</v>
      </c>
      <c r="R285" s="110" t="str">
        <f aca="false">IFERROR(INDEX(報告入力!$C$7:$C$696,MATCH($S$262&amp;"|"&amp;$A285,報告入力!$CG$7:$CG$696,0)),"")</f>
        <v>入金確認済</v>
      </c>
    </row>
    <row r="286" s="110" customFormat="true" ht="20.1" hidden="false" customHeight="true" outlineLevel="0" collapsed="false">
      <c r="A286" s="341" t="s">
        <v>176</v>
      </c>
      <c r="B286" s="186"/>
      <c r="C286" s="187"/>
      <c r="D286" s="103" t="n">
        <f aca="false">SUMIFS(報告入力!$AW$7:$AW$696,報告入力!$A$7:$A$696,$S$262,報告入力!$B$7:$B$696,$A286)</f>
        <v>59475</v>
      </c>
      <c r="E286" s="114" t="n">
        <f aca="false">SUMIFS(報告入力!$AX$7:$AX$696,報告入力!$A$7:$A$696,$S$262,報告入力!$B$7:$B$696,$A286)</f>
        <v>4875</v>
      </c>
      <c r="F286" s="113" t="n">
        <f aca="false">SUMIFS(報告入力!$AY$7:$AY$696,報告入力!$A$7:$A$696,$S$262,報告入力!$B$7:$B$696,$A286)</f>
        <v>56</v>
      </c>
      <c r="G286" s="108" t="n">
        <f aca="false">SUM(B286:F286)</f>
        <v>64406</v>
      </c>
      <c r="H286" s="202"/>
      <c r="I286" s="205" t="n">
        <f aca="false">SUMIFS(報告入力!$BA$7:$BA$696,報告入力!$A$7:$A$696,$S$262,報告入力!$B$7:$B$696,$A286)</f>
        <v>36856</v>
      </c>
      <c r="J286" s="108" t="n">
        <f aca="false">SUM(H286:I286)</f>
        <v>36856</v>
      </c>
      <c r="K286" s="188"/>
      <c r="L286" s="205" t="n">
        <f aca="false">SUMIFS(報告入力!$BC$7:$BC$696,報告入力!$A$7:$A$696,$S$262,報告入力!$B$7:$B$696,$A286)</f>
        <v>5609</v>
      </c>
      <c r="M286" s="108" t="n">
        <f aca="false">SUM(K286:L286)</f>
        <v>5609</v>
      </c>
      <c r="N286" s="188"/>
      <c r="O286" s="205" t="n">
        <f aca="false">SUMIFS(報告入力!$BE$7:$BE$696,報告入力!$A$7:$A$696,$S$262,報告入力!$B$7:$B$696,$A286)</f>
        <v>816</v>
      </c>
      <c r="P286" s="108" t="n">
        <f aca="false">SUM(N286:O286)</f>
        <v>816</v>
      </c>
      <c r="Q286" s="110" t="str">
        <f aca="false">IF(P221=P286,"〇","×")</f>
        <v>×</v>
      </c>
      <c r="R286" s="110" t="str">
        <f aca="false">IFERROR(INDEX(報告入力!$C$7:$C$696,MATCH($S$262&amp;"|"&amp;$A286,報告入力!$CG$7:$CG$696,0)),"")</f>
        <v>入金確認済</v>
      </c>
    </row>
    <row r="287" s="110" customFormat="true" ht="20.1" hidden="false" customHeight="true" outlineLevel="0" collapsed="false">
      <c r="A287" s="342" t="s">
        <v>177</v>
      </c>
      <c r="B287" s="186"/>
      <c r="C287" s="187"/>
      <c r="D287" s="103" t="n">
        <f aca="false">SUMIFS(報告入力!$AW$7:$AW$696,報告入力!$A$7:$A$696,$S$262,報告入力!$B$7:$B$696,$A287)</f>
        <v>368745</v>
      </c>
      <c r="E287" s="114" t="n">
        <f aca="false">SUMIFS(報告入力!$AX$7:$AX$696,報告入力!$A$7:$A$696,$S$262,報告入力!$B$7:$B$696,$A287)</f>
        <v>30225</v>
      </c>
      <c r="F287" s="113" t="n">
        <f aca="false">SUMIFS(報告入力!$AY$7:$AY$696,報告入力!$A$7:$A$696,$S$262,報告入力!$B$7:$B$696,$A287)</f>
        <v>395</v>
      </c>
      <c r="G287" s="108" t="n">
        <f aca="false">SUM(B287:F287)</f>
        <v>399365</v>
      </c>
      <c r="H287" s="202"/>
      <c r="I287" s="205" t="n">
        <f aca="false">SUMIFS(報告入力!$BA$7:$BA$696,報告入力!$A$7:$A$696,$S$262,報告入力!$B$7:$B$696,$A287)</f>
        <v>209223</v>
      </c>
      <c r="J287" s="108" t="n">
        <f aca="false">SUM(H287:I287)</f>
        <v>209223</v>
      </c>
      <c r="K287" s="188"/>
      <c r="L287" s="205" t="n">
        <f aca="false">SUMIFS(報告入力!$BC$7:$BC$696,報告入力!$A$7:$A$696,$S$262,報告入力!$B$7:$B$696,$A287)</f>
        <v>26781</v>
      </c>
      <c r="M287" s="108" t="n">
        <f aca="false">SUM(K287:L287)</f>
        <v>26781</v>
      </c>
      <c r="N287" s="188"/>
      <c r="O287" s="205" t="n">
        <f aca="false">SUMIFS(報告入力!$BE$7:$BE$696,報告入力!$A$7:$A$696,$S$262,報告入力!$B$7:$B$696,$A287)</f>
        <v>4634</v>
      </c>
      <c r="P287" s="108" t="n">
        <f aca="false">SUM(N287:O287)</f>
        <v>4634</v>
      </c>
      <c r="Q287" s="110" t="str">
        <f aca="false">IF(P222=P287,"〇","×")</f>
        <v>×</v>
      </c>
      <c r="R287" s="110" t="str">
        <f aca="false">IFERROR(INDEX(報告入力!$C$7:$C$696,MATCH($S$262&amp;"|"&amp;$A287,報告入力!$CG$7:$CG$696,0)),"")</f>
        <v>入金確認済</v>
      </c>
    </row>
    <row r="288" s="110" customFormat="true" ht="20.1" hidden="false" customHeight="true" outlineLevel="0" collapsed="false">
      <c r="A288" s="343" t="s">
        <v>178</v>
      </c>
      <c r="B288" s="186"/>
      <c r="C288" s="191"/>
      <c r="D288" s="103" t="n">
        <f aca="false">SUMIFS(報告入力!$AW$7:$AW$696,報告入力!$A$7:$A$696,$S$262,報告入力!$B$7:$B$696,$A288)</f>
        <v>45750</v>
      </c>
      <c r="E288" s="114" t="n">
        <f aca="false">SUMIFS(報告入力!$AX$7:$AX$696,報告入力!$A$7:$A$696,$S$262,報告入力!$B$7:$B$696,$A288)</f>
        <v>3750</v>
      </c>
      <c r="F288" s="113" t="n">
        <f aca="false">SUMIFS(報告入力!$AY$7:$AY$696,報告入力!$A$7:$A$696,$S$262,報告入力!$B$7:$B$696,$A288)</f>
        <v>43</v>
      </c>
      <c r="G288" s="108" t="n">
        <f aca="false">SUM(B288:F288)</f>
        <v>49543</v>
      </c>
      <c r="H288" s="202"/>
      <c r="I288" s="205" t="n">
        <f aca="false">SUMIFS(報告入力!$BA$7:$BA$696,報告入力!$A$7:$A$696,$S$262,報告入力!$B$7:$B$696,$A288)</f>
        <v>25955</v>
      </c>
      <c r="J288" s="108" t="n">
        <f aca="false">SUM(H288:I288)</f>
        <v>25955</v>
      </c>
      <c r="K288" s="188"/>
      <c r="L288" s="205" t="n">
        <f aca="false">SUMIFS(報告入力!$BC$7:$BC$696,報告入力!$A$7:$A$696,$S$262,報告入力!$B$7:$B$696,$A288)</f>
        <v>3950</v>
      </c>
      <c r="M288" s="108" t="n">
        <f aca="false">SUM(K288:L288)</f>
        <v>3950</v>
      </c>
      <c r="N288" s="188"/>
      <c r="O288" s="205" t="n">
        <f aca="false">SUMIFS(報告入力!$BE$7:$BE$696,報告入力!$A$7:$A$696,$S$262,報告入力!$B$7:$B$696,$A288)</f>
        <v>575</v>
      </c>
      <c r="P288" s="108" t="n">
        <f aca="false">SUM(N288:O288)</f>
        <v>575</v>
      </c>
      <c r="Q288" s="110" t="str">
        <f aca="false">IF(P223=P288,"〇","×")</f>
        <v>×</v>
      </c>
      <c r="R288" s="110" t="str">
        <f aca="false">IFERROR(INDEX(報告入力!$C$7:$C$696,MATCH($S$262&amp;"|"&amp;$A288,報告入力!$CG$7:$CG$696,0)),"")</f>
        <v>入金確認済</v>
      </c>
    </row>
    <row r="289" s="110" customFormat="true" ht="20.1" hidden="false" customHeight="true" outlineLevel="0" collapsed="false">
      <c r="A289" s="343" t="s">
        <v>179</v>
      </c>
      <c r="B289" s="186"/>
      <c r="C289" s="191"/>
      <c r="D289" s="103" t="n">
        <f aca="false">SUMIFS(報告入力!$AW$7:$AW$696,報告入力!$A$7:$A$696,$S$262,報告入力!$B$7:$B$696,$A289)</f>
        <v>0</v>
      </c>
      <c r="E289" s="114" t="n">
        <f aca="false">SUMIFS(報告入力!$AX$7:$AX$696,報告入力!$A$7:$A$696,$S$262,報告入力!$B$7:$B$696,$A289)</f>
        <v>0</v>
      </c>
      <c r="F289" s="113" t="n">
        <f aca="false">SUMIFS(報告入力!$AY$7:$AY$696,報告入力!$A$7:$A$696,$S$262,報告入力!$B$7:$B$696,$A289)</f>
        <v>0</v>
      </c>
      <c r="G289" s="108" t="n">
        <f aca="false">SUM(B289:F289)</f>
        <v>0</v>
      </c>
      <c r="H289" s="188"/>
      <c r="I289" s="205" t="n">
        <f aca="false">SUMIFS(報告入力!$BA$7:$BA$696,報告入力!$A$7:$A$696,$S$262,報告入力!$B$7:$B$696,$A289)</f>
        <v>0</v>
      </c>
      <c r="J289" s="108" t="n">
        <f aca="false">SUM(H289:I289)</f>
        <v>0</v>
      </c>
      <c r="K289" s="188"/>
      <c r="L289" s="205" t="n">
        <f aca="false">SUMIFS(報告入力!$BC$7:$BC$696,報告入力!$A$7:$A$696,$S$262,報告入力!$B$7:$B$696,$A289)</f>
        <v>0</v>
      </c>
      <c r="M289" s="108" t="n">
        <f aca="false">SUM(K289:L289)</f>
        <v>0</v>
      </c>
      <c r="N289" s="188"/>
      <c r="O289" s="205" t="n">
        <f aca="false">SUMIFS(報告入力!$BE$7:$BE$696,報告入力!$A$7:$A$696,$S$262,報告入力!$B$7:$B$696,$A289)</f>
        <v>0</v>
      </c>
      <c r="P289" s="108" t="n">
        <f aca="false">SUM(N289:O289)</f>
        <v>0</v>
      </c>
      <c r="Q289" s="110" t="str">
        <f aca="false">IF(P224=P289,"〇","×")</f>
        <v>〇</v>
      </c>
      <c r="R289" s="110" t="str">
        <f aca="false">IFERROR(INDEX(報告入力!$C$7:$C$696,MATCH($S$262&amp;"|"&amp;$A289,報告入力!$CG$7:$CG$696,0)),"")</f>
        <v>入金確認済</v>
      </c>
    </row>
    <row r="290" s="110" customFormat="true" ht="20.1" hidden="false" customHeight="true" outlineLevel="0" collapsed="false">
      <c r="A290" s="344" t="s">
        <v>180</v>
      </c>
      <c r="B290" s="186"/>
      <c r="C290" s="193"/>
      <c r="D290" s="103" t="n">
        <f aca="false">SUMIFS(報告入力!$AW$7:$AW$696,報告入力!$A$7:$A$696,$S$262,報告入力!$B$7:$B$696,$A290)</f>
        <v>193065</v>
      </c>
      <c r="E290" s="114" t="n">
        <f aca="false">SUMIFS(報告入力!$AX$7:$AX$696,報告入力!$A$7:$A$696,$S$262,報告入力!$B$7:$B$696,$A290)</f>
        <v>15825</v>
      </c>
      <c r="F290" s="113" t="n">
        <f aca="false">SUMIFS(報告入力!$AY$7:$AY$696,報告入力!$A$7:$A$696,$S$262,報告入力!$B$7:$B$696,$A290)</f>
        <v>183</v>
      </c>
      <c r="G290" s="108" t="n">
        <f aca="false">SUM(B290:F290)</f>
        <v>209073</v>
      </c>
      <c r="H290" s="188"/>
      <c r="I290" s="205" t="n">
        <f aca="false">SUMIFS(報告入力!$BA$7:$BA$696,報告入力!$A$7:$A$696,$S$262,報告入力!$B$7:$B$696,$A290)</f>
        <v>109530</v>
      </c>
      <c r="J290" s="108" t="n">
        <f aca="false">SUM(H290:I290)</f>
        <v>109530</v>
      </c>
      <c r="K290" s="188"/>
      <c r="L290" s="205" t="n">
        <f aca="false">SUMIFS(報告入力!$BC$7:$BC$696,報告入力!$A$7:$A$696,$S$262,報告入力!$B$7:$B$696,$A290)</f>
        <v>12956</v>
      </c>
      <c r="M290" s="108" t="n">
        <f aca="false">SUM(K290:L290)</f>
        <v>12956</v>
      </c>
      <c r="N290" s="188"/>
      <c r="O290" s="205" t="n">
        <f aca="false">SUMIFS(報告入力!$BE$7:$BE$696,報告入力!$A$7:$A$696,$S$262,報告入力!$B$7:$B$696,$A290)</f>
        <v>2426</v>
      </c>
      <c r="P290" s="108" t="n">
        <f aca="false">SUM(N290:O290)</f>
        <v>2426</v>
      </c>
      <c r="Q290" s="110" t="str">
        <f aca="false">IF(P225=P290,"〇","×")</f>
        <v>×</v>
      </c>
      <c r="R290" s="110" t="str">
        <f aca="false">IFERROR(INDEX(報告入力!$C$7:$C$696,MATCH($S$262&amp;"|"&amp;$A290,報告入力!$CG$7:$CG$696,0)),"")</f>
        <v>入金確認済</v>
      </c>
    </row>
    <row r="291" s="110" customFormat="true" ht="20.1" hidden="false" customHeight="true" outlineLevel="0" collapsed="false">
      <c r="A291" s="341" t="s">
        <v>181</v>
      </c>
      <c r="B291" s="117" t="n">
        <f aca="false">SUMIFS(報告入力!$AU$7:$AU$696,報告入力!$A$7:$A$696,$S$262,報告入力!$B$7:$B$696,$A291)</f>
        <v>241560</v>
      </c>
      <c r="C291" s="113" t="n">
        <f aca="false">SUMIFS(報告入力!$AV$7:$AV$696,報告入力!$A$7:$A$696,$S$262,報告入力!$B$7:$B$696,$A291)</f>
        <v>19800</v>
      </c>
      <c r="D291" s="117" t="n">
        <f aca="false">SUMIFS(報告入力!$AW$7:$AW$696,報告入力!$A$7:$A$696,$S$262,報告入力!$B$7:$B$696,$A291)</f>
        <v>241560</v>
      </c>
      <c r="E291" s="205" t="n">
        <f aca="false">SUMIFS(報告入力!$AX$7:$AX$696,報告入力!$A$7:$A$696,$S$262,報告入力!$B$7:$B$696,$A291)</f>
        <v>19800</v>
      </c>
      <c r="F291" s="112" t="n">
        <f aca="false">SUMIFS(報告入力!$AY$7:$AY$696,報告入力!$A$7:$A$696,$S$262,報告入力!$B$7:$B$696,$A291)</f>
        <v>229</v>
      </c>
      <c r="G291" s="108" t="n">
        <f aca="false">SUM(B291:F291)</f>
        <v>522949</v>
      </c>
      <c r="H291" s="114" t="n">
        <f aca="false">SUMIFS(報告入力!$AZ$7:$AZ$696,報告入力!$A$7:$A$696,$S$262,報告入力!$B$7:$B$696,$A291)</f>
        <v>140019</v>
      </c>
      <c r="I291" s="205" t="n">
        <f aca="false">SUMIFS(報告入力!$BA$7:$BA$696,報告入力!$A$7:$A$696,$S$262,報告入力!$B$7:$B$696,$A291)</f>
        <v>140157</v>
      </c>
      <c r="J291" s="108" t="n">
        <f aca="false">SUM(H291:I291)</f>
        <v>280176</v>
      </c>
      <c r="K291" s="205" t="n">
        <f aca="false">SUMIFS(報告入力!$BB$7:$BB$696,報告入力!$A$7:$A$696,$S$262,報告入力!$B$7:$B$696,$A291)</f>
        <v>10744</v>
      </c>
      <c r="L291" s="205" t="n">
        <f aca="false">SUMIFS(報告入力!$BC$7:$BC$696,報告入力!$A$7:$A$696,$S$262,報告入力!$B$7:$B$696,$A291)</f>
        <v>10744</v>
      </c>
      <c r="M291" s="108" t="n">
        <f aca="false">SUM(K291:L291)</f>
        <v>21488</v>
      </c>
      <c r="N291" s="205" t="n">
        <f aca="false">SUMIFS(報告入力!$BD$7:$BD$696,報告入力!$A$7:$A$696,$S$262,報告入力!$B$7:$B$696,$A291)</f>
        <v>3104</v>
      </c>
      <c r="O291" s="205" t="n">
        <f aca="false">SUMIFS(報告入力!$BE$7:$BE$696,報告入力!$A$7:$A$696,$S$262,報告入力!$B$7:$B$696,$A291)</f>
        <v>3105</v>
      </c>
      <c r="P291" s="108" t="n">
        <f aca="false">SUM(N291:O291)</f>
        <v>6209</v>
      </c>
      <c r="Q291" s="110" t="str">
        <f aca="false">IF(P226=P291,"〇","×")</f>
        <v>×</v>
      </c>
      <c r="R291" s="110" t="str">
        <f aca="false">IFERROR(INDEX(報告入力!$C$7:$C$696,MATCH($S$262&amp;"|"&amp;$A291,報告入力!$CG$7:$CG$696,0)),"")</f>
        <v>入金確認済</v>
      </c>
    </row>
    <row r="292" s="110" customFormat="true" ht="20.1" hidden="false" customHeight="true" outlineLevel="0" collapsed="false">
      <c r="A292" s="194" t="s">
        <v>182</v>
      </c>
      <c r="B292" s="111" t="n">
        <f aca="false">SUMIFS(報告入力!$AU$7:$AU$696,報告入力!$A$7:$A$696,$S$262,報告入力!$B$7:$B$696,$A292)</f>
        <v>40260</v>
      </c>
      <c r="C292" s="113" t="n">
        <f aca="false">SUMIFS(報告入力!$AV$7:$AV$696,報告入力!$A$7:$A$696,$S$262,報告入力!$B$7:$B$696,$A292)</f>
        <v>3300</v>
      </c>
      <c r="D292" s="103" t="n">
        <f aca="false">SUMIFS(報告入力!$AW$7:$AW$696,報告入力!$A$7:$A$696,$S$262,報告入力!$B$7:$B$696,$A292)</f>
        <v>40260</v>
      </c>
      <c r="E292" s="114" t="n">
        <f aca="false">SUMIFS(報告入力!$AX$7:$AX$696,報告入力!$A$7:$A$696,$S$262,報告入力!$B$7:$B$696,$A292)</f>
        <v>3300</v>
      </c>
      <c r="F292" s="113" t="n">
        <f aca="false">SUMIFS(報告入力!$AY$7:$AY$696,報告入力!$A$7:$A$696,$S$262,報告入力!$B$7:$B$696,$A292)</f>
        <v>38</v>
      </c>
      <c r="G292" s="108" t="n">
        <f aca="false">SUM(B292:F292)</f>
        <v>87158</v>
      </c>
      <c r="H292" s="114" t="n">
        <f aca="false">SUMIFS(報告入力!$AZ$7:$AZ$696,報告入力!$A$7:$A$696,$S$262,報告入力!$B$7:$B$696,$A292)</f>
        <v>22818</v>
      </c>
      <c r="I292" s="205" t="n">
        <f aca="false">SUMIFS(報告入力!$BA$7:$BA$696,報告入力!$A$7:$A$696,$S$262,報告入力!$B$7:$B$696,$A292)</f>
        <v>22840</v>
      </c>
      <c r="J292" s="108" t="n">
        <f aca="false">SUM(H292:I292)</f>
        <v>45658</v>
      </c>
      <c r="K292" s="114" t="n">
        <f aca="false">SUMIFS(報告入力!$BB$7:$BB$696,報告入力!$A$7:$A$696,$S$262,報告入力!$B$7:$B$696,$A292)</f>
        <v>0</v>
      </c>
      <c r="L292" s="205" t="n">
        <f aca="false">SUMIFS(報告入力!$BC$7:$BC$696,報告入力!$A$7:$A$696,$S$262,報告入力!$B$7:$B$696,$A292)</f>
        <v>0</v>
      </c>
      <c r="M292" s="108" t="n">
        <f aca="false">SUM(K292:L292)</f>
        <v>0</v>
      </c>
      <c r="N292" s="114" t="n">
        <f aca="false">SUMIFS(報告入力!$BD$7:$BD$696,報告入力!$A$7:$A$696,$S$262,報告入力!$B$7:$B$696,$A292)</f>
        <v>506</v>
      </c>
      <c r="O292" s="205" t="n">
        <f aca="false">SUMIFS(報告入力!$BE$7:$BE$696,報告入力!$A$7:$A$696,$S$262,報告入力!$B$7:$B$696,$A292)</f>
        <v>506</v>
      </c>
      <c r="P292" s="108" t="n">
        <f aca="false">SUM(N292:O292)</f>
        <v>1012</v>
      </c>
      <c r="Q292" s="110" t="str">
        <f aca="false">IF(P227=P292,"〇","×")</f>
        <v>×</v>
      </c>
      <c r="R292" s="110" t="str">
        <f aca="false">IFERROR(INDEX(報告入力!$C$7:$C$696,MATCH($S$262&amp;"|"&amp;$A292,報告入力!$CG$7:$CG$696,0)),"")</f>
        <v>入金確認済</v>
      </c>
    </row>
    <row r="293" s="110" customFormat="true" ht="20.1" hidden="false" customHeight="true" outlineLevel="0" collapsed="false">
      <c r="A293" s="345" t="s">
        <v>183</v>
      </c>
      <c r="B293" s="117" t="n">
        <f aca="false">SUMIFS(報告入力!$AU$7:$AU$696,報告入力!$A$7:$A$696,$S$262,報告入力!$B$7:$B$696,$A293)</f>
        <v>107970</v>
      </c>
      <c r="C293" s="113" t="n">
        <f aca="false">SUMIFS(報告入力!$AV$7:$AV$696,報告入力!$A$7:$A$696,$S$262,報告入力!$B$7:$B$696,$A293)</f>
        <v>8850</v>
      </c>
      <c r="D293" s="103" t="n">
        <f aca="false">SUMIFS(報告入力!$AW$7:$AW$696,報告入力!$A$7:$A$696,$S$262,報告入力!$B$7:$B$696,$A293)</f>
        <v>107970</v>
      </c>
      <c r="E293" s="114" t="n">
        <f aca="false">SUMIFS(報告入力!$AX$7:$AX$696,報告入力!$A$7:$A$696,$S$262,報告入力!$B$7:$B$696,$A293)</f>
        <v>8850</v>
      </c>
      <c r="F293" s="113" t="n">
        <f aca="false">SUMIFS(報告入力!$AY$7:$AY$696,報告入力!$A$7:$A$696,$S$262,報告入力!$B$7:$B$696,$A293)</f>
        <v>102</v>
      </c>
      <c r="G293" s="108" t="n">
        <f aca="false">SUM(B293:F293)</f>
        <v>233742</v>
      </c>
      <c r="H293" s="114" t="n">
        <f aca="false">SUMIFS(報告入力!$AZ$7:$AZ$696,報告入力!$A$7:$A$696,$S$262,報告入力!$B$7:$B$696,$A293)</f>
        <v>61194</v>
      </c>
      <c r="I293" s="205" t="n">
        <f aca="false">SUMIFS(報告入力!$BA$7:$BA$696,報告入力!$A$7:$A$696,$S$262,報告入力!$B$7:$B$696,$A293)</f>
        <v>61253</v>
      </c>
      <c r="J293" s="108" t="n">
        <f aca="false">SUM(H293:I293)</f>
        <v>122447</v>
      </c>
      <c r="K293" s="205" t="n">
        <f aca="false">SUMIFS(報告入力!$BB$7:$BB$696,報告入力!$A$7:$A$696,$S$262,報告入力!$B$7:$B$696,$A293)</f>
        <v>9322</v>
      </c>
      <c r="L293" s="205" t="n">
        <f aca="false">SUMIFS(報告入力!$BC$7:$BC$696,報告入力!$A$7:$A$696,$S$262,報告入力!$B$7:$B$696,$A293)</f>
        <v>9322</v>
      </c>
      <c r="M293" s="108" t="n">
        <f aca="false">SUM(K293:L293)</f>
        <v>18644</v>
      </c>
      <c r="N293" s="205" t="n">
        <f aca="false">SUMIFS(報告入力!$BD$7:$BD$696,報告入力!$A$7:$A$696,$S$262,報告入力!$B$7:$B$696,$A293)</f>
        <v>1356</v>
      </c>
      <c r="O293" s="205" t="n">
        <f aca="false">SUMIFS(報告入力!$BE$7:$BE$696,報告入力!$A$7:$A$696,$S$262,報告入力!$B$7:$B$696,$A293)</f>
        <v>1357</v>
      </c>
      <c r="P293" s="108" t="n">
        <f aca="false">SUM(N293:O293)</f>
        <v>2713</v>
      </c>
      <c r="Q293" s="110" t="str">
        <f aca="false">IF(P228=P293,"〇","×")</f>
        <v>×</v>
      </c>
      <c r="R293" s="110" t="str">
        <f aca="false">IFERROR(INDEX(報告入力!$C$7:$C$696,MATCH($S$262&amp;"|"&amp;$A293,報告入力!$CG$7:$CG$696,0)),"")</f>
        <v>入金確認済</v>
      </c>
    </row>
    <row r="294" s="110" customFormat="true" ht="20.1" hidden="false" customHeight="true" outlineLevel="0" collapsed="false">
      <c r="A294" s="341" t="s">
        <v>184</v>
      </c>
      <c r="B294" s="117" t="n">
        <f aca="false">SUMIFS(報告入力!$AU$7:$AU$696,報告入力!$A$7:$A$696,$S$262,報告入力!$B$7:$B$696,$A294)</f>
        <v>755790</v>
      </c>
      <c r="C294" s="113" t="n">
        <f aca="false">SUMIFS(報告入力!$AV$7:$AV$696,報告入力!$A$7:$A$696,$S$262,報告入力!$B$7:$B$696,$A294)</f>
        <v>61950</v>
      </c>
      <c r="D294" s="103" t="n">
        <f aca="false">SUMIFS(報告入力!$AW$7:$AW$696,報告入力!$A$7:$A$696,$S$262,報告入力!$B$7:$B$696,$A294)</f>
        <v>746877</v>
      </c>
      <c r="E294" s="114" t="n">
        <f aca="false">SUMIFS(報告入力!$AX$7:$AX$696,報告入力!$A$7:$A$696,$S$262,報告入力!$B$7:$B$696,$A294)</f>
        <v>61950</v>
      </c>
      <c r="F294" s="113" t="n">
        <f aca="false">SUMIFS(報告入力!$AY$7:$AY$696,報告入力!$A$7:$A$696,$S$262,報告入力!$B$7:$B$696,$A294)</f>
        <v>753</v>
      </c>
      <c r="G294" s="108" t="n">
        <f aca="false">SUM(B294:F294)</f>
        <v>1627320</v>
      </c>
      <c r="H294" s="114" t="n">
        <f aca="false">SUMIFS(報告入力!$AZ$7:$AZ$696,報告入力!$A$7:$A$696,$S$262,報告入力!$B$7:$B$696,$A294)</f>
        <v>428357</v>
      </c>
      <c r="I294" s="205" t="n">
        <f aca="false">SUMIFS(報告入力!$BA$7:$BA$696,報告入力!$A$7:$A$696,$S$262,報告入力!$B$7:$B$696,$A294)</f>
        <v>437689</v>
      </c>
      <c r="J294" s="108" t="n">
        <f aca="false">SUM(H294:I294)</f>
        <v>866046</v>
      </c>
      <c r="K294" s="205" t="n">
        <f aca="false">SUMIFS(報告入力!$BB$7:$BB$696,報告入力!$A$7:$A$696,$S$262,報告入力!$B$7:$B$696,$A294)</f>
        <v>39816</v>
      </c>
      <c r="L294" s="205" t="n">
        <f aca="false">SUMIFS(報告入力!$BC$7:$BC$696,報告入力!$A$7:$A$696,$S$262,報告入力!$B$7:$B$696,$A294)</f>
        <v>39816</v>
      </c>
      <c r="M294" s="108" t="n">
        <f aca="false">SUM(K294:L294)</f>
        <v>79632</v>
      </c>
      <c r="N294" s="205" t="n">
        <f aca="false">SUMIFS(報告入力!$BD$7:$BD$696,報告入力!$A$7:$A$696,$S$262,報告入力!$B$7:$B$696,$A294)</f>
        <v>9495</v>
      </c>
      <c r="O294" s="205" t="n">
        <f aca="false">SUMIFS(報告入力!$BE$7:$BE$696,報告入力!$A$7:$A$696,$S$262,報告入力!$B$7:$B$696,$A294)</f>
        <v>9499</v>
      </c>
      <c r="P294" s="108" t="n">
        <f aca="false">SUM(N294:O294)</f>
        <v>18994</v>
      </c>
      <c r="Q294" s="110" t="str">
        <f aca="false">IF(P229=P294,"〇","×")</f>
        <v>×</v>
      </c>
      <c r="R294" s="110" t="str">
        <f aca="false">IFERROR(INDEX(報告入力!$C$7:$C$696,MATCH($S$262&amp;"|"&amp;$A294,報告入力!$CG$7:$CG$696,0)),"")</f>
        <v>入金確認済</v>
      </c>
    </row>
    <row r="295" s="110" customFormat="true" ht="20.1" hidden="false" customHeight="true" outlineLevel="0" collapsed="false">
      <c r="A295" s="341" t="s">
        <v>185</v>
      </c>
      <c r="B295" s="201"/>
      <c r="C295" s="191"/>
      <c r="D295" s="103" t="n">
        <f aca="false">SUMIFS(報告入力!$AW$7:$AW$696,報告入力!$A$7:$A$696,$S$262,報告入力!$B$7:$B$696,$A295)</f>
        <v>582855</v>
      </c>
      <c r="E295" s="114" t="n">
        <f aca="false">SUMIFS(報告入力!$AX$7:$AX$696,報告入力!$A$7:$A$696,$S$262,報告入力!$B$7:$B$696,$A295)</f>
        <v>47775</v>
      </c>
      <c r="F295" s="113" t="n">
        <f aca="false">SUMIFS(報告入力!$AY$7:$AY$696,報告入力!$A$7:$A$696,$S$262,報告入力!$B$7:$B$696,$A295)</f>
        <v>579</v>
      </c>
      <c r="G295" s="108" t="n">
        <f aca="false">SUM(B295:F295)</f>
        <v>631209</v>
      </c>
      <c r="H295" s="188"/>
      <c r="I295" s="205" t="n">
        <f aca="false">SUMIFS(報告入力!$BA$7:$BA$696,報告入力!$A$7:$A$696,$S$262,報告入力!$B$7:$B$696,$A295)</f>
        <v>330681</v>
      </c>
      <c r="J295" s="108" t="n">
        <f aca="false">SUM(H295:I295)</f>
        <v>330681</v>
      </c>
      <c r="K295" s="188"/>
      <c r="L295" s="205" t="n">
        <f aca="false">SUMIFS(報告入力!$BC$7:$BC$696,報告入力!$A$7:$A$696,$S$262,報告入力!$B$7:$B$696,$A295)</f>
        <v>28203</v>
      </c>
      <c r="M295" s="108" t="n">
        <f aca="false">SUM(K295:L295)</f>
        <v>28203</v>
      </c>
      <c r="N295" s="188"/>
      <c r="O295" s="205" t="n">
        <f aca="false">SUMIFS(報告入力!$BE$7:$BE$696,報告入力!$A$7:$A$696,$S$262,報告入力!$B$7:$B$696,$A295)</f>
        <v>7324</v>
      </c>
      <c r="P295" s="108" t="n">
        <f aca="false">SUM(N295:O295)</f>
        <v>7324</v>
      </c>
      <c r="Q295" s="110" t="str">
        <f aca="false">IF(P230=P295,"〇","×")</f>
        <v>×</v>
      </c>
      <c r="R295" s="110" t="str">
        <f aca="false">IFERROR(INDEX(報告入力!$C$7:$C$696,MATCH($S$262&amp;"|"&amp;$A295,報告入力!$CG$7:$CG$696,0)),"")</f>
        <v>入金確認済</v>
      </c>
    </row>
    <row r="296" s="110" customFormat="true" ht="20.1" hidden="false" customHeight="true" outlineLevel="0" collapsed="false">
      <c r="A296" s="346" t="s">
        <v>186</v>
      </c>
      <c r="B296" s="186"/>
      <c r="C296" s="193"/>
      <c r="D296" s="103" t="n">
        <f aca="false">SUMIFS(報告入力!$AW$7:$AW$696,報告入力!$A$7:$A$696,$S$262,報告入力!$B$7:$B$696,$A296)</f>
        <v>1056825</v>
      </c>
      <c r="E296" s="114" t="n">
        <f aca="false">SUMIFS(報告入力!$AX$7:$AX$696,報告入力!$A$7:$A$696,$S$262,報告入力!$B$7:$B$696,$A296)</f>
        <v>86625</v>
      </c>
      <c r="F296" s="113" t="n">
        <f aca="false">SUMIFS(報告入力!$AY$7:$AY$696,報告入力!$A$7:$A$696,$S$262,報告入力!$B$7:$B$696,$A296)</f>
        <v>1000</v>
      </c>
      <c r="G296" s="108" t="n">
        <f aca="false">SUM(B296:F296)</f>
        <v>1144450</v>
      </c>
      <c r="H296" s="188"/>
      <c r="I296" s="205" t="n">
        <f aca="false">SUMIFS(報告入力!$BA$7:$BA$696,報告入力!$A$7:$A$696,$S$262,報告入力!$B$7:$B$696,$A296)</f>
        <v>606306</v>
      </c>
      <c r="J296" s="108" t="n">
        <f aca="false">SUM(H296:I296)</f>
        <v>606306</v>
      </c>
      <c r="K296" s="188"/>
      <c r="L296" s="205" t="n">
        <f aca="false">SUMIFS(報告入力!$BC$7:$BC$696,報告入力!$A$7:$A$696,$S$262,報告入力!$B$7:$B$696,$A296)</f>
        <v>86900</v>
      </c>
      <c r="M296" s="108" t="n">
        <f aca="false">SUM(K296:L296)</f>
        <v>86900</v>
      </c>
      <c r="N296" s="188"/>
      <c r="O296" s="205" t="n">
        <f aca="false">SUMIFS(報告入力!$BE$7:$BE$696,報告入力!$A$7:$A$696,$S$262,報告入力!$B$7:$B$696,$A296)</f>
        <v>13430</v>
      </c>
      <c r="P296" s="108" t="n">
        <f aca="false">SUM(N296:O296)</f>
        <v>13430</v>
      </c>
      <c r="Q296" s="110" t="str">
        <f aca="false">IF(P231=P296,"〇","×")</f>
        <v>×</v>
      </c>
      <c r="R296" s="110" t="str">
        <f aca="false">IFERROR(INDEX(報告入力!$C$7:$C$696,MATCH($S$262&amp;"|"&amp;$A296,報告入力!$CG$7:$CG$696,0)),"")</f>
        <v>入金確認済</v>
      </c>
    </row>
    <row r="297" s="110" customFormat="true" ht="20.1" hidden="false" customHeight="true" outlineLevel="0" collapsed="false">
      <c r="A297" s="347" t="s">
        <v>187</v>
      </c>
      <c r="B297" s="186"/>
      <c r="C297" s="193"/>
      <c r="D297" s="103" t="n">
        <f aca="false">SUMIFS(報告入力!$AW$7:$AW$696,報告入力!$A$7:$A$696,$S$262,報告入力!$B$7:$B$696,$A297)</f>
        <v>0</v>
      </c>
      <c r="E297" s="114" t="n">
        <f aca="false">SUMIFS(報告入力!$AX$7:$AX$696,報告入力!$A$7:$A$696,$S$262,報告入力!$B$7:$B$696,$A297)</f>
        <v>0</v>
      </c>
      <c r="F297" s="113" t="n">
        <f aca="false">SUMIFS(報告入力!$AY$7:$AY$696,報告入力!$A$7:$A$696,$S$262,報告入力!$B$7:$B$696,$A297)</f>
        <v>0</v>
      </c>
      <c r="G297" s="108" t="n">
        <f aca="false">SUM(B297:F297)</f>
        <v>0</v>
      </c>
      <c r="H297" s="188"/>
      <c r="I297" s="205" t="n">
        <f aca="false">SUMIFS(報告入力!$BA$7:$BA$696,報告入力!$A$7:$A$696,$S$262,報告入力!$B$7:$B$696,$A297)</f>
        <v>0</v>
      </c>
      <c r="J297" s="108" t="n">
        <f aca="false">SUM(H297:I297)</f>
        <v>0</v>
      </c>
      <c r="K297" s="188"/>
      <c r="L297" s="205" t="n">
        <f aca="false">SUMIFS(報告入力!$BC$7:$BC$696,報告入力!$A$7:$A$696,$S$262,報告入力!$B$7:$B$696,$A297)</f>
        <v>0</v>
      </c>
      <c r="M297" s="108" t="n">
        <f aca="false">SUM(K297:L297)</f>
        <v>0</v>
      </c>
      <c r="N297" s="188"/>
      <c r="O297" s="205" t="n">
        <f aca="false">SUMIFS(報告入力!$BE$7:$BE$696,報告入力!$A$7:$A$696,$S$262,報告入力!$B$7:$B$696,$A297)</f>
        <v>0</v>
      </c>
      <c r="P297" s="108" t="n">
        <f aca="false">SUM(N297:O297)</f>
        <v>0</v>
      </c>
      <c r="Q297" s="110" t="str">
        <f aca="false">IF(P232=P297,"〇","×")</f>
        <v>〇</v>
      </c>
      <c r="R297" s="110" t="str">
        <f aca="false">IFERROR(INDEX(報告入力!$C$7:$C$696,MATCH($S$262&amp;"|"&amp;$A297,報告入力!$CG$7:$CG$696,0)),"")</f>
        <v>入金確認済</v>
      </c>
    </row>
    <row r="298" s="110" customFormat="true" ht="20.1" hidden="false" customHeight="true" outlineLevel="0" collapsed="false">
      <c r="A298" s="341" t="s">
        <v>188</v>
      </c>
      <c r="B298" s="186"/>
      <c r="C298" s="193"/>
      <c r="D298" s="103" t="n">
        <f aca="false">SUMIFS(報告入力!$AW$7:$AW$696,報告入力!$A$7:$A$696,$S$262,報告入力!$B$7:$B$696,$A298)</f>
        <v>405345</v>
      </c>
      <c r="E298" s="114" t="n">
        <f aca="false">SUMIFS(報告入力!$AX$7:$AX$696,報告入力!$A$7:$A$696,$S$262,報告入力!$B$7:$B$696,$A298)</f>
        <v>33225</v>
      </c>
      <c r="F298" s="113" t="n">
        <f aca="false">SUMIFS(報告入力!$AY$7:$AY$696,報告入力!$A$7:$A$696,$S$262,報告入力!$B$7:$B$696,$A298)</f>
        <v>383</v>
      </c>
      <c r="G298" s="108" t="n">
        <f aca="false">SUM(B298:F298)</f>
        <v>438953</v>
      </c>
      <c r="H298" s="188"/>
      <c r="I298" s="205" t="n">
        <f aca="false">SUMIFS(報告入力!$BA$7:$BA$696,報告入力!$A$7:$A$696,$S$262,報告入力!$B$7:$B$696,$A298)</f>
        <v>229960</v>
      </c>
      <c r="J298" s="108" t="n">
        <f aca="false">SUM(H298:I298)</f>
        <v>229960</v>
      </c>
      <c r="K298" s="188"/>
      <c r="L298" s="205" t="n">
        <f aca="false">SUMIFS(報告入力!$BC$7:$BC$696,報告入力!$A$7:$A$696,$S$262,報告入力!$B$7:$B$696,$A298)</f>
        <v>34997</v>
      </c>
      <c r="M298" s="108" t="n">
        <f aca="false">SUM(K298:L298)</f>
        <v>34997</v>
      </c>
      <c r="N298" s="188"/>
      <c r="O298" s="205" t="n">
        <f aca="false">SUMIFS(報告入力!$BE$7:$BE$696,報告入力!$A$7:$A$696,$S$262,報告入力!$B$7:$B$696,$A298)</f>
        <v>5093</v>
      </c>
      <c r="P298" s="108" t="n">
        <f aca="false">SUM(N298:O298)</f>
        <v>5093</v>
      </c>
      <c r="Q298" s="110" t="str">
        <f aca="false">IF(P233=P298,"〇","×")</f>
        <v>×</v>
      </c>
      <c r="R298" s="110" t="str">
        <f aca="false">IFERROR(INDEX(報告入力!$C$7:$C$696,MATCH($S$262&amp;"|"&amp;$A298,報告入力!$CG$7:$CG$696,0)),"")</f>
        <v>入金確認済</v>
      </c>
    </row>
    <row r="299" s="110" customFormat="true" ht="20.1" hidden="false" customHeight="true" outlineLevel="0" collapsed="false">
      <c r="A299" s="343" t="s">
        <v>189</v>
      </c>
      <c r="B299" s="117" t="n">
        <f aca="false">SUMIFS(報告入力!$AU$7:$AU$696,報告入力!$A$7:$A$696,$S$262,報告入力!$B$7:$B$696,$A299)</f>
        <v>148230</v>
      </c>
      <c r="C299" s="113" t="n">
        <f aca="false">SUMIFS(報告入力!$AV$7:$AV$696,報告入力!$A$7:$A$696,$S$262,報告入力!$B$7:$B$696,$A299)</f>
        <v>12150</v>
      </c>
      <c r="D299" s="103" t="n">
        <f aca="false">SUMIFS(報告入力!$AW$7:$AW$696,報告入力!$A$7:$A$696,$S$262,報告入力!$B$7:$B$696,$A299)</f>
        <v>148230</v>
      </c>
      <c r="E299" s="114" t="n">
        <f aca="false">SUMIFS(報告入力!$AX$7:$AX$696,報告入力!$A$7:$A$696,$S$262,報告入力!$B$7:$B$696,$A299)</f>
        <v>12150</v>
      </c>
      <c r="F299" s="113" t="n">
        <f aca="false">SUMIFS(報告入力!$AY$7:$AY$696,報告入力!$A$7:$A$696,$S$262,報告入力!$B$7:$B$696,$A299)</f>
        <v>140</v>
      </c>
      <c r="G299" s="108" t="n">
        <f aca="false">SUM(B299:F299)</f>
        <v>320900</v>
      </c>
      <c r="H299" s="114" t="n">
        <f aca="false">SUMIFS(報告入力!$AZ$7:$AZ$696,報告入力!$A$7:$A$696,$S$262,報告入力!$B$7:$B$696,$A299)</f>
        <v>87123</v>
      </c>
      <c r="I299" s="205" t="n">
        <f aca="false">SUMIFS(報告入力!$BA$7:$BA$696,報告入力!$A$7:$A$696,$S$262,報告入力!$B$7:$B$696,$A299)</f>
        <v>87208</v>
      </c>
      <c r="J299" s="108" t="n">
        <f aca="false">SUM(H299:I299)</f>
        <v>174331</v>
      </c>
      <c r="K299" s="205" t="n">
        <f aca="false">SUMIFS(報告入力!$BB$7:$BB$696,報告入力!$A$7:$A$696,$S$262,報告入力!$B$7:$B$696,$A299)</f>
        <v>10033</v>
      </c>
      <c r="L299" s="205" t="n">
        <f aca="false">SUMIFS(報告入力!$BC$7:$BC$696,報告入力!$A$7:$A$696,$S$262,報告入力!$B$7:$B$696,$A299)</f>
        <v>10033</v>
      </c>
      <c r="M299" s="108" t="n">
        <f aca="false">SUM(K299:L299)</f>
        <v>20066</v>
      </c>
      <c r="N299" s="205" t="n">
        <f aca="false">SUMIFS(報告入力!$BD$7:$BD$696,報告入力!$A$7:$A$696,$S$262,報告入力!$B$7:$B$696,$A299)</f>
        <v>1931</v>
      </c>
      <c r="O299" s="205" t="n">
        <f aca="false">SUMIFS(報告入力!$BE$7:$BE$696,報告入力!$A$7:$A$696,$S$262,報告入力!$B$7:$B$696,$A299)</f>
        <v>1932</v>
      </c>
      <c r="P299" s="108" t="n">
        <f aca="false">SUM(N299:O299)</f>
        <v>3863</v>
      </c>
      <c r="Q299" s="110" t="str">
        <f aca="false">IF(P234=P299,"〇","×")</f>
        <v>×</v>
      </c>
      <c r="R299" s="110" t="str">
        <f aca="false">IFERROR(INDEX(報告入力!$C$7:$C$696,MATCH($S$262&amp;"|"&amp;$A299,報告入力!$CG$7:$CG$696,0)),"")</f>
        <v>入金確認済</v>
      </c>
    </row>
    <row r="300" s="110" customFormat="true" ht="20.1" hidden="false" customHeight="true" outlineLevel="0" collapsed="false">
      <c r="A300" s="206" t="s">
        <v>190</v>
      </c>
      <c r="B300" s="201"/>
      <c r="C300" s="191"/>
      <c r="D300" s="103" t="n">
        <f aca="false">SUMIFS(報告入力!$AW$7:$AW$696,報告入力!$A$7:$A$696,$S$262,報告入力!$B$7:$B$696,$A300)</f>
        <v>455670</v>
      </c>
      <c r="E300" s="114" t="n">
        <f aca="false">SUMIFS(報告入力!$AX$7:$AX$696,報告入力!$A$7:$A$696,$S$262,報告入力!$B$7:$B$696,$A300)</f>
        <v>37350</v>
      </c>
      <c r="F300" s="113" t="n">
        <f aca="false">SUMIFS(報告入力!$AY$7:$AY$696,報告入力!$A$7:$A$696,$S$262,報告入力!$B$7:$B$696,$A300)</f>
        <v>432</v>
      </c>
      <c r="G300" s="108" t="n">
        <f aca="false">SUM(B300:F300)</f>
        <v>493452</v>
      </c>
      <c r="H300" s="188"/>
      <c r="I300" s="205" t="n">
        <f aca="false">SUMIFS(報告入力!$BA$7:$BA$696,報告入力!$A$7:$A$696,$S$262,報告入力!$B$7:$B$696,$A300)</f>
        <v>267855</v>
      </c>
      <c r="J300" s="108" t="n">
        <f aca="false">SUM(H300:I300)</f>
        <v>267855</v>
      </c>
      <c r="K300" s="188"/>
      <c r="L300" s="205" t="n">
        <f aca="false">SUMIFS(報告入力!$BC$7:$BC$696,報告入力!$A$7:$A$696,$S$262,報告入力!$B$7:$B$696,$A300)</f>
        <v>21725</v>
      </c>
      <c r="M300" s="108" t="n">
        <f aca="false">SUM(K300:L300)</f>
        <v>21725</v>
      </c>
      <c r="N300" s="188"/>
      <c r="O300" s="205" t="n">
        <f aca="false">SUMIFS(報告入力!$BE$7:$BE$696,報告入力!$A$7:$A$696,$S$262,報告入力!$B$7:$B$696,$A300)</f>
        <v>5934</v>
      </c>
      <c r="P300" s="108" t="n">
        <f aca="false">SUM(N300:O300)</f>
        <v>5934</v>
      </c>
      <c r="Q300" s="110" t="str">
        <f aca="false">IF(P235=P300,"〇","×")</f>
        <v>×</v>
      </c>
      <c r="R300" s="110" t="str">
        <f aca="false">IFERROR(INDEX(報告入力!$C$7:$C$696,MATCH($S$262&amp;"|"&amp;$A300,報告入力!$CG$7:$CG$696,0)),"")</f>
        <v>入金確認済</v>
      </c>
    </row>
    <row r="301" s="110" customFormat="true" ht="20.1" hidden="false" customHeight="true" outlineLevel="0" collapsed="false">
      <c r="A301" s="342" t="s">
        <v>191</v>
      </c>
      <c r="B301" s="117" t="n">
        <f aca="false">SUMIFS(報告入力!$AU$7:$AU$696,報告入力!$A$7:$A$696,$S$262,報告入力!$B$7:$B$696,$A301)</f>
        <v>56730</v>
      </c>
      <c r="C301" s="113" t="n">
        <f aca="false">SUMIFS(報告入力!$AV$7:$AV$696,報告入力!$A$7:$A$696,$S$262,報告入力!$B$7:$B$696,$A301)</f>
        <v>4650</v>
      </c>
      <c r="D301" s="103" t="n">
        <f aca="false">SUMIFS(報告入力!$AW$7:$AW$696,報告入力!$A$7:$A$696,$S$262,報告入力!$B$7:$B$696,$A301)</f>
        <v>56730</v>
      </c>
      <c r="E301" s="114" t="n">
        <f aca="false">SUMIFS(報告入力!$AX$7:$AX$696,報告入力!$A$7:$A$696,$S$262,報告入力!$B$7:$B$696,$A301)</f>
        <v>4650</v>
      </c>
      <c r="F301" s="113" t="n">
        <f aca="false">SUMIFS(報告入力!$AY$7:$AY$696,報告入力!$A$7:$A$696,$S$262,報告入力!$B$7:$B$696,$A301)</f>
        <v>53</v>
      </c>
      <c r="G301" s="108" t="n">
        <f aca="false">SUM(B301:F301)</f>
        <v>122813</v>
      </c>
      <c r="H301" s="114" t="n">
        <f aca="false">SUMIFS(報告入力!$AZ$7:$AZ$696,報告入力!$A$7:$A$696,$S$262,報告入力!$B$7:$B$696,$A301)</f>
        <v>32153</v>
      </c>
      <c r="I301" s="205" t="n">
        <f aca="false">SUMIFS(報告入力!$BA$7:$BA$696,報告入力!$A$7:$A$696,$S$262,報告入力!$B$7:$B$696,$A301)</f>
        <v>32184</v>
      </c>
      <c r="J301" s="108" t="n">
        <f aca="false">SUM(H301:I301)</f>
        <v>64337</v>
      </c>
      <c r="K301" s="205" t="n">
        <f aca="false">SUMIFS(報告入力!$BB$7:$BB$696,報告入力!$A$7:$A$696,$S$262,報告入力!$B$7:$B$696,$A301)</f>
        <v>4898</v>
      </c>
      <c r="L301" s="205" t="n">
        <f aca="false">SUMIFS(報告入力!$BC$7:$BC$696,報告入力!$A$7:$A$696,$S$262,報告入力!$B$7:$B$696,$A301)</f>
        <v>4898</v>
      </c>
      <c r="M301" s="108" t="n">
        <f aca="false">SUM(K301:L301)</f>
        <v>9796</v>
      </c>
      <c r="N301" s="205" t="n">
        <f aca="false">SUMIFS(報告入力!$BD$7:$BD$696,報告入力!$A$7:$A$696,$S$262,報告入力!$B$7:$B$696,$A301)</f>
        <v>713</v>
      </c>
      <c r="O301" s="205" t="n">
        <f aca="false">SUMIFS(報告入力!$BE$7:$BE$696,報告入力!$A$7:$A$696,$S$262,報告入力!$B$7:$B$696,$A301)</f>
        <v>713</v>
      </c>
      <c r="P301" s="108" t="n">
        <f aca="false">SUM(N301:O301)</f>
        <v>1426</v>
      </c>
      <c r="Q301" s="110" t="str">
        <f aca="false">IF(P236=P301,"〇","×")</f>
        <v>×</v>
      </c>
      <c r="R301" s="110" t="str">
        <f aca="false">IFERROR(INDEX(報告入力!$C$7:$C$696,MATCH($S$262&amp;"|"&amp;$A301,報告入力!$CG$7:$CG$696,0)),"")</f>
        <v>入金確認済</v>
      </c>
    </row>
    <row r="302" s="110" customFormat="true" ht="20.1" hidden="false" customHeight="true" outlineLevel="0" collapsed="false">
      <c r="A302" s="342" t="s">
        <v>192</v>
      </c>
      <c r="B302" s="117" t="n">
        <f aca="false">SUMIFS(報告入力!$AU$7:$AU$696,報告入力!$A$7:$A$696,$S$262,報告入力!$B$7:$B$696,$A302)</f>
        <v>59475</v>
      </c>
      <c r="C302" s="113" t="n">
        <f aca="false">SUMIFS(報告入力!$AV$7:$AV$696,報告入力!$A$7:$A$696,$S$262,報告入力!$B$7:$B$696,$A302)</f>
        <v>4875</v>
      </c>
      <c r="D302" s="103" t="n">
        <f aca="false">SUMIFS(報告入力!$AW$7:$AW$696,報告入力!$A$7:$A$696,$S$262,報告入力!$B$7:$B$696,$A302)</f>
        <v>59475</v>
      </c>
      <c r="E302" s="114" t="n">
        <f aca="false">SUMIFS(報告入力!$AX$7:$AX$696,報告入力!$A$7:$A$696,$S$262,報告入力!$B$7:$B$696,$A302)</f>
        <v>4875</v>
      </c>
      <c r="F302" s="113" t="n">
        <f aca="false">SUMIFS(報告入力!$AY$7:$AY$696,報告入力!$A$7:$A$696,$S$262,報告入力!$B$7:$B$696,$A302)</f>
        <v>56</v>
      </c>
      <c r="G302" s="108" t="n">
        <f aca="false">SUM(B302:F302)</f>
        <v>128756</v>
      </c>
      <c r="H302" s="114" t="n">
        <f aca="false">SUMIFS(報告入力!$AZ$7:$AZ$696,報告入力!$A$7:$A$696,$S$262,報告入力!$B$7:$B$696,$A302)</f>
        <v>38895</v>
      </c>
      <c r="I302" s="205" t="n">
        <f aca="false">SUMIFS(報告入力!$BA$7:$BA$696,報告入力!$A$7:$A$696,$S$262,報告入力!$B$7:$B$696,$A302)</f>
        <v>38932</v>
      </c>
      <c r="J302" s="108" t="n">
        <f aca="false">SUM(H302:I302)</f>
        <v>77827</v>
      </c>
      <c r="K302" s="205" t="n">
        <f aca="false">SUMIFS(報告入力!$BB$7:$BB$696,報告入力!$A$7:$A$696,$S$262,報告入力!$B$7:$B$696,$A302)</f>
        <v>5925</v>
      </c>
      <c r="L302" s="205" t="n">
        <f aca="false">SUMIFS(報告入力!$BC$7:$BC$696,報告入力!$A$7:$A$696,$S$262,報告入力!$B$7:$B$696,$A302)</f>
        <v>5925</v>
      </c>
      <c r="M302" s="108" t="n">
        <f aca="false">SUM(K302:L302)</f>
        <v>11850</v>
      </c>
      <c r="N302" s="205" t="n">
        <f aca="false">SUMIFS(報告入力!$BD$7:$BD$696,報告入力!$A$7:$A$696,$S$262,報告入力!$B$7:$B$696,$A302)</f>
        <v>862</v>
      </c>
      <c r="O302" s="205" t="n">
        <f aca="false">SUMIFS(報告入力!$BE$7:$BE$696,報告入力!$A$7:$A$696,$S$262,報告入力!$B$7:$B$696,$A302)</f>
        <v>862</v>
      </c>
      <c r="P302" s="108" t="n">
        <f aca="false">SUM(N302:O302)</f>
        <v>1724</v>
      </c>
      <c r="Q302" s="110" t="str">
        <f aca="false">IF(P237=P302,"〇","×")</f>
        <v>×</v>
      </c>
      <c r="R302" s="110" t="str">
        <f aca="false">IFERROR(INDEX(報告入力!$C$7:$C$696,MATCH($S$262&amp;"|"&amp;$A302,報告入力!$CG$7:$CG$696,0)),"")</f>
        <v>入金確認済</v>
      </c>
    </row>
    <row r="303" s="110" customFormat="true" ht="20.1" hidden="false" customHeight="true" outlineLevel="0" collapsed="false">
      <c r="A303" s="342" t="s">
        <v>193</v>
      </c>
      <c r="B303" s="117" t="n">
        <f aca="false">SUMIFS(報告入力!$AU$7:$AU$696,報告入力!$A$7:$A$696,$S$262,報告入力!$B$7:$B$696,$A303)</f>
        <v>45750</v>
      </c>
      <c r="C303" s="113" t="n">
        <f aca="false">SUMIFS(報告入力!$AV$7:$AV$696,報告入力!$A$7:$A$696,$S$262,報告入力!$B$7:$B$696,$A303)</f>
        <v>3750</v>
      </c>
      <c r="D303" s="103" t="n">
        <f aca="false">SUMIFS(報告入力!$AW$7:$AW$696,報告入力!$A$7:$A$696,$S$262,報告入力!$B$7:$B$696,$A303)</f>
        <v>45750</v>
      </c>
      <c r="E303" s="114" t="n">
        <f aca="false">SUMIFS(報告入力!$AX$7:$AX$696,報告入力!$A$7:$A$696,$S$262,報告入力!$B$7:$B$696,$A303)</f>
        <v>3750</v>
      </c>
      <c r="F303" s="113" t="n">
        <f aca="false">SUMIFS(報告入力!$AY$7:$AY$696,報告入力!$A$7:$A$696,$S$262,報告入力!$B$7:$B$696,$A303)</f>
        <v>43</v>
      </c>
      <c r="G303" s="108" t="n">
        <f aca="false">SUM(B303:F303)</f>
        <v>99043</v>
      </c>
      <c r="H303" s="114" t="n">
        <f aca="false">SUMIFS(報告入力!$AZ$7:$AZ$696,報告入力!$A$7:$A$696,$S$262,報告入力!$B$7:$B$696,$A303)</f>
        <v>25930</v>
      </c>
      <c r="I303" s="205" t="n">
        <f aca="false">SUMIFS(報告入力!$BA$7:$BA$696,報告入力!$A$7:$A$696,$S$262,報告入力!$B$7:$B$696,$A303)</f>
        <v>25955</v>
      </c>
      <c r="J303" s="108" t="n">
        <f aca="false">SUM(H303:I303)</f>
        <v>51885</v>
      </c>
      <c r="K303" s="205" t="n">
        <f aca="false">SUMIFS(報告入力!$BB$7:$BB$696,報告入力!$A$7:$A$696,$S$262,報告入力!$B$7:$B$696,$A303)</f>
        <v>0</v>
      </c>
      <c r="L303" s="205" t="n">
        <f aca="false">SUMIFS(報告入力!$BC$7:$BC$696,報告入力!$A$7:$A$696,$S$262,報告入力!$B$7:$B$696,$A303)</f>
        <v>0</v>
      </c>
      <c r="M303" s="108" t="n">
        <f aca="false">SUM(K303:L303)</f>
        <v>0</v>
      </c>
      <c r="N303" s="205" t="n">
        <f aca="false">SUMIFS(報告入力!$BD$7:$BD$696,報告入力!$A$7:$A$696,$S$262,報告入力!$B$7:$B$696,$A303)</f>
        <v>575</v>
      </c>
      <c r="O303" s="205" t="n">
        <f aca="false">SUMIFS(報告入力!$BE$7:$BE$696,報告入力!$A$7:$A$696,$S$262,報告入力!$B$7:$B$696,$A303)</f>
        <v>575</v>
      </c>
      <c r="P303" s="108" t="n">
        <f aca="false">SUM(N303:O303)</f>
        <v>1150</v>
      </c>
      <c r="Q303" s="110" t="str">
        <f aca="false">IF(P238=P303,"〇","×")</f>
        <v>×</v>
      </c>
      <c r="R303" s="110" t="str">
        <f aca="false">IFERROR(INDEX(報告入力!$C$7:$C$696,MATCH($S$262&amp;"|"&amp;$A303,報告入力!$CG$7:$CG$696,0)),"")</f>
        <v>入金確認済</v>
      </c>
    </row>
    <row r="304" s="110" customFormat="true" ht="20.1" hidden="false" customHeight="true" outlineLevel="0" collapsed="false">
      <c r="A304" s="343" t="s">
        <v>194</v>
      </c>
      <c r="B304" s="117" t="n">
        <f aca="false">SUMIFS(報告入力!$AU$7:$AU$696,報告入力!$A$7:$A$696,$S$262,報告入力!$B$7:$B$696,$A304)</f>
        <v>1231590</v>
      </c>
      <c r="C304" s="113" t="n">
        <f aca="false">SUMIFS(報告入力!$AV$7:$AV$696,報告入力!$A$7:$A$696,$S$262,報告入力!$B$7:$B$696,$A304)</f>
        <v>100950</v>
      </c>
      <c r="D304" s="103" t="n">
        <f aca="false">SUMIFS(報告入力!$AW$7:$AW$696,報告入力!$A$7:$A$696,$S$262,報告入力!$B$7:$B$696,$A304)</f>
        <v>1231590</v>
      </c>
      <c r="E304" s="114" t="n">
        <f aca="false">SUMIFS(報告入力!$AX$7:$AX$696,報告入力!$A$7:$A$696,$S$262,報告入力!$B$7:$B$696,$A304)</f>
        <v>100950</v>
      </c>
      <c r="F304" s="113" t="n">
        <f aca="false">SUMIFS(報告入力!$AY$7:$AY$696,報告入力!$A$7:$A$696,$S$262,報告入力!$B$7:$B$696,$A304)</f>
        <v>1237</v>
      </c>
      <c r="G304" s="108" t="n">
        <f aca="false">SUM(B304:F304)</f>
        <v>2666317</v>
      </c>
      <c r="H304" s="114" t="n">
        <f aca="false">SUMIFS(報告入力!$AZ$7:$AZ$696,報告入力!$A$7:$A$696,$S$262,報告入力!$B$7:$B$696,$A304)</f>
        <v>708914</v>
      </c>
      <c r="I304" s="205" t="n">
        <f aca="false">SUMIFS(報告入力!$BA$7:$BA$696,報告入力!$A$7:$A$696,$S$262,報告入力!$B$7:$B$696,$A304)</f>
        <v>709649</v>
      </c>
      <c r="J304" s="108" t="n">
        <f aca="false">SUM(H304:I304)</f>
        <v>1418563</v>
      </c>
      <c r="K304" s="205" t="n">
        <f aca="false">SUMIFS(報告入力!$BB$7:$BB$696,報告入力!$A$7:$A$696,$S$262,報告入力!$B$7:$B$696,$A304)</f>
        <v>82002</v>
      </c>
      <c r="L304" s="205" t="n">
        <f aca="false">SUMIFS(報告入力!$BC$7:$BC$696,報告入力!$A$7:$A$696,$S$262,報告入力!$B$7:$B$696,$A304)</f>
        <v>82002</v>
      </c>
      <c r="M304" s="108" t="n">
        <f aca="false">SUM(K304:L304)</f>
        <v>164004</v>
      </c>
      <c r="N304" s="205" t="n">
        <f aca="false">SUMIFS(報告入力!$BD$7:$BD$696,報告入力!$A$7:$A$696,$S$262,報告入力!$B$7:$B$696,$A304)</f>
        <v>15716</v>
      </c>
      <c r="O304" s="205" t="n">
        <f aca="false">SUMIFS(報告入力!$BE$7:$BE$696,報告入力!$A$7:$A$696,$S$262,報告入力!$B$7:$B$696,$A304)</f>
        <v>15720</v>
      </c>
      <c r="P304" s="108" t="n">
        <f aca="false">SUM(N304:O304)</f>
        <v>31436</v>
      </c>
      <c r="Q304" s="110" t="str">
        <f aca="false">IF(P239=P304,"〇","×")</f>
        <v>×</v>
      </c>
      <c r="R304" s="110" t="str">
        <f aca="false">IFERROR(INDEX(報告入力!$C$7:$C$696,MATCH($S$262&amp;"|"&amp;$A304,報告入力!$CG$7:$CG$696,0)),"")</f>
        <v>入金確認済</v>
      </c>
    </row>
    <row r="305" s="110" customFormat="true" ht="20.1" hidden="false" customHeight="true" outlineLevel="0" collapsed="false">
      <c r="A305" s="343" t="s">
        <v>195</v>
      </c>
      <c r="B305" s="201"/>
      <c r="C305" s="191"/>
      <c r="D305" s="103" t="n">
        <f aca="false">SUMIFS(報告入力!$AW$7:$AW$696,報告入力!$A$7:$A$696,$S$262,報告入力!$B$7:$B$696,$A305)</f>
        <v>256200</v>
      </c>
      <c r="E305" s="114" t="n">
        <f aca="false">SUMIFS(報告入力!$AX$7:$AX$696,報告入力!$A$7:$A$696,$S$262,報告入力!$B$7:$B$696,$A305)</f>
        <v>21000</v>
      </c>
      <c r="F305" s="113" t="n">
        <f aca="false">SUMIFS(報告入力!$AY$7:$AY$696,報告入力!$A$7:$A$696,$S$262,報告入力!$B$7:$B$696,$A305)</f>
        <v>243</v>
      </c>
      <c r="G305" s="108" t="n">
        <f aca="false">SUM(B305:F305)</f>
        <v>277443</v>
      </c>
      <c r="H305" s="202"/>
      <c r="I305" s="205" t="n">
        <f aca="false">SUMIFS(報告入力!$BA$7:$BA$696,報告入力!$A$7:$A$696,$S$262,報告入力!$B$7:$B$696,$A305)</f>
        <v>148462</v>
      </c>
      <c r="J305" s="108" t="n">
        <f aca="false">SUM(H305:I305)</f>
        <v>148462</v>
      </c>
      <c r="K305" s="202"/>
      <c r="L305" s="205" t="n">
        <f aca="false">SUMIFS(報告入力!$BC$7:$BC$696,報告入力!$A$7:$A$696,$S$262,報告入力!$B$7:$B$696,$A305)</f>
        <v>10507</v>
      </c>
      <c r="M305" s="108" t="n">
        <f aca="false">SUM(K305:L305)</f>
        <v>10507</v>
      </c>
      <c r="N305" s="202"/>
      <c r="O305" s="205" t="n">
        <f aca="false">SUMIFS(報告入力!$BE$7:$BE$696,報告入力!$A$7:$A$696,$S$262,報告入力!$B$7:$B$696,$A305)</f>
        <v>3289</v>
      </c>
      <c r="P305" s="108" t="n">
        <f aca="false">SUM(N305:O305)</f>
        <v>3289</v>
      </c>
      <c r="Q305" s="110" t="str">
        <f aca="false">IF(P240=P305,"〇","×")</f>
        <v>×</v>
      </c>
      <c r="R305" s="110" t="str">
        <f aca="false">IFERROR(INDEX(報告入力!$C$7:$C$696,MATCH($S$262&amp;"|"&amp;$A305,報告入力!$CG$7:$CG$696,0)),"")</f>
        <v>入金確認済</v>
      </c>
    </row>
    <row r="306" s="110" customFormat="true" ht="19.5" hidden="false" customHeight="true" outlineLevel="0" collapsed="false">
      <c r="A306" s="348" t="s">
        <v>196</v>
      </c>
      <c r="B306" s="117" t="n">
        <f aca="false">SUMIFS(報告入力!$AU$7:$AU$696,報告入力!$A$7:$A$696,$S$262,報告入力!$B$7:$B$696,$A306)</f>
        <v>127522361</v>
      </c>
      <c r="C306" s="123" t="n">
        <f aca="false">SUMIFS(報告入力!$AV$7:$AV$696,報告入力!$A$7:$A$696,$S$262,報告入力!$B$7:$B$696,$A306)</f>
        <v>10450553</v>
      </c>
      <c r="D306" s="118" t="n">
        <f aca="false">SUMIFS(報告入力!$AW$7:$AW$696,報告入力!$A$7:$A$696,$S$262,報告入力!$B$7:$B$696,$A306)</f>
        <v>186040804</v>
      </c>
      <c r="E306" s="114" t="n">
        <f aca="false">SUMIFS(報告入力!$AX$7:$AX$696,報告入力!$A$7:$A$696,$S$262,報告入力!$B$7:$B$696,$A306)</f>
        <v>10450553</v>
      </c>
      <c r="F306" s="113" t="n">
        <f aca="false">SUMIFS(報告入力!$AY$7:$AY$696,報告入力!$A$7:$A$696,$S$262,報告入力!$B$7:$B$696,$A306)</f>
        <v>127229</v>
      </c>
      <c r="G306" s="108" t="n">
        <f aca="false">SUM(B306:F306)</f>
        <v>334591500</v>
      </c>
      <c r="H306" s="114" t="n">
        <f aca="false">SUMIFS(報告入力!$AZ$7:$AZ$696,報告入力!$A$7:$A$696,$S$262,報告入力!$B$7:$B$696,$A306)</f>
        <v>94661023</v>
      </c>
      <c r="I306" s="205" t="n">
        <f aca="false">SUMIFS(報告入力!$BA$7:$BA$696,報告入力!$A$7:$A$696,$S$262,報告入力!$B$7:$B$696,$A306)</f>
        <v>94767454</v>
      </c>
      <c r="J306" s="108" t="n">
        <f aca="false">SUM(H306:I306)</f>
        <v>189428477</v>
      </c>
      <c r="K306" s="205" t="n">
        <f aca="false">SUMIFS(報告入力!$BB$7:$BB$696,報告入力!$A$7:$A$696,$S$262,報告入力!$B$7:$B$696,$A306)</f>
        <v>8045644</v>
      </c>
      <c r="L306" s="205" t="n">
        <f aca="false">SUMIFS(報告入力!$BC$7:$BC$696,報告入力!$A$7:$A$696,$S$262,報告入力!$B$7:$B$696,$A306)</f>
        <v>8045644</v>
      </c>
      <c r="M306" s="108" t="n">
        <f aca="false">SUM(K306:L306)</f>
        <v>16091288</v>
      </c>
      <c r="N306" s="205" t="n">
        <f aca="false">SUMIFS(報告入力!$BD$7:$BD$696,報告入力!$A$7:$A$696,$S$262,報告入力!$B$7:$B$696,$A306)</f>
        <v>2098459</v>
      </c>
      <c r="O306" s="205" t="n">
        <f aca="false">SUMIFS(報告入力!$BE$7:$BE$696,報告入力!$A$7:$A$696,$S$262,報告入力!$B$7:$B$696,$A306)</f>
        <v>2098458</v>
      </c>
      <c r="P306" s="108" t="n">
        <f aca="false">SUM(N306:O306)</f>
        <v>4196917</v>
      </c>
      <c r="Q306" s="110" t="str">
        <f aca="false">IF(P241=P306,"〇","×")</f>
        <v>×</v>
      </c>
      <c r="R306" s="110" t="str">
        <f aca="false">IFERROR(INDEX(報告入力!$C$7:$C$696,MATCH($S$262&amp;"|"&amp;$A306,報告入力!$CG$7:$CG$696,0)),"")</f>
        <v>入金確認済</v>
      </c>
    </row>
    <row r="307" s="137" customFormat="true" ht="21.75" hidden="false" customHeight="true" outlineLevel="0" collapsed="false">
      <c r="A307" s="189" t="s">
        <v>197</v>
      </c>
      <c r="B307" s="127"/>
      <c r="C307" s="131"/>
      <c r="D307" s="127"/>
      <c r="E307" s="209"/>
      <c r="F307" s="131"/>
      <c r="G307" s="210" t="n">
        <f aca="false">SUM(B307:F307)</f>
        <v>0</v>
      </c>
      <c r="H307" s="118" t="n">
        <f aca="false">SUMIFS(報告入力!$AZ$7:$AZ$696,報告入力!$A$7:$A$696,$S$262,報告入力!$B$7:$B$696,$A307)</f>
        <v>104755</v>
      </c>
      <c r="I307" s="125" t="n">
        <f aca="false">SUMIFS(報告入力!$BA$7:$BA$696,報告入力!$A$7:$A$696,$S$262,報告入力!$B$7:$B$696,$A307)</f>
        <v>104857</v>
      </c>
      <c r="J307" s="116" t="n">
        <f aca="false">SUM(H307:I307)</f>
        <v>209612</v>
      </c>
      <c r="K307" s="117" t="n">
        <f aca="false">SUMIFS(報告入力!$BB$7:$BB$696,報告入力!$A$7:$A$696,$S$262,報告入力!$B$7:$B$696,$A307)</f>
        <v>11060</v>
      </c>
      <c r="L307" s="125" t="n">
        <f aca="false">SUMIFS(報告入力!$BC$7:$BC$696,報告入力!$A$7:$A$696,$S$262,報告入力!$B$7:$B$696,$A307)</f>
        <v>11060</v>
      </c>
      <c r="M307" s="116" t="n">
        <f aca="false">SUM(K307:L307)</f>
        <v>22120</v>
      </c>
      <c r="N307" s="117" t="n">
        <f aca="false">SUMIFS(報告入力!$BD$7:$BD$696,報告入力!$A$7:$A$696,$S$262,報告入力!$B$7:$B$696,$A307)</f>
        <v>2321</v>
      </c>
      <c r="O307" s="205" t="n">
        <f aca="false">SUMIFS(報告入力!$BE$7:$BE$696,報告入力!$A$7:$A$696,$S$262,報告入力!$B$7:$B$696,$A307)</f>
        <v>2322</v>
      </c>
      <c r="P307" s="116" t="n">
        <f aca="false">SUM(N307:O307)</f>
        <v>4643</v>
      </c>
      <c r="Q307" s="137" t="str">
        <f aca="false">IF(P242=P307,"〇","×")</f>
        <v>×</v>
      </c>
      <c r="R307" s="137" t="str">
        <f aca="false">IFERROR(INDEX(報告入力!$C$7:$C$696,MATCH($S$262&amp;"|"&amp;$A307,報告入力!$CG$7:$CG$696,0)),"")</f>
        <v>入金確認済</v>
      </c>
    </row>
    <row r="308" s="137" customFormat="true" ht="21.75" hidden="false" customHeight="true" outlineLevel="0" collapsed="false">
      <c r="A308" s="211" t="s">
        <v>216</v>
      </c>
      <c r="B308" s="311"/>
      <c r="C308" s="330"/>
      <c r="D308" s="309"/>
      <c r="E308" s="309"/>
      <c r="F308" s="331"/>
      <c r="G308" s="302" t="n">
        <f aca="false">SUM(B308:F308)</f>
        <v>0</v>
      </c>
      <c r="H308" s="309"/>
      <c r="I308" s="310"/>
      <c r="J308" s="305" t="n">
        <f aca="false">SUM(H308:I308)</f>
        <v>0</v>
      </c>
      <c r="K308" s="309"/>
      <c r="L308" s="310"/>
      <c r="M308" s="305" t="n">
        <f aca="false">SUM(K308:L308)</f>
        <v>0</v>
      </c>
      <c r="N308" s="309"/>
      <c r="O308" s="310"/>
      <c r="P308" s="305" t="n">
        <f aca="false">SUM(N308:O308)</f>
        <v>0</v>
      </c>
      <c r="Q308" s="137" t="str">
        <f aca="false">IF(P243=P308,"〇","×")</f>
        <v>〇</v>
      </c>
      <c r="R308" s="137" t="str">
        <f aca="false">IFERROR(INDEX(報告入力!$C$7:$C$696,MATCH($S$262&amp;"|"&amp;$A308,報告入力!$CG$7:$CG$696,0)),"")</f>
        <v>報告なし</v>
      </c>
    </row>
    <row r="309" s="137" customFormat="true" ht="21.75" hidden="false" customHeight="true" outlineLevel="0" collapsed="false">
      <c r="A309" s="211" t="s">
        <v>199</v>
      </c>
      <c r="B309" s="117" t="n">
        <f aca="false">SUMIFS(報告入力!$AU$7:$AU$696,報告入力!$A$7:$A$696,$S$262,報告入力!$B$7:$B$696,$A309)</f>
        <v>118950</v>
      </c>
      <c r="C309" s="122" t="n">
        <f aca="false">SUMIFS(報告入力!$AV$7:$AV$696,報告入力!$A$7:$A$696,$S$262,報告入力!$B$7:$B$696,$A309)</f>
        <v>9750</v>
      </c>
      <c r="D309" s="117" t="n">
        <f aca="false">SUMIFS(報告入力!$AW$7:$AW$696,報告入力!$A$7:$A$696,$S$262,報告入力!$B$7:$B$696,$A309)</f>
        <v>118950</v>
      </c>
      <c r="E309" s="118" t="n">
        <f aca="false">SUMIFS(報告入力!$AX$7:$AX$696,報告入力!$A$7:$A$696,$S$262,報告入力!$B$7:$B$696,$A309)</f>
        <v>9750</v>
      </c>
      <c r="F309" s="123" t="n">
        <f aca="false">SUMIFS(報告入力!$AY$7:$AY$696,報告入力!$A$7:$A$696,$S$262,報告入力!$B$7:$B$696,$A309)</f>
        <v>112</v>
      </c>
      <c r="G309" s="108" t="n">
        <f aca="false">SUM(B309:F309)</f>
        <v>257512</v>
      </c>
      <c r="H309" s="118" t="n">
        <f aca="false">SUMIFS(報告入力!$AZ$7:$AZ$696,報告入力!$A$7:$A$696,$S$262,報告入力!$B$7:$B$696,$A309)</f>
        <v>84531</v>
      </c>
      <c r="I309" s="205" t="n">
        <f aca="false">SUMIFS(報告入力!$BA$7:$BA$696,報告入力!$A$7:$A$696,$S$262,報告入力!$B$7:$B$696,$A309)</f>
        <v>84613</v>
      </c>
      <c r="J309" s="116" t="n">
        <f aca="false">SUM(H309:I309)</f>
        <v>169144</v>
      </c>
      <c r="K309" s="118" t="n">
        <f aca="false">SUMIFS(報告入力!$BB$7:$BB$696,報告入力!$A$7:$A$696,$S$262,報告入力!$B$7:$B$696,$A309)</f>
        <v>12877</v>
      </c>
      <c r="L309" s="205" t="n">
        <f aca="false">SUMIFS(報告入力!$BC$7:$BC$696,報告入力!$A$7:$A$696,$S$262,報告入力!$B$7:$B$696,$A309)</f>
        <v>12877</v>
      </c>
      <c r="M309" s="116" t="n">
        <f aca="false">SUM(K309:L309)</f>
        <v>25754</v>
      </c>
      <c r="N309" s="118" t="n">
        <f aca="false">SUMIFS(報告入力!$BD$7:$BD$696,報告入力!$A$7:$A$696,$S$262,報告入力!$B$7:$B$696,$A309)</f>
        <v>1874</v>
      </c>
      <c r="O309" s="205" t="n">
        <f aca="false">SUMIFS(報告入力!$BE$7:$BE$696,報告入力!$A$7:$A$696,$S$262,報告入力!$B$7:$B$696,$A309)</f>
        <v>1874</v>
      </c>
      <c r="P309" s="116" t="n">
        <f aca="false">SUM(N309:O309)</f>
        <v>3748</v>
      </c>
      <c r="Q309" s="137" t="str">
        <f aca="false">IF(P244=P309,"〇","×")</f>
        <v>×</v>
      </c>
      <c r="R309" s="137" t="str">
        <f aca="false">IFERROR(INDEX(報告入力!$C$7:$C$696,MATCH($S$262&amp;"|"&amp;$A309,報告入力!$CG$7:$CG$696,0)),"")</f>
        <v>入金確認済</v>
      </c>
    </row>
    <row r="310" s="137" customFormat="true" ht="21.75" hidden="false" customHeight="true" outlineLevel="0" collapsed="false">
      <c r="A310" s="349"/>
      <c r="B310" s="350"/>
      <c r="C310" s="169"/>
      <c r="D310" s="220"/>
      <c r="E310" s="158"/>
      <c r="F310" s="156"/>
      <c r="G310" s="221" t="n">
        <f aca="false">SUM(B310:F310)</f>
        <v>0</v>
      </c>
      <c r="H310" s="222"/>
      <c r="I310" s="158"/>
      <c r="J310" s="223" t="n">
        <f aca="false">SUM(H310:I310)</f>
        <v>0</v>
      </c>
      <c r="K310" s="220"/>
      <c r="L310" s="158"/>
      <c r="M310" s="223" t="n">
        <f aca="false">SUM(K310:L310)</f>
        <v>0</v>
      </c>
      <c r="N310" s="220"/>
      <c r="O310" s="158"/>
      <c r="P310" s="223" t="n">
        <f aca="false">SUM(N310:O310)</f>
        <v>0</v>
      </c>
      <c r="Q310" s="137" t="str">
        <f aca="false">IF(P245=P310,"〇","×")</f>
        <v>〇</v>
      </c>
    </row>
    <row r="311" s="137" customFormat="true" ht="0.2" hidden="false" customHeight="true" outlineLevel="0" collapsed="false">
      <c r="A311" s="149"/>
      <c r="B311" s="160"/>
      <c r="C311" s="146"/>
      <c r="D311" s="220"/>
      <c r="E311" s="158"/>
      <c r="F311" s="156"/>
      <c r="G311" s="221" t="n">
        <f aca="false">SUM(B311:F311)</f>
        <v>0</v>
      </c>
      <c r="H311" s="222"/>
      <c r="I311" s="158"/>
      <c r="J311" s="223" t="n">
        <f aca="false">SUM(H311:I311)</f>
        <v>0</v>
      </c>
      <c r="K311" s="220"/>
      <c r="L311" s="158"/>
      <c r="M311" s="223" t="n">
        <f aca="false">SUM(K311:L311)</f>
        <v>0</v>
      </c>
      <c r="N311" s="220"/>
      <c r="O311" s="158"/>
      <c r="P311" s="223" t="n">
        <f aca="false">SUM(N311:O311)</f>
        <v>0</v>
      </c>
      <c r="Q311" s="137" t="str">
        <f aca="false">IF(P246=P311,"〇","×")</f>
        <v>〇</v>
      </c>
    </row>
    <row r="312" s="137" customFormat="true" ht="0.2" hidden="false" customHeight="true" outlineLevel="0" collapsed="false">
      <c r="A312" s="162"/>
      <c r="B312" s="224"/>
      <c r="C312" s="225"/>
      <c r="D312" s="226"/>
      <c r="E312" s="227"/>
      <c r="F312" s="225"/>
      <c r="G312" s="228"/>
      <c r="H312" s="229"/>
      <c r="I312" s="229"/>
      <c r="J312" s="230"/>
      <c r="K312" s="231"/>
      <c r="L312" s="229"/>
      <c r="M312" s="230"/>
      <c r="N312" s="231"/>
      <c r="O312" s="229"/>
      <c r="P312" s="230"/>
      <c r="Q312" s="137" t="str">
        <f aca="false">IF(P247=P312,"〇","×")</f>
        <v>〇</v>
      </c>
    </row>
    <row r="313" s="110" customFormat="true" ht="20.1" hidden="false" customHeight="true" outlineLevel="0" collapsed="false">
      <c r="A313" s="171" t="s">
        <v>383</v>
      </c>
      <c r="B313" s="172" t="n">
        <f aca="false">SUM(B283:B312)</f>
        <v>130328666</v>
      </c>
      <c r="C313" s="175" t="n">
        <f aca="false">SUM(C283:C312)</f>
        <v>10680578</v>
      </c>
      <c r="D313" s="173" t="n">
        <f aca="false">SUM(D283:D312)</f>
        <v>195104116</v>
      </c>
      <c r="E313" s="174" t="n">
        <f aca="false">SUM(E283:E312)</f>
        <v>11194178</v>
      </c>
      <c r="F313" s="175" t="n">
        <f aca="false">SUM(F283:F312)</f>
        <v>136173</v>
      </c>
      <c r="G313" s="176" t="n">
        <f aca="false">SUM(B313:F313)</f>
        <v>347443711</v>
      </c>
      <c r="H313" s="173" t="n">
        <f aca="false">SUM(H283:H311)</f>
        <v>96395712</v>
      </c>
      <c r="I313" s="173" t="n">
        <f aca="false">SUM(I283:I311)</f>
        <v>100250924</v>
      </c>
      <c r="J313" s="175" t="n">
        <f aca="false">SUM(H313:I313)</f>
        <v>196646636</v>
      </c>
      <c r="K313" s="172" t="n">
        <f aca="false">SUM(K283:K311)</f>
        <v>8232321</v>
      </c>
      <c r="L313" s="173" t="n">
        <f aca="false">SUM(L283:L311)</f>
        <v>8665162</v>
      </c>
      <c r="M313" s="175" t="n">
        <f aca="false">SUM(K313:L313)</f>
        <v>16897483</v>
      </c>
      <c r="N313" s="172" t="n">
        <f aca="false">SUM(N283:N311)</f>
        <v>2136912</v>
      </c>
      <c r="O313" s="173" t="n">
        <f aca="false">SUM(O283:O311)</f>
        <v>2219724</v>
      </c>
      <c r="P313" s="175" t="n">
        <f aca="false">SUM(N313:O313)</f>
        <v>4356636</v>
      </c>
      <c r="Q313" s="110" t="str">
        <f aca="false">IF(P248=P313,"〇","×")</f>
        <v>×</v>
      </c>
    </row>
    <row r="314" s="137" customFormat="true" ht="0.2" hidden="false" customHeight="true" outlineLevel="0" collapsed="false">
      <c r="A314" s="149" t="s">
        <v>382</v>
      </c>
      <c r="B314" s="231"/>
      <c r="C314" s="232"/>
      <c r="D314" s="229"/>
      <c r="E314" s="233"/>
      <c r="F314" s="234"/>
      <c r="G314" s="235"/>
      <c r="H314" s="236"/>
      <c r="I314" s="236"/>
      <c r="J314" s="237"/>
      <c r="K314" s="238"/>
      <c r="L314" s="239"/>
      <c r="M314" s="240"/>
      <c r="N314" s="238"/>
      <c r="O314" s="239"/>
      <c r="P314" s="240"/>
      <c r="Q314" s="137" t="str">
        <f aca="false">IF(P249=P314,"〇","×")</f>
        <v>〇</v>
      </c>
    </row>
    <row r="315" s="137" customFormat="true" ht="0.2" hidden="false" customHeight="true" outlineLevel="0" collapsed="false">
      <c r="A315" s="241" t="s">
        <v>382</v>
      </c>
      <c r="B315" s="242"/>
      <c r="C315" s="243"/>
      <c r="D315" s="229"/>
      <c r="E315" s="233"/>
      <c r="F315" s="232"/>
      <c r="G315" s="228"/>
      <c r="H315" s="244"/>
      <c r="I315" s="244"/>
      <c r="J315" s="245"/>
      <c r="K315" s="246"/>
      <c r="L315" s="247"/>
      <c r="M315" s="248"/>
      <c r="N315" s="246"/>
      <c r="O315" s="247"/>
      <c r="P315" s="248"/>
      <c r="Q315" s="137" t="str">
        <f aca="false">IF(P250=P315,"〇","×")</f>
        <v>〇</v>
      </c>
    </row>
    <row r="316" s="110" customFormat="true" ht="20.1" hidden="false" customHeight="true" outlineLevel="0" collapsed="false">
      <c r="A316" s="189" t="s">
        <v>200</v>
      </c>
      <c r="B316" s="117" t="n">
        <f aca="false">SUMIFS(報告入力!$AU$7:$AU$696,報告入力!$A$7:$A$696,$S$262,報告入力!$B$7:$B$696,$A316)</f>
        <v>145485</v>
      </c>
      <c r="C316" s="113" t="n">
        <f aca="false">SUMIFS(報告入力!$AV$7:$AV$696,報告入力!$A$7:$A$696,$S$262,報告入力!$B$7:$B$696,$A316)</f>
        <v>11925</v>
      </c>
      <c r="D316" s="111" t="n">
        <f aca="false">SUMIFS(報告入力!$AW$7:$AW$696,報告入力!$A$7:$A$696,$S$262,報告入力!$B$7:$B$696,$A316)</f>
        <v>145485</v>
      </c>
      <c r="E316" s="114" t="n">
        <f aca="false">SUMIFS(報告入力!$AX$7:$AX$696,報告入力!$A$7:$A$696,$S$262,報告入力!$B$7:$B$696,$A316)</f>
        <v>11925</v>
      </c>
      <c r="F316" s="113" t="n">
        <f aca="false">SUMIFS(報告入力!$AY$7:$AY$696,報告入力!$A$7:$A$696,$S$262,報告入力!$B$7:$B$696,$A316)</f>
        <v>138</v>
      </c>
      <c r="G316" s="108" t="n">
        <f aca="false">SUM(B316:F316)</f>
        <v>314958</v>
      </c>
      <c r="H316" s="130"/>
      <c r="I316" s="130"/>
      <c r="J316" s="196" t="n">
        <f aca="false">SUM(H316:I316)</f>
        <v>0</v>
      </c>
      <c r="K316" s="130"/>
      <c r="L316" s="130"/>
      <c r="M316" s="196" t="n">
        <f aca="false">SUM(K316:L316)</f>
        <v>0</v>
      </c>
      <c r="N316" s="130"/>
      <c r="O316" s="130"/>
      <c r="P316" s="196" t="n">
        <f aca="false">SUM(N316:O316)</f>
        <v>0</v>
      </c>
      <c r="Q316" s="110" t="str">
        <f aca="false">IF(P251=P316,"〇","×")</f>
        <v>〇</v>
      </c>
      <c r="R316" s="110" t="str">
        <f aca="false">IFERROR(INDEX(報告入力!$C$7:$C$696,MATCH($S$262&amp;"|"&amp;$A316,報告入力!$CG$7:$CG$696,0)),"")</f>
        <v>入金確認済</v>
      </c>
    </row>
    <row r="317" s="110" customFormat="true" ht="21.75" hidden="false" customHeight="true" outlineLevel="0" collapsed="false">
      <c r="A317" s="189" t="s">
        <v>201</v>
      </c>
      <c r="B317" s="185" t="n">
        <f aca="false">SUMIFS(報告入力!$AU$7:$AU$696,報告入力!$A$7:$A$696,$S$262,報告入力!$B$7:$B$696,$A317)</f>
        <v>53985</v>
      </c>
      <c r="C317" s="199" t="n">
        <f aca="false">SUMIFS(報告入力!$AV$7:$AV$696,報告入力!$A$7:$A$696,$S$262,報告入力!$B$7:$B$696,$A317)</f>
        <v>4425</v>
      </c>
      <c r="D317" s="249" t="n">
        <f aca="false">SUMIFS(報告入力!$AW$7:$AW$696,報告入力!$A$7:$A$696,$S$262,報告入力!$B$7:$B$696,$A317)</f>
        <v>53985</v>
      </c>
      <c r="E317" s="250" t="n">
        <f aca="false">SUMIFS(報告入力!$AX$7:$AX$696,報告入力!$A$7:$A$696,$S$262,報告入力!$B$7:$B$696,$A317)</f>
        <v>4425</v>
      </c>
      <c r="F317" s="251" t="n">
        <f aca="false">SUMIFS(報告入力!$AY$7:$AY$696,報告入力!$A$7:$A$696,$S$262,報告入力!$B$7:$B$696,$A317)</f>
        <v>51</v>
      </c>
      <c r="G317" s="119" t="n">
        <f aca="false">SUM(B317:F317)</f>
        <v>116871</v>
      </c>
      <c r="H317" s="252"/>
      <c r="I317" s="252"/>
      <c r="J317" s="253" t="n">
        <f aca="false">SUM(H317:I317)</f>
        <v>0</v>
      </c>
      <c r="K317" s="252"/>
      <c r="L317" s="252"/>
      <c r="M317" s="253" t="n">
        <f aca="false">SUM(K317:L317)</f>
        <v>0</v>
      </c>
      <c r="N317" s="252"/>
      <c r="O317" s="252"/>
      <c r="P317" s="253" t="n">
        <f aca="false">SUM(N317:O317)</f>
        <v>0</v>
      </c>
      <c r="Q317" s="110" t="str">
        <f aca="false">IF(P252=P317,"〇","×")</f>
        <v>〇</v>
      </c>
      <c r="R317" s="110" t="str">
        <f aca="false">IFERROR(INDEX(報告入力!$C$7:$C$696,MATCH($S$262&amp;"|"&amp;$A317,報告入力!$CG$7:$CG$696,0)),"")</f>
        <v>入金確認済</v>
      </c>
    </row>
    <row r="318" s="110" customFormat="true" ht="19.5" hidden="false" customHeight="true" outlineLevel="0" collapsed="false">
      <c r="A318" s="171" t="s">
        <v>383</v>
      </c>
      <c r="B318" s="172" t="n">
        <f aca="false">SUM(B314:B317)</f>
        <v>199470</v>
      </c>
      <c r="C318" s="175" t="n">
        <f aca="false">SUM(C314:C317)</f>
        <v>16350</v>
      </c>
      <c r="D318" s="173" t="n">
        <f aca="false">SUM(D314:D317)</f>
        <v>199470</v>
      </c>
      <c r="E318" s="174" t="n">
        <f aca="false">SUM(E314:E317)</f>
        <v>16350</v>
      </c>
      <c r="F318" s="175" t="n">
        <f aca="false">SUM(F314:F317)</f>
        <v>189</v>
      </c>
      <c r="G318" s="176" t="n">
        <f aca="false">SUM(B318:F318)</f>
        <v>431829</v>
      </c>
      <c r="H318" s="256" t="n">
        <f aca="false">SUM(H314:H317)</f>
        <v>0</v>
      </c>
      <c r="I318" s="257" t="n">
        <f aca="false">SUM(I314:I317)</f>
        <v>0</v>
      </c>
      <c r="J318" s="258" t="n">
        <f aca="false">SUM(H318:I318)</f>
        <v>0</v>
      </c>
      <c r="K318" s="256" t="n">
        <f aca="false">SUM(K314:K317)</f>
        <v>0</v>
      </c>
      <c r="L318" s="257" t="n">
        <f aca="false">SUM(L314:L317)</f>
        <v>0</v>
      </c>
      <c r="M318" s="258" t="n">
        <f aca="false">SUM(K318:L318)</f>
        <v>0</v>
      </c>
      <c r="N318" s="256" t="n">
        <f aca="false">SUM(N314:N317)</f>
        <v>0</v>
      </c>
      <c r="O318" s="257" t="n">
        <f aca="false">SUM(O314:O317)</f>
        <v>0</v>
      </c>
      <c r="P318" s="258" t="n">
        <f aca="false">SUM(N318:O318)</f>
        <v>0</v>
      </c>
      <c r="Q318" s="110" t="str">
        <f aca="false">IF(P253=P318,"〇","×")</f>
        <v>〇</v>
      </c>
    </row>
    <row r="319" s="110" customFormat="true" ht="20.1" hidden="false" customHeight="true" outlineLevel="0" collapsed="false">
      <c r="A319" s="100" t="s">
        <v>202</v>
      </c>
      <c r="B319" s="117" t="n">
        <f aca="false">SUMIFS(報告入力!$AU$7:$AU$696,報告入力!$A$7:$A$696,$S$262,報告入力!$B$7:$B$696,$A319)</f>
        <v>29280</v>
      </c>
      <c r="C319" s="113" t="n">
        <f aca="false">SUMIFS(報告入力!$AV$7:$AV$696,報告入力!$A$7:$A$696,$S$262,報告入力!$B$7:$B$696,$A319)</f>
        <v>2400</v>
      </c>
      <c r="D319" s="111" t="n">
        <f aca="false">SUMIFS(報告入力!$AW$7:$AW$696,報告入力!$A$7:$A$696,$S$262,報告入力!$B$7:$B$696,$A319)</f>
        <v>29280</v>
      </c>
      <c r="E319" s="114" t="n">
        <f aca="false">SUMIFS(報告入力!$AX$7:$AX$696,報告入力!$A$7:$A$696,$S$262,報告入力!$B$7:$B$696,$A319)</f>
        <v>2400</v>
      </c>
      <c r="F319" s="193"/>
      <c r="G319" s="108" t="n">
        <f aca="false">SUM(B319:F319)</f>
        <v>63360</v>
      </c>
      <c r="H319" s="114" t="n">
        <f aca="false">SUMIFS(報告入力!$AZ$7:$AZ$696,報告入力!$A$7:$A$696,$S$262,報告入力!$B$7:$B$696,$A319)</f>
        <v>16595</v>
      </c>
      <c r="I319" s="115" t="n">
        <f aca="false">SUMIFS(報告入力!$BA$7:$BA$696,報告入力!$A$7:$A$696,$S$262,報告入力!$B$7:$B$696,$A319)</f>
        <v>15315</v>
      </c>
      <c r="J319" s="116" t="n">
        <f aca="false">SUM(H319:I319)</f>
        <v>31910</v>
      </c>
      <c r="K319" s="114" t="n">
        <f aca="false">SUMIFS(報告入力!$BB$7:$BB$696,報告入力!$A$7:$A$696,$S$262,報告入力!$B$7:$B$696,$A319)</f>
        <v>2528</v>
      </c>
      <c r="L319" s="115" t="n">
        <f aca="false">SUMIFS(報告入力!$BC$7:$BC$696,報告入力!$A$7:$A$696,$S$262,報告入力!$B$7:$B$696,$A319)</f>
        <v>2528</v>
      </c>
      <c r="M319" s="116" t="n">
        <f aca="false">SUM(K319:L319)</f>
        <v>5056</v>
      </c>
      <c r="N319" s="114" t="n">
        <f aca="false">SUMIFS(報告入力!$BD$7:$BD$696,報告入力!$A$7:$A$696,$S$262,報告入力!$B$7:$B$696,$A319)</f>
        <v>368</v>
      </c>
      <c r="O319" s="115" t="n">
        <f aca="false">SUMIFS(報告入力!$BE$7:$BE$696,報告入力!$A$7:$A$696,$S$262,報告入力!$B$7:$B$696,$A319)</f>
        <v>368</v>
      </c>
      <c r="P319" s="116" t="n">
        <f aca="false">SUM(N319:O319)</f>
        <v>736</v>
      </c>
      <c r="Q319" s="110" t="str">
        <f aca="false">IF(P254=P319,"〇","×")</f>
        <v>×</v>
      </c>
      <c r="R319" s="110" t="str">
        <f aca="false">IFERROR(INDEX(報告入力!$C$7:$C$696,MATCH($S$262&amp;"|"&amp;$A319,報告入力!$CG$7:$CG$696,0)),"")</f>
        <v>入金確認済</v>
      </c>
    </row>
    <row r="320" s="110" customFormat="true" ht="20.1" hidden="false" customHeight="true" outlineLevel="0" collapsed="false">
      <c r="A320" s="100" t="s">
        <v>203</v>
      </c>
      <c r="B320" s="215" t="n">
        <f aca="false">SUMIFS(報告入力!$AU$7:$AU$696,報告入力!$A$7:$A$696,$S$262,報告入力!$B$7:$B$696,$A320)</f>
        <v>0</v>
      </c>
      <c r="C320" s="212" t="n">
        <f aca="false">SUMIFS(報告入力!$AV$7:$AV$696,報告入力!$A$7:$A$696,$S$262,報告入力!$B$7:$B$696,$A320)</f>
        <v>0</v>
      </c>
      <c r="D320" s="178" t="n">
        <f aca="false">SUMIFS(報告入力!$AW$7:$AW$696,報告入力!$A$7:$A$696,$S$262,報告入力!$B$7:$B$696,$A320)</f>
        <v>0</v>
      </c>
      <c r="E320" s="182" t="n">
        <f aca="false">SUMIFS(報告入力!$AX$7:$AX$696,報告入力!$A$7:$A$696,$S$262,報告入力!$B$7:$B$696,$A320)</f>
        <v>0</v>
      </c>
      <c r="F320" s="193"/>
      <c r="G320" s="181" t="n">
        <f aca="false">SUM(B320:F320)</f>
        <v>0</v>
      </c>
      <c r="H320" s="182" t="n">
        <f aca="false">SUMIFS(報告入力!$AZ$7:$AZ$696,報告入力!$A$7:$A$696,$S$262,報告入力!$B$7:$B$696,$A320)</f>
        <v>0</v>
      </c>
      <c r="I320" s="183" t="n">
        <f aca="false">SUMIFS(報告入力!$BA$7:$BA$696,報告入力!$A$7:$A$696,$S$262,報告入力!$B$7:$B$696,$A320)</f>
        <v>0</v>
      </c>
      <c r="J320" s="135" t="n">
        <f aca="false">SUM(H320:I320)</f>
        <v>0</v>
      </c>
      <c r="K320" s="262" t="n">
        <f aca="false">SUMIFS(報告入力!$BB$7:$BB$696,報告入力!$A$7:$A$696,$S$262,報告入力!$B$7:$B$696,$A320)</f>
        <v>0</v>
      </c>
      <c r="L320" s="183" t="n">
        <f aca="false">SUMIFS(報告入力!$BC$7:$BC$696,報告入力!$A$7:$A$696,$S$262,報告入力!$B$7:$B$696,$A320)</f>
        <v>0</v>
      </c>
      <c r="M320" s="135" t="n">
        <f aca="false">SUM(K320:L320)</f>
        <v>0</v>
      </c>
      <c r="N320" s="262" t="n">
        <f aca="false">SUMIFS(報告入力!$BD$7:$BD$696,報告入力!$A$7:$A$696,$S$262,報告入力!$B$7:$B$696,$A320)</f>
        <v>0</v>
      </c>
      <c r="O320" s="183" t="n">
        <f aca="false">SUMIFS(報告入力!$BE$7:$BE$696,報告入力!$A$7:$A$696,$S$262,報告入力!$B$7:$B$696,$A320)</f>
        <v>0</v>
      </c>
      <c r="P320" s="135" t="n">
        <f aca="false">SUM(N320:O320)</f>
        <v>0</v>
      </c>
      <c r="Q320" s="110" t="str">
        <f aca="false">IF(P255=P320,"〇","×")</f>
        <v>〇</v>
      </c>
      <c r="R320" s="110" t="str">
        <f aca="false">IFERROR(INDEX(報告入力!$C$7:$C$696,MATCH($S$262&amp;"|"&amp;$A320,報告入力!$CG$7:$CG$696,0)),"")</f>
        <v>未受領</v>
      </c>
    </row>
    <row r="321" s="110" customFormat="true" ht="20.1" hidden="false" customHeight="true" outlineLevel="0" collapsed="false">
      <c r="A321" s="192" t="s">
        <v>204</v>
      </c>
      <c r="B321" s="117" t="n">
        <f aca="false">SUMIFS(報告入力!$AU$7:$AU$696,報告入力!$A$7:$A$696,$S$262,報告入力!$B$7:$B$696,$A321)</f>
        <v>27450</v>
      </c>
      <c r="C321" s="113" t="n">
        <f aca="false">SUMIFS(報告入力!$AV$7:$AV$696,報告入力!$A$7:$A$696,$S$262,報告入力!$B$7:$B$696,$A321)</f>
        <v>2250</v>
      </c>
      <c r="D321" s="111" t="n">
        <f aca="false">SUMIFS(報告入力!$AW$7:$AW$696,報告入力!$A$7:$A$696,$S$262,報告入力!$B$7:$B$696,$A321)</f>
        <v>27450</v>
      </c>
      <c r="E321" s="114" t="n">
        <f aca="false">SUMIFS(報告入力!$AX$7:$AX$696,報告入力!$A$7:$A$696,$S$262,報告入力!$B$7:$B$696,$A321)</f>
        <v>2250</v>
      </c>
      <c r="F321" s="193"/>
      <c r="G321" s="108" t="n">
        <f aca="false">SUM(B321:F321)</f>
        <v>59400</v>
      </c>
      <c r="H321" s="114" t="n">
        <f aca="false">SUMIFS(報告入力!$AZ$7:$AZ$696,報告入力!$A$7:$A$696,$S$262,報告入力!$B$7:$B$696,$A321)</f>
        <v>31116</v>
      </c>
      <c r="I321" s="115" t="n">
        <f aca="false">SUMIFS(報告入力!$BA$7:$BA$696,報告入力!$A$7:$A$696,$S$262,報告入力!$B$7:$B$696,$A321)</f>
        <v>31146</v>
      </c>
      <c r="J321" s="116" t="n">
        <f aca="false">SUM(H321:I321)</f>
        <v>62262</v>
      </c>
      <c r="K321" s="109" t="n">
        <f aca="false">SUMIFS(報告入力!$BB$7:$BB$696,報告入力!$A$7:$A$696,$S$262,報告入力!$B$7:$B$696,$A321)</f>
        <v>2370</v>
      </c>
      <c r="L321" s="115" t="n">
        <f aca="false">SUMIFS(報告入力!$BC$7:$BC$696,報告入力!$A$7:$A$696,$S$262,報告入力!$B$7:$B$696,$A321)</f>
        <v>2370</v>
      </c>
      <c r="M321" s="116" t="n">
        <f aca="false">SUM(K321:L321)</f>
        <v>4740</v>
      </c>
      <c r="N321" s="109" t="n">
        <f aca="false">SUMIFS(報告入力!$BD$7:$BD$696,報告入力!$A$7:$A$696,$S$262,報告入力!$B$7:$B$696,$A321)</f>
        <v>690</v>
      </c>
      <c r="O321" s="115" t="n">
        <f aca="false">SUMIFS(報告入力!$BE$7:$BE$696,報告入力!$A$7:$A$696,$S$262,報告入力!$B$7:$B$696,$A321)</f>
        <v>690</v>
      </c>
      <c r="P321" s="116" t="n">
        <f aca="false">SUM(N321:O321)</f>
        <v>1380</v>
      </c>
      <c r="Q321" s="110" t="str">
        <f aca="false">IF(P256=P321,"〇","×")</f>
        <v>×</v>
      </c>
      <c r="R321" s="110" t="str">
        <f aca="false">IFERROR(INDEX(報告入力!$C$7:$C$696,MATCH($S$262&amp;"|"&amp;$A321,報告入力!$CG$7:$CG$696,0)),"")</f>
        <v>入金確認済</v>
      </c>
    </row>
    <row r="322" s="110" customFormat="true" ht="20.1" hidden="false" customHeight="true" outlineLevel="0" collapsed="false">
      <c r="A322" s="192" t="s">
        <v>205</v>
      </c>
      <c r="B322" s="215"/>
      <c r="C322" s="212"/>
      <c r="D322" s="178"/>
      <c r="E322" s="182"/>
      <c r="F322" s="312"/>
      <c r="G322" s="181" t="n">
        <f aca="false">SUM(B322:F322)</f>
        <v>0</v>
      </c>
      <c r="H322" s="332"/>
      <c r="I322" s="333"/>
      <c r="J322" s="284" t="n">
        <f aca="false">SUM(H322:I322)</f>
        <v>0</v>
      </c>
      <c r="K322" s="334"/>
      <c r="L322" s="333"/>
      <c r="M322" s="284" t="n">
        <f aca="false">SUM(K322:L322)</f>
        <v>0</v>
      </c>
      <c r="N322" s="334"/>
      <c r="O322" s="333"/>
      <c r="P322" s="284" t="n">
        <f aca="false">SUM(N322:O322)</f>
        <v>0</v>
      </c>
      <c r="Q322" s="110" t="str">
        <f aca="false">IF(P257=P322,"〇","×")</f>
        <v>〇</v>
      </c>
      <c r="R322" s="110" t="str">
        <f aca="false">IFERROR(INDEX(報告入力!$C$7:$C$696,MATCH($S$262&amp;"|"&amp;$A322,報告入力!$CG$7:$CG$696,0)),"")</f>
        <v>報告なし</v>
      </c>
    </row>
    <row r="323" s="110" customFormat="true" ht="20.1" hidden="false" customHeight="true" outlineLevel="0" collapsed="false">
      <c r="A323" s="171" t="s">
        <v>383</v>
      </c>
      <c r="B323" s="172" t="n">
        <f aca="false">SUM(B319:B322)</f>
        <v>56730</v>
      </c>
      <c r="C323" s="176" t="n">
        <f aca="false">SUM(C319:C322)</f>
        <v>4650</v>
      </c>
      <c r="D323" s="172" t="n">
        <f aca="false">SUM(D319:D322)</f>
        <v>56730</v>
      </c>
      <c r="E323" s="174" t="n">
        <f aca="false">SUM(E319:E322)</f>
        <v>4650</v>
      </c>
      <c r="F323" s="175" t="n">
        <f aca="false">SUM(F319:F322)</f>
        <v>0</v>
      </c>
      <c r="G323" s="176" t="n">
        <f aca="false">SUM(B323:F323)</f>
        <v>122760</v>
      </c>
      <c r="H323" s="276" t="n">
        <f aca="false">SUM(H319:H322)</f>
        <v>47711</v>
      </c>
      <c r="I323" s="174" t="n">
        <f aca="false">SUM(I319:I322)</f>
        <v>46461</v>
      </c>
      <c r="J323" s="175" t="n">
        <f aca="false">SUM(H323:I323)</f>
        <v>94172</v>
      </c>
      <c r="K323" s="172" t="n">
        <f aca="false">SUM(K319:K322)</f>
        <v>4898</v>
      </c>
      <c r="L323" s="276" t="n">
        <f aca="false">SUM(L319:L322)</f>
        <v>4898</v>
      </c>
      <c r="M323" s="175" t="n">
        <f aca="false">SUM(K323:L323)</f>
        <v>9796</v>
      </c>
      <c r="N323" s="172" t="n">
        <f aca="false">SUM(N319:N322)</f>
        <v>1058</v>
      </c>
      <c r="O323" s="276" t="n">
        <f aca="false">SUM(O319:O322)</f>
        <v>1058</v>
      </c>
      <c r="P323" s="175" t="n">
        <f aca="false">SUM(N323:O323)</f>
        <v>2116</v>
      </c>
      <c r="Q323" s="110" t="str">
        <f aca="false">IF(P258=P323,"〇","×")</f>
        <v>×</v>
      </c>
    </row>
    <row r="324" s="110" customFormat="true" ht="20.1" hidden="false" customHeight="true" outlineLevel="0" collapsed="false">
      <c r="A324" s="277" t="s">
        <v>206</v>
      </c>
      <c r="B324" s="278"/>
      <c r="C324" s="279"/>
      <c r="D324" s="280"/>
      <c r="E324" s="281"/>
      <c r="F324" s="267"/>
      <c r="G324" s="268"/>
      <c r="H324" s="282" t="n">
        <f aca="false">SUMIFS(報告入力!$AZ$7:$AZ$696,報告入力!$A$7:$A$696,$S$262,報告入力!$B$7:$B$696,$A324)</f>
        <v>2297617</v>
      </c>
      <c r="I324" s="314"/>
      <c r="J324" s="284" t="n">
        <f aca="false">SUM(H324:I324)</f>
        <v>2297617</v>
      </c>
      <c r="K324" s="282" t="n">
        <f aca="false">SUMIFS(報告入力!$BB$7:$BB$696,報告入力!$A$7:$A$696,$S$262,報告入力!$B$7:$B$696,$A324)</f>
        <v>156680</v>
      </c>
      <c r="L324" s="314"/>
      <c r="M324" s="284" t="n">
        <f aca="false">SUM(K324:L324)</f>
        <v>156680</v>
      </c>
      <c r="N324" s="282" t="n">
        <f aca="false">SUMIFS(報告入力!$BD$7:$BD$696,報告入力!$A$7:$A$696,$S$262,報告入力!$B$7:$B$696,$A324)</f>
        <v>50945</v>
      </c>
      <c r="O324" s="314"/>
      <c r="P324" s="284" t="n">
        <f aca="false">SUM(N324:O324)</f>
        <v>50945</v>
      </c>
      <c r="Q324" s="110" t="str">
        <f aca="false">IF(P259=P324,"〇","×")</f>
        <v>×</v>
      </c>
      <c r="R324" s="110" t="str">
        <f aca="false">IFERROR(INDEX(報告入力!$C$7:$C$696,MATCH($S$262&amp;"|"&amp;$A324,報告入力!$CG$7:$CG$696,0)),"")</f>
        <v>受領済</v>
      </c>
    </row>
    <row r="325" s="110" customFormat="true" ht="30" hidden="false" customHeight="true" outlineLevel="0" collapsed="false">
      <c r="A325" s="285" t="s">
        <v>385</v>
      </c>
      <c r="B325" s="286" t="n">
        <f aca="false">SUM(+B282+B313+B318+B323+B324)</f>
        <v>498701078</v>
      </c>
      <c r="C325" s="287" t="n">
        <f aca="false">SUM(+C282+C313+C318+C323+C324)</f>
        <v>40879913</v>
      </c>
      <c r="D325" s="286" t="n">
        <f aca="false">SUM(+D282+D313+D318+D323+D324)</f>
        <v>724275822</v>
      </c>
      <c r="E325" s="288" t="n">
        <f aca="false">SUM(+E282+E313+E318+E323+E324)</f>
        <v>40851678</v>
      </c>
      <c r="F325" s="287" t="n">
        <f aca="false">SUM(+F282+F313+F318+F323+F324)</f>
        <v>491785</v>
      </c>
      <c r="G325" s="289" t="n">
        <f aca="false">SUM(B325:F325)</f>
        <v>1305200276</v>
      </c>
      <c r="H325" s="290" t="n">
        <f aca="false">SUM(+H282+H313+H318+H323+H324)</f>
        <v>358060395</v>
      </c>
      <c r="I325" s="290" t="n">
        <f aca="false">SUM(+I282+I313+I318+I323+I324)</f>
        <v>360215631</v>
      </c>
      <c r="J325" s="291" t="n">
        <f aca="false">SUM(H325:I325)</f>
        <v>718276026</v>
      </c>
      <c r="K325" s="292" t="n">
        <f aca="false">SUM(+K282+K313+K318+K323+K324)</f>
        <v>32095024</v>
      </c>
      <c r="L325" s="290" t="n">
        <f aca="false">SUM(+L282+L313+L318+L323+L324)</f>
        <v>31956293</v>
      </c>
      <c r="M325" s="291" t="n">
        <f aca="false">SUM(K325:L325)</f>
        <v>64051317</v>
      </c>
      <c r="N325" s="292" t="n">
        <f aca="false">SUM(+N282+N313+N318+N323+N324)</f>
        <v>7938327</v>
      </c>
      <c r="O325" s="290" t="n">
        <f aca="false">SUM(+O282+O313+O318+O323+O324)</f>
        <v>7884536</v>
      </c>
      <c r="P325" s="291" t="n">
        <f aca="false">SUM(N325:O325)</f>
        <v>15822863</v>
      </c>
      <c r="Q325" s="110" t="str">
        <f aca="false">IF(P260=P325,"〇","×")</f>
        <v>×</v>
      </c>
    </row>
    <row r="326" s="316" customFormat="true" ht="39" hidden="false" customHeight="true" outlineLevel="0" collapsed="false">
      <c r="A326" s="315"/>
      <c r="G326" s="84"/>
      <c r="Q326" s="316" t="str">
        <f aca="false">IF(P261=P326,"〇","×")</f>
        <v>〇</v>
      </c>
    </row>
    <row r="327" s="297" customFormat="true" ht="30" hidden="false" customHeight="true" outlineLevel="0" collapsed="false">
      <c r="A327" s="295"/>
      <c r="B327" s="87" t="n">
        <f aca="false">EOMONTH(B262,1)</f>
        <v>46265</v>
      </c>
      <c r="C327" s="87"/>
      <c r="D327" s="87"/>
      <c r="E327" s="87"/>
      <c r="F327" s="87"/>
      <c r="G327" s="87"/>
      <c r="H327" s="87" t="n">
        <f aca="false">B327</f>
        <v>46265</v>
      </c>
      <c r="I327" s="87"/>
      <c r="J327" s="87"/>
      <c r="K327" s="87" t="n">
        <f aca="false">H327</f>
        <v>46265</v>
      </c>
      <c r="L327" s="87"/>
      <c r="M327" s="87"/>
      <c r="N327" s="87" t="n">
        <f aca="false">K327</f>
        <v>46265</v>
      </c>
      <c r="O327" s="87"/>
      <c r="P327" s="87"/>
      <c r="Q327" s="297" t="str">
        <f aca="false">IF(P262=P327,"〇","×")</f>
        <v>〇</v>
      </c>
      <c r="S327" s="297" t="s">
        <v>391</v>
      </c>
    </row>
    <row r="328" customFormat="false" ht="22.5" hidden="false" customHeight="true" outlineLevel="0" collapsed="false">
      <c r="A328" s="89" t="s">
        <v>369</v>
      </c>
      <c r="B328" s="89" t="s">
        <v>370</v>
      </c>
      <c r="C328" s="89"/>
      <c r="D328" s="89"/>
      <c r="E328" s="89"/>
      <c r="F328" s="89"/>
      <c r="G328" s="89"/>
      <c r="H328" s="91" t="s">
        <v>371</v>
      </c>
      <c r="I328" s="91"/>
      <c r="J328" s="91"/>
      <c r="K328" s="91" t="s">
        <v>372</v>
      </c>
      <c r="L328" s="91"/>
      <c r="M328" s="91"/>
      <c r="N328" s="91" t="str">
        <f aca="false">$N$3</f>
        <v>子ども・子育て支援納付金</v>
      </c>
      <c r="O328" s="91"/>
      <c r="P328" s="91"/>
      <c r="Q328" s="80" t="str">
        <f aca="false">IF(P263=P328,"〇","×")</f>
        <v>〇</v>
      </c>
    </row>
    <row r="329" customFormat="false" ht="22.5" hidden="false" customHeight="true" outlineLevel="0" collapsed="false">
      <c r="A329" s="89"/>
      <c r="B329" s="92" t="s">
        <v>373</v>
      </c>
      <c r="C329" s="92"/>
      <c r="D329" s="92" t="s">
        <v>374</v>
      </c>
      <c r="E329" s="92"/>
      <c r="F329" s="92"/>
      <c r="G329" s="92" t="s">
        <v>375</v>
      </c>
      <c r="H329" s="96" t="s">
        <v>376</v>
      </c>
      <c r="I329" s="94" t="s">
        <v>377</v>
      </c>
      <c r="J329" s="95" t="s">
        <v>375</v>
      </c>
      <c r="K329" s="96" t="s">
        <v>376</v>
      </c>
      <c r="L329" s="94" t="s">
        <v>377</v>
      </c>
      <c r="M329" s="95" t="s">
        <v>375</v>
      </c>
      <c r="N329" s="96" t="s">
        <v>376</v>
      </c>
      <c r="O329" s="94" t="s">
        <v>377</v>
      </c>
      <c r="P329" s="95" t="s">
        <v>375</v>
      </c>
      <c r="Q329" s="80" t="str">
        <f aca="false">IF(P264=P329,"〇","×")</f>
        <v>〇</v>
      </c>
    </row>
    <row r="330" customFormat="false" ht="22.5" hidden="false" customHeight="true" outlineLevel="0" collapsed="false">
      <c r="A330" s="89"/>
      <c r="B330" s="97" t="s">
        <v>378</v>
      </c>
      <c r="C330" s="98" t="s">
        <v>379</v>
      </c>
      <c r="D330" s="99" t="s">
        <v>378</v>
      </c>
      <c r="E330" s="99" t="s">
        <v>380</v>
      </c>
      <c r="F330" s="98" t="s">
        <v>85</v>
      </c>
      <c r="G330" s="92"/>
      <c r="H330" s="96"/>
      <c r="I330" s="94"/>
      <c r="J330" s="95"/>
      <c r="K330" s="96"/>
      <c r="L330" s="94"/>
      <c r="M330" s="95"/>
      <c r="N330" s="96"/>
      <c r="O330" s="94"/>
      <c r="P330" s="95"/>
      <c r="Q330" s="80" t="str">
        <f aca="false">IF(P265=P330,"〇","×")</f>
        <v>〇</v>
      </c>
    </row>
    <row r="331" s="110" customFormat="true" ht="20.1" hidden="false" customHeight="true" outlineLevel="0" collapsed="false">
      <c r="A331" s="100" t="s">
        <v>158</v>
      </c>
      <c r="B331" s="117" t="n">
        <f aca="false">SUMIFS(報告入力!$AU$7:$AU$696,報告入力!$A$7:$A$696,$S$327,報告入力!$B$7:$B$696,$A331)</f>
        <v>240011361</v>
      </c>
      <c r="C331" s="113" t="n">
        <f aca="false">SUMIFS(報告入力!$AV$7:$AV$696,報告入力!$A$7:$A$696,$S$327,報告入力!$B$7:$B$696,$A331)</f>
        <v>19665696</v>
      </c>
      <c r="D331" s="111" t="n">
        <f aca="false">SUMIFS(報告入力!$AW$7:$AW$696,報告入力!$A$7:$A$696,$S$327,報告入力!$B$7:$B$696,$A331)</f>
        <v>344490798</v>
      </c>
      <c r="E331" s="114" t="n">
        <f aca="false">SUMIFS(報告入力!$AX$7:$AX$696,報告入力!$A$7:$A$696,$S$327,報告入力!$B$7:$B$696,$A331)</f>
        <v>19152698</v>
      </c>
      <c r="F331" s="113" t="n">
        <f aca="false">SUMIFS(報告入力!$AY$7:$AY$696,報告入力!$A$7:$A$696,$S$327,報告入力!$B$7:$B$696,$A331)</f>
        <v>232681</v>
      </c>
      <c r="G331" s="108" t="n">
        <f aca="false">SUM(B331:F331)</f>
        <v>623553234</v>
      </c>
      <c r="H331" s="114" t="n">
        <f aca="false">SUMIFS(報告入力!$AZ$7:$AZ$696,報告入力!$A$7:$A$696,$S$327,報告入力!$B$7:$B$696,$A331)</f>
        <v>174300356</v>
      </c>
      <c r="I331" s="205" t="n">
        <f aca="false">SUMIFS(報告入力!$BA$7:$BA$696,報告入力!$A$7:$A$696,$S$327,報告入力!$B$7:$B$696,$A331)</f>
        <v>173680228</v>
      </c>
      <c r="J331" s="108" t="n">
        <f aca="false">SUM(H331:I331)</f>
        <v>347980584</v>
      </c>
      <c r="K331" s="114" t="n">
        <f aca="false">SUMIFS(報告入力!$BB$7:$BB$696,報告入力!$A$7:$A$696,$S$327,報告入力!$B$7:$B$696,$A331)</f>
        <v>16027547</v>
      </c>
      <c r="L331" s="205" t="n">
        <f aca="false">SUMIFS(報告入力!$BC$7:$BC$696,報告入力!$A$7:$A$696,$S$327,報告入力!$B$7:$B$696,$A331)</f>
        <v>15616952</v>
      </c>
      <c r="M331" s="108" t="n">
        <f aca="false">SUM(K331:L331)</f>
        <v>31644499</v>
      </c>
      <c r="N331" s="205" t="n">
        <f aca="false">SUMIFS(報告入力!$BD$7:$BD$696,報告入力!$A$7:$A$696,$S$327,報告入力!$B$7:$B$696,$A331)</f>
        <v>3863510</v>
      </c>
      <c r="O331" s="205" t="n">
        <f aca="false">SUMIFS(報告入力!$BE$7:$BE$696,報告入力!$A$7:$A$696,$S$327,報告入力!$B$7:$B$696,$A331)</f>
        <v>3783419</v>
      </c>
      <c r="P331" s="108" t="n">
        <f aca="false">SUM(N331:O331)</f>
        <v>7646929</v>
      </c>
      <c r="Q331" s="110" t="str">
        <f aca="false">IF(P266=P331,"〇","×")</f>
        <v>×</v>
      </c>
      <c r="R331" s="110" t="str">
        <f aca="false">IFERROR(INDEX(報告入力!$C$7:$C$696,MATCH($S$327&amp;"|"&amp;$A331,報告入力!$CG$7:$CG$696,0)),"")</f>
        <v>入金確認済</v>
      </c>
    </row>
    <row r="332" s="110" customFormat="true" ht="20.1" hidden="false" customHeight="true" outlineLevel="0" collapsed="false">
      <c r="A332" s="100" t="s">
        <v>161</v>
      </c>
      <c r="B332" s="117" t="n">
        <f aca="false">SUMIFS(報告入力!$AU$7:$AU$696,報告入力!$A$7:$A$696,$S$327,報告入力!$B$7:$B$696,$A332)</f>
        <v>16588035</v>
      </c>
      <c r="C332" s="113" t="n">
        <f aca="false">SUMIFS(報告入力!$AV$7:$AV$696,報告入力!$A$7:$A$696,$S$327,報告入力!$B$7:$B$696,$A332)</f>
        <v>1359675</v>
      </c>
      <c r="D332" s="111" t="n">
        <f aca="false">SUMIFS(報告入力!$AW$7:$AW$696,報告入力!$A$7:$A$696,$S$327,報告入力!$B$7:$B$696,$A332)</f>
        <v>23873287</v>
      </c>
      <c r="E332" s="114" t="n">
        <f aca="false">SUMIFS(報告入力!$AX$7:$AX$696,報告入力!$A$7:$A$696,$S$327,報告入力!$B$7:$B$696,$A332)</f>
        <v>1356600</v>
      </c>
      <c r="F332" s="113" t="n">
        <f aca="false">SUMIFS(報告入力!$AY$7:$AY$696,報告入力!$A$7:$A$696,$S$327,報告入力!$B$7:$B$696,$A332)</f>
        <v>15939</v>
      </c>
      <c r="G332" s="108" t="n">
        <f aca="false">SUM(B332:F332)</f>
        <v>43193536</v>
      </c>
      <c r="H332" s="114" t="n">
        <f aca="false">SUMIFS(報告入力!$AZ$7:$AZ$696,報告入力!$A$7:$A$696,$S$327,報告入力!$B$7:$B$696,$A332)</f>
        <v>9727752</v>
      </c>
      <c r="I332" s="205" t="n">
        <f aca="false">SUMIFS(報告入力!$BA$7:$BA$696,報告入力!$A$7:$A$696,$S$327,報告入力!$B$7:$B$696,$A332)</f>
        <v>9871456</v>
      </c>
      <c r="J332" s="108" t="n">
        <f aca="false">SUM(H332:I332)</f>
        <v>19599208</v>
      </c>
      <c r="K332" s="114" t="n">
        <f aca="false">SUMIFS(報告入力!$BB$7:$BB$696,報告入力!$A$7:$A$696,$S$327,報告入力!$B$7:$B$696,$A332)</f>
        <v>1036431</v>
      </c>
      <c r="L332" s="205" t="n">
        <f aca="false">SUMIFS(報告入力!$BC$7:$BC$696,報告入力!$A$7:$A$696,$S$327,報告入力!$B$7:$B$696,$A332)</f>
        <v>1036430</v>
      </c>
      <c r="M332" s="108" t="n">
        <f aca="false">SUM(K332:L332)</f>
        <v>2072861</v>
      </c>
      <c r="N332" s="205" t="n">
        <f aca="false">SUMIFS(報告入力!$BD$7:$BD$696,報告入力!$A$7:$A$696,$S$327,報告入力!$B$7:$B$696,$A332)</f>
        <v>215631</v>
      </c>
      <c r="O332" s="205" t="n">
        <f aca="false">SUMIFS(報告入力!$BE$7:$BE$696,報告入力!$A$7:$A$696,$S$327,報告入力!$B$7:$B$696,$A332)</f>
        <v>215235</v>
      </c>
      <c r="P332" s="108" t="n">
        <f aca="false">SUM(N332:O332)</f>
        <v>430866</v>
      </c>
      <c r="Q332" s="110" t="str">
        <f aca="false">IF(P267=P332,"〇","×")</f>
        <v>×</v>
      </c>
      <c r="R332" s="110" t="str">
        <f aca="false">IFERROR(INDEX(報告入力!$C$7:$C$696,MATCH($S$327&amp;"|"&amp;$A332,報告入力!$CG$7:$CG$696,0)),"")</f>
        <v>入金確認済</v>
      </c>
    </row>
    <row r="333" s="110" customFormat="true" ht="20.1" hidden="false" customHeight="true" outlineLevel="0" collapsed="false">
      <c r="A333" s="100" t="s">
        <v>162</v>
      </c>
      <c r="B333" s="117" t="n">
        <f aca="false">SUMIFS(報告入力!$AU$7:$AU$696,報告入力!$A$7:$A$696,$S$327,報告入力!$B$7:$B$696,$A333)</f>
        <v>55235805</v>
      </c>
      <c r="C333" s="113" t="n">
        <f aca="false">SUMIFS(報告入力!$AV$7:$AV$696,報告入力!$A$7:$A$696,$S$327,報告入力!$B$7:$B$696,$A333)</f>
        <v>4527525</v>
      </c>
      <c r="D333" s="111" t="n">
        <f aca="false">SUMIFS(報告入力!$AW$7:$AW$696,報告入力!$A$7:$A$696,$S$327,報告入力!$B$7:$B$696,$A333)</f>
        <v>79571664</v>
      </c>
      <c r="E333" s="114" t="n">
        <f aca="false">SUMIFS(報告入力!$AX$7:$AX$696,報告入力!$A$7:$A$696,$S$327,報告入力!$B$7:$B$696,$A333)</f>
        <v>4511700</v>
      </c>
      <c r="F333" s="113" t="n">
        <f aca="false">SUMIFS(報告入力!$AY$7:$AY$696,報告入力!$A$7:$A$696,$S$327,報告入力!$B$7:$B$696,$A333)</f>
        <v>53136</v>
      </c>
      <c r="G333" s="108" t="n">
        <f aca="false">SUM(B333:F333)</f>
        <v>143899830</v>
      </c>
      <c r="H333" s="114" t="n">
        <f aca="false">SUMIFS(報告入力!$AZ$7:$AZ$696,報告入力!$A$7:$A$696,$S$327,報告入力!$B$7:$B$696,$A333)</f>
        <v>31992417</v>
      </c>
      <c r="I333" s="205" t="n">
        <f aca="false">SUMIFS(報告入力!$BA$7:$BA$696,報告入力!$A$7:$A$696,$S$327,報告入力!$B$7:$B$696,$A333)</f>
        <v>32430032</v>
      </c>
      <c r="J333" s="108" t="n">
        <f aca="false">SUM(H333:I333)</f>
        <v>64422449</v>
      </c>
      <c r="K333" s="114" t="n">
        <f aca="false">SUMIFS(報告入力!$BB$7:$BB$696,報告入力!$A$7:$A$696,$S$327,報告入力!$B$7:$B$696,$A333)</f>
        <v>2081981</v>
      </c>
      <c r="L333" s="205" t="n">
        <f aca="false">SUMIFS(報告入力!$BC$7:$BC$696,報告入力!$A$7:$A$696,$S$327,報告入力!$B$7:$B$696,$A333)</f>
        <v>2069025</v>
      </c>
      <c r="M333" s="108" t="n">
        <f aca="false">SUM(K333:L333)</f>
        <v>4151006</v>
      </c>
      <c r="N333" s="205" t="n">
        <f aca="false">SUMIFS(報告入力!$BD$7:$BD$696,報告入力!$A$7:$A$696,$S$327,報告入力!$B$7:$B$696,$A333)</f>
        <v>709180</v>
      </c>
      <c r="O333" s="205" t="n">
        <f aca="false">SUMIFS(報告入力!$BE$7:$BE$696,報告入力!$A$7:$A$696,$S$327,報告入力!$B$7:$B$696,$A333)</f>
        <v>707025</v>
      </c>
      <c r="P333" s="108" t="n">
        <f aca="false">SUM(N333:O333)</f>
        <v>1416205</v>
      </c>
      <c r="Q333" s="110" t="str">
        <f aca="false">IF(P268=P333,"〇","×")</f>
        <v>×</v>
      </c>
      <c r="R333" s="110" t="str">
        <f aca="false">IFERROR(INDEX(報告入力!$C$7:$C$696,MATCH($S$327&amp;"|"&amp;$A333,報告入力!$CG$7:$CG$696,0)),"")</f>
        <v>入金確認済</v>
      </c>
    </row>
    <row r="334" s="110" customFormat="true" ht="20.1" hidden="false" customHeight="true" outlineLevel="0" collapsed="false">
      <c r="A334" s="100" t="s">
        <v>163</v>
      </c>
      <c r="B334" s="117" t="n">
        <f aca="false">SUMIFS(報告入力!$AU$7:$AU$696,報告入力!$A$7:$A$696,$S$327,報告入力!$B$7:$B$696,$A334)</f>
        <v>1820850</v>
      </c>
      <c r="C334" s="113" t="n">
        <f aca="false">SUMIFS(報告入力!$AV$7:$AV$696,報告入力!$A$7:$A$696,$S$327,報告入力!$B$7:$B$696,$A334)</f>
        <v>149250</v>
      </c>
      <c r="D334" s="111" t="n">
        <f aca="false">SUMIFS(報告入力!$AW$7:$AW$696,報告入力!$A$7:$A$696,$S$327,報告入力!$B$7:$B$696,$A334)</f>
        <v>2624436</v>
      </c>
      <c r="E334" s="114" t="n">
        <f aca="false">SUMIFS(報告入力!$AX$7:$AX$696,報告入力!$A$7:$A$696,$S$327,報告入力!$B$7:$B$696,$A334)</f>
        <v>149250</v>
      </c>
      <c r="F334" s="113" t="n">
        <f aca="false">SUMIFS(報告入力!$AY$7:$AY$696,報告入力!$A$7:$A$696,$S$327,報告入力!$B$7:$B$696,$A334)</f>
        <v>1750</v>
      </c>
      <c r="G334" s="108" t="n">
        <f aca="false">SUM(B334:F334)</f>
        <v>4745536</v>
      </c>
      <c r="H334" s="117" t="n">
        <f aca="false">SUMIFS(報告入力!$AZ$7:$AZ$696,報告入力!$A$7:$A$696,$S$327,報告入力!$B$7:$B$696,$A334)</f>
        <v>1038220</v>
      </c>
      <c r="I334" s="205" t="n">
        <f aca="false">SUMIFS(報告入力!$BA$7:$BA$696,報告入力!$A$7:$A$696,$S$327,報告入力!$B$7:$B$696,$A334)</f>
        <v>1055863</v>
      </c>
      <c r="J334" s="108" t="n">
        <f aca="false">SUM(H334:I334)</f>
        <v>2094083</v>
      </c>
      <c r="K334" s="117" t="n">
        <f aca="false">SUMIFS(報告入力!$BB$7:$BB$696,報告入力!$A$7:$A$696,$S$327,報告入力!$B$7:$B$696,$A334)</f>
        <v>103885</v>
      </c>
      <c r="L334" s="205" t="n">
        <f aca="false">SUMIFS(報告入力!$BC$7:$BC$696,報告入力!$A$7:$A$696,$S$327,報告入力!$B$7:$B$696,$A334)</f>
        <v>103885</v>
      </c>
      <c r="M334" s="108" t="n">
        <f aca="false">SUM(K334:L334)</f>
        <v>207770</v>
      </c>
      <c r="N334" s="205" t="n">
        <f aca="false">SUMIFS(報告入力!$BD$7:$BD$696,報告入力!$A$7:$A$696,$S$327,報告入力!$B$7:$B$696,$A334)</f>
        <v>23014</v>
      </c>
      <c r="O334" s="205" t="n">
        <f aca="false">SUMIFS(報告入力!$BE$7:$BE$696,報告入力!$A$7:$A$696,$S$327,報告入力!$B$7:$B$696,$A334)</f>
        <v>23023</v>
      </c>
      <c r="P334" s="108" t="n">
        <f aca="false">SUM(N334:O334)</f>
        <v>46037</v>
      </c>
      <c r="Q334" s="110" t="str">
        <f aca="false">IF(P269=P334,"〇","×")</f>
        <v>×</v>
      </c>
      <c r="R334" s="110" t="str">
        <f aca="false">IFERROR(INDEX(報告入力!$C$7:$C$696,MATCH($S$327&amp;"|"&amp;$A334,報告入力!$CG$7:$CG$696,0)),"")</f>
        <v>入金確認済</v>
      </c>
    </row>
    <row r="335" s="110" customFormat="true" ht="20.1" hidden="false" customHeight="true" outlineLevel="0" collapsed="false">
      <c r="A335" s="100" t="s">
        <v>164</v>
      </c>
      <c r="B335" s="117" t="n">
        <f aca="false">SUMIFS(報告入力!$AU$7:$AU$696,報告入力!$A$7:$A$696,$S$327,報告入力!$B$7:$B$696,$A335)</f>
        <v>24341928</v>
      </c>
      <c r="C335" s="113" t="n">
        <f aca="false">SUMIFS(報告入力!$AV$7:$AV$696,報告入力!$A$7:$A$696,$S$327,報告入力!$B$7:$B$696,$A335)</f>
        <v>1995240</v>
      </c>
      <c r="D335" s="111" t="n">
        <f aca="false">SUMIFS(報告入力!$AW$7:$AW$696,報告入力!$A$7:$A$696,$S$327,報告入力!$B$7:$B$696,$A335)</f>
        <v>35033612</v>
      </c>
      <c r="E335" s="114" t="n">
        <f aca="false">SUMIFS(報告入力!$AX$7:$AX$696,報告入力!$A$7:$A$696,$S$327,報告入力!$B$7:$B$696,$A335)</f>
        <v>1995240</v>
      </c>
      <c r="F335" s="113" t="n">
        <f aca="false">SUMIFS(報告入力!$AY$7:$AY$696,報告入力!$A$7:$A$696,$S$327,報告入力!$B$7:$B$696,$A335)</f>
        <v>23280</v>
      </c>
      <c r="G335" s="108" t="n">
        <f aca="false">SUM(B335:F335)</f>
        <v>63389300</v>
      </c>
      <c r="H335" s="114" t="n">
        <f aca="false">SUMIFS(報告入力!$AZ$7:$AZ$696,報告入力!$A$7:$A$696,$S$327,報告入力!$B$7:$B$696,$A335)</f>
        <v>23861925</v>
      </c>
      <c r="I335" s="205" t="n">
        <f aca="false">SUMIFS(報告入力!$BA$7:$BA$696,報告入力!$A$7:$A$696,$S$327,報告入力!$B$7:$B$696,$A335)</f>
        <v>24258573</v>
      </c>
      <c r="J335" s="108" t="n">
        <f aca="false">SUM(H335:I335)</f>
        <v>48120498</v>
      </c>
      <c r="K335" s="114" t="n">
        <f aca="false">SUMIFS(報告入力!$BB$7:$BB$696,報告入力!$A$7:$A$696,$S$327,報告入力!$B$7:$B$696,$A335)</f>
        <v>2786882</v>
      </c>
      <c r="L335" s="205" t="n">
        <f aca="false">SUMIFS(報告入力!$BC$7:$BC$696,報告入力!$A$7:$A$696,$S$327,報告入力!$B$7:$B$696,$A335)</f>
        <v>2788577</v>
      </c>
      <c r="M335" s="108" t="n">
        <f aca="false">SUM(K335:L335)</f>
        <v>5575459</v>
      </c>
      <c r="N335" s="205" t="n">
        <f aca="false">SUMIFS(報告入力!$BD$7:$BD$696,報告入力!$A$7:$A$696,$S$327,報告入力!$B$7:$B$696,$A335)</f>
        <v>528582</v>
      </c>
      <c r="O335" s="205" t="n">
        <f aca="false">SUMIFS(報告入力!$BE$7:$BE$696,報告入力!$A$7:$A$696,$S$327,報告入力!$B$7:$B$696,$A335)</f>
        <v>528695</v>
      </c>
      <c r="P335" s="108" t="n">
        <f aca="false">SUM(N335:O335)</f>
        <v>1057277</v>
      </c>
      <c r="Q335" s="110" t="str">
        <f aca="false">IF(P270=P335,"〇","×")</f>
        <v>×</v>
      </c>
      <c r="R335" s="110" t="str">
        <f aca="false">IFERROR(INDEX(報告入力!$C$7:$C$696,MATCH($S$327&amp;"|"&amp;$A335,報告入力!$CG$7:$CG$696,0)),"")</f>
        <v>入金確認済</v>
      </c>
    </row>
    <row r="336" s="110" customFormat="true" ht="20.1" hidden="false" customHeight="true" outlineLevel="0" collapsed="false">
      <c r="A336" s="100" t="s">
        <v>165</v>
      </c>
      <c r="B336" s="117" t="n">
        <f aca="false">SUMIFS(報告入力!$AU$7:$AU$696,報告入力!$A$7:$A$696,$S$327,報告入力!$B$7:$B$696,$A336)</f>
        <v>269925</v>
      </c>
      <c r="C336" s="113" t="n">
        <f aca="false">SUMIFS(報告入力!$AV$7:$AV$696,報告入力!$A$7:$A$696,$S$327,報告入力!$B$7:$B$696,$A336)</f>
        <v>22125</v>
      </c>
      <c r="D336" s="111" t="n">
        <f aca="false">SUMIFS(報告入力!$AW$7:$AW$696,報告入力!$A$7:$A$696,$S$327,報告入力!$B$7:$B$696,$A336)</f>
        <v>387630</v>
      </c>
      <c r="E336" s="114" t="n">
        <f aca="false">SUMIFS(報告入力!$AX$7:$AX$696,報告入力!$A$7:$A$696,$S$327,報告入力!$B$7:$B$696,$A336)</f>
        <v>22125</v>
      </c>
      <c r="F336" s="113" t="n">
        <f aca="false">SUMIFS(報告入力!$AY$7:$AY$696,報告入力!$A$7:$A$696,$S$327,報告入力!$B$7:$B$696,$A336)</f>
        <v>256</v>
      </c>
      <c r="G336" s="108" t="n">
        <f aca="false">SUM(B336:F336)</f>
        <v>702061</v>
      </c>
      <c r="H336" s="114" t="n">
        <f aca="false">SUMIFS(報告入力!$AZ$7:$AZ$696,報告入力!$A$7:$A$696,$S$327,報告入力!$B$7:$B$696,$A336)</f>
        <v>173210</v>
      </c>
      <c r="I336" s="205" t="n">
        <f aca="false">SUMIFS(報告入力!$BA$7:$BA$696,報告入力!$A$7:$A$696,$S$327,報告入力!$B$7:$B$696,$A336)</f>
        <v>176117</v>
      </c>
      <c r="J336" s="108" t="n">
        <f aca="false">SUM(H336:I336)</f>
        <v>349327</v>
      </c>
      <c r="K336" s="114" t="n">
        <f aca="false">SUMIFS(報告入力!$BB$7:$BB$696,報告入力!$A$7:$A$696,$S$327,報告入力!$B$7:$B$696,$A336)</f>
        <v>15800</v>
      </c>
      <c r="L336" s="205" t="n">
        <f aca="false">SUMIFS(報告入力!$BC$7:$BC$696,報告入力!$A$7:$A$696,$S$327,報告入力!$B$7:$B$696,$A336)</f>
        <v>15800</v>
      </c>
      <c r="M336" s="108" t="n">
        <f aca="false">SUM(K336:L336)</f>
        <v>31600</v>
      </c>
      <c r="N336" s="205" t="n">
        <f aca="false">SUMIFS(報告入力!$BD$7:$BD$696,報告入力!$A$7:$A$696,$S$327,報告入力!$B$7:$B$696,$A336)</f>
        <v>3839</v>
      </c>
      <c r="O336" s="205" t="n">
        <f aca="false">SUMIFS(報告入力!$BE$7:$BE$696,報告入力!$A$7:$A$696,$S$327,報告入力!$B$7:$B$696,$A336)</f>
        <v>3840</v>
      </c>
      <c r="P336" s="108" t="n">
        <f aca="false">SUM(N336:O336)</f>
        <v>7679</v>
      </c>
      <c r="Q336" s="110" t="str">
        <f aca="false">IF(P271=P336,"〇","×")</f>
        <v>〇</v>
      </c>
      <c r="R336" s="110" t="str">
        <f aca="false">IFERROR(INDEX(報告入力!$C$7:$C$696,MATCH($S$327&amp;"|"&amp;$A336,報告入力!$CG$7:$CG$696,0)),"")</f>
        <v>入金確認済</v>
      </c>
    </row>
    <row r="337" s="110" customFormat="true" ht="20.1" hidden="false" customHeight="true" outlineLevel="0" collapsed="false">
      <c r="A337" s="100" t="s">
        <v>166</v>
      </c>
      <c r="B337" s="117" t="n">
        <f aca="false">SUMIFS(報告入力!$AU$7:$AU$696,報告入力!$A$7:$A$696,$S$327,報告入力!$B$7:$B$696,$A337)</f>
        <v>618540</v>
      </c>
      <c r="C337" s="113" t="n">
        <f aca="false">SUMIFS(報告入力!$AV$7:$AV$696,報告入力!$A$7:$A$696,$S$327,報告入力!$B$7:$B$696,$A337)</f>
        <v>50700</v>
      </c>
      <c r="D337" s="111" t="n">
        <f aca="false">SUMIFS(報告入力!$AW$7:$AW$696,報告入力!$A$7:$A$696,$S$327,報告入力!$B$7:$B$696,$A337)</f>
        <v>888264</v>
      </c>
      <c r="E337" s="114" t="n">
        <f aca="false">SUMIFS(報告入力!$AX$7:$AX$696,報告入力!$A$7:$A$696,$S$327,報告入力!$B$7:$B$696,$A337)</f>
        <v>50700</v>
      </c>
      <c r="F337" s="113" t="n">
        <f aca="false">SUMIFS(報告入力!$AY$7:$AY$696,報告入力!$A$7:$A$696,$S$327,報告入力!$B$7:$B$696,$A337)</f>
        <v>587</v>
      </c>
      <c r="G337" s="108" t="n">
        <f aca="false">SUM(B337:F337)</f>
        <v>1608791</v>
      </c>
      <c r="H337" s="114" t="n">
        <f aca="false">SUMIFS(報告入力!$AZ$7:$AZ$696,報告入力!$A$7:$A$696,$S$327,報告入力!$B$7:$B$696,$A337)</f>
        <v>364051</v>
      </c>
      <c r="I337" s="205" t="n">
        <f aca="false">SUMIFS(報告入力!$BA$7:$BA$696,報告入力!$A$7:$A$696,$S$327,報告入力!$B$7:$B$696,$A337)</f>
        <v>370163</v>
      </c>
      <c r="J337" s="108" t="n">
        <f aca="false">SUM(H337:I337)</f>
        <v>734214</v>
      </c>
      <c r="K337" s="114" t="n">
        <f aca="false">SUMIFS(報告入力!$BB$7:$BB$696,報告入力!$A$7:$A$696,$S$327,報告入力!$B$7:$B$696,$A337)</f>
        <v>30257</v>
      </c>
      <c r="L337" s="205" t="n">
        <f aca="false">SUMIFS(報告入力!$BC$7:$BC$696,報告入力!$A$7:$A$696,$S$327,報告入力!$B$7:$B$696,$A337)</f>
        <v>30257</v>
      </c>
      <c r="M337" s="108" t="n">
        <f aca="false">SUM(K337:L337)</f>
        <v>60514</v>
      </c>
      <c r="N337" s="205" t="n">
        <f aca="false">SUMIFS(報告入力!$BD$7:$BD$696,報告入力!$A$7:$A$696,$S$327,報告入力!$B$7:$B$696,$A337)</f>
        <v>8070</v>
      </c>
      <c r="O337" s="205" t="n">
        <f aca="false">SUMIFS(報告入力!$BE$7:$BE$696,報告入力!$A$7:$A$696,$S$327,報告入力!$B$7:$B$696,$A337)</f>
        <v>8073</v>
      </c>
      <c r="P337" s="108" t="n">
        <f aca="false">SUM(N337:O337)</f>
        <v>16143</v>
      </c>
      <c r="Q337" s="110" t="str">
        <f aca="false">IF(P272=P337,"〇","×")</f>
        <v>〇</v>
      </c>
      <c r="R337" s="110" t="str">
        <f aca="false">IFERROR(INDEX(報告入力!$C$7:$C$696,MATCH($S$327&amp;"|"&amp;$A337,報告入力!$CG$7:$CG$696,0)),"")</f>
        <v>入金確認済</v>
      </c>
    </row>
    <row r="338" s="110" customFormat="true" ht="20.1" hidden="false" customHeight="true" outlineLevel="0" collapsed="false">
      <c r="A338" s="100" t="s">
        <v>167</v>
      </c>
      <c r="B338" s="117" t="n">
        <f aca="false">SUMIFS(報告入力!$AU$7:$AU$696,報告入力!$A$7:$A$696,$S$327,報告入力!$B$7:$B$696,$A338)</f>
        <v>1317600</v>
      </c>
      <c r="C338" s="113" t="n">
        <f aca="false">SUMIFS(報告入力!$AV$7:$AV$696,報告入力!$A$7:$A$696,$S$327,報告入力!$B$7:$B$696,$A338)</f>
        <v>108000</v>
      </c>
      <c r="D338" s="111" t="n">
        <f aca="false">SUMIFS(報告入力!$AW$7:$AW$696,報告入力!$A$7:$A$696,$S$327,報告入力!$B$7:$B$696,$A338)</f>
        <v>1903332</v>
      </c>
      <c r="E338" s="114" t="n">
        <f aca="false">SUMIFS(報告入力!$AX$7:$AX$696,報告入力!$A$7:$A$696,$S$327,報告入力!$B$7:$B$696,$A338)</f>
        <v>108000</v>
      </c>
      <c r="F338" s="113" t="n">
        <f aca="false">SUMIFS(報告入力!$AY$7:$AY$696,報告入力!$A$7:$A$696,$S$327,報告入力!$B$7:$B$696,$A338)</f>
        <v>1275</v>
      </c>
      <c r="G338" s="108" t="n">
        <f aca="false">SUM(B338:F338)</f>
        <v>3438207</v>
      </c>
      <c r="H338" s="114" t="n">
        <f aca="false">SUMIFS(報告入力!$AZ$7:$AZ$696,報告入力!$A$7:$A$696,$S$327,報告入力!$B$7:$B$696,$A338)</f>
        <v>766995</v>
      </c>
      <c r="I338" s="205" t="n">
        <f aca="false">SUMIFS(報告入力!$BA$7:$BA$696,報告入力!$A$7:$A$696,$S$327,報告入力!$B$7:$B$696,$A338)</f>
        <v>780119</v>
      </c>
      <c r="J338" s="108" t="n">
        <f aca="false">SUM(H338:I338)</f>
        <v>1547114</v>
      </c>
      <c r="K338" s="114" t="n">
        <f aca="false">SUMIFS(報告入力!$BB$7:$BB$696,報告入力!$A$7:$A$696,$S$327,報告入力!$B$7:$B$696,$A338)</f>
        <v>107914</v>
      </c>
      <c r="L338" s="205" t="n">
        <f aca="false">SUMIFS(報告入力!$BC$7:$BC$696,報告入力!$A$7:$A$696,$S$327,報告入力!$B$7:$B$696,$A338)</f>
        <v>107914</v>
      </c>
      <c r="M338" s="108" t="n">
        <f aca="false">SUM(K338:L338)</f>
        <v>215828</v>
      </c>
      <c r="N338" s="205" t="n">
        <f aca="false">SUMIFS(報告入力!$BD$7:$BD$696,報告入力!$A$7:$A$696,$S$327,報告入力!$B$7:$B$696,$A338)</f>
        <v>17000</v>
      </c>
      <c r="O338" s="205" t="n">
        <f aca="false">SUMIFS(報告入力!$BE$7:$BE$696,報告入力!$A$7:$A$696,$S$327,報告入力!$B$7:$B$696,$A338)</f>
        <v>17007</v>
      </c>
      <c r="P338" s="108" t="n">
        <f aca="false">SUM(N338:O338)</f>
        <v>34007</v>
      </c>
      <c r="Q338" s="110" t="str">
        <f aca="false">IF(P273=P338,"〇","×")</f>
        <v>〇</v>
      </c>
      <c r="R338" s="110" t="str">
        <f aca="false">IFERROR(INDEX(報告入力!$C$7:$C$696,MATCH($S$327&amp;"|"&amp;$A338,報告入力!$CG$7:$CG$696,0)),"")</f>
        <v>入金確認済</v>
      </c>
    </row>
    <row r="339" s="110" customFormat="true" ht="20.1" hidden="false" customHeight="true" outlineLevel="0" collapsed="false">
      <c r="A339" s="100" t="s">
        <v>168</v>
      </c>
      <c r="B339" s="117" t="n">
        <f aca="false">SUMIFS(報告入力!$AU$7:$AU$696,報告入力!$A$7:$A$696,$S$327,報告入力!$B$7:$B$696,$A339)</f>
        <v>396195</v>
      </c>
      <c r="C339" s="113" t="n">
        <f aca="false">SUMIFS(報告入力!$AV$7:$AV$696,報告入力!$A$7:$A$696,$S$327,報告入力!$B$7:$B$696,$A339)</f>
        <v>32475</v>
      </c>
      <c r="D339" s="111" t="n">
        <f aca="false">SUMIFS(報告入力!$AW$7:$AW$696,報告入力!$A$7:$A$696,$S$327,報告入力!$B$7:$B$696,$A339)</f>
        <v>568962</v>
      </c>
      <c r="E339" s="114" t="n">
        <f aca="false">SUMIFS(報告入力!$AX$7:$AX$696,報告入力!$A$7:$A$696,$S$327,報告入力!$B$7:$B$696,$A339)</f>
        <v>32475</v>
      </c>
      <c r="F339" s="113" t="n">
        <f aca="false">SUMIFS(報告入力!$AY$7:$AY$696,報告入力!$A$7:$A$696,$S$327,報告入力!$B$7:$B$696,$A339)</f>
        <v>376</v>
      </c>
      <c r="G339" s="108" t="n">
        <f aca="false">SUM(B339:F339)</f>
        <v>1030483</v>
      </c>
      <c r="H339" s="114" t="n">
        <f aca="false">SUMIFS(報告入力!$AZ$7:$AZ$696,報告入力!$A$7:$A$696,$S$327,報告入力!$B$7:$B$696,$A339)</f>
        <v>299021</v>
      </c>
      <c r="I339" s="205" t="n">
        <f aca="false">SUMIFS(報告入力!$BA$7:$BA$696,報告入力!$A$7:$A$696,$S$327,報告入力!$B$7:$B$696,$A339)</f>
        <v>304040</v>
      </c>
      <c r="J339" s="108" t="n">
        <f aca="false">SUM(H339:I339)</f>
        <v>603061</v>
      </c>
      <c r="K339" s="114" t="n">
        <f aca="false">SUMIFS(報告入力!$BB$7:$BB$696,報告入力!$A$7:$A$696,$S$327,報告入力!$B$7:$B$696,$A339)</f>
        <v>33383</v>
      </c>
      <c r="L339" s="205" t="n">
        <f aca="false">SUMIFS(報告入力!$BC$7:$BC$696,報告入力!$A$7:$A$696,$S$327,報告入力!$B$7:$B$696,$A339)</f>
        <v>33385</v>
      </c>
      <c r="M339" s="108" t="n">
        <f aca="false">SUM(K339:L339)</f>
        <v>66768</v>
      </c>
      <c r="N339" s="205" t="n">
        <f aca="false">SUMIFS(報告入力!$BD$7:$BD$696,報告入力!$A$7:$A$696,$S$327,報告入力!$B$7:$B$696,$A339)</f>
        <v>6628</v>
      </c>
      <c r="O339" s="205" t="n">
        <f aca="false">SUMIFS(報告入力!$BE$7:$BE$696,報告入力!$A$7:$A$696,$S$327,報告入力!$B$7:$B$696,$A339)</f>
        <v>6630</v>
      </c>
      <c r="P339" s="108" t="n">
        <f aca="false">SUM(N339:O339)</f>
        <v>13258</v>
      </c>
      <c r="Q339" s="110" t="str">
        <f aca="false">IF(P274=P339,"〇","×")</f>
        <v>〇</v>
      </c>
      <c r="R339" s="110" t="str">
        <f aca="false">IFERROR(INDEX(報告入力!$C$7:$C$696,MATCH($S$327&amp;"|"&amp;$A339,報告入力!$CG$7:$CG$696,0)),"")</f>
        <v>入金確認済</v>
      </c>
    </row>
    <row r="340" s="110" customFormat="true" ht="20.1" hidden="false" customHeight="true" outlineLevel="0" collapsed="false">
      <c r="A340" s="100" t="s">
        <v>169</v>
      </c>
      <c r="B340" s="117" t="n">
        <f aca="false">SUMIFS(報告入力!$AU$7:$AU$696,報告入力!$A$7:$A$696,$S$327,報告入力!$B$7:$B$696,$A340)</f>
        <v>22626120</v>
      </c>
      <c r="C340" s="113" t="n">
        <f aca="false">SUMIFS(報告入力!$AV$7:$AV$696,報告入力!$A$7:$A$696,$S$327,報告入力!$B$7:$B$696,$A340)</f>
        <v>1854600</v>
      </c>
      <c r="D340" s="111" t="n">
        <f aca="false">SUMIFS(報告入力!$AW$7:$AW$696,報告入力!$A$7:$A$696,$S$327,報告入力!$B$7:$B$696,$A340)</f>
        <v>32739144</v>
      </c>
      <c r="E340" s="114" t="n">
        <f aca="false">SUMIFS(報告入力!$AX$7:$AX$696,報告入力!$A$7:$A$696,$S$327,報告入力!$B$7:$B$696,$A340)</f>
        <v>1854600</v>
      </c>
      <c r="F340" s="113" t="n">
        <f aca="false">SUMIFS(報告入力!$AY$7:$AY$696,報告入力!$A$7:$A$696,$S$327,報告入力!$B$7:$B$696,$A340)</f>
        <v>21850</v>
      </c>
      <c r="G340" s="108" t="n">
        <f aca="false">SUM(B340:F340)</f>
        <v>59096314</v>
      </c>
      <c r="H340" s="114" t="n">
        <f aca="false">SUMIFS(報告入力!$AZ$7:$AZ$696,報告入力!$A$7:$A$696,$S$327,報告入力!$B$7:$B$696,$A340)</f>
        <v>13500472</v>
      </c>
      <c r="I340" s="205" t="n">
        <f aca="false">SUMIFS(報告入力!$BA$7:$BA$696,報告入力!$A$7:$A$696,$S$327,報告入力!$B$7:$B$696,$A340)</f>
        <v>13734572</v>
      </c>
      <c r="J340" s="108" t="n">
        <f aca="false">SUM(H340:I340)</f>
        <v>27235044</v>
      </c>
      <c r="K340" s="114" t="n">
        <f aca="false">SUMIFS(報告入力!$BB$7:$BB$696,報告入力!$A$7:$A$696,$S$327,報告入力!$B$7:$B$696,$A340)</f>
        <v>1365752</v>
      </c>
      <c r="L340" s="205" t="n">
        <f aca="false">SUMIFS(報告入力!$BC$7:$BC$696,報告入力!$A$7:$A$696,$S$327,報告入力!$B$7:$B$696,$A340)</f>
        <v>1365752</v>
      </c>
      <c r="M340" s="108" t="n">
        <f aca="false">SUM(K340:L340)</f>
        <v>2731504</v>
      </c>
      <c r="N340" s="205" t="n">
        <f aca="false">SUMIFS(報告入力!$BD$7:$BD$696,報告入力!$A$7:$A$696,$S$327,報告入力!$B$7:$B$696,$A340)</f>
        <v>299280</v>
      </c>
      <c r="O340" s="205" t="n">
        <f aca="false">SUMIFS(報告入力!$BE$7:$BE$696,報告入力!$A$7:$A$696,$S$327,報告入力!$B$7:$B$696,$A340)</f>
        <v>299377</v>
      </c>
      <c r="P340" s="108" t="n">
        <f aca="false">SUM(N340:O340)</f>
        <v>598657</v>
      </c>
      <c r="Q340" s="110" t="str">
        <f aca="false">IF(P275=P340,"〇","×")</f>
        <v>×</v>
      </c>
      <c r="R340" s="110" t="str">
        <f aca="false">IFERROR(INDEX(報告入力!$C$7:$C$696,MATCH($S$327&amp;"|"&amp;$A340,報告入力!$CG$7:$CG$696,0)),"")</f>
        <v>入金確認済</v>
      </c>
    </row>
    <row r="341" s="110" customFormat="true" ht="19.5" hidden="false" customHeight="true" outlineLevel="0" collapsed="false">
      <c r="A341" s="121" t="s">
        <v>381</v>
      </c>
      <c r="B341" s="117" t="n">
        <f aca="false">SUMIFS(報告入力!$AU$7:$AU$696,報告入力!$A$7:$A$696,$S$327,報告入力!$B$7:$B$696,$A341)</f>
        <v>48495</v>
      </c>
      <c r="C341" s="113" t="n">
        <f aca="false">SUMIFS(報告入力!$AV$7:$AV$696,報告入力!$A$7:$A$696,$S$327,報告入力!$B$7:$B$696,$A341)</f>
        <v>3975</v>
      </c>
      <c r="D341" s="111" t="n">
        <f aca="false">SUMIFS(報告入力!$AW$7:$AW$696,報告入力!$A$7:$A$696,$S$327,報告入力!$B$7:$B$696,$A341)</f>
        <v>69642</v>
      </c>
      <c r="E341" s="114" t="n">
        <f aca="false">SUMIFS(報告入力!$AX$7:$AX$696,報告入力!$A$7:$A$696,$S$327,報告入力!$B$7:$B$696,$A341)</f>
        <v>3975</v>
      </c>
      <c r="F341" s="113" t="n">
        <f aca="false">SUMIFS(報告入力!$AY$7:$AY$696,報告入力!$A$7:$A$696,$S$327,報告入力!$B$7:$B$696,$A341)</f>
        <v>46</v>
      </c>
      <c r="G341" s="108" t="n">
        <f aca="false">SUM(B341:F341)</f>
        <v>126133</v>
      </c>
      <c r="H341" s="114" t="n">
        <f aca="false">SUMIFS(報告入力!$AZ$7:$AZ$696,報告入力!$A$7:$A$696,$S$327,報告入力!$B$7:$B$696,$A341)</f>
        <v>27485</v>
      </c>
      <c r="I341" s="205" t="n">
        <f aca="false">SUMIFS(報告入力!$BA$7:$BA$696,報告入力!$A$7:$A$696,$S$327,報告入力!$B$7:$B$696,$A341)</f>
        <v>27946</v>
      </c>
      <c r="J341" s="108" t="n">
        <f aca="false">SUM(H341:I341)</f>
        <v>55431</v>
      </c>
      <c r="K341" s="114" t="n">
        <f aca="false">SUMIFS(報告入力!$BB$7:$BB$696,報告入力!$A$7:$A$696,$S$327,報告入力!$B$7:$B$696,$A341)</f>
        <v>4187</v>
      </c>
      <c r="L341" s="205" t="n">
        <f aca="false">SUMIFS(報告入力!$BC$7:$BC$696,報告入力!$A$7:$A$696,$S$327,報告入力!$B$7:$B$696,$A341)</f>
        <v>4187</v>
      </c>
      <c r="M341" s="108" t="n">
        <f aca="false">SUM(K341:L341)</f>
        <v>8374</v>
      </c>
      <c r="N341" s="205" t="n">
        <f aca="false">SUMIFS(報告入力!$BD$7:$BD$696,報告入力!$A$7:$A$696,$S$327,報告入力!$B$7:$B$696,$A341)</f>
        <v>609</v>
      </c>
      <c r="O341" s="205" t="n">
        <f aca="false">SUMIFS(報告入力!$BE$7:$BE$696,報告入力!$A$7:$A$696,$S$327,報告入力!$B$7:$B$696,$A341)</f>
        <v>609</v>
      </c>
      <c r="P341" s="108" t="n">
        <f aca="false">SUM(N341:O341)</f>
        <v>1218</v>
      </c>
      <c r="Q341" s="110" t="str">
        <f aca="false">IF(P276=P341,"〇","×")</f>
        <v>〇</v>
      </c>
      <c r="R341" s="110" t="str">
        <f aca="false">IFERROR(INDEX(報告入力!$C$7:$C$696,MATCH($S$327&amp;"|"&amp;$A341,報告入力!$CG$7:$CG$696,0)),"")</f>
        <v>入金確認済</v>
      </c>
    </row>
    <row r="342" s="137" customFormat="true" ht="19.5" hidden="false" customHeight="true" outlineLevel="0" collapsed="false">
      <c r="A342" s="126" t="s">
        <v>171</v>
      </c>
      <c r="B342" s="127" t="n">
        <f aca="false">SUMIFS(報告入力!$AU$7:$AU$696,報告入力!$A$7:$A$696,$S$327,報告入力!$B$7:$B$696,$A342)</f>
        <v>0</v>
      </c>
      <c r="C342" s="128" t="n">
        <f aca="false">SUMIFS(報告入力!$AV$7:$AV$696,報告入力!$A$7:$A$696,$S$327,報告入力!$B$7:$B$696,$A342)</f>
        <v>0</v>
      </c>
      <c r="D342" s="129"/>
      <c r="E342" s="130"/>
      <c r="F342" s="131" t="n">
        <f aca="false">SUMIFS(報告入力!$AY$7:$AY$696,報告入力!$A$7:$A$696,$S$327,報告入力!$B$7:$B$696,$A342)</f>
        <v>0</v>
      </c>
      <c r="G342" s="132" t="n">
        <f aca="false">SUM(B342:F342)</f>
        <v>0</v>
      </c>
      <c r="H342" s="114" t="n">
        <f aca="false">SUMIFS(報告入力!$AZ$7:$AZ$696,報告入力!$A$7:$A$696,$S$327,報告入力!$B$7:$B$696,$A342)</f>
        <v>269662</v>
      </c>
      <c r="I342" s="115" t="n">
        <f aca="false">SUMIFS(報告入力!$BA$7:$BA$696,報告入力!$A$7:$A$696,$S$327,報告入力!$B$7:$B$696,$A342)</f>
        <v>274195</v>
      </c>
      <c r="J342" s="116" t="n">
        <f aca="false">SUM(H342:I342)</f>
        <v>543857</v>
      </c>
      <c r="K342" s="109" t="n">
        <f aca="false">SUMIFS(報告入力!$BB$7:$BB$696,報告入力!$A$7:$A$696,$S$327,報告入力!$B$7:$B$696,$A342)</f>
        <v>10428</v>
      </c>
      <c r="L342" s="115" t="n">
        <f aca="false">SUMIFS(報告入力!$BC$7:$BC$696,報告入力!$A$7:$A$696,$S$327,報告入力!$B$7:$B$696,$A342)</f>
        <v>10428</v>
      </c>
      <c r="M342" s="116" t="n">
        <f aca="false">SUM(K342:L342)</f>
        <v>20856</v>
      </c>
      <c r="N342" s="205" t="n">
        <f aca="false">SUMIFS(報告入力!$BD$7:$BD$696,報告入力!$A$7:$A$696,$S$327,報告入力!$B$7:$B$696,$A342)</f>
        <v>5976</v>
      </c>
      <c r="O342" s="205" t="n">
        <f aca="false">SUMIFS(報告入力!$BE$7:$BE$696,報告入力!$A$7:$A$696,$S$327,報告入力!$B$7:$B$696,$A342)</f>
        <v>5980</v>
      </c>
      <c r="P342" s="116" t="n">
        <f aca="false">SUM(N342:O342)</f>
        <v>11956</v>
      </c>
      <c r="Q342" s="137" t="str">
        <f aca="false">IF(P277=P342,"〇","×")</f>
        <v>×</v>
      </c>
      <c r="R342" s="137" t="str">
        <f aca="false">IFERROR(INDEX(報告入力!$C$7:$C$696,MATCH($S$327&amp;"|"&amp;$A342,報告入力!$CG$7:$CG$696,0)),"")</f>
        <v>入金確認済</v>
      </c>
    </row>
    <row r="343" s="137" customFormat="true" ht="19.5" hidden="false" customHeight="true" outlineLevel="0" collapsed="false">
      <c r="A343" s="138" t="s">
        <v>382</v>
      </c>
      <c r="B343" s="139"/>
      <c r="C343" s="140"/>
      <c r="D343" s="139"/>
      <c r="E343" s="141"/>
      <c r="F343" s="142"/>
      <c r="G343" s="143"/>
      <c r="H343" s="144"/>
      <c r="I343" s="145"/>
      <c r="J343" s="146"/>
      <c r="K343" s="147"/>
      <c r="L343" s="148"/>
      <c r="M343" s="148"/>
      <c r="N343" s="147"/>
      <c r="O343" s="148"/>
      <c r="P343" s="148"/>
      <c r="Q343" s="137" t="str">
        <f aca="false">IF(P278=P343,"〇","×")</f>
        <v>〇</v>
      </c>
    </row>
    <row r="344" s="137" customFormat="true" ht="19.5" hidden="false" customHeight="true" outlineLevel="0" collapsed="false">
      <c r="A344" s="149" t="s">
        <v>382</v>
      </c>
      <c r="B344" s="150"/>
      <c r="C344" s="151"/>
      <c r="D344" s="150"/>
      <c r="E344" s="152"/>
      <c r="F344" s="153"/>
      <c r="G344" s="154"/>
      <c r="H344" s="155"/>
      <c r="I344" s="152"/>
      <c r="J344" s="156"/>
      <c r="K344" s="157"/>
      <c r="L344" s="158"/>
      <c r="M344" s="158"/>
      <c r="N344" s="157"/>
      <c r="O344" s="158"/>
      <c r="P344" s="158"/>
      <c r="Q344" s="137" t="str">
        <f aca="false">IF(P279=P344,"〇","×")</f>
        <v>〇</v>
      </c>
    </row>
    <row r="345" s="137" customFormat="true" ht="19.5" hidden="false" customHeight="true" outlineLevel="0" collapsed="false">
      <c r="A345" s="149" t="s">
        <v>382</v>
      </c>
      <c r="B345" s="139"/>
      <c r="C345" s="140"/>
      <c r="D345" s="139"/>
      <c r="E345" s="141"/>
      <c r="F345" s="142"/>
      <c r="G345" s="143"/>
      <c r="H345" s="159"/>
      <c r="I345" s="141"/>
      <c r="J345" s="146"/>
      <c r="K345" s="160"/>
      <c r="L345" s="161"/>
      <c r="M345" s="161"/>
      <c r="N345" s="160"/>
      <c r="O345" s="161"/>
      <c r="P345" s="161"/>
      <c r="Q345" s="137" t="str">
        <f aca="false">IF(P280=P345,"〇","×")</f>
        <v>〇</v>
      </c>
    </row>
    <row r="346" s="137" customFormat="true" ht="19.5" hidden="false" customHeight="true" outlineLevel="0" collapsed="false">
      <c r="A346" s="162" t="s">
        <v>382</v>
      </c>
      <c r="B346" s="163"/>
      <c r="C346" s="164"/>
      <c r="D346" s="163"/>
      <c r="E346" s="165"/>
      <c r="F346" s="166"/>
      <c r="G346" s="167"/>
      <c r="H346" s="155"/>
      <c r="I346" s="168"/>
      <c r="J346" s="169"/>
      <c r="K346" s="157"/>
      <c r="L346" s="158"/>
      <c r="M346" s="170"/>
      <c r="N346" s="157"/>
      <c r="O346" s="158"/>
      <c r="P346" s="170"/>
      <c r="Q346" s="137" t="str">
        <f aca="false">IF(P281=P346,"〇","×")</f>
        <v>〇</v>
      </c>
    </row>
    <row r="347" s="137" customFormat="true" ht="19.5" hidden="false" customHeight="true" outlineLevel="0" collapsed="false">
      <c r="A347" s="171" t="s">
        <v>383</v>
      </c>
      <c r="B347" s="172" t="n">
        <f aca="false">SUM(B331:B346)</f>
        <v>363274854</v>
      </c>
      <c r="C347" s="173" t="n">
        <f aca="false">SUM(C331:C346)</f>
        <v>29769261</v>
      </c>
      <c r="D347" s="172" t="n">
        <f aca="false">SUM(D331:D346)</f>
        <v>522150771</v>
      </c>
      <c r="E347" s="174" t="n">
        <f aca="false">SUM(E331:E346)</f>
        <v>29237363</v>
      </c>
      <c r="F347" s="175" t="n">
        <f aca="false">SUM(F331:F346)</f>
        <v>351176</v>
      </c>
      <c r="G347" s="176" t="n">
        <f aca="false">SUM(B347:F347)</f>
        <v>944783425</v>
      </c>
      <c r="H347" s="173" t="n">
        <f aca="false">SUM(H331:H346)</f>
        <v>256321566</v>
      </c>
      <c r="I347" s="173" t="n">
        <f aca="false">SUM(I331:I346)</f>
        <v>256963304</v>
      </c>
      <c r="J347" s="175" t="n">
        <f aca="false">SUM(H347:I347)</f>
        <v>513284870</v>
      </c>
      <c r="K347" s="172" t="n">
        <f aca="false">SUM(K331:K346)</f>
        <v>23604447</v>
      </c>
      <c r="L347" s="173" t="n">
        <f aca="false">SUM(L331:L346)</f>
        <v>23182592</v>
      </c>
      <c r="M347" s="175" t="n">
        <f aca="false">SUM(K347:L347)</f>
        <v>46787039</v>
      </c>
      <c r="N347" s="172" t="n">
        <f aca="false">SUM(N331:N346)</f>
        <v>5681319</v>
      </c>
      <c r="O347" s="173" t="n">
        <f aca="false">SUM(O331:O346)</f>
        <v>5598913</v>
      </c>
      <c r="P347" s="175" t="n">
        <f aca="false">SUM(N347:O347)</f>
        <v>11280232</v>
      </c>
      <c r="Q347" s="137" t="str">
        <f aca="false">IF(P282=P347,"〇","×")</f>
        <v>×</v>
      </c>
    </row>
    <row r="348" s="110" customFormat="true" ht="20.1" hidden="false" customHeight="true" outlineLevel="0" collapsed="false">
      <c r="A348" s="177" t="s">
        <v>172</v>
      </c>
      <c r="B348" s="311"/>
      <c r="C348" s="308"/>
      <c r="D348" s="299"/>
      <c r="E348" s="303"/>
      <c r="F348" s="308"/>
      <c r="G348" s="302" t="n">
        <f aca="false">SUM(B348:F348)</f>
        <v>0</v>
      </c>
      <c r="H348" s="303"/>
      <c r="I348" s="310"/>
      <c r="J348" s="302" t="n">
        <f aca="false">SUM(H348:I348)</f>
        <v>0</v>
      </c>
      <c r="K348" s="303"/>
      <c r="L348" s="310"/>
      <c r="M348" s="302" t="n">
        <f aca="false">SUM(K348:L348)</f>
        <v>0</v>
      </c>
      <c r="N348" s="303"/>
      <c r="O348" s="310"/>
      <c r="P348" s="302" t="n">
        <f aca="false">SUM(N348:O348)</f>
        <v>0</v>
      </c>
      <c r="Q348" s="110" t="str">
        <f aca="false">IF(P283=P348,"〇","×")</f>
        <v>〇</v>
      </c>
      <c r="R348" s="110" t="str">
        <f aca="false">IFERROR(INDEX(報告入力!$C$7:$C$696,MATCH($S$327&amp;"|"&amp;$A348,報告入力!$CG$7:$CG$696,0)),"")</f>
        <v>報告なし</v>
      </c>
    </row>
    <row r="349" s="110" customFormat="true" ht="20.1" hidden="false" customHeight="true" outlineLevel="0" collapsed="false">
      <c r="A349" s="100" t="s">
        <v>174</v>
      </c>
      <c r="B349" s="117" t="n">
        <f aca="false">SUMIFS(報告入力!$AU$7:$AU$696,報告入力!$A$7:$A$696,$S$327,報告入力!$B$7:$B$696,$A349)</f>
        <v>0</v>
      </c>
      <c r="C349" s="113" t="n">
        <f aca="false">SUMIFS(報告入力!$AV$7:$AV$696,報告入力!$A$7:$A$696,$S$327,報告入力!$B$7:$B$696,$A349)</f>
        <v>0</v>
      </c>
      <c r="D349" s="103" t="n">
        <f aca="false">SUMIFS(報告入力!$AW$7:$AW$696,報告入力!$A$7:$A$696,$S$327,報告入力!$B$7:$B$696,$A349)</f>
        <v>779580</v>
      </c>
      <c r="E349" s="114" t="n">
        <f aca="false">SUMIFS(報告入力!$AX$7:$AX$696,報告入力!$A$7:$A$696,$S$327,報告入力!$B$7:$B$696,$A349)</f>
        <v>63900</v>
      </c>
      <c r="F349" s="113" t="n">
        <f aca="false">SUMIFS(報告入力!$AY$7:$AY$696,報告入力!$A$7:$A$696,$S$327,報告入力!$B$7:$B$696,$A349)</f>
        <v>801</v>
      </c>
      <c r="G349" s="108" t="n">
        <f aca="false">SUM(B349:F349)</f>
        <v>844281</v>
      </c>
      <c r="H349" s="114" t="n">
        <f aca="false">SUMIFS(報告入力!$AZ$7:$AZ$696,報告入力!$A$7:$A$696,$S$327,報告入力!$B$7:$B$696,$A349)</f>
        <v>0</v>
      </c>
      <c r="I349" s="205" t="n">
        <f aca="false">SUMIFS(報告入力!$BA$7:$BA$696,報告入力!$A$7:$A$696,$S$327,報告入力!$B$7:$B$696,$A349)</f>
        <v>440717</v>
      </c>
      <c r="J349" s="108" t="n">
        <f aca="false">SUM(H349:I349)</f>
        <v>440717</v>
      </c>
      <c r="K349" s="205" t="n">
        <f aca="false">SUMIFS(報告入力!$BB$7:$BB$696,報告入力!$A$7:$A$696,$S$327,報告入力!$B$7:$B$696,$A349)</f>
        <v>0</v>
      </c>
      <c r="L349" s="205" t="n">
        <f aca="false">SUMIFS(報告入力!$BC$7:$BC$696,報告入力!$A$7:$A$696,$S$327,報告入力!$B$7:$B$696,$A349)</f>
        <v>54036</v>
      </c>
      <c r="M349" s="108" t="n">
        <f aca="false">SUM(K349:L349)</f>
        <v>54036</v>
      </c>
      <c r="N349" s="205" t="n">
        <f aca="false">SUMIFS(報告入力!$BD$7:$BD$696,報告入力!$A$7:$A$696,$S$327,報告入力!$B$7:$B$696,$A349)</f>
        <v>0</v>
      </c>
      <c r="O349" s="205" t="n">
        <f aca="false">SUMIFS(報告入力!$BE$7:$BE$696,報告入力!$A$7:$A$696,$S$327,報告入力!$B$7:$B$696,$A349)</f>
        <v>9764</v>
      </c>
      <c r="P349" s="108" t="n">
        <f aca="false">SUM(N349:O349)</f>
        <v>9764</v>
      </c>
      <c r="Q349" s="110" t="str">
        <f aca="false">IF(P284=P349,"〇","×")</f>
        <v>×</v>
      </c>
      <c r="R349" s="110" t="str">
        <f aca="false">IFERROR(INDEX(報告入力!$C$7:$C$696,MATCH($S$327&amp;"|"&amp;$A349,報告入力!$CG$7:$CG$696,0)),"")</f>
        <v>入金確認済</v>
      </c>
    </row>
    <row r="350" s="110" customFormat="true" ht="20.1" hidden="false" customHeight="true" outlineLevel="0" collapsed="false">
      <c r="A350" s="100" t="s">
        <v>175</v>
      </c>
      <c r="B350" s="186"/>
      <c r="C350" s="187"/>
      <c r="D350" s="103" t="n">
        <f aca="false">SUMIFS(報告入力!$AW$7:$AW$696,報告入力!$A$7:$A$696,$S$327,報告入力!$B$7:$B$696,$A350)</f>
        <v>2034960</v>
      </c>
      <c r="E350" s="114" t="n">
        <f aca="false">SUMIFS(報告入力!$AX$7:$AX$696,報告入力!$A$7:$A$696,$S$327,報告入力!$B$7:$B$696,$A350)</f>
        <v>166800</v>
      </c>
      <c r="F350" s="113" t="n">
        <f aca="false">SUMIFS(報告入力!$AY$7:$AY$696,報告入力!$A$7:$A$696,$S$327,報告入力!$B$7:$B$696,$A350)</f>
        <v>2038</v>
      </c>
      <c r="G350" s="108" t="n">
        <f aca="false">SUM(B350:F350)</f>
        <v>2203798</v>
      </c>
      <c r="H350" s="188"/>
      <c r="I350" s="205" t="n">
        <f aca="false">SUMIFS(報告入力!$BA$7:$BA$696,報告入力!$A$7:$A$696,$S$327,報告入力!$B$7:$B$696,$A350)</f>
        <v>1310786</v>
      </c>
      <c r="J350" s="108" t="n">
        <f aca="false">SUM(H350:I350)</f>
        <v>1310786</v>
      </c>
      <c r="K350" s="188"/>
      <c r="L350" s="205" t="n">
        <f aca="false">SUMIFS(報告入力!$BC$7:$BC$696,報告入力!$A$7:$A$696,$S$327,報告入力!$B$7:$B$696,$A350)</f>
        <v>143859</v>
      </c>
      <c r="M350" s="108" t="n">
        <f aca="false">SUM(K350:L350)</f>
        <v>143859</v>
      </c>
      <c r="N350" s="188"/>
      <c r="O350" s="205" t="n">
        <f aca="false">SUMIFS(報告入力!$BE$7:$BE$696,報告入力!$A$7:$A$696,$S$327,報告入力!$B$7:$B$696,$A350)</f>
        <v>29034</v>
      </c>
      <c r="P350" s="108" t="n">
        <f aca="false">SUM(N350:O350)</f>
        <v>29034</v>
      </c>
      <c r="Q350" s="110" t="str">
        <f aca="false">IF(P285=P350,"〇","×")</f>
        <v>〇</v>
      </c>
      <c r="R350" s="110" t="str">
        <f aca="false">IFERROR(INDEX(報告入力!$C$7:$C$696,MATCH($S$327&amp;"|"&amp;$A350,報告入力!$CG$7:$CG$696,0)),"")</f>
        <v>入金確認済</v>
      </c>
    </row>
    <row r="351" s="110" customFormat="true" ht="20.1" hidden="false" customHeight="true" outlineLevel="0" collapsed="false">
      <c r="A351" s="100" t="s">
        <v>176</v>
      </c>
      <c r="B351" s="186"/>
      <c r="C351" s="187"/>
      <c r="D351" s="111" t="n">
        <f aca="false">SUMIFS(報告入力!$AW$7:$AW$696,報告入力!$A$7:$A$696,$S$327,報告入力!$B$7:$B$696,$A351)</f>
        <v>59475</v>
      </c>
      <c r="E351" s="114" t="n">
        <f aca="false">SUMIFS(報告入力!$AX$7:$AX$696,報告入力!$A$7:$A$696,$S$327,報告入力!$B$7:$B$696,$A351)</f>
        <v>4875</v>
      </c>
      <c r="F351" s="113" t="n">
        <f aca="false">SUMIFS(報告入力!$AY$7:$AY$696,報告入力!$A$7:$A$696,$S$327,報告入力!$B$7:$B$696,$A351)</f>
        <v>56</v>
      </c>
      <c r="G351" s="108" t="n">
        <f aca="false">SUM(B351:F351)</f>
        <v>64406</v>
      </c>
      <c r="H351" s="188"/>
      <c r="I351" s="205" t="n">
        <f aca="false">SUMIFS(報告入力!$BA$7:$BA$696,報告入力!$A$7:$A$696,$S$327,報告入力!$B$7:$B$696,$A351)</f>
        <v>36856</v>
      </c>
      <c r="J351" s="108" t="n">
        <f aca="false">SUM(H351:I351)</f>
        <v>36856</v>
      </c>
      <c r="K351" s="188"/>
      <c r="L351" s="205" t="n">
        <f aca="false">SUMIFS(報告入力!$BC$7:$BC$696,報告入力!$A$7:$A$696,$S$327,報告入力!$B$7:$B$696,$A351)</f>
        <v>5609</v>
      </c>
      <c r="M351" s="108" t="n">
        <f aca="false">SUM(K351:L351)</f>
        <v>5609</v>
      </c>
      <c r="N351" s="188"/>
      <c r="O351" s="205" t="n">
        <f aca="false">SUMIFS(報告入力!$BE$7:$BE$696,報告入力!$A$7:$A$696,$S$327,報告入力!$B$7:$B$696,$A351)</f>
        <v>816</v>
      </c>
      <c r="P351" s="108" t="n">
        <f aca="false">SUM(N351:O351)</f>
        <v>816</v>
      </c>
      <c r="Q351" s="110" t="str">
        <f aca="false">IF(P286=P351,"〇","×")</f>
        <v>〇</v>
      </c>
      <c r="R351" s="110" t="str">
        <f aca="false">IFERROR(INDEX(報告入力!$C$7:$C$696,MATCH($S$327&amp;"|"&amp;$A351,報告入力!$CG$7:$CG$696,0)),"")</f>
        <v>入金確認済</v>
      </c>
    </row>
    <row r="352" s="110" customFormat="true" ht="19.5" hidden="false" customHeight="true" outlineLevel="0" collapsed="false">
      <c r="A352" s="189" t="s">
        <v>177</v>
      </c>
      <c r="B352" s="186"/>
      <c r="C352" s="187"/>
      <c r="D352" s="103" t="n">
        <f aca="false">SUMIFS(報告入力!$AW$7:$AW$696,報告入力!$A$7:$A$696,$S$327,報告入力!$B$7:$B$696,$A352)</f>
        <v>339465</v>
      </c>
      <c r="E352" s="114" t="n">
        <f aca="false">SUMIFS(報告入力!$AX$7:$AX$696,報告入力!$A$7:$A$696,$S$327,報告入力!$B$7:$B$696,$A352)</f>
        <v>27825</v>
      </c>
      <c r="F352" s="113" t="n">
        <f aca="false">SUMIFS(報告入力!$AY$7:$AY$696,報告入力!$A$7:$A$696,$S$327,報告入力!$B$7:$B$696,$A352)</f>
        <v>395</v>
      </c>
      <c r="G352" s="108" t="n">
        <f aca="false">SUM(B352:F352)</f>
        <v>367685</v>
      </c>
      <c r="H352" s="202"/>
      <c r="I352" s="205" t="n">
        <f aca="false">SUMIFS(報告入力!$BA$7:$BA$696,報告入力!$A$7:$A$696,$S$327,報告入力!$B$7:$B$696,$A352)</f>
        <v>192628</v>
      </c>
      <c r="J352" s="108" t="n">
        <f aca="false">SUM(H352:I352)</f>
        <v>192628</v>
      </c>
      <c r="K352" s="188"/>
      <c r="L352" s="205" t="n">
        <f aca="false">SUMIFS(報告入力!$BC$7:$BC$696,報告入力!$A$7:$A$696,$S$327,報告入力!$B$7:$B$696,$A352)</f>
        <v>26781</v>
      </c>
      <c r="M352" s="108" t="n">
        <f aca="false">SUM(K352:L352)</f>
        <v>26781</v>
      </c>
      <c r="N352" s="188"/>
      <c r="O352" s="205" t="n">
        <f aca="false">SUMIFS(報告入力!$BE$7:$BE$696,報告入力!$A$7:$A$696,$S$327,報告入力!$B$7:$B$696,$A352)</f>
        <v>4266</v>
      </c>
      <c r="P352" s="108" t="n">
        <f aca="false">SUM(N352:O352)</f>
        <v>4266</v>
      </c>
      <c r="Q352" s="110" t="str">
        <f aca="false">IF(P287=P352,"〇","×")</f>
        <v>×</v>
      </c>
      <c r="R352" s="110" t="str">
        <f aca="false">IFERROR(INDEX(報告入力!$C$7:$C$696,MATCH($S$327&amp;"|"&amp;$A352,報告入力!$CG$7:$CG$696,0)),"")</f>
        <v>入金確認済</v>
      </c>
    </row>
    <row r="353" s="110" customFormat="true" ht="20.1" hidden="false" customHeight="true" outlineLevel="0" collapsed="false">
      <c r="A353" s="121" t="s">
        <v>178</v>
      </c>
      <c r="B353" s="186"/>
      <c r="C353" s="191"/>
      <c r="D353" s="111" t="n">
        <f aca="false">SUMIFS(報告入力!$AW$7:$AW$696,報告入力!$A$7:$A$696,$S$327,報告入力!$B$7:$B$696,$A353)</f>
        <v>45750</v>
      </c>
      <c r="E353" s="114" t="n">
        <f aca="false">SUMIFS(報告入力!$AX$7:$AX$696,報告入力!$A$7:$A$696,$S$327,報告入力!$B$7:$B$696,$A353)</f>
        <v>3750</v>
      </c>
      <c r="F353" s="113" t="n">
        <f aca="false">SUMIFS(報告入力!$AY$7:$AY$696,報告入力!$A$7:$A$696,$S$327,報告入力!$B$7:$B$696,$A353)</f>
        <v>43</v>
      </c>
      <c r="G353" s="108" t="n">
        <f aca="false">SUM(B353:F353)</f>
        <v>49543</v>
      </c>
      <c r="H353" s="188"/>
      <c r="I353" s="205" t="n">
        <f aca="false">SUMIFS(報告入力!$BA$7:$BA$696,報告入力!$A$7:$A$696,$S$327,報告入力!$B$7:$B$696,$A353)</f>
        <v>25955</v>
      </c>
      <c r="J353" s="108" t="n">
        <f aca="false">SUM(H353:I353)</f>
        <v>25955</v>
      </c>
      <c r="K353" s="188"/>
      <c r="L353" s="205" t="n">
        <f aca="false">SUMIFS(報告入力!$BC$7:$BC$696,報告入力!$A$7:$A$696,$S$327,報告入力!$B$7:$B$696,$A353)</f>
        <v>3950</v>
      </c>
      <c r="M353" s="108" t="n">
        <f aca="false">SUM(K353:L353)</f>
        <v>3950</v>
      </c>
      <c r="N353" s="188"/>
      <c r="O353" s="205" t="n">
        <f aca="false">SUMIFS(報告入力!$BE$7:$BE$696,報告入力!$A$7:$A$696,$S$327,報告入力!$B$7:$B$696,$A353)</f>
        <v>575</v>
      </c>
      <c r="P353" s="108" t="n">
        <f aca="false">SUM(N353:O353)</f>
        <v>575</v>
      </c>
      <c r="Q353" s="110" t="str">
        <f aca="false">IF(P288=P353,"〇","×")</f>
        <v>〇</v>
      </c>
      <c r="R353" s="110" t="str">
        <f aca="false">IFERROR(INDEX(報告入力!$C$7:$C$696,MATCH($S$327&amp;"|"&amp;$A353,報告入力!$CG$7:$CG$696,0)),"")</f>
        <v>入金確認済</v>
      </c>
    </row>
    <row r="354" s="110" customFormat="true" ht="20.1" hidden="false" customHeight="true" outlineLevel="0" collapsed="false">
      <c r="A354" s="121" t="s">
        <v>179</v>
      </c>
      <c r="B354" s="186"/>
      <c r="C354" s="191"/>
      <c r="D354" s="111" t="n">
        <f aca="false">SUMIFS(報告入力!$AW$7:$AW$696,報告入力!$A$7:$A$696,$S$327,報告入力!$B$7:$B$696,$A354)</f>
        <v>0</v>
      </c>
      <c r="E354" s="114" t="n">
        <f aca="false">SUMIFS(報告入力!$AX$7:$AX$696,報告入力!$A$7:$A$696,$S$327,報告入力!$B$7:$B$696,$A354)</f>
        <v>0</v>
      </c>
      <c r="F354" s="113" t="n">
        <f aca="false">SUMIFS(報告入力!$AY$7:$AY$696,報告入力!$A$7:$A$696,$S$327,報告入力!$B$7:$B$696,$A354)</f>
        <v>0</v>
      </c>
      <c r="G354" s="108" t="n">
        <f aca="false">SUM(B354:F354)</f>
        <v>0</v>
      </c>
      <c r="H354" s="188"/>
      <c r="I354" s="205" t="n">
        <f aca="false">SUMIFS(報告入力!$BA$7:$BA$696,報告入力!$A$7:$A$696,$S$327,報告入力!$B$7:$B$696,$A354)</f>
        <v>0</v>
      </c>
      <c r="J354" s="108" t="n">
        <f aca="false">SUM(H354:I354)</f>
        <v>0</v>
      </c>
      <c r="K354" s="188"/>
      <c r="L354" s="205" t="n">
        <f aca="false">SUMIFS(報告入力!$BC$7:$BC$696,報告入力!$A$7:$A$696,$S$327,報告入力!$B$7:$B$696,$A354)</f>
        <v>0</v>
      </c>
      <c r="M354" s="108" t="n">
        <f aca="false">SUM(K354:L354)</f>
        <v>0</v>
      </c>
      <c r="N354" s="188"/>
      <c r="O354" s="205" t="n">
        <f aca="false">SUMIFS(報告入力!$BE$7:$BE$696,報告入力!$A$7:$A$696,$S$327,報告入力!$B$7:$B$696,$A354)</f>
        <v>0</v>
      </c>
      <c r="P354" s="108" t="n">
        <f aca="false">SUM(N354:O354)</f>
        <v>0</v>
      </c>
      <c r="Q354" s="110" t="str">
        <f aca="false">IF(P289=P354,"〇","×")</f>
        <v>〇</v>
      </c>
      <c r="R354" s="110" t="str">
        <f aca="false">IFERROR(INDEX(報告入力!$C$7:$C$696,MATCH($S$327&amp;"|"&amp;$A354,報告入力!$CG$7:$CG$696,0)),"")</f>
        <v>入金確認済</v>
      </c>
    </row>
    <row r="355" s="110" customFormat="true" ht="20.1" hidden="false" customHeight="true" outlineLevel="0" collapsed="false">
      <c r="A355" s="192" t="s">
        <v>180</v>
      </c>
      <c r="B355" s="186"/>
      <c r="C355" s="193"/>
      <c r="D355" s="111" t="n">
        <f aca="false">SUMIFS(報告入力!$AW$7:$AW$696,報告入力!$A$7:$A$696,$S$327,報告入力!$B$7:$B$696,$A355)</f>
        <v>193065</v>
      </c>
      <c r="E355" s="114" t="n">
        <f aca="false">SUMIFS(報告入力!$AX$7:$AX$696,報告入力!$A$7:$A$696,$S$327,報告入力!$B$7:$B$696,$A355)</f>
        <v>15825</v>
      </c>
      <c r="F355" s="113" t="n">
        <f aca="false">SUMIFS(報告入力!$AY$7:$AY$696,報告入力!$A$7:$A$696,$S$327,報告入力!$B$7:$B$696,$A355)</f>
        <v>183</v>
      </c>
      <c r="G355" s="108" t="n">
        <f aca="false">SUM(B355:F355)</f>
        <v>209073</v>
      </c>
      <c r="H355" s="188"/>
      <c r="I355" s="205" t="n">
        <f aca="false">SUMIFS(報告入力!$BA$7:$BA$696,報告入力!$A$7:$A$696,$S$327,報告入力!$B$7:$B$696,$A355)</f>
        <v>109530</v>
      </c>
      <c r="J355" s="108" t="n">
        <f aca="false">SUM(H355:I355)</f>
        <v>109530</v>
      </c>
      <c r="K355" s="188"/>
      <c r="L355" s="205" t="n">
        <f aca="false">SUMIFS(報告入力!$BC$7:$BC$696,報告入力!$A$7:$A$696,$S$327,報告入力!$B$7:$B$696,$A355)</f>
        <v>12956</v>
      </c>
      <c r="M355" s="108" t="n">
        <f aca="false">SUM(K355:L355)</f>
        <v>12956</v>
      </c>
      <c r="N355" s="188"/>
      <c r="O355" s="205" t="n">
        <f aca="false">SUMIFS(報告入力!$BE$7:$BE$696,報告入力!$A$7:$A$696,$S$327,報告入力!$B$7:$B$696,$A355)</f>
        <v>2426</v>
      </c>
      <c r="P355" s="108" t="n">
        <f aca="false">SUM(N355:O355)</f>
        <v>2426</v>
      </c>
      <c r="Q355" s="110" t="str">
        <f aca="false">IF(P290=P355,"〇","×")</f>
        <v>〇</v>
      </c>
      <c r="R355" s="110" t="str">
        <f aca="false">IFERROR(INDEX(報告入力!$C$7:$C$696,MATCH($S$327&amp;"|"&amp;$A355,報告入力!$CG$7:$CG$696,0)),"")</f>
        <v>入金確認済</v>
      </c>
    </row>
    <row r="356" s="110" customFormat="true" ht="20.1" hidden="false" customHeight="true" outlineLevel="0" collapsed="false">
      <c r="A356" s="100" t="s">
        <v>181</v>
      </c>
      <c r="B356" s="117" t="n">
        <f aca="false">SUMIFS(報告入力!$AU$7:$AU$696,報告入力!$A$7:$A$696,$S$327,報告入力!$B$7:$B$696,$A356)</f>
        <v>241560</v>
      </c>
      <c r="C356" s="113" t="n">
        <f aca="false">SUMIFS(報告入力!$AV$7:$AV$696,報告入力!$A$7:$A$696,$S$327,報告入力!$B$7:$B$696,$A356)</f>
        <v>19800</v>
      </c>
      <c r="D356" s="111" t="n">
        <f aca="false">SUMIFS(報告入力!$AW$7:$AW$696,報告入力!$A$7:$A$696,$S$327,報告入力!$B$7:$B$696,$A356)</f>
        <v>241560</v>
      </c>
      <c r="E356" s="114" t="n">
        <f aca="false">SUMIFS(報告入力!$AX$7:$AX$696,報告入力!$A$7:$A$696,$S$327,報告入力!$B$7:$B$696,$A356)</f>
        <v>19800</v>
      </c>
      <c r="F356" s="113" t="n">
        <f aca="false">SUMIFS(報告入力!$AY$7:$AY$696,報告入力!$A$7:$A$696,$S$327,報告入力!$B$7:$B$696,$A356)</f>
        <v>229</v>
      </c>
      <c r="G356" s="108" t="n">
        <f aca="false">SUM(B356:F356)</f>
        <v>522949</v>
      </c>
      <c r="H356" s="114" t="n">
        <f aca="false">SUMIFS(報告入力!$AZ$7:$AZ$696,報告入力!$A$7:$A$696,$S$327,報告入力!$B$7:$B$696,$A356)</f>
        <v>140019</v>
      </c>
      <c r="I356" s="205" t="n">
        <f aca="false">SUMIFS(報告入力!$BA$7:$BA$696,報告入力!$A$7:$A$696,$S$327,報告入力!$B$7:$B$696,$A356)</f>
        <v>140157</v>
      </c>
      <c r="J356" s="108" t="n">
        <f aca="false">SUM(H356:I356)</f>
        <v>280176</v>
      </c>
      <c r="K356" s="114" t="n">
        <f aca="false">SUMIFS(報告入力!$BB$7:$BB$696,報告入力!$A$7:$A$696,$S$327,報告入力!$B$7:$B$696,$A356)</f>
        <v>10744</v>
      </c>
      <c r="L356" s="205" t="n">
        <f aca="false">SUMIFS(報告入力!$BC$7:$BC$696,報告入力!$A$7:$A$696,$S$327,報告入力!$B$7:$B$696,$A356)</f>
        <v>10744</v>
      </c>
      <c r="M356" s="108" t="n">
        <f aca="false">SUM(K356:L356)</f>
        <v>21488</v>
      </c>
      <c r="N356" s="114" t="n">
        <f aca="false">SUMIFS(報告入力!$BD$7:$BD$696,報告入力!$A$7:$A$696,$S$327,報告入力!$B$7:$B$696,$A356)</f>
        <v>3104</v>
      </c>
      <c r="O356" s="205" t="n">
        <f aca="false">SUMIFS(報告入力!$BE$7:$BE$696,報告入力!$A$7:$A$696,$S$327,報告入力!$B$7:$B$696,$A356)</f>
        <v>3105</v>
      </c>
      <c r="P356" s="108" t="n">
        <f aca="false">SUM(N356:O356)</f>
        <v>6209</v>
      </c>
      <c r="Q356" s="110" t="str">
        <f aca="false">IF(P291=P356,"〇","×")</f>
        <v>〇</v>
      </c>
      <c r="R356" s="110" t="str">
        <f aca="false">IFERROR(INDEX(報告入力!$C$7:$C$696,MATCH($S$327&amp;"|"&amp;$A356,報告入力!$CG$7:$CG$696,0)),"")</f>
        <v>入金確認済</v>
      </c>
    </row>
    <row r="357" s="110" customFormat="true" ht="20.1" hidden="false" customHeight="true" outlineLevel="0" collapsed="false">
      <c r="A357" s="194" t="s">
        <v>182</v>
      </c>
      <c r="B357" s="111" t="n">
        <f aca="false">SUMIFS(報告入力!$AU$7:$AU$696,報告入力!$A$7:$A$696,$S$327,報告入力!$B$7:$B$696,$A357)</f>
        <v>40260</v>
      </c>
      <c r="C357" s="113" t="n">
        <f aca="false">SUMIFS(報告入力!$AV$7:$AV$696,報告入力!$A$7:$A$696,$S$327,報告入力!$B$7:$B$696,$A357)</f>
        <v>3300</v>
      </c>
      <c r="D357" s="111" t="n">
        <f aca="false">SUMIFS(報告入力!$AW$7:$AW$696,報告入力!$A$7:$A$696,$S$327,報告入力!$B$7:$B$696,$A357)</f>
        <v>40260</v>
      </c>
      <c r="E357" s="114" t="n">
        <f aca="false">SUMIFS(報告入力!$AX$7:$AX$696,報告入力!$A$7:$A$696,$S$327,報告入力!$B$7:$B$696,$A357)</f>
        <v>3300</v>
      </c>
      <c r="F357" s="113" t="n">
        <f aca="false">SUMIFS(報告入力!$AY$7:$AY$696,報告入力!$A$7:$A$696,$S$327,報告入力!$B$7:$B$696,$A357)</f>
        <v>38</v>
      </c>
      <c r="G357" s="108" t="n">
        <f aca="false">SUM(B357:F357)</f>
        <v>87158</v>
      </c>
      <c r="H357" s="114" t="n">
        <f aca="false">SUMIFS(報告入力!$AZ$7:$AZ$696,報告入力!$A$7:$A$696,$S$327,報告入力!$B$7:$B$696,$A357)</f>
        <v>22818</v>
      </c>
      <c r="I357" s="205" t="n">
        <f aca="false">SUMIFS(報告入力!$BA$7:$BA$696,報告入力!$A$7:$A$696,$S$327,報告入力!$B$7:$B$696,$A357)</f>
        <v>22840</v>
      </c>
      <c r="J357" s="108" t="n">
        <f aca="false">SUM(H357:I357)</f>
        <v>45658</v>
      </c>
      <c r="K357" s="114" t="n">
        <f aca="false">SUMIFS(報告入力!$BB$7:$BB$696,報告入力!$A$7:$A$696,$S$327,報告入力!$B$7:$B$696,$A357)</f>
        <v>0</v>
      </c>
      <c r="L357" s="205" t="n">
        <f aca="false">SUMIFS(報告入力!$BC$7:$BC$696,報告入力!$A$7:$A$696,$S$327,報告入力!$B$7:$B$696,$A357)</f>
        <v>0</v>
      </c>
      <c r="M357" s="108" t="n">
        <f aca="false">SUM(K357:L357)</f>
        <v>0</v>
      </c>
      <c r="N357" s="114" t="n">
        <f aca="false">SUMIFS(報告入力!$BD$7:$BD$696,報告入力!$A$7:$A$696,$S$327,報告入力!$B$7:$B$696,$A357)</f>
        <v>506</v>
      </c>
      <c r="O357" s="205" t="n">
        <f aca="false">SUMIFS(報告入力!$BE$7:$BE$696,報告入力!$A$7:$A$696,$S$327,報告入力!$B$7:$B$696,$A357)</f>
        <v>506</v>
      </c>
      <c r="P357" s="108" t="n">
        <f aca="false">SUM(N357:O357)</f>
        <v>1012</v>
      </c>
      <c r="Q357" s="110" t="str">
        <f aca="false">IF(P292=P357,"〇","×")</f>
        <v>〇</v>
      </c>
      <c r="R357" s="110" t="str">
        <f aca="false">IFERROR(INDEX(報告入力!$C$7:$C$696,MATCH($S$327&amp;"|"&amp;$A357,報告入力!$CG$7:$CG$696,0)),"")</f>
        <v>入金確認済</v>
      </c>
    </row>
    <row r="358" s="110" customFormat="true" ht="20.1" hidden="false" customHeight="true" outlineLevel="0" collapsed="false">
      <c r="A358" s="197" t="s">
        <v>183</v>
      </c>
      <c r="B358" s="117" t="n">
        <f aca="false">SUMIFS(報告入力!$AU$7:$AU$696,報告入力!$A$7:$A$696,$S$327,報告入力!$B$7:$B$696,$A358)</f>
        <v>107970</v>
      </c>
      <c r="C358" s="113" t="n">
        <f aca="false">SUMIFS(報告入力!$AV$7:$AV$696,報告入力!$A$7:$A$696,$S$327,報告入力!$B$7:$B$696,$A358)</f>
        <v>8850</v>
      </c>
      <c r="D358" s="111" t="n">
        <f aca="false">SUMIFS(報告入力!$AW$7:$AW$696,報告入力!$A$7:$A$696,$S$327,報告入力!$B$7:$B$696,$A358)</f>
        <v>107970</v>
      </c>
      <c r="E358" s="114" t="n">
        <f aca="false">SUMIFS(報告入力!$AX$7:$AX$696,報告入力!$A$7:$A$696,$S$327,報告入力!$B$7:$B$696,$A358)</f>
        <v>8850</v>
      </c>
      <c r="F358" s="113" t="n">
        <f aca="false">SUMIFS(報告入力!$AY$7:$AY$696,報告入力!$A$7:$A$696,$S$327,報告入力!$B$7:$B$696,$A358)</f>
        <v>102</v>
      </c>
      <c r="G358" s="108" t="n">
        <f aca="false">SUM(B358:F358)</f>
        <v>233742</v>
      </c>
      <c r="H358" s="114" t="n">
        <f aca="false">SUMIFS(報告入力!$AZ$7:$AZ$696,報告入力!$A$7:$A$696,$S$327,報告入力!$B$7:$B$696,$A358)</f>
        <v>61194</v>
      </c>
      <c r="I358" s="205" t="n">
        <f aca="false">SUMIFS(報告入力!$BA$7:$BA$696,報告入力!$A$7:$A$696,$S$327,報告入力!$B$7:$B$696,$A358)</f>
        <v>61253</v>
      </c>
      <c r="J358" s="108" t="n">
        <f aca="false">SUM(H358:I358)</f>
        <v>122447</v>
      </c>
      <c r="K358" s="114" t="n">
        <f aca="false">SUMIFS(報告入力!$BB$7:$BB$696,報告入力!$A$7:$A$696,$S$327,報告入力!$B$7:$B$696,$A358)</f>
        <v>9322</v>
      </c>
      <c r="L358" s="205" t="n">
        <f aca="false">SUMIFS(報告入力!$BC$7:$BC$696,報告入力!$A$7:$A$696,$S$327,報告入力!$B$7:$B$696,$A358)</f>
        <v>9322</v>
      </c>
      <c r="M358" s="108" t="n">
        <f aca="false">SUM(K358:L358)</f>
        <v>18644</v>
      </c>
      <c r="N358" s="114" t="n">
        <f aca="false">SUMIFS(報告入力!$BD$7:$BD$696,報告入力!$A$7:$A$696,$S$327,報告入力!$B$7:$B$696,$A358)</f>
        <v>1356</v>
      </c>
      <c r="O358" s="205" t="n">
        <f aca="false">SUMIFS(報告入力!$BE$7:$BE$696,報告入力!$A$7:$A$696,$S$327,報告入力!$B$7:$B$696,$A358)</f>
        <v>1357</v>
      </c>
      <c r="P358" s="108" t="n">
        <f aca="false">SUM(N358:O358)</f>
        <v>2713</v>
      </c>
      <c r="Q358" s="110" t="str">
        <f aca="false">IF(P293=P358,"〇","×")</f>
        <v>〇</v>
      </c>
      <c r="R358" s="110" t="str">
        <f aca="false">IFERROR(INDEX(報告入力!$C$7:$C$696,MATCH($S$327&amp;"|"&amp;$A358,報告入力!$CG$7:$CG$696,0)),"")</f>
        <v>入金確認済</v>
      </c>
    </row>
    <row r="359" s="110" customFormat="true" ht="20.1" hidden="false" customHeight="true" outlineLevel="0" collapsed="false">
      <c r="A359" s="100" t="s">
        <v>184</v>
      </c>
      <c r="B359" s="117" t="n">
        <f aca="false">SUMIFS(報告入力!$AU$7:$AU$696,報告入力!$A$7:$A$696,$S$327,報告入力!$B$7:$B$696,$A359)</f>
        <v>793305</v>
      </c>
      <c r="C359" s="113" t="n">
        <f aca="false">SUMIFS(報告入力!$AV$7:$AV$696,報告入力!$A$7:$A$696,$S$327,報告入力!$B$7:$B$696,$A359)</f>
        <v>65025</v>
      </c>
      <c r="D359" s="103" t="n">
        <f aca="false">SUMIFS(報告入力!$AW$7:$AW$696,報告入力!$A$7:$A$696,$S$327,報告入力!$B$7:$B$696,$A359)</f>
        <v>793304</v>
      </c>
      <c r="E359" s="114" t="n">
        <f aca="false">SUMIFS(報告入力!$AX$7:$AX$696,報告入力!$A$7:$A$696,$S$327,報告入力!$B$7:$B$696,$A359)</f>
        <v>65024</v>
      </c>
      <c r="F359" s="113" t="n">
        <f aca="false">SUMIFS(報告入力!$AY$7:$AY$696,報告入力!$A$7:$A$696,$S$327,報告入力!$B$7:$B$696,$A359)</f>
        <v>756</v>
      </c>
      <c r="G359" s="108" t="n">
        <f aca="false">SUM(B359:F359)</f>
        <v>1717414</v>
      </c>
      <c r="H359" s="114" t="n">
        <f aca="false">SUMIFS(報告入力!$AZ$7:$AZ$696,報告入力!$A$7:$A$696,$S$327,報告入力!$B$7:$B$696,$A359)</f>
        <v>449619</v>
      </c>
      <c r="I359" s="205" t="n">
        <f aca="false">SUMIFS(報告入力!$BA$7:$BA$696,報告入力!$A$7:$A$696,$S$327,報告入力!$B$7:$B$696,$A359)</f>
        <v>450061</v>
      </c>
      <c r="J359" s="108" t="n">
        <f aca="false">SUM(H359:I359)</f>
        <v>899680</v>
      </c>
      <c r="K359" s="205" t="n">
        <f aca="false">SUMIFS(報告入力!$BB$7:$BB$696,報告入力!$A$7:$A$696,$S$327,報告入力!$B$7:$B$696,$A359)</f>
        <v>39816</v>
      </c>
      <c r="L359" s="205" t="n">
        <f aca="false">SUMIFS(報告入力!$BC$7:$BC$696,報告入力!$A$7:$A$696,$S$327,報告入力!$B$7:$B$696,$A359)</f>
        <v>39816</v>
      </c>
      <c r="M359" s="108" t="n">
        <f aca="false">SUM(K359:L359)</f>
        <v>79632</v>
      </c>
      <c r="N359" s="114" t="n">
        <f aca="false">SUMIFS(報告入力!$BD$7:$BD$696,報告入力!$A$7:$A$696,$S$327,報告入力!$B$7:$B$696,$A359)</f>
        <v>9966</v>
      </c>
      <c r="O359" s="205" t="n">
        <f aca="false">SUMIFS(報告入力!$BE$7:$BE$696,報告入力!$A$7:$A$696,$S$327,報告入力!$B$7:$B$696,$A359)</f>
        <v>9969</v>
      </c>
      <c r="P359" s="108" t="n">
        <f aca="false">SUM(N359:O359)</f>
        <v>19935</v>
      </c>
      <c r="Q359" s="110" t="str">
        <f aca="false">IF(P294=P359,"〇","×")</f>
        <v>×</v>
      </c>
      <c r="R359" s="110" t="str">
        <f aca="false">IFERROR(INDEX(報告入力!$C$7:$C$696,MATCH($S$327&amp;"|"&amp;$A359,報告入力!$CG$7:$CG$696,0)),"")</f>
        <v>入金確認済</v>
      </c>
    </row>
    <row r="360" s="110" customFormat="true" ht="20.1" hidden="false" customHeight="true" outlineLevel="0" collapsed="false">
      <c r="A360" s="100" t="s">
        <v>185</v>
      </c>
      <c r="B360" s="201"/>
      <c r="C360" s="191"/>
      <c r="D360" s="111" t="n">
        <f aca="false">SUMIFS(報告入力!$AW$7:$AW$696,報告入力!$A$7:$A$696,$S$327,報告入力!$B$7:$B$696,$A360)</f>
        <v>582855</v>
      </c>
      <c r="E360" s="114" t="n">
        <f aca="false">SUMIFS(報告入力!$AX$7:$AX$696,報告入力!$A$7:$A$696,$S$327,報告入力!$B$7:$B$696,$A360)</f>
        <v>47775</v>
      </c>
      <c r="F360" s="113" t="n">
        <f aca="false">SUMIFS(報告入力!$AY$7:$AY$696,報告入力!$A$7:$A$696,$S$327,報告入力!$B$7:$B$696,$A360)</f>
        <v>579</v>
      </c>
      <c r="G360" s="108" t="n">
        <f aca="false">SUM(B360:F360)</f>
        <v>631209</v>
      </c>
      <c r="H360" s="202"/>
      <c r="I360" s="205" t="n">
        <f aca="false">SUMIFS(報告入力!$BA$7:$BA$696,報告入力!$A$7:$A$696,$S$327,報告入力!$B$7:$B$696,$A360)</f>
        <v>330681</v>
      </c>
      <c r="J360" s="108" t="n">
        <f aca="false">SUM(H360:I360)</f>
        <v>330681</v>
      </c>
      <c r="K360" s="188"/>
      <c r="L360" s="205" t="n">
        <f aca="false">SUMIFS(報告入力!$BC$7:$BC$696,報告入力!$A$7:$A$696,$S$327,報告入力!$B$7:$B$696,$A360)</f>
        <v>28203</v>
      </c>
      <c r="M360" s="108" t="n">
        <f aca="false">SUM(K360:L360)</f>
        <v>28203</v>
      </c>
      <c r="N360" s="188"/>
      <c r="O360" s="205" t="n">
        <f aca="false">SUMIFS(報告入力!$BE$7:$BE$696,報告入力!$A$7:$A$696,$S$327,報告入力!$B$7:$B$696,$A360)</f>
        <v>7324</v>
      </c>
      <c r="P360" s="108" t="n">
        <f aca="false">SUM(N360:O360)</f>
        <v>7324</v>
      </c>
      <c r="Q360" s="110" t="str">
        <f aca="false">IF(P295=P360,"〇","×")</f>
        <v>〇</v>
      </c>
      <c r="R360" s="110" t="str">
        <f aca="false">IFERROR(INDEX(報告入力!$C$7:$C$696,MATCH($S$327&amp;"|"&amp;$A360,報告入力!$CG$7:$CG$696,0)),"")</f>
        <v>入金確認済</v>
      </c>
    </row>
    <row r="361" s="110" customFormat="true" ht="20.1" hidden="false" customHeight="true" outlineLevel="0" collapsed="false">
      <c r="A361" s="203" t="s">
        <v>186</v>
      </c>
      <c r="B361" s="186"/>
      <c r="C361" s="193"/>
      <c r="D361" s="111" t="n">
        <f aca="false">SUMIFS(報告入力!$AW$7:$AW$696,報告入力!$A$7:$A$696,$S$327,報告入力!$B$7:$B$696,$A361)</f>
        <v>1056825</v>
      </c>
      <c r="E361" s="114" t="n">
        <f aca="false">SUMIFS(報告入力!$AX$7:$AX$696,報告入力!$A$7:$A$696,$S$327,報告入力!$B$7:$B$696,$A361)</f>
        <v>86625</v>
      </c>
      <c r="F361" s="113" t="n">
        <f aca="false">SUMIFS(報告入力!$AY$7:$AY$696,報告入力!$A$7:$A$696,$S$327,報告入力!$B$7:$B$696,$A361)</f>
        <v>1000</v>
      </c>
      <c r="G361" s="108" t="n">
        <f aca="false">SUM(B361:F361)</f>
        <v>1144450</v>
      </c>
      <c r="H361" s="188"/>
      <c r="I361" s="205" t="n">
        <f aca="false">SUMIFS(報告入力!$BA$7:$BA$696,報告入力!$A$7:$A$696,$S$327,報告入力!$B$7:$B$696,$A361)</f>
        <v>599038</v>
      </c>
      <c r="J361" s="108" t="n">
        <f aca="false">SUM(H361:I361)</f>
        <v>599038</v>
      </c>
      <c r="K361" s="188"/>
      <c r="L361" s="205" t="n">
        <f aca="false">SUMIFS(報告入力!$BC$7:$BC$696,報告入力!$A$7:$A$696,$S$327,報告入力!$B$7:$B$696,$A361)</f>
        <v>85794</v>
      </c>
      <c r="M361" s="108" t="n">
        <f aca="false">SUM(K361:L361)</f>
        <v>85794</v>
      </c>
      <c r="N361" s="188"/>
      <c r="O361" s="205" t="n">
        <f aca="false">SUMIFS(報告入力!$BE$7:$BE$696,報告入力!$A$7:$A$696,$S$327,報告入力!$B$7:$B$696,$A361)</f>
        <v>13270</v>
      </c>
      <c r="P361" s="108" t="n">
        <f aca="false">SUM(N361:O361)</f>
        <v>13270</v>
      </c>
      <c r="Q361" s="110" t="str">
        <f aca="false">IF(P296=P361,"〇","×")</f>
        <v>×</v>
      </c>
      <c r="R361" s="110" t="str">
        <f aca="false">IFERROR(INDEX(報告入力!$C$7:$C$696,MATCH($S$327&amp;"|"&amp;$A361,報告入力!$CG$7:$CG$696,0)),"")</f>
        <v>入金確認済</v>
      </c>
    </row>
    <row r="362" s="110" customFormat="true" ht="18.75" hidden="false" customHeight="true" outlineLevel="0" collapsed="false">
      <c r="A362" s="204" t="s">
        <v>187</v>
      </c>
      <c r="B362" s="186"/>
      <c r="C362" s="193"/>
      <c r="D362" s="111" t="n">
        <f aca="false">SUMIFS(報告入力!$AW$7:$AW$696,報告入力!$A$7:$A$696,$S$327,報告入力!$B$7:$B$696,$A362)</f>
        <v>0</v>
      </c>
      <c r="E362" s="114" t="n">
        <f aca="false">SUMIFS(報告入力!$AX$7:$AX$696,報告入力!$A$7:$A$696,$S$327,報告入力!$B$7:$B$696,$A362)</f>
        <v>0</v>
      </c>
      <c r="F362" s="113" t="n">
        <f aca="false">SUMIFS(報告入力!$AY$7:$AY$696,報告入力!$A$7:$A$696,$S$327,報告入力!$B$7:$B$696,$A362)</f>
        <v>0</v>
      </c>
      <c r="G362" s="108" t="n">
        <f aca="false">SUM(B362:F362)</f>
        <v>0</v>
      </c>
      <c r="H362" s="188"/>
      <c r="I362" s="205" t="n">
        <f aca="false">SUMIFS(報告入力!$BA$7:$BA$696,報告入力!$A$7:$A$696,$S$327,報告入力!$B$7:$B$696,$A362)</f>
        <v>0</v>
      </c>
      <c r="J362" s="108" t="n">
        <f aca="false">SUM(H362:I362)</f>
        <v>0</v>
      </c>
      <c r="K362" s="188"/>
      <c r="L362" s="205" t="n">
        <f aca="false">SUMIFS(報告入力!$BC$7:$BC$696,報告入力!$A$7:$A$696,$S$327,報告入力!$B$7:$B$696,$A362)</f>
        <v>0</v>
      </c>
      <c r="M362" s="108" t="n">
        <f aca="false">SUM(K362:L362)</f>
        <v>0</v>
      </c>
      <c r="N362" s="188"/>
      <c r="O362" s="205" t="n">
        <f aca="false">SUMIFS(報告入力!$BE$7:$BE$696,報告入力!$A$7:$A$696,$S$327,報告入力!$B$7:$B$696,$A362)</f>
        <v>0</v>
      </c>
      <c r="P362" s="108" t="n">
        <f aca="false">SUM(N362:O362)</f>
        <v>0</v>
      </c>
      <c r="Q362" s="110" t="str">
        <f aca="false">IF(P297=P362,"〇","×")</f>
        <v>〇</v>
      </c>
      <c r="R362" s="110" t="str">
        <f aca="false">IFERROR(INDEX(報告入力!$C$7:$C$696,MATCH($S$327&amp;"|"&amp;$A362,報告入力!$CG$7:$CG$696,0)),"")</f>
        <v>入金確認済</v>
      </c>
    </row>
    <row r="363" s="110" customFormat="true" ht="20.1" hidden="false" customHeight="true" outlineLevel="0" collapsed="false">
      <c r="A363" s="100" t="s">
        <v>188</v>
      </c>
      <c r="B363" s="186"/>
      <c r="C363" s="193"/>
      <c r="D363" s="111" t="n">
        <f aca="false">SUMIFS(報告入力!$AW$7:$AW$696,報告入力!$A$7:$A$696,$S$327,報告入力!$B$7:$B$696,$A363)</f>
        <v>405345</v>
      </c>
      <c r="E363" s="114" t="n">
        <f aca="false">SUMIFS(報告入力!$AX$7:$AX$696,報告入力!$A$7:$A$696,$S$327,報告入力!$B$7:$B$696,$A363)</f>
        <v>33225</v>
      </c>
      <c r="F363" s="113" t="n">
        <f aca="false">SUMIFS(報告入力!$AY$7:$AY$696,報告入力!$A$7:$A$696,$S$327,報告入力!$B$7:$B$696,$A363)</f>
        <v>383</v>
      </c>
      <c r="G363" s="108" t="n">
        <f aca="false">SUM(B363:F363)</f>
        <v>438953</v>
      </c>
      <c r="H363" s="188"/>
      <c r="I363" s="205" t="n">
        <f aca="false">SUMIFS(報告入力!$BA$7:$BA$696,報告入力!$A$7:$A$696,$S$327,報告入力!$B$7:$B$696,$A363)</f>
        <v>229960</v>
      </c>
      <c r="J363" s="108" t="n">
        <f aca="false">SUM(H363:I363)</f>
        <v>229960</v>
      </c>
      <c r="K363" s="188"/>
      <c r="L363" s="205" t="n">
        <f aca="false">SUMIFS(報告入力!$BC$7:$BC$696,報告入力!$A$7:$A$696,$S$327,報告入力!$B$7:$B$696,$A363)</f>
        <v>34997</v>
      </c>
      <c r="M363" s="108" t="n">
        <f aca="false">SUM(K363:L363)</f>
        <v>34997</v>
      </c>
      <c r="N363" s="188"/>
      <c r="O363" s="205" t="n">
        <f aca="false">SUMIFS(報告入力!$BE$7:$BE$696,報告入力!$A$7:$A$696,$S$327,報告入力!$B$7:$B$696,$A363)</f>
        <v>5093</v>
      </c>
      <c r="P363" s="108" t="n">
        <f aca="false">SUM(N363:O363)</f>
        <v>5093</v>
      </c>
      <c r="Q363" s="110" t="str">
        <f aca="false">IF(P298=P363,"〇","×")</f>
        <v>〇</v>
      </c>
      <c r="R363" s="110" t="str">
        <f aca="false">IFERROR(INDEX(報告入力!$C$7:$C$696,MATCH($S$327&amp;"|"&amp;$A363,報告入力!$CG$7:$CG$696,0)),"")</f>
        <v>入金確認済</v>
      </c>
    </row>
    <row r="364" s="110" customFormat="true" ht="20.1" hidden="false" customHeight="true" outlineLevel="0" collapsed="false">
      <c r="A364" s="121" t="s">
        <v>189</v>
      </c>
      <c r="B364" s="117" t="n">
        <f aca="false">SUMIFS(報告入力!$AU$7:$AU$696,報告入力!$A$7:$A$696,$S$327,報告入力!$B$7:$B$696,$A364)</f>
        <v>148230</v>
      </c>
      <c r="C364" s="113" t="n">
        <f aca="false">SUMIFS(報告入力!$AV$7:$AV$696,報告入力!$A$7:$A$696,$S$327,報告入力!$B$7:$B$696,$A364)</f>
        <v>12150</v>
      </c>
      <c r="D364" s="103" t="n">
        <f aca="false">SUMIFS(報告入力!$AW$7:$AW$696,報告入力!$A$7:$A$696,$S$327,報告入力!$B$7:$B$696,$A364)</f>
        <v>148230</v>
      </c>
      <c r="E364" s="114" t="n">
        <f aca="false">SUMIFS(報告入力!$AX$7:$AX$696,報告入力!$A$7:$A$696,$S$327,報告入力!$B$7:$B$696,$A364)</f>
        <v>12150</v>
      </c>
      <c r="F364" s="113" t="n">
        <f aca="false">SUMIFS(報告入力!$AY$7:$AY$696,報告入力!$A$7:$A$696,$S$327,報告入力!$B$7:$B$696,$A364)</f>
        <v>140</v>
      </c>
      <c r="G364" s="108" t="n">
        <f aca="false">SUM(B364:F364)</f>
        <v>320900</v>
      </c>
      <c r="H364" s="114" t="n">
        <f aca="false">SUMIFS(報告入力!$AZ$7:$AZ$696,報告入力!$A$7:$A$696,$S$327,報告入力!$B$7:$B$696,$A364)</f>
        <v>87123</v>
      </c>
      <c r="I364" s="205" t="n">
        <f aca="false">SUMIFS(報告入力!$BA$7:$BA$696,報告入力!$A$7:$A$696,$S$327,報告入力!$B$7:$B$696,$A364)</f>
        <v>87208</v>
      </c>
      <c r="J364" s="108" t="n">
        <f aca="false">SUM(H364:I364)</f>
        <v>174331</v>
      </c>
      <c r="K364" s="114" t="n">
        <f aca="false">SUMIFS(報告入力!$BB$7:$BB$696,報告入力!$A$7:$A$696,$S$327,報告入力!$B$7:$B$696,$A364)</f>
        <v>10033</v>
      </c>
      <c r="L364" s="205" t="n">
        <f aca="false">SUMIFS(報告入力!$BC$7:$BC$696,報告入力!$A$7:$A$696,$S$327,報告入力!$B$7:$B$696,$A364)</f>
        <v>10033</v>
      </c>
      <c r="M364" s="108" t="n">
        <f aca="false">SUM(K364:L364)</f>
        <v>20066</v>
      </c>
      <c r="N364" s="114" t="n">
        <f aca="false">SUMIFS(報告入力!$BD$7:$BD$696,報告入力!$A$7:$A$696,$S$327,報告入力!$B$7:$B$696,$A364)</f>
        <v>1931</v>
      </c>
      <c r="O364" s="205" t="n">
        <f aca="false">SUMIFS(報告入力!$BE$7:$BE$696,報告入力!$A$7:$A$696,$S$327,報告入力!$B$7:$B$696,$A364)</f>
        <v>1932</v>
      </c>
      <c r="P364" s="108" t="n">
        <f aca="false">SUM(N364:O364)</f>
        <v>3863</v>
      </c>
      <c r="Q364" s="110" t="str">
        <f aca="false">IF(P299=P364,"〇","×")</f>
        <v>〇</v>
      </c>
      <c r="R364" s="110" t="str">
        <f aca="false">IFERROR(INDEX(報告入力!$C$7:$C$696,MATCH($S$327&amp;"|"&amp;$A364,報告入力!$CG$7:$CG$696,0)),"")</f>
        <v>入金確認済</v>
      </c>
    </row>
    <row r="365" s="110" customFormat="true" ht="20.1" hidden="false" customHeight="true" outlineLevel="0" collapsed="false">
      <c r="A365" s="206" t="s">
        <v>190</v>
      </c>
      <c r="B365" s="201"/>
      <c r="C365" s="191"/>
      <c r="D365" s="111" t="n">
        <f aca="false">SUMIFS(報告入力!$AW$7:$AW$696,報告入力!$A$7:$A$696,$S$327,報告入力!$B$7:$B$696,$A365)</f>
        <v>455670</v>
      </c>
      <c r="E365" s="114" t="n">
        <f aca="false">SUMIFS(報告入力!$AX$7:$AX$696,報告入力!$A$7:$A$696,$S$327,報告入力!$B$7:$B$696,$A365)</f>
        <v>37350</v>
      </c>
      <c r="F365" s="113" t="n">
        <f aca="false">SUMIFS(報告入力!$AY$7:$AY$696,報告入力!$A$7:$A$696,$S$327,報告入力!$B$7:$B$696,$A365)</f>
        <v>432</v>
      </c>
      <c r="G365" s="108" t="n">
        <f aca="false">SUM(B365:F365)</f>
        <v>493452</v>
      </c>
      <c r="H365" s="188"/>
      <c r="I365" s="205" t="n">
        <f aca="false">SUMIFS(報告入力!$BA$7:$BA$696,報告入力!$A$7:$A$696,$S$327,報告入力!$B$7:$B$696,$A365)</f>
        <v>267855</v>
      </c>
      <c r="J365" s="108" t="n">
        <f aca="false">SUM(H365:I365)</f>
        <v>267855</v>
      </c>
      <c r="K365" s="202"/>
      <c r="L365" s="205" t="n">
        <f aca="false">SUMIFS(報告入力!$BC$7:$BC$696,報告入力!$A$7:$A$696,$S$327,報告入力!$B$7:$B$696,$A365)</f>
        <v>21725</v>
      </c>
      <c r="M365" s="108" t="n">
        <f aca="false">SUM(K365:L365)</f>
        <v>21725</v>
      </c>
      <c r="N365" s="202"/>
      <c r="O365" s="205" t="n">
        <f aca="false">SUMIFS(報告入力!$BE$7:$BE$696,報告入力!$A$7:$A$696,$S$327,報告入力!$B$7:$B$696,$A365)</f>
        <v>5934</v>
      </c>
      <c r="P365" s="108" t="n">
        <f aca="false">SUM(N365:O365)</f>
        <v>5934</v>
      </c>
      <c r="Q365" s="110" t="str">
        <f aca="false">IF(P300=P365,"〇","×")</f>
        <v>〇</v>
      </c>
      <c r="R365" s="110" t="str">
        <f aca="false">IFERROR(INDEX(報告入力!$C$7:$C$696,MATCH($S$327&amp;"|"&amp;$A365,報告入力!$CG$7:$CG$696,0)),"")</f>
        <v>入金確認済</v>
      </c>
    </row>
    <row r="366" s="351" customFormat="true" ht="20.1" hidden="false" customHeight="true" outlineLevel="0" collapsed="false">
      <c r="A366" s="189" t="s">
        <v>191</v>
      </c>
      <c r="B366" s="117" t="n">
        <f aca="false">SUMIFS(報告入力!$AU$7:$AU$696,報告入力!$A$7:$A$696,$S$327,報告入力!$B$7:$B$696,$A366)</f>
        <v>56730</v>
      </c>
      <c r="C366" s="113" t="n">
        <f aca="false">SUMIFS(報告入力!$AV$7:$AV$696,報告入力!$A$7:$A$696,$S$327,報告入力!$B$7:$B$696,$A366)</f>
        <v>4650</v>
      </c>
      <c r="D366" s="111" t="n">
        <f aca="false">SUMIFS(報告入力!$AW$7:$AW$696,報告入力!$A$7:$A$696,$S$327,報告入力!$B$7:$B$696,$A366)</f>
        <v>56730</v>
      </c>
      <c r="E366" s="114" t="n">
        <f aca="false">SUMIFS(報告入力!$AX$7:$AX$696,報告入力!$A$7:$A$696,$S$327,報告入力!$B$7:$B$696,$A366)</f>
        <v>4650</v>
      </c>
      <c r="F366" s="113" t="n">
        <f aca="false">SUMIFS(報告入力!$AY$7:$AY$696,報告入力!$A$7:$A$696,$S$327,報告入力!$B$7:$B$696,$A366)</f>
        <v>53</v>
      </c>
      <c r="G366" s="108" t="n">
        <f aca="false">SUM(B366:F366)</f>
        <v>122813</v>
      </c>
      <c r="H366" s="114" t="n">
        <f aca="false">SUMIFS(報告入力!$AZ$7:$AZ$696,報告入力!$A$7:$A$696,$S$327,報告入力!$B$7:$B$696,$A366)</f>
        <v>32153</v>
      </c>
      <c r="I366" s="205" t="n">
        <f aca="false">SUMIFS(報告入力!$BA$7:$BA$696,報告入力!$A$7:$A$696,$S$327,報告入力!$B$7:$B$696,$A366)</f>
        <v>32184</v>
      </c>
      <c r="J366" s="108" t="n">
        <f aca="false">SUM(H366:I366)</f>
        <v>64337</v>
      </c>
      <c r="K366" s="114" t="n">
        <f aca="false">SUMIFS(報告入力!$BB$7:$BB$696,報告入力!$A$7:$A$696,$S$327,報告入力!$B$7:$B$696,$A366)</f>
        <v>4898</v>
      </c>
      <c r="L366" s="205" t="n">
        <f aca="false">SUMIFS(報告入力!$BC$7:$BC$696,報告入力!$A$7:$A$696,$S$327,報告入力!$B$7:$B$696,$A366)</f>
        <v>4898</v>
      </c>
      <c r="M366" s="108" t="n">
        <f aca="false">SUM(K366:L366)</f>
        <v>9796</v>
      </c>
      <c r="N366" s="114" t="n">
        <f aca="false">SUMIFS(報告入力!$BD$7:$BD$696,報告入力!$A$7:$A$696,$S$327,報告入力!$B$7:$B$696,$A366)</f>
        <v>713</v>
      </c>
      <c r="O366" s="205" t="n">
        <f aca="false">SUMIFS(報告入力!$BE$7:$BE$696,報告入力!$A$7:$A$696,$S$327,報告入力!$B$7:$B$696,$A366)</f>
        <v>713</v>
      </c>
      <c r="P366" s="108" t="n">
        <f aca="false">SUM(N366:O366)</f>
        <v>1426</v>
      </c>
      <c r="Q366" s="351" t="str">
        <f aca="false">IF(P301=P366,"〇","×")</f>
        <v>〇</v>
      </c>
      <c r="R366" s="351" t="str">
        <f aca="false">IFERROR(INDEX(報告入力!$C$7:$C$696,MATCH($S$327&amp;"|"&amp;$A366,報告入力!$CG$7:$CG$696,0)),"")</f>
        <v>入金確認済</v>
      </c>
    </row>
    <row r="367" s="110" customFormat="true" ht="20.1" hidden="false" customHeight="true" outlineLevel="0" collapsed="false">
      <c r="A367" s="189" t="s">
        <v>192</v>
      </c>
      <c r="B367" s="117" t="n">
        <f aca="false">SUMIFS(報告入力!$AU$7:$AU$696,報告入力!$A$7:$A$696,$S$327,報告入力!$B$7:$B$696,$A367)</f>
        <v>59475</v>
      </c>
      <c r="C367" s="113" t="n">
        <f aca="false">SUMIFS(報告入力!$AV$7:$AV$696,報告入力!$A$7:$A$696,$S$327,報告入力!$B$7:$B$696,$A367)</f>
        <v>4875</v>
      </c>
      <c r="D367" s="111" t="n">
        <f aca="false">SUMIFS(報告入力!$AW$7:$AW$696,報告入力!$A$7:$A$696,$S$327,報告入力!$B$7:$B$696,$A367)</f>
        <v>59475</v>
      </c>
      <c r="E367" s="114" t="n">
        <f aca="false">SUMIFS(報告入力!$AX$7:$AX$696,報告入力!$A$7:$A$696,$S$327,報告入力!$B$7:$B$696,$A367)</f>
        <v>4875</v>
      </c>
      <c r="F367" s="113" t="n">
        <f aca="false">SUMIFS(報告入力!$AY$7:$AY$696,報告入力!$A$7:$A$696,$S$327,報告入力!$B$7:$B$696,$A367)</f>
        <v>56</v>
      </c>
      <c r="G367" s="108" t="n">
        <f aca="false">SUM(B367:F367)</f>
        <v>128756</v>
      </c>
      <c r="H367" s="114" t="n">
        <f aca="false">SUMIFS(報告入力!$AZ$7:$AZ$696,報告入力!$A$7:$A$696,$S$327,報告入力!$B$7:$B$696,$A367)</f>
        <v>38895</v>
      </c>
      <c r="I367" s="205" t="n">
        <f aca="false">SUMIFS(報告入力!$BA$7:$BA$696,報告入力!$A$7:$A$696,$S$327,報告入力!$B$7:$B$696,$A367)</f>
        <v>38932</v>
      </c>
      <c r="J367" s="108" t="n">
        <f aca="false">SUM(H367:I367)</f>
        <v>77827</v>
      </c>
      <c r="K367" s="114" t="n">
        <f aca="false">SUMIFS(報告入力!$BB$7:$BB$696,報告入力!$A$7:$A$696,$S$327,報告入力!$B$7:$B$696,$A367)</f>
        <v>5925</v>
      </c>
      <c r="L367" s="205" t="n">
        <f aca="false">SUMIFS(報告入力!$BC$7:$BC$696,報告入力!$A$7:$A$696,$S$327,報告入力!$B$7:$B$696,$A367)</f>
        <v>5925</v>
      </c>
      <c r="M367" s="108" t="n">
        <f aca="false">SUM(K367:L367)</f>
        <v>11850</v>
      </c>
      <c r="N367" s="114" t="n">
        <f aca="false">SUMIFS(報告入力!$BD$7:$BD$696,報告入力!$A$7:$A$696,$S$327,報告入力!$B$7:$B$696,$A367)</f>
        <v>862</v>
      </c>
      <c r="O367" s="205" t="n">
        <f aca="false">SUMIFS(報告入力!$BE$7:$BE$696,報告入力!$A$7:$A$696,$S$327,報告入力!$B$7:$B$696,$A367)</f>
        <v>862</v>
      </c>
      <c r="P367" s="108" t="n">
        <f aca="false">SUM(N367:O367)</f>
        <v>1724</v>
      </c>
      <c r="Q367" s="110" t="str">
        <f aca="false">IF(P302=P367,"〇","×")</f>
        <v>〇</v>
      </c>
      <c r="R367" s="110" t="str">
        <f aca="false">IFERROR(INDEX(報告入力!$C$7:$C$696,MATCH($S$327&amp;"|"&amp;$A367,報告入力!$CG$7:$CG$696,0)),"")</f>
        <v>入金確認済</v>
      </c>
    </row>
    <row r="368" s="110" customFormat="true" ht="20.1" hidden="false" customHeight="true" outlineLevel="0" collapsed="false">
      <c r="A368" s="189" t="s">
        <v>193</v>
      </c>
      <c r="B368" s="117" t="n">
        <f aca="false">SUMIFS(報告入力!$AU$7:$AU$696,報告入力!$A$7:$A$696,$S$327,報告入力!$B$7:$B$696,$A368)</f>
        <v>45750</v>
      </c>
      <c r="C368" s="122" t="n">
        <f aca="false">SUMIFS(報告入力!$AV$7:$AV$696,報告入力!$A$7:$A$696,$S$327,報告入力!$B$7:$B$696,$A368)</f>
        <v>3750</v>
      </c>
      <c r="D368" s="118" t="n">
        <f aca="false">SUMIFS(報告入力!$AW$7:$AW$696,報告入力!$A$7:$A$696,$S$327,報告入力!$B$7:$B$696,$A368)</f>
        <v>45750</v>
      </c>
      <c r="E368" s="118" t="n">
        <f aca="false">SUMIFS(報告入力!$AX$7:$AX$696,報告入力!$A$7:$A$696,$S$327,報告入力!$B$7:$B$696,$A368)</f>
        <v>3750</v>
      </c>
      <c r="F368" s="123" t="n">
        <f aca="false">SUMIFS(報告入力!$AY$7:$AY$696,報告入力!$A$7:$A$696,$S$327,報告入力!$B$7:$B$696,$A368)</f>
        <v>43</v>
      </c>
      <c r="G368" s="108" t="n">
        <f aca="false">SUM(B368:F368)</f>
        <v>99043</v>
      </c>
      <c r="H368" s="118" t="n">
        <f aca="false">SUMIFS(報告入力!$AZ$7:$AZ$696,報告入力!$A$7:$A$696,$S$327,報告入力!$B$7:$B$696,$A368)</f>
        <v>25930</v>
      </c>
      <c r="I368" s="205" t="n">
        <f aca="false">SUMIFS(報告入力!$BA$7:$BA$696,報告入力!$A$7:$A$696,$S$327,報告入力!$B$7:$B$696,$A368)</f>
        <v>25955</v>
      </c>
      <c r="J368" s="116" t="n">
        <f aca="false">SUM(H368:I368)</f>
        <v>51885</v>
      </c>
      <c r="K368" s="118" t="n">
        <f aca="false">SUMIFS(報告入力!$BB$7:$BB$696,報告入力!$A$7:$A$696,$S$327,報告入力!$B$7:$B$696,$A368)</f>
        <v>0</v>
      </c>
      <c r="L368" s="205" t="n">
        <f aca="false">SUMIFS(報告入力!$BC$7:$BC$696,報告入力!$A$7:$A$696,$S$327,報告入力!$B$7:$B$696,$A368)</f>
        <v>0</v>
      </c>
      <c r="M368" s="116" t="n">
        <f aca="false">SUM(K368:L368)</f>
        <v>0</v>
      </c>
      <c r="N368" s="118" t="n">
        <f aca="false">SUMIFS(報告入力!$BD$7:$BD$696,報告入力!$A$7:$A$696,$S$327,報告入力!$B$7:$B$696,$A368)</f>
        <v>575</v>
      </c>
      <c r="O368" s="205" t="n">
        <f aca="false">SUMIFS(報告入力!$BE$7:$BE$696,報告入力!$A$7:$A$696,$S$327,報告入力!$B$7:$B$696,$A368)</f>
        <v>575</v>
      </c>
      <c r="P368" s="116" t="n">
        <f aca="false">SUM(N368:O368)</f>
        <v>1150</v>
      </c>
      <c r="Q368" s="110" t="str">
        <f aca="false">IF(P303=P368,"〇","×")</f>
        <v>〇</v>
      </c>
      <c r="R368" s="110" t="str">
        <f aca="false">IFERROR(INDEX(報告入力!$C$7:$C$696,MATCH($S$327&amp;"|"&amp;$A368,報告入力!$CG$7:$CG$696,0)),"")</f>
        <v>入金確認済</v>
      </c>
    </row>
    <row r="369" s="110" customFormat="true" ht="20.1" hidden="false" customHeight="true" outlineLevel="0" collapsed="false">
      <c r="A369" s="121" t="s">
        <v>194</v>
      </c>
      <c r="B369" s="117" t="n">
        <f aca="false">SUMIFS(報告入力!$AU$7:$AU$696,報告入力!$A$7:$A$696,$S$327,報告入力!$B$7:$B$696,$A369)</f>
        <v>1231590</v>
      </c>
      <c r="C369" s="113" t="n">
        <f aca="false">SUMIFS(報告入力!$AV$7:$AV$696,報告入力!$A$7:$A$696,$S$327,報告入力!$B$7:$B$696,$A369)</f>
        <v>100950</v>
      </c>
      <c r="D369" s="111" t="n">
        <f aca="false">SUMIFS(報告入力!$AW$7:$AW$696,報告入力!$A$7:$A$696,$S$327,報告入力!$B$7:$B$696,$A369)</f>
        <v>1231590</v>
      </c>
      <c r="E369" s="114" t="n">
        <f aca="false">SUMIFS(報告入力!$AX$7:$AX$696,報告入力!$A$7:$A$696,$S$327,報告入力!$B$7:$B$696,$A369)</f>
        <v>100950</v>
      </c>
      <c r="F369" s="113" t="n">
        <f aca="false">SUMIFS(報告入力!$AY$7:$AY$696,報告入力!$A$7:$A$696,$S$327,報告入力!$B$7:$B$696,$A369)</f>
        <v>1237</v>
      </c>
      <c r="G369" s="108" t="n">
        <f aca="false">SUM(B369:F369)</f>
        <v>2666317</v>
      </c>
      <c r="H369" s="114" t="n">
        <f aca="false">SUMIFS(報告入力!$AZ$7:$AZ$696,報告入力!$A$7:$A$696,$S$327,報告入力!$B$7:$B$696,$A369)</f>
        <v>708914</v>
      </c>
      <c r="I369" s="205" t="n">
        <f aca="false">SUMIFS(報告入力!$BA$7:$BA$696,報告入力!$A$7:$A$696,$S$327,報告入力!$B$7:$B$696,$A369)</f>
        <v>709649</v>
      </c>
      <c r="J369" s="108" t="n">
        <f aca="false">SUM(H369:I369)</f>
        <v>1418563</v>
      </c>
      <c r="K369" s="114" t="n">
        <f aca="false">SUMIFS(報告入力!$BB$7:$BB$696,報告入力!$A$7:$A$696,$S$327,報告入力!$B$7:$B$696,$A369)</f>
        <v>82002</v>
      </c>
      <c r="L369" s="205" t="n">
        <f aca="false">SUMIFS(報告入力!$BC$7:$BC$696,報告入力!$A$7:$A$696,$S$327,報告入力!$B$7:$B$696,$A369)</f>
        <v>82002</v>
      </c>
      <c r="M369" s="108" t="n">
        <f aca="false">SUM(K369:L369)</f>
        <v>164004</v>
      </c>
      <c r="N369" s="114" t="n">
        <f aca="false">SUMIFS(報告入力!$BD$7:$BD$696,報告入力!$A$7:$A$696,$S$327,報告入力!$B$7:$B$696,$A369)</f>
        <v>15716</v>
      </c>
      <c r="O369" s="205" t="n">
        <f aca="false">SUMIFS(報告入力!$BE$7:$BE$696,報告入力!$A$7:$A$696,$S$327,報告入力!$B$7:$B$696,$A369)</f>
        <v>15720</v>
      </c>
      <c r="P369" s="108" t="n">
        <f aca="false">SUM(N369:O369)</f>
        <v>31436</v>
      </c>
      <c r="Q369" s="110" t="str">
        <f aca="false">IF(P304=P369,"〇","×")</f>
        <v>〇</v>
      </c>
      <c r="R369" s="110" t="str">
        <f aca="false">IFERROR(INDEX(報告入力!$C$7:$C$696,MATCH($S$327&amp;"|"&amp;$A369,報告入力!$CG$7:$CG$696,0)),"")</f>
        <v>入金確認済</v>
      </c>
    </row>
    <row r="370" s="110" customFormat="true" ht="20.1" hidden="false" customHeight="true" outlineLevel="0" collapsed="false">
      <c r="A370" s="121" t="s">
        <v>195</v>
      </c>
      <c r="B370" s="201"/>
      <c r="C370" s="191"/>
      <c r="D370" s="111" t="n">
        <f aca="false">SUMIFS(報告入力!$AW$7:$AW$696,報告入力!$A$7:$A$696,$S$327,報告入力!$B$7:$B$696,$A370)</f>
        <v>245220</v>
      </c>
      <c r="E370" s="114" t="n">
        <f aca="false">SUMIFS(報告入力!$AX$7:$AX$696,報告入力!$A$7:$A$696,$S$327,報告入力!$B$7:$B$696,$A370)</f>
        <v>20100</v>
      </c>
      <c r="F370" s="113" t="n">
        <f aca="false">SUMIFS(報告入力!$AY$7:$AY$696,報告入力!$A$7:$A$696,$S$327,報告入力!$B$7:$B$696,$A370)</f>
        <v>233</v>
      </c>
      <c r="G370" s="108" t="n">
        <f aca="false">SUM(B370:F370)</f>
        <v>265553</v>
      </c>
      <c r="H370" s="202"/>
      <c r="I370" s="205" t="n">
        <f aca="false">SUMIFS(報告入力!$BA$7:$BA$696,報告入力!$A$7:$A$696,$S$327,報告入力!$B$7:$B$696,$A370)</f>
        <v>142234</v>
      </c>
      <c r="J370" s="108" t="n">
        <f aca="false">SUM(H370:I370)</f>
        <v>142234</v>
      </c>
      <c r="K370" s="202"/>
      <c r="L370" s="205" t="n">
        <f aca="false">SUMIFS(報告入力!$BC$7:$BC$696,報告入力!$A$7:$A$696,$S$327,報告入力!$B$7:$B$696,$A370)</f>
        <v>10507</v>
      </c>
      <c r="M370" s="108" t="n">
        <f aca="false">SUM(K370:L370)</f>
        <v>10507</v>
      </c>
      <c r="N370" s="202"/>
      <c r="O370" s="205" t="n">
        <f aca="false">SUMIFS(報告入力!$BE$7:$BE$696,報告入力!$A$7:$A$696,$S$327,報告入力!$B$7:$B$696,$A370)</f>
        <v>3151</v>
      </c>
      <c r="P370" s="108" t="n">
        <f aca="false">SUM(N370:O370)</f>
        <v>3151</v>
      </c>
      <c r="Q370" s="110" t="str">
        <f aca="false">IF(P305=P370,"〇","×")</f>
        <v>×</v>
      </c>
      <c r="R370" s="110" t="str">
        <f aca="false">IFERROR(INDEX(報告入力!$C$7:$C$696,MATCH($S$327&amp;"|"&amp;$A370,報告入力!$CG$7:$CG$696,0)),"")</f>
        <v>入金確認済</v>
      </c>
    </row>
    <row r="371" s="110" customFormat="true" ht="19.5" hidden="false" customHeight="true" outlineLevel="0" collapsed="false">
      <c r="A371" s="207" t="s">
        <v>196</v>
      </c>
      <c r="B371" s="117" t="n">
        <f aca="false">SUMIFS(報告入力!$AU$7:$AU$696,報告入力!$A$7:$A$696,$S$327,報告入力!$B$7:$B$696,$A371)</f>
        <v>126418505</v>
      </c>
      <c r="C371" s="113" t="n">
        <f aca="false">SUMIFS(報告入力!$AV$7:$AV$696,報告入力!$A$7:$A$696,$S$327,報告入力!$B$7:$B$696,$A371)</f>
        <v>10367948</v>
      </c>
      <c r="D371" s="111" t="n">
        <f aca="false">SUMIFS(報告入力!$AW$7:$AW$696,報告入力!$A$7:$A$696,$S$327,報告入力!$B$7:$B$696,$A371)</f>
        <v>184607059</v>
      </c>
      <c r="E371" s="114" t="n">
        <f aca="false">SUMIFS(報告入力!$AX$7:$AX$696,報告入力!$A$7:$A$696,$S$327,報告入力!$B$7:$B$696,$A371)</f>
        <v>10367948</v>
      </c>
      <c r="F371" s="113" t="n">
        <f aca="false">SUMIFS(報告入力!$AY$7:$AY$696,報告入力!$A$7:$A$696,$S$327,報告入力!$B$7:$B$696,$A371)</f>
        <v>126507</v>
      </c>
      <c r="G371" s="108" t="n">
        <f aca="false">SUM(B371:F371)</f>
        <v>331887967</v>
      </c>
      <c r="H371" s="114" t="n">
        <f aca="false">SUMIFS(報告入力!$AZ$7:$AZ$696,報告入力!$A$7:$A$696,$S$327,報告入力!$B$7:$B$696,$A371)</f>
        <v>94190280</v>
      </c>
      <c r="I371" s="205" t="n">
        <f aca="false">SUMIFS(報告入力!$BA$7:$BA$696,報告入力!$A$7:$A$696,$S$327,報告入力!$B$7:$B$696,$A371)</f>
        <v>94296058</v>
      </c>
      <c r="J371" s="108" t="n">
        <f aca="false">SUM(H371:I371)</f>
        <v>188486338</v>
      </c>
      <c r="K371" s="114" t="n">
        <f aca="false">SUMIFS(報告入力!$BB$7:$BB$696,報告入力!$A$7:$A$696,$S$327,報告入力!$B$7:$B$696,$A371)</f>
        <v>8065234</v>
      </c>
      <c r="L371" s="205" t="n">
        <f aca="false">SUMIFS(報告入力!$BC$7:$BC$696,報告入力!$A$7:$A$696,$S$327,報告入力!$B$7:$B$696,$A371)</f>
        <v>8065234</v>
      </c>
      <c r="M371" s="108" t="n">
        <f aca="false">SUM(K371:L371)</f>
        <v>16130468</v>
      </c>
      <c r="N371" s="114" t="n">
        <f aca="false">SUMIFS(報告入力!$BD$7:$BD$696,報告入力!$A$7:$A$696,$S$327,報告入力!$B$7:$B$696,$A371)</f>
        <v>2089205</v>
      </c>
      <c r="O371" s="205" t="n">
        <f aca="false">SUMIFS(報告入力!$BE$7:$BE$696,報告入力!$A$7:$A$696,$S$327,報告入力!$B$7:$B$696,$A371)</f>
        <v>2089203</v>
      </c>
      <c r="P371" s="108" t="n">
        <f aca="false">SUM(N371:O371)</f>
        <v>4178408</v>
      </c>
      <c r="Q371" s="110" t="str">
        <f aca="false">IF(P306=P371,"〇","×")</f>
        <v>×</v>
      </c>
      <c r="R371" s="110" t="str">
        <f aca="false">IFERROR(INDEX(報告入力!$C$7:$C$696,MATCH($S$327&amp;"|"&amp;$A371,報告入力!$CG$7:$CG$696,0)),"")</f>
        <v>入金確認済</v>
      </c>
    </row>
    <row r="372" s="137" customFormat="true" ht="21.75" hidden="false" customHeight="true" outlineLevel="0" collapsed="false">
      <c r="A372" s="189" t="s">
        <v>197</v>
      </c>
      <c r="B372" s="127"/>
      <c r="C372" s="131"/>
      <c r="D372" s="127"/>
      <c r="E372" s="209"/>
      <c r="F372" s="131"/>
      <c r="G372" s="210" t="n">
        <f aca="false">SUM(B372:F372)</f>
        <v>0</v>
      </c>
      <c r="H372" s="118" t="n">
        <f aca="false">SUMIFS(報告入力!$AZ$7:$AZ$696,報告入力!$A$7:$A$696,$S$327,報告入力!$B$7:$B$696,$A372)</f>
        <v>104755</v>
      </c>
      <c r="I372" s="125" t="n">
        <f aca="false">SUMIFS(報告入力!$BA$7:$BA$696,報告入力!$A$7:$A$696,$S$327,報告入力!$B$7:$B$696,$A372)</f>
        <v>104857</v>
      </c>
      <c r="J372" s="116" t="n">
        <f aca="false">SUM(H372:I372)</f>
        <v>209612</v>
      </c>
      <c r="K372" s="117" t="n">
        <f aca="false">SUMIFS(報告入力!$BB$7:$BB$696,報告入力!$A$7:$A$696,$S$327,報告入力!$B$7:$B$696,$A372)</f>
        <v>11060</v>
      </c>
      <c r="L372" s="125" t="n">
        <f aca="false">SUMIFS(報告入力!$BC$7:$BC$696,報告入力!$A$7:$A$696,$S$327,報告入力!$B$7:$B$696,$A372)</f>
        <v>11060</v>
      </c>
      <c r="M372" s="116" t="n">
        <f aca="false">SUM(K372:L372)</f>
        <v>22120</v>
      </c>
      <c r="N372" s="117" t="n">
        <f aca="false">SUMIFS(報告入力!$BD$7:$BD$696,報告入力!$A$7:$A$696,$S$327,報告入力!$B$7:$B$696,$A372)</f>
        <v>2321</v>
      </c>
      <c r="O372" s="205" t="n">
        <f aca="false">SUMIFS(報告入力!$BE$7:$BE$696,報告入力!$A$7:$A$696,$S$327,報告入力!$B$7:$B$696,$A372)</f>
        <v>2322</v>
      </c>
      <c r="P372" s="116" t="n">
        <f aca="false">SUM(N372:O372)</f>
        <v>4643</v>
      </c>
      <c r="Q372" s="137" t="str">
        <f aca="false">IF(P307=P372,"〇","×")</f>
        <v>〇</v>
      </c>
      <c r="R372" s="137" t="str">
        <f aca="false">IFERROR(INDEX(報告入力!$C$7:$C$696,MATCH($S$327&amp;"|"&amp;$A372,報告入力!$CG$7:$CG$696,0)),"")</f>
        <v>入金確認済</v>
      </c>
    </row>
    <row r="373" s="137" customFormat="true" ht="21.75" hidden="false" customHeight="true" outlineLevel="0" collapsed="false">
      <c r="A373" s="211" t="s">
        <v>216</v>
      </c>
      <c r="B373" s="311"/>
      <c r="C373" s="330"/>
      <c r="D373" s="311"/>
      <c r="E373" s="309"/>
      <c r="F373" s="331"/>
      <c r="G373" s="302" t="n">
        <f aca="false">SUM(B373:F373)</f>
        <v>0</v>
      </c>
      <c r="H373" s="309"/>
      <c r="I373" s="310"/>
      <c r="J373" s="305" t="n">
        <f aca="false">SUM(H373:I373)</f>
        <v>0</v>
      </c>
      <c r="K373" s="309"/>
      <c r="L373" s="310"/>
      <c r="M373" s="305" t="n">
        <f aca="false">SUM(K373:L373)</f>
        <v>0</v>
      </c>
      <c r="N373" s="309"/>
      <c r="O373" s="310"/>
      <c r="P373" s="305" t="n">
        <f aca="false">SUM(N373:O373)</f>
        <v>0</v>
      </c>
      <c r="Q373" s="137" t="str">
        <f aca="false">IF(P308=P373,"〇","×")</f>
        <v>〇</v>
      </c>
      <c r="R373" s="137" t="str">
        <f aca="false">IFERROR(INDEX(報告入力!$C$7:$C$696,MATCH($S$327&amp;"|"&amp;$A373,報告入力!$CG$7:$CG$696,0)),"")</f>
        <v>報告なし</v>
      </c>
    </row>
    <row r="374" s="137" customFormat="true" ht="21.75" hidden="false" customHeight="true" outlineLevel="0" collapsed="false">
      <c r="A374" s="211" t="s">
        <v>199</v>
      </c>
      <c r="B374" s="117" t="n">
        <f aca="false">SUMIFS(報告入力!$AU$7:$AU$696,報告入力!$A$7:$A$696,$S$327,報告入力!$B$7:$B$696,$A374)</f>
        <v>118950</v>
      </c>
      <c r="C374" s="122" t="n">
        <f aca="false">SUMIFS(報告入力!$AV$7:$AV$696,報告入力!$A$7:$A$696,$S$327,報告入力!$B$7:$B$696,$A374)</f>
        <v>9750</v>
      </c>
      <c r="D374" s="117" t="n">
        <f aca="false">SUMIFS(報告入力!$AW$7:$AW$696,報告入力!$A$7:$A$696,$S$327,報告入力!$B$7:$B$696,$A374)</f>
        <v>118950</v>
      </c>
      <c r="E374" s="118" t="n">
        <f aca="false">SUMIFS(報告入力!$AX$7:$AX$696,報告入力!$A$7:$A$696,$S$327,報告入力!$B$7:$B$696,$A374)</f>
        <v>9750</v>
      </c>
      <c r="F374" s="123" t="n">
        <f aca="false">SUMIFS(報告入力!$AY$7:$AY$696,報告入力!$A$7:$A$696,$S$327,報告入力!$B$7:$B$696,$A374)</f>
        <v>112</v>
      </c>
      <c r="G374" s="108" t="n">
        <f aca="false">SUM(B374:F374)</f>
        <v>257512</v>
      </c>
      <c r="H374" s="118" t="n">
        <f aca="false">SUMIFS(報告入力!$AZ$7:$AZ$696,報告入力!$A$7:$A$696,$S$327,報告入力!$B$7:$B$696,$A374)</f>
        <v>84531</v>
      </c>
      <c r="I374" s="205" t="n">
        <f aca="false">SUMIFS(報告入力!$BA$7:$BA$696,報告入力!$A$7:$A$696,$S$327,報告入力!$B$7:$B$696,$A374)</f>
        <v>84613</v>
      </c>
      <c r="J374" s="116" t="n">
        <f aca="false">SUM(H374:I374)</f>
        <v>169144</v>
      </c>
      <c r="K374" s="118" t="n">
        <f aca="false">SUMIFS(報告入力!$BB$7:$BB$696,報告入力!$A$7:$A$696,$S$327,報告入力!$B$7:$B$696,$A374)</f>
        <v>12877</v>
      </c>
      <c r="L374" s="205" t="n">
        <f aca="false">SUMIFS(報告入力!$BC$7:$BC$696,報告入力!$A$7:$A$696,$S$327,報告入力!$B$7:$B$696,$A374)</f>
        <v>12877</v>
      </c>
      <c r="M374" s="116" t="n">
        <f aca="false">SUM(K374:L374)</f>
        <v>25754</v>
      </c>
      <c r="N374" s="118" t="n">
        <f aca="false">SUMIFS(報告入力!$BD$7:$BD$696,報告入力!$A$7:$A$696,$S$327,報告入力!$B$7:$B$696,$A374)</f>
        <v>1874</v>
      </c>
      <c r="O374" s="205" t="n">
        <f aca="false">SUMIFS(報告入力!$BE$7:$BE$696,報告入力!$A$7:$A$696,$S$327,報告入力!$B$7:$B$696,$A374)</f>
        <v>1874</v>
      </c>
      <c r="P374" s="116" t="n">
        <f aca="false">SUM(N374:O374)</f>
        <v>3748</v>
      </c>
      <c r="Q374" s="137" t="str">
        <f aca="false">IF(P309=P374,"〇","×")</f>
        <v>〇</v>
      </c>
      <c r="R374" s="137" t="str">
        <f aca="false">IFERROR(INDEX(報告入力!$C$7:$C$696,MATCH($S$327&amp;"|"&amp;$A374,報告入力!$CG$7:$CG$696,0)),"")</f>
        <v>入金確認済</v>
      </c>
    </row>
    <row r="375" s="137" customFormat="true" ht="21.75" hidden="false" customHeight="true" outlineLevel="0" collapsed="false">
      <c r="A375" s="149"/>
      <c r="B375" s="157"/>
      <c r="C375" s="156"/>
      <c r="D375" s="220"/>
      <c r="E375" s="158"/>
      <c r="F375" s="156"/>
      <c r="G375" s="221" t="n">
        <f aca="false">SUM(B375:F375)</f>
        <v>0</v>
      </c>
      <c r="H375" s="222"/>
      <c r="I375" s="158"/>
      <c r="J375" s="223" t="n">
        <f aca="false">SUM(H375:I375)</f>
        <v>0</v>
      </c>
      <c r="K375" s="220"/>
      <c r="L375" s="158"/>
      <c r="M375" s="223" t="n">
        <f aca="false">SUM(K375:L375)</f>
        <v>0</v>
      </c>
      <c r="N375" s="220"/>
      <c r="O375" s="158"/>
      <c r="P375" s="223" t="n">
        <f aca="false">SUM(N375:O375)</f>
        <v>0</v>
      </c>
      <c r="Q375" s="137" t="str">
        <f aca="false">IF(P310=P375,"〇","×")</f>
        <v>〇</v>
      </c>
    </row>
    <row r="376" s="137" customFormat="true" ht="0.2" hidden="false" customHeight="true" outlineLevel="0" collapsed="false">
      <c r="A376" s="149"/>
      <c r="B376" s="157"/>
      <c r="C376" s="156"/>
      <c r="D376" s="220"/>
      <c r="E376" s="158"/>
      <c r="F376" s="156"/>
      <c r="G376" s="221" t="n">
        <f aca="false">SUM(B376:F376)</f>
        <v>0</v>
      </c>
      <c r="H376" s="222"/>
      <c r="I376" s="158"/>
      <c r="J376" s="223" t="n">
        <f aca="false">SUM(H376:I376)</f>
        <v>0</v>
      </c>
      <c r="K376" s="220"/>
      <c r="L376" s="158"/>
      <c r="M376" s="223" t="n">
        <f aca="false">SUM(K376:L376)</f>
        <v>0</v>
      </c>
      <c r="N376" s="220"/>
      <c r="O376" s="158"/>
      <c r="P376" s="223" t="n">
        <f aca="false">SUM(N376:O376)</f>
        <v>0</v>
      </c>
      <c r="Q376" s="137" t="str">
        <f aca="false">IF(P311=P376,"〇","×")</f>
        <v>〇</v>
      </c>
    </row>
    <row r="377" s="137" customFormat="true" ht="0.2" hidden="false" customHeight="true" outlineLevel="0" collapsed="false">
      <c r="A377" s="162"/>
      <c r="B377" s="224"/>
      <c r="C377" s="225"/>
      <c r="D377" s="226"/>
      <c r="E377" s="227"/>
      <c r="F377" s="225"/>
      <c r="G377" s="228"/>
      <c r="H377" s="229"/>
      <c r="I377" s="229"/>
      <c r="J377" s="230"/>
      <c r="K377" s="231"/>
      <c r="L377" s="229"/>
      <c r="M377" s="230"/>
      <c r="N377" s="231"/>
      <c r="O377" s="229"/>
      <c r="P377" s="230"/>
      <c r="Q377" s="137" t="str">
        <f aca="false">IF(P312=P377,"〇","×")</f>
        <v>〇</v>
      </c>
    </row>
    <row r="378" s="110" customFormat="true" ht="20.1" hidden="false" customHeight="true" outlineLevel="0" collapsed="false">
      <c r="A378" s="171" t="s">
        <v>383</v>
      </c>
      <c r="B378" s="172" t="n">
        <f aca="false">SUM(B348:B377)</f>
        <v>129262325</v>
      </c>
      <c r="C378" s="175" t="n">
        <f aca="false">SUM(C348:C377)</f>
        <v>10601048</v>
      </c>
      <c r="D378" s="173" t="n">
        <f aca="false">SUM(D348:D377)</f>
        <v>193649088</v>
      </c>
      <c r="E378" s="174" t="n">
        <f aca="false">SUM(E348:E377)</f>
        <v>11109097</v>
      </c>
      <c r="F378" s="175" t="n">
        <f aca="false">SUM(F348:F377)</f>
        <v>135416</v>
      </c>
      <c r="G378" s="176" t="n">
        <f aca="false">SUM(B378:F378)</f>
        <v>344756974</v>
      </c>
      <c r="H378" s="173" t="n">
        <f aca="false">SUM(H348:H376)</f>
        <v>95946231</v>
      </c>
      <c r="I378" s="173" t="n">
        <f aca="false">SUM(I348:I376)</f>
        <v>99740007</v>
      </c>
      <c r="J378" s="175" t="n">
        <f aca="false">SUM(H378:I378)</f>
        <v>195686238</v>
      </c>
      <c r="K378" s="172" t="n">
        <f aca="false">SUM(K348:K376)</f>
        <v>8251911</v>
      </c>
      <c r="L378" s="173" t="n">
        <f aca="false">SUM(L348:L376)</f>
        <v>8680328</v>
      </c>
      <c r="M378" s="175" t="n">
        <f aca="false">SUM(K378:L378)</f>
        <v>16932239</v>
      </c>
      <c r="N378" s="172" t="n">
        <f aca="false">SUM(N348:N376)</f>
        <v>2128129</v>
      </c>
      <c r="O378" s="173" t="n">
        <f aca="false">SUM(O348:O376)</f>
        <v>2209791</v>
      </c>
      <c r="P378" s="175" t="n">
        <f aca="false">SUM(N378:O378)</f>
        <v>4337920</v>
      </c>
      <c r="Q378" s="110" t="str">
        <f aca="false">IF(P313=P378,"〇","×")</f>
        <v>×</v>
      </c>
    </row>
    <row r="379" s="137" customFormat="true" ht="0.2" hidden="false" customHeight="true" outlineLevel="0" collapsed="false">
      <c r="A379" s="149" t="s">
        <v>382</v>
      </c>
      <c r="B379" s="231"/>
      <c r="C379" s="232"/>
      <c r="D379" s="229"/>
      <c r="E379" s="233"/>
      <c r="F379" s="234"/>
      <c r="G379" s="235"/>
      <c r="H379" s="236"/>
      <c r="I379" s="236"/>
      <c r="J379" s="237"/>
      <c r="K379" s="238"/>
      <c r="L379" s="239"/>
      <c r="M379" s="240"/>
      <c r="N379" s="238"/>
      <c r="O379" s="239"/>
      <c r="P379" s="240"/>
      <c r="Q379" s="137" t="str">
        <f aca="false">IF(P314=P379,"〇","×")</f>
        <v>〇</v>
      </c>
    </row>
    <row r="380" s="137" customFormat="true" ht="0.2" hidden="false" customHeight="true" outlineLevel="0" collapsed="false">
      <c r="A380" s="241" t="s">
        <v>382</v>
      </c>
      <c r="B380" s="242"/>
      <c r="C380" s="243"/>
      <c r="D380" s="229"/>
      <c r="E380" s="233"/>
      <c r="F380" s="232"/>
      <c r="G380" s="228"/>
      <c r="H380" s="244"/>
      <c r="I380" s="244"/>
      <c r="J380" s="245"/>
      <c r="K380" s="246"/>
      <c r="L380" s="247"/>
      <c r="M380" s="248"/>
      <c r="N380" s="246"/>
      <c r="O380" s="247"/>
      <c r="P380" s="248"/>
      <c r="Q380" s="137" t="str">
        <f aca="false">IF(P315=P380,"〇","×")</f>
        <v>〇</v>
      </c>
    </row>
    <row r="381" s="110" customFormat="true" ht="20.1" hidden="false" customHeight="true" outlineLevel="0" collapsed="false">
      <c r="A381" s="189" t="s">
        <v>200</v>
      </c>
      <c r="B381" s="117" t="n">
        <f aca="false">SUMIFS(報告入力!$AU$7:$AU$696,報告入力!$A$7:$A$696,$S$327,報告入力!$B$7:$B$696,$A381)</f>
        <v>145485</v>
      </c>
      <c r="C381" s="113" t="n">
        <f aca="false">SUMIFS(報告入力!$AV$7:$AV$696,報告入力!$A$7:$A$696,$S$327,報告入力!$B$7:$B$696,$A381)</f>
        <v>11925</v>
      </c>
      <c r="D381" s="111" t="n">
        <f aca="false">SUMIFS(報告入力!$AW$7:$AW$696,報告入力!$A$7:$A$696,$S$327,報告入力!$B$7:$B$696,$A381)</f>
        <v>145485</v>
      </c>
      <c r="E381" s="114" t="n">
        <f aca="false">SUMIFS(報告入力!$AX$7:$AX$696,報告入力!$A$7:$A$696,$S$327,報告入力!$B$7:$B$696,$A381)</f>
        <v>11925</v>
      </c>
      <c r="F381" s="113" t="n">
        <f aca="false">SUMIFS(報告入力!$AY$7:$AY$696,報告入力!$A$7:$A$696,$S$327,報告入力!$B$7:$B$696,$A381)</f>
        <v>138</v>
      </c>
      <c r="G381" s="108" t="n">
        <f aca="false">SUM(B381:F381)</f>
        <v>314958</v>
      </c>
      <c r="H381" s="130"/>
      <c r="I381" s="130"/>
      <c r="J381" s="196" t="n">
        <f aca="false">SUM(H381:I381)</f>
        <v>0</v>
      </c>
      <c r="K381" s="130"/>
      <c r="L381" s="130"/>
      <c r="M381" s="196" t="n">
        <f aca="false">SUM(K381:L381)</f>
        <v>0</v>
      </c>
      <c r="N381" s="130"/>
      <c r="O381" s="130"/>
      <c r="P381" s="196" t="n">
        <f aca="false">SUM(N381:O381)</f>
        <v>0</v>
      </c>
      <c r="Q381" s="110" t="str">
        <f aca="false">IF(P316=P381,"〇","×")</f>
        <v>〇</v>
      </c>
      <c r="R381" s="110" t="str">
        <f aca="false">IFERROR(INDEX(報告入力!$C$7:$C$696,MATCH($S$327&amp;"|"&amp;$A381,報告入力!$CG$7:$CG$696,0)),"")</f>
        <v>入金確認済</v>
      </c>
    </row>
    <row r="382" s="110" customFormat="true" ht="21.75" hidden="false" customHeight="true" outlineLevel="0" collapsed="false">
      <c r="A382" s="352" t="s">
        <v>201</v>
      </c>
      <c r="B382" s="185" t="n">
        <f aca="false">SUMIFS(報告入力!$AU$7:$AU$696,報告入力!$A$7:$A$696,$S$327,報告入力!$B$7:$B$696,$A382)</f>
        <v>53985</v>
      </c>
      <c r="C382" s="199" t="n">
        <f aca="false">SUMIFS(報告入力!$AV$7:$AV$696,報告入力!$A$7:$A$696,$S$327,報告入力!$B$7:$B$696,$A382)</f>
        <v>4425</v>
      </c>
      <c r="D382" s="249" t="n">
        <f aca="false">SUMIFS(報告入力!$AW$7:$AW$696,報告入力!$A$7:$A$696,$S$327,報告入力!$B$7:$B$696,$A382)</f>
        <v>53985</v>
      </c>
      <c r="E382" s="250" t="n">
        <f aca="false">SUMIFS(報告入力!$AX$7:$AX$696,報告入力!$A$7:$A$696,$S$327,報告入力!$B$7:$B$696,$A382)</f>
        <v>4425</v>
      </c>
      <c r="F382" s="251" t="n">
        <f aca="false">SUMIFS(報告入力!$AY$7:$AY$696,報告入力!$A$7:$A$696,$S$327,報告入力!$B$7:$B$696,$A382)</f>
        <v>51</v>
      </c>
      <c r="G382" s="119" t="n">
        <f aca="false">SUM(B382:F382)</f>
        <v>116871</v>
      </c>
      <c r="H382" s="252"/>
      <c r="I382" s="252"/>
      <c r="J382" s="253" t="n">
        <f aca="false">SUM(H382:I382)</f>
        <v>0</v>
      </c>
      <c r="K382" s="252"/>
      <c r="L382" s="252"/>
      <c r="M382" s="253" t="n">
        <f aca="false">SUM(K382:L382)</f>
        <v>0</v>
      </c>
      <c r="N382" s="252"/>
      <c r="O382" s="252"/>
      <c r="P382" s="253" t="n">
        <f aca="false">SUM(N382:O382)</f>
        <v>0</v>
      </c>
      <c r="Q382" s="110" t="str">
        <f aca="false">IF(P317=P382,"〇","×")</f>
        <v>〇</v>
      </c>
      <c r="R382" s="110" t="str">
        <f aca="false">IFERROR(INDEX(報告入力!$C$7:$C$696,MATCH($S$327&amp;"|"&amp;$A382,報告入力!$CG$7:$CG$696,0)),"")</f>
        <v>入金確認済</v>
      </c>
    </row>
    <row r="383" s="110" customFormat="true" ht="19.5" hidden="false" customHeight="true" outlineLevel="0" collapsed="false">
      <c r="A383" s="171" t="s">
        <v>383</v>
      </c>
      <c r="B383" s="172" t="n">
        <f aca="false">SUM(B379:B382)</f>
        <v>199470</v>
      </c>
      <c r="C383" s="175" t="n">
        <f aca="false">SUM(C379:C382)</f>
        <v>16350</v>
      </c>
      <c r="D383" s="173" t="n">
        <f aca="false">SUM(D379:D382)</f>
        <v>199470</v>
      </c>
      <c r="E383" s="174" t="n">
        <f aca="false">SUM(E379:E382)</f>
        <v>16350</v>
      </c>
      <c r="F383" s="175" t="n">
        <f aca="false">SUM(F379:F382)</f>
        <v>189</v>
      </c>
      <c r="G383" s="176" t="n">
        <f aca="false">SUM(B383:F383)</f>
        <v>431829</v>
      </c>
      <c r="H383" s="256" t="n">
        <f aca="false">SUM(H379:H382)</f>
        <v>0</v>
      </c>
      <c r="I383" s="257" t="n">
        <f aca="false">SUM(I379:I382)</f>
        <v>0</v>
      </c>
      <c r="J383" s="258" t="n">
        <f aca="false">SUM(H383:I383)</f>
        <v>0</v>
      </c>
      <c r="K383" s="256" t="n">
        <f aca="false">SUM(K379:K382)</f>
        <v>0</v>
      </c>
      <c r="L383" s="257" t="n">
        <f aca="false">SUM(L379:L382)</f>
        <v>0</v>
      </c>
      <c r="M383" s="258" t="n">
        <f aca="false">SUM(K383:L383)</f>
        <v>0</v>
      </c>
      <c r="N383" s="256" t="n">
        <f aca="false">SUM(N379:N382)</f>
        <v>0</v>
      </c>
      <c r="O383" s="257" t="n">
        <f aca="false">SUM(O379:O382)</f>
        <v>0</v>
      </c>
      <c r="P383" s="258" t="n">
        <f aca="false">SUM(N383:O383)</f>
        <v>0</v>
      </c>
      <c r="Q383" s="110" t="str">
        <f aca="false">IF(P318=P383,"〇","×")</f>
        <v>〇</v>
      </c>
    </row>
    <row r="384" s="110" customFormat="true" ht="20.1" hidden="false" customHeight="true" outlineLevel="0" collapsed="false">
      <c r="A384" s="100" t="s">
        <v>202</v>
      </c>
      <c r="B384" s="117" t="n">
        <f aca="false">SUMIFS(報告入力!$AU$7:$AU$696,報告入力!$A$7:$A$696,$S$327,報告入力!$B$7:$B$696,$A384)</f>
        <v>29280</v>
      </c>
      <c r="C384" s="113" t="n">
        <f aca="false">SUMIFS(報告入力!$AV$7:$AV$696,報告入力!$A$7:$A$696,$S$327,報告入力!$B$7:$B$696,$A384)</f>
        <v>2400</v>
      </c>
      <c r="D384" s="111" t="n">
        <f aca="false">SUMIFS(報告入力!$AW$7:$AW$696,報告入力!$A$7:$A$696,$S$327,報告入力!$B$7:$B$696,$A384)</f>
        <v>29280</v>
      </c>
      <c r="E384" s="114" t="n">
        <f aca="false">SUMIFS(報告入力!$AX$7:$AX$696,報告入力!$A$7:$A$696,$S$327,報告入力!$B$7:$B$696,$A384)</f>
        <v>2400</v>
      </c>
      <c r="F384" s="193"/>
      <c r="G384" s="108" t="n">
        <f aca="false">SUM(B384:F384)</f>
        <v>63360</v>
      </c>
      <c r="H384" s="114" t="n">
        <f aca="false">SUMIFS(報告入力!$AZ$7:$AZ$696,報告入力!$A$7:$A$696,$S$327,報告入力!$B$7:$B$696,$A384)</f>
        <v>16595</v>
      </c>
      <c r="I384" s="115" t="n">
        <f aca="false">SUMIFS(報告入力!$BA$7:$BA$696,報告入力!$A$7:$A$696,$S$327,報告入力!$B$7:$B$696,$A384)</f>
        <v>16611</v>
      </c>
      <c r="J384" s="116" t="n">
        <f aca="false">SUM(H384:I384)</f>
        <v>33206</v>
      </c>
      <c r="K384" s="114" t="n">
        <f aca="false">SUMIFS(報告入力!$BB$7:$BB$696,報告入力!$A$7:$A$696,$S$327,報告入力!$B$7:$B$696,$A384)</f>
        <v>2528</v>
      </c>
      <c r="L384" s="115" t="n">
        <f aca="false">SUMIFS(報告入力!$BC$7:$BC$696,報告入力!$A$7:$A$696,$S$327,報告入力!$B$7:$B$696,$A384)</f>
        <v>2528</v>
      </c>
      <c r="M384" s="116" t="n">
        <f aca="false">SUM(K384:L384)</f>
        <v>5056</v>
      </c>
      <c r="N384" s="114" t="n">
        <f aca="false">SUMIFS(報告入力!$BD$7:$BD$696,報告入力!$A$7:$A$696,$S$327,報告入力!$B$7:$B$696,$A384)</f>
        <v>368</v>
      </c>
      <c r="O384" s="115" t="n">
        <f aca="false">SUMIFS(報告入力!$BE$7:$BE$696,報告入力!$A$7:$A$696,$S$327,報告入力!$B$7:$B$696,$A384)</f>
        <v>368</v>
      </c>
      <c r="P384" s="116" t="n">
        <f aca="false">SUM(N384:O384)</f>
        <v>736</v>
      </c>
      <c r="Q384" s="110" t="str">
        <f aca="false">IF(P319=P384,"〇","×")</f>
        <v>〇</v>
      </c>
      <c r="R384" s="110" t="str">
        <f aca="false">IFERROR(INDEX(報告入力!$C$7:$C$696,MATCH($S$327&amp;"|"&amp;$A384,報告入力!$CG$7:$CG$696,0)),"")</f>
        <v>入金確認済</v>
      </c>
    </row>
    <row r="385" s="110" customFormat="true" ht="20.1" hidden="false" customHeight="true" outlineLevel="0" collapsed="false">
      <c r="A385" s="100" t="s">
        <v>203</v>
      </c>
      <c r="B385" s="215" t="n">
        <f aca="false">SUMIFS(報告入力!$AU$7:$AU$696,報告入力!$A$7:$A$696,$S$327,報告入力!$B$7:$B$696,$A385)</f>
        <v>0</v>
      </c>
      <c r="C385" s="212" t="n">
        <f aca="false">SUMIFS(報告入力!$AV$7:$AV$696,報告入力!$A$7:$A$696,$S$327,報告入力!$B$7:$B$696,$A385)</f>
        <v>0</v>
      </c>
      <c r="D385" s="178" t="n">
        <f aca="false">SUMIFS(報告入力!$AW$7:$AW$696,報告入力!$A$7:$A$696,$S$327,報告入力!$B$7:$B$696,$A385)</f>
        <v>0</v>
      </c>
      <c r="E385" s="182" t="n">
        <f aca="false">SUMIFS(報告入力!$AX$7:$AX$696,報告入力!$A$7:$A$696,$S$327,報告入力!$B$7:$B$696,$A385)</f>
        <v>0</v>
      </c>
      <c r="F385" s="193"/>
      <c r="G385" s="181" t="n">
        <f aca="false">SUM(B385:F385)</f>
        <v>0</v>
      </c>
      <c r="H385" s="182" t="n">
        <f aca="false">SUMIFS(報告入力!$AZ$7:$AZ$696,報告入力!$A$7:$A$696,$S$327,報告入力!$B$7:$B$696,$A385)</f>
        <v>0</v>
      </c>
      <c r="I385" s="183" t="n">
        <f aca="false">SUMIFS(報告入力!$BA$7:$BA$696,報告入力!$A$7:$A$696,$S$327,報告入力!$B$7:$B$696,$A385)</f>
        <v>0</v>
      </c>
      <c r="J385" s="135" t="n">
        <f aca="false">SUM(H385:I385)</f>
        <v>0</v>
      </c>
      <c r="K385" s="262" t="n">
        <f aca="false">SUMIFS(報告入力!$BB$7:$BB$696,報告入力!$A$7:$A$696,$S$327,報告入力!$B$7:$B$696,$A385)</f>
        <v>0</v>
      </c>
      <c r="L385" s="183" t="n">
        <f aca="false">SUMIFS(報告入力!$BC$7:$BC$696,報告入力!$A$7:$A$696,$S$327,報告入力!$B$7:$B$696,$A385)</f>
        <v>0</v>
      </c>
      <c r="M385" s="135" t="n">
        <f aca="false">SUM(K385:L385)</f>
        <v>0</v>
      </c>
      <c r="N385" s="262" t="n">
        <f aca="false">SUMIFS(報告入力!$BD$7:$BD$696,報告入力!$A$7:$A$696,$S$327,報告入力!$B$7:$B$696,$A385)</f>
        <v>0</v>
      </c>
      <c r="O385" s="183" t="n">
        <f aca="false">SUMIFS(報告入力!$BE$7:$BE$696,報告入力!$A$7:$A$696,$S$327,報告入力!$B$7:$B$696,$A385)</f>
        <v>0</v>
      </c>
      <c r="P385" s="135" t="n">
        <f aca="false">SUM(N385:O385)</f>
        <v>0</v>
      </c>
      <c r="Q385" s="110" t="str">
        <f aca="false">IF(P320=P385,"〇","×")</f>
        <v>〇</v>
      </c>
      <c r="R385" s="110" t="str">
        <f aca="false">IFERROR(INDEX(報告入力!$C$7:$C$696,MATCH($S$327&amp;"|"&amp;$A385,報告入力!$CG$7:$CG$696,0)),"")</f>
        <v>未受領</v>
      </c>
    </row>
    <row r="386" s="110" customFormat="true" ht="20.1" hidden="false" customHeight="true" outlineLevel="0" collapsed="false">
      <c r="A386" s="192" t="s">
        <v>204</v>
      </c>
      <c r="B386" s="117" t="n">
        <f aca="false">SUMIFS(報告入力!$AU$7:$AU$696,報告入力!$A$7:$A$696,$S$327,報告入力!$B$7:$B$696,$A386)</f>
        <v>27450</v>
      </c>
      <c r="C386" s="113" t="n">
        <f aca="false">SUMIFS(報告入力!$AV$7:$AV$696,報告入力!$A$7:$A$696,$S$327,報告入力!$B$7:$B$696,$A386)</f>
        <v>2250</v>
      </c>
      <c r="D386" s="111" t="n">
        <f aca="false">SUMIFS(報告入力!$AW$7:$AW$696,報告入力!$A$7:$A$696,$S$327,報告入力!$B$7:$B$696,$A386)</f>
        <v>27450</v>
      </c>
      <c r="E386" s="114" t="n">
        <f aca="false">SUMIFS(報告入力!$AX$7:$AX$696,報告入力!$A$7:$A$696,$S$327,報告入力!$B$7:$B$696,$A386)</f>
        <v>2250</v>
      </c>
      <c r="F386" s="193"/>
      <c r="G386" s="108" t="n">
        <f aca="false">SUM(B386:F386)</f>
        <v>59400</v>
      </c>
      <c r="H386" s="114" t="n">
        <f aca="false">SUMIFS(報告入力!$AZ$7:$AZ$696,報告入力!$A$7:$A$696,$S$327,報告入力!$B$7:$B$696,$A386)</f>
        <v>31116</v>
      </c>
      <c r="I386" s="115" t="n">
        <f aca="false">SUMIFS(報告入力!$BA$7:$BA$696,報告入力!$A$7:$A$696,$S$327,報告入力!$B$7:$B$696,$A386)</f>
        <v>31146</v>
      </c>
      <c r="J386" s="116" t="n">
        <f aca="false">SUM(H386:I386)</f>
        <v>62262</v>
      </c>
      <c r="K386" s="109" t="n">
        <f aca="false">SUMIFS(報告入力!$BB$7:$BB$696,報告入力!$A$7:$A$696,$S$327,報告入力!$B$7:$B$696,$A386)</f>
        <v>2370</v>
      </c>
      <c r="L386" s="115" t="n">
        <f aca="false">SUMIFS(報告入力!$BC$7:$BC$696,報告入力!$A$7:$A$696,$S$327,報告入力!$B$7:$B$696,$A386)</f>
        <v>2370</v>
      </c>
      <c r="M386" s="116" t="n">
        <f aca="false">SUM(K386:L386)</f>
        <v>4740</v>
      </c>
      <c r="N386" s="109" t="n">
        <f aca="false">SUMIFS(報告入力!$BD$7:$BD$696,報告入力!$A$7:$A$696,$S$327,報告入力!$B$7:$B$696,$A386)</f>
        <v>690</v>
      </c>
      <c r="O386" s="115" t="n">
        <f aca="false">SUMIFS(報告入力!$BE$7:$BE$696,報告入力!$A$7:$A$696,$S$327,報告入力!$B$7:$B$696,$A386)</f>
        <v>690</v>
      </c>
      <c r="P386" s="116" t="n">
        <f aca="false">SUM(N386:O386)</f>
        <v>1380</v>
      </c>
      <c r="Q386" s="110" t="str">
        <f aca="false">IF(P321=P386,"〇","×")</f>
        <v>〇</v>
      </c>
      <c r="R386" s="110" t="str">
        <f aca="false">IFERROR(INDEX(報告入力!$C$7:$C$696,MATCH($S$327&amp;"|"&amp;$A386,報告入力!$CG$7:$CG$696,0)),"")</f>
        <v>入金確認済</v>
      </c>
    </row>
    <row r="387" s="110" customFormat="true" ht="20.1" hidden="false" customHeight="true" outlineLevel="0" collapsed="false">
      <c r="A387" s="192" t="s">
        <v>205</v>
      </c>
      <c r="B387" s="215"/>
      <c r="C387" s="212"/>
      <c r="D387" s="178"/>
      <c r="E387" s="182"/>
      <c r="F387" s="312"/>
      <c r="G387" s="181" t="n">
        <f aca="false">SUM(B387:F387)</f>
        <v>0</v>
      </c>
      <c r="H387" s="332"/>
      <c r="I387" s="333"/>
      <c r="J387" s="284" t="n">
        <f aca="false">SUM(H387:I387)</f>
        <v>0</v>
      </c>
      <c r="K387" s="334"/>
      <c r="L387" s="333"/>
      <c r="M387" s="284" t="n">
        <f aca="false">SUM(K387:L387)</f>
        <v>0</v>
      </c>
      <c r="N387" s="334"/>
      <c r="O387" s="333"/>
      <c r="P387" s="284" t="n">
        <f aca="false">SUM(N387:O387)</f>
        <v>0</v>
      </c>
      <c r="Q387" s="110" t="str">
        <f aca="false">IF(P322=P387,"〇","×")</f>
        <v>〇</v>
      </c>
      <c r="R387" s="110" t="str">
        <f aca="false">IFERROR(INDEX(報告入力!$C$7:$C$696,MATCH($S$327&amp;"|"&amp;$A387,報告入力!$CG$7:$CG$696,0)),"")</f>
        <v>報告なし</v>
      </c>
    </row>
    <row r="388" s="110" customFormat="true" ht="20.1" hidden="false" customHeight="true" outlineLevel="0" collapsed="false">
      <c r="A388" s="171" t="s">
        <v>383</v>
      </c>
      <c r="B388" s="172" t="n">
        <f aca="false">SUM(B384:B387)</f>
        <v>56730</v>
      </c>
      <c r="C388" s="176" t="n">
        <f aca="false">SUM(C384:C387)</f>
        <v>4650</v>
      </c>
      <c r="D388" s="172" t="n">
        <f aca="false">SUM(D384:D387)</f>
        <v>56730</v>
      </c>
      <c r="E388" s="174" t="n">
        <f aca="false">SUM(E384:E387)</f>
        <v>4650</v>
      </c>
      <c r="F388" s="175" t="n">
        <f aca="false">SUM(F384:F387)</f>
        <v>0</v>
      </c>
      <c r="G388" s="176" t="n">
        <f aca="false">SUM(B388:F388)</f>
        <v>122760</v>
      </c>
      <c r="H388" s="276" t="n">
        <f aca="false">SUM(H384:H387)</f>
        <v>47711</v>
      </c>
      <c r="I388" s="174" t="n">
        <f aca="false">SUM(I384:I387)</f>
        <v>47757</v>
      </c>
      <c r="J388" s="175" t="n">
        <f aca="false">SUM(H388:I388)</f>
        <v>95468</v>
      </c>
      <c r="K388" s="172" t="n">
        <f aca="false">SUM(K384:K387)</f>
        <v>4898</v>
      </c>
      <c r="L388" s="276" t="n">
        <f aca="false">SUM(L384:L387)</f>
        <v>4898</v>
      </c>
      <c r="M388" s="175" t="n">
        <f aca="false">SUM(K388:L388)</f>
        <v>9796</v>
      </c>
      <c r="N388" s="172" t="n">
        <f aca="false">SUM(N384:N387)</f>
        <v>1058</v>
      </c>
      <c r="O388" s="276" t="n">
        <f aca="false">SUM(O384:O387)</f>
        <v>1058</v>
      </c>
      <c r="P388" s="175" t="n">
        <f aca="false">SUM(N388:O388)</f>
        <v>2116</v>
      </c>
      <c r="Q388" s="110" t="str">
        <f aca="false">IF(P323=P388,"〇","×")</f>
        <v>〇</v>
      </c>
    </row>
    <row r="389" s="110" customFormat="true" ht="20.1" hidden="false" customHeight="true" outlineLevel="0" collapsed="false">
      <c r="A389" s="277" t="s">
        <v>206</v>
      </c>
      <c r="B389" s="278"/>
      <c r="C389" s="279"/>
      <c r="D389" s="280"/>
      <c r="E389" s="281"/>
      <c r="F389" s="267"/>
      <c r="G389" s="268"/>
      <c r="H389" s="282" t="n">
        <f aca="false">SUMIFS(報告入力!$AZ$7:$AZ$696,報告入力!$A$7:$A$696,$S$327,報告入力!$B$7:$B$696,$A389)</f>
        <v>3479204</v>
      </c>
      <c r="I389" s="314"/>
      <c r="J389" s="284" t="n">
        <f aca="false">SUM(H389:I389)</f>
        <v>3479204</v>
      </c>
      <c r="K389" s="282" t="n">
        <f aca="false">SUMIFS(報告入力!$BB$7:$BB$696,報告入力!$A$7:$A$696,$S$327,報告入力!$B$7:$B$696,$A389)</f>
        <v>95674</v>
      </c>
      <c r="L389" s="314"/>
      <c r="M389" s="284" t="n">
        <f aca="false">SUM(K389:L389)</f>
        <v>95674</v>
      </c>
      <c r="N389" s="282" t="n">
        <f aca="false">SUMIFS(報告入力!$BD$7:$BD$696,報告入力!$A$7:$A$696,$S$327,報告入力!$B$7:$B$696,$A389)</f>
        <v>77141</v>
      </c>
      <c r="O389" s="314"/>
      <c r="P389" s="284" t="n">
        <f aca="false">SUM(N389:O389)</f>
        <v>77141</v>
      </c>
      <c r="Q389" s="110" t="str">
        <f aca="false">IF(P324=P389,"〇","×")</f>
        <v>×</v>
      </c>
      <c r="R389" s="110" t="str">
        <f aca="false">IFERROR(INDEX(報告入力!$C$7:$C$696,MATCH($S$327&amp;"|"&amp;$A389,報告入力!$CG$7:$CG$696,0)),"")</f>
        <v>受領済</v>
      </c>
    </row>
    <row r="390" s="110" customFormat="true" ht="30" hidden="false" customHeight="true" outlineLevel="0" collapsed="false">
      <c r="A390" s="285" t="s">
        <v>385</v>
      </c>
      <c r="B390" s="286" t="n">
        <f aca="false">SUM(+B347+B378+B383+B388+B389)</f>
        <v>492793379</v>
      </c>
      <c r="C390" s="287" t="n">
        <f aca="false">SUM(+C347+C378+C383+C388+C389)</f>
        <v>40391309</v>
      </c>
      <c r="D390" s="286" t="n">
        <f aca="false">SUM(+D347+D378+D383+D388+D389)</f>
        <v>716056059</v>
      </c>
      <c r="E390" s="288" t="n">
        <f aca="false">SUM(+E347+E378+E383+E388+E389)</f>
        <v>40367460</v>
      </c>
      <c r="F390" s="287" t="n">
        <f aca="false">SUM(+F347+F378+F383+F388+F389)</f>
        <v>486781</v>
      </c>
      <c r="G390" s="289" t="n">
        <f aca="false">SUM(B390:F390)</f>
        <v>1290094988</v>
      </c>
      <c r="H390" s="290" t="n">
        <f aca="false">SUM(+H347+H378+H383+H388+H389)</f>
        <v>355794712</v>
      </c>
      <c r="I390" s="290" t="n">
        <f aca="false">SUM(+I347+I378+I383+I388+I389)</f>
        <v>356751068</v>
      </c>
      <c r="J390" s="291" t="n">
        <f aca="false">SUM(H390:I390)</f>
        <v>712545780</v>
      </c>
      <c r="K390" s="292" t="n">
        <f aca="false">SUM(+K347+K378+K383+K388+K389)</f>
        <v>31956930</v>
      </c>
      <c r="L390" s="290" t="n">
        <f aca="false">SUM(+L347+L378+L383+L388+L389)</f>
        <v>31867818</v>
      </c>
      <c r="M390" s="291" t="n">
        <f aca="false">SUM(K390:L390)</f>
        <v>63824748</v>
      </c>
      <c r="N390" s="292" t="n">
        <f aca="false">SUM(+N347+N378+N383+N388+N389)</f>
        <v>7887647</v>
      </c>
      <c r="O390" s="290" t="n">
        <f aca="false">SUM(+O347+O378+O383+O388+O389)</f>
        <v>7809762</v>
      </c>
      <c r="P390" s="291" t="n">
        <f aca="false">SUM(N390:O390)</f>
        <v>15697409</v>
      </c>
      <c r="Q390" s="110" t="str">
        <f aca="false">IF(P325=P390,"〇","×")</f>
        <v>×</v>
      </c>
    </row>
    <row r="391" s="316" customFormat="true" ht="39" hidden="false" customHeight="true" outlineLevel="0" collapsed="false">
      <c r="A391" s="315"/>
      <c r="G391" s="84"/>
      <c r="Q391" s="316" t="str">
        <f aca="false">IF(P326=P391,"〇","×")</f>
        <v>〇</v>
      </c>
    </row>
    <row r="392" s="297" customFormat="true" ht="30" hidden="false" customHeight="true" outlineLevel="0" collapsed="false">
      <c r="A392" s="295"/>
      <c r="B392" s="87" t="n">
        <f aca="false">EOMONTH(B327,1)</f>
        <v>46295</v>
      </c>
      <c r="C392" s="87"/>
      <c r="D392" s="87"/>
      <c r="E392" s="87"/>
      <c r="F392" s="87"/>
      <c r="G392" s="87"/>
      <c r="H392" s="87" t="n">
        <f aca="false">B392</f>
        <v>46295</v>
      </c>
      <c r="I392" s="87"/>
      <c r="J392" s="87"/>
      <c r="K392" s="87" t="n">
        <f aca="false">H392</f>
        <v>46295</v>
      </c>
      <c r="L392" s="87"/>
      <c r="M392" s="87"/>
      <c r="N392" s="87" t="n">
        <f aca="false">K392</f>
        <v>46295</v>
      </c>
      <c r="O392" s="87"/>
      <c r="P392" s="87"/>
      <c r="Q392" s="297" t="str">
        <f aca="false">IF(P327=P392,"〇","×")</f>
        <v>〇</v>
      </c>
      <c r="S392" s="297" t="s">
        <v>392</v>
      </c>
    </row>
    <row r="393" customFormat="false" ht="22.5" hidden="false" customHeight="true" outlineLevel="0" collapsed="false">
      <c r="A393" s="89" t="s">
        <v>369</v>
      </c>
      <c r="B393" s="89" t="s">
        <v>370</v>
      </c>
      <c r="C393" s="89"/>
      <c r="D393" s="89"/>
      <c r="E393" s="89"/>
      <c r="F393" s="89"/>
      <c r="G393" s="89"/>
      <c r="H393" s="91" t="s">
        <v>371</v>
      </c>
      <c r="I393" s="91"/>
      <c r="J393" s="91"/>
      <c r="K393" s="91" t="s">
        <v>372</v>
      </c>
      <c r="L393" s="91"/>
      <c r="M393" s="91"/>
      <c r="N393" s="91" t="str">
        <f aca="false">$N$3</f>
        <v>子ども・子育て支援納付金</v>
      </c>
      <c r="O393" s="91"/>
      <c r="P393" s="91"/>
      <c r="Q393" s="80" t="str">
        <f aca="false">IF(P328=P393,"〇","×")</f>
        <v>〇</v>
      </c>
    </row>
    <row r="394" customFormat="false" ht="22.5" hidden="false" customHeight="true" outlineLevel="0" collapsed="false">
      <c r="A394" s="89"/>
      <c r="B394" s="92" t="s">
        <v>373</v>
      </c>
      <c r="C394" s="92"/>
      <c r="D394" s="92" t="s">
        <v>374</v>
      </c>
      <c r="E394" s="92"/>
      <c r="F394" s="92"/>
      <c r="G394" s="92" t="s">
        <v>375</v>
      </c>
      <c r="H394" s="96" t="s">
        <v>376</v>
      </c>
      <c r="I394" s="94" t="s">
        <v>377</v>
      </c>
      <c r="J394" s="95" t="s">
        <v>375</v>
      </c>
      <c r="K394" s="96" t="s">
        <v>376</v>
      </c>
      <c r="L394" s="94" t="s">
        <v>377</v>
      </c>
      <c r="M394" s="95" t="s">
        <v>375</v>
      </c>
      <c r="N394" s="96" t="s">
        <v>376</v>
      </c>
      <c r="O394" s="94" t="s">
        <v>377</v>
      </c>
      <c r="P394" s="95" t="s">
        <v>375</v>
      </c>
      <c r="Q394" s="80" t="str">
        <f aca="false">IF(P329=P394,"〇","×")</f>
        <v>〇</v>
      </c>
    </row>
    <row r="395" customFormat="false" ht="22.5" hidden="false" customHeight="true" outlineLevel="0" collapsed="false">
      <c r="A395" s="89"/>
      <c r="B395" s="97" t="s">
        <v>378</v>
      </c>
      <c r="C395" s="98" t="s">
        <v>379</v>
      </c>
      <c r="D395" s="99" t="s">
        <v>378</v>
      </c>
      <c r="E395" s="99" t="s">
        <v>380</v>
      </c>
      <c r="F395" s="98" t="s">
        <v>85</v>
      </c>
      <c r="G395" s="92"/>
      <c r="H395" s="96"/>
      <c r="I395" s="94"/>
      <c r="J395" s="95"/>
      <c r="K395" s="96"/>
      <c r="L395" s="94"/>
      <c r="M395" s="95"/>
      <c r="N395" s="96"/>
      <c r="O395" s="94"/>
      <c r="P395" s="95"/>
      <c r="Q395" s="80" t="str">
        <f aca="false">IF(P330=P395,"〇","×")</f>
        <v>〇</v>
      </c>
    </row>
    <row r="396" s="110" customFormat="true" ht="20.1" hidden="false" customHeight="true" outlineLevel="0" collapsed="false">
      <c r="A396" s="100" t="s">
        <v>158</v>
      </c>
      <c r="B396" s="117" t="n">
        <f aca="false">SUMIFS(報告入力!$AU$7:$AU$696,報告入力!$A$7:$A$696,$S$392,報告入力!$B$7:$B$696,$A396)</f>
        <v>242937806</v>
      </c>
      <c r="C396" s="113" t="n">
        <f aca="false">SUMIFS(報告入力!$AV$7:$AV$696,報告入力!$A$7:$A$696,$S$392,報告入力!$B$7:$B$696,$A396)</f>
        <v>19917809</v>
      </c>
      <c r="D396" s="117" t="n">
        <f aca="false">SUMIFS(報告入力!$AW$7:$AW$696,報告入力!$A$7:$A$696,$S$392,報告入力!$B$7:$B$696,$A396)</f>
        <v>352845876</v>
      </c>
      <c r="E396" s="114" t="n">
        <f aca="false">SUMIFS(報告入力!$AX$7:$AX$696,報告入力!$A$7:$A$696,$S$392,報告入力!$B$7:$B$696,$A396)</f>
        <v>19611961</v>
      </c>
      <c r="F396" s="113" t="n">
        <f aca="false">SUMIFS(報告入力!$AY$7:$AY$696,報告入力!$A$7:$A$696,$S$392,報告入力!$B$7:$B$696,$A396)</f>
        <v>238649</v>
      </c>
      <c r="G396" s="108" t="n">
        <f aca="false">SUM(B396:F396)</f>
        <v>635552101</v>
      </c>
      <c r="H396" s="114" t="n">
        <f aca="false">SUMIFS(報告入力!$AZ$7:$AZ$696,報告入力!$A$7:$A$696,$S$392,報告入力!$B$7:$B$696,$A396)</f>
        <v>177136759</v>
      </c>
      <c r="I396" s="205" t="n">
        <f aca="false">SUMIFS(報告入力!$BA$7:$BA$696,報告入力!$A$7:$A$696,$S$392,報告入力!$B$7:$B$696,$A396)</f>
        <v>176452442</v>
      </c>
      <c r="J396" s="108" t="n">
        <f aca="false">SUM(H396:I396)</f>
        <v>353589201</v>
      </c>
      <c r="K396" s="114" t="n">
        <f aca="false">SUMIFS(報告入力!$BB$7:$BB$696,報告入力!$A$7:$A$696,$S$392,報告入力!$B$7:$B$696,$A396)</f>
        <v>16364403</v>
      </c>
      <c r="L396" s="205" t="n">
        <f aca="false">SUMIFS(報告入力!$BC$7:$BC$696,報告入力!$A$7:$A$696,$S$392,報告入力!$B$7:$B$696,$A396)</f>
        <v>15937267</v>
      </c>
      <c r="M396" s="108" t="n">
        <f aca="false">SUM(K396:L396)</f>
        <v>32301670</v>
      </c>
      <c r="N396" s="205" t="n">
        <f aca="false">SUMIFS(報告入力!$BD$7:$BD$696,報告入力!$A$7:$A$696,$S$392,報告入力!$B$7:$B$696,$A396)</f>
        <v>3924905</v>
      </c>
      <c r="O396" s="205" t="n">
        <f aca="false">SUMIFS(報告入力!$BE$7:$BE$696,報告入力!$A$7:$A$696,$S$392,報告入力!$B$7:$B$696,$A396)</f>
        <v>3843722</v>
      </c>
      <c r="P396" s="108" t="n">
        <f aca="false">SUM(N396:O396)</f>
        <v>7768627</v>
      </c>
      <c r="Q396" s="110" t="str">
        <f aca="false">IF(P331=P396,"〇","×")</f>
        <v>×</v>
      </c>
      <c r="R396" s="110" t="str">
        <f aca="false">IFERROR(INDEX(報告入力!$C$7:$C$696,MATCH($S$392&amp;"|"&amp;$A396,報告入力!$CG$7:$CG$696,0)),"")</f>
        <v>入金確認済</v>
      </c>
    </row>
    <row r="397" s="110" customFormat="true" ht="20.1" hidden="false" customHeight="true" outlineLevel="0" collapsed="false">
      <c r="A397" s="100" t="s">
        <v>161</v>
      </c>
      <c r="B397" s="117" t="n">
        <f aca="false">SUMIFS(報告入力!$AU$7:$AU$696,報告入力!$A$7:$A$696,$S$392,報告入力!$B$7:$B$696,$A397)</f>
        <v>16590780</v>
      </c>
      <c r="C397" s="113" t="n">
        <f aca="false">SUMIFS(報告入力!$AV$7:$AV$696,報告入力!$A$7:$A$696,$S$392,報告入力!$B$7:$B$696,$A397)</f>
        <v>1359900</v>
      </c>
      <c r="D397" s="111" t="n">
        <f aca="false">SUMIFS(報告入力!$AW$7:$AW$696,報告入力!$A$7:$A$696,$S$392,報告入力!$B$7:$B$696,$A397)</f>
        <v>23913219</v>
      </c>
      <c r="E397" s="114" t="n">
        <f aca="false">SUMIFS(報告入力!$AX$7:$AX$696,報告入力!$A$7:$A$696,$S$392,報告入力!$B$7:$B$696,$A397)</f>
        <v>1356825</v>
      </c>
      <c r="F397" s="113" t="n">
        <f aca="false">SUMIFS(報告入力!$AY$7:$AY$696,報告入力!$A$7:$A$696,$S$392,報告入力!$B$7:$B$696,$A397)</f>
        <v>16022</v>
      </c>
      <c r="G397" s="108" t="n">
        <f aca="false">SUM(B397:F397)</f>
        <v>43236746</v>
      </c>
      <c r="H397" s="114" t="n">
        <f aca="false">SUMIFS(報告入力!$AZ$7:$AZ$696,報告入力!$A$7:$A$696,$S$392,報告入力!$B$7:$B$696,$A397)</f>
        <v>9734474</v>
      </c>
      <c r="I397" s="205" t="n">
        <f aca="false">SUMIFS(報告入力!$BA$7:$BA$696,報告入力!$A$7:$A$696,$S$392,報告入力!$B$7:$B$696,$A397)</f>
        <v>9879856</v>
      </c>
      <c r="J397" s="108" t="n">
        <f aca="false">SUM(H397:I397)</f>
        <v>19614330</v>
      </c>
      <c r="K397" s="114" t="n">
        <f aca="false">SUMIFS(報告入力!$BB$7:$BB$696,報告入力!$A$7:$A$696,$S$392,報告入力!$B$7:$B$696,$A397)</f>
        <v>1041536</v>
      </c>
      <c r="L397" s="205" t="n">
        <f aca="false">SUMIFS(報告入力!$BC$7:$BC$696,報告入力!$A$7:$A$696,$S$392,報告入力!$B$7:$B$696,$A397)</f>
        <v>1041536</v>
      </c>
      <c r="M397" s="108" t="n">
        <f aca="false">SUM(K397:L397)</f>
        <v>2083072</v>
      </c>
      <c r="N397" s="205" t="n">
        <f aca="false">SUMIFS(報告入力!$BD$7:$BD$696,報告入力!$A$7:$A$696,$S$392,報告入力!$B$7:$B$696,$A397)</f>
        <v>215781</v>
      </c>
      <c r="O397" s="205" t="n">
        <f aca="false">SUMIFS(報告入力!$BE$7:$BE$696,報告入力!$A$7:$A$696,$S$392,報告入力!$B$7:$B$696,$A397)</f>
        <v>215393</v>
      </c>
      <c r="P397" s="108" t="n">
        <f aca="false">SUM(N397:O397)</f>
        <v>431174</v>
      </c>
      <c r="Q397" s="110" t="str">
        <f aca="false">IF(P332=P397,"〇","×")</f>
        <v>×</v>
      </c>
      <c r="R397" s="110" t="str">
        <f aca="false">IFERROR(INDEX(報告入力!$C$7:$C$696,MATCH($S$392&amp;"|"&amp;$A397,報告入力!$CG$7:$CG$696,0)),"")</f>
        <v>入金確認済</v>
      </c>
    </row>
    <row r="398" s="110" customFormat="true" ht="20.1" hidden="false" customHeight="true" outlineLevel="0" collapsed="false">
      <c r="A398" s="100" t="s">
        <v>162</v>
      </c>
      <c r="B398" s="117" t="n">
        <f aca="false">SUMIFS(報告入力!$AU$7:$AU$696,報告入力!$A$7:$A$696,$S$392,報告入力!$B$7:$B$696,$A398)</f>
        <v>55206890</v>
      </c>
      <c r="C398" s="113" t="n">
        <f aca="false">SUMIFS(報告入力!$AV$7:$AV$696,報告入力!$A$7:$A$696,$S$392,報告入力!$B$7:$B$696,$A398)</f>
        <v>4525154</v>
      </c>
      <c r="D398" s="111" t="n">
        <f aca="false">SUMIFS(報告入力!$AW$7:$AW$696,報告入力!$A$7:$A$696,$S$392,報告入力!$B$7:$B$696,$A398)</f>
        <v>79528245</v>
      </c>
      <c r="E398" s="114" t="n">
        <f aca="false">SUMIFS(報告入力!$AX$7:$AX$696,報告入力!$A$7:$A$696,$S$392,報告入力!$B$7:$B$696,$A398)</f>
        <v>4509405</v>
      </c>
      <c r="F398" s="113" t="n">
        <f aca="false">SUMIFS(報告入力!$AY$7:$AY$696,報告入力!$A$7:$A$696,$S$392,報告入力!$B$7:$B$696,$A398)</f>
        <v>53102</v>
      </c>
      <c r="G398" s="108" t="n">
        <f aca="false">SUM(B398:F398)</f>
        <v>143822796</v>
      </c>
      <c r="H398" s="114" t="n">
        <f aca="false">SUMIFS(報告入力!$AZ$7:$AZ$696,報告入力!$A$7:$A$696,$S$392,報告入力!$B$7:$B$696,$A398)</f>
        <v>31985730</v>
      </c>
      <c r="I398" s="205" t="n">
        <f aca="false">SUMIFS(報告入力!$BA$7:$BA$696,報告入力!$A$7:$A$696,$S$392,報告入力!$B$7:$B$696,$A398)</f>
        <v>32423703</v>
      </c>
      <c r="J398" s="108" t="n">
        <f aca="false">SUM(H398:I398)</f>
        <v>64409433</v>
      </c>
      <c r="K398" s="114" t="n">
        <f aca="false">SUMIFS(報告入力!$BB$7:$BB$696,報告入力!$A$7:$A$696,$S$392,報告入力!$B$7:$B$696,$A398)</f>
        <v>2067746</v>
      </c>
      <c r="L398" s="205" t="n">
        <f aca="false">SUMIFS(報告入力!$BC$7:$BC$696,報告入力!$A$7:$A$696,$S$392,報告入力!$B$7:$B$696,$A398)</f>
        <v>2054869</v>
      </c>
      <c r="M398" s="108" t="n">
        <f aca="false">SUM(K398:L398)</f>
        <v>4122615</v>
      </c>
      <c r="N398" s="205" t="n">
        <f aca="false">SUMIFS(報告入力!$BD$7:$BD$696,報告入力!$A$7:$A$696,$S$392,報告入力!$B$7:$B$696,$A398)</f>
        <v>709043</v>
      </c>
      <c r="O398" s="205" t="n">
        <f aca="false">SUMIFS(報告入力!$BE$7:$BE$696,報告入力!$A$7:$A$696,$S$392,報告入力!$B$7:$B$696,$A398)</f>
        <v>706903</v>
      </c>
      <c r="P398" s="108" t="n">
        <f aca="false">SUM(N398:O398)</f>
        <v>1415946</v>
      </c>
      <c r="Q398" s="110" t="str">
        <f aca="false">IF(P333=P398,"〇","×")</f>
        <v>×</v>
      </c>
      <c r="R398" s="110" t="str">
        <f aca="false">IFERROR(INDEX(報告入力!$C$7:$C$696,MATCH($S$392&amp;"|"&amp;$A398,報告入力!$CG$7:$CG$696,0)),"")</f>
        <v>入金確認済</v>
      </c>
    </row>
    <row r="399" s="110" customFormat="true" ht="20.1" hidden="false" customHeight="true" outlineLevel="0" collapsed="false">
      <c r="A399" s="100" t="s">
        <v>163</v>
      </c>
      <c r="B399" s="117" t="n">
        <f aca="false">SUMIFS(報告入力!$AU$7:$AU$696,報告入力!$A$7:$A$696,$S$392,報告入力!$B$7:$B$696,$A399)</f>
        <v>1792485</v>
      </c>
      <c r="C399" s="113" t="n">
        <f aca="false">SUMIFS(報告入力!$AV$7:$AV$696,報告入力!$A$7:$A$696,$S$392,報告入力!$B$7:$B$696,$A399)</f>
        <v>146925</v>
      </c>
      <c r="D399" s="111" t="n">
        <f aca="false">SUMIFS(報告入力!$AW$7:$AW$696,報告入力!$A$7:$A$696,$S$392,報告入力!$B$7:$B$696,$A399)</f>
        <v>2583702</v>
      </c>
      <c r="E399" s="114" t="n">
        <f aca="false">SUMIFS(報告入力!$AX$7:$AX$696,報告入力!$A$7:$A$696,$S$392,報告入力!$B$7:$B$696,$A399)</f>
        <v>146925</v>
      </c>
      <c r="F399" s="113" t="n">
        <f aca="false">SUMIFS(報告入力!$AY$7:$AY$696,報告入力!$A$7:$A$696,$S$392,報告入力!$B$7:$B$696,$A399)</f>
        <v>1723</v>
      </c>
      <c r="G399" s="108" t="n">
        <f aca="false">SUM(B399:F399)</f>
        <v>4671760</v>
      </c>
      <c r="H399" s="114" t="n">
        <f aca="false">SUMIFS(報告入力!$AZ$7:$AZ$696,報告入力!$A$7:$A$696,$S$392,報告入力!$B$7:$B$696,$A399)</f>
        <v>1025774</v>
      </c>
      <c r="I399" s="205" t="n">
        <f aca="false">SUMIFS(報告入力!$BA$7:$BA$696,報告入力!$A$7:$A$696,$S$392,報告入力!$B$7:$B$696,$A399)</f>
        <v>1043208</v>
      </c>
      <c r="J399" s="108" t="n">
        <f aca="false">SUM(H399:I399)</f>
        <v>2068982</v>
      </c>
      <c r="K399" s="114" t="n">
        <f aca="false">SUMIFS(報告入力!$BB$7:$BB$696,報告入力!$A$7:$A$696,$S$392,報告入力!$B$7:$B$696,$A399)</f>
        <v>103016</v>
      </c>
      <c r="L399" s="205" t="n">
        <f aca="false">SUMIFS(報告入力!$BC$7:$BC$696,報告入力!$A$7:$A$696,$S$392,報告入力!$B$7:$B$696,$A399)</f>
        <v>103016</v>
      </c>
      <c r="M399" s="108" t="n">
        <f aca="false">SUM(K399:L399)</f>
        <v>206032</v>
      </c>
      <c r="N399" s="205" t="n">
        <f aca="false">SUMIFS(報告入力!$BD$7:$BD$696,報告入力!$A$7:$A$696,$S$392,報告入力!$B$7:$B$696,$A399)</f>
        <v>22741</v>
      </c>
      <c r="O399" s="205" t="n">
        <f aca="false">SUMIFS(報告入力!$BE$7:$BE$696,報告入力!$A$7:$A$696,$S$392,報告入力!$B$7:$B$696,$A399)</f>
        <v>22747</v>
      </c>
      <c r="P399" s="108" t="n">
        <f aca="false">SUM(N399:O399)</f>
        <v>45488</v>
      </c>
      <c r="Q399" s="110" t="str">
        <f aca="false">IF(P334=P399,"〇","×")</f>
        <v>×</v>
      </c>
      <c r="R399" s="110" t="str">
        <f aca="false">IFERROR(INDEX(報告入力!$C$7:$C$696,MATCH($S$392&amp;"|"&amp;$A399,報告入力!$CG$7:$CG$696,0)),"")</f>
        <v>入金確認済</v>
      </c>
    </row>
    <row r="400" s="353" customFormat="true" ht="20.1" hidden="false" customHeight="true" outlineLevel="0" collapsed="false">
      <c r="A400" s="100" t="s">
        <v>164</v>
      </c>
      <c r="B400" s="117" t="n">
        <f aca="false">SUMIFS(報告入力!$AU$7:$AU$696,報告入力!$A$7:$A$696,$S$392,報告入力!$B$7:$B$696,$A400)</f>
        <v>24740685</v>
      </c>
      <c r="C400" s="113" t="n">
        <f aca="false">SUMIFS(報告入力!$AV$7:$AV$696,報告入力!$A$7:$A$696,$S$392,報告入力!$B$7:$B$696,$A400)</f>
        <v>2027925</v>
      </c>
      <c r="D400" s="111" t="n">
        <f aca="false">SUMIFS(報告入力!$AW$7:$AW$696,報告入力!$A$7:$A$696,$S$392,報告入力!$B$7:$B$696,$A400)</f>
        <v>35652138</v>
      </c>
      <c r="E400" s="114" t="n">
        <f aca="false">SUMIFS(報告入力!$AX$7:$AX$696,報告入力!$A$7:$A$696,$S$392,報告入力!$B$7:$B$696,$A400)</f>
        <v>2027925</v>
      </c>
      <c r="F400" s="113" t="n">
        <f aca="false">SUMIFS(報告入力!$AY$7:$AY$696,報告入力!$A$7:$A$696,$S$392,報告入力!$B$7:$B$696,$A400)</f>
        <v>23758</v>
      </c>
      <c r="G400" s="108" t="n">
        <f aca="false">SUM(B400:F400)</f>
        <v>64472431</v>
      </c>
      <c r="H400" s="114" t="n">
        <f aca="false">SUMIFS(報告入力!$AZ$7:$AZ$696,報告入力!$A$7:$A$696,$S$392,報告入力!$B$7:$B$696,$A400)</f>
        <v>24442417</v>
      </c>
      <c r="I400" s="205" t="n">
        <f aca="false">SUMIFS(報告入力!$BA$7:$BA$696,報告入力!$A$7:$A$696,$S$392,報告入力!$B$7:$B$696,$A400)</f>
        <v>24886462</v>
      </c>
      <c r="J400" s="108" t="n">
        <f aca="false">SUM(H400:I400)</f>
        <v>49328879</v>
      </c>
      <c r="K400" s="114" t="n">
        <f aca="false">SUMIFS(報告入力!$BB$7:$BB$696,報告入力!$A$7:$A$696,$S$392,報告入力!$B$7:$B$696,$A400)</f>
        <v>2870104</v>
      </c>
      <c r="L400" s="205" t="n">
        <f aca="false">SUMIFS(報告入力!$BC$7:$BC$696,報告入力!$A$7:$A$696,$S$392,報告入力!$B$7:$B$696,$A400)</f>
        <v>2873699</v>
      </c>
      <c r="M400" s="108" t="n">
        <f aca="false">SUM(K400:L400)</f>
        <v>5743803</v>
      </c>
      <c r="N400" s="205" t="n">
        <f aca="false">SUMIFS(報告入力!$BD$7:$BD$696,報告入力!$A$7:$A$696,$S$392,報告入力!$B$7:$B$696,$A400)</f>
        <v>541422</v>
      </c>
      <c r="O400" s="205" t="n">
        <f aca="false">SUMIFS(報告入力!$BE$7:$BE$696,報告入力!$A$7:$A$696,$S$392,報告入力!$B$7:$B$696,$A400)</f>
        <v>542621</v>
      </c>
      <c r="P400" s="108" t="n">
        <f aca="false">SUM(N400:O400)</f>
        <v>1084043</v>
      </c>
      <c r="Q400" s="353" t="str">
        <f aca="false">IF(P335=P400,"〇","×")</f>
        <v>×</v>
      </c>
      <c r="R400" s="353" t="str">
        <f aca="false">IFERROR(INDEX(報告入力!$C$7:$C$696,MATCH($S$392&amp;"|"&amp;$A400,報告入力!$CG$7:$CG$696,0)),"")</f>
        <v>入金確認済</v>
      </c>
    </row>
    <row r="401" s="110" customFormat="true" ht="20.1" hidden="false" customHeight="true" outlineLevel="0" collapsed="false">
      <c r="A401" s="100" t="s">
        <v>165</v>
      </c>
      <c r="B401" s="117" t="n">
        <f aca="false">SUMIFS(報告入力!$AU$7:$AU$696,報告入力!$A$7:$A$696,$S$392,報告入力!$B$7:$B$696,$A401)</f>
        <v>250710</v>
      </c>
      <c r="C401" s="113" t="n">
        <f aca="false">SUMIFS(報告入力!$AV$7:$AV$696,報告入力!$A$7:$A$696,$S$392,報告入力!$B$7:$B$696,$A401)</f>
        <v>20550</v>
      </c>
      <c r="D401" s="111" t="n">
        <f aca="false">SUMIFS(報告入力!$AW$7:$AW$696,報告入力!$A$7:$A$696,$S$392,報告入力!$B$7:$B$696,$A401)</f>
        <v>360036</v>
      </c>
      <c r="E401" s="114" t="n">
        <f aca="false">SUMIFS(報告入力!$AX$7:$AX$696,報告入力!$A$7:$A$696,$S$392,報告入力!$B$7:$B$696,$A401)</f>
        <v>20550</v>
      </c>
      <c r="F401" s="113" t="n">
        <f aca="false">SUMIFS(報告入力!$AY$7:$AY$696,報告入力!$A$7:$A$696,$S$392,報告入力!$B$7:$B$696,$A401)</f>
        <v>238</v>
      </c>
      <c r="G401" s="108" t="n">
        <f aca="false">SUM(B401:F401)</f>
        <v>652084</v>
      </c>
      <c r="H401" s="114" t="n">
        <f aca="false">SUMIFS(報告入力!$AZ$7:$AZ$696,報告入力!$A$7:$A$696,$S$392,報告入力!$B$7:$B$696,$A401)</f>
        <v>162838</v>
      </c>
      <c r="I401" s="205" t="n">
        <f aca="false">SUMIFS(報告入力!$BA$7:$BA$696,報告入力!$A$7:$A$696,$S$392,報告入力!$B$7:$B$696,$A401)</f>
        <v>165572</v>
      </c>
      <c r="J401" s="108" t="n">
        <f aca="false">SUM(H401:I401)</f>
        <v>328410</v>
      </c>
      <c r="K401" s="114" t="n">
        <f aca="false">SUMIFS(報告入力!$BB$7:$BB$696,報告入力!$A$7:$A$696,$S$392,報告入力!$B$7:$B$696,$A401)</f>
        <v>15879</v>
      </c>
      <c r="L401" s="205" t="n">
        <f aca="false">SUMIFS(報告入力!$BC$7:$BC$696,報告入力!$A$7:$A$696,$S$392,報告入力!$B$7:$B$696,$A401)</f>
        <v>15879</v>
      </c>
      <c r="M401" s="108" t="n">
        <f aca="false">SUM(K401:L401)</f>
        <v>31758</v>
      </c>
      <c r="N401" s="205" t="n">
        <f aca="false">SUMIFS(報告入力!$BD$7:$BD$696,報告入力!$A$7:$A$696,$S$392,報告入力!$B$7:$B$696,$A401)</f>
        <v>3609</v>
      </c>
      <c r="O401" s="205" t="n">
        <f aca="false">SUMIFS(報告入力!$BE$7:$BE$696,報告入力!$A$7:$A$696,$S$392,報告入力!$B$7:$B$696,$A401)</f>
        <v>3611</v>
      </c>
      <c r="P401" s="108" t="n">
        <f aca="false">SUM(N401:O401)</f>
        <v>7220</v>
      </c>
      <c r="Q401" s="110" t="str">
        <f aca="false">IF(P336=P401,"〇","×")</f>
        <v>×</v>
      </c>
      <c r="R401" s="110" t="str">
        <f aca="false">IFERROR(INDEX(報告入力!$C$7:$C$696,MATCH($S$392&amp;"|"&amp;$A401,報告入力!$CG$7:$CG$696,0)),"")</f>
        <v>入金確認済</v>
      </c>
    </row>
    <row r="402" s="110" customFormat="true" ht="20.1" hidden="false" customHeight="true" outlineLevel="0" collapsed="false">
      <c r="A402" s="100" t="s">
        <v>166</v>
      </c>
      <c r="B402" s="117" t="n">
        <f aca="false">SUMIFS(報告入力!$AU$7:$AU$696,報告入力!$A$7:$A$696,$S$392,報告入力!$B$7:$B$696,$A402)</f>
        <v>616710</v>
      </c>
      <c r="C402" s="113" t="n">
        <f aca="false">SUMIFS(報告入力!$AV$7:$AV$696,報告入力!$A$7:$A$696,$S$392,報告入力!$B$7:$B$696,$A402)</f>
        <v>50550</v>
      </c>
      <c r="D402" s="111" t="n">
        <f aca="false">SUMIFS(報告入力!$AW$7:$AW$696,報告入力!$A$7:$A$696,$S$392,報告入力!$B$7:$B$696,$A402)</f>
        <v>885636</v>
      </c>
      <c r="E402" s="114" t="n">
        <f aca="false">SUMIFS(報告入力!$AX$7:$AX$696,報告入力!$A$7:$A$696,$S$392,報告入力!$B$7:$B$696,$A402)</f>
        <v>50550</v>
      </c>
      <c r="F402" s="113" t="n">
        <f aca="false">SUMIFS(報告入力!$AY$7:$AY$696,報告入力!$A$7:$A$696,$S$392,報告入力!$B$7:$B$696,$A402)</f>
        <v>585</v>
      </c>
      <c r="G402" s="108" t="n">
        <f aca="false">SUM(B402:F402)</f>
        <v>1604031</v>
      </c>
      <c r="H402" s="114" t="n">
        <f aca="false">SUMIFS(報告入力!$AZ$7:$AZ$696,報告入力!$A$7:$A$696,$S$392,報告入力!$B$7:$B$696,$A402)</f>
        <v>363015</v>
      </c>
      <c r="I402" s="205" t="n">
        <f aca="false">SUMIFS(報告入力!$BA$7:$BA$696,報告入力!$A$7:$A$696,$S$392,報告入力!$B$7:$B$696,$A402)</f>
        <v>369109</v>
      </c>
      <c r="J402" s="108" t="n">
        <f aca="false">SUM(H402:I402)</f>
        <v>732124</v>
      </c>
      <c r="K402" s="114" t="n">
        <f aca="false">SUMIFS(報告入力!$BB$7:$BB$696,報告入力!$A$7:$A$696,$S$392,報告入力!$B$7:$B$696,$A402)</f>
        <v>30257</v>
      </c>
      <c r="L402" s="205" t="n">
        <f aca="false">SUMIFS(報告入力!$BC$7:$BC$696,報告入力!$A$7:$A$696,$S$392,報告入力!$B$7:$B$696,$A402)</f>
        <v>30257</v>
      </c>
      <c r="M402" s="108" t="n">
        <f aca="false">SUM(K402:L402)</f>
        <v>60514</v>
      </c>
      <c r="N402" s="205" t="n">
        <f aca="false">SUMIFS(報告入力!$BD$7:$BD$696,報告入力!$A$7:$A$696,$S$392,報告入力!$B$7:$B$696,$A402)</f>
        <v>8048</v>
      </c>
      <c r="O402" s="205" t="n">
        <f aca="false">SUMIFS(報告入力!$BE$7:$BE$696,報告入力!$A$7:$A$696,$S$392,報告入力!$B$7:$B$696,$A402)</f>
        <v>8050</v>
      </c>
      <c r="P402" s="108" t="n">
        <f aca="false">SUM(N402:O402)</f>
        <v>16098</v>
      </c>
      <c r="Q402" s="110" t="str">
        <f aca="false">IF(P337=P402,"〇","×")</f>
        <v>×</v>
      </c>
      <c r="R402" s="110" t="str">
        <f aca="false">IFERROR(INDEX(報告入力!$C$7:$C$696,MATCH($S$392&amp;"|"&amp;$A402,報告入力!$CG$7:$CG$696,0)),"")</f>
        <v>入金確認済</v>
      </c>
    </row>
    <row r="403" s="110" customFormat="true" ht="20.1" hidden="false" customHeight="true" outlineLevel="0" collapsed="false">
      <c r="A403" s="100" t="s">
        <v>167</v>
      </c>
      <c r="B403" s="117" t="n">
        <f aca="false">SUMIFS(報告入力!$AU$7:$AU$696,報告入力!$A$7:$A$696,$S$392,報告入力!$B$7:$B$696,$A403)</f>
        <v>1305705</v>
      </c>
      <c r="C403" s="113" t="n">
        <f aca="false">SUMIFS(報告入力!$AV$7:$AV$696,報告入力!$A$7:$A$696,$S$392,報告入力!$B$7:$B$696,$A403)</f>
        <v>107025</v>
      </c>
      <c r="D403" s="111" t="n">
        <f aca="false">SUMIFS(報告入力!$AW$7:$AW$696,報告入力!$A$7:$A$696,$S$392,報告入力!$B$7:$B$696,$A403)</f>
        <v>1886250</v>
      </c>
      <c r="E403" s="114" t="n">
        <f aca="false">SUMIFS(報告入力!$AX$7:$AX$696,報告入力!$A$7:$A$696,$S$392,報告入力!$B$7:$B$696,$A403)</f>
        <v>107025</v>
      </c>
      <c r="F403" s="113" t="n">
        <f aca="false">SUMIFS(報告入力!$AY$7:$AY$696,報告入力!$A$7:$A$696,$S$392,報告入力!$B$7:$B$696,$A403)</f>
        <v>1263</v>
      </c>
      <c r="G403" s="108" t="n">
        <f aca="false">SUM(B403:F403)</f>
        <v>3407268</v>
      </c>
      <c r="H403" s="114" t="n">
        <f aca="false">SUMIFS(報告入力!$AZ$7:$AZ$696,報告入力!$A$7:$A$696,$S$392,報告入力!$B$7:$B$696,$A403)</f>
        <v>760772</v>
      </c>
      <c r="I403" s="205" t="n">
        <f aca="false">SUMIFS(報告入力!$BA$7:$BA$696,報告入力!$A$7:$A$696,$S$392,報告入力!$B$7:$B$696,$A403)</f>
        <v>773791</v>
      </c>
      <c r="J403" s="108" t="n">
        <f aca="false">SUM(H403:I403)</f>
        <v>1534563</v>
      </c>
      <c r="K403" s="114" t="n">
        <f aca="false">SUMIFS(報告入力!$BB$7:$BB$696,報告入力!$A$7:$A$696,$S$392,報告入力!$B$7:$B$696,$A403)</f>
        <v>106808</v>
      </c>
      <c r="L403" s="205" t="n">
        <f aca="false">SUMIFS(報告入力!$BC$7:$BC$696,報告入力!$A$7:$A$696,$S$392,報告入力!$B$7:$B$696,$A403)</f>
        <v>106808</v>
      </c>
      <c r="M403" s="108" t="n">
        <f aca="false">SUM(K403:L403)</f>
        <v>213616</v>
      </c>
      <c r="N403" s="205" t="n">
        <f aca="false">SUMIFS(報告入力!$BD$7:$BD$696,報告入力!$A$7:$A$696,$S$392,報告入力!$B$7:$B$696,$A403)</f>
        <v>16864</v>
      </c>
      <c r="O403" s="205" t="n">
        <f aca="false">SUMIFS(報告入力!$BE$7:$BE$696,報告入力!$A$7:$A$696,$S$392,報告入力!$B$7:$B$696,$A403)</f>
        <v>16870</v>
      </c>
      <c r="P403" s="108" t="n">
        <f aca="false">SUM(N403:O403)</f>
        <v>33734</v>
      </c>
      <c r="Q403" s="110" t="str">
        <f aca="false">IF(P338=P403,"〇","×")</f>
        <v>×</v>
      </c>
      <c r="R403" s="110" t="str">
        <f aca="false">IFERROR(INDEX(報告入力!$C$7:$C$696,MATCH($S$392&amp;"|"&amp;$A403,報告入力!$CG$7:$CG$696,0)),"")</f>
        <v>入金確認済</v>
      </c>
    </row>
    <row r="404" s="110" customFormat="true" ht="20.1" hidden="false" customHeight="true" outlineLevel="0" collapsed="false">
      <c r="A404" s="100" t="s">
        <v>168</v>
      </c>
      <c r="B404" s="117" t="n">
        <f aca="false">SUMIFS(報告入力!$AU$7:$AU$696,報告入力!$A$7:$A$696,$S$392,報告入力!$B$7:$B$696,$A404)</f>
        <v>401685</v>
      </c>
      <c r="C404" s="113" t="n">
        <f aca="false">SUMIFS(報告入力!$AV$7:$AV$696,報告入力!$A$7:$A$696,$S$392,報告入力!$B$7:$B$696,$A404)</f>
        <v>32925</v>
      </c>
      <c r="D404" s="111" t="n">
        <f aca="false">SUMIFS(報告入力!$AW$7:$AW$696,報告入力!$A$7:$A$696,$S$392,報告入力!$B$7:$B$696,$A404)</f>
        <v>576846</v>
      </c>
      <c r="E404" s="114" t="n">
        <f aca="false">SUMIFS(報告入力!$AX$7:$AX$696,報告入力!$A$7:$A$696,$S$392,報告入力!$B$7:$B$696,$A404)</f>
        <v>32925</v>
      </c>
      <c r="F404" s="113" t="n">
        <f aca="false">SUMIFS(報告入力!$AY$7:$AY$696,報告入力!$A$7:$A$696,$S$392,報告入力!$B$7:$B$696,$A404)</f>
        <v>381</v>
      </c>
      <c r="G404" s="108" t="n">
        <f aca="false">SUM(B404:F404)</f>
        <v>1044762</v>
      </c>
      <c r="H404" s="114" t="n">
        <f aca="false">SUMIFS(報告入力!$AZ$7:$AZ$696,報告入力!$A$7:$A$696,$S$392,報告入力!$B$7:$B$696,$A404)</f>
        <v>305452</v>
      </c>
      <c r="I404" s="205" t="n">
        <f aca="false">SUMIFS(報告入力!$BA$7:$BA$696,報告入力!$A$7:$A$696,$S$392,報告入力!$B$7:$B$696,$A404)</f>
        <v>310579</v>
      </c>
      <c r="J404" s="108" t="n">
        <f aca="false">SUM(H404:I404)</f>
        <v>616031</v>
      </c>
      <c r="K404" s="114" t="n">
        <f aca="false">SUMIFS(報告入力!$BB$7:$BB$696,報告入力!$A$7:$A$696,$S$392,報告入力!$B$7:$B$696,$A404)</f>
        <v>34286</v>
      </c>
      <c r="L404" s="205" t="n">
        <f aca="false">SUMIFS(報告入力!$BC$7:$BC$696,報告入力!$A$7:$A$696,$S$392,報告入力!$B$7:$B$696,$A404)</f>
        <v>34286</v>
      </c>
      <c r="M404" s="108" t="n">
        <f aca="false">SUM(K404:L404)</f>
        <v>68572</v>
      </c>
      <c r="N404" s="205" t="n">
        <f aca="false">SUMIFS(報告入力!$BD$7:$BD$696,報告入力!$A$7:$A$696,$S$392,報告入力!$B$7:$B$696,$A404)</f>
        <v>6770</v>
      </c>
      <c r="O404" s="205" t="n">
        <f aca="false">SUMIFS(報告入力!$BE$7:$BE$696,報告入力!$A$7:$A$696,$S$392,報告入力!$B$7:$B$696,$A404)</f>
        <v>6773</v>
      </c>
      <c r="P404" s="108" t="n">
        <f aca="false">SUM(N404:O404)</f>
        <v>13543</v>
      </c>
      <c r="Q404" s="110" t="str">
        <f aca="false">IF(P339=P404,"〇","×")</f>
        <v>×</v>
      </c>
      <c r="R404" s="110" t="str">
        <f aca="false">IFERROR(INDEX(報告入力!$C$7:$C$696,MATCH($S$392&amp;"|"&amp;$A404,報告入力!$CG$7:$CG$696,0)),"")</f>
        <v>入金確認済</v>
      </c>
    </row>
    <row r="405" s="110" customFormat="true" ht="20.1" hidden="false" customHeight="true" outlineLevel="0" collapsed="false">
      <c r="A405" s="100" t="s">
        <v>169</v>
      </c>
      <c r="B405" s="117" t="n">
        <f aca="false">SUMIFS(報告入力!$AU$7:$AU$696,報告入力!$A$7:$A$696,$S$392,報告入力!$B$7:$B$696,$A405)</f>
        <v>23100090</v>
      </c>
      <c r="C405" s="113" t="n">
        <f aca="false">SUMIFS(報告入力!$AV$7:$AV$696,報告入力!$A$7:$A$696,$S$392,報告入力!$B$7:$B$696,$A405)</f>
        <v>1893450</v>
      </c>
      <c r="D405" s="111" t="n">
        <f aca="false">SUMIFS(報告入力!$AW$7:$AW$696,報告入力!$A$7:$A$696,$S$392,報告入力!$B$7:$B$696,$A405)</f>
        <v>33230730</v>
      </c>
      <c r="E405" s="114" t="n">
        <f aca="false">SUMIFS(報告入力!$AX$7:$AX$696,報告入力!$A$7:$A$696,$S$392,報告入力!$B$7:$B$696,$A405)</f>
        <v>1893450</v>
      </c>
      <c r="F405" s="113" t="n">
        <f aca="false">SUMIFS(報告入力!$AY$7:$AY$696,報告入力!$A$7:$A$696,$S$392,報告入力!$B$7:$B$696,$A405)</f>
        <v>22229</v>
      </c>
      <c r="G405" s="108" t="n">
        <f aca="false">SUM(B405:F405)</f>
        <v>60139949</v>
      </c>
      <c r="H405" s="114" t="n">
        <f aca="false">SUMIFS(報告入力!$AZ$7:$AZ$696,報告入力!$A$7:$A$696,$S$392,報告入力!$B$7:$B$696,$A405)</f>
        <v>13765012</v>
      </c>
      <c r="I405" s="205" t="n">
        <f aca="false">SUMIFS(報告入力!$BA$7:$BA$696,報告入力!$A$7:$A$696,$S$392,報告入力!$B$7:$B$696,$A405)</f>
        <v>13995454</v>
      </c>
      <c r="J405" s="108" t="n">
        <f aca="false">SUM(H405:I405)</f>
        <v>27760466</v>
      </c>
      <c r="K405" s="114" t="n">
        <f aca="false">SUMIFS(報告入力!$BB$7:$BB$696,報告入力!$A$7:$A$696,$S$392,報告入力!$B$7:$B$696,$A405)</f>
        <v>1381939</v>
      </c>
      <c r="L405" s="205" t="n">
        <f aca="false">SUMIFS(報告入力!$BC$7:$BC$696,報告入力!$A$7:$A$696,$S$392,報告入力!$B$7:$B$696,$A405)</f>
        <v>1381939</v>
      </c>
      <c r="M405" s="108" t="n">
        <f aca="false">SUM(K405:L405)</f>
        <v>2763878</v>
      </c>
      <c r="N405" s="205" t="n">
        <f aca="false">SUMIFS(報告入力!$BD$7:$BD$696,報告入力!$A$7:$A$696,$S$392,報告入力!$B$7:$B$696,$A405)</f>
        <v>305093</v>
      </c>
      <c r="O405" s="205" t="n">
        <f aca="false">SUMIFS(報告入力!$BE$7:$BE$696,報告入力!$A$7:$A$696,$S$392,報告入力!$B$7:$B$696,$A405)</f>
        <v>305196</v>
      </c>
      <c r="P405" s="108" t="n">
        <f aca="false">SUM(N405:O405)</f>
        <v>610289</v>
      </c>
      <c r="Q405" s="110" t="str">
        <f aca="false">IF(P340=P405,"〇","×")</f>
        <v>×</v>
      </c>
      <c r="R405" s="110" t="str">
        <f aca="false">IFERROR(INDEX(報告入力!$C$7:$C$696,MATCH($S$392&amp;"|"&amp;$A405,報告入力!$CG$7:$CG$696,0)),"")</f>
        <v>入金確認済</v>
      </c>
    </row>
    <row r="406" s="110" customFormat="true" ht="19.5" hidden="false" customHeight="true" outlineLevel="0" collapsed="false">
      <c r="A406" s="121" t="s">
        <v>381</v>
      </c>
      <c r="B406" s="117" t="n">
        <f aca="false">SUMIFS(報告入力!$AU$7:$AU$696,報告入力!$A$7:$A$696,$S$392,報告入力!$B$7:$B$696,$A406)</f>
        <v>48495</v>
      </c>
      <c r="C406" s="113" t="n">
        <f aca="false">SUMIFS(報告入力!$AV$7:$AV$696,報告入力!$A$7:$A$696,$S$392,報告入力!$B$7:$B$696,$A406)</f>
        <v>3975</v>
      </c>
      <c r="D406" s="111" t="n">
        <f aca="false">SUMIFS(報告入力!$AW$7:$AW$696,報告入力!$A$7:$A$696,$S$392,報告入力!$B$7:$B$696,$A406)</f>
        <v>69642</v>
      </c>
      <c r="E406" s="114" t="n">
        <f aca="false">SUMIFS(報告入力!$AX$7:$AX$696,報告入力!$A$7:$A$696,$S$392,報告入力!$B$7:$B$696,$A406)</f>
        <v>3975</v>
      </c>
      <c r="F406" s="113" t="n">
        <f aca="false">SUMIFS(報告入力!$AY$7:$AY$696,報告入力!$A$7:$A$696,$S$392,報告入力!$B$7:$B$696,$A406)</f>
        <v>46</v>
      </c>
      <c r="G406" s="108" t="n">
        <f aca="false">SUM(B406:F406)</f>
        <v>126133</v>
      </c>
      <c r="H406" s="114" t="n">
        <f aca="false">SUMIFS(報告入力!$AZ$7:$AZ$696,報告入力!$A$7:$A$696,$S$392,報告入力!$B$7:$B$696,$A406)</f>
        <v>27485</v>
      </c>
      <c r="I406" s="205" t="n">
        <f aca="false">SUMIFS(報告入力!$BA$7:$BA$696,報告入力!$A$7:$A$696,$S$392,報告入力!$B$7:$B$696,$A406)</f>
        <v>27946</v>
      </c>
      <c r="J406" s="108" t="n">
        <f aca="false">SUM(H406:I406)</f>
        <v>55431</v>
      </c>
      <c r="K406" s="114" t="n">
        <f aca="false">SUMIFS(報告入力!$BB$7:$BB$696,報告入力!$A$7:$A$696,$S$392,報告入力!$B$7:$B$696,$A406)</f>
        <v>4187</v>
      </c>
      <c r="L406" s="205" t="n">
        <f aca="false">SUMIFS(報告入力!$BC$7:$BC$696,報告入力!$A$7:$A$696,$S$392,報告入力!$B$7:$B$696,$A406)</f>
        <v>4187</v>
      </c>
      <c r="M406" s="108" t="n">
        <f aca="false">SUM(K406:L406)</f>
        <v>8374</v>
      </c>
      <c r="N406" s="205" t="n">
        <f aca="false">SUMIFS(報告入力!$BD$7:$BD$696,報告入力!$A$7:$A$696,$S$392,報告入力!$B$7:$B$696,$A406)</f>
        <v>609</v>
      </c>
      <c r="O406" s="205" t="n">
        <f aca="false">SUMIFS(報告入力!$BE$7:$BE$696,報告入力!$A$7:$A$696,$S$392,報告入力!$B$7:$B$696,$A406)</f>
        <v>609</v>
      </c>
      <c r="P406" s="108" t="n">
        <f aca="false">SUM(N406:O406)</f>
        <v>1218</v>
      </c>
      <c r="Q406" s="110" t="str">
        <f aca="false">IF(P341=P406,"〇","×")</f>
        <v>〇</v>
      </c>
      <c r="R406" s="110" t="str">
        <f aca="false">IFERROR(INDEX(報告入力!$C$7:$C$696,MATCH($S$392&amp;"|"&amp;$A406,報告入力!$CG$7:$CG$696,0)),"")</f>
        <v>入金確認済</v>
      </c>
    </row>
    <row r="407" s="137" customFormat="true" ht="19.5" hidden="false" customHeight="true" outlineLevel="0" collapsed="false">
      <c r="A407" s="126" t="s">
        <v>171</v>
      </c>
      <c r="B407" s="127" t="n">
        <f aca="false">SUMIFS(報告入力!$AU$7:$AU$696,報告入力!$A$7:$A$696,$S$392,報告入力!$B$7:$B$696,$A407)</f>
        <v>0</v>
      </c>
      <c r="C407" s="128" t="n">
        <f aca="false">SUMIFS(報告入力!$AV$7:$AV$696,報告入力!$A$7:$A$696,$S$392,報告入力!$B$7:$B$696,$A407)</f>
        <v>0</v>
      </c>
      <c r="D407" s="129"/>
      <c r="E407" s="130"/>
      <c r="F407" s="131" t="n">
        <f aca="false">SUMIFS(報告入力!$AY$7:$AY$696,報告入力!$A$7:$A$696,$S$392,報告入力!$B$7:$B$696,$A407)</f>
        <v>0</v>
      </c>
      <c r="G407" s="132" t="n">
        <f aca="false">SUM(B407:F407)</f>
        <v>0</v>
      </c>
      <c r="H407" s="114" t="n">
        <f aca="false">SUMIFS(報告入力!$AZ$7:$AZ$696,報告入力!$A$7:$A$696,$S$392,報告入力!$B$7:$B$696,$A407)</f>
        <v>261885</v>
      </c>
      <c r="I407" s="115" t="n">
        <f aca="false">SUMIFS(報告入力!$BA$7:$BA$696,報告入力!$A$7:$A$696,$S$392,報告入力!$B$7:$B$696,$A407)</f>
        <v>266286</v>
      </c>
      <c r="J407" s="116" t="n">
        <f aca="false">SUM(H407:I407)</f>
        <v>528171</v>
      </c>
      <c r="K407" s="109" t="n">
        <f aca="false">SUMIFS(報告入力!$BB$7:$BB$696,報告入力!$A$7:$A$696,$S$392,報告入力!$B$7:$B$696,$A407)</f>
        <v>10507</v>
      </c>
      <c r="L407" s="115" t="n">
        <f aca="false">SUMIFS(報告入力!$BC$7:$BC$696,報告入力!$A$7:$A$696,$S$392,報告入力!$B$7:$B$696,$A407)</f>
        <v>10507</v>
      </c>
      <c r="M407" s="116" t="n">
        <f aca="false">SUM(K407:L407)</f>
        <v>21014</v>
      </c>
      <c r="N407" s="205" t="n">
        <f aca="false">SUMIFS(報告入力!$BD$7:$BD$696,報告入力!$A$7:$A$696,$S$392,報告入力!$B$7:$B$696,$A407)</f>
        <v>5803</v>
      </c>
      <c r="O407" s="205" t="n">
        <f aca="false">SUMIFS(報告入力!$BE$7:$BE$696,報告入力!$A$7:$A$696,$S$392,報告入力!$B$7:$B$696,$A407)</f>
        <v>5807</v>
      </c>
      <c r="P407" s="116" t="n">
        <f aca="false">SUM(N407:O407)</f>
        <v>11610</v>
      </c>
      <c r="Q407" s="137" t="str">
        <f aca="false">IF(P342=P407,"〇","×")</f>
        <v>×</v>
      </c>
      <c r="R407" s="137" t="str">
        <f aca="false">IFERROR(INDEX(報告入力!$C$7:$C$696,MATCH($S$392&amp;"|"&amp;$A407,報告入力!$CG$7:$CG$696,0)),"")</f>
        <v>入金確認済</v>
      </c>
    </row>
    <row r="408" s="137" customFormat="true" ht="19.5" hidden="false" customHeight="true" outlineLevel="0" collapsed="false">
      <c r="A408" s="138" t="s">
        <v>382</v>
      </c>
      <c r="B408" s="139"/>
      <c r="C408" s="140"/>
      <c r="D408" s="139"/>
      <c r="E408" s="141"/>
      <c r="F408" s="142"/>
      <c r="G408" s="143"/>
      <c r="H408" s="144"/>
      <c r="I408" s="145"/>
      <c r="J408" s="146"/>
      <c r="K408" s="147"/>
      <c r="L408" s="148"/>
      <c r="M408" s="148"/>
      <c r="N408" s="147"/>
      <c r="O408" s="148"/>
      <c r="P408" s="148"/>
      <c r="Q408" s="137" t="str">
        <f aca="false">IF(P343=P408,"〇","×")</f>
        <v>〇</v>
      </c>
    </row>
    <row r="409" s="137" customFormat="true" ht="19.5" hidden="false" customHeight="true" outlineLevel="0" collapsed="false">
      <c r="A409" s="149" t="s">
        <v>382</v>
      </c>
      <c r="B409" s="150"/>
      <c r="C409" s="151"/>
      <c r="D409" s="150"/>
      <c r="E409" s="152"/>
      <c r="F409" s="153"/>
      <c r="G409" s="154"/>
      <c r="H409" s="155"/>
      <c r="I409" s="152"/>
      <c r="J409" s="156"/>
      <c r="K409" s="157"/>
      <c r="L409" s="158"/>
      <c r="M409" s="158"/>
      <c r="N409" s="157"/>
      <c r="O409" s="158"/>
      <c r="P409" s="158"/>
      <c r="Q409" s="137" t="str">
        <f aca="false">IF(P344=P409,"〇","×")</f>
        <v>〇</v>
      </c>
    </row>
    <row r="410" s="137" customFormat="true" ht="19.5" hidden="false" customHeight="true" outlineLevel="0" collapsed="false">
      <c r="A410" s="149" t="s">
        <v>382</v>
      </c>
      <c r="B410" s="139"/>
      <c r="C410" s="140"/>
      <c r="D410" s="139"/>
      <c r="E410" s="141"/>
      <c r="F410" s="142"/>
      <c r="G410" s="143"/>
      <c r="H410" s="159"/>
      <c r="I410" s="141"/>
      <c r="J410" s="146"/>
      <c r="K410" s="160"/>
      <c r="L410" s="161"/>
      <c r="M410" s="161"/>
      <c r="N410" s="160"/>
      <c r="O410" s="161"/>
      <c r="P410" s="161"/>
      <c r="Q410" s="137" t="str">
        <f aca="false">IF(P345=P410,"〇","×")</f>
        <v>〇</v>
      </c>
    </row>
    <row r="411" s="137" customFormat="true" ht="19.5" hidden="false" customHeight="true" outlineLevel="0" collapsed="false">
      <c r="A411" s="162" t="s">
        <v>382</v>
      </c>
      <c r="B411" s="163"/>
      <c r="C411" s="164"/>
      <c r="D411" s="163"/>
      <c r="E411" s="165"/>
      <c r="F411" s="166"/>
      <c r="G411" s="167"/>
      <c r="H411" s="155"/>
      <c r="I411" s="168"/>
      <c r="J411" s="169"/>
      <c r="K411" s="157"/>
      <c r="L411" s="158"/>
      <c r="M411" s="170"/>
      <c r="N411" s="157"/>
      <c r="O411" s="158"/>
      <c r="P411" s="170"/>
      <c r="Q411" s="137" t="str">
        <f aca="false">IF(P346=P411,"〇","×")</f>
        <v>〇</v>
      </c>
    </row>
    <row r="412" s="137" customFormat="true" ht="19.5" hidden="false" customHeight="true" outlineLevel="0" collapsed="false">
      <c r="A412" s="171" t="s">
        <v>383</v>
      </c>
      <c r="B412" s="172" t="n">
        <f aca="false">SUM(B396:B411)</f>
        <v>366992041</v>
      </c>
      <c r="C412" s="173" t="n">
        <f aca="false">SUM(C396:C411)</f>
        <v>30086188</v>
      </c>
      <c r="D412" s="172" t="n">
        <f aca="false">SUM(D396:D411)</f>
        <v>531532320</v>
      </c>
      <c r="E412" s="174" t="n">
        <f aca="false">SUM(E396:E411)</f>
        <v>29761516</v>
      </c>
      <c r="F412" s="175" t="n">
        <f aca="false">SUM(F396:F411)</f>
        <v>357996</v>
      </c>
      <c r="G412" s="176" t="n">
        <f aca="false">SUM(B412:F412)</f>
        <v>958730061</v>
      </c>
      <c r="H412" s="173" t="n">
        <f aca="false">SUM(H396:H411)</f>
        <v>259971613</v>
      </c>
      <c r="I412" s="173" t="n">
        <f aca="false">SUM(I396:I411)</f>
        <v>260594408</v>
      </c>
      <c r="J412" s="175" t="n">
        <f aca="false">SUM(H412:I412)</f>
        <v>520566021</v>
      </c>
      <c r="K412" s="172" t="n">
        <f aca="false">SUM(K396:K411)</f>
        <v>24030668</v>
      </c>
      <c r="L412" s="173" t="n">
        <f aca="false">SUM(L396:L411)</f>
        <v>23594250</v>
      </c>
      <c r="M412" s="175" t="n">
        <f aca="false">SUM(K412:L412)</f>
        <v>47624918</v>
      </c>
      <c r="N412" s="172" t="n">
        <f aca="false">SUM(N396:N411)</f>
        <v>5760688</v>
      </c>
      <c r="O412" s="173" t="n">
        <f aca="false">SUM(O396:O411)</f>
        <v>5678302</v>
      </c>
      <c r="P412" s="175" t="n">
        <f aca="false">SUM(N412:O412)</f>
        <v>11438990</v>
      </c>
      <c r="Q412" s="137" t="str">
        <f aca="false">IF(P347=P412,"〇","×")</f>
        <v>×</v>
      </c>
    </row>
    <row r="413" s="110" customFormat="true" ht="20.1" hidden="false" customHeight="true" outlineLevel="0" collapsed="false">
      <c r="A413" s="177" t="s">
        <v>172</v>
      </c>
      <c r="B413" s="311"/>
      <c r="C413" s="308"/>
      <c r="D413" s="299"/>
      <c r="E413" s="303"/>
      <c r="F413" s="308"/>
      <c r="G413" s="302" t="n">
        <f aca="false">SUM(B413:F413)</f>
        <v>0</v>
      </c>
      <c r="H413" s="303"/>
      <c r="I413" s="310"/>
      <c r="J413" s="302" t="n">
        <f aca="false">SUM(H413:I413)</f>
        <v>0</v>
      </c>
      <c r="K413" s="303"/>
      <c r="L413" s="310"/>
      <c r="M413" s="302" t="n">
        <f aca="false">SUM(K413:L413)</f>
        <v>0</v>
      </c>
      <c r="N413" s="303"/>
      <c r="O413" s="310"/>
      <c r="P413" s="302" t="n">
        <f aca="false">SUM(N413:O413)</f>
        <v>0</v>
      </c>
      <c r="Q413" s="110" t="str">
        <f aca="false">IF(P348=P413,"〇","×")</f>
        <v>〇</v>
      </c>
      <c r="R413" s="110" t="str">
        <f aca="false">IFERROR(INDEX(報告入力!$C$7:$C$696,MATCH($S$392&amp;"|"&amp;$A413,報告入力!$CG$7:$CG$696,0)),"")</f>
        <v>報告なし</v>
      </c>
    </row>
    <row r="414" s="353" customFormat="true" ht="20.1" hidden="false" customHeight="true" outlineLevel="0" collapsed="false">
      <c r="A414" s="100" t="s">
        <v>174</v>
      </c>
      <c r="B414" s="117" t="n">
        <f aca="false">SUMIFS(報告入力!$AU$7:$AU$696,報告入力!$A$7:$A$696,$S$392,報告入力!$B$7:$B$696,$A414)</f>
        <v>0</v>
      </c>
      <c r="C414" s="113" t="n">
        <f aca="false">SUMIFS(報告入力!$AV$7:$AV$696,報告入力!$A$7:$A$696,$S$392,報告入力!$B$7:$B$696,$A414)</f>
        <v>0</v>
      </c>
      <c r="D414" s="111" t="n">
        <f aca="false">SUMIFS(報告入力!$AW$7:$AW$696,報告入力!$A$7:$A$696,$S$392,報告入力!$B$7:$B$696,$A414)</f>
        <v>785070</v>
      </c>
      <c r="E414" s="114" t="n">
        <f aca="false">SUMIFS(報告入力!$AX$7:$AX$696,報告入力!$A$7:$A$696,$S$392,報告入力!$B$7:$B$696,$A414)</f>
        <v>64350</v>
      </c>
      <c r="F414" s="113" t="n">
        <f aca="false">SUMIFS(報告入力!$AY$7:$AY$696,報告入力!$A$7:$A$696,$S$392,報告入力!$B$7:$B$696,$A414)</f>
        <v>776</v>
      </c>
      <c r="G414" s="108" t="n">
        <f aca="false">SUM(B414:F414)</f>
        <v>850196</v>
      </c>
      <c r="H414" s="114" t="n">
        <f aca="false">SUMIFS(報告入力!$AZ$7:$AZ$696,報告入力!$A$7:$A$696,$S$392,報告入力!$B$7:$B$696,$A414)</f>
        <v>0</v>
      </c>
      <c r="I414" s="205" t="n">
        <f aca="false">SUMIFS(報告入力!$BA$7:$BA$696,報告入力!$A$7:$A$696,$S$392,報告入力!$B$7:$B$696,$A414)</f>
        <v>446945</v>
      </c>
      <c r="J414" s="108" t="n">
        <f aca="false">SUM(H414:I414)</f>
        <v>446945</v>
      </c>
      <c r="K414" s="114" t="n">
        <f aca="false">SUMIFS(報告入力!$BB$7:$BB$696,報告入力!$A$7:$A$696,$S$392,報告入力!$B$7:$B$696,$A414)</f>
        <v>0</v>
      </c>
      <c r="L414" s="205" t="n">
        <f aca="false">SUMIFS(報告入力!$BC$7:$BC$696,報告入力!$A$7:$A$696,$S$392,報告入力!$B$7:$B$696,$A414)</f>
        <v>55616</v>
      </c>
      <c r="M414" s="108" t="n">
        <f aca="false">SUM(K414:L414)</f>
        <v>55616</v>
      </c>
      <c r="N414" s="114" t="n">
        <f aca="false">SUMIFS(報告入力!$BD$7:$BD$696,報告入力!$A$7:$A$696,$S$392,報告入力!$B$7:$B$696,$A414)</f>
        <v>0</v>
      </c>
      <c r="O414" s="205" t="n">
        <f aca="false">SUMIFS(報告入力!$BE$7:$BE$696,報告入力!$A$7:$A$696,$S$392,報告入力!$B$7:$B$696,$A414)</f>
        <v>9901</v>
      </c>
      <c r="P414" s="108" t="n">
        <f aca="false">SUM(N414:O414)</f>
        <v>9901</v>
      </c>
      <c r="Q414" s="353" t="str">
        <f aca="false">IF(P349=P414,"〇","×")</f>
        <v>×</v>
      </c>
      <c r="R414" s="353" t="str">
        <f aca="false">IFERROR(INDEX(報告入力!$C$7:$C$696,MATCH($S$392&amp;"|"&amp;$A414,報告入力!$CG$7:$CG$696,0)),"")</f>
        <v>入金確認済</v>
      </c>
    </row>
    <row r="415" s="110" customFormat="true" ht="20.1" hidden="false" customHeight="true" outlineLevel="0" collapsed="false">
      <c r="A415" s="100" t="s">
        <v>175</v>
      </c>
      <c r="B415" s="186"/>
      <c r="C415" s="187"/>
      <c r="D415" s="111" t="n">
        <f aca="false">SUMIFS(報告入力!$AW$7:$AW$696,報告入力!$A$7:$A$696,$S$392,報告入力!$B$7:$B$696,$A415)</f>
        <v>2013915</v>
      </c>
      <c r="E415" s="114" t="n">
        <f aca="false">SUMIFS(報告入力!$AX$7:$AX$696,報告入力!$A$7:$A$696,$S$392,報告入力!$B$7:$B$696,$A415)</f>
        <v>165075</v>
      </c>
      <c r="F415" s="113" t="n">
        <f aca="false">SUMIFS(報告入力!$AY$7:$AY$696,報告入力!$A$7:$A$696,$S$392,報告入力!$B$7:$B$696,$A415)</f>
        <v>2074</v>
      </c>
      <c r="G415" s="108" t="n">
        <f aca="false">SUM(B415:F415)</f>
        <v>2181064</v>
      </c>
      <c r="H415" s="188"/>
      <c r="I415" s="205" t="n">
        <f aca="false">SUMIFS(報告入力!$BA$7:$BA$696,報告入力!$A$7:$A$696,$S$392,報告入力!$B$7:$B$696,$A415)</f>
        <v>1295257</v>
      </c>
      <c r="J415" s="108" t="n">
        <f aca="false">SUM(H415:I415)</f>
        <v>1295257</v>
      </c>
      <c r="K415" s="188"/>
      <c r="L415" s="205" t="n">
        <f aca="false">SUMIFS(報告入力!$BC$7:$BC$696,報告入力!$A$7:$A$696,$S$392,報告入力!$B$7:$B$696,$A415)</f>
        <v>146861</v>
      </c>
      <c r="M415" s="108" t="n">
        <f aca="false">SUM(K415:L415)</f>
        <v>146861</v>
      </c>
      <c r="N415" s="188"/>
      <c r="O415" s="205" t="n">
        <f aca="false">SUMIFS(報告入力!$BE$7:$BE$696,報告入力!$A$7:$A$696,$S$392,報告入力!$B$7:$B$696,$A415)</f>
        <v>28689</v>
      </c>
      <c r="P415" s="108" t="n">
        <f aca="false">SUM(N415:O415)</f>
        <v>28689</v>
      </c>
      <c r="Q415" s="110" t="str">
        <f aca="false">IF(P350=P415,"〇","×")</f>
        <v>×</v>
      </c>
      <c r="R415" s="110" t="str">
        <f aca="false">IFERROR(INDEX(報告入力!$C$7:$C$696,MATCH($S$392&amp;"|"&amp;$A415,報告入力!$CG$7:$CG$696,0)),"")</f>
        <v>入金確認済</v>
      </c>
    </row>
    <row r="416" s="110" customFormat="true" ht="20.1" hidden="false" customHeight="true" outlineLevel="0" collapsed="false">
      <c r="A416" s="100" t="s">
        <v>176</v>
      </c>
      <c r="B416" s="186"/>
      <c r="C416" s="187"/>
      <c r="D416" s="111" t="n">
        <f aca="false">SUMIFS(報告入力!$AW$7:$AW$696,報告入力!$A$7:$A$696,$S$392,報告入力!$B$7:$B$696,$A416)</f>
        <v>59475</v>
      </c>
      <c r="E416" s="114" t="n">
        <f aca="false">SUMIFS(報告入力!$AX$7:$AX$696,報告入力!$A$7:$A$696,$S$392,報告入力!$B$7:$B$696,$A416)</f>
        <v>4875</v>
      </c>
      <c r="F416" s="113" t="n">
        <f aca="false">SUMIFS(報告入力!$AY$7:$AY$696,報告入力!$A$7:$A$696,$S$392,報告入力!$B$7:$B$696,$A416)</f>
        <v>56</v>
      </c>
      <c r="G416" s="108" t="n">
        <f aca="false">SUM(B416:F416)</f>
        <v>64406</v>
      </c>
      <c r="H416" s="188"/>
      <c r="I416" s="205" t="n">
        <f aca="false">SUMIFS(報告入力!$BA$7:$BA$696,報告入力!$A$7:$A$696,$S$392,報告入力!$B$7:$B$696,$A416)</f>
        <v>33741</v>
      </c>
      <c r="J416" s="108" t="n">
        <f aca="false">SUM(H416:I416)</f>
        <v>33741</v>
      </c>
      <c r="K416" s="188"/>
      <c r="L416" s="205" t="n">
        <f aca="false">SUMIFS(報告入力!$BC$7:$BC$696,報告入力!$A$7:$A$696,$S$392,報告入力!$B$7:$B$696,$A416)</f>
        <v>5135</v>
      </c>
      <c r="M416" s="108" t="n">
        <f aca="false">SUM(K416:L416)</f>
        <v>5135</v>
      </c>
      <c r="N416" s="188"/>
      <c r="O416" s="205" t="n">
        <f aca="false">SUMIFS(報告入力!$BE$7:$BE$696,報告入力!$A$7:$A$696,$S$392,報告入力!$B$7:$B$696,$A416)</f>
        <v>747</v>
      </c>
      <c r="P416" s="108" t="n">
        <f aca="false">SUM(N416:O416)</f>
        <v>747</v>
      </c>
      <c r="Q416" s="110" t="str">
        <f aca="false">IF(P351=P416,"〇","×")</f>
        <v>×</v>
      </c>
      <c r="R416" s="110" t="str">
        <f aca="false">IFERROR(INDEX(報告入力!$C$7:$C$696,MATCH($S$392&amp;"|"&amp;$A416,報告入力!$CG$7:$CG$696,0)),"")</f>
        <v>入金確認済</v>
      </c>
    </row>
    <row r="417" s="110" customFormat="true" ht="20.1" hidden="false" customHeight="true" outlineLevel="0" collapsed="false">
      <c r="A417" s="189" t="s">
        <v>177</v>
      </c>
      <c r="B417" s="186"/>
      <c r="C417" s="187"/>
      <c r="D417" s="111" t="n">
        <f aca="false">SUMIFS(報告入力!$AW$7:$AW$696,報告入力!$A$7:$A$696,$S$392,報告入力!$B$7:$B$696,$A417)</f>
        <v>368745</v>
      </c>
      <c r="E417" s="114" t="n">
        <f aca="false">SUMIFS(報告入力!$AX$7:$AX$696,報告入力!$A$7:$A$696,$S$392,報告入力!$B$7:$B$696,$A417)</f>
        <v>30225</v>
      </c>
      <c r="F417" s="113" t="n">
        <f aca="false">SUMIFS(報告入力!$AY$7:$AY$696,報告入力!$A$7:$A$696,$S$392,報告入力!$B$7:$B$696,$A417)</f>
        <v>395</v>
      </c>
      <c r="G417" s="108" t="n">
        <f aca="false">SUM(B417:F417)</f>
        <v>399365</v>
      </c>
      <c r="H417" s="188"/>
      <c r="I417" s="205" t="n">
        <f aca="false">SUMIFS(報告入力!$BA$7:$BA$696,報告入力!$A$7:$A$696,$S$392,報告入力!$B$7:$B$696,$A417)</f>
        <v>209223</v>
      </c>
      <c r="J417" s="108" t="n">
        <f aca="false">SUM(H417:I417)</f>
        <v>209223</v>
      </c>
      <c r="K417" s="188"/>
      <c r="L417" s="205" t="n">
        <f aca="false">SUMIFS(報告入力!$BC$7:$BC$696,報告入力!$A$7:$A$696,$S$392,報告入力!$B$7:$B$696,$A417)</f>
        <v>26781</v>
      </c>
      <c r="M417" s="108" t="n">
        <f aca="false">SUM(K417:L417)</f>
        <v>26781</v>
      </c>
      <c r="N417" s="188"/>
      <c r="O417" s="205" t="n">
        <f aca="false">SUMIFS(報告入力!$BE$7:$BE$696,報告入力!$A$7:$A$696,$S$392,報告入力!$B$7:$B$696,$A417)</f>
        <v>4634</v>
      </c>
      <c r="P417" s="108" t="n">
        <f aca="false">SUM(N417:O417)</f>
        <v>4634</v>
      </c>
      <c r="Q417" s="110" t="str">
        <f aca="false">IF(P352=P417,"〇","×")</f>
        <v>×</v>
      </c>
      <c r="R417" s="110" t="str">
        <f aca="false">IFERROR(INDEX(報告入力!$C$7:$C$696,MATCH($S$392&amp;"|"&amp;$A417,報告入力!$CG$7:$CG$696,0)),"")</f>
        <v>入金確認済</v>
      </c>
    </row>
    <row r="418" s="110" customFormat="true" ht="20.1" hidden="false" customHeight="true" outlineLevel="0" collapsed="false">
      <c r="A418" s="121" t="s">
        <v>178</v>
      </c>
      <c r="B418" s="186"/>
      <c r="C418" s="191"/>
      <c r="D418" s="111" t="n">
        <f aca="false">SUMIFS(報告入力!$AW$7:$AW$696,報告入力!$A$7:$A$696,$S$392,報告入力!$B$7:$B$696,$A418)</f>
        <v>45750</v>
      </c>
      <c r="E418" s="114" t="n">
        <f aca="false">SUMIFS(報告入力!$AX$7:$AX$696,報告入力!$A$7:$A$696,$S$392,報告入力!$B$7:$B$696,$A418)</f>
        <v>3750</v>
      </c>
      <c r="F418" s="113" t="n">
        <f aca="false">SUMIFS(報告入力!$AY$7:$AY$696,報告入力!$A$7:$A$696,$S$392,報告入力!$B$7:$B$696,$A418)</f>
        <v>43</v>
      </c>
      <c r="G418" s="108" t="n">
        <f aca="false">SUM(B418:F418)</f>
        <v>49543</v>
      </c>
      <c r="H418" s="188"/>
      <c r="I418" s="205" t="n">
        <f aca="false">SUMIFS(報告入力!$BA$7:$BA$696,報告入力!$A$7:$A$696,$S$392,報告入力!$B$7:$B$696,$A418)</f>
        <v>25955</v>
      </c>
      <c r="J418" s="108" t="n">
        <f aca="false">SUM(H418:I418)</f>
        <v>25955</v>
      </c>
      <c r="K418" s="188"/>
      <c r="L418" s="205" t="n">
        <f aca="false">SUMIFS(報告入力!$BC$7:$BC$696,報告入力!$A$7:$A$696,$S$392,報告入力!$B$7:$B$696,$A418)</f>
        <v>3950</v>
      </c>
      <c r="M418" s="108" t="n">
        <f aca="false">SUM(K418:L418)</f>
        <v>3950</v>
      </c>
      <c r="N418" s="188"/>
      <c r="O418" s="205" t="n">
        <f aca="false">SUMIFS(報告入力!$BE$7:$BE$696,報告入力!$A$7:$A$696,$S$392,報告入力!$B$7:$B$696,$A418)</f>
        <v>575</v>
      </c>
      <c r="P418" s="108" t="n">
        <f aca="false">SUM(N418:O418)</f>
        <v>575</v>
      </c>
      <c r="Q418" s="110" t="str">
        <f aca="false">IF(P353=P418,"〇","×")</f>
        <v>〇</v>
      </c>
      <c r="R418" s="110" t="str">
        <f aca="false">IFERROR(INDEX(報告入力!$C$7:$C$696,MATCH($S$392&amp;"|"&amp;$A418,報告入力!$CG$7:$CG$696,0)),"")</f>
        <v>入金確認済</v>
      </c>
    </row>
    <row r="419" s="110" customFormat="true" ht="20.1" hidden="false" customHeight="true" outlineLevel="0" collapsed="false">
      <c r="A419" s="327" t="s">
        <v>179</v>
      </c>
      <c r="B419" s="186"/>
      <c r="C419" s="191"/>
      <c r="D419" s="111" t="n">
        <f aca="false">SUMIFS(報告入力!$AW$7:$AW$696,報告入力!$A$7:$A$696,$S$392,報告入力!$B$7:$B$696,$A419)</f>
        <v>0</v>
      </c>
      <c r="E419" s="114" t="n">
        <f aca="false">SUMIFS(報告入力!$AX$7:$AX$696,報告入力!$A$7:$A$696,$S$392,報告入力!$B$7:$B$696,$A419)</f>
        <v>0</v>
      </c>
      <c r="F419" s="113" t="n">
        <f aca="false">SUMIFS(報告入力!$AY$7:$AY$696,報告入力!$A$7:$A$696,$S$392,報告入力!$B$7:$B$696,$A419)</f>
        <v>0</v>
      </c>
      <c r="G419" s="108" t="n">
        <f aca="false">SUM(B419:F419)</f>
        <v>0</v>
      </c>
      <c r="H419" s="188"/>
      <c r="I419" s="205" t="n">
        <f aca="false">SUMIFS(報告入力!$BA$7:$BA$696,報告入力!$A$7:$A$696,$S$392,報告入力!$B$7:$B$696,$A419)</f>
        <v>0</v>
      </c>
      <c r="J419" s="108" t="n">
        <f aca="false">SUM(H419:I419)</f>
        <v>0</v>
      </c>
      <c r="K419" s="188"/>
      <c r="L419" s="205" t="n">
        <f aca="false">SUMIFS(報告入力!$BC$7:$BC$696,報告入力!$A$7:$A$696,$S$392,報告入力!$B$7:$B$696,$A419)</f>
        <v>0</v>
      </c>
      <c r="M419" s="108" t="n">
        <f aca="false">SUM(K419:L419)</f>
        <v>0</v>
      </c>
      <c r="N419" s="188"/>
      <c r="O419" s="205" t="n">
        <f aca="false">SUMIFS(報告入力!$BE$7:$BE$696,報告入力!$A$7:$A$696,$S$392,報告入力!$B$7:$B$696,$A419)</f>
        <v>0</v>
      </c>
      <c r="P419" s="108" t="n">
        <f aca="false">SUM(N419:O419)</f>
        <v>0</v>
      </c>
      <c r="Q419" s="110" t="str">
        <f aca="false">IF(P354=P419,"〇","×")</f>
        <v>〇</v>
      </c>
      <c r="R419" s="110" t="str">
        <f aca="false">IFERROR(INDEX(報告入力!$C$7:$C$696,MATCH($S$392&amp;"|"&amp;$A419,報告入力!$CG$7:$CG$696,0)),"")</f>
        <v>入金確認済</v>
      </c>
    </row>
    <row r="420" s="110" customFormat="true" ht="19.5" hidden="false" customHeight="true" outlineLevel="0" collapsed="false">
      <c r="A420" s="192" t="s">
        <v>180</v>
      </c>
      <c r="B420" s="186"/>
      <c r="C420" s="193"/>
      <c r="D420" s="111" t="n">
        <f aca="false">SUMIFS(報告入力!$AW$7:$AW$696,報告入力!$A$7:$A$696,$S$392,報告入力!$B$7:$B$696,$A420)</f>
        <v>192150</v>
      </c>
      <c r="E420" s="114" t="n">
        <f aca="false">SUMIFS(報告入力!$AX$7:$AX$696,報告入力!$A$7:$A$696,$S$392,報告入力!$B$7:$B$696,$A420)</f>
        <v>15750</v>
      </c>
      <c r="F420" s="113" t="n">
        <f aca="false">SUMIFS(報告入力!$AY$7:$AY$696,報告入力!$A$7:$A$696,$S$392,報告入力!$B$7:$B$696,$A420)</f>
        <v>182</v>
      </c>
      <c r="G420" s="108" t="n">
        <f aca="false">SUM(B420:F420)</f>
        <v>208082</v>
      </c>
      <c r="H420" s="188"/>
      <c r="I420" s="205" t="n">
        <f aca="false">SUMIFS(報告入力!$BA$7:$BA$696,報告入力!$A$7:$A$696,$S$392,報告入力!$B$7:$B$696,$A420)</f>
        <v>109011</v>
      </c>
      <c r="J420" s="108" t="n">
        <f aca="false">SUM(H420:I420)</f>
        <v>109011</v>
      </c>
      <c r="K420" s="188"/>
      <c r="L420" s="205" t="n">
        <f aca="false">SUMIFS(報告入力!$BC$7:$BC$696,報告入力!$A$7:$A$696,$S$392,報告入力!$B$7:$B$696,$A420)</f>
        <v>12877</v>
      </c>
      <c r="M420" s="108" t="n">
        <f aca="false">SUM(K420:L420)</f>
        <v>12877</v>
      </c>
      <c r="N420" s="188"/>
      <c r="O420" s="205" t="n">
        <f aca="false">SUMIFS(報告入力!$BE$7:$BE$696,報告入力!$A$7:$A$696,$S$392,報告入力!$B$7:$B$696,$A420)</f>
        <v>2415</v>
      </c>
      <c r="P420" s="108" t="n">
        <f aca="false">SUM(N420:O420)</f>
        <v>2415</v>
      </c>
      <c r="Q420" s="110" t="str">
        <f aca="false">IF(P355=P420,"〇","×")</f>
        <v>×</v>
      </c>
      <c r="R420" s="110" t="str">
        <f aca="false">IFERROR(INDEX(報告入力!$C$7:$C$696,MATCH($S$392&amp;"|"&amp;$A420,報告入力!$CG$7:$CG$696,0)),"")</f>
        <v>入金確認済</v>
      </c>
    </row>
    <row r="421" s="110" customFormat="true" ht="20.1" hidden="false" customHeight="true" outlineLevel="0" collapsed="false">
      <c r="A421" s="100" t="s">
        <v>181</v>
      </c>
      <c r="B421" s="117" t="n">
        <f aca="false">SUMIFS(報告入力!$AU$7:$AU$696,報告入力!$A$7:$A$696,$S$392,報告入力!$B$7:$B$696,$A421)</f>
        <v>247050</v>
      </c>
      <c r="C421" s="113" t="n">
        <f aca="false">SUMIFS(報告入力!$AV$7:$AV$696,報告入力!$A$7:$A$696,$S$392,報告入力!$B$7:$B$696,$A421)</f>
        <v>20250</v>
      </c>
      <c r="D421" s="111" t="n">
        <f aca="false">SUMIFS(報告入力!$AW$7:$AW$696,報告入力!$A$7:$A$696,$S$392,報告入力!$B$7:$B$696,$A421)</f>
        <v>247050</v>
      </c>
      <c r="E421" s="114" t="n">
        <f aca="false">SUMIFS(報告入力!$AX$7:$AX$696,報告入力!$A$7:$A$696,$S$392,報告入力!$B$7:$B$696,$A421)</f>
        <v>20250</v>
      </c>
      <c r="F421" s="113" t="n">
        <f aca="false">SUMIFS(報告入力!$AY$7:$AY$696,報告入力!$A$7:$A$696,$S$392,報告入力!$B$7:$B$696,$A421)</f>
        <v>234</v>
      </c>
      <c r="G421" s="108" t="n">
        <f aca="false">SUM(B421:F421)</f>
        <v>534834</v>
      </c>
      <c r="H421" s="114" t="n">
        <f aca="false">SUMIFS(報告入力!$AZ$7:$AZ$696,報告入力!$A$7:$A$696,$S$392,報告入力!$B$7:$B$696,$A421)</f>
        <v>140021</v>
      </c>
      <c r="I421" s="205" t="n">
        <f aca="false">SUMIFS(報告入力!$BA$7:$BA$696,報告入力!$A$7:$A$696,$S$392,報告入力!$B$7:$B$696,$A421)</f>
        <v>140157</v>
      </c>
      <c r="J421" s="108" t="n">
        <f aca="false">SUM(H421:I421)</f>
        <v>280178</v>
      </c>
      <c r="K421" s="114" t="n">
        <f aca="false">SUMIFS(報告入力!$BB$7:$BB$696,報告入力!$A$7:$A$696,$S$392,報告入力!$B$7:$B$696,$A421)</f>
        <v>10270</v>
      </c>
      <c r="L421" s="205" t="n">
        <f aca="false">SUMIFS(報告入力!$BC$7:$BC$696,報告入力!$A$7:$A$696,$S$392,報告入力!$B$7:$B$696,$A421)</f>
        <v>10270</v>
      </c>
      <c r="M421" s="108" t="n">
        <f aca="false">SUM(K421:L421)</f>
        <v>20540</v>
      </c>
      <c r="N421" s="114" t="n">
        <f aca="false">SUMIFS(報告入力!$BD$7:$BD$696,報告入力!$A$7:$A$696,$S$392,報告入力!$B$7:$B$696,$A421)</f>
        <v>3104</v>
      </c>
      <c r="O421" s="205" t="n">
        <f aca="false">SUMIFS(報告入力!$BE$7:$BE$696,報告入力!$A$7:$A$696,$S$392,報告入力!$B$7:$B$696,$A421)</f>
        <v>3105</v>
      </c>
      <c r="P421" s="108" t="n">
        <f aca="false">SUM(N421:O421)</f>
        <v>6209</v>
      </c>
      <c r="Q421" s="110" t="str">
        <f aca="false">IF(P356=P421,"〇","×")</f>
        <v>〇</v>
      </c>
      <c r="R421" s="110" t="str">
        <f aca="false">IFERROR(INDEX(報告入力!$C$7:$C$696,MATCH($S$392&amp;"|"&amp;$A421,報告入力!$CG$7:$CG$696,0)),"")</f>
        <v>入金確認済</v>
      </c>
    </row>
    <row r="422" s="110" customFormat="true" ht="20.1" hidden="false" customHeight="true" outlineLevel="0" collapsed="false">
      <c r="A422" s="354" t="s">
        <v>182</v>
      </c>
      <c r="B422" s="355" t="n">
        <f aca="false">SUMIFS(報告入力!$AU$7:$AU$696,報告入力!$A$7:$A$696,$S$392,報告入力!$B$7:$B$696,$A422)</f>
        <v>43005</v>
      </c>
      <c r="C422" s="356" t="n">
        <f aca="false">SUMIFS(報告入力!$AV$7:$AV$696,報告入力!$A$7:$A$696,$S$392,報告入力!$B$7:$B$696,$A422)</f>
        <v>3525</v>
      </c>
      <c r="D422" s="355" t="n">
        <f aca="false">SUMIFS(報告入力!$AW$7:$AW$696,報告入力!$A$7:$A$696,$S$392,報告入力!$B$7:$B$696,$A422)</f>
        <v>43005</v>
      </c>
      <c r="E422" s="357" t="n">
        <f aca="false">SUMIFS(報告入力!$AX$7:$AX$696,報告入力!$A$7:$A$696,$S$392,報告入力!$B$7:$B$696,$A422)</f>
        <v>3525</v>
      </c>
      <c r="F422" s="356" t="n">
        <f aca="false">SUMIFS(報告入力!$AY$7:$AY$696,報告入力!$A$7:$A$696,$S$392,報告入力!$B$7:$B$696,$A422)</f>
        <v>40</v>
      </c>
      <c r="G422" s="358" t="n">
        <f aca="false">SUM(B422:F422)</f>
        <v>93100</v>
      </c>
      <c r="H422" s="114" t="n">
        <f aca="false">SUMIFS(報告入力!$AZ$7:$AZ$696,報告入力!$A$7:$A$696,$S$392,報告入力!$B$7:$B$696,$A422)</f>
        <v>24374</v>
      </c>
      <c r="I422" s="205" t="n">
        <f aca="false">SUMIFS(報告入力!$BA$7:$BA$696,報告入力!$A$7:$A$696,$S$392,報告入力!$B$7:$B$696,$A422)</f>
        <v>24397</v>
      </c>
      <c r="J422" s="108" t="n">
        <f aca="false">SUM(H422:I422)</f>
        <v>48771</v>
      </c>
      <c r="K422" s="114" t="n">
        <f aca="false">SUMIFS(報告入力!$BB$7:$BB$696,報告入力!$A$7:$A$696,$S$392,報告入力!$B$7:$B$696,$A422)</f>
        <v>0</v>
      </c>
      <c r="L422" s="205" t="n">
        <f aca="false">SUMIFS(報告入力!$BC$7:$BC$696,報告入力!$A$7:$A$696,$S$392,報告入力!$B$7:$B$696,$A422)</f>
        <v>0</v>
      </c>
      <c r="M422" s="108" t="n">
        <f aca="false">SUM(K422:L422)</f>
        <v>0</v>
      </c>
      <c r="N422" s="114" t="n">
        <f aca="false">SUMIFS(報告入力!$BD$7:$BD$696,報告入力!$A$7:$A$696,$S$392,報告入力!$B$7:$B$696,$A422)</f>
        <v>540</v>
      </c>
      <c r="O422" s="205" t="n">
        <f aca="false">SUMIFS(報告入力!$BE$7:$BE$696,報告入力!$A$7:$A$696,$S$392,報告入力!$B$7:$B$696,$A422)</f>
        <v>540</v>
      </c>
      <c r="P422" s="108" t="n">
        <f aca="false">SUM(N422:O422)</f>
        <v>1080</v>
      </c>
      <c r="Q422" s="110" t="str">
        <f aca="false">IF(P357=P422,"〇","×")</f>
        <v>×</v>
      </c>
      <c r="R422" s="110" t="str">
        <f aca="false">IFERROR(INDEX(報告入力!$C$7:$C$696,MATCH($S$392&amp;"|"&amp;$A422,報告入力!$CG$7:$CG$696,0)),"")</f>
        <v>入金確認済</v>
      </c>
    </row>
    <row r="423" s="110" customFormat="true" ht="20.1" hidden="false" customHeight="true" outlineLevel="0" collapsed="false">
      <c r="A423" s="197" t="s">
        <v>183</v>
      </c>
      <c r="B423" s="117" t="n">
        <f aca="false">SUMIFS(報告入力!$AU$7:$AU$696,報告入力!$A$7:$A$696,$S$392,報告入力!$B$7:$B$696,$A423)</f>
        <v>107970</v>
      </c>
      <c r="C423" s="113" t="n">
        <f aca="false">SUMIFS(報告入力!$AV$7:$AV$696,報告入力!$A$7:$A$696,$S$392,報告入力!$B$7:$B$696,$A423)</f>
        <v>8850</v>
      </c>
      <c r="D423" s="111" t="n">
        <f aca="false">SUMIFS(報告入力!$AW$7:$AW$696,報告入力!$A$7:$A$696,$S$392,報告入力!$B$7:$B$696,$A423)</f>
        <v>107970</v>
      </c>
      <c r="E423" s="114" t="n">
        <f aca="false">SUMIFS(報告入力!$AX$7:$AX$696,報告入力!$A$7:$A$696,$S$392,報告入力!$B$7:$B$696,$A423)</f>
        <v>8850</v>
      </c>
      <c r="F423" s="113" t="n">
        <f aca="false">SUMIFS(報告入力!$AY$7:$AY$696,報告入力!$A$7:$A$696,$S$392,報告入力!$B$7:$B$696,$A423)</f>
        <v>102</v>
      </c>
      <c r="G423" s="108" t="n">
        <f aca="false">SUM(B423:F423)</f>
        <v>233742</v>
      </c>
      <c r="H423" s="114" t="n">
        <f aca="false">SUMIFS(報告入力!$AZ$7:$AZ$696,報告入力!$A$7:$A$696,$S$392,報告入力!$B$7:$B$696,$A423)</f>
        <v>61194</v>
      </c>
      <c r="I423" s="205" t="n">
        <f aca="false">SUMIFS(報告入力!$BA$7:$BA$696,報告入力!$A$7:$A$696,$S$392,報告入力!$B$7:$B$696,$A423)</f>
        <v>61253</v>
      </c>
      <c r="J423" s="108" t="n">
        <f aca="false">SUM(H423:I423)</f>
        <v>122447</v>
      </c>
      <c r="K423" s="114" t="n">
        <f aca="false">SUMIFS(報告入力!$BB$7:$BB$696,報告入力!$A$7:$A$696,$S$392,報告入力!$B$7:$B$696,$A423)</f>
        <v>9322</v>
      </c>
      <c r="L423" s="205" t="n">
        <f aca="false">SUMIFS(報告入力!$BC$7:$BC$696,報告入力!$A$7:$A$696,$S$392,報告入力!$B$7:$B$696,$A423)</f>
        <v>9322</v>
      </c>
      <c r="M423" s="108" t="n">
        <f aca="false">SUM(K423:L423)</f>
        <v>18644</v>
      </c>
      <c r="N423" s="114" t="n">
        <f aca="false">SUMIFS(報告入力!$BD$7:$BD$696,報告入力!$A$7:$A$696,$S$392,報告入力!$B$7:$B$696,$A423)</f>
        <v>1357</v>
      </c>
      <c r="O423" s="205" t="n">
        <f aca="false">SUMIFS(報告入力!$BE$7:$BE$696,報告入力!$A$7:$A$696,$S$392,報告入力!$B$7:$B$696,$A423)</f>
        <v>1357</v>
      </c>
      <c r="P423" s="108" t="n">
        <f aca="false">SUM(N423:O423)</f>
        <v>2714</v>
      </c>
      <c r="Q423" s="110" t="str">
        <f aca="false">IF(P358=P423,"〇","×")</f>
        <v>×</v>
      </c>
      <c r="R423" s="110" t="str">
        <f aca="false">IFERROR(INDEX(報告入力!$C$7:$C$696,MATCH($S$392&amp;"|"&amp;$A423,報告入力!$CG$7:$CG$696,0)),"")</f>
        <v>入金確認済</v>
      </c>
    </row>
    <row r="424" s="110" customFormat="true" ht="20.1" hidden="false" customHeight="true" outlineLevel="0" collapsed="false">
      <c r="A424" s="100" t="s">
        <v>184</v>
      </c>
      <c r="B424" s="117" t="n">
        <f aca="false">SUMIFS(報告入力!$AU$7:$AU$696,報告入力!$A$7:$A$696,$S$392,報告入力!$B$7:$B$696,$A424)</f>
        <v>816180</v>
      </c>
      <c r="C424" s="113" t="n">
        <f aca="false">SUMIFS(報告入力!$AV$7:$AV$696,報告入力!$A$7:$A$696,$S$392,報告入力!$B$7:$B$696,$A424)</f>
        <v>66900</v>
      </c>
      <c r="D424" s="111" t="n">
        <f aca="false">SUMIFS(報告入力!$AW$7:$AW$696,報告入力!$A$7:$A$696,$S$392,報告入力!$B$7:$B$696,$A424)</f>
        <v>816180</v>
      </c>
      <c r="E424" s="114" t="n">
        <f aca="false">SUMIFS(報告入力!$AX$7:$AX$696,報告入力!$A$7:$A$696,$S$392,報告入力!$B$7:$B$696,$A424)</f>
        <v>66900</v>
      </c>
      <c r="F424" s="113" t="n">
        <f aca="false">SUMIFS(報告入力!$AY$7:$AY$696,報告入力!$A$7:$A$696,$S$392,報告入力!$B$7:$B$696,$A424)</f>
        <v>775</v>
      </c>
      <c r="G424" s="108" t="n">
        <f aca="false">SUM(B424:F424)</f>
        <v>1766935</v>
      </c>
      <c r="H424" s="114" t="n">
        <f aca="false">SUMIFS(報告入力!$AZ$7:$AZ$696,報告入力!$A$7:$A$696,$S$392,報告入力!$B$7:$B$696,$A424)</f>
        <v>462583</v>
      </c>
      <c r="I424" s="205" t="n">
        <f aca="false">SUMIFS(報告入力!$BA$7:$BA$696,報告入力!$A$7:$A$696,$S$392,報告入力!$B$7:$B$696,$A424)</f>
        <v>463037</v>
      </c>
      <c r="J424" s="108" t="n">
        <f aca="false">SUM(H424:I424)</f>
        <v>925620</v>
      </c>
      <c r="K424" s="114" t="n">
        <f aca="false">SUMIFS(報告入力!$BB$7:$BB$696,報告入力!$A$7:$A$696,$S$392,報告入力!$B$7:$B$696,$A424)</f>
        <v>40527</v>
      </c>
      <c r="L424" s="205" t="n">
        <f aca="false">SUMIFS(報告入力!$BC$7:$BC$696,報告入力!$A$7:$A$696,$S$392,報告入力!$B$7:$B$696,$A424)</f>
        <v>40527</v>
      </c>
      <c r="M424" s="108" t="n">
        <f aca="false">SUM(K424:L424)</f>
        <v>81054</v>
      </c>
      <c r="N424" s="114" t="n">
        <f aca="false">SUMIFS(報告入力!$BD$7:$BD$696,報告入力!$A$7:$A$696,$S$392,報告入力!$B$7:$B$696,$A424)</f>
        <v>10254</v>
      </c>
      <c r="O424" s="205" t="n">
        <f aca="false">SUMIFS(報告入力!$BE$7:$BE$696,報告入力!$A$7:$A$696,$S$392,報告入力!$B$7:$B$696,$A424)</f>
        <v>10258</v>
      </c>
      <c r="P424" s="108" t="n">
        <f aca="false">SUM(N424:O424)</f>
        <v>20512</v>
      </c>
      <c r="Q424" s="110" t="str">
        <f aca="false">IF(P359=P424,"〇","×")</f>
        <v>×</v>
      </c>
      <c r="R424" s="110" t="str">
        <f aca="false">IFERROR(INDEX(報告入力!$C$7:$C$696,MATCH($S$392&amp;"|"&amp;$A424,報告入力!$CG$7:$CG$696,0)),"")</f>
        <v>入金確認済</v>
      </c>
    </row>
    <row r="425" s="110" customFormat="true" ht="20.1" hidden="false" customHeight="true" outlineLevel="0" collapsed="false">
      <c r="A425" s="100" t="s">
        <v>185</v>
      </c>
      <c r="B425" s="201"/>
      <c r="C425" s="191"/>
      <c r="D425" s="111" t="n">
        <f aca="false">SUMIFS(報告入力!$AW$7:$AW$696,報告入力!$A$7:$A$696,$S$392,報告入力!$B$7:$B$696,$A425)</f>
        <v>570960</v>
      </c>
      <c r="E425" s="114" t="n">
        <f aca="false">SUMIFS(報告入力!$AX$7:$AX$696,報告入力!$A$7:$A$696,$S$392,報告入力!$B$7:$B$696,$A425)</f>
        <v>46800</v>
      </c>
      <c r="F425" s="113" t="n">
        <f aca="false">SUMIFS(報告入力!$AY$7:$AY$696,報告入力!$A$7:$A$696,$S$392,報告入力!$B$7:$B$696,$A425)</f>
        <v>567</v>
      </c>
      <c r="G425" s="108" t="n">
        <f aca="false">SUM(B425:F425)</f>
        <v>618327</v>
      </c>
      <c r="H425" s="202"/>
      <c r="I425" s="205" t="n">
        <f aca="false">SUMIFS(報告入力!$BA$7:$BA$696,報告入力!$A$7:$A$696,$S$392,報告入力!$B$7:$B$696,$A425)</f>
        <v>323933</v>
      </c>
      <c r="J425" s="108" t="n">
        <f aca="false">SUM(H425:I425)</f>
        <v>323933</v>
      </c>
      <c r="K425" s="188"/>
      <c r="L425" s="205" t="n">
        <f aca="false">SUMIFS(報告入力!$BC$7:$BC$696,報告入力!$A$7:$A$696,$S$392,報告入力!$B$7:$B$696,$A425)</f>
        <v>26781</v>
      </c>
      <c r="M425" s="108" t="n">
        <f aca="false">SUM(K425:L425)</f>
        <v>26781</v>
      </c>
      <c r="N425" s="188"/>
      <c r="O425" s="205" t="n">
        <f aca="false">SUMIFS(報告入力!$BE$7:$BE$696,報告入力!$A$7:$A$696,$S$392,報告入力!$B$7:$B$696,$A425)</f>
        <v>7176</v>
      </c>
      <c r="P425" s="108" t="n">
        <f aca="false">SUM(N425:O425)</f>
        <v>7176</v>
      </c>
      <c r="Q425" s="110" t="str">
        <f aca="false">IF(P360=P425,"〇","×")</f>
        <v>×</v>
      </c>
      <c r="R425" s="110" t="str">
        <f aca="false">IFERROR(INDEX(報告入力!$C$7:$C$696,MATCH($S$392&amp;"|"&amp;$A425,報告入力!$CG$7:$CG$696,0)),"")</f>
        <v>入金確認済</v>
      </c>
    </row>
    <row r="426" s="110" customFormat="true" ht="20.1" hidden="false" customHeight="true" outlineLevel="0" collapsed="false">
      <c r="A426" s="203" t="s">
        <v>186</v>
      </c>
      <c r="B426" s="186"/>
      <c r="C426" s="193"/>
      <c r="D426" s="111" t="n">
        <f aca="false">SUMIFS(報告入力!$AW$7:$AW$696,報告入力!$A$7:$A$696,$S$392,報告入力!$B$7:$B$696,$A426)</f>
        <v>1051335</v>
      </c>
      <c r="E426" s="114" t="n">
        <f aca="false">SUMIFS(報告入力!$AX$7:$AX$696,報告入力!$A$7:$A$696,$S$392,報告入力!$B$7:$B$696,$A426)</f>
        <v>86175</v>
      </c>
      <c r="F426" s="113" t="n">
        <f aca="false">SUMIFS(報告入力!$AY$7:$AY$696,報告入力!$A$7:$A$696,$S$392,報告入力!$B$7:$B$696,$A426)</f>
        <v>996</v>
      </c>
      <c r="G426" s="108" t="n">
        <f aca="false">SUM(B426:F426)</f>
        <v>1138506</v>
      </c>
      <c r="H426" s="188"/>
      <c r="I426" s="205" t="n">
        <f aca="false">SUMIFS(報告入力!$BA$7:$BA$696,報告入力!$A$7:$A$696,$S$392,報告入力!$B$7:$B$696,$A426)</f>
        <v>598000</v>
      </c>
      <c r="J426" s="108" t="n">
        <f aca="false">SUM(H426:I426)</f>
        <v>598000</v>
      </c>
      <c r="K426" s="188"/>
      <c r="L426" s="205" t="n">
        <f aca="false">SUMIFS(報告入力!$BC$7:$BC$696,報告入力!$A$7:$A$696,$S$392,報告入力!$B$7:$B$696,$A426)</f>
        <v>85636</v>
      </c>
      <c r="M426" s="108" t="n">
        <f aca="false">SUM(K426:L426)</f>
        <v>85636</v>
      </c>
      <c r="N426" s="188"/>
      <c r="O426" s="205" t="n">
        <f aca="false">SUMIFS(報告入力!$BE$7:$BE$696,報告入力!$A$7:$A$696,$S$392,報告入力!$B$7:$B$696,$A426)</f>
        <v>13247</v>
      </c>
      <c r="P426" s="108" t="n">
        <f aca="false">SUM(N426:O426)</f>
        <v>13247</v>
      </c>
      <c r="Q426" s="110" t="str">
        <f aca="false">IF(P361=P426,"〇","×")</f>
        <v>×</v>
      </c>
      <c r="R426" s="110" t="str">
        <f aca="false">IFERROR(INDEX(報告入力!$C$7:$C$696,MATCH($S$392&amp;"|"&amp;$A426,報告入力!$CG$7:$CG$696,0)),"")</f>
        <v>入金確認済</v>
      </c>
    </row>
    <row r="427" s="110" customFormat="true" ht="20.1" hidden="false" customHeight="true" outlineLevel="0" collapsed="false">
      <c r="A427" s="204" t="s">
        <v>187</v>
      </c>
      <c r="B427" s="186"/>
      <c r="C427" s="193"/>
      <c r="D427" s="111" t="n">
        <f aca="false">SUMIFS(報告入力!$AW$7:$AW$696,報告入力!$A$7:$A$696,$S$392,報告入力!$B$7:$B$696,$A427)</f>
        <v>0</v>
      </c>
      <c r="E427" s="114" t="n">
        <f aca="false">SUMIFS(報告入力!$AX$7:$AX$696,報告入力!$A$7:$A$696,$S$392,報告入力!$B$7:$B$696,$A427)</f>
        <v>0</v>
      </c>
      <c r="F427" s="113" t="n">
        <f aca="false">SUMIFS(報告入力!$AY$7:$AY$696,報告入力!$A$7:$A$696,$S$392,報告入力!$B$7:$B$696,$A427)</f>
        <v>0</v>
      </c>
      <c r="G427" s="108" t="n">
        <f aca="false">SUM(B427:F427)</f>
        <v>0</v>
      </c>
      <c r="H427" s="188"/>
      <c r="I427" s="205" t="n">
        <f aca="false">SUMIFS(報告入力!$BA$7:$BA$696,報告入力!$A$7:$A$696,$S$392,報告入力!$B$7:$B$696,$A427)</f>
        <v>0</v>
      </c>
      <c r="J427" s="108" t="n">
        <f aca="false">SUM(H427:I427)</f>
        <v>0</v>
      </c>
      <c r="K427" s="188"/>
      <c r="L427" s="205" t="n">
        <f aca="false">SUMIFS(報告入力!$BC$7:$BC$696,報告入力!$A$7:$A$696,$S$392,報告入力!$B$7:$B$696,$A427)</f>
        <v>0</v>
      </c>
      <c r="M427" s="108" t="n">
        <f aca="false">SUM(K427:L427)</f>
        <v>0</v>
      </c>
      <c r="N427" s="188"/>
      <c r="O427" s="205" t="n">
        <f aca="false">SUMIFS(報告入力!$BE$7:$BE$696,報告入力!$A$7:$A$696,$S$392,報告入力!$B$7:$B$696,$A427)</f>
        <v>0</v>
      </c>
      <c r="P427" s="108" t="n">
        <f aca="false">SUM(N427:O427)</f>
        <v>0</v>
      </c>
      <c r="Q427" s="110" t="str">
        <f aca="false">IF(P362=P427,"〇","×")</f>
        <v>〇</v>
      </c>
      <c r="R427" s="110" t="str">
        <f aca="false">IFERROR(INDEX(報告入力!$C$7:$C$696,MATCH($S$392&amp;"|"&amp;$A427,報告入力!$CG$7:$CG$696,0)),"")</f>
        <v>入金確認済</v>
      </c>
    </row>
    <row r="428" s="110" customFormat="true" ht="20.1" hidden="false" customHeight="true" outlineLevel="0" collapsed="false">
      <c r="A428" s="100" t="s">
        <v>188</v>
      </c>
      <c r="B428" s="186"/>
      <c r="C428" s="193"/>
      <c r="D428" s="111" t="n">
        <f aca="false">SUMIFS(報告入力!$AW$7:$AW$696,報告入力!$A$7:$A$696,$S$392,報告入力!$B$7:$B$696,$A428)</f>
        <v>412665</v>
      </c>
      <c r="E428" s="114" t="n">
        <f aca="false">SUMIFS(報告入力!$AX$7:$AX$696,報告入力!$A$7:$A$696,$S$392,報告入力!$B$7:$B$696,$A428)</f>
        <v>33825</v>
      </c>
      <c r="F428" s="113" t="n">
        <f aca="false">SUMIFS(報告入力!$AY$7:$AY$696,報告入力!$A$7:$A$696,$S$392,報告入力!$B$7:$B$696,$A428)</f>
        <v>389</v>
      </c>
      <c r="G428" s="108" t="n">
        <f aca="false">SUM(B428:F428)</f>
        <v>446879</v>
      </c>
      <c r="H428" s="188"/>
      <c r="I428" s="205" t="n">
        <f aca="false">SUMIFS(報告入力!$BA$7:$BA$696,報告入力!$A$7:$A$696,$S$392,報告入力!$B$7:$B$696,$A428)</f>
        <v>234113</v>
      </c>
      <c r="J428" s="108" t="n">
        <f aca="false">SUM(H428:I428)</f>
        <v>234113</v>
      </c>
      <c r="K428" s="188"/>
      <c r="L428" s="205" t="n">
        <f aca="false">SUMIFS(報告入力!$BC$7:$BC$696,報告入力!$A$7:$A$696,$S$392,報告入力!$B$7:$B$696,$A428)</f>
        <v>35629</v>
      </c>
      <c r="M428" s="108" t="n">
        <f aca="false">SUM(K428:L428)</f>
        <v>35629</v>
      </c>
      <c r="N428" s="188"/>
      <c r="O428" s="205" t="n">
        <f aca="false">SUMIFS(報告入力!$BE$7:$BE$696,報告入力!$A$7:$A$696,$S$392,報告入力!$B$7:$B$696,$A428)</f>
        <v>5186</v>
      </c>
      <c r="P428" s="108" t="n">
        <f aca="false">SUM(N428:O428)</f>
        <v>5186</v>
      </c>
      <c r="Q428" s="110" t="str">
        <f aca="false">IF(P363=P428,"〇","×")</f>
        <v>×</v>
      </c>
      <c r="R428" s="110" t="str">
        <f aca="false">IFERROR(INDEX(報告入力!$C$7:$C$696,MATCH($S$392&amp;"|"&amp;$A428,報告入力!$CG$7:$CG$696,0)),"")</f>
        <v>入金確認済</v>
      </c>
    </row>
    <row r="429" s="110" customFormat="true" ht="20.1" hidden="false" customHeight="true" outlineLevel="0" collapsed="false">
      <c r="A429" s="121" t="s">
        <v>189</v>
      </c>
      <c r="B429" s="117" t="n">
        <f aca="false">SUMIFS(報告入力!$AU$7:$AU$696,報告入力!$A$7:$A$696,$S$392,報告入力!$B$7:$B$696,$A429)</f>
        <v>148230</v>
      </c>
      <c r="C429" s="113" t="n">
        <f aca="false">SUMIFS(報告入力!$AV$7:$AV$696,報告入力!$A$7:$A$696,$S$392,報告入力!$B$7:$B$696,$A429)</f>
        <v>12150</v>
      </c>
      <c r="D429" s="111" t="n">
        <f aca="false">SUMIFS(報告入力!$AW$7:$AW$696,報告入力!$A$7:$A$696,$S$392,報告入力!$B$7:$B$696,$A429)</f>
        <v>148230</v>
      </c>
      <c r="E429" s="114" t="n">
        <f aca="false">SUMIFS(報告入力!$AX$7:$AX$696,報告入力!$A$7:$A$696,$S$392,報告入力!$B$7:$B$696,$A429)</f>
        <v>12150</v>
      </c>
      <c r="F429" s="113" t="n">
        <f aca="false">SUMIFS(報告入力!$AY$7:$AY$696,報告入力!$A$7:$A$696,$S$392,報告入力!$B$7:$B$696,$A429)</f>
        <v>140</v>
      </c>
      <c r="G429" s="108" t="n">
        <f aca="false">SUM(B429:F429)</f>
        <v>320900</v>
      </c>
      <c r="H429" s="114" t="n">
        <f aca="false">SUMIFS(報告入力!$AZ$7:$AZ$696,報告入力!$A$7:$A$696,$S$392,報告入力!$B$7:$B$696,$A429)</f>
        <v>84012</v>
      </c>
      <c r="I429" s="205" t="n">
        <f aca="false">SUMIFS(報告入力!$BA$7:$BA$696,報告入力!$A$7:$A$696,$S$392,報告入力!$B$7:$B$696,$A429)</f>
        <v>84094</v>
      </c>
      <c r="J429" s="108" t="n">
        <f aca="false">SUM(H429:I429)</f>
        <v>168106</v>
      </c>
      <c r="K429" s="114" t="n">
        <f aca="false">SUMIFS(報告入力!$BB$7:$BB$696,報告入力!$A$7:$A$696,$S$392,報告入力!$B$7:$B$696,$A429)</f>
        <v>9322</v>
      </c>
      <c r="L429" s="205" t="n">
        <f aca="false">SUMIFS(報告入力!$BC$7:$BC$696,報告入力!$A$7:$A$696,$S$392,報告入力!$B$7:$B$696,$A429)</f>
        <v>9322</v>
      </c>
      <c r="M429" s="108" t="n">
        <f aca="false">SUM(K429:L429)</f>
        <v>18644</v>
      </c>
      <c r="N429" s="114" t="n">
        <f aca="false">SUMIFS(報告入力!$BD$7:$BD$696,報告入力!$A$7:$A$696,$S$392,報告入力!$B$7:$B$696,$A429)</f>
        <v>1862</v>
      </c>
      <c r="O429" s="205" t="n">
        <f aca="false">SUMIFS(報告入力!$BE$7:$BE$696,報告入力!$A$7:$A$696,$S$392,報告入力!$B$7:$B$696,$A429)</f>
        <v>1863</v>
      </c>
      <c r="P429" s="108" t="n">
        <f aca="false">SUM(N429:O429)</f>
        <v>3725</v>
      </c>
      <c r="Q429" s="110" t="str">
        <f aca="false">IF(P364=P429,"〇","×")</f>
        <v>×</v>
      </c>
      <c r="R429" s="110" t="str">
        <f aca="false">IFERROR(INDEX(報告入力!$C$7:$C$696,MATCH($S$392&amp;"|"&amp;$A429,報告入力!$CG$7:$CG$696,0)),"")</f>
        <v>入金確認済</v>
      </c>
    </row>
    <row r="430" s="110" customFormat="true" ht="20.1" hidden="false" customHeight="true" outlineLevel="0" collapsed="false">
      <c r="A430" s="206" t="s">
        <v>190</v>
      </c>
      <c r="B430" s="201"/>
      <c r="C430" s="191"/>
      <c r="D430" s="111" t="n">
        <f aca="false">SUMIFS(報告入力!$AW$7:$AW$696,報告入力!$A$7:$A$696,$S$392,報告入力!$B$7:$B$696,$A430)</f>
        <v>444690</v>
      </c>
      <c r="E430" s="114" t="n">
        <f aca="false">SUMIFS(報告入力!$AX$7:$AX$696,報告入力!$A$7:$A$696,$S$392,報告入力!$B$7:$B$696,$A430)</f>
        <v>36450</v>
      </c>
      <c r="F430" s="113" t="n">
        <f aca="false">SUMIFS(報告入力!$AY$7:$AY$696,報告入力!$A$7:$A$696,$S$392,報告入力!$B$7:$B$696,$A430)</f>
        <v>422</v>
      </c>
      <c r="G430" s="108" t="n">
        <f aca="false">SUM(B430:F430)</f>
        <v>481562</v>
      </c>
      <c r="H430" s="202"/>
      <c r="I430" s="205" t="n">
        <f aca="false">SUMIFS(報告入力!$BA$7:$BA$696,報告入力!$A$7:$A$696,$S$392,報告入力!$B$7:$B$696,$A430)</f>
        <v>261626</v>
      </c>
      <c r="J430" s="108" t="n">
        <f aca="false">SUM(H430:I430)</f>
        <v>261626</v>
      </c>
      <c r="K430" s="202"/>
      <c r="L430" s="205" t="n">
        <f aca="false">SUMIFS(報告入力!$BC$7:$BC$696,報告入力!$A$7:$A$696,$S$392,報告入力!$B$7:$B$696,$A430)</f>
        <v>21251</v>
      </c>
      <c r="M430" s="108" t="n">
        <f aca="false">SUM(K430:L430)</f>
        <v>21251</v>
      </c>
      <c r="N430" s="202"/>
      <c r="O430" s="205" t="n">
        <f aca="false">SUMIFS(報告入力!$BE$7:$BE$696,報告入力!$A$7:$A$696,$S$392,報告入力!$B$7:$B$696,$A430)</f>
        <v>5796</v>
      </c>
      <c r="P430" s="108" t="n">
        <f aca="false">SUM(N430:O430)</f>
        <v>5796</v>
      </c>
      <c r="Q430" s="110" t="str">
        <f aca="false">IF(P365=P430,"〇","×")</f>
        <v>×</v>
      </c>
      <c r="R430" s="110" t="str">
        <f aca="false">IFERROR(INDEX(報告入力!$C$7:$C$696,MATCH($S$392&amp;"|"&amp;$A430,報告入力!$CG$7:$CG$696,0)),"")</f>
        <v>入金確認済</v>
      </c>
    </row>
    <row r="431" s="110" customFormat="true" ht="20.1" hidden="false" customHeight="true" outlineLevel="0" collapsed="false">
      <c r="A431" s="189" t="s">
        <v>191</v>
      </c>
      <c r="B431" s="117" t="n">
        <f aca="false">SUMIFS(報告入力!$AU$7:$AU$696,報告入力!$A$7:$A$696,$S$392,報告入力!$B$7:$B$696,$A431)</f>
        <v>53985</v>
      </c>
      <c r="C431" s="113" t="n">
        <f aca="false">SUMIFS(報告入力!$AV$7:$AV$696,報告入力!$A$7:$A$696,$S$392,報告入力!$B$7:$B$696,$A431)</f>
        <v>4425</v>
      </c>
      <c r="D431" s="111" t="n">
        <f aca="false">SUMIFS(報告入力!$AW$7:$AW$696,報告入力!$A$7:$A$696,$S$392,報告入力!$B$7:$B$696,$A431)</f>
        <v>53985</v>
      </c>
      <c r="E431" s="114" t="n">
        <f aca="false">SUMIFS(報告入力!$AX$7:$AX$696,報告入力!$A$7:$A$696,$S$392,報告入力!$B$7:$B$696,$A431)</f>
        <v>4425</v>
      </c>
      <c r="F431" s="113" t="n">
        <f aca="false">SUMIFS(報告入力!$AY$7:$AY$696,報告入力!$A$7:$A$696,$S$392,報告入力!$B$7:$B$696,$A431)</f>
        <v>51</v>
      </c>
      <c r="G431" s="108" t="n">
        <f aca="false">SUM(B431:F431)</f>
        <v>116871</v>
      </c>
      <c r="H431" s="114" t="n">
        <f aca="false">SUMIFS(報告入力!$AZ$7:$AZ$696,報告入力!$A$7:$A$696,$S$392,報告入力!$B$7:$B$696,$A431)</f>
        <v>30597</v>
      </c>
      <c r="I431" s="205" t="n">
        <f aca="false">SUMIFS(報告入力!$BA$7:$BA$696,報告入力!$A$7:$A$696,$S$392,報告入力!$B$7:$B$696,$A431)</f>
        <v>30626</v>
      </c>
      <c r="J431" s="108" t="n">
        <f aca="false">SUM(H431:I431)</f>
        <v>61223</v>
      </c>
      <c r="K431" s="114" t="n">
        <f aca="false">SUMIFS(報告入力!$BB$7:$BB$696,報告入力!$A$7:$A$696,$S$392,報告入力!$B$7:$B$696,$A431)</f>
        <v>4661</v>
      </c>
      <c r="L431" s="205" t="n">
        <f aca="false">SUMIFS(報告入力!$BC$7:$BC$696,報告入力!$A$7:$A$696,$S$392,報告入力!$B$7:$B$696,$A431)</f>
        <v>4661</v>
      </c>
      <c r="M431" s="108" t="n">
        <f aca="false">SUM(K431:L431)</f>
        <v>9322</v>
      </c>
      <c r="N431" s="114" t="n">
        <f aca="false">SUMIFS(報告入力!$BD$7:$BD$696,報告入力!$A$7:$A$696,$S$392,報告入力!$B$7:$B$696,$A431)</f>
        <v>678</v>
      </c>
      <c r="O431" s="205" t="n">
        <f aca="false">SUMIFS(報告入力!$BE$7:$BE$696,報告入力!$A$7:$A$696,$S$392,報告入力!$B$7:$B$696,$A431)</f>
        <v>678</v>
      </c>
      <c r="P431" s="108" t="n">
        <f aca="false">SUM(N431:O431)</f>
        <v>1356</v>
      </c>
      <c r="Q431" s="110" t="str">
        <f aca="false">IF(P366=P431,"〇","×")</f>
        <v>×</v>
      </c>
      <c r="R431" s="110" t="str">
        <f aca="false">IFERROR(INDEX(報告入力!$C$7:$C$696,MATCH($S$392&amp;"|"&amp;$A431,報告入力!$CG$7:$CG$696,0)),"")</f>
        <v>入金確認済</v>
      </c>
    </row>
    <row r="432" s="110" customFormat="true" ht="20.1" hidden="false" customHeight="true" outlineLevel="0" collapsed="false">
      <c r="A432" s="189" t="s">
        <v>192</v>
      </c>
      <c r="B432" s="117" t="n">
        <f aca="false">SUMIFS(報告入力!$AU$7:$AU$696,報告入力!$A$7:$A$696,$S$392,報告入力!$B$7:$B$696,$A432)</f>
        <v>59475</v>
      </c>
      <c r="C432" s="113" t="n">
        <f aca="false">SUMIFS(報告入力!$AV$7:$AV$696,報告入力!$A$7:$A$696,$S$392,報告入力!$B$7:$B$696,$A432)</f>
        <v>4875</v>
      </c>
      <c r="D432" s="111" t="n">
        <f aca="false">SUMIFS(報告入力!$AW$7:$AW$696,報告入力!$A$7:$A$696,$S$392,報告入力!$B$7:$B$696,$A432)</f>
        <v>59475</v>
      </c>
      <c r="E432" s="114" t="n">
        <f aca="false">SUMIFS(報告入力!$AX$7:$AX$696,報告入力!$A$7:$A$696,$S$392,報告入力!$B$7:$B$696,$A432)</f>
        <v>4875</v>
      </c>
      <c r="F432" s="113" t="n">
        <f aca="false">SUMIFS(報告入力!$AY$7:$AY$696,報告入力!$A$7:$A$696,$S$392,報告入力!$B$7:$B$696,$A432)</f>
        <v>56</v>
      </c>
      <c r="G432" s="108" t="n">
        <f aca="false">SUM(B432:F432)</f>
        <v>128756</v>
      </c>
      <c r="H432" s="114" t="n">
        <f aca="false">SUMIFS(報告入力!$AZ$7:$AZ$696,報告入力!$A$7:$A$696,$S$392,報告入力!$B$7:$B$696,$A432)</f>
        <v>36820</v>
      </c>
      <c r="I432" s="205" t="n">
        <f aca="false">SUMIFS(報告入力!$BA$7:$BA$696,報告入力!$A$7:$A$696,$S$392,報告入力!$B$7:$B$696,$A432)</f>
        <v>36856</v>
      </c>
      <c r="J432" s="108" t="n">
        <f aca="false">SUM(H432:I432)</f>
        <v>73676</v>
      </c>
      <c r="K432" s="114" t="n">
        <f aca="false">SUMIFS(報告入力!$BB$7:$BB$696,報告入力!$A$7:$A$696,$S$392,報告入力!$B$7:$B$696,$A432)</f>
        <v>5609</v>
      </c>
      <c r="L432" s="205" t="n">
        <f aca="false">SUMIFS(報告入力!$BC$7:$BC$696,報告入力!$A$7:$A$696,$S$392,報告入力!$B$7:$B$696,$A432)</f>
        <v>5609</v>
      </c>
      <c r="M432" s="108" t="n">
        <f aca="false">SUM(K432:L432)</f>
        <v>11218</v>
      </c>
      <c r="N432" s="114" t="n">
        <f aca="false">SUMIFS(報告入力!$BD$7:$BD$696,報告入力!$A$7:$A$696,$S$392,報告入力!$B$7:$B$696,$A432)</f>
        <v>816</v>
      </c>
      <c r="O432" s="205" t="n">
        <f aca="false">SUMIFS(報告入力!$BE$7:$BE$696,報告入力!$A$7:$A$696,$S$392,報告入力!$B$7:$B$696,$A432)</f>
        <v>816</v>
      </c>
      <c r="P432" s="108" t="n">
        <f aca="false">SUM(N432:O432)</f>
        <v>1632</v>
      </c>
      <c r="Q432" s="110" t="str">
        <f aca="false">IF(P367=P432,"〇","×")</f>
        <v>×</v>
      </c>
      <c r="R432" s="110" t="str">
        <f aca="false">IFERROR(INDEX(報告入力!$C$7:$C$696,MATCH($S$392&amp;"|"&amp;$A432,報告入力!$CG$7:$CG$696,0)),"")</f>
        <v>入金確認済</v>
      </c>
    </row>
    <row r="433" s="110" customFormat="true" ht="20.1" hidden="false" customHeight="true" outlineLevel="0" collapsed="false">
      <c r="A433" s="189" t="s">
        <v>193</v>
      </c>
      <c r="B433" s="117" t="n">
        <f aca="false">SUMIFS(報告入力!$AU$7:$AU$696,報告入力!$A$7:$A$696,$S$392,報告入力!$B$7:$B$696,$A433)</f>
        <v>45750</v>
      </c>
      <c r="C433" s="113" t="n">
        <f aca="false">SUMIFS(報告入力!$AV$7:$AV$696,報告入力!$A$7:$A$696,$S$392,報告入力!$B$7:$B$696,$A433)</f>
        <v>3750</v>
      </c>
      <c r="D433" s="111" t="n">
        <f aca="false">SUMIFS(報告入力!$AW$7:$AW$696,報告入力!$A$7:$A$696,$S$392,報告入力!$B$7:$B$696,$A433)</f>
        <v>45750</v>
      </c>
      <c r="E433" s="114" t="n">
        <f aca="false">SUMIFS(報告入力!$AX$7:$AX$696,報告入力!$A$7:$A$696,$S$392,報告入力!$B$7:$B$696,$A433)</f>
        <v>3750</v>
      </c>
      <c r="F433" s="113" t="n">
        <f aca="false">SUMIFS(報告入力!$AY$7:$AY$696,報告入力!$A$7:$A$696,$S$392,報告入力!$B$7:$B$696,$A433)</f>
        <v>43</v>
      </c>
      <c r="G433" s="108" t="n">
        <f aca="false">SUM(B433:F433)</f>
        <v>99043</v>
      </c>
      <c r="H433" s="114" t="n">
        <f aca="false">SUMIFS(報告入力!$AZ$7:$AZ$696,報告入力!$A$7:$A$696,$S$392,報告入力!$B$7:$B$696,$A433)</f>
        <v>25930</v>
      </c>
      <c r="I433" s="205" t="n">
        <f aca="false">SUMIFS(報告入力!$BA$7:$BA$696,報告入力!$A$7:$A$696,$S$392,報告入力!$B$7:$B$696,$A433)</f>
        <v>25955</v>
      </c>
      <c r="J433" s="108" t="n">
        <f aca="false">SUM(H433:I433)</f>
        <v>51885</v>
      </c>
      <c r="K433" s="114" t="n">
        <f aca="false">SUMIFS(報告入力!$BB$7:$BB$696,報告入力!$A$7:$A$696,$S$392,報告入力!$B$7:$B$696,$A433)</f>
        <v>0</v>
      </c>
      <c r="L433" s="205" t="n">
        <f aca="false">SUMIFS(報告入力!$BC$7:$BC$696,報告入力!$A$7:$A$696,$S$392,報告入力!$B$7:$B$696,$A433)</f>
        <v>0</v>
      </c>
      <c r="M433" s="108" t="n">
        <f aca="false">SUM(K433:L433)</f>
        <v>0</v>
      </c>
      <c r="N433" s="114" t="n">
        <f aca="false">SUMIFS(報告入力!$BD$7:$BD$696,報告入力!$A$7:$A$696,$S$392,報告入力!$B$7:$B$696,$A433)</f>
        <v>575</v>
      </c>
      <c r="O433" s="205" t="n">
        <f aca="false">SUMIFS(報告入力!$BE$7:$BE$696,報告入力!$A$7:$A$696,$S$392,報告入力!$B$7:$B$696,$A433)</f>
        <v>575</v>
      </c>
      <c r="P433" s="108" t="n">
        <f aca="false">SUM(N433:O433)</f>
        <v>1150</v>
      </c>
      <c r="Q433" s="110" t="str">
        <f aca="false">IF(P368=P433,"〇","×")</f>
        <v>〇</v>
      </c>
      <c r="R433" s="110" t="str">
        <f aca="false">IFERROR(INDEX(報告入力!$C$7:$C$696,MATCH($S$392&amp;"|"&amp;$A433,報告入力!$CG$7:$CG$696,0)),"")</f>
        <v>入金確認済</v>
      </c>
    </row>
    <row r="434" s="110" customFormat="true" ht="20.1" hidden="false" customHeight="true" outlineLevel="0" collapsed="false">
      <c r="A434" s="121" t="s">
        <v>194</v>
      </c>
      <c r="B434" s="117" t="n">
        <f aca="false">SUMIFS(報告入力!$AU$7:$AU$696,報告入力!$A$7:$A$696,$S$392,報告入力!$B$7:$B$696,$A434)</f>
        <v>1236165</v>
      </c>
      <c r="C434" s="113" t="n">
        <f aca="false">SUMIFS(報告入力!$AV$7:$AV$696,報告入力!$A$7:$A$696,$S$392,報告入力!$B$7:$B$696,$A434)</f>
        <v>101325</v>
      </c>
      <c r="D434" s="111" t="n">
        <f aca="false">SUMIFS(報告入力!$AW$7:$AW$696,報告入力!$A$7:$A$696,$S$392,報告入力!$B$7:$B$696,$A434)</f>
        <v>1236165</v>
      </c>
      <c r="E434" s="114" t="n">
        <f aca="false">SUMIFS(報告入力!$AX$7:$AX$696,報告入力!$A$7:$A$696,$S$392,報告入力!$B$7:$B$696,$A434)</f>
        <v>101325</v>
      </c>
      <c r="F434" s="113" t="n">
        <f aca="false">SUMIFS(報告入力!$AY$7:$AY$696,報告入力!$A$7:$A$696,$S$392,報告入力!$B$7:$B$696,$A434)</f>
        <v>1241</v>
      </c>
      <c r="G434" s="108" t="n">
        <f aca="false">SUM(B434:F434)</f>
        <v>2676221</v>
      </c>
      <c r="H434" s="114" t="n">
        <f aca="false">SUMIFS(報告入力!$AZ$7:$AZ$696,報告入力!$A$7:$A$696,$S$392,報告入力!$B$7:$B$696,$A434)</f>
        <v>702171</v>
      </c>
      <c r="I434" s="205" t="n">
        <f aca="false">SUMIFS(報告入力!$BA$7:$BA$696,報告入力!$A$7:$A$696,$S$392,報告入力!$B$7:$B$696,$A434)</f>
        <v>702901</v>
      </c>
      <c r="J434" s="108" t="n">
        <f aca="false">SUM(H434:I434)</f>
        <v>1405072</v>
      </c>
      <c r="K434" s="114" t="n">
        <f aca="false">SUMIFS(報告入力!$BB$7:$BB$696,報告入力!$A$7:$A$696,$S$392,報告入力!$B$7:$B$696,$A434)</f>
        <v>80185</v>
      </c>
      <c r="L434" s="205" t="n">
        <f aca="false">SUMIFS(報告入力!$BC$7:$BC$696,報告入力!$A$7:$A$696,$S$392,報告入力!$B$7:$B$696,$A434)</f>
        <v>80185</v>
      </c>
      <c r="M434" s="108" t="n">
        <f aca="false">SUM(K434:L434)</f>
        <v>160370</v>
      </c>
      <c r="N434" s="114" t="n">
        <f aca="false">SUMIFS(報告入力!$BD$7:$BD$696,報告入力!$A$7:$A$696,$S$392,報告入力!$B$7:$B$696,$A434)</f>
        <v>15566</v>
      </c>
      <c r="O434" s="205" t="n">
        <f aca="false">SUMIFS(報告入力!$BE$7:$BE$696,報告入力!$A$7:$A$696,$S$392,報告入力!$B$7:$B$696,$A434)</f>
        <v>15571</v>
      </c>
      <c r="P434" s="108" t="n">
        <f aca="false">SUM(N434:O434)</f>
        <v>31137</v>
      </c>
      <c r="Q434" s="110" t="str">
        <f aca="false">IF(P369=P434,"〇","×")</f>
        <v>×</v>
      </c>
      <c r="R434" s="110" t="str">
        <f aca="false">IFERROR(INDEX(報告入力!$C$7:$C$696,MATCH($S$392&amp;"|"&amp;$A434,報告入力!$CG$7:$CG$696,0)),"")</f>
        <v>入金確認済</v>
      </c>
    </row>
    <row r="435" s="110" customFormat="true" ht="20.1" hidden="false" customHeight="true" outlineLevel="0" collapsed="false">
      <c r="A435" s="121" t="s">
        <v>195</v>
      </c>
      <c r="B435" s="201"/>
      <c r="C435" s="191"/>
      <c r="D435" s="111" t="n">
        <f aca="false">SUMIFS(報告入力!$AW$7:$AW$696,報告入力!$A$7:$A$696,$S$392,報告入力!$B$7:$B$696,$A435)</f>
        <v>256200</v>
      </c>
      <c r="E435" s="114" t="n">
        <f aca="false">SUMIFS(報告入力!$AX$7:$AX$696,報告入力!$A$7:$A$696,$S$392,報告入力!$B$7:$B$696,$A435)</f>
        <v>21000</v>
      </c>
      <c r="F435" s="113" t="n">
        <f aca="false">SUMIFS(報告入力!$AY$7:$AY$696,報告入力!$A$7:$A$696,$S$392,報告入力!$B$7:$B$696,$A435)</f>
        <v>243</v>
      </c>
      <c r="G435" s="108" t="n">
        <f aca="false">SUM(B435:F435)</f>
        <v>277443</v>
      </c>
      <c r="H435" s="202"/>
      <c r="I435" s="205" t="n">
        <f aca="false">SUMIFS(報告入力!$BA$7:$BA$696,報告入力!$A$7:$A$696,$S$392,報告入力!$B$7:$B$696,$A435)</f>
        <v>152096</v>
      </c>
      <c r="J435" s="108" t="n">
        <f aca="false">SUM(H435:I435)</f>
        <v>152096</v>
      </c>
      <c r="K435" s="202"/>
      <c r="L435" s="205" t="n">
        <f aca="false">SUMIFS(報告入力!$BC$7:$BC$696,報告入力!$A$7:$A$696,$S$392,報告入力!$B$7:$B$696,$A435)</f>
        <v>11297</v>
      </c>
      <c r="M435" s="108" t="n">
        <f aca="false">SUM(K435:L435)</f>
        <v>11297</v>
      </c>
      <c r="N435" s="202"/>
      <c r="O435" s="205" t="n">
        <f aca="false">SUMIFS(報告入力!$BE$7:$BE$696,報告入力!$A$7:$A$696,$S$392,報告入力!$B$7:$B$696,$A435)</f>
        <v>3369</v>
      </c>
      <c r="P435" s="108" t="n">
        <f aca="false">SUM(N435:O435)</f>
        <v>3369</v>
      </c>
      <c r="Q435" s="110" t="str">
        <f aca="false">IF(P370=P435,"〇","×")</f>
        <v>×</v>
      </c>
      <c r="R435" s="110" t="str">
        <f aca="false">IFERROR(INDEX(報告入力!$C$7:$C$696,MATCH($S$392&amp;"|"&amp;$A435,報告入力!$CG$7:$CG$696,0)),"")</f>
        <v>入金確認済</v>
      </c>
    </row>
    <row r="436" s="110" customFormat="true" ht="19.5" hidden="false" customHeight="true" outlineLevel="0" collapsed="false">
      <c r="A436" s="207" t="s">
        <v>196</v>
      </c>
      <c r="B436" s="117" t="n">
        <f aca="false">SUMIFS(報告入力!$AU$7:$AU$696,報告入力!$A$7:$A$696,$S$392,報告入力!$B$7:$B$696,$A436)</f>
        <v>128122523</v>
      </c>
      <c r="C436" s="113" t="n">
        <f aca="false">SUMIFS(報告入力!$AV$7:$AV$696,報告入力!$A$7:$A$696,$S$392,報告入力!$B$7:$B$696,$A436)</f>
        <v>10458518</v>
      </c>
      <c r="D436" s="111" t="n">
        <f aca="false">SUMIFS(報告入力!$AW$7:$AW$696,報告入力!$A$7:$A$696,$S$392,報告入力!$B$7:$B$696,$A436)</f>
        <v>186990337</v>
      </c>
      <c r="E436" s="114" t="n">
        <f aca="false">SUMIFS(報告入力!$AX$7:$AX$696,報告入力!$A$7:$A$696,$S$392,報告入力!$B$7:$B$696,$A436)</f>
        <v>10458518</v>
      </c>
      <c r="F436" s="113" t="n">
        <f aca="false">SUMIFS(報告入力!$AY$7:$AY$696,報告入力!$A$7:$A$696,$S$392,報告入力!$B$7:$B$696,$A436)</f>
        <v>128050</v>
      </c>
      <c r="G436" s="108" t="n">
        <f aca="false">SUM(B436:F436)</f>
        <v>336157946</v>
      </c>
      <c r="H436" s="114" t="n">
        <f aca="false">SUMIFS(報告入力!$AZ$7:$AZ$696,報告入力!$A$7:$A$696,$S$392,報告入力!$B$7:$B$696,$A436)</f>
        <v>93939323</v>
      </c>
      <c r="I436" s="205" t="n">
        <f aca="false">SUMIFS(報告入力!$BA$7:$BA$696,報告入力!$A$7:$A$696,$S$392,報告入力!$B$7:$B$696,$A436)</f>
        <v>94044383</v>
      </c>
      <c r="J436" s="108" t="n">
        <f aca="false">SUM(H436:I436)</f>
        <v>187983706</v>
      </c>
      <c r="K436" s="114" t="n">
        <f aca="false">SUMIFS(報告入力!$BB$7:$BB$696,報告入力!$A$7:$A$696,$S$392,報告入力!$B$7:$B$696,$A436)</f>
        <v>8077450</v>
      </c>
      <c r="L436" s="205" t="n">
        <f aca="false">SUMIFS(報告入力!$BC$7:$BC$696,報告入力!$A$7:$A$696,$S$392,報告入力!$B$7:$B$696,$A436)</f>
        <v>8077450</v>
      </c>
      <c r="M436" s="108" t="n">
        <f aca="false">SUM(K436:L436)</f>
        <v>16154900</v>
      </c>
      <c r="N436" s="114" t="n">
        <f aca="false">SUMIFS(報告入力!$BD$7:$BD$696,報告入力!$A$7:$A$696,$S$392,報告入力!$B$7:$B$696,$A436)</f>
        <v>2082320</v>
      </c>
      <c r="O436" s="205" t="n">
        <f aca="false">SUMIFS(報告入力!$BE$7:$BE$696,報告入力!$A$7:$A$696,$S$392,報告入力!$B$7:$B$696,$A436)</f>
        <v>2082319</v>
      </c>
      <c r="P436" s="108" t="n">
        <f aca="false">SUM(N436:O436)</f>
        <v>4164639</v>
      </c>
      <c r="Q436" s="110" t="str">
        <f aca="false">IF(P371=P436,"〇","×")</f>
        <v>×</v>
      </c>
      <c r="R436" s="110" t="str">
        <f aca="false">IFERROR(INDEX(報告入力!$C$7:$C$696,MATCH($S$392&amp;"|"&amp;$A436,報告入力!$CG$7:$CG$696,0)),"")</f>
        <v>入金確認済</v>
      </c>
    </row>
    <row r="437" s="137" customFormat="true" ht="21.75" hidden="false" customHeight="true" outlineLevel="0" collapsed="false">
      <c r="A437" s="189" t="s">
        <v>197</v>
      </c>
      <c r="B437" s="127"/>
      <c r="C437" s="131"/>
      <c r="D437" s="127"/>
      <c r="E437" s="209"/>
      <c r="F437" s="131"/>
      <c r="G437" s="210" t="n">
        <f aca="false">SUM(B437:F437)</f>
        <v>0</v>
      </c>
      <c r="H437" s="118" t="n">
        <f aca="false">SUMIFS(報告入力!$AZ$7:$AZ$696,報告入力!$A$7:$A$696,$S$392,報告入力!$B$7:$B$696,$A437)</f>
        <v>104236</v>
      </c>
      <c r="I437" s="125" t="n">
        <f aca="false">SUMIFS(報告入力!$BA$7:$BA$696,報告入力!$A$7:$A$696,$S$392,報告入力!$B$7:$B$696,$A437)</f>
        <v>104338</v>
      </c>
      <c r="J437" s="116" t="n">
        <f aca="false">SUM(H437:I437)</f>
        <v>208574</v>
      </c>
      <c r="K437" s="117" t="n">
        <f aca="false">SUMIFS(報告入力!$BB$7:$BB$696,報告入力!$A$7:$A$696,$S$392,報告入力!$B$7:$B$696,$A437)</f>
        <v>11218</v>
      </c>
      <c r="L437" s="125" t="n">
        <f aca="false">SUMIFS(報告入力!$BC$7:$BC$696,報告入力!$A$7:$A$696,$S$392,報告入力!$B$7:$B$696,$A437)</f>
        <v>11218</v>
      </c>
      <c r="M437" s="116" t="n">
        <f aca="false">SUM(K437:L437)</f>
        <v>22436</v>
      </c>
      <c r="N437" s="117" t="n">
        <f aca="false">SUMIFS(報告入力!$BD$7:$BD$696,報告入力!$A$7:$A$696,$S$392,報告入力!$B$7:$B$696,$A437)</f>
        <v>2309</v>
      </c>
      <c r="O437" s="125" t="n">
        <f aca="false">SUMIFS(報告入力!$BE$7:$BE$696,報告入力!$A$7:$A$696,$S$392,報告入力!$B$7:$B$696,$A437)</f>
        <v>2311</v>
      </c>
      <c r="P437" s="116" t="n">
        <f aca="false">SUM(N437:O437)</f>
        <v>4620</v>
      </c>
      <c r="Q437" s="137" t="str">
        <f aca="false">IF(P372=P437,"〇","×")</f>
        <v>×</v>
      </c>
      <c r="R437" s="137" t="str">
        <f aca="false">IFERROR(INDEX(報告入力!$C$7:$C$696,MATCH($S$392&amp;"|"&amp;$A437,報告入力!$CG$7:$CG$696,0)),"")</f>
        <v>入金確認済</v>
      </c>
    </row>
    <row r="438" s="137" customFormat="true" ht="21.75" hidden="false" customHeight="true" outlineLevel="0" collapsed="false">
      <c r="A438" s="211" t="s">
        <v>216</v>
      </c>
      <c r="B438" s="311"/>
      <c r="C438" s="330"/>
      <c r="D438" s="311"/>
      <c r="E438" s="309"/>
      <c r="F438" s="331"/>
      <c r="G438" s="302" t="n">
        <f aca="false">SUM(B438:F438)</f>
        <v>0</v>
      </c>
      <c r="H438" s="309"/>
      <c r="I438" s="310"/>
      <c r="J438" s="305" t="n">
        <f aca="false">SUM(H438:I438)</f>
        <v>0</v>
      </c>
      <c r="K438" s="309"/>
      <c r="L438" s="310"/>
      <c r="M438" s="305" t="n">
        <f aca="false">SUM(K438:L438)</f>
        <v>0</v>
      </c>
      <c r="N438" s="309"/>
      <c r="O438" s="310"/>
      <c r="P438" s="305" t="n">
        <f aca="false">SUM(N438:O438)</f>
        <v>0</v>
      </c>
      <c r="Q438" s="137" t="str">
        <f aca="false">IF(P373=P438,"〇","×")</f>
        <v>〇</v>
      </c>
      <c r="R438" s="137" t="str">
        <f aca="false">IFERROR(INDEX(報告入力!$C$7:$C$696,MATCH($S$392&amp;"|"&amp;$A438,報告入力!$CG$7:$CG$696,0)),"")</f>
        <v>報告なし</v>
      </c>
    </row>
    <row r="439" s="137" customFormat="true" ht="21.75" hidden="false" customHeight="true" outlineLevel="0" collapsed="false">
      <c r="A439" s="211" t="s">
        <v>199</v>
      </c>
      <c r="B439" s="117" t="n">
        <f aca="false">SUMIFS(報告入力!$AU$7:$AU$696,報告入力!$A$7:$A$696,$S$392,報告入力!$B$7:$B$696,$A439)</f>
        <v>118950</v>
      </c>
      <c r="C439" s="122" t="n">
        <f aca="false">SUMIFS(報告入力!$AV$7:$AV$696,報告入力!$A$7:$A$696,$S$392,報告入力!$B$7:$B$696,$A439)</f>
        <v>9750</v>
      </c>
      <c r="D439" s="117" t="n">
        <f aca="false">SUMIFS(報告入力!$AW$7:$AW$696,報告入力!$A$7:$A$696,$S$392,報告入力!$B$7:$B$696,$A439)</f>
        <v>118950</v>
      </c>
      <c r="E439" s="118" t="n">
        <f aca="false">SUMIFS(報告入力!$AX$7:$AX$696,報告入力!$A$7:$A$696,$S$392,報告入力!$B$7:$B$696,$A439)</f>
        <v>9750</v>
      </c>
      <c r="F439" s="123" t="n">
        <f aca="false">SUMIFS(報告入力!$AY$7:$AY$696,報告入力!$A$7:$A$696,$S$392,報告入力!$B$7:$B$696,$A439)</f>
        <v>112</v>
      </c>
      <c r="G439" s="108" t="n">
        <f aca="false">SUM(B439:F439)</f>
        <v>257512</v>
      </c>
      <c r="H439" s="118" t="n">
        <f aca="false">SUMIFS(報告入力!$AZ$7:$AZ$696,報告入力!$A$7:$A$696,$S$392,報告入力!$B$7:$B$696,$A439)</f>
        <v>86605</v>
      </c>
      <c r="I439" s="205" t="n">
        <f aca="false">SUMIFS(報告入力!$BA$7:$BA$696,報告入力!$A$7:$A$696,$S$392,報告入力!$B$7:$B$696,$A439)</f>
        <v>86689</v>
      </c>
      <c r="J439" s="116" t="n">
        <f aca="false">SUM(H439:I439)</f>
        <v>173294</v>
      </c>
      <c r="K439" s="118" t="n">
        <f aca="false">SUMIFS(報告入力!$BB$7:$BB$696,報告入力!$A$7:$A$696,$S$392,報告入力!$B$7:$B$696,$A439)</f>
        <v>13193</v>
      </c>
      <c r="L439" s="205" t="n">
        <f aca="false">SUMIFS(報告入力!$BC$7:$BC$696,報告入力!$A$7:$A$696,$S$392,報告入力!$B$7:$B$696,$A439)</f>
        <v>13193</v>
      </c>
      <c r="M439" s="116" t="n">
        <f aca="false">SUM(K439:L439)</f>
        <v>26386</v>
      </c>
      <c r="N439" s="118" t="n">
        <f aca="false">SUMIFS(報告入力!$BD$7:$BD$696,報告入力!$A$7:$A$696,$S$392,報告入力!$B$7:$B$696,$A439)</f>
        <v>1920</v>
      </c>
      <c r="O439" s="205" t="n">
        <f aca="false">SUMIFS(報告入力!$BE$7:$BE$696,報告入力!$A$7:$A$696,$S$392,報告入力!$B$7:$B$696,$A439)</f>
        <v>1920</v>
      </c>
      <c r="P439" s="116" t="n">
        <f aca="false">SUM(N439:O439)</f>
        <v>3840</v>
      </c>
      <c r="Q439" s="137" t="str">
        <f aca="false">IF(P374=P439,"〇","×")</f>
        <v>×</v>
      </c>
      <c r="R439" s="137" t="str">
        <f aca="false">IFERROR(INDEX(報告入力!$C$7:$C$696,MATCH($S$392&amp;"|"&amp;$A439,報告入力!$CG$7:$CG$696,0)),"")</f>
        <v>入金確認済</v>
      </c>
    </row>
    <row r="440" s="137" customFormat="true" ht="21.75" hidden="false" customHeight="true" outlineLevel="0" collapsed="false">
      <c r="A440" s="149"/>
      <c r="B440" s="157"/>
      <c r="C440" s="218"/>
      <c r="D440" s="220"/>
      <c r="E440" s="158"/>
      <c r="F440" s="156"/>
      <c r="G440" s="221" t="n">
        <f aca="false">SUM(B440:F440)</f>
        <v>0</v>
      </c>
      <c r="H440" s="222"/>
      <c r="I440" s="158"/>
      <c r="J440" s="223" t="n">
        <f aca="false">SUM(H440:I440)</f>
        <v>0</v>
      </c>
      <c r="K440" s="220"/>
      <c r="L440" s="158"/>
      <c r="M440" s="223" t="n">
        <f aca="false">SUM(K440:L440)</f>
        <v>0</v>
      </c>
      <c r="N440" s="220"/>
      <c r="O440" s="158"/>
      <c r="P440" s="223" t="n">
        <f aca="false">SUM(N440:O440)</f>
        <v>0</v>
      </c>
      <c r="Q440" s="137" t="str">
        <f aca="false">IF(P375=P440,"〇","×")</f>
        <v>〇</v>
      </c>
    </row>
    <row r="441" s="137" customFormat="true" ht="0.2" hidden="false" customHeight="true" outlineLevel="0" collapsed="false">
      <c r="A441" s="149"/>
      <c r="B441" s="157"/>
      <c r="C441" s="156"/>
      <c r="D441" s="220"/>
      <c r="E441" s="158"/>
      <c r="F441" s="156"/>
      <c r="G441" s="221" t="n">
        <f aca="false">SUM(B441:F441)</f>
        <v>0</v>
      </c>
      <c r="H441" s="222"/>
      <c r="I441" s="158"/>
      <c r="J441" s="223" t="n">
        <f aca="false">SUM(H441:I441)</f>
        <v>0</v>
      </c>
      <c r="K441" s="220"/>
      <c r="L441" s="158"/>
      <c r="M441" s="223" t="n">
        <f aca="false">SUM(K441:L441)</f>
        <v>0</v>
      </c>
      <c r="N441" s="220"/>
      <c r="O441" s="158"/>
      <c r="P441" s="223" t="n">
        <f aca="false">SUM(N441:O441)</f>
        <v>0</v>
      </c>
      <c r="Q441" s="137" t="str">
        <f aca="false">IF(P376=P441,"〇","×")</f>
        <v>〇</v>
      </c>
    </row>
    <row r="442" s="137" customFormat="true" ht="0.2" hidden="false" customHeight="true" outlineLevel="0" collapsed="false">
      <c r="A442" s="162"/>
      <c r="B442" s="224"/>
      <c r="C442" s="225"/>
      <c r="D442" s="226"/>
      <c r="E442" s="227"/>
      <c r="F442" s="225"/>
      <c r="G442" s="228"/>
      <c r="H442" s="229"/>
      <c r="I442" s="229"/>
      <c r="J442" s="230"/>
      <c r="K442" s="231"/>
      <c r="L442" s="229"/>
      <c r="M442" s="230"/>
      <c r="N442" s="231"/>
      <c r="O442" s="229"/>
      <c r="P442" s="230"/>
      <c r="Q442" s="137" t="str">
        <f aca="false">IF(P377=P442,"〇","×")</f>
        <v>〇</v>
      </c>
    </row>
    <row r="443" s="110" customFormat="true" ht="20.1" hidden="false" customHeight="true" outlineLevel="0" collapsed="false">
      <c r="A443" s="171" t="s">
        <v>383</v>
      </c>
      <c r="B443" s="172" t="n">
        <f aca="false">SUM(B413:B442)</f>
        <v>130999283</v>
      </c>
      <c r="C443" s="175" t="n">
        <f aca="false">SUM(C413:C442)</f>
        <v>10694318</v>
      </c>
      <c r="D443" s="173" t="n">
        <f aca="false">SUM(D413:D442)</f>
        <v>196068052</v>
      </c>
      <c r="E443" s="174" t="n">
        <f aca="false">SUM(E413:E442)</f>
        <v>11202593</v>
      </c>
      <c r="F443" s="175" t="n">
        <f aca="false">SUM(F413:F442)</f>
        <v>136987</v>
      </c>
      <c r="G443" s="176" t="n">
        <f aca="false">SUM(B443:F443)</f>
        <v>349101233</v>
      </c>
      <c r="H443" s="173" t="n">
        <f aca="false">SUM(H413:H441)</f>
        <v>95697866</v>
      </c>
      <c r="I443" s="173" t="n">
        <f aca="false">SUM(I413:I441)</f>
        <v>99494586</v>
      </c>
      <c r="J443" s="175" t="n">
        <f aca="false">SUM(H443:I443)</f>
        <v>195192452</v>
      </c>
      <c r="K443" s="172" t="n">
        <f aca="false">SUM(K413:K441)</f>
        <v>8261757</v>
      </c>
      <c r="L443" s="173" t="n">
        <f aca="false">SUM(L413:L441)</f>
        <v>8693571</v>
      </c>
      <c r="M443" s="175" t="n">
        <f aca="false">SUM(K443:L443)</f>
        <v>16955328</v>
      </c>
      <c r="N443" s="172" t="n">
        <f aca="false">SUM(N413:N441)</f>
        <v>2121301</v>
      </c>
      <c r="O443" s="173" t="n">
        <f aca="false">SUM(O413:O441)</f>
        <v>2203048</v>
      </c>
      <c r="P443" s="175" t="n">
        <f aca="false">SUM(N443:O443)</f>
        <v>4324349</v>
      </c>
      <c r="Q443" s="110" t="str">
        <f aca="false">IF(P378=P443,"〇","×")</f>
        <v>×</v>
      </c>
    </row>
    <row r="444" s="137" customFormat="true" ht="0.2" hidden="false" customHeight="true" outlineLevel="0" collapsed="false">
      <c r="A444" s="149" t="s">
        <v>382</v>
      </c>
      <c r="B444" s="231"/>
      <c r="C444" s="232"/>
      <c r="D444" s="229"/>
      <c r="E444" s="233"/>
      <c r="F444" s="234"/>
      <c r="G444" s="235"/>
      <c r="H444" s="236"/>
      <c r="I444" s="236"/>
      <c r="J444" s="237"/>
      <c r="K444" s="238"/>
      <c r="L444" s="239"/>
      <c r="M444" s="240"/>
      <c r="N444" s="238"/>
      <c r="O444" s="239"/>
      <c r="P444" s="240"/>
      <c r="Q444" s="137" t="str">
        <f aca="false">IF(P379=P444,"〇","×")</f>
        <v>〇</v>
      </c>
    </row>
    <row r="445" s="137" customFormat="true" ht="0.2" hidden="false" customHeight="true" outlineLevel="0" collapsed="false">
      <c r="A445" s="241" t="s">
        <v>382</v>
      </c>
      <c r="B445" s="242"/>
      <c r="C445" s="243"/>
      <c r="D445" s="229"/>
      <c r="E445" s="233"/>
      <c r="F445" s="232"/>
      <c r="G445" s="228"/>
      <c r="H445" s="244"/>
      <c r="I445" s="244"/>
      <c r="J445" s="245"/>
      <c r="K445" s="246"/>
      <c r="L445" s="247"/>
      <c r="M445" s="248"/>
      <c r="N445" s="246"/>
      <c r="O445" s="247"/>
      <c r="P445" s="248"/>
      <c r="Q445" s="137" t="str">
        <f aca="false">IF(P380=P445,"〇","×")</f>
        <v>〇</v>
      </c>
    </row>
    <row r="446" s="110" customFormat="true" ht="20.1" hidden="false" customHeight="true" outlineLevel="0" collapsed="false">
      <c r="A446" s="189" t="s">
        <v>200</v>
      </c>
      <c r="B446" s="117" t="n">
        <f aca="false">SUMIFS(報告入力!$AU$7:$AU$696,報告入力!$A$7:$A$696,$S$392,報告入力!$B$7:$B$696,$A446)</f>
        <v>142740</v>
      </c>
      <c r="C446" s="113" t="n">
        <f aca="false">SUMIFS(報告入力!$AV$7:$AV$696,報告入力!$A$7:$A$696,$S$392,報告入力!$B$7:$B$696,$A446)</f>
        <v>11700</v>
      </c>
      <c r="D446" s="111" t="n">
        <f aca="false">SUMIFS(報告入力!$AW$7:$AW$696,報告入力!$A$7:$A$696,$S$392,報告入力!$B$7:$B$696,$A446)</f>
        <v>142740</v>
      </c>
      <c r="E446" s="114" t="n">
        <f aca="false">SUMIFS(報告入力!$AX$7:$AX$696,報告入力!$A$7:$A$696,$S$392,報告入力!$B$7:$B$696,$A446)</f>
        <v>11700</v>
      </c>
      <c r="F446" s="113" t="n">
        <f aca="false">SUMIFS(報告入力!$AY$7:$AY$696,報告入力!$A$7:$A$696,$S$392,報告入力!$B$7:$B$696,$A446)</f>
        <v>135</v>
      </c>
      <c r="G446" s="108" t="n">
        <f aca="false">SUM(B446:F446)</f>
        <v>309015</v>
      </c>
      <c r="H446" s="130"/>
      <c r="I446" s="130"/>
      <c r="J446" s="196" t="n">
        <f aca="false">SUM(H446:I446)</f>
        <v>0</v>
      </c>
      <c r="K446" s="130"/>
      <c r="L446" s="130"/>
      <c r="M446" s="196" t="n">
        <f aca="false">SUM(K446:L446)</f>
        <v>0</v>
      </c>
      <c r="N446" s="130"/>
      <c r="O446" s="130"/>
      <c r="P446" s="196" t="n">
        <f aca="false">SUM(N446:O446)</f>
        <v>0</v>
      </c>
      <c r="Q446" s="110" t="str">
        <f aca="false">IF(P381=P446,"〇","×")</f>
        <v>〇</v>
      </c>
      <c r="R446" s="110" t="str">
        <f aca="false">IFERROR(INDEX(報告入力!$C$7:$C$696,MATCH($S$392&amp;"|"&amp;$A446,報告入力!$CG$7:$CG$696,0)),"")</f>
        <v>入金確認済</v>
      </c>
    </row>
    <row r="447" s="110" customFormat="true" ht="21.75" hidden="false" customHeight="true" outlineLevel="0" collapsed="false">
      <c r="A447" s="189" t="s">
        <v>201</v>
      </c>
      <c r="B447" s="185" t="n">
        <f aca="false">SUMIFS(報告入力!$AU$7:$AU$696,報告入力!$A$7:$A$696,$S$392,報告入力!$B$7:$B$696,$A447)</f>
        <v>53985</v>
      </c>
      <c r="C447" s="199" t="n">
        <f aca="false">SUMIFS(報告入力!$AV$7:$AV$696,報告入力!$A$7:$A$696,$S$392,報告入力!$B$7:$B$696,$A447)</f>
        <v>4425</v>
      </c>
      <c r="D447" s="249" t="n">
        <f aca="false">SUMIFS(報告入力!$AW$7:$AW$696,報告入力!$A$7:$A$696,$S$392,報告入力!$B$7:$B$696,$A447)</f>
        <v>53985</v>
      </c>
      <c r="E447" s="250" t="n">
        <f aca="false">SUMIFS(報告入力!$AX$7:$AX$696,報告入力!$A$7:$A$696,$S$392,報告入力!$B$7:$B$696,$A447)</f>
        <v>4425</v>
      </c>
      <c r="F447" s="251" t="n">
        <f aca="false">SUMIFS(報告入力!$AY$7:$AY$696,報告入力!$A$7:$A$696,$S$392,報告入力!$B$7:$B$696,$A447)</f>
        <v>51</v>
      </c>
      <c r="G447" s="119" t="n">
        <f aca="false">SUM(B447:F447)</f>
        <v>116871</v>
      </c>
      <c r="H447" s="252"/>
      <c r="I447" s="252"/>
      <c r="J447" s="253" t="n">
        <f aca="false">SUM(H447:I447)</f>
        <v>0</v>
      </c>
      <c r="K447" s="252"/>
      <c r="L447" s="252"/>
      <c r="M447" s="253" t="n">
        <f aca="false">SUM(K447:L447)</f>
        <v>0</v>
      </c>
      <c r="N447" s="252"/>
      <c r="O447" s="252"/>
      <c r="P447" s="253" t="n">
        <f aca="false">SUM(N447:O447)</f>
        <v>0</v>
      </c>
      <c r="Q447" s="110" t="str">
        <f aca="false">IF(P382=P447,"〇","×")</f>
        <v>〇</v>
      </c>
      <c r="R447" s="110" t="str">
        <f aca="false">IFERROR(INDEX(報告入力!$C$7:$C$696,MATCH($S$392&amp;"|"&amp;$A447,報告入力!$CG$7:$CG$696,0)),"")</f>
        <v>入金確認済</v>
      </c>
    </row>
    <row r="448" s="110" customFormat="true" ht="19.5" hidden="false" customHeight="true" outlineLevel="0" collapsed="false">
      <c r="A448" s="171" t="s">
        <v>383</v>
      </c>
      <c r="B448" s="172" t="n">
        <f aca="false">SUM(B444:B447)</f>
        <v>196725</v>
      </c>
      <c r="C448" s="175" t="n">
        <f aca="false">SUM(C444:C447)</f>
        <v>16125</v>
      </c>
      <c r="D448" s="173" t="n">
        <f aca="false">SUM(D444:D447)</f>
        <v>196725</v>
      </c>
      <c r="E448" s="174" t="n">
        <f aca="false">SUM(E444:E447)</f>
        <v>16125</v>
      </c>
      <c r="F448" s="175" t="n">
        <f aca="false">SUM(F444:F447)</f>
        <v>186</v>
      </c>
      <c r="G448" s="176" t="n">
        <f aca="false">SUM(B448:F448)</f>
        <v>425886</v>
      </c>
      <c r="H448" s="256" t="n">
        <f aca="false">SUM(H444:H447)</f>
        <v>0</v>
      </c>
      <c r="I448" s="257" t="n">
        <f aca="false">SUM(I444:I447)</f>
        <v>0</v>
      </c>
      <c r="J448" s="258" t="n">
        <f aca="false">SUM(H448:I448)</f>
        <v>0</v>
      </c>
      <c r="K448" s="256" t="n">
        <f aca="false">SUM(K444:K447)</f>
        <v>0</v>
      </c>
      <c r="L448" s="257" t="n">
        <f aca="false">SUM(L444:L447)</f>
        <v>0</v>
      </c>
      <c r="M448" s="258" t="n">
        <f aca="false">SUM(K448:L448)</f>
        <v>0</v>
      </c>
      <c r="N448" s="256" t="n">
        <f aca="false">SUM(N444:N447)</f>
        <v>0</v>
      </c>
      <c r="O448" s="257" t="n">
        <f aca="false">SUM(O444:O447)</f>
        <v>0</v>
      </c>
      <c r="P448" s="258" t="n">
        <f aca="false">SUM(N448:O448)</f>
        <v>0</v>
      </c>
      <c r="Q448" s="110" t="str">
        <f aca="false">IF(P383=P448,"〇","×")</f>
        <v>〇</v>
      </c>
    </row>
    <row r="449" s="110" customFormat="true" ht="20.1" hidden="false" customHeight="true" outlineLevel="0" collapsed="false">
      <c r="A449" s="100" t="s">
        <v>202</v>
      </c>
      <c r="B449" s="117" t="n">
        <f aca="false">SUMIFS(報告入力!$AU$7:$AU$696,報告入力!$A$7:$A$696,$S$392,報告入力!$B$7:$B$696,$A449)</f>
        <v>31110</v>
      </c>
      <c r="C449" s="113" t="n">
        <f aca="false">SUMIFS(報告入力!$AV$7:$AV$696,報告入力!$A$7:$A$696,$S$392,報告入力!$B$7:$B$696,$A449)</f>
        <v>2550</v>
      </c>
      <c r="D449" s="111" t="n">
        <f aca="false">SUMIFS(報告入力!$AW$7:$AW$696,報告入力!$A$7:$A$696,$S$392,報告入力!$B$7:$B$696,$A449)</f>
        <v>31110</v>
      </c>
      <c r="E449" s="114" t="n">
        <f aca="false">SUMIFS(報告入力!$AX$7:$AX$696,報告入力!$A$7:$A$696,$S$392,報告入力!$B$7:$B$696,$A449)</f>
        <v>2550</v>
      </c>
      <c r="F449" s="312"/>
      <c r="G449" s="108" t="n">
        <f aca="false">SUM(B449:F449)</f>
        <v>67320</v>
      </c>
      <c r="H449" s="114" t="n">
        <f aca="false">SUMIFS(報告入力!$AZ$7:$AZ$696,報告入力!$A$7:$A$696,$S$392,報告入力!$B$7:$B$696,$A449)</f>
        <v>17632</v>
      </c>
      <c r="I449" s="115" t="n">
        <f aca="false">SUMIFS(報告入力!$BA$7:$BA$696,報告入力!$A$7:$A$696,$S$392,報告入力!$B$7:$B$696,$A449)</f>
        <v>17649</v>
      </c>
      <c r="J449" s="116" t="n">
        <f aca="false">SUM(H449:I449)</f>
        <v>35281</v>
      </c>
      <c r="K449" s="114" t="n">
        <f aca="false">SUMIFS(報告入力!$BB$7:$BB$696,報告入力!$A$7:$A$696,$S$392,報告入力!$B$7:$B$696,$A449)</f>
        <v>2686</v>
      </c>
      <c r="L449" s="115" t="n">
        <f aca="false">SUMIFS(報告入力!$BC$7:$BC$696,報告入力!$A$7:$A$696,$S$392,報告入力!$B$7:$B$696,$A449)</f>
        <v>2686</v>
      </c>
      <c r="M449" s="116" t="n">
        <f aca="false">SUM(K449:L449)</f>
        <v>5372</v>
      </c>
      <c r="N449" s="114" t="n">
        <f aca="false">SUMIFS(報告入力!$BD$7:$BD$696,報告入力!$A$7:$A$696,$S$392,報告入力!$B$7:$B$696,$A449)</f>
        <v>391</v>
      </c>
      <c r="O449" s="115" t="n">
        <f aca="false">SUMIFS(報告入力!$BE$7:$BE$696,報告入力!$A$7:$A$696,$S$392,報告入力!$B$7:$B$696,$A449)</f>
        <v>391</v>
      </c>
      <c r="P449" s="116" t="n">
        <f aca="false">SUM(N449:O449)</f>
        <v>782</v>
      </c>
      <c r="Q449" s="110" t="str">
        <f aca="false">IF(P384=P449,"〇","×")</f>
        <v>×</v>
      </c>
      <c r="R449" s="110" t="str">
        <f aca="false">IFERROR(INDEX(報告入力!$C$7:$C$696,MATCH($S$392&amp;"|"&amp;$A449,報告入力!$CG$7:$CG$696,0)),"")</f>
        <v>入金確認済</v>
      </c>
    </row>
    <row r="450" s="110" customFormat="true" ht="20.1" hidden="false" customHeight="true" outlineLevel="0" collapsed="false">
      <c r="A450" s="100" t="s">
        <v>203</v>
      </c>
      <c r="B450" s="215" t="n">
        <f aca="false">SUMIFS(報告入力!$AU$7:$AU$696,報告入力!$A$7:$A$696,$S$392,報告入力!$B$7:$B$696,$A450)</f>
        <v>0</v>
      </c>
      <c r="C450" s="212" t="n">
        <f aca="false">SUMIFS(報告入力!$AV$7:$AV$696,報告入力!$A$7:$A$696,$S$392,報告入力!$B$7:$B$696,$A450)</f>
        <v>0</v>
      </c>
      <c r="D450" s="178" t="n">
        <f aca="false">SUMIFS(報告入力!$AW$7:$AW$696,報告入力!$A$7:$A$696,$S$392,報告入力!$B$7:$B$696,$A450)</f>
        <v>0</v>
      </c>
      <c r="E450" s="182" t="n">
        <f aca="false">SUMIFS(報告入力!$AX$7:$AX$696,報告入力!$A$7:$A$696,$S$392,報告入力!$B$7:$B$696,$A450)</f>
        <v>0</v>
      </c>
      <c r="F450" s="312"/>
      <c r="G450" s="181" t="n">
        <f aca="false">SUM(B450:F450)</f>
        <v>0</v>
      </c>
      <c r="H450" s="182" t="n">
        <f aca="false">SUMIFS(報告入力!$AZ$7:$AZ$696,報告入力!$A$7:$A$696,$S$392,報告入力!$B$7:$B$696,$A450)</f>
        <v>0</v>
      </c>
      <c r="I450" s="183" t="n">
        <f aca="false">SUMIFS(報告入力!$BA$7:$BA$696,報告入力!$A$7:$A$696,$S$392,報告入力!$B$7:$B$696,$A450)</f>
        <v>0</v>
      </c>
      <c r="J450" s="135" t="n">
        <f aca="false">SUM(H450:I450)</f>
        <v>0</v>
      </c>
      <c r="K450" s="262" t="n">
        <f aca="false">SUMIFS(報告入力!$BB$7:$BB$696,報告入力!$A$7:$A$696,$S$392,報告入力!$B$7:$B$696,$A450)</f>
        <v>0</v>
      </c>
      <c r="L450" s="183" t="n">
        <f aca="false">SUMIFS(報告入力!$BC$7:$BC$696,報告入力!$A$7:$A$696,$S$392,報告入力!$B$7:$B$696,$A450)</f>
        <v>0</v>
      </c>
      <c r="M450" s="135" t="n">
        <f aca="false">SUM(K450:L450)</f>
        <v>0</v>
      </c>
      <c r="N450" s="262" t="n">
        <f aca="false">SUMIFS(報告入力!$BD$7:$BD$696,報告入力!$A$7:$A$696,$S$392,報告入力!$B$7:$B$696,$A450)</f>
        <v>0</v>
      </c>
      <c r="O450" s="183" t="n">
        <f aca="false">SUMIFS(報告入力!$BE$7:$BE$696,報告入力!$A$7:$A$696,$S$392,報告入力!$B$7:$B$696,$A450)</f>
        <v>0</v>
      </c>
      <c r="P450" s="135" t="n">
        <f aca="false">SUM(N450:O450)</f>
        <v>0</v>
      </c>
      <c r="Q450" s="110" t="str">
        <f aca="false">IF(P385=P450,"〇","×")</f>
        <v>〇</v>
      </c>
      <c r="R450" s="110" t="str">
        <f aca="false">IFERROR(INDEX(報告入力!$C$7:$C$696,MATCH($S$392&amp;"|"&amp;$A450,報告入力!$CG$7:$CG$696,0)),"")</f>
        <v>未受領</v>
      </c>
    </row>
    <row r="451" s="110" customFormat="true" ht="20.1" hidden="false" customHeight="true" outlineLevel="0" collapsed="false">
      <c r="A451" s="192" t="s">
        <v>204</v>
      </c>
      <c r="B451" s="117" t="n">
        <f aca="false">SUMIFS(報告入力!$AU$7:$AU$696,報告入力!$A$7:$A$696,$S$392,報告入力!$B$7:$B$696,$A451)</f>
        <v>29280</v>
      </c>
      <c r="C451" s="113" t="n">
        <f aca="false">SUMIFS(報告入力!$AV$7:$AV$696,報告入力!$A$7:$A$696,$S$392,報告入力!$B$7:$B$696,$A451)</f>
        <v>2400</v>
      </c>
      <c r="D451" s="111" t="n">
        <f aca="false">SUMIFS(報告入力!$AW$7:$AW$696,報告入力!$A$7:$A$696,$S$392,報告入力!$B$7:$B$696,$A451)</f>
        <v>29280</v>
      </c>
      <c r="E451" s="114" t="n">
        <f aca="false">SUMIFS(報告入力!$AX$7:$AX$696,報告入力!$A$7:$A$696,$S$392,報告入力!$B$7:$B$696,$A451)</f>
        <v>2400</v>
      </c>
      <c r="F451" s="312"/>
      <c r="G451" s="108" t="n">
        <f aca="false">SUM(B451:F451)</f>
        <v>63360</v>
      </c>
      <c r="H451" s="114" t="n">
        <f aca="false">SUMIFS(報告入力!$AZ$7:$AZ$696,報告入力!$A$7:$A$696,$S$392,報告入力!$B$7:$B$696,$A451)</f>
        <v>32153</v>
      </c>
      <c r="I451" s="115" t="n">
        <f aca="false">SUMIFS(報告入力!$BA$7:$BA$696,報告入力!$A$7:$A$696,$S$392,報告入力!$B$7:$B$696,$A451)</f>
        <v>32184</v>
      </c>
      <c r="J451" s="116" t="n">
        <f aca="false">SUM(H451:I451)</f>
        <v>64337</v>
      </c>
      <c r="K451" s="109" t="n">
        <f aca="false">SUMIFS(報告入力!$BB$7:$BB$696,報告入力!$A$7:$A$696,$S$392,報告入力!$B$7:$B$696,$A451)</f>
        <v>2370</v>
      </c>
      <c r="L451" s="115" t="n">
        <f aca="false">SUMIFS(報告入力!$BC$7:$BC$696,報告入力!$A$7:$A$696,$S$392,報告入力!$B$7:$B$696,$A451)</f>
        <v>2370</v>
      </c>
      <c r="M451" s="116" t="n">
        <f aca="false">SUM(K451:L451)</f>
        <v>4740</v>
      </c>
      <c r="N451" s="109" t="n">
        <f aca="false">SUMIFS(報告入力!$BD$7:$BD$696,報告入力!$A$7:$A$696,$S$392,報告入力!$B$7:$B$696,$A451)</f>
        <v>713</v>
      </c>
      <c r="O451" s="115" t="n">
        <f aca="false">SUMIFS(報告入力!$BE$7:$BE$696,報告入力!$A$7:$A$696,$S$392,報告入力!$B$7:$B$696,$A451)</f>
        <v>713</v>
      </c>
      <c r="P451" s="116" t="n">
        <f aca="false">SUM(N451:O451)</f>
        <v>1426</v>
      </c>
      <c r="Q451" s="110" t="str">
        <f aca="false">IF(P386=P451,"〇","×")</f>
        <v>×</v>
      </c>
      <c r="R451" s="110" t="str">
        <f aca="false">IFERROR(INDEX(報告入力!$C$7:$C$696,MATCH($S$392&amp;"|"&amp;$A451,報告入力!$CG$7:$CG$696,0)),"")</f>
        <v>入金確認済</v>
      </c>
    </row>
    <row r="452" s="110" customFormat="true" ht="20.1" hidden="false" customHeight="true" outlineLevel="0" collapsed="false">
      <c r="A452" s="192" t="s">
        <v>205</v>
      </c>
      <c r="B452" s="215"/>
      <c r="C452" s="212"/>
      <c r="D452" s="178"/>
      <c r="E452" s="182"/>
      <c r="F452" s="312"/>
      <c r="G452" s="181" t="n">
        <f aca="false">SUM(B452:F452)</f>
        <v>0</v>
      </c>
      <c r="H452" s="332"/>
      <c r="I452" s="333"/>
      <c r="J452" s="284" t="n">
        <f aca="false">SUM(H452:I452)</f>
        <v>0</v>
      </c>
      <c r="K452" s="334"/>
      <c r="L452" s="333"/>
      <c r="M452" s="284" t="n">
        <f aca="false">SUM(K452:L452)</f>
        <v>0</v>
      </c>
      <c r="N452" s="334"/>
      <c r="O452" s="333"/>
      <c r="P452" s="284" t="n">
        <f aca="false">SUM(N452:O452)</f>
        <v>0</v>
      </c>
      <c r="Q452" s="110" t="str">
        <f aca="false">IF(P387=P452,"〇","×")</f>
        <v>〇</v>
      </c>
      <c r="R452" s="110" t="str">
        <f aca="false">IFERROR(INDEX(報告入力!$C$7:$C$696,MATCH($S$392&amp;"|"&amp;$A452,報告入力!$CG$7:$CG$696,0)),"")</f>
        <v>報告なし</v>
      </c>
    </row>
    <row r="453" s="110" customFormat="true" ht="20.1" hidden="false" customHeight="true" outlineLevel="0" collapsed="false">
      <c r="A453" s="171" t="s">
        <v>383</v>
      </c>
      <c r="B453" s="172" t="n">
        <f aca="false">SUM(B449:B452)</f>
        <v>60390</v>
      </c>
      <c r="C453" s="176" t="n">
        <f aca="false">SUM(C449:C452)</f>
        <v>4950</v>
      </c>
      <c r="D453" s="172" t="n">
        <f aca="false">SUM(D449:D452)</f>
        <v>60390</v>
      </c>
      <c r="E453" s="174" t="n">
        <f aca="false">SUM(E449:E452)</f>
        <v>4950</v>
      </c>
      <c r="F453" s="175" t="n">
        <f aca="false">SUM(F449:F452)</f>
        <v>0</v>
      </c>
      <c r="G453" s="176" t="n">
        <f aca="false">SUM(B453:F453)</f>
        <v>130680</v>
      </c>
      <c r="H453" s="276" t="n">
        <f aca="false">SUM(H449:H452)</f>
        <v>49785</v>
      </c>
      <c r="I453" s="174" t="n">
        <f aca="false">SUM(I449:I452)</f>
        <v>49833</v>
      </c>
      <c r="J453" s="175" t="n">
        <f aca="false">SUM(H453:I453)</f>
        <v>99618</v>
      </c>
      <c r="K453" s="172" t="n">
        <f aca="false">SUM(K449:K452)</f>
        <v>5056</v>
      </c>
      <c r="L453" s="276" t="n">
        <f aca="false">SUM(L449:L452)</f>
        <v>5056</v>
      </c>
      <c r="M453" s="175" t="n">
        <f aca="false">SUM(K453:L453)</f>
        <v>10112</v>
      </c>
      <c r="N453" s="172" t="n">
        <f aca="false">SUM(N449:N452)</f>
        <v>1104</v>
      </c>
      <c r="O453" s="276" t="n">
        <f aca="false">SUM(O449:O452)</f>
        <v>1104</v>
      </c>
      <c r="P453" s="175" t="n">
        <f aca="false">SUM(N453:O453)</f>
        <v>2208</v>
      </c>
      <c r="Q453" s="110" t="str">
        <f aca="false">IF(P388=P453,"〇","×")</f>
        <v>×</v>
      </c>
    </row>
    <row r="454" s="110" customFormat="true" ht="20.1" hidden="false" customHeight="true" outlineLevel="0" collapsed="false">
      <c r="A454" s="277" t="s">
        <v>206</v>
      </c>
      <c r="B454" s="278"/>
      <c r="C454" s="279"/>
      <c r="D454" s="280"/>
      <c r="E454" s="281"/>
      <c r="F454" s="267"/>
      <c r="G454" s="268"/>
      <c r="H454" s="359" t="n">
        <f aca="false">SUMIFS(報告入力!$AZ$7:$AZ$696,報告入力!$A$7:$A$696,$S$392,報告入力!$B$7:$B$696,$A454)</f>
        <v>6877798</v>
      </c>
      <c r="I454" s="314"/>
      <c r="J454" s="284" t="n">
        <f aca="false">SUM(H454:I454)</f>
        <v>6877798</v>
      </c>
      <c r="K454" s="359" t="n">
        <f aca="false">SUMIFS(報告入力!$BB$7:$BB$696,報告入力!$A$7:$A$696,$S$392,報告入力!$B$7:$B$696,$A454)</f>
        <v>345917</v>
      </c>
      <c r="L454" s="314"/>
      <c r="M454" s="284" t="n">
        <f aca="false">SUM(K454:L454)</f>
        <v>345917</v>
      </c>
      <c r="N454" s="359" t="n">
        <f aca="false">SUMIFS(報告入力!$BD$7:$BD$696,報告入力!$A$7:$A$696,$S$392,報告入力!$B$7:$B$696,$A454)</f>
        <v>152502</v>
      </c>
      <c r="O454" s="314"/>
      <c r="P454" s="284" t="n">
        <f aca="false">SUM(N454:O454)</f>
        <v>152502</v>
      </c>
      <c r="Q454" s="110" t="str">
        <f aca="false">IF(P389=P454,"〇","×")</f>
        <v>×</v>
      </c>
      <c r="R454" s="110" t="str">
        <f aca="false">IFERROR(INDEX(報告入力!$C$7:$C$696,MATCH($S$392&amp;"|"&amp;$A454,報告入力!$CG$7:$CG$696,0)),"")</f>
        <v>受領済</v>
      </c>
    </row>
    <row r="455" s="110" customFormat="true" ht="30" hidden="false" customHeight="true" outlineLevel="0" collapsed="false">
      <c r="A455" s="285" t="s">
        <v>385</v>
      </c>
      <c r="B455" s="286" t="n">
        <f aca="false">SUM(+B412+B443+B448+B453+B454)</f>
        <v>498248439</v>
      </c>
      <c r="C455" s="287" t="n">
        <f aca="false">SUM(+C412+C443+C448+C453+C454)</f>
        <v>40801581</v>
      </c>
      <c r="D455" s="286" t="n">
        <f aca="false">SUM(+D412+D443+D448+D453+D454)</f>
        <v>727857487</v>
      </c>
      <c r="E455" s="288" t="n">
        <f aca="false">SUM(+E412+E443+E448+E453+E454)</f>
        <v>40985184</v>
      </c>
      <c r="F455" s="287" t="n">
        <f aca="false">SUM(+F412+F443+F448+F453+F454)</f>
        <v>495169</v>
      </c>
      <c r="G455" s="289" t="n">
        <f aca="false">SUM(B455:F455)</f>
        <v>1308387860</v>
      </c>
      <c r="H455" s="290" t="n">
        <f aca="false">SUM(+H412+H443+H448+H453+H454)</f>
        <v>362597062</v>
      </c>
      <c r="I455" s="290" t="n">
        <f aca="false">SUM(+I412+I443+I448+I453+I454)</f>
        <v>360138827</v>
      </c>
      <c r="J455" s="291" t="n">
        <f aca="false">SUM(H455:I455)</f>
        <v>722735889</v>
      </c>
      <c r="K455" s="292" t="n">
        <f aca="false">SUM(+K412+K443+K448+K453+K454)</f>
        <v>32643398</v>
      </c>
      <c r="L455" s="290" t="n">
        <f aca="false">SUM(+L412+L443+L448+L453+L454)</f>
        <v>32292877</v>
      </c>
      <c r="M455" s="291" t="n">
        <f aca="false">SUM(K455:L455)</f>
        <v>64936275</v>
      </c>
      <c r="N455" s="292" t="n">
        <f aca="false">SUM(+N412+N443+N448+N453+N454)</f>
        <v>8035595</v>
      </c>
      <c r="O455" s="290" t="n">
        <f aca="false">SUM(+O412+O443+O448+O453+O454)</f>
        <v>7882454</v>
      </c>
      <c r="P455" s="291" t="n">
        <f aca="false">SUM(N455:O455)</f>
        <v>15918049</v>
      </c>
      <c r="Q455" s="110" t="str">
        <f aca="false">IF(P390=P455,"〇","×")</f>
        <v>×</v>
      </c>
    </row>
    <row r="456" s="316" customFormat="true" ht="39" hidden="false" customHeight="true" outlineLevel="0" collapsed="false">
      <c r="A456" s="315"/>
      <c r="G456" s="84"/>
      <c r="Q456" s="316" t="str">
        <f aca="false">IF(P391=P456,"〇","×")</f>
        <v>〇</v>
      </c>
    </row>
    <row r="457" s="297" customFormat="true" ht="30" hidden="false" customHeight="true" outlineLevel="0" collapsed="false">
      <c r="A457" s="295"/>
      <c r="B457" s="87" t="n">
        <f aca="false">EOMONTH(B392,1)</f>
        <v>46326</v>
      </c>
      <c r="C457" s="87"/>
      <c r="D457" s="87"/>
      <c r="E457" s="87"/>
      <c r="F457" s="87"/>
      <c r="G457" s="87"/>
      <c r="H457" s="87" t="n">
        <f aca="false">B457</f>
        <v>46326</v>
      </c>
      <c r="I457" s="87"/>
      <c r="J457" s="87"/>
      <c r="K457" s="87" t="n">
        <f aca="false">H457</f>
        <v>46326</v>
      </c>
      <c r="L457" s="87"/>
      <c r="M457" s="87"/>
      <c r="N457" s="87" t="n">
        <f aca="false">K457</f>
        <v>46326</v>
      </c>
      <c r="O457" s="87"/>
      <c r="P457" s="87"/>
      <c r="Q457" s="297" t="str">
        <f aca="false">IF(P392=P457,"〇","×")</f>
        <v>〇</v>
      </c>
      <c r="S457" s="297" t="s">
        <v>393</v>
      </c>
    </row>
    <row r="458" customFormat="false" ht="22.5" hidden="false" customHeight="true" outlineLevel="0" collapsed="false">
      <c r="A458" s="89" t="s">
        <v>369</v>
      </c>
      <c r="B458" s="89" t="s">
        <v>370</v>
      </c>
      <c r="C458" s="89"/>
      <c r="D458" s="89"/>
      <c r="E458" s="89"/>
      <c r="F458" s="89"/>
      <c r="G458" s="89"/>
      <c r="H458" s="91" t="s">
        <v>371</v>
      </c>
      <c r="I458" s="91"/>
      <c r="J458" s="91"/>
      <c r="K458" s="91" t="s">
        <v>372</v>
      </c>
      <c r="L458" s="91"/>
      <c r="M458" s="91"/>
      <c r="N458" s="91" t="str">
        <f aca="false">$N$3</f>
        <v>子ども・子育て支援納付金</v>
      </c>
      <c r="O458" s="91"/>
      <c r="P458" s="91"/>
      <c r="Q458" s="80" t="str">
        <f aca="false">IF(P393=P458,"〇","×")</f>
        <v>〇</v>
      </c>
    </row>
    <row r="459" customFormat="false" ht="22.5" hidden="false" customHeight="true" outlineLevel="0" collapsed="false">
      <c r="A459" s="89"/>
      <c r="B459" s="92" t="s">
        <v>373</v>
      </c>
      <c r="C459" s="92"/>
      <c r="D459" s="92" t="s">
        <v>374</v>
      </c>
      <c r="E459" s="92"/>
      <c r="F459" s="92"/>
      <c r="G459" s="92" t="s">
        <v>375</v>
      </c>
      <c r="H459" s="96" t="s">
        <v>376</v>
      </c>
      <c r="I459" s="94" t="s">
        <v>377</v>
      </c>
      <c r="J459" s="95" t="s">
        <v>375</v>
      </c>
      <c r="K459" s="96" t="s">
        <v>376</v>
      </c>
      <c r="L459" s="94" t="s">
        <v>377</v>
      </c>
      <c r="M459" s="95" t="s">
        <v>375</v>
      </c>
      <c r="N459" s="96" t="s">
        <v>376</v>
      </c>
      <c r="O459" s="94" t="s">
        <v>377</v>
      </c>
      <c r="P459" s="95" t="s">
        <v>375</v>
      </c>
      <c r="Q459" s="80" t="str">
        <f aca="false">IF(P394=P459,"〇","×")</f>
        <v>〇</v>
      </c>
    </row>
    <row r="460" customFormat="false" ht="22.5" hidden="false" customHeight="true" outlineLevel="0" collapsed="false">
      <c r="A460" s="89"/>
      <c r="B460" s="97" t="s">
        <v>378</v>
      </c>
      <c r="C460" s="98" t="s">
        <v>379</v>
      </c>
      <c r="D460" s="99" t="s">
        <v>378</v>
      </c>
      <c r="E460" s="99" t="s">
        <v>380</v>
      </c>
      <c r="F460" s="98" t="s">
        <v>85</v>
      </c>
      <c r="G460" s="92"/>
      <c r="H460" s="96"/>
      <c r="I460" s="94"/>
      <c r="J460" s="95"/>
      <c r="K460" s="96"/>
      <c r="L460" s="94"/>
      <c r="M460" s="95"/>
      <c r="N460" s="96"/>
      <c r="O460" s="94"/>
      <c r="P460" s="95"/>
      <c r="Q460" s="80" t="str">
        <f aca="false">IF(P395=P460,"〇","×")</f>
        <v>〇</v>
      </c>
    </row>
    <row r="461" s="110" customFormat="true" ht="20.1" hidden="false" customHeight="true" outlineLevel="0" collapsed="false">
      <c r="A461" s="100" t="s">
        <v>158</v>
      </c>
      <c r="B461" s="360" t="n">
        <f aca="false">SUMIFS(報告入力!$AU$7:$AU$696,報告入力!$A$7:$A$696,$S$457,報告入力!$B$7:$B$696,$A461)</f>
        <v>233913712</v>
      </c>
      <c r="C461" s="361" t="n">
        <f aca="false">SUMIFS(報告入力!$AV$7:$AV$696,報告入力!$A$7:$A$696,$S$457,報告入力!$B$7:$B$696,$A461)</f>
        <v>19178131</v>
      </c>
      <c r="D461" s="362" t="n">
        <f aca="false">SUMIFS(報告入力!$AW$7:$AW$696,報告入力!$A$7:$A$696,$S$457,報告入力!$B$7:$B$696,$A461)</f>
        <v>339986672</v>
      </c>
      <c r="E461" s="362" t="n">
        <f aca="false">SUMIFS(報告入力!$AX$7:$AX$696,報告入力!$A$7:$A$696,$S$457,報告入力!$B$7:$B$696,$A461)</f>
        <v>18646418</v>
      </c>
      <c r="F461" s="363" t="n">
        <f aca="false">SUMIFS(報告入力!$AY$7:$AY$696,報告入力!$A$7:$A$696,$S$457,報告入力!$B$7:$B$696,$A461)</f>
        <v>245153</v>
      </c>
      <c r="G461" s="364" t="n">
        <f aca="false">SUM(B461:F461)</f>
        <v>611970086</v>
      </c>
      <c r="H461" s="365" t="n">
        <f aca="false">SUMIFS(報告入力!$AZ$7:$AZ$696,報告入力!$A$7:$A$696,$S$457,報告入力!$B$7:$B$696,$A461)</f>
        <v>180562030</v>
      </c>
      <c r="I461" s="180" t="n">
        <f aca="false">SUMIFS(報告入力!$BA$7:$BA$696,報告入力!$A$7:$A$696,$S$457,報告入力!$B$7:$B$696,$A461)</f>
        <v>179918563</v>
      </c>
      <c r="J461" s="181" t="n">
        <f aca="false">SUM(H461:I461)</f>
        <v>360480593</v>
      </c>
      <c r="K461" s="262" t="n">
        <f aca="false">SUMIFS(報告入力!$BB$7:$BB$696,報告入力!$A$7:$A$696,$S$457,報告入力!$B$7:$B$696,$A461)</f>
        <v>15720292</v>
      </c>
      <c r="L461" s="180" t="n">
        <f aca="false">SUMIFS(報告入力!$BC$7:$BC$696,報告入力!$A$7:$A$696,$S$457,報告入力!$B$7:$B$696,$A461)</f>
        <v>15284428</v>
      </c>
      <c r="M461" s="181" t="n">
        <f aca="false">SUM(K461:L461)</f>
        <v>31004720</v>
      </c>
      <c r="N461" s="262" t="n">
        <f aca="false">SUMIFS(報告入力!$BD$7:$BD$696,報告入力!$A$7:$A$696,$S$457,報告入力!$B$7:$B$696,$A461)</f>
        <v>1</v>
      </c>
      <c r="O461" s="180" t="n">
        <f aca="false">SUMIFS(報告入力!$BE$7:$BE$696,報告入力!$A$7:$A$696,$S$457,報告入力!$B$7:$B$696,$A461)</f>
        <v>1</v>
      </c>
      <c r="P461" s="181" t="n">
        <f aca="false">SUM(N461:O461)</f>
        <v>2</v>
      </c>
      <c r="Q461" s="110" t="str">
        <f aca="false">IF(P396=P461,"〇","×")</f>
        <v>×</v>
      </c>
      <c r="R461" s="110" t="str">
        <f aca="false">IFERROR(INDEX(報告入力!$C$7:$C$696,MATCH($S$457&amp;"|"&amp;$A461,報告入力!$CG$7:$CG$696,0)),"")</f>
        <v>未受領</v>
      </c>
    </row>
    <row r="462" s="110" customFormat="true" ht="20.1" hidden="false" customHeight="true" outlineLevel="0" collapsed="false">
      <c r="A462" s="100" t="s">
        <v>161</v>
      </c>
      <c r="B462" s="178" t="n">
        <f aca="false">SUMIFS(報告入力!$AU$7:$AU$696,報告入力!$A$7:$A$696,$S$457,報告入力!$B$7:$B$696,$A462)</f>
        <v>16602675</v>
      </c>
      <c r="C462" s="179" t="n">
        <f aca="false">SUMIFS(報告入力!$AV$7:$AV$696,報告入力!$A$7:$A$696,$S$457,報告入力!$B$7:$B$696,$A462)</f>
        <v>1360875</v>
      </c>
      <c r="D462" s="362" t="n">
        <f aca="false">SUMIFS(報告入力!$AW$7:$AW$696,報告入力!$A$7:$A$696,$S$457,報告入力!$B$7:$B$696,$A462)</f>
        <v>24157652</v>
      </c>
      <c r="E462" s="362" t="n">
        <f aca="false">SUMIFS(報告入力!$AX$7:$AX$696,報告入力!$A$7:$A$696,$S$457,報告入力!$B$7:$B$696,$A462)</f>
        <v>1359399</v>
      </c>
      <c r="F462" s="212" t="n">
        <f aca="false">SUMIFS(報告入力!$AY$7:$AY$696,報告入力!$A$7:$A$696,$S$457,報告入力!$B$7:$B$696,$A462)</f>
        <v>17126</v>
      </c>
      <c r="G462" s="181" t="n">
        <f aca="false">SUM(B462:F462)</f>
        <v>43497727</v>
      </c>
      <c r="H462" s="182" t="n">
        <f aca="false">SUMIFS(報告入力!$AZ$7:$AZ$696,報告入力!$A$7:$A$696,$S$457,報告入力!$B$7:$B$696,$A462)</f>
        <v>10398568</v>
      </c>
      <c r="I462" s="183" t="n">
        <f aca="false">SUMIFS(報告入力!$BA$7:$BA$696,報告入力!$A$7:$A$696,$S$457,報告入力!$B$7:$B$696,$A462)</f>
        <v>10572334</v>
      </c>
      <c r="J462" s="135" t="n">
        <f aca="false">SUM(H462:I462)</f>
        <v>20970902</v>
      </c>
      <c r="K462" s="215" t="n">
        <f aca="false">SUMIFS(報告入力!$BB$7:$BB$696,報告入力!$A$7:$A$696,$S$457,報告入力!$B$7:$B$696,$A462)</f>
        <v>1038485</v>
      </c>
      <c r="L462" s="213" t="n">
        <f aca="false">SUMIFS(報告入力!$BC$7:$BC$696,報告入力!$A$7:$A$696,$S$457,報告入力!$B$7:$B$696,$A462)</f>
        <v>1038485</v>
      </c>
      <c r="M462" s="135" t="n">
        <f aca="false">SUM(K462:L462)</f>
        <v>2076970</v>
      </c>
      <c r="N462" s="215" t="n">
        <f aca="false">SUMIFS(報告入力!$BD$7:$BD$696,報告入力!$A$7:$A$696,$S$457,報告入力!$B$7:$B$696,$A462)</f>
        <v>1</v>
      </c>
      <c r="O462" s="213" t="n">
        <f aca="false">SUMIFS(報告入力!$BE$7:$BE$696,報告入力!$A$7:$A$696,$S$457,報告入力!$B$7:$B$696,$A462)</f>
        <v>1</v>
      </c>
      <c r="P462" s="135" t="n">
        <f aca="false">SUM(N462:O462)</f>
        <v>2</v>
      </c>
      <c r="Q462" s="110" t="str">
        <f aca="false">IF(P397=P462,"〇","×")</f>
        <v>×</v>
      </c>
      <c r="R462" s="110" t="str">
        <f aca="false">IFERROR(INDEX(報告入力!$C$7:$C$696,MATCH($S$457&amp;"|"&amp;$A462,報告入力!$CG$7:$CG$696,0)),"")</f>
        <v>未受領</v>
      </c>
    </row>
    <row r="463" s="110" customFormat="true" ht="20.1" hidden="false" customHeight="true" outlineLevel="0" collapsed="false">
      <c r="A463" s="100" t="s">
        <v>162</v>
      </c>
      <c r="B463" s="178" t="n">
        <f aca="false">SUMIFS(報告入力!$AU$7:$AU$696,報告入力!$A$7:$A$696,$S$457,報告入力!$B$7:$B$696,$A463)</f>
        <v>53818470</v>
      </c>
      <c r="C463" s="179" t="n">
        <f aca="false">SUMIFS(報告入力!$AV$7:$AV$696,報告入力!$A$7:$A$696,$S$457,報告入力!$B$7:$B$696,$A463)</f>
        <v>4405650</v>
      </c>
      <c r="D463" s="362" t="n">
        <f aca="false">SUMIFS(報告入力!$AW$7:$AW$696,報告入力!$A$7:$A$696,$S$457,報告入力!$B$7:$B$696,$A463)</f>
        <v>78389280</v>
      </c>
      <c r="E463" s="362" t="n">
        <f aca="false">SUMIFS(報告入力!$AX$7:$AX$696,報告入力!$A$7:$A$696,$S$457,報告入力!$B$7:$B$696,$A463)</f>
        <v>4404675</v>
      </c>
      <c r="F463" s="212" t="n">
        <f aca="false">SUMIFS(報告入力!$AY$7:$AY$696,報告入力!$A$7:$A$696,$S$457,報告入力!$B$7:$B$696,$A463)</f>
        <v>55545</v>
      </c>
      <c r="G463" s="181" t="n">
        <f aca="false">SUM(B463:F463)</f>
        <v>141073620</v>
      </c>
      <c r="H463" s="213" t="n">
        <f aca="false">SUMIFS(報告入力!$AZ$7:$AZ$696,報告入力!$A$7:$A$696,$S$457,報告入力!$B$7:$B$696,$A463)</f>
        <v>33023349</v>
      </c>
      <c r="I463" s="182" t="n">
        <f aca="false">SUMIFS(報告入力!$BA$7:$BA$696,報告入力!$A$7:$A$696,$S$457,報告入力!$B$7:$B$696,$A463)</f>
        <v>33605263</v>
      </c>
      <c r="J463" s="135" t="n">
        <f aca="false">SUM(H463:I463)</f>
        <v>66628612</v>
      </c>
      <c r="K463" s="215" t="n">
        <f aca="false">SUMIFS(報告入力!$BB$7:$BB$696,報告入力!$A$7:$A$696,$S$457,報告入力!$B$7:$B$696,$A463)</f>
        <v>1962484</v>
      </c>
      <c r="L463" s="182" t="n">
        <f aca="false">SUMIFS(報告入力!$BC$7:$BC$696,報告入力!$A$7:$A$696,$S$457,報告入力!$B$7:$B$696,$A463)</f>
        <v>1955455</v>
      </c>
      <c r="M463" s="135" t="n">
        <f aca="false">SUM(K463:L463)</f>
        <v>3917939</v>
      </c>
      <c r="N463" s="215" t="n">
        <f aca="false">SUMIFS(報告入力!$BD$7:$BD$696,報告入力!$A$7:$A$696,$S$457,報告入力!$B$7:$B$696,$A463)</f>
        <v>1</v>
      </c>
      <c r="O463" s="182" t="n">
        <f aca="false">SUMIFS(報告入力!$BE$7:$BE$696,報告入力!$A$7:$A$696,$S$457,報告入力!$B$7:$B$696,$A463)</f>
        <v>1</v>
      </c>
      <c r="P463" s="135" t="n">
        <f aca="false">SUM(N463:O463)</f>
        <v>2</v>
      </c>
      <c r="Q463" s="110" t="str">
        <f aca="false">IF(P398=P463,"〇","×")</f>
        <v>×</v>
      </c>
      <c r="R463" s="110" t="str">
        <f aca="false">IFERROR(INDEX(報告入力!$C$7:$C$696,MATCH($S$457&amp;"|"&amp;$A463,報告入力!$CG$7:$CG$696,0)),"")</f>
        <v>未受領</v>
      </c>
    </row>
    <row r="464" s="110" customFormat="true" ht="20.1" hidden="false" customHeight="true" outlineLevel="0" collapsed="false">
      <c r="A464" s="100" t="s">
        <v>163</v>
      </c>
      <c r="B464" s="178" t="n">
        <f aca="false">SUMIFS(報告入力!$AU$7:$AU$696,報告入力!$A$7:$A$696,$S$457,報告入力!$B$7:$B$696,$A464)</f>
        <v>1740330</v>
      </c>
      <c r="C464" s="179" t="n">
        <f aca="false">SUMIFS(報告入力!$AV$7:$AV$696,報告入力!$A$7:$A$696,$S$457,報告入力!$B$7:$B$696,$A464)</f>
        <v>142650</v>
      </c>
      <c r="D464" s="362" t="n">
        <f aca="false">SUMIFS(報告入力!$AW$7:$AW$696,報告入力!$A$7:$A$696,$S$457,報告入力!$B$7:$B$696,$A464)</f>
        <v>2539620</v>
      </c>
      <c r="E464" s="362" t="n">
        <f aca="false">SUMIFS(報告入力!$AX$7:$AX$696,報告入力!$A$7:$A$696,$S$457,報告入力!$B$7:$B$696,$A464)</f>
        <v>142650</v>
      </c>
      <c r="F464" s="212" t="n">
        <f aca="false">SUMIFS(報告入力!$AY$7:$AY$696,報告入力!$A$7:$A$696,$S$457,報告入力!$B$7:$B$696,$A464)</f>
        <v>1808</v>
      </c>
      <c r="G464" s="181" t="n">
        <f aca="false">SUM(B464:F464)</f>
        <v>4567058</v>
      </c>
      <c r="H464" s="362" t="n">
        <f aca="false">SUMIFS(報告入力!$AZ$7:$AZ$696,報告入力!$A$7:$A$696,$S$457,報告入力!$B$7:$B$696,$A464)</f>
        <v>1055074</v>
      </c>
      <c r="I464" s="182" t="n">
        <f aca="false">SUMIFS(報告入力!$BA$7:$BA$696,報告入力!$A$7:$A$696,$S$457,報告入力!$B$7:$B$696,$A464)</f>
        <v>1073929</v>
      </c>
      <c r="J464" s="135" t="n">
        <f aca="false">SUM(H464:I464)</f>
        <v>2129003</v>
      </c>
      <c r="K464" s="178" t="n">
        <f aca="false">SUMIFS(報告入力!$BB$7:$BB$696,報告入力!$A$7:$A$696,$S$457,報告入力!$B$7:$B$696,$A464)</f>
        <v>96696</v>
      </c>
      <c r="L464" s="182" t="n">
        <f aca="false">SUMIFS(報告入力!$BC$7:$BC$696,報告入力!$A$7:$A$696,$S$457,報告入力!$B$7:$B$696,$A464)</f>
        <v>96696</v>
      </c>
      <c r="M464" s="135" t="n">
        <f aca="false">SUM(K464:L464)</f>
        <v>193392</v>
      </c>
      <c r="N464" s="178" t="n">
        <f aca="false">SUMIFS(報告入力!$BD$7:$BD$696,報告入力!$A$7:$A$696,$S$457,報告入力!$B$7:$B$696,$A464)</f>
        <v>1</v>
      </c>
      <c r="O464" s="182" t="n">
        <f aca="false">SUMIFS(報告入力!$BE$7:$BE$696,報告入力!$A$7:$A$696,$S$457,報告入力!$B$7:$B$696,$A464)</f>
        <v>1</v>
      </c>
      <c r="P464" s="135" t="n">
        <f aca="false">SUM(N464:O464)</f>
        <v>2</v>
      </c>
      <c r="Q464" s="110" t="str">
        <f aca="false">IF(P399=P464,"〇","×")</f>
        <v>×</v>
      </c>
      <c r="R464" s="110" t="str">
        <f aca="false">IFERROR(INDEX(報告入力!$C$7:$C$696,MATCH($S$457&amp;"|"&amp;$A464,報告入力!$CG$7:$CG$696,0)),"")</f>
        <v>未受領</v>
      </c>
    </row>
    <row r="465" s="110" customFormat="true" ht="20.1" hidden="false" customHeight="true" outlineLevel="0" collapsed="false">
      <c r="A465" s="100" t="s">
        <v>164</v>
      </c>
      <c r="B465" s="178" t="n">
        <f aca="false">SUMIFS(報告入力!$AU$7:$AU$696,報告入力!$A$7:$A$696,$S$457,報告入力!$B$7:$B$696,$A465)</f>
        <v>24178326</v>
      </c>
      <c r="C465" s="179" t="n">
        <f aca="false">SUMIFS(報告入力!$AV$7:$AV$696,報告入力!$A$7:$A$696,$S$457,報告入力!$B$7:$B$696,$A465)</f>
        <v>1981830</v>
      </c>
      <c r="D465" s="362" t="n">
        <f aca="false">SUMIFS(報告入力!$AW$7:$AW$696,報告入力!$A$7:$A$696,$S$457,報告入力!$B$7:$B$696,$A465)</f>
        <v>35265535</v>
      </c>
      <c r="E465" s="362" t="n">
        <f aca="false">SUMIFS(報告入力!$AX$7:$AX$696,報告入力!$A$7:$A$696,$S$457,報告入力!$B$7:$B$696,$A465)</f>
        <v>1982550</v>
      </c>
      <c r="F465" s="212" t="n">
        <f aca="false">SUMIFS(報告入力!$AY$7:$AY$696,報告入力!$A$7:$A$696,$S$457,報告入力!$B$7:$B$696,$A465)</f>
        <v>25061</v>
      </c>
      <c r="G465" s="181" t="n">
        <f aca="false">SUM(B465:F465)</f>
        <v>63433302</v>
      </c>
      <c r="H465" s="362" t="n">
        <f aca="false">SUMIFS(報告入力!$AZ$7:$AZ$696,報告入力!$A$7:$A$696,$S$457,報告入力!$B$7:$B$696,$A465)</f>
        <v>25754073</v>
      </c>
      <c r="I465" s="182" t="n">
        <f aca="false">SUMIFS(報告入力!$BA$7:$BA$696,報告入力!$A$7:$A$696,$S$457,報告入力!$B$7:$B$696,$A465)</f>
        <v>26235747</v>
      </c>
      <c r="J465" s="135" t="n">
        <f aca="false">SUM(H465:I465)</f>
        <v>51989820</v>
      </c>
      <c r="K465" s="178" t="n">
        <f aca="false">SUMIFS(報告入力!$BB$7:$BB$696,報告入力!$A$7:$A$696,$S$457,報告入力!$B$7:$B$696,$A465)</f>
        <v>2801103</v>
      </c>
      <c r="L465" s="182" t="n">
        <f aca="false">SUMIFS(報告入力!$BC$7:$BC$696,報告入力!$A$7:$A$696,$S$457,報告入力!$B$7:$B$696,$A465)</f>
        <v>2793876</v>
      </c>
      <c r="M465" s="135" t="n">
        <f aca="false">SUM(K465:L465)</f>
        <v>5594979</v>
      </c>
      <c r="N465" s="178" t="n">
        <f aca="false">SUMIFS(報告入力!$BD$7:$BD$696,報告入力!$A$7:$A$696,$S$457,報告入力!$B$7:$B$696,$A465)</f>
        <v>1</v>
      </c>
      <c r="O465" s="182" t="n">
        <f aca="false">SUMIFS(報告入力!$BE$7:$BE$696,報告入力!$A$7:$A$696,$S$457,報告入力!$B$7:$B$696,$A465)</f>
        <v>1</v>
      </c>
      <c r="P465" s="135" t="n">
        <f aca="false">SUM(N465:O465)</f>
        <v>2</v>
      </c>
      <c r="Q465" s="110" t="str">
        <f aca="false">IF(P400=P465,"〇","×")</f>
        <v>×</v>
      </c>
      <c r="R465" s="110" t="str">
        <f aca="false">IFERROR(INDEX(報告入力!$C$7:$C$696,MATCH($S$457&amp;"|"&amp;$A465,報告入力!$CG$7:$CG$696,0)),"")</f>
        <v>未受領</v>
      </c>
    </row>
    <row r="466" s="110" customFormat="true" ht="20.1" hidden="false" customHeight="true" outlineLevel="0" collapsed="false">
      <c r="A466" s="100" t="s">
        <v>165</v>
      </c>
      <c r="B466" s="178" t="n">
        <f aca="false">SUMIFS(報告入力!$AU$7:$AU$696,報告入力!$A$7:$A$696,$S$457,報告入力!$B$7:$B$696,$A466)</f>
        <v>280905</v>
      </c>
      <c r="C466" s="179" t="n">
        <f aca="false">SUMIFS(報告入力!$AV$7:$AV$696,報告入力!$A$7:$A$696,$S$457,報告入力!$B$7:$B$696,$A466)</f>
        <v>23025</v>
      </c>
      <c r="D466" s="362" t="n">
        <f aca="false">SUMIFS(報告入力!$AW$7:$AW$696,報告入力!$A$7:$A$696,$S$457,報告入力!$B$7:$B$696,$A466)</f>
        <v>408310</v>
      </c>
      <c r="E466" s="362" t="n">
        <f aca="false">SUMIFS(報告入力!$AX$7:$AX$696,報告入力!$A$7:$A$696,$S$457,報告入力!$B$7:$B$696,$A466)</f>
        <v>23025</v>
      </c>
      <c r="F466" s="212" t="n">
        <f aca="false">SUMIFS(報告入力!$AY$7:$AY$696,報告入力!$A$7:$A$696,$S$457,報告入力!$B$7:$B$696,$A466)</f>
        <v>288</v>
      </c>
      <c r="G466" s="181" t="n">
        <f aca="false">SUM(B466:F466)</f>
        <v>735553</v>
      </c>
      <c r="H466" s="182" t="n">
        <f aca="false">SUMIFS(報告入力!$AZ$7:$AZ$696,報告入力!$A$7:$A$696,$S$457,報告入力!$B$7:$B$696,$A466)</f>
        <v>190331</v>
      </c>
      <c r="I466" s="183" t="n">
        <f aca="false">SUMIFS(報告入力!$BA$7:$BA$696,報告入力!$A$7:$A$696,$S$457,報告入力!$B$7:$B$696,$A466)</f>
        <v>216641</v>
      </c>
      <c r="J466" s="135" t="n">
        <f aca="false">SUM(H466:I466)</f>
        <v>406972</v>
      </c>
      <c r="K466" s="178" t="n">
        <f aca="false">SUMIFS(報告入力!$BB$7:$BB$696,報告入力!$A$7:$A$696,$S$457,報告入力!$B$7:$B$696,$A466)</f>
        <v>15326</v>
      </c>
      <c r="L466" s="182" t="n">
        <f aca="false">SUMIFS(報告入力!$BC$7:$BC$696,報告入力!$A$7:$A$696,$S$457,報告入力!$B$7:$B$696,$A466)</f>
        <v>18565</v>
      </c>
      <c r="M466" s="135" t="n">
        <f aca="false">SUM(K466:L466)</f>
        <v>33891</v>
      </c>
      <c r="N466" s="178" t="n">
        <f aca="false">SUMIFS(報告入力!$BD$7:$BD$696,報告入力!$A$7:$A$696,$S$457,報告入力!$B$7:$B$696,$A466)</f>
        <v>1</v>
      </c>
      <c r="O466" s="182" t="n">
        <f aca="false">SUMIFS(報告入力!$BE$7:$BE$696,報告入力!$A$7:$A$696,$S$457,報告入力!$B$7:$B$696,$A466)</f>
        <v>1</v>
      </c>
      <c r="P466" s="135" t="n">
        <f aca="false">SUM(N466:O466)</f>
        <v>2</v>
      </c>
      <c r="Q466" s="110" t="str">
        <f aca="false">IF(P401=P466,"〇","×")</f>
        <v>×</v>
      </c>
      <c r="R466" s="110" t="str">
        <f aca="false">IFERROR(INDEX(報告入力!$C$7:$C$696,MATCH($S$457&amp;"|"&amp;$A466,報告入力!$CG$7:$CG$696,0)),"")</f>
        <v>未受領</v>
      </c>
    </row>
    <row r="467" s="110" customFormat="true" ht="20.1" hidden="false" customHeight="true" outlineLevel="0" collapsed="false">
      <c r="A467" s="100" t="s">
        <v>166</v>
      </c>
      <c r="B467" s="178" t="n">
        <f aca="false">SUMIFS(報告入力!$AU$7:$AU$696,報告入力!$A$7:$A$696,$S$457,報告入力!$B$7:$B$696,$A467)</f>
        <v>561810</v>
      </c>
      <c r="C467" s="179" t="n">
        <f aca="false">SUMIFS(報告入力!$AV$7:$AV$696,報告入力!$A$7:$A$696,$S$457,報告入力!$B$7:$B$696,$A467)</f>
        <v>46050</v>
      </c>
      <c r="D467" s="362" t="n">
        <f aca="false">SUMIFS(報告入力!$AW$7:$AW$696,報告入力!$A$7:$A$696,$S$457,報告入力!$B$7:$B$696,$A467)</f>
        <v>816620</v>
      </c>
      <c r="E467" s="362" t="n">
        <f aca="false">SUMIFS(報告入力!$AX$7:$AX$696,報告入力!$A$7:$A$696,$S$457,報告入力!$B$7:$B$696,$A467)</f>
        <v>46050</v>
      </c>
      <c r="F467" s="212" t="n">
        <f aca="false">SUMIFS(報告入力!$AY$7:$AY$696,報告入力!$A$7:$A$696,$S$457,報告入力!$B$7:$B$696,$A467)</f>
        <v>576</v>
      </c>
      <c r="G467" s="366" t="n">
        <f aca="false">SUM(B467:F467)</f>
        <v>1471106</v>
      </c>
      <c r="H467" s="182" t="n">
        <f aca="false">SUMIFS(報告入力!$AZ$7:$AZ$696,報告入力!$A$7:$A$696,$S$457,報告入力!$B$7:$B$696,$A467)</f>
        <v>351070</v>
      </c>
      <c r="I467" s="183" t="n">
        <f aca="false">SUMIFS(報告入力!$BA$7:$BA$696,報告入力!$A$7:$A$696,$S$457,報告入力!$B$7:$B$696,$A467)</f>
        <v>357264</v>
      </c>
      <c r="J467" s="135" t="n">
        <f aca="false">SUM(H467:I467)</f>
        <v>708334</v>
      </c>
      <c r="K467" s="262" t="n">
        <f aca="false">SUMIFS(報告入力!$BB$7:$BB$696,報告入力!$A$7:$A$696,$S$457,報告入力!$B$7:$B$696,$A467)</f>
        <v>33353</v>
      </c>
      <c r="L467" s="183" t="n">
        <f aca="false">SUMIFS(報告入力!$BC$7:$BC$696,報告入力!$A$7:$A$696,$S$457,報告入力!$B$7:$B$696,$A467)</f>
        <v>33353</v>
      </c>
      <c r="M467" s="135" t="n">
        <f aca="false">SUM(K467:L467)</f>
        <v>66706</v>
      </c>
      <c r="N467" s="262" t="n">
        <f aca="false">SUMIFS(報告入力!$BD$7:$BD$696,報告入力!$A$7:$A$696,$S$457,報告入力!$B$7:$B$696,$A467)</f>
        <v>1</v>
      </c>
      <c r="O467" s="183" t="n">
        <f aca="false">SUMIFS(報告入力!$BE$7:$BE$696,報告入力!$A$7:$A$696,$S$457,報告入力!$B$7:$B$696,$A467)</f>
        <v>1</v>
      </c>
      <c r="P467" s="135" t="n">
        <f aca="false">SUM(N467:O467)</f>
        <v>2</v>
      </c>
      <c r="Q467" s="110" t="str">
        <f aca="false">IF(P402=P467,"〇","×")</f>
        <v>×</v>
      </c>
      <c r="R467" s="110" t="str">
        <f aca="false">IFERROR(INDEX(報告入力!$C$7:$C$696,MATCH($S$457&amp;"|"&amp;$A467,報告入力!$CG$7:$CG$696,0)),"")</f>
        <v>未受領</v>
      </c>
    </row>
    <row r="468" s="110" customFormat="true" ht="20.1" hidden="false" customHeight="true" outlineLevel="0" collapsed="false">
      <c r="A468" s="100" t="s">
        <v>167</v>
      </c>
      <c r="B468" s="178" t="n">
        <f aca="false">SUMIFS(報告入力!$AU$7:$AU$696,報告入力!$A$7:$A$696,$S$457,報告入力!$B$7:$B$696,$A468)</f>
        <v>1344135</v>
      </c>
      <c r="C468" s="179" t="n">
        <f aca="false">SUMIFS(報告入力!$AV$7:$AV$696,報告入力!$A$7:$A$696,$S$457,報告入力!$B$7:$B$696,$A468)</f>
        <v>110175</v>
      </c>
      <c r="D468" s="362" t="n">
        <f aca="false">SUMIFS(報告入力!$AW$7:$AW$696,報告入力!$A$7:$A$696,$S$457,報告入力!$B$7:$B$696,$A468)</f>
        <v>1965390</v>
      </c>
      <c r="E468" s="362" t="n">
        <f aca="false">SUMIFS(報告入力!$AX$7:$AX$696,報告入力!$A$7:$A$696,$S$457,報告入力!$B$7:$B$696,$A468)</f>
        <v>110175</v>
      </c>
      <c r="F468" s="212" t="n">
        <f aca="false">SUMIFS(報告入力!$AY$7:$AY$696,報告入力!$A$7:$A$696,$S$457,報告入力!$B$7:$B$696,$A468)</f>
        <v>1405</v>
      </c>
      <c r="G468" s="181" t="n">
        <f aca="false">SUM(B468:F468)</f>
        <v>3531280</v>
      </c>
      <c r="H468" s="182" t="n">
        <f aca="false">SUMIFS(報告入力!$AZ$7:$AZ$696,報告入力!$A$7:$A$696,$S$457,報告入力!$B$7:$B$696,$A468)</f>
        <v>836690</v>
      </c>
      <c r="I468" s="183" t="n">
        <f aca="false">SUMIFS(報告入力!$BA$7:$BA$696,報告入力!$A$7:$A$696,$S$457,報告入力!$B$7:$B$696,$A468)</f>
        <v>851727</v>
      </c>
      <c r="J468" s="135" t="n">
        <f aca="false">SUM(H468:I468)</f>
        <v>1688417</v>
      </c>
      <c r="K468" s="262" t="n">
        <f aca="false">SUMIFS(報告入力!$BB$7:$BB$696,報告入力!$A$7:$A$696,$S$457,報告入力!$B$7:$B$696,$A468)</f>
        <v>108309</v>
      </c>
      <c r="L468" s="183" t="n">
        <f aca="false">SUMIFS(報告入力!$BC$7:$BC$696,報告入力!$A$7:$A$696,$S$457,報告入力!$B$7:$B$696,$A468)</f>
        <v>108309</v>
      </c>
      <c r="M468" s="135" t="n">
        <f aca="false">SUM(K468:L468)</f>
        <v>216618</v>
      </c>
      <c r="N468" s="262" t="n">
        <f aca="false">SUMIFS(報告入力!$BD$7:$BD$696,報告入力!$A$7:$A$696,$S$457,報告入力!$B$7:$B$696,$A468)</f>
        <v>1</v>
      </c>
      <c r="O468" s="183" t="n">
        <f aca="false">SUMIFS(報告入力!$BE$7:$BE$696,報告入力!$A$7:$A$696,$S$457,報告入力!$B$7:$B$696,$A468)</f>
        <v>1</v>
      </c>
      <c r="P468" s="135" t="n">
        <f aca="false">SUM(N468:O468)</f>
        <v>2</v>
      </c>
      <c r="Q468" s="110" t="str">
        <f aca="false">IF(P403=P468,"〇","×")</f>
        <v>×</v>
      </c>
      <c r="R468" s="110" t="str">
        <f aca="false">IFERROR(INDEX(報告入力!$C$7:$C$696,MATCH($S$457&amp;"|"&amp;$A468,報告入力!$CG$7:$CG$696,0)),"")</f>
        <v>未受領</v>
      </c>
    </row>
    <row r="469" s="110" customFormat="true" ht="20.1" hidden="false" customHeight="true" outlineLevel="0" collapsed="false">
      <c r="A469" s="100" t="s">
        <v>168</v>
      </c>
      <c r="B469" s="178" t="n">
        <f aca="false">SUMIFS(報告入力!$AU$7:$AU$696,報告入力!$A$7:$A$696,$S$457,報告入力!$B$7:$B$696,$A469)</f>
        <v>382470</v>
      </c>
      <c r="C469" s="179" t="n">
        <f aca="false">SUMIFS(報告入力!$AV$7:$AV$696,報告入力!$A$7:$A$696,$S$457,報告入力!$B$7:$B$696,$A469)</f>
        <v>31350</v>
      </c>
      <c r="D469" s="362" t="n">
        <f aca="false">SUMIFS(報告入力!$AW$7:$AW$696,報告入力!$A$7:$A$696,$S$457,報告入力!$B$7:$B$696,$A469)</f>
        <v>555940</v>
      </c>
      <c r="E469" s="362" t="n">
        <f aca="false">SUMIFS(報告入力!$AX$7:$AX$696,報告入力!$A$7:$A$696,$S$457,報告入力!$B$7:$B$696,$A469)</f>
        <v>31350</v>
      </c>
      <c r="F469" s="212" t="n">
        <f aca="false">SUMIFS(報告入力!$AY$7:$AY$696,報告入力!$A$7:$A$696,$S$457,報告入力!$B$7:$B$696,$A469)</f>
        <v>392</v>
      </c>
      <c r="G469" s="181" t="n">
        <f aca="false">SUM(B469:F469)</f>
        <v>1001502</v>
      </c>
      <c r="H469" s="182" t="n">
        <f aca="false">SUMIFS(報告入力!$AZ$7:$AZ$696,報告入力!$A$7:$A$696,$S$457,報告入力!$B$7:$B$696,$A469)</f>
        <v>308930</v>
      </c>
      <c r="I469" s="183" t="n">
        <f aca="false">SUMIFS(報告入力!$BA$7:$BA$696,報告入力!$A$7:$A$696,$S$457,報告入力!$B$7:$B$696,$A469)</f>
        <v>314382</v>
      </c>
      <c r="J469" s="135" t="n">
        <f aca="false">SUM(H469:I469)</f>
        <v>623312</v>
      </c>
      <c r="K469" s="262" t="n">
        <f aca="false">SUMIFS(報告入力!$BB$7:$BB$696,報告入力!$A$7:$A$696,$S$457,報告入力!$B$7:$B$696,$A469)</f>
        <v>34410</v>
      </c>
      <c r="L469" s="183" t="n">
        <f aca="false">SUMIFS(報告入力!$BC$7:$BC$696,報告入力!$A$7:$A$696,$S$457,報告入力!$B$7:$B$696,$A469)</f>
        <v>34412</v>
      </c>
      <c r="M469" s="135" t="n">
        <f aca="false">SUM(K469:L469)</f>
        <v>68822</v>
      </c>
      <c r="N469" s="262" t="n">
        <f aca="false">SUMIFS(報告入力!$BD$7:$BD$696,報告入力!$A$7:$A$696,$S$457,報告入力!$B$7:$B$696,$A469)</f>
        <v>1</v>
      </c>
      <c r="O469" s="183" t="n">
        <f aca="false">SUMIFS(報告入力!$BE$7:$BE$696,報告入力!$A$7:$A$696,$S$457,報告入力!$B$7:$B$696,$A469)</f>
        <v>1</v>
      </c>
      <c r="P469" s="135" t="n">
        <f aca="false">SUM(N469:O469)</f>
        <v>2</v>
      </c>
      <c r="Q469" s="110" t="str">
        <f aca="false">IF(P404=P469,"〇","×")</f>
        <v>×</v>
      </c>
      <c r="R469" s="110" t="str">
        <f aca="false">IFERROR(INDEX(報告入力!$C$7:$C$696,MATCH($S$457&amp;"|"&amp;$A469,報告入力!$CG$7:$CG$696,0)),"")</f>
        <v>未受領</v>
      </c>
    </row>
    <row r="470" s="110" customFormat="true" ht="20.1" hidden="false" customHeight="true" outlineLevel="0" collapsed="false">
      <c r="A470" s="100" t="s">
        <v>169</v>
      </c>
      <c r="B470" s="178" t="n">
        <f aca="false">SUMIFS(報告入力!$AU$7:$AU$696,報告入力!$A$7:$A$696,$S$457,報告入力!$B$7:$B$696,$A470)</f>
        <v>22426650</v>
      </c>
      <c r="C470" s="179" t="n">
        <f aca="false">SUMIFS(報告入力!$AV$7:$AV$696,報告入力!$A$7:$A$696,$S$457,報告入力!$B$7:$B$696,$A470)</f>
        <v>1838250</v>
      </c>
      <c r="D470" s="362" t="n">
        <f aca="false">SUMIFS(報告入力!$AW$7:$AW$696,報告入力!$A$7:$A$696,$S$457,報告入力!$B$7:$B$696,$A470)</f>
        <v>32729025</v>
      </c>
      <c r="E470" s="362" t="n">
        <f aca="false">SUMIFS(報告入力!$AX$7:$AX$696,報告入力!$A$7:$A$696,$S$457,報告入力!$B$7:$B$696,$A470)</f>
        <v>1838250</v>
      </c>
      <c r="F470" s="212" t="n">
        <f aca="false">SUMIFS(報告入力!$AY$7:$AY$696,報告入力!$A$7:$A$696,$S$457,報告入力!$B$7:$B$696,$A470)</f>
        <v>23304</v>
      </c>
      <c r="G470" s="181" t="n">
        <f aca="false">SUM(B470:F470)</f>
        <v>58855479</v>
      </c>
      <c r="H470" s="182" t="n">
        <f aca="false">SUMIFS(報告入力!$AZ$7:$AZ$696,報告入力!$A$7:$A$696,$S$457,報告入力!$B$7:$B$696,$A470)</f>
        <v>14207723</v>
      </c>
      <c r="I470" s="183" t="n">
        <f aca="false">SUMIFS(報告入力!$BA$7:$BA$696,報告入力!$A$7:$A$696,$S$457,報告入力!$B$7:$B$696,$A470)</f>
        <v>14461569</v>
      </c>
      <c r="J470" s="135" t="n">
        <f aca="false">SUM(H470:I470)</f>
        <v>28669292</v>
      </c>
      <c r="K470" s="262" t="n">
        <f aca="false">SUMIFS(報告入力!$BB$7:$BB$696,報告入力!$A$7:$A$696,$S$457,報告入力!$B$7:$B$696,$A470)</f>
        <v>1349557</v>
      </c>
      <c r="L470" s="183" t="n">
        <f aca="false">SUMIFS(報告入力!$BC$7:$BC$696,報告入力!$A$7:$A$696,$S$457,報告入力!$B$7:$B$696,$A470)</f>
        <v>1349557</v>
      </c>
      <c r="M470" s="135" t="n">
        <f aca="false">SUM(K470:L470)</f>
        <v>2699114</v>
      </c>
      <c r="N470" s="262" t="n">
        <f aca="false">SUMIFS(報告入力!$BD$7:$BD$696,報告入力!$A$7:$A$696,$S$457,報告入力!$B$7:$B$696,$A470)</f>
        <v>1</v>
      </c>
      <c r="O470" s="183" t="n">
        <f aca="false">SUMIFS(報告入力!$BE$7:$BE$696,報告入力!$A$7:$A$696,$S$457,報告入力!$B$7:$B$696,$A470)</f>
        <v>1</v>
      </c>
      <c r="P470" s="135" t="n">
        <f aca="false">SUM(N470:O470)</f>
        <v>2</v>
      </c>
      <c r="Q470" s="110" t="str">
        <f aca="false">IF(P405=P470,"〇","×")</f>
        <v>×</v>
      </c>
      <c r="R470" s="110" t="str">
        <f aca="false">IFERROR(INDEX(報告入力!$C$7:$C$696,MATCH($S$457&amp;"|"&amp;$A470,報告入力!$CG$7:$CG$696,0)),"")</f>
        <v>未受領</v>
      </c>
    </row>
    <row r="471" s="110" customFormat="true" ht="19.5" hidden="false" customHeight="true" outlineLevel="0" collapsed="false">
      <c r="A471" s="121" t="s">
        <v>381</v>
      </c>
      <c r="B471" s="215" t="n">
        <f aca="false">SUMIFS(報告入力!$AU$7:$AU$696,報告入力!$A$7:$A$696,$S$457,報告入力!$B$7:$B$696,$A471)</f>
        <v>48495</v>
      </c>
      <c r="C471" s="367" t="n">
        <f aca="false">SUMIFS(報告入力!$AV$7:$AV$696,報告入力!$A$7:$A$696,$S$457,報告入力!$B$7:$B$696,$A471)</f>
        <v>3975</v>
      </c>
      <c r="D471" s="215" t="n">
        <f aca="false">SUMIFS(報告入力!$AW$7:$AW$696,報告入力!$A$7:$A$696,$S$457,報告入力!$B$7:$B$696,$A471)</f>
        <v>70490</v>
      </c>
      <c r="E471" s="213" t="n">
        <f aca="false">SUMIFS(報告入力!$AX$7:$AX$696,報告入力!$A$7:$A$696,$S$457,報告入力!$B$7:$B$696,$A471)</f>
        <v>3975</v>
      </c>
      <c r="F471" s="368" t="n">
        <f aca="false">SUMIFS(報告入力!$AY$7:$AY$696,報告入力!$A$7:$A$696,$S$457,報告入力!$B$7:$B$696,$A471)</f>
        <v>49</v>
      </c>
      <c r="G471" s="366" t="n">
        <f aca="false">SUM(B471:F471)</f>
        <v>126984</v>
      </c>
      <c r="H471" s="369" t="n">
        <f aca="false">SUMIFS(報告入力!$AZ$7:$AZ$696,報告入力!$A$7:$A$696,$S$457,報告入力!$B$7:$B$696,$A471)</f>
        <v>29155</v>
      </c>
      <c r="I471" s="370" t="n">
        <f aca="false">SUMIFS(報告入力!$BA$7:$BA$696,報告入力!$A$7:$A$696,$S$457,報告入力!$B$7:$B$696,$A471)</f>
        <v>29669</v>
      </c>
      <c r="J471" s="135" t="n">
        <f aca="false">SUM(H471:I471)</f>
        <v>58824</v>
      </c>
      <c r="K471" s="262" t="n">
        <f aca="false">SUMIFS(報告入力!$BB$7:$BB$696,報告入力!$A$7:$A$696,$S$457,報告入力!$B$7:$B$696,$A471)</f>
        <v>4187</v>
      </c>
      <c r="L471" s="183" t="n">
        <f aca="false">SUMIFS(報告入力!$BC$7:$BC$696,報告入力!$A$7:$A$696,$S$457,報告入力!$B$7:$B$696,$A471)</f>
        <v>4187</v>
      </c>
      <c r="M471" s="135" t="n">
        <f aca="false">SUM(K471:L471)</f>
        <v>8374</v>
      </c>
      <c r="N471" s="262" t="n">
        <f aca="false">SUMIFS(報告入力!$BD$7:$BD$696,報告入力!$A$7:$A$696,$S$457,報告入力!$B$7:$B$696,$A471)</f>
        <v>1</v>
      </c>
      <c r="O471" s="183" t="n">
        <f aca="false">SUMIFS(報告入力!$BE$7:$BE$696,報告入力!$A$7:$A$696,$S$457,報告入力!$B$7:$B$696,$A471)</f>
        <v>1</v>
      </c>
      <c r="P471" s="135" t="n">
        <f aca="false">SUM(N471:O471)</f>
        <v>2</v>
      </c>
      <c r="Q471" s="110" t="str">
        <f aca="false">IF(P406=P471,"〇","×")</f>
        <v>×</v>
      </c>
      <c r="R471" s="110" t="str">
        <f aca="false">IFERROR(INDEX(報告入力!$C$7:$C$696,MATCH($S$457&amp;"|"&amp;$A471,報告入力!$CG$7:$CG$696,0)),"")</f>
        <v>未受領</v>
      </c>
    </row>
    <row r="472" s="137" customFormat="true" ht="19.5" hidden="false" customHeight="true" outlineLevel="0" collapsed="false">
      <c r="A472" s="126" t="s">
        <v>171</v>
      </c>
      <c r="B472" s="127" t="n">
        <f aca="false">SUMIFS(報告入力!$AU$7:$AU$696,報告入力!$A$7:$A$696,$S$457,報告入力!$B$7:$B$696,$A472)</f>
        <v>0</v>
      </c>
      <c r="C472" s="128" t="n">
        <f aca="false">SUMIFS(報告入力!$AV$7:$AV$696,報告入力!$A$7:$A$696,$S$457,報告入力!$B$7:$B$696,$A472)</f>
        <v>0</v>
      </c>
      <c r="D472" s="129"/>
      <c r="E472" s="130"/>
      <c r="F472" s="131" t="n">
        <f aca="false">SUMIFS(報告入力!$AY$7:$AY$696,報告入力!$A$7:$A$696,$S$457,報告入力!$B$7:$B$696,$A472)</f>
        <v>0</v>
      </c>
      <c r="G472" s="132" t="n">
        <f aca="false">SUM(B472:F472)</f>
        <v>0</v>
      </c>
      <c r="H472" s="182" t="n">
        <f aca="false">SUMIFS(報告入力!$AZ$7:$AZ$696,報告入力!$A$7:$A$696,$S$457,報告入力!$B$7:$B$696,$A472)</f>
        <v>264840</v>
      </c>
      <c r="I472" s="183" t="n">
        <f aca="false">SUMIFS(報告入力!$BA$7:$BA$696,報告入力!$A$7:$A$696,$S$457,報告入力!$B$7:$B$696,$A472)</f>
        <v>257493</v>
      </c>
      <c r="J472" s="135" t="n">
        <f aca="false">SUM(H472:I472)</f>
        <v>522333</v>
      </c>
      <c r="K472" s="262" t="n">
        <f aca="false">SUMIFS(報告入力!$BB$7:$BB$696,報告入力!$A$7:$A$696,$S$457,報告入力!$B$7:$B$696,$A472)</f>
        <v>8068</v>
      </c>
      <c r="L472" s="183" t="n">
        <f aca="false">SUMIFS(報告入力!$BC$7:$BC$696,報告入力!$A$7:$A$696,$S$457,報告入力!$B$7:$B$696,$A472)</f>
        <v>8068</v>
      </c>
      <c r="M472" s="135" t="n">
        <f aca="false">SUM(K472:L472)</f>
        <v>16136</v>
      </c>
      <c r="N472" s="262" t="n">
        <f aca="false">SUMIFS(報告入力!$BD$7:$BD$696,報告入力!$A$7:$A$696,$S$457,報告入力!$B$7:$B$696,$A472)</f>
        <v>1</v>
      </c>
      <c r="O472" s="183" t="n">
        <f aca="false">SUMIFS(報告入力!$BE$7:$BE$696,報告入力!$A$7:$A$696,$S$457,報告入力!$B$7:$B$696,$A472)</f>
        <v>1</v>
      </c>
      <c r="P472" s="135" t="n">
        <f aca="false">SUM(N472:O472)</f>
        <v>2</v>
      </c>
      <c r="Q472" s="137" t="str">
        <f aca="false">IF(P407=P472,"〇","×")</f>
        <v>×</v>
      </c>
      <c r="R472" s="137" t="str">
        <f aca="false">IFERROR(INDEX(報告入力!$C$7:$C$696,MATCH($S$457&amp;"|"&amp;$A472,報告入力!$CG$7:$CG$696,0)),"")</f>
        <v>未受領</v>
      </c>
    </row>
    <row r="473" s="137" customFormat="true" ht="19.5" hidden="false" customHeight="true" outlineLevel="0" collapsed="false">
      <c r="A473" s="138" t="s">
        <v>382</v>
      </c>
      <c r="B473" s="139"/>
      <c r="C473" s="140"/>
      <c r="D473" s="139"/>
      <c r="E473" s="141"/>
      <c r="F473" s="142"/>
      <c r="G473" s="143"/>
      <c r="H473" s="144"/>
      <c r="I473" s="145"/>
      <c r="J473" s="146"/>
      <c r="K473" s="147"/>
      <c r="L473" s="148"/>
      <c r="M473" s="148"/>
      <c r="N473" s="147"/>
      <c r="O473" s="148"/>
      <c r="P473" s="148"/>
      <c r="Q473" s="137" t="str">
        <f aca="false">IF(P408=P473,"〇","×")</f>
        <v>〇</v>
      </c>
    </row>
    <row r="474" s="137" customFormat="true" ht="19.5" hidden="false" customHeight="true" outlineLevel="0" collapsed="false">
      <c r="A474" s="149" t="s">
        <v>382</v>
      </c>
      <c r="B474" s="150"/>
      <c r="C474" s="151"/>
      <c r="D474" s="150"/>
      <c r="E474" s="152"/>
      <c r="F474" s="153"/>
      <c r="G474" s="154"/>
      <c r="H474" s="155"/>
      <c r="I474" s="152"/>
      <c r="J474" s="156"/>
      <c r="K474" s="157"/>
      <c r="L474" s="158"/>
      <c r="M474" s="158"/>
      <c r="N474" s="157"/>
      <c r="O474" s="158"/>
      <c r="P474" s="158"/>
      <c r="Q474" s="137" t="str">
        <f aca="false">IF(P409=P474,"〇","×")</f>
        <v>〇</v>
      </c>
    </row>
    <row r="475" s="137" customFormat="true" ht="12" hidden="false" customHeight="true" outlineLevel="0" collapsed="false">
      <c r="A475" s="149" t="s">
        <v>382</v>
      </c>
      <c r="B475" s="139"/>
      <c r="C475" s="140"/>
      <c r="D475" s="139"/>
      <c r="E475" s="141"/>
      <c r="F475" s="142"/>
      <c r="G475" s="143"/>
      <c r="H475" s="159"/>
      <c r="I475" s="141"/>
      <c r="J475" s="146"/>
      <c r="K475" s="160"/>
      <c r="L475" s="161"/>
      <c r="M475" s="161"/>
      <c r="N475" s="160"/>
      <c r="O475" s="161"/>
      <c r="P475" s="161"/>
      <c r="Q475" s="137" t="str">
        <f aca="false">IF(P410=P475,"〇","×")</f>
        <v>〇</v>
      </c>
    </row>
    <row r="476" s="137" customFormat="true" ht="19.5" hidden="false" customHeight="true" outlineLevel="0" collapsed="false">
      <c r="A476" s="162" t="s">
        <v>382</v>
      </c>
      <c r="B476" s="163"/>
      <c r="C476" s="164"/>
      <c r="D476" s="163"/>
      <c r="E476" s="165"/>
      <c r="F476" s="166"/>
      <c r="G476" s="167"/>
      <c r="H476" s="155"/>
      <c r="I476" s="168"/>
      <c r="J476" s="169"/>
      <c r="K476" s="157"/>
      <c r="L476" s="158"/>
      <c r="M476" s="170"/>
      <c r="N476" s="157"/>
      <c r="O476" s="158"/>
      <c r="P476" s="170"/>
      <c r="Q476" s="137" t="str">
        <f aca="false">IF(P411=P476,"〇","×")</f>
        <v>〇</v>
      </c>
    </row>
    <row r="477" s="137" customFormat="true" ht="19.5" hidden="false" customHeight="true" outlineLevel="0" collapsed="false">
      <c r="A477" s="171" t="s">
        <v>383</v>
      </c>
      <c r="B477" s="172" t="n">
        <f aca="false">SUM(B461:B476)</f>
        <v>355297978</v>
      </c>
      <c r="C477" s="173" t="n">
        <f aca="false">SUM(C461:C476)</f>
        <v>29121961</v>
      </c>
      <c r="D477" s="172" t="n">
        <f aca="false">SUM(D461:D476)</f>
        <v>516884534</v>
      </c>
      <c r="E477" s="174" t="n">
        <f aca="false">SUM(E461:E476)</f>
        <v>28588517</v>
      </c>
      <c r="F477" s="175" t="n">
        <f aca="false">SUM(F461:F476)</f>
        <v>370707</v>
      </c>
      <c r="G477" s="176" t="n">
        <f aca="false">SUM(B477:F477)</f>
        <v>930263697</v>
      </c>
      <c r="H477" s="173" t="n">
        <f aca="false">SUM(H461:H476)</f>
        <v>266981833</v>
      </c>
      <c r="I477" s="173" t="n">
        <f aca="false">SUM(I461:I476)</f>
        <v>267894581</v>
      </c>
      <c r="J477" s="175" t="n">
        <f aca="false">SUM(H477:I477)</f>
        <v>534876414</v>
      </c>
      <c r="K477" s="172" t="n">
        <f aca="false">SUM(K461:K476)</f>
        <v>23172270</v>
      </c>
      <c r="L477" s="173" t="n">
        <f aca="false">SUM(L461:L476)</f>
        <v>22725391</v>
      </c>
      <c r="M477" s="175" t="n">
        <f aca="false">SUM(K477:L477)</f>
        <v>45897661</v>
      </c>
      <c r="N477" s="172" t="n">
        <f aca="false">SUM(N461:N476)</f>
        <v>12</v>
      </c>
      <c r="O477" s="173" t="n">
        <f aca="false">SUM(O461:O476)</f>
        <v>12</v>
      </c>
      <c r="P477" s="175" t="n">
        <f aca="false">SUM(N477:O477)</f>
        <v>24</v>
      </c>
      <c r="Q477" s="137" t="str">
        <f aca="false">IF(P412=P477,"〇","×")</f>
        <v>×</v>
      </c>
    </row>
    <row r="478" s="110" customFormat="true" ht="20.1" hidden="false" customHeight="true" outlineLevel="0" collapsed="false">
      <c r="A478" s="177" t="s">
        <v>172</v>
      </c>
      <c r="B478" s="299"/>
      <c r="C478" s="300"/>
      <c r="D478" s="338"/>
      <c r="E478" s="309"/>
      <c r="F478" s="308"/>
      <c r="G478" s="302" t="n">
        <f aca="false">SUM(B478:F478)</f>
        <v>0</v>
      </c>
      <c r="H478" s="303"/>
      <c r="I478" s="304"/>
      <c r="J478" s="305" t="n">
        <f aca="false">SUM(H478:I478)</f>
        <v>0</v>
      </c>
      <c r="K478" s="303"/>
      <c r="L478" s="304"/>
      <c r="M478" s="305" t="n">
        <f aca="false">SUM(K478:L478)</f>
        <v>0</v>
      </c>
      <c r="N478" s="303"/>
      <c r="O478" s="304"/>
      <c r="P478" s="305" t="n">
        <f aca="false">SUM(N478:O478)</f>
        <v>0</v>
      </c>
      <c r="Q478" s="110" t="str">
        <f aca="false">IF(P413=P478,"〇","×")</f>
        <v>〇</v>
      </c>
      <c r="R478" s="110" t="str">
        <f aca="false">IFERROR(INDEX(報告入力!$C$7:$C$696,MATCH($S$457&amp;"|"&amp;$A478,報告入力!$CG$7:$CG$696,0)),"")</f>
        <v>報告なし</v>
      </c>
    </row>
    <row r="479" s="110" customFormat="true" ht="20.25" hidden="false" customHeight="true" outlineLevel="0" collapsed="false">
      <c r="A479" s="100" t="s">
        <v>174</v>
      </c>
      <c r="B479" s="215" t="n">
        <f aca="false">SUMIFS(報告入力!$AU$7:$AU$696,報告入力!$A$7:$A$696,$S$457,報告入力!$B$7:$B$696,$A479)</f>
        <v>0</v>
      </c>
      <c r="C479" s="212" t="n">
        <f aca="false">SUMIFS(報告入力!$AV$7:$AV$696,報告入力!$A$7:$A$696,$S$457,報告入力!$B$7:$B$696,$A479)</f>
        <v>0</v>
      </c>
      <c r="D479" s="178" t="n">
        <f aca="false">SUMIFS(報告入力!$AW$7:$AW$696,報告入力!$A$7:$A$696,$S$457,報告入力!$B$7:$B$696,$A479)</f>
        <v>695400</v>
      </c>
      <c r="E479" s="182" t="n">
        <f aca="false">SUMIFS(報告入力!$AX$7:$AX$696,報告入力!$A$7:$A$696,$S$457,報告入力!$B$7:$B$696,$A479)</f>
        <v>57000</v>
      </c>
      <c r="F479" s="212" t="n">
        <f aca="false">SUMIFS(報告入力!$AY$7:$AY$696,報告入力!$A$7:$A$696,$S$457,報告入力!$B$7:$B$696,$A479)</f>
        <v>713</v>
      </c>
      <c r="G479" s="181" t="n">
        <f aca="false">SUM(B479:F479)</f>
        <v>753113</v>
      </c>
      <c r="H479" s="182" t="n">
        <f aca="false">SUMIFS(報告入力!$AZ$7:$AZ$696,報告入力!$A$7:$A$696,$S$457,報告入力!$B$7:$B$696,$A479)</f>
        <v>0</v>
      </c>
      <c r="I479" s="214" t="n">
        <f aca="false">SUMIFS(報告入力!$BA$7:$BA$696,報告入力!$A$7:$A$696,$S$457,報告入力!$B$7:$B$696,$A479)</f>
        <v>420489</v>
      </c>
      <c r="J479" s="181" t="n">
        <f aca="false">SUM(H479:I479)</f>
        <v>420489</v>
      </c>
      <c r="K479" s="182" t="n">
        <f aca="false">SUMIFS(報告入力!$BB$7:$BB$696,報告入力!$A$7:$A$696,$S$457,報告入力!$B$7:$B$696,$A479)</f>
        <v>0</v>
      </c>
      <c r="L479" s="214" t="n">
        <f aca="false">SUMIFS(報告入力!$BC$7:$BC$696,報告入力!$A$7:$A$696,$S$457,報告入力!$B$7:$B$696,$A479)</f>
        <v>51903</v>
      </c>
      <c r="M479" s="181" t="n">
        <f aca="false">SUM(K479:L479)</f>
        <v>51903</v>
      </c>
      <c r="N479" s="182" t="n">
        <f aca="false">SUMIFS(報告入力!$BD$7:$BD$696,報告入力!$A$7:$A$696,$S$457,報告入力!$B$7:$B$696,$A479)</f>
        <v>0</v>
      </c>
      <c r="O479" s="214" t="n">
        <f aca="false">SUMIFS(報告入力!$BE$7:$BE$696,報告入力!$A$7:$A$696,$S$457,報告入力!$B$7:$B$696,$A479)</f>
        <v>1</v>
      </c>
      <c r="P479" s="181" t="n">
        <f aca="false">SUM(N479:O479)</f>
        <v>1</v>
      </c>
      <c r="Q479" s="110" t="str">
        <f aca="false">IF(P414=P479,"〇","×")</f>
        <v>×</v>
      </c>
      <c r="R479" s="110" t="str">
        <f aca="false">IFERROR(INDEX(報告入力!$C$7:$C$696,MATCH($S$457&amp;"|"&amp;$A479,報告入力!$CG$7:$CG$696,0)),"")</f>
        <v>未受領</v>
      </c>
    </row>
    <row r="480" s="110" customFormat="true" ht="20.1" hidden="false" customHeight="true" outlineLevel="0" collapsed="false">
      <c r="A480" s="100" t="s">
        <v>175</v>
      </c>
      <c r="B480" s="186"/>
      <c r="C480" s="187"/>
      <c r="D480" s="215" t="n">
        <f aca="false">SUMIFS(報告入力!$AW$7:$AW$696,報告入力!$A$7:$A$696,$S$457,報告入力!$B$7:$B$696,$A480)</f>
        <v>1881240</v>
      </c>
      <c r="E480" s="182" t="n">
        <f aca="false">SUMIFS(報告入力!$AX$7:$AX$696,報告入力!$A$7:$A$696,$S$457,報告入力!$B$7:$B$696,$A480)</f>
        <v>154200</v>
      </c>
      <c r="F480" s="212" t="n">
        <f aca="false">SUMIFS(報告入力!$AY$7:$AY$696,報告入力!$A$7:$A$696,$S$457,報告入力!$B$7:$B$696,$A480)</f>
        <v>1960</v>
      </c>
      <c r="G480" s="181" t="n">
        <f aca="false">SUM(B480:F480)</f>
        <v>2037400</v>
      </c>
      <c r="H480" s="188"/>
      <c r="I480" s="183" t="n">
        <f aca="false">SUMIFS(報告入力!$BA$7:$BA$696,報告入力!$A$7:$A$696,$S$457,報告入力!$B$7:$B$696,$A480)</f>
        <v>1271974</v>
      </c>
      <c r="J480" s="135" t="n">
        <f aca="false">SUM(H480:I480)</f>
        <v>1271974</v>
      </c>
      <c r="K480" s="188"/>
      <c r="L480" s="183" t="n">
        <f aca="false">SUMIFS(報告入力!$BC$7:$BC$696,報告入力!$A$7:$A$696,$S$457,報告入力!$B$7:$B$696,$A480)</f>
        <v>141252</v>
      </c>
      <c r="M480" s="135" t="n">
        <f aca="false">SUM(K480:L480)</f>
        <v>141252</v>
      </c>
      <c r="N480" s="188"/>
      <c r="O480" s="183" t="n">
        <f aca="false">SUMIFS(報告入力!$BE$7:$BE$696,報告入力!$A$7:$A$696,$S$457,報告入力!$B$7:$B$696,$A480)</f>
        <v>1</v>
      </c>
      <c r="P480" s="135" t="n">
        <f aca="false">SUM(N480:O480)</f>
        <v>1</v>
      </c>
      <c r="Q480" s="110" t="str">
        <f aca="false">IF(P415=P480,"〇","×")</f>
        <v>×</v>
      </c>
      <c r="R480" s="110" t="str">
        <f aca="false">IFERROR(INDEX(報告入力!$C$7:$C$696,MATCH($S$457&amp;"|"&amp;$A480,報告入力!$CG$7:$CG$696,0)),"")</f>
        <v>未受領</v>
      </c>
    </row>
    <row r="481" s="110" customFormat="true" ht="19.5" hidden="false" customHeight="true" outlineLevel="0" collapsed="false">
      <c r="A481" s="100" t="s">
        <v>176</v>
      </c>
      <c r="B481" s="186"/>
      <c r="C481" s="187"/>
      <c r="D481" s="215" t="n">
        <f aca="false">SUMIFS(報告入力!$AW$7:$AW$696,報告入力!$A$7:$A$696,$S$457,報告入力!$B$7:$B$696,$A481)</f>
        <v>48495</v>
      </c>
      <c r="E481" s="182" t="n">
        <f aca="false">SUMIFS(報告入力!$AX$7:$AX$696,報告入力!$A$7:$A$696,$S$457,報告入力!$B$7:$B$696,$A481)</f>
        <v>3975</v>
      </c>
      <c r="F481" s="212" t="n">
        <f aca="false">SUMIFS(報告入力!$AY$7:$AY$696,報告入力!$A$7:$A$696,$S$457,報告入力!$B$7:$B$696,$A481)</f>
        <v>49</v>
      </c>
      <c r="G481" s="181" t="n">
        <f aca="false">SUM(B481:F481)</f>
        <v>52519</v>
      </c>
      <c r="H481" s="188"/>
      <c r="I481" s="183" t="n">
        <f aca="false">SUMIFS(報告入力!$BA$7:$BA$696,報告入力!$A$7:$A$696,$S$457,報告入力!$B$7:$B$696,$A481)</f>
        <v>29208</v>
      </c>
      <c r="J481" s="135" t="n">
        <f aca="false">SUM(H481:I481)</f>
        <v>29208</v>
      </c>
      <c r="K481" s="188"/>
      <c r="L481" s="183" t="n">
        <f aca="false">SUMIFS(報告入力!$BC$7:$BC$696,報告入力!$A$7:$A$696,$S$457,報告入力!$B$7:$B$696,$A481)</f>
        <v>4187</v>
      </c>
      <c r="M481" s="135" t="n">
        <f aca="false">SUM(K481:L481)</f>
        <v>4187</v>
      </c>
      <c r="N481" s="188"/>
      <c r="O481" s="183" t="n">
        <f aca="false">SUMIFS(報告入力!$BE$7:$BE$696,報告入力!$A$7:$A$696,$S$457,報告入力!$B$7:$B$696,$A481)</f>
        <v>1</v>
      </c>
      <c r="P481" s="135" t="n">
        <f aca="false">SUM(N481:O481)</f>
        <v>1</v>
      </c>
      <c r="Q481" s="110" t="str">
        <f aca="false">IF(P416=P481,"〇","×")</f>
        <v>×</v>
      </c>
      <c r="R481" s="110" t="str">
        <f aca="false">IFERROR(INDEX(報告入力!$C$7:$C$696,MATCH($S$457&amp;"|"&amp;$A481,報告入力!$CG$7:$CG$696,0)),"")</f>
        <v>未受領</v>
      </c>
    </row>
    <row r="482" s="110" customFormat="true" ht="20.1" hidden="false" customHeight="true" outlineLevel="0" collapsed="false">
      <c r="A482" s="189" t="s">
        <v>177</v>
      </c>
      <c r="B482" s="186"/>
      <c r="C482" s="187"/>
      <c r="D482" s="362" t="n">
        <f aca="false">SUMIFS(報告入力!$AW$7:$AW$696,報告入力!$A$7:$A$696,$S$457,報告入力!$B$7:$B$696,$A482)</f>
        <v>425475</v>
      </c>
      <c r="E482" s="182" t="n">
        <f aca="false">SUMIFS(報告入力!$AX$7:$AX$696,報告入力!$A$7:$A$696,$S$457,報告入力!$B$7:$B$696,$A482)</f>
        <v>34875</v>
      </c>
      <c r="F482" s="212" t="n">
        <f aca="false">SUMIFS(報告入力!$AY$7:$AY$696,報告入力!$A$7:$A$696,$S$457,報告入力!$B$7:$B$696,$A482)</f>
        <v>435</v>
      </c>
      <c r="G482" s="181" t="n">
        <f aca="false">SUM(B482:F482)</f>
        <v>460785</v>
      </c>
      <c r="H482" s="188"/>
      <c r="I482" s="183" t="n">
        <f aca="false">SUMIFS(報告入力!$BA$7:$BA$696,報告入力!$A$7:$A$696,$S$457,報告入力!$B$7:$B$696,$A482)</f>
        <v>256260</v>
      </c>
      <c r="J482" s="135" t="n">
        <f aca="false">SUM(H482:I482)</f>
        <v>256260</v>
      </c>
      <c r="K482" s="188"/>
      <c r="L482" s="183" t="n">
        <f aca="false">SUMIFS(報告入力!$BC$7:$BC$696,報告入力!$A$7:$A$696,$S$457,報告入力!$B$7:$B$696,$A482)</f>
        <v>34207</v>
      </c>
      <c r="M482" s="135" t="n">
        <f aca="false">SUM(K482:L482)</f>
        <v>34207</v>
      </c>
      <c r="N482" s="188"/>
      <c r="O482" s="183" t="n">
        <f aca="false">SUMIFS(報告入力!$BE$7:$BE$696,報告入力!$A$7:$A$696,$S$457,報告入力!$B$7:$B$696,$A482)</f>
        <v>1</v>
      </c>
      <c r="P482" s="135" t="n">
        <f aca="false">SUM(N482:O482)</f>
        <v>1</v>
      </c>
      <c r="Q482" s="110" t="str">
        <f aca="false">IF(P417=P482,"〇","×")</f>
        <v>×</v>
      </c>
      <c r="R482" s="110" t="str">
        <f aca="false">IFERROR(INDEX(報告入力!$C$7:$C$696,MATCH($S$457&amp;"|"&amp;$A482,報告入力!$CG$7:$CG$696,0)),"")</f>
        <v>未受領</v>
      </c>
    </row>
    <row r="483" s="110" customFormat="true" ht="20.1" hidden="false" customHeight="true" outlineLevel="0" collapsed="false">
      <c r="A483" s="121" t="s">
        <v>178</v>
      </c>
      <c r="B483" s="186"/>
      <c r="C483" s="191"/>
      <c r="D483" s="178" t="n">
        <f aca="false">SUMIFS(報告入力!$AW$7:$AW$696,報告入力!$A$7:$A$696,$S$457,報告入力!$B$7:$B$696,$A483)</f>
        <v>86010</v>
      </c>
      <c r="E483" s="182" t="n">
        <f aca="false">SUMIFS(報告入力!$AX$7:$AX$696,報告入力!$A$7:$A$696,$S$457,報告入力!$B$7:$B$696,$A483)</f>
        <v>7050</v>
      </c>
      <c r="F483" s="212" t="n">
        <f aca="false">SUMIFS(報告入力!$AY$7:$AY$696,報告入力!$A$7:$A$696,$S$457,報告入力!$B$7:$B$696,$A483)</f>
        <v>88</v>
      </c>
      <c r="G483" s="181" t="n">
        <f aca="false">SUM(B483:F483)</f>
        <v>93148</v>
      </c>
      <c r="H483" s="188"/>
      <c r="I483" s="214" t="n">
        <f aca="false">SUMIFS(報告入力!$BA$7:$BA$696,報告入力!$A$7:$A$696,$S$457,報告入力!$B$7:$B$696,$A483)</f>
        <v>51803</v>
      </c>
      <c r="J483" s="181" t="n">
        <f aca="false">SUM(H483:I483)</f>
        <v>51803</v>
      </c>
      <c r="K483" s="188"/>
      <c r="L483" s="214" t="n">
        <f aca="false">SUMIFS(報告入力!$BC$7:$BC$696,報告入力!$A$7:$A$696,$S$457,報告入力!$B$7:$B$696,$A483)</f>
        <v>7426</v>
      </c>
      <c r="M483" s="181" t="n">
        <f aca="false">SUM(K483:L483)</f>
        <v>7426</v>
      </c>
      <c r="N483" s="188"/>
      <c r="O483" s="214" t="n">
        <f aca="false">SUMIFS(報告入力!$BE$7:$BE$696,報告入力!$A$7:$A$696,$S$457,報告入力!$B$7:$B$696,$A483)</f>
        <v>1</v>
      </c>
      <c r="P483" s="181" t="n">
        <f aca="false">SUM(N483:O483)</f>
        <v>1</v>
      </c>
      <c r="Q483" s="110" t="str">
        <f aca="false">IF(P418=P483,"〇","×")</f>
        <v>×</v>
      </c>
      <c r="R483" s="110" t="str">
        <f aca="false">IFERROR(INDEX(報告入力!$C$7:$C$696,MATCH($S$457&amp;"|"&amp;$A483,報告入力!$CG$7:$CG$696,0)),"")</f>
        <v>未受領</v>
      </c>
    </row>
    <row r="484" s="110" customFormat="true" ht="19.5" hidden="false" customHeight="true" outlineLevel="0" collapsed="false">
      <c r="A484" s="121" t="s">
        <v>179</v>
      </c>
      <c r="B484" s="186"/>
      <c r="C484" s="191"/>
      <c r="D484" s="215" t="n">
        <f aca="false">SUMIFS(報告入力!$AW$7:$AW$696,報告入力!$A$7:$A$696,$S$457,報告入力!$B$7:$B$696,$A484)</f>
        <v>48495</v>
      </c>
      <c r="E484" s="182" t="n">
        <f aca="false">SUMIFS(報告入力!$AX$7:$AX$696,報告入力!$A$7:$A$696,$S$457,報告入力!$B$7:$B$696,$A484)</f>
        <v>3975</v>
      </c>
      <c r="F484" s="212" t="n">
        <f aca="false">SUMIFS(報告入力!$AY$7:$AY$696,報告入力!$A$7:$A$696,$S$457,報告入力!$B$7:$B$696,$A484)</f>
        <v>49</v>
      </c>
      <c r="G484" s="181" t="n">
        <f aca="false">SUM(B484:F484)</f>
        <v>52519</v>
      </c>
      <c r="H484" s="188"/>
      <c r="I484" s="183" t="n">
        <f aca="false">SUMIFS(報告入力!$BA$7:$BA$696,報告入力!$A$7:$A$696,$S$457,報告入力!$B$7:$B$696,$A484)</f>
        <v>29208</v>
      </c>
      <c r="J484" s="135" t="n">
        <f aca="false">SUM(H484:I484)</f>
        <v>29208</v>
      </c>
      <c r="K484" s="188"/>
      <c r="L484" s="183" t="n">
        <f aca="false">SUMIFS(報告入力!$BC$7:$BC$696,報告入力!$A$7:$A$696,$S$457,報告入力!$B$7:$B$696,$A484)</f>
        <v>4187</v>
      </c>
      <c r="M484" s="135" t="n">
        <f aca="false">SUM(K484:L484)</f>
        <v>4187</v>
      </c>
      <c r="N484" s="188"/>
      <c r="O484" s="183" t="n">
        <f aca="false">SUMIFS(報告入力!$BE$7:$BE$696,報告入力!$A$7:$A$696,$S$457,報告入力!$B$7:$B$696,$A484)</f>
        <v>1</v>
      </c>
      <c r="P484" s="135" t="n">
        <f aca="false">SUM(N484:O484)</f>
        <v>1</v>
      </c>
      <c r="Q484" s="110" t="str">
        <f aca="false">IF(P419=P484,"〇","×")</f>
        <v>×</v>
      </c>
      <c r="R484" s="110" t="str">
        <f aca="false">IFERROR(INDEX(報告入力!$C$7:$C$696,MATCH($S$457&amp;"|"&amp;$A484,報告入力!$CG$7:$CG$696,0)),"")</f>
        <v>未受領</v>
      </c>
    </row>
    <row r="485" s="110" customFormat="true" ht="20.1" hidden="false" customHeight="true" outlineLevel="0" collapsed="false">
      <c r="A485" s="192" t="s">
        <v>180</v>
      </c>
      <c r="B485" s="186"/>
      <c r="C485" s="193"/>
      <c r="D485" s="178" t="n">
        <f aca="false">SUMIFS(報告入力!$AW$7:$AW$696,報告入力!$A$7:$A$696,$S$457,報告入力!$B$7:$B$696,$A485)</f>
        <v>124440</v>
      </c>
      <c r="E485" s="182" t="n">
        <f aca="false">SUMIFS(報告入力!$AX$7:$AX$696,報告入力!$A$7:$A$696,$S$457,報告入力!$B$7:$B$696,$A485)</f>
        <v>10200</v>
      </c>
      <c r="F485" s="212" t="n">
        <f aca="false">SUMIFS(報告入力!$AY$7:$AY$696,報告入力!$A$7:$A$696,$S$457,報告入力!$B$7:$B$696,$A485)</f>
        <v>127</v>
      </c>
      <c r="G485" s="181" t="n">
        <f aca="false">SUM(B485:F485)</f>
        <v>134767</v>
      </c>
      <c r="H485" s="188"/>
      <c r="I485" s="183" t="n">
        <f aca="false">SUMIFS(報告入力!$BA$7:$BA$696,報告入力!$A$7:$A$696,$S$457,報告入力!$B$7:$B$696,$A485)</f>
        <v>74949</v>
      </c>
      <c r="J485" s="135" t="n">
        <f aca="false">SUM(H485:I485)</f>
        <v>74949</v>
      </c>
      <c r="K485" s="188"/>
      <c r="L485" s="183" t="n">
        <f aca="false">SUMIFS(報告入力!$BC$7:$BC$696,報告入力!$A$7:$A$696,$S$457,報告入力!$B$7:$B$696,$A485)</f>
        <v>7031</v>
      </c>
      <c r="M485" s="135" t="n">
        <f aca="false">SUM(K485:L485)</f>
        <v>7031</v>
      </c>
      <c r="N485" s="188"/>
      <c r="O485" s="183" t="n">
        <f aca="false">SUMIFS(報告入力!$BE$7:$BE$696,報告入力!$A$7:$A$696,$S$457,報告入力!$B$7:$B$696,$A485)</f>
        <v>1</v>
      </c>
      <c r="P485" s="135" t="n">
        <f aca="false">SUM(N485:O485)</f>
        <v>1</v>
      </c>
      <c r="Q485" s="110" t="str">
        <f aca="false">IF(P420=P485,"〇","×")</f>
        <v>×</v>
      </c>
      <c r="R485" s="110" t="str">
        <f aca="false">IFERROR(INDEX(報告入力!$C$7:$C$696,MATCH($S$457&amp;"|"&amp;$A485,報告入力!$CG$7:$CG$696,0)),"")</f>
        <v>未受領</v>
      </c>
    </row>
    <row r="486" s="110" customFormat="true" ht="20.1" hidden="false" customHeight="true" outlineLevel="0" collapsed="false">
      <c r="A486" s="100" t="s">
        <v>181</v>
      </c>
      <c r="B486" s="328" t="n">
        <f aca="false">SUMIFS(報告入力!$AU$7:$AU$696,報告入力!$A$7:$A$696,$S$457,報告入力!$B$7:$B$696,$A486)</f>
        <v>247050</v>
      </c>
      <c r="C486" s="371" t="n">
        <f aca="false">SUMIFS(報告入力!$AV$7:$AV$696,報告入力!$A$7:$A$696,$S$457,報告入力!$B$7:$B$696,$A486)</f>
        <v>20250</v>
      </c>
      <c r="D486" s="328" t="n">
        <f aca="false">SUMIFS(報告入力!$AW$7:$AW$696,報告入力!$A$7:$A$696,$S$457,報告入力!$B$7:$B$696,$A486)</f>
        <v>247050</v>
      </c>
      <c r="E486" s="372" t="n">
        <f aca="false">SUMIFS(報告入力!$AX$7:$AX$696,報告入力!$A$7:$A$696,$S$457,報告入力!$B$7:$B$696,$A486)</f>
        <v>20250</v>
      </c>
      <c r="F486" s="373" t="n">
        <f aca="false">SUMIFS(報告入力!$AY$7:$AY$696,報告入力!$A$7:$A$696,$S$457,報告入力!$B$7:$B$696,$A486)</f>
        <v>234</v>
      </c>
      <c r="G486" s="181" t="n">
        <f aca="false">SUM(B486:F486)</f>
        <v>534834</v>
      </c>
      <c r="H486" s="133" t="n">
        <f aca="false">SUMIFS(報告入力!$AZ$7:$AZ$696,報告入力!$A$7:$A$696,$S$457,報告入力!$B$7:$B$696,$A486)</f>
        <v>140021</v>
      </c>
      <c r="I486" s="372" t="n">
        <f aca="false">SUMIFS(報告入力!$BA$7:$BA$696,報告入力!$A$7:$A$696,$S$457,報告入力!$B$7:$B$696,$A486)</f>
        <v>140157</v>
      </c>
      <c r="J486" s="181" t="n">
        <f aca="false">SUM(H486:I486)</f>
        <v>280178</v>
      </c>
      <c r="K486" s="133" t="n">
        <f aca="false">SUMIFS(報告入力!$BB$7:$BB$696,報告入力!$A$7:$A$696,$S$457,報告入力!$B$7:$B$696,$A486)</f>
        <v>10270</v>
      </c>
      <c r="L486" s="372" t="n">
        <f aca="false">SUMIFS(報告入力!$BC$7:$BC$696,報告入力!$A$7:$A$696,$S$457,報告入力!$B$7:$B$696,$A486)</f>
        <v>10270</v>
      </c>
      <c r="M486" s="181" t="n">
        <f aca="false">SUM(K486:L486)</f>
        <v>20540</v>
      </c>
      <c r="N486" s="133" t="n">
        <f aca="false">SUMIFS(報告入力!$BD$7:$BD$696,報告入力!$A$7:$A$696,$S$457,報告入力!$B$7:$B$696,$A486)</f>
        <v>3104</v>
      </c>
      <c r="O486" s="372" t="n">
        <f aca="false">SUMIFS(報告入力!$BE$7:$BE$696,報告入力!$A$7:$A$696,$S$457,報告入力!$B$7:$B$696,$A486)</f>
        <v>3105</v>
      </c>
      <c r="P486" s="181" t="n">
        <f aca="false">SUM(N486:O486)</f>
        <v>6209</v>
      </c>
      <c r="Q486" s="110" t="str">
        <f aca="false">IF(P421=P486,"〇","×")</f>
        <v>〇</v>
      </c>
      <c r="R486" s="110" t="str">
        <f aca="false">IFERROR(INDEX(報告入力!$C$7:$C$696,MATCH($S$457&amp;"|"&amp;$A486,報告入力!$CG$7:$CG$696,0)),"")</f>
        <v>受領済</v>
      </c>
    </row>
    <row r="487" s="110" customFormat="true" ht="20.1" hidden="false" customHeight="true" outlineLevel="0" collapsed="false">
      <c r="A487" s="194" t="s">
        <v>182</v>
      </c>
      <c r="B487" s="217" t="n">
        <f aca="false">SUMIFS(報告入力!$AU$7:$AU$696,報告入力!$A$7:$A$696,$S$457,報告入力!$B$7:$B$696,$A487)</f>
        <v>43005</v>
      </c>
      <c r="C487" s="371" t="n">
        <f aca="false">SUMIFS(報告入力!$AV$7:$AV$696,報告入力!$A$7:$A$696,$S$457,報告入力!$B$7:$B$696,$A487)</f>
        <v>3525</v>
      </c>
      <c r="D487" s="217" t="n">
        <f aca="false">SUMIFS(報告入力!$AW$7:$AW$696,報告入力!$A$7:$A$696,$S$457,報告入力!$B$7:$B$696,$A487)</f>
        <v>43005</v>
      </c>
      <c r="E487" s="133" t="n">
        <f aca="false">SUMIFS(報告入力!$AX$7:$AX$696,報告入力!$A$7:$A$696,$S$457,報告入力!$B$7:$B$696,$A487)</f>
        <v>3525</v>
      </c>
      <c r="F487" s="371" t="n">
        <f aca="false">SUMIFS(報告入力!$AY$7:$AY$696,報告入力!$A$7:$A$696,$S$457,報告入力!$B$7:$B$696,$A487)</f>
        <v>40</v>
      </c>
      <c r="G487" s="366" t="n">
        <f aca="false">SUM(B487:F487)</f>
        <v>93100</v>
      </c>
      <c r="H487" s="133" t="n">
        <f aca="false">SUMIFS(報告入力!$AZ$7:$AZ$696,報告入力!$A$7:$A$696,$S$457,報告入力!$B$7:$B$696,$A487)</f>
        <v>24374</v>
      </c>
      <c r="I487" s="134" t="n">
        <f aca="false">SUMIFS(報告入力!$BA$7:$BA$696,報告入力!$A$7:$A$696,$S$457,報告入力!$B$7:$B$696,$A487)</f>
        <v>24397</v>
      </c>
      <c r="J487" s="135" t="n">
        <f aca="false">SUM(H487:I487)</f>
        <v>48771</v>
      </c>
      <c r="K487" s="133" t="n">
        <f aca="false">SUMIFS(報告入力!$BB$7:$BB$696,報告入力!$A$7:$A$696,$S$457,報告入力!$B$7:$B$696,$A487)</f>
        <v>0</v>
      </c>
      <c r="L487" s="134" t="n">
        <f aca="false">SUMIFS(報告入力!$BC$7:$BC$696,報告入力!$A$7:$A$696,$S$457,報告入力!$B$7:$B$696,$A487)</f>
        <v>0</v>
      </c>
      <c r="M487" s="135" t="n">
        <f aca="false">SUM(K487:L487)</f>
        <v>0</v>
      </c>
      <c r="N487" s="133" t="n">
        <f aca="false">SUMIFS(報告入力!$BD$7:$BD$696,報告入力!$A$7:$A$696,$S$457,報告入力!$B$7:$B$696,$A487)</f>
        <v>540</v>
      </c>
      <c r="O487" s="134" t="n">
        <f aca="false">SUMIFS(報告入力!$BE$7:$BE$696,報告入力!$A$7:$A$696,$S$457,報告入力!$B$7:$B$696,$A487)</f>
        <v>540</v>
      </c>
      <c r="P487" s="135" t="n">
        <f aca="false">SUM(N487:O487)</f>
        <v>1080</v>
      </c>
      <c r="Q487" s="110" t="str">
        <f aca="false">IF(P422=P487,"〇","×")</f>
        <v>〇</v>
      </c>
      <c r="R487" s="110" t="str">
        <f aca="false">IFERROR(INDEX(報告入力!$C$7:$C$696,MATCH($S$457&amp;"|"&amp;$A487,報告入力!$CG$7:$CG$696,0)),"")</f>
        <v>受領済</v>
      </c>
    </row>
    <row r="488" s="110" customFormat="true" ht="20.1" hidden="false" customHeight="true" outlineLevel="0" collapsed="false">
      <c r="A488" s="197" t="s">
        <v>183</v>
      </c>
      <c r="B488" s="215" t="n">
        <f aca="false">SUMIFS(報告入力!$AU$7:$AU$696,報告入力!$A$7:$A$696,$S$457,報告入力!$B$7:$B$696,$A488)</f>
        <v>102480</v>
      </c>
      <c r="C488" s="212" t="n">
        <f aca="false">SUMIFS(報告入力!$AV$7:$AV$696,報告入力!$A$7:$A$696,$S$457,報告入力!$B$7:$B$696,$A488)</f>
        <v>8400</v>
      </c>
      <c r="D488" s="178" t="n">
        <f aca="false">SUMIFS(報告入力!$AW$7:$AW$696,報告入力!$A$7:$A$696,$S$457,報告入力!$B$7:$B$696,$A488)</f>
        <v>102480</v>
      </c>
      <c r="E488" s="182" t="n">
        <f aca="false">SUMIFS(報告入力!$AX$7:$AX$696,報告入力!$A$7:$A$696,$S$457,報告入力!$B$7:$B$696,$A488)</f>
        <v>8400</v>
      </c>
      <c r="F488" s="212" t="n">
        <f aca="false">SUMIFS(報告入力!$AY$7:$AY$696,報告入力!$A$7:$A$696,$S$457,報告入力!$B$7:$B$696,$A488)</f>
        <v>105</v>
      </c>
      <c r="G488" s="181" t="n">
        <f aca="false">SUM(B488:F488)</f>
        <v>221865</v>
      </c>
      <c r="H488" s="182" t="n">
        <f aca="false">SUMIFS(報告入力!$AZ$7:$AZ$696,報告入力!$A$7:$A$696,$S$457,報告入力!$B$7:$B$696,$A488)</f>
        <v>61610</v>
      </c>
      <c r="I488" s="214" t="n">
        <f aca="false">SUMIFS(報告入力!$BA$7:$BA$696,報告入力!$A$7:$A$696,$S$457,報告入力!$B$7:$B$696,$A488)</f>
        <v>61723</v>
      </c>
      <c r="J488" s="181" t="n">
        <f aca="false">SUM(H488:I488)</f>
        <v>123333</v>
      </c>
      <c r="K488" s="182" t="n">
        <f aca="false">SUMIFS(報告入力!$BB$7:$BB$696,報告入力!$A$7:$A$696,$S$457,報告入力!$B$7:$B$696,$A488)</f>
        <v>4661</v>
      </c>
      <c r="L488" s="214" t="n">
        <f aca="false">SUMIFS(報告入力!$BC$7:$BC$696,報告入力!$A$7:$A$696,$S$457,報告入力!$B$7:$B$696,$A488)</f>
        <v>4661</v>
      </c>
      <c r="M488" s="181" t="n">
        <f aca="false">SUM(K488:L488)</f>
        <v>9322</v>
      </c>
      <c r="N488" s="182" t="n">
        <f aca="false">SUMIFS(報告入力!$BD$7:$BD$696,報告入力!$A$7:$A$696,$S$457,報告入力!$B$7:$B$696,$A488)</f>
        <v>1</v>
      </c>
      <c r="O488" s="214" t="n">
        <f aca="false">SUMIFS(報告入力!$BE$7:$BE$696,報告入力!$A$7:$A$696,$S$457,報告入力!$B$7:$B$696,$A488)</f>
        <v>1</v>
      </c>
      <c r="P488" s="181" t="n">
        <f aca="false">SUM(N488:O488)</f>
        <v>2</v>
      </c>
      <c r="Q488" s="110" t="str">
        <f aca="false">IF(P423=P488,"〇","×")</f>
        <v>×</v>
      </c>
      <c r="R488" s="110" t="str">
        <f aca="false">IFERROR(INDEX(報告入力!$C$7:$C$696,MATCH($S$457&amp;"|"&amp;$A488,報告入力!$CG$7:$CG$696,0)),"")</f>
        <v>未受領</v>
      </c>
    </row>
    <row r="489" s="110" customFormat="true" ht="20.1" hidden="false" customHeight="true" outlineLevel="0" collapsed="false">
      <c r="A489" s="100" t="s">
        <v>184</v>
      </c>
      <c r="B489" s="215" t="n">
        <f aca="false">SUMIFS(報告入力!$AU$7:$AU$696,報告入力!$A$7:$A$696,$S$457,報告入力!$B$7:$B$696,$A489)</f>
        <v>912255</v>
      </c>
      <c r="C489" s="212" t="n">
        <f aca="false">SUMIFS(報告入力!$AV$7:$AV$696,報告入力!$A$7:$A$696,$S$457,報告入力!$B$7:$B$696,$A489)</f>
        <v>74775</v>
      </c>
      <c r="D489" s="178" t="n">
        <f aca="false">SUMIFS(報告入力!$AW$7:$AW$696,報告入力!$A$7:$A$696,$S$457,報告入力!$B$7:$B$696,$A489)</f>
        <v>912255</v>
      </c>
      <c r="E489" s="182" t="n">
        <f aca="false">SUMIFS(報告入力!$AX$7:$AX$696,報告入力!$A$7:$A$696,$S$457,報告入力!$B$7:$B$696,$A489)</f>
        <v>74775</v>
      </c>
      <c r="F489" s="212" t="n">
        <f aca="false">SUMIFS(報告入力!$AY$7:$AY$696,報告入力!$A$7:$A$696,$S$457,報告入力!$B$7:$B$696,$A489)</f>
        <v>936</v>
      </c>
      <c r="G489" s="181" t="n">
        <f aca="false">SUM(B489:F489)</f>
        <v>1974996</v>
      </c>
      <c r="H489" s="182" t="n">
        <f aca="false">SUMIFS(報告入力!$AZ$7:$AZ$696,報告入力!$A$7:$A$696,$S$457,報告入力!$B$7:$B$696,$A489)</f>
        <v>548442</v>
      </c>
      <c r="I489" s="214" t="n">
        <f aca="false">SUMIFS(報告入力!$BA$7:$BA$696,報告入力!$A$7:$A$696,$S$457,報告入力!$B$7:$B$696,$A489)</f>
        <v>549446</v>
      </c>
      <c r="J489" s="181" t="n">
        <f aca="false">SUM(H489:I489)</f>
        <v>1097888</v>
      </c>
      <c r="K489" s="182" t="n">
        <f aca="false">SUMIFS(報告入力!$BB$7:$BB$696,報告入力!$A$7:$A$696,$S$457,報告入力!$B$7:$B$696,$A489)</f>
        <v>50086</v>
      </c>
      <c r="L489" s="214" t="n">
        <f aca="false">SUMIFS(報告入力!$BC$7:$BC$696,報告入力!$A$7:$A$696,$S$457,報告入力!$B$7:$B$696,$A489)</f>
        <v>50086</v>
      </c>
      <c r="M489" s="181" t="n">
        <f aca="false">SUM(K489:L489)</f>
        <v>100172</v>
      </c>
      <c r="N489" s="182" t="n">
        <f aca="false">SUMIFS(報告入力!$BD$7:$BD$696,報告入力!$A$7:$A$696,$S$457,報告入力!$B$7:$B$696,$A489)</f>
        <v>1</v>
      </c>
      <c r="O489" s="214" t="n">
        <f aca="false">SUMIFS(報告入力!$BE$7:$BE$696,報告入力!$A$7:$A$696,$S$457,報告入力!$B$7:$B$696,$A489)</f>
        <v>1</v>
      </c>
      <c r="P489" s="181" t="n">
        <f aca="false">SUM(N489:O489)</f>
        <v>2</v>
      </c>
      <c r="Q489" s="110" t="str">
        <f aca="false">IF(P424=P489,"〇","×")</f>
        <v>×</v>
      </c>
      <c r="R489" s="110" t="str">
        <f aca="false">IFERROR(INDEX(報告入力!$C$7:$C$696,MATCH($S$457&amp;"|"&amp;$A489,報告入力!$CG$7:$CG$696,0)),"")</f>
        <v>未受領</v>
      </c>
    </row>
    <row r="490" s="110" customFormat="true" ht="20.1" hidden="false" customHeight="true" outlineLevel="0" collapsed="false">
      <c r="A490" s="100" t="s">
        <v>185</v>
      </c>
      <c r="B490" s="201"/>
      <c r="C490" s="191"/>
      <c r="D490" s="178" t="n">
        <f aca="false">SUMIFS(報告入力!$AW$7:$AW$696,報告入力!$A$7:$A$696,$S$457,報告入力!$B$7:$B$696,$A490)</f>
        <v>601155</v>
      </c>
      <c r="E490" s="182" t="n">
        <f aca="false">SUMIFS(報告入力!$AX$7:$AX$696,報告入力!$A$7:$A$696,$S$457,報告入力!$B$7:$B$696,$A490)</f>
        <v>49275</v>
      </c>
      <c r="F490" s="212" t="n">
        <f aca="false">SUMIFS(報告入力!$AY$7:$AY$696,報告入力!$A$7:$A$696,$S$457,報告入力!$B$7:$B$696,$A490)</f>
        <v>613</v>
      </c>
      <c r="G490" s="181" t="n">
        <f aca="false">SUM(B490:F490)</f>
        <v>651043</v>
      </c>
      <c r="H490" s="202"/>
      <c r="I490" s="370" t="n">
        <f aca="false">SUMIFS(報告入力!$BA$7:$BA$696,報告入力!$A$7:$A$696,$S$457,報告入力!$B$7:$B$696,$A490)</f>
        <v>362070</v>
      </c>
      <c r="J490" s="135" t="n">
        <f aca="false">SUM(H490:I490)</f>
        <v>362070</v>
      </c>
      <c r="K490" s="188"/>
      <c r="L490" s="370" t="n">
        <f aca="false">SUMIFS(報告入力!$BC$7:$BC$696,報告入力!$A$7:$A$696,$S$457,報告入力!$B$7:$B$696,$A490)</f>
        <v>27255</v>
      </c>
      <c r="M490" s="135" t="n">
        <f aca="false">SUM(K490:L490)</f>
        <v>27255</v>
      </c>
      <c r="N490" s="188"/>
      <c r="O490" s="370" t="n">
        <f aca="false">SUMIFS(報告入力!$BE$7:$BE$696,報告入力!$A$7:$A$696,$S$457,報告入力!$B$7:$B$696,$A490)</f>
        <v>1</v>
      </c>
      <c r="P490" s="135" t="n">
        <f aca="false">SUM(N490:O490)</f>
        <v>1</v>
      </c>
      <c r="Q490" s="110" t="str">
        <f aca="false">IF(P425=P490,"〇","×")</f>
        <v>×</v>
      </c>
      <c r="R490" s="110" t="str">
        <f aca="false">IFERROR(INDEX(報告入力!$C$7:$C$696,MATCH($S$457&amp;"|"&amp;$A490,報告入力!$CG$7:$CG$696,0)),"")</f>
        <v>未受領</v>
      </c>
    </row>
    <row r="491" s="110" customFormat="true" ht="20.1" hidden="false" customHeight="true" outlineLevel="0" collapsed="false">
      <c r="A491" s="203" t="s">
        <v>186</v>
      </c>
      <c r="B491" s="186"/>
      <c r="C491" s="193"/>
      <c r="D491" s="178" t="n">
        <f aca="false">SUMIFS(報告入力!$AW$7:$AW$696,報告入力!$A$7:$A$696,$S$457,報告入力!$B$7:$B$696,$A491)</f>
        <v>1160220</v>
      </c>
      <c r="E491" s="182" t="n">
        <f aca="false">SUMIFS(報告入力!$AX$7:$AX$696,報告入力!$A$7:$A$696,$S$457,報告入力!$B$7:$B$696,$A491)</f>
        <v>95100</v>
      </c>
      <c r="F491" s="368" t="n">
        <f aca="false">SUMIFS(報告入力!$AY$7:$AY$696,報告入力!$A$7:$A$696,$S$457,報告入力!$B$7:$B$696,$A491)</f>
        <v>1185</v>
      </c>
      <c r="G491" s="181" t="n">
        <f aca="false">SUM(B491:F491)</f>
        <v>1256505</v>
      </c>
      <c r="H491" s="188"/>
      <c r="I491" s="370" t="n">
        <f aca="false">SUMIFS(報告入力!$BA$7:$BA$696,報告入力!$A$7:$A$696,$S$457,報告入力!$B$7:$B$696,$A491)</f>
        <v>698790</v>
      </c>
      <c r="J491" s="135" t="n">
        <f aca="false">SUM(H491:I491)</f>
        <v>698790</v>
      </c>
      <c r="K491" s="188"/>
      <c r="L491" s="370" t="n">
        <f aca="false">SUMIFS(報告入力!$BC$7:$BC$696,報告入力!$A$7:$A$696,$S$457,報告入力!$B$7:$B$696,$A491)</f>
        <v>94721</v>
      </c>
      <c r="M491" s="135" t="n">
        <f aca="false">SUM(K491:L491)</f>
        <v>94721</v>
      </c>
      <c r="N491" s="188"/>
      <c r="O491" s="370" t="n">
        <f aca="false">SUMIFS(報告入力!$BE$7:$BE$696,報告入力!$A$7:$A$696,$S$457,報告入力!$B$7:$B$696,$A491)</f>
        <v>1</v>
      </c>
      <c r="P491" s="135" t="n">
        <f aca="false">SUM(N491:O491)</f>
        <v>1</v>
      </c>
      <c r="Q491" s="110" t="str">
        <f aca="false">IF(P426=P491,"〇","×")</f>
        <v>×</v>
      </c>
      <c r="R491" s="110" t="str">
        <f aca="false">IFERROR(INDEX(報告入力!$C$7:$C$696,MATCH($S$457&amp;"|"&amp;$A491,報告入力!$CG$7:$CG$696,0)),"")</f>
        <v>未受領</v>
      </c>
    </row>
    <row r="492" s="110" customFormat="true" ht="20.1" hidden="false" customHeight="true" outlineLevel="0" collapsed="false">
      <c r="A492" s="204" t="s">
        <v>187</v>
      </c>
      <c r="B492" s="186"/>
      <c r="C492" s="193"/>
      <c r="D492" s="178" t="n">
        <f aca="false">SUMIFS(報告入力!$AW$7:$AW$696,報告入力!$A$7:$A$696,$S$457,報告入力!$B$7:$B$696,$A492)</f>
        <v>0</v>
      </c>
      <c r="E492" s="182" t="n">
        <f aca="false">SUMIFS(報告入力!$AX$7:$AX$696,報告入力!$A$7:$A$696,$S$457,報告入力!$B$7:$B$696,$A492)</f>
        <v>0</v>
      </c>
      <c r="F492" s="368" t="n">
        <f aca="false">SUMIFS(報告入力!$AY$7:$AY$696,報告入力!$A$7:$A$696,$S$457,報告入力!$B$7:$B$696,$A492)</f>
        <v>0</v>
      </c>
      <c r="G492" s="181" t="n">
        <f aca="false">SUM(B492:F492)</f>
        <v>0</v>
      </c>
      <c r="H492" s="188"/>
      <c r="I492" s="370" t="n">
        <f aca="false">SUMIFS(報告入力!$BA$7:$BA$696,報告入力!$A$7:$A$696,$S$457,報告入力!$B$7:$B$696,$A492)</f>
        <v>0</v>
      </c>
      <c r="J492" s="135" t="n">
        <f aca="false">SUM(H492:I492)</f>
        <v>0</v>
      </c>
      <c r="K492" s="188"/>
      <c r="L492" s="370" t="n">
        <f aca="false">SUMIFS(報告入力!$BC$7:$BC$696,報告入力!$A$7:$A$696,$S$457,報告入力!$B$7:$B$696,$A492)</f>
        <v>0</v>
      </c>
      <c r="M492" s="135" t="n">
        <f aca="false">SUM(K492:L492)</f>
        <v>0</v>
      </c>
      <c r="N492" s="188"/>
      <c r="O492" s="370" t="n">
        <f aca="false">SUMIFS(報告入力!$BE$7:$BE$696,報告入力!$A$7:$A$696,$S$457,報告入力!$B$7:$B$696,$A492)</f>
        <v>0</v>
      </c>
      <c r="P492" s="135" t="n">
        <f aca="false">SUM(N492:O492)</f>
        <v>0</v>
      </c>
      <c r="Q492" s="110" t="str">
        <f aca="false">IF(P427=P492,"〇","×")</f>
        <v>〇</v>
      </c>
      <c r="R492" s="110" t="str">
        <f aca="false">IFERROR(INDEX(報告入力!$C$7:$C$696,MATCH($S$457&amp;"|"&amp;$A492,報告入力!$CG$7:$CG$696,0)),"")</f>
        <v>未受領</v>
      </c>
    </row>
    <row r="493" s="110" customFormat="true" ht="20.1" hidden="false" customHeight="true" outlineLevel="0" collapsed="false">
      <c r="A493" s="100" t="s">
        <v>188</v>
      </c>
      <c r="B493" s="186"/>
      <c r="C493" s="193"/>
      <c r="D493" s="178" t="n">
        <f aca="false">SUMIFS(報告入力!$AW$7:$AW$696,報告入力!$A$7:$A$696,$S$457,報告入力!$B$7:$B$696,$A493)</f>
        <v>394365</v>
      </c>
      <c r="E493" s="182" t="n">
        <f aca="false">SUMIFS(報告入力!$AX$7:$AX$696,報告入力!$A$7:$A$696,$S$457,報告入力!$B$7:$B$696,$A493)</f>
        <v>32325</v>
      </c>
      <c r="F493" s="368" t="n">
        <f aca="false">SUMIFS(報告入力!$AY$7:$AY$696,報告入力!$A$7:$A$696,$S$457,報告入力!$B$7:$B$696,$A493)</f>
        <v>403</v>
      </c>
      <c r="G493" s="181" t="n">
        <f aca="false">SUM(B493:F493)</f>
        <v>427093</v>
      </c>
      <c r="H493" s="188"/>
      <c r="I493" s="370" t="n">
        <f aca="false">SUMIFS(報告入力!$BA$7:$BA$696,報告入力!$A$7:$A$696,$S$457,報告入力!$B$7:$B$696,$A493)</f>
        <v>237523</v>
      </c>
      <c r="J493" s="135" t="n">
        <f aca="false">SUM(H493:I493)</f>
        <v>237523</v>
      </c>
      <c r="K493" s="188"/>
      <c r="L493" s="370" t="n">
        <f aca="false">SUMIFS(報告入力!$BC$7:$BC$696,報告入力!$A$7:$A$696,$S$457,報告入力!$B$7:$B$696,$A493)</f>
        <v>34049</v>
      </c>
      <c r="M493" s="135" t="n">
        <f aca="false">SUM(K493:L493)</f>
        <v>34049</v>
      </c>
      <c r="N493" s="188"/>
      <c r="O493" s="370" t="n">
        <f aca="false">SUMIFS(報告入力!$BE$7:$BE$696,報告入力!$A$7:$A$696,$S$457,報告入力!$B$7:$B$696,$A493)</f>
        <v>1</v>
      </c>
      <c r="P493" s="135" t="n">
        <f aca="false">SUM(N493:O493)</f>
        <v>1</v>
      </c>
      <c r="Q493" s="110" t="str">
        <f aca="false">IF(P428=P493,"〇","×")</f>
        <v>×</v>
      </c>
      <c r="R493" s="110" t="str">
        <f aca="false">IFERROR(INDEX(報告入力!$C$7:$C$696,MATCH($S$457&amp;"|"&amp;$A493,報告入力!$CG$7:$CG$696,0)),"")</f>
        <v>未受領</v>
      </c>
    </row>
    <row r="494" s="110" customFormat="true" ht="20.1" hidden="false" customHeight="true" outlineLevel="0" collapsed="false">
      <c r="A494" s="121" t="s">
        <v>189</v>
      </c>
      <c r="B494" s="215" t="n">
        <f aca="false">SUMIFS(報告入力!$AU$7:$AU$696,報告入力!$A$7:$A$696,$S$457,報告入力!$B$7:$B$696,$A494)</f>
        <v>137250</v>
      </c>
      <c r="C494" s="212" t="n">
        <f aca="false">SUMIFS(報告入力!$AV$7:$AV$696,報告入力!$A$7:$A$696,$S$457,報告入力!$B$7:$B$696,$A494)</f>
        <v>11250</v>
      </c>
      <c r="D494" s="178" t="n">
        <f aca="false">SUMIFS(報告入力!$AW$7:$AW$696,報告入力!$A$7:$A$696,$S$457,報告入力!$B$7:$B$696,$A494)</f>
        <v>137250</v>
      </c>
      <c r="E494" s="182" t="n">
        <f aca="false">SUMIFS(報告入力!$AX$7:$AX$696,報告入力!$A$7:$A$696,$S$457,報告入力!$B$7:$B$696,$A494)</f>
        <v>11250</v>
      </c>
      <c r="F494" s="212" t="n">
        <f aca="false">SUMIFS(報告入力!$AY$7:$AY$696,報告入力!$A$7:$A$696,$S$457,報告入力!$B$7:$B$696,$A494)</f>
        <v>140</v>
      </c>
      <c r="G494" s="181" t="n">
        <f aca="false">SUM(B494:F494)</f>
        <v>297140</v>
      </c>
      <c r="H494" s="182" t="n">
        <f aca="false">SUMIFS(報告入力!$AZ$7:$AZ$696,報告入力!$A$7:$A$696,$S$457,報告入力!$B$7:$B$696,$A494)</f>
        <v>82514</v>
      </c>
      <c r="I494" s="214" t="n">
        <f aca="false">SUMIFS(報告入力!$BA$7:$BA$696,報告入力!$A$7:$A$696,$S$457,報告入力!$B$7:$B$696,$A494)</f>
        <v>82665</v>
      </c>
      <c r="J494" s="181" t="n">
        <f aca="false">SUM(H494:I494)</f>
        <v>165179</v>
      </c>
      <c r="K494" s="182" t="n">
        <f aca="false">SUMIFS(報告入力!$BB$7:$BB$696,報告入力!$A$7:$A$696,$S$457,報告入力!$B$7:$B$696,$A494)</f>
        <v>8611</v>
      </c>
      <c r="L494" s="214" t="n">
        <f aca="false">SUMIFS(報告入力!$BC$7:$BC$696,報告入力!$A$7:$A$696,$S$457,報告入力!$B$7:$B$696,$A494)</f>
        <v>8611</v>
      </c>
      <c r="M494" s="181" t="n">
        <f aca="false">SUM(K494:L494)</f>
        <v>17222</v>
      </c>
      <c r="N494" s="182" t="n">
        <f aca="false">SUMIFS(報告入力!$BD$7:$BD$696,報告入力!$A$7:$A$696,$S$457,報告入力!$B$7:$B$696,$A494)</f>
        <v>1</v>
      </c>
      <c r="O494" s="214" t="n">
        <f aca="false">SUMIFS(報告入力!$BE$7:$BE$696,報告入力!$A$7:$A$696,$S$457,報告入力!$B$7:$B$696,$A494)</f>
        <v>1</v>
      </c>
      <c r="P494" s="181" t="n">
        <f aca="false">SUM(N494:O494)</f>
        <v>2</v>
      </c>
      <c r="Q494" s="110" t="str">
        <f aca="false">IF(P429=P494,"〇","×")</f>
        <v>×</v>
      </c>
      <c r="R494" s="110" t="str">
        <f aca="false">IFERROR(INDEX(報告入力!$C$7:$C$696,MATCH($S$457&amp;"|"&amp;$A494,報告入力!$CG$7:$CG$696,0)),"")</f>
        <v>未受領</v>
      </c>
    </row>
    <row r="495" s="110" customFormat="true" ht="20.1" hidden="false" customHeight="true" outlineLevel="0" collapsed="false">
      <c r="A495" s="206" t="s">
        <v>190</v>
      </c>
      <c r="B495" s="201"/>
      <c r="C495" s="191"/>
      <c r="D495" s="215" t="n">
        <f aca="false">SUMIFS(報告入力!$AW$7:$AW$696,報告入力!$A$7:$A$696,$S$457,報告入力!$B$7:$B$696,$A495)</f>
        <v>472140</v>
      </c>
      <c r="E495" s="369" t="n">
        <f aca="false">SUMIFS(報告入力!$AX$7:$AX$696,報告入力!$A$7:$A$696,$S$457,報告入力!$B$7:$B$696,$A495)</f>
        <v>38700</v>
      </c>
      <c r="F495" s="368" t="n">
        <f aca="false">SUMIFS(報告入力!$AY$7:$AY$696,報告入力!$A$7:$A$696,$S$457,報告入力!$B$7:$B$696,$A495)</f>
        <v>484</v>
      </c>
      <c r="G495" s="181" t="n">
        <f aca="false">SUM(B495:F495)</f>
        <v>511324</v>
      </c>
      <c r="H495" s="202"/>
      <c r="I495" s="370" t="n">
        <f aca="false">SUMIFS(報告入力!$BA$7:$BA$696,報告入力!$A$7:$A$696,$S$457,報告入力!$B$7:$B$696,$A495)</f>
        <v>289878</v>
      </c>
      <c r="J495" s="135" t="n">
        <f aca="false">SUM(H495:I495)</f>
        <v>289878</v>
      </c>
      <c r="K495" s="202"/>
      <c r="L495" s="370" t="n">
        <f aca="false">SUMIFS(報告入力!$BC$7:$BC$696,報告入力!$A$7:$A$696,$S$457,報告入力!$B$7:$B$696,$A495)</f>
        <v>25517</v>
      </c>
      <c r="M495" s="135" t="n">
        <f aca="false">SUM(K495:L495)</f>
        <v>25517</v>
      </c>
      <c r="N495" s="202"/>
      <c r="O495" s="370" t="n">
        <f aca="false">SUMIFS(報告入力!$BE$7:$BE$696,報告入力!$A$7:$A$696,$S$457,報告入力!$B$7:$B$696,$A495)</f>
        <v>1</v>
      </c>
      <c r="P495" s="135" t="n">
        <f aca="false">SUM(N495:O495)</f>
        <v>1</v>
      </c>
      <c r="Q495" s="110" t="str">
        <f aca="false">IF(P430=P495,"〇","×")</f>
        <v>×</v>
      </c>
      <c r="R495" s="110" t="str">
        <f aca="false">IFERROR(INDEX(報告入力!$C$7:$C$696,MATCH($S$457&amp;"|"&amp;$A495,報告入力!$CG$7:$CG$696,0)),"")</f>
        <v>未受領</v>
      </c>
    </row>
    <row r="496" s="110" customFormat="true" ht="20.1" hidden="false" customHeight="true" outlineLevel="0" collapsed="false">
      <c r="A496" s="189" t="s">
        <v>191</v>
      </c>
      <c r="B496" s="328" t="n">
        <f aca="false">SUMIFS(報告入力!$AU$7:$AU$696,報告入力!$A$7:$A$696,$S$457,報告入力!$B$7:$B$696,$A496)</f>
        <v>53985</v>
      </c>
      <c r="C496" s="371" t="n">
        <f aca="false">SUMIFS(報告入力!$AV$7:$AV$696,報告入力!$A$7:$A$696,$S$457,報告入力!$B$7:$B$696,$A496)</f>
        <v>4425</v>
      </c>
      <c r="D496" s="328" t="n">
        <f aca="false">SUMIFS(報告入力!$AW$7:$AW$696,報告入力!$A$7:$A$696,$S$457,報告入力!$B$7:$B$696,$A496)</f>
        <v>53985</v>
      </c>
      <c r="E496" s="372" t="n">
        <f aca="false">SUMIFS(報告入力!$AX$7:$AX$696,報告入力!$A$7:$A$696,$S$457,報告入力!$B$7:$B$696,$A496)</f>
        <v>4425</v>
      </c>
      <c r="F496" s="373" t="n">
        <f aca="false">SUMIFS(報告入力!$AY$7:$AY$696,報告入力!$A$7:$A$696,$S$457,報告入力!$B$7:$B$696,$A496)</f>
        <v>51</v>
      </c>
      <c r="G496" s="181" t="n">
        <f aca="false">SUM(B496:F496)</f>
        <v>116871</v>
      </c>
      <c r="H496" s="133" t="n">
        <f aca="false">SUMIFS(報告入力!$AZ$7:$AZ$696,報告入力!$A$7:$A$696,$S$457,報告入力!$B$7:$B$696,$A496)</f>
        <v>30597</v>
      </c>
      <c r="I496" s="372" t="n">
        <f aca="false">SUMIFS(報告入力!$BA$7:$BA$696,報告入力!$A$7:$A$696,$S$457,報告入力!$B$7:$B$696,$A496)</f>
        <v>30626</v>
      </c>
      <c r="J496" s="181" t="n">
        <f aca="false">SUM(H496:I496)</f>
        <v>61223</v>
      </c>
      <c r="K496" s="133" t="n">
        <f aca="false">SUMIFS(報告入力!$BB$7:$BB$696,報告入力!$A$7:$A$696,$S$457,報告入力!$B$7:$B$696,$A496)</f>
        <v>4661</v>
      </c>
      <c r="L496" s="372" t="n">
        <f aca="false">SUMIFS(報告入力!$BC$7:$BC$696,報告入力!$A$7:$A$696,$S$457,報告入力!$B$7:$B$696,$A496)</f>
        <v>4661</v>
      </c>
      <c r="M496" s="181" t="n">
        <f aca="false">SUM(K496:L496)</f>
        <v>9322</v>
      </c>
      <c r="N496" s="133" t="n">
        <f aca="false">SUMIFS(報告入力!$BD$7:$BD$696,報告入力!$A$7:$A$696,$S$457,報告入力!$B$7:$B$696,$A496)</f>
        <v>678</v>
      </c>
      <c r="O496" s="372" t="n">
        <f aca="false">SUMIFS(報告入力!$BE$7:$BE$696,報告入力!$A$7:$A$696,$S$457,報告入力!$B$7:$B$696,$A496)</f>
        <v>678</v>
      </c>
      <c r="P496" s="181" t="n">
        <f aca="false">SUM(N496:O496)</f>
        <v>1356</v>
      </c>
      <c r="Q496" s="110" t="str">
        <f aca="false">IF(P431=P496,"〇","×")</f>
        <v>〇</v>
      </c>
      <c r="R496" s="110" t="str">
        <f aca="false">IFERROR(INDEX(報告入力!$C$7:$C$696,MATCH($S$457&amp;"|"&amp;$A496,報告入力!$CG$7:$CG$696,0)),"")</f>
        <v>受領済</v>
      </c>
    </row>
    <row r="497" s="110" customFormat="true" ht="20.1" hidden="false" customHeight="true" outlineLevel="0" collapsed="false">
      <c r="A497" s="189" t="s">
        <v>192</v>
      </c>
      <c r="B497" s="328" t="n">
        <f aca="false">SUMIFS(報告入力!$AU$7:$AU$696,報告入力!$A$7:$A$696,$S$457,報告入力!$B$7:$B$696,$A497)</f>
        <v>59475</v>
      </c>
      <c r="C497" s="371" t="n">
        <f aca="false">SUMIFS(報告入力!$AV$7:$AV$696,報告入力!$A$7:$A$696,$S$457,報告入力!$B$7:$B$696,$A497)</f>
        <v>4875</v>
      </c>
      <c r="D497" s="217" t="n">
        <f aca="false">SUMIFS(報告入力!$AW$7:$AW$696,報告入力!$A$7:$A$696,$S$457,報告入力!$B$7:$B$696,$A497)</f>
        <v>59475</v>
      </c>
      <c r="E497" s="133" t="n">
        <f aca="false">SUMIFS(報告入力!$AX$7:$AX$696,報告入力!$A$7:$A$696,$S$457,報告入力!$B$7:$B$696,$A497)</f>
        <v>4875</v>
      </c>
      <c r="F497" s="371" t="n">
        <f aca="false">SUMIFS(報告入力!$AY$7:$AY$696,報告入力!$A$7:$A$696,$S$457,報告入力!$B$7:$B$696,$A497)</f>
        <v>56</v>
      </c>
      <c r="G497" s="181" t="n">
        <f aca="false">SUM(B497:F497)</f>
        <v>128756</v>
      </c>
      <c r="H497" s="133" t="n">
        <f aca="false">SUMIFS(報告入力!$AZ$7:$AZ$696,報告入力!$A$7:$A$696,$S$457,報告入力!$B$7:$B$696,$A497)</f>
        <v>36820</v>
      </c>
      <c r="I497" s="372" t="n">
        <f aca="false">SUMIFS(報告入力!$BA$7:$BA$696,報告入力!$A$7:$A$696,$S$457,報告入力!$B$7:$B$696,$A497)</f>
        <v>36856</v>
      </c>
      <c r="J497" s="181" t="n">
        <f aca="false">SUM(H497:I497)</f>
        <v>73676</v>
      </c>
      <c r="K497" s="133" t="n">
        <f aca="false">SUMIFS(報告入力!$BB$7:$BB$696,報告入力!$A$7:$A$696,$S$457,報告入力!$B$7:$B$696,$A497)</f>
        <v>5609</v>
      </c>
      <c r="L497" s="372" t="n">
        <f aca="false">SUMIFS(報告入力!$BC$7:$BC$696,報告入力!$A$7:$A$696,$S$457,報告入力!$B$7:$B$696,$A497)</f>
        <v>5609</v>
      </c>
      <c r="M497" s="181" t="n">
        <f aca="false">SUM(K497:L497)</f>
        <v>11218</v>
      </c>
      <c r="N497" s="133" t="n">
        <f aca="false">SUMIFS(報告入力!$BD$7:$BD$696,報告入力!$A$7:$A$696,$S$457,報告入力!$B$7:$B$696,$A497)</f>
        <v>816</v>
      </c>
      <c r="O497" s="372" t="n">
        <f aca="false">SUMIFS(報告入力!$BE$7:$BE$696,報告入力!$A$7:$A$696,$S$457,報告入力!$B$7:$B$696,$A497)</f>
        <v>816</v>
      </c>
      <c r="P497" s="181" t="n">
        <f aca="false">SUM(N497:O497)</f>
        <v>1632</v>
      </c>
      <c r="Q497" s="110" t="str">
        <f aca="false">IF(P432=P497,"〇","×")</f>
        <v>〇</v>
      </c>
      <c r="R497" s="110" t="str">
        <f aca="false">IFERROR(INDEX(報告入力!$C$7:$C$696,MATCH($S$457&amp;"|"&amp;$A497,報告入力!$CG$7:$CG$696,0)),"")</f>
        <v>受領済</v>
      </c>
    </row>
    <row r="498" s="110" customFormat="true" ht="20.1" hidden="false" customHeight="true" outlineLevel="0" collapsed="false">
      <c r="A498" s="189" t="s">
        <v>193</v>
      </c>
      <c r="B498" s="328" t="n">
        <f aca="false">SUMIFS(報告入力!$AU$7:$AU$696,報告入力!$A$7:$A$696,$S$457,報告入力!$B$7:$B$696,$A498)</f>
        <v>45750</v>
      </c>
      <c r="C498" s="371" t="n">
        <f aca="false">SUMIFS(報告入力!$AV$7:$AV$696,報告入力!$A$7:$A$696,$S$457,報告入力!$B$7:$B$696,$A498)</f>
        <v>3750</v>
      </c>
      <c r="D498" s="217" t="n">
        <f aca="false">SUMIFS(報告入力!$AW$7:$AW$696,報告入力!$A$7:$A$696,$S$457,報告入力!$B$7:$B$696,$A498)</f>
        <v>45750</v>
      </c>
      <c r="E498" s="133" t="n">
        <f aca="false">SUMIFS(報告入力!$AX$7:$AX$696,報告入力!$A$7:$A$696,$S$457,報告入力!$B$7:$B$696,$A498)</f>
        <v>3750</v>
      </c>
      <c r="F498" s="371" t="n">
        <f aca="false">SUMIFS(報告入力!$AY$7:$AY$696,報告入力!$A$7:$A$696,$S$457,報告入力!$B$7:$B$696,$A498)</f>
        <v>43</v>
      </c>
      <c r="G498" s="181" t="n">
        <f aca="false">SUM(B498:F498)</f>
        <v>99043</v>
      </c>
      <c r="H498" s="133" t="n">
        <f aca="false">SUMIFS(報告入力!$AZ$7:$AZ$696,報告入力!$A$7:$A$696,$S$457,報告入力!$B$7:$B$696,$A498)</f>
        <v>25930</v>
      </c>
      <c r="I498" s="372" t="n">
        <f aca="false">SUMIFS(報告入力!$BA$7:$BA$696,報告入力!$A$7:$A$696,$S$457,報告入力!$B$7:$B$696,$A498)</f>
        <v>25955</v>
      </c>
      <c r="J498" s="181" t="n">
        <f aca="false">SUM(H498:I498)</f>
        <v>51885</v>
      </c>
      <c r="K498" s="133" t="n">
        <f aca="false">SUMIFS(報告入力!$BB$7:$BB$696,報告入力!$A$7:$A$696,$S$457,報告入力!$B$7:$B$696,$A498)</f>
        <v>0</v>
      </c>
      <c r="L498" s="372" t="n">
        <f aca="false">SUMIFS(報告入力!$BC$7:$BC$696,報告入力!$A$7:$A$696,$S$457,報告入力!$B$7:$B$696,$A498)</f>
        <v>0</v>
      </c>
      <c r="M498" s="181" t="n">
        <f aca="false">SUM(K498:L498)</f>
        <v>0</v>
      </c>
      <c r="N498" s="133" t="n">
        <f aca="false">SUMIFS(報告入力!$BD$7:$BD$696,報告入力!$A$7:$A$696,$S$457,報告入力!$B$7:$B$696,$A498)</f>
        <v>575</v>
      </c>
      <c r="O498" s="372" t="n">
        <f aca="false">SUMIFS(報告入力!$BE$7:$BE$696,報告入力!$A$7:$A$696,$S$457,報告入力!$B$7:$B$696,$A498)</f>
        <v>575</v>
      </c>
      <c r="P498" s="181" t="n">
        <f aca="false">SUM(N498:O498)</f>
        <v>1150</v>
      </c>
      <c r="Q498" s="110" t="str">
        <f aca="false">IF(P433=P498,"〇","×")</f>
        <v>〇</v>
      </c>
      <c r="R498" s="110" t="str">
        <f aca="false">IFERROR(INDEX(報告入力!$C$7:$C$696,MATCH($S$457&amp;"|"&amp;$A498,報告入力!$CG$7:$CG$696,0)),"")</f>
        <v>受領済</v>
      </c>
    </row>
    <row r="499" s="110" customFormat="true" ht="20.1" hidden="false" customHeight="true" outlineLevel="0" collapsed="false">
      <c r="A499" s="121" t="s">
        <v>194</v>
      </c>
      <c r="B499" s="178" t="n">
        <f aca="false">SUMIFS(報告入力!$AU$7:$AU$696,報告入力!$A$7:$A$696,$S$457,報告入力!$B$7:$B$696,$A499)</f>
        <v>1234335</v>
      </c>
      <c r="C499" s="212" t="n">
        <f aca="false">SUMIFS(報告入力!$AV$7:$AV$696,報告入力!$A$7:$A$696,$S$457,報告入力!$B$7:$B$696,$A499)</f>
        <v>101175</v>
      </c>
      <c r="D499" s="178" t="n">
        <f aca="false">SUMIFS(報告入力!$AW$7:$AW$696,報告入力!$A$7:$A$696,$S$457,報告入力!$B$7:$B$696,$A499)</f>
        <v>1234335</v>
      </c>
      <c r="E499" s="182" t="n">
        <f aca="false">SUMIFS(報告入力!$AX$7:$AX$696,報告入力!$A$7:$A$696,$S$457,報告入力!$B$7:$B$696,$A499)</f>
        <v>101175</v>
      </c>
      <c r="F499" s="212" t="n">
        <f aca="false">SUMIFS(報告入力!$AY$7:$AY$696,報告入力!$A$7:$A$696,$S$457,報告入力!$B$7:$B$696,$A499)</f>
        <v>1337</v>
      </c>
      <c r="G499" s="181" t="n">
        <f aca="false">SUM(B499:F499)</f>
        <v>2672357</v>
      </c>
      <c r="H499" s="182" t="n">
        <f aca="false">SUMIFS(報告入力!$AZ$7:$AZ$696,報告入力!$A$7:$A$696,$S$457,報告入力!$B$7:$B$696,$A499)</f>
        <v>742074</v>
      </c>
      <c r="I499" s="183" t="n">
        <f aca="false">SUMIFS(報告入力!$BA$7:$BA$696,報告入力!$A$7:$A$696,$S$457,報告入力!$B$7:$B$696,$A499)</f>
        <v>743509</v>
      </c>
      <c r="J499" s="135" t="n">
        <f aca="false">SUM(H499:I499)</f>
        <v>1485583</v>
      </c>
      <c r="K499" s="182" t="n">
        <f aca="false">SUMIFS(報告入力!$BB$7:$BB$696,報告入力!$A$7:$A$696,$S$457,報告入力!$B$7:$B$696,$A499)</f>
        <v>64227</v>
      </c>
      <c r="L499" s="183" t="n">
        <f aca="false">SUMIFS(報告入力!$BC$7:$BC$696,報告入力!$A$7:$A$696,$S$457,報告入力!$B$7:$B$696,$A499)</f>
        <v>64227</v>
      </c>
      <c r="M499" s="135" t="n">
        <f aca="false">SUM(K499:L499)</f>
        <v>128454</v>
      </c>
      <c r="N499" s="182" t="n">
        <f aca="false">SUMIFS(報告入力!$BD$7:$BD$696,報告入力!$A$7:$A$696,$S$457,報告入力!$B$7:$B$696,$A499)</f>
        <v>1</v>
      </c>
      <c r="O499" s="183" t="n">
        <f aca="false">SUMIFS(報告入力!$BE$7:$BE$696,報告入力!$A$7:$A$696,$S$457,報告入力!$B$7:$B$696,$A499)</f>
        <v>1</v>
      </c>
      <c r="P499" s="135" t="n">
        <f aca="false">SUM(N499:O499)</f>
        <v>2</v>
      </c>
      <c r="Q499" s="110" t="str">
        <f aca="false">IF(P434=P499,"〇","×")</f>
        <v>×</v>
      </c>
      <c r="R499" s="110" t="str">
        <f aca="false">IFERROR(INDEX(報告入力!$C$7:$C$696,MATCH($S$457&amp;"|"&amp;$A499,報告入力!$CG$7:$CG$696,0)),"")</f>
        <v>未受領</v>
      </c>
    </row>
    <row r="500" s="110" customFormat="true" ht="20.1" hidden="false" customHeight="true" outlineLevel="0" collapsed="false">
      <c r="A500" s="121" t="s">
        <v>195</v>
      </c>
      <c r="B500" s="215"/>
      <c r="C500" s="368"/>
      <c r="D500" s="178" t="n">
        <f aca="false">SUMIFS(報告入力!$AW$7:$AW$696,報告入力!$A$7:$A$696,$S$457,報告入力!$B$7:$B$696,$A500)</f>
        <v>245220</v>
      </c>
      <c r="E500" s="182" t="n">
        <f aca="false">SUMIFS(報告入力!$AX$7:$AX$696,報告入力!$A$7:$A$696,$S$457,報告入力!$B$7:$B$696,$A500)</f>
        <v>20100</v>
      </c>
      <c r="F500" s="212" t="n">
        <f aca="false">SUMIFS(報告入力!$AY$7:$AY$696,報告入力!$A$7:$A$696,$S$457,報告入力!$B$7:$B$696,$A500)</f>
        <v>251</v>
      </c>
      <c r="G500" s="181" t="n">
        <f aca="false">SUM(B500:F500)</f>
        <v>265571</v>
      </c>
      <c r="H500" s="202"/>
      <c r="I500" s="214" t="n">
        <f aca="false">SUMIFS(報告入力!$BA$7:$BA$696,報告入力!$A$7:$A$696,$S$457,報告入力!$B$7:$B$696,$A500)</f>
        <v>151001</v>
      </c>
      <c r="J500" s="181" t="n">
        <f aca="false">SUM(H500:I500)</f>
        <v>151001</v>
      </c>
      <c r="K500" s="202"/>
      <c r="L500" s="214" t="n">
        <f aca="false">SUMIFS(報告入力!$BC$7:$BC$696,報告入力!$A$7:$A$696,$S$457,報告入力!$B$7:$B$696,$A500)</f>
        <v>10744</v>
      </c>
      <c r="M500" s="181" t="n">
        <f aca="false">SUM(K500:L500)</f>
        <v>10744</v>
      </c>
      <c r="N500" s="202"/>
      <c r="O500" s="214" t="n">
        <f aca="false">SUMIFS(報告入力!$BE$7:$BE$696,報告入力!$A$7:$A$696,$S$457,報告入力!$B$7:$B$696,$A500)</f>
        <v>1</v>
      </c>
      <c r="P500" s="181" t="n">
        <f aca="false">SUM(N500:O500)</f>
        <v>1</v>
      </c>
      <c r="Q500" s="110" t="str">
        <f aca="false">IF(P435=P500,"〇","×")</f>
        <v>×</v>
      </c>
      <c r="R500" s="110" t="str">
        <f aca="false">IFERROR(INDEX(報告入力!$C$7:$C$696,MATCH($S$457&amp;"|"&amp;$A500,報告入力!$CG$7:$CG$696,0)),"")</f>
        <v>未受領</v>
      </c>
    </row>
    <row r="501" s="110" customFormat="true" ht="19.5" hidden="false" customHeight="true" outlineLevel="0" collapsed="false">
      <c r="A501" s="207" t="s">
        <v>196</v>
      </c>
      <c r="B501" s="215" t="n">
        <f aca="false">SUMIFS(報告入力!$AU$7:$AU$696,報告入力!$A$7:$A$696,$S$457,報告入力!$B$7:$B$696,$A501)</f>
        <v>124033466</v>
      </c>
      <c r="C501" s="368" t="n">
        <f aca="false">SUMIFS(報告入力!$AV$7:$AV$696,報告入力!$A$7:$A$696,$S$457,報告入力!$B$7:$B$696,$A501)</f>
        <v>10166678</v>
      </c>
      <c r="D501" s="215" t="n">
        <f aca="false">SUMIFS(報告入力!$AW$7:$AW$696,報告入力!$A$7:$A$696,$S$457,報告入力!$B$7:$B$696,$A501)</f>
        <v>183571142</v>
      </c>
      <c r="E501" s="369" t="n">
        <f aca="false">SUMIFS(報告入力!$AX$7:$AX$696,報告入力!$A$7:$A$696,$S$457,報告入力!$B$7:$B$696,$A501)</f>
        <v>10169978</v>
      </c>
      <c r="F501" s="368" t="n">
        <f aca="false">SUMIFS(報告入力!$AY$7:$AY$696,報告入力!$A$7:$A$696,$S$457,報告入力!$B$7:$B$696,$A501)</f>
        <v>134503</v>
      </c>
      <c r="G501" s="181" t="n">
        <f aca="false">SUM(B501:F501)</f>
        <v>328075767</v>
      </c>
      <c r="H501" s="213" t="n">
        <f aca="false">SUMIFS(報告入力!$AZ$7:$AZ$696,報告入力!$A$7:$A$696,$S$457,報告入力!$B$7:$B$696,$A501)</f>
        <v>96329196</v>
      </c>
      <c r="I501" s="370" t="n">
        <f aca="false">SUMIFS(報告入力!$BA$7:$BA$696,報告入力!$A$7:$A$696,$S$457,報告入力!$B$7:$B$696,$A501)</f>
        <v>96541373</v>
      </c>
      <c r="J501" s="135" t="n">
        <f aca="false">SUM(H501:I501)</f>
        <v>192870569</v>
      </c>
      <c r="K501" s="215" t="n">
        <f aca="false">SUMIFS(報告入力!$BB$7:$BB$696,報告入力!$A$7:$A$696,$S$457,報告入力!$B$7:$B$696,$A501)</f>
        <v>7758167</v>
      </c>
      <c r="L501" s="370" t="n">
        <f aca="false">SUMIFS(報告入力!$BC$7:$BC$696,報告入力!$A$7:$A$696,$S$457,報告入力!$B$7:$B$696,$A501)</f>
        <v>7761643</v>
      </c>
      <c r="M501" s="135" t="n">
        <f aca="false">SUM(K501:L501)</f>
        <v>15519810</v>
      </c>
      <c r="N501" s="215" t="n">
        <f aca="false">SUMIFS(報告入力!$BD$7:$BD$696,報告入力!$A$7:$A$696,$S$457,報告入力!$B$7:$B$696,$A501)</f>
        <v>1</v>
      </c>
      <c r="O501" s="370" t="n">
        <f aca="false">SUMIFS(報告入力!$BE$7:$BE$696,報告入力!$A$7:$A$696,$S$457,報告入力!$B$7:$B$696,$A501)</f>
        <v>1</v>
      </c>
      <c r="P501" s="135" t="n">
        <f aca="false">SUM(N501:O501)</f>
        <v>2</v>
      </c>
      <c r="Q501" s="110" t="str">
        <f aca="false">IF(P436=P501,"〇","×")</f>
        <v>×</v>
      </c>
      <c r="R501" s="110" t="str">
        <f aca="false">IFERROR(INDEX(報告入力!$C$7:$C$696,MATCH($S$457&amp;"|"&amp;$A501,報告入力!$CG$7:$CG$696,0)),"")</f>
        <v>未受領</v>
      </c>
    </row>
    <row r="502" s="137" customFormat="true" ht="21.75" hidden="false" customHeight="true" outlineLevel="0" collapsed="false">
      <c r="A502" s="374" t="s">
        <v>197</v>
      </c>
      <c r="B502" s="127"/>
      <c r="C502" s="131"/>
      <c r="D502" s="127"/>
      <c r="E502" s="209"/>
      <c r="F502" s="131"/>
      <c r="G502" s="210" t="n">
        <f aca="false">SUM(B502:F502)</f>
        <v>0</v>
      </c>
      <c r="H502" s="213" t="n">
        <f aca="false">SUMIFS(報告入力!$AZ$7:$AZ$696,報告入力!$A$7:$A$696,$S$457,報告入力!$B$7:$B$696,$A502)</f>
        <v>88012</v>
      </c>
      <c r="I502" s="370" t="n">
        <f aca="false">SUMIFS(報告入力!$BA$7:$BA$696,報告入力!$A$7:$A$696,$S$457,報告入力!$B$7:$B$696,$A502)</f>
        <v>108566</v>
      </c>
      <c r="J502" s="135" t="n">
        <f aca="false">SUM(H502:I502)</f>
        <v>196578</v>
      </c>
      <c r="K502" s="215" t="n">
        <f aca="false">SUMIFS(報告入力!$BB$7:$BB$696,報告入力!$A$7:$A$696,$S$457,報告入力!$B$7:$B$696,$A502)</f>
        <v>9322</v>
      </c>
      <c r="L502" s="370" t="n">
        <f aca="false">SUMIFS(報告入力!$BC$7:$BC$696,報告入力!$A$7:$A$696,$S$457,報告入力!$B$7:$B$696,$A502)</f>
        <v>12245</v>
      </c>
      <c r="M502" s="135" t="n">
        <f aca="false">SUM(K502:L502)</f>
        <v>21567</v>
      </c>
      <c r="N502" s="215" t="n">
        <f aca="false">SUMIFS(報告入力!$BD$7:$BD$696,報告入力!$A$7:$A$696,$S$457,報告入力!$B$7:$B$696,$A502)</f>
        <v>1</v>
      </c>
      <c r="O502" s="370" t="n">
        <f aca="false">SUMIFS(報告入力!$BE$7:$BE$696,報告入力!$A$7:$A$696,$S$457,報告入力!$B$7:$B$696,$A502)</f>
        <v>1</v>
      </c>
      <c r="P502" s="135" t="n">
        <f aca="false">SUM(N502:O502)</f>
        <v>2</v>
      </c>
      <c r="Q502" s="137" t="str">
        <f aca="false">IF(P437=P502,"〇","×")</f>
        <v>×</v>
      </c>
      <c r="R502" s="137" t="str">
        <f aca="false">IFERROR(INDEX(報告入力!$C$7:$C$696,MATCH($S$457&amp;"|"&amp;$A502,報告入力!$CG$7:$CG$696,0)),"")</f>
        <v>未受領</v>
      </c>
    </row>
    <row r="503" s="137" customFormat="true" ht="21.75" hidden="false" customHeight="true" outlineLevel="0" collapsed="false">
      <c r="A503" s="211" t="s">
        <v>216</v>
      </c>
      <c r="B503" s="311"/>
      <c r="C503" s="330"/>
      <c r="D503" s="311"/>
      <c r="E503" s="309"/>
      <c r="F503" s="331"/>
      <c r="G503" s="302" t="n">
        <f aca="false">SUM(B503:F503)</f>
        <v>0</v>
      </c>
      <c r="H503" s="309"/>
      <c r="I503" s="310"/>
      <c r="J503" s="305" t="n">
        <f aca="false">SUM(H503:I503)</f>
        <v>0</v>
      </c>
      <c r="K503" s="309"/>
      <c r="L503" s="310"/>
      <c r="M503" s="305" t="n">
        <f aca="false">SUM(K503:L503)</f>
        <v>0</v>
      </c>
      <c r="N503" s="309"/>
      <c r="O503" s="310"/>
      <c r="P503" s="305" t="n">
        <f aca="false">SUM(N503:O503)</f>
        <v>0</v>
      </c>
      <c r="Q503" s="137" t="str">
        <f aca="false">IF(P438=P503,"〇","×")</f>
        <v>〇</v>
      </c>
      <c r="R503" s="137" t="str">
        <f aca="false">IFERROR(INDEX(報告入力!$C$7:$C$696,MATCH($S$457&amp;"|"&amp;$A503,報告入力!$CG$7:$CG$696,0)),"")</f>
        <v>報告なし</v>
      </c>
    </row>
    <row r="504" s="137" customFormat="true" ht="21.75" hidden="false" customHeight="true" outlineLevel="0" collapsed="false">
      <c r="A504" s="211" t="s">
        <v>199</v>
      </c>
      <c r="B504" s="328" t="n">
        <f aca="false">SUMIFS(報告入力!$AU$7:$AU$696,報告入力!$A$7:$A$696,$S$457,報告入力!$B$7:$B$696,$A504)</f>
        <v>118950</v>
      </c>
      <c r="C504" s="375" t="n">
        <f aca="false">SUMIFS(報告入力!$AV$7:$AV$696,報告入力!$A$7:$A$696,$S$457,報告入力!$B$7:$B$696,$A504)</f>
        <v>9750</v>
      </c>
      <c r="D504" s="328" t="n">
        <f aca="false">SUMIFS(報告入力!$AW$7:$AW$696,報告入力!$A$7:$A$696,$S$457,報告入力!$B$7:$B$696,$A504)</f>
        <v>118950</v>
      </c>
      <c r="E504" s="376" t="n">
        <f aca="false">SUMIFS(報告入力!$AX$7:$AX$696,報告入力!$A$7:$A$696,$S$457,報告入力!$B$7:$B$696,$A504)</f>
        <v>9750</v>
      </c>
      <c r="F504" s="218" t="n">
        <f aca="false">SUMIFS(報告入力!$AY$7:$AY$696,報告入力!$A$7:$A$696,$S$457,報告入力!$B$7:$B$696,$A504)</f>
        <v>112</v>
      </c>
      <c r="G504" s="181" t="n">
        <f aca="false">SUM(B504:F504)</f>
        <v>257512</v>
      </c>
      <c r="H504" s="376" t="n">
        <f aca="false">SUMIFS(報告入力!$AZ$7:$AZ$696,報告入力!$A$7:$A$696,$S$457,報告入力!$B$7:$B$696,$A504)</f>
        <v>86605</v>
      </c>
      <c r="I504" s="372" t="n">
        <f aca="false">SUMIFS(報告入力!$BA$7:$BA$696,報告入力!$A$7:$A$696,$S$457,報告入力!$B$7:$B$696,$A504)</f>
        <v>86689</v>
      </c>
      <c r="J504" s="135" t="n">
        <f aca="false">SUM(H504:I504)</f>
        <v>173294</v>
      </c>
      <c r="K504" s="376" t="n">
        <f aca="false">SUMIFS(報告入力!$BB$7:$BB$696,報告入力!$A$7:$A$696,$S$457,報告入力!$B$7:$B$696,$A504)</f>
        <v>13193</v>
      </c>
      <c r="L504" s="372" t="n">
        <f aca="false">SUMIFS(報告入力!$BC$7:$BC$696,報告入力!$A$7:$A$696,$S$457,報告入力!$B$7:$B$696,$A504)</f>
        <v>13193</v>
      </c>
      <c r="M504" s="135" t="n">
        <f aca="false">SUM(K504:L504)</f>
        <v>26386</v>
      </c>
      <c r="N504" s="376" t="n">
        <f aca="false">SUMIFS(報告入力!$BD$7:$BD$696,報告入力!$A$7:$A$696,$S$457,報告入力!$B$7:$B$696,$A504)</f>
        <v>1920</v>
      </c>
      <c r="O504" s="372" t="n">
        <f aca="false">SUMIFS(報告入力!$BE$7:$BE$696,報告入力!$A$7:$A$696,$S$457,報告入力!$B$7:$B$696,$A504)</f>
        <v>1920</v>
      </c>
      <c r="P504" s="135" t="n">
        <f aca="false">SUM(N504:O504)</f>
        <v>3840</v>
      </c>
      <c r="Q504" s="137" t="str">
        <f aca="false">IF(P439=P504,"〇","×")</f>
        <v>〇</v>
      </c>
      <c r="R504" s="137" t="str">
        <f aca="false">IFERROR(INDEX(報告入力!$C$7:$C$696,MATCH($S$457&amp;"|"&amp;$A504,報告入力!$CG$7:$CG$696,0)),"")</f>
        <v>受領済</v>
      </c>
    </row>
    <row r="505" s="137" customFormat="true" ht="21.75" hidden="false" customHeight="true" outlineLevel="0" collapsed="false">
      <c r="A505" s="149"/>
      <c r="B505" s="160"/>
      <c r="C505" s="143"/>
      <c r="D505" s="222"/>
      <c r="E505" s="222"/>
      <c r="F505" s="146"/>
      <c r="G505" s="377"/>
      <c r="H505" s="222"/>
      <c r="I505" s="161"/>
      <c r="J505" s="223"/>
      <c r="K505" s="222"/>
      <c r="L505" s="161"/>
      <c r="M505" s="223"/>
      <c r="N505" s="222"/>
      <c r="O505" s="161"/>
      <c r="P505" s="223"/>
      <c r="Q505" s="137" t="str">
        <f aca="false">IF(P440=P505,"〇","×")</f>
        <v>〇</v>
      </c>
    </row>
    <row r="506" s="137" customFormat="true" ht="11.25" hidden="false" customHeight="true" outlineLevel="0" collapsed="false">
      <c r="A506" s="149"/>
      <c r="B506" s="160"/>
      <c r="C506" s="143"/>
      <c r="D506" s="222"/>
      <c r="E506" s="222"/>
      <c r="F506" s="146"/>
      <c r="G506" s="377"/>
      <c r="H506" s="222"/>
      <c r="I506" s="161"/>
      <c r="J506" s="223"/>
      <c r="K506" s="222"/>
      <c r="L506" s="141"/>
      <c r="M506" s="223"/>
      <c r="N506" s="222"/>
      <c r="O506" s="141"/>
      <c r="P506" s="223"/>
      <c r="Q506" s="137" t="str">
        <f aca="false">IF(P441=P506,"〇","×")</f>
        <v>〇</v>
      </c>
    </row>
    <row r="507" s="137" customFormat="true" ht="9.75" hidden="false" customHeight="true" outlineLevel="0" collapsed="false">
      <c r="A507" s="149"/>
      <c r="B507" s="157"/>
      <c r="C507" s="156"/>
      <c r="D507" s="220"/>
      <c r="E507" s="158"/>
      <c r="F507" s="156"/>
      <c r="G507" s="221" t="n">
        <f aca="false">SUM(B507:F507)</f>
        <v>0</v>
      </c>
      <c r="H507" s="222"/>
      <c r="I507" s="158"/>
      <c r="J507" s="223" t="n">
        <f aca="false">SUM(H507:I507)</f>
        <v>0</v>
      </c>
      <c r="K507" s="220"/>
      <c r="L507" s="158"/>
      <c r="M507" s="223" t="n">
        <f aca="false">SUM(K507:L507)</f>
        <v>0</v>
      </c>
      <c r="N507" s="220"/>
      <c r="O507" s="158"/>
      <c r="P507" s="223" t="n">
        <f aca="false">SUM(N507:O507)</f>
        <v>0</v>
      </c>
      <c r="Q507" s="137" t="str">
        <f aca="false">IF(P442=P507,"〇","×")</f>
        <v>〇</v>
      </c>
    </row>
    <row r="508" s="110" customFormat="true" ht="19.5" hidden="false" customHeight="true" outlineLevel="0" collapsed="false">
      <c r="A508" s="171" t="s">
        <v>383</v>
      </c>
      <c r="B508" s="172" t="n">
        <f aca="false">SUM(B478:B507)</f>
        <v>126988001</v>
      </c>
      <c r="C508" s="175" t="n">
        <f aca="false">SUM(C478:C507)</f>
        <v>10408853</v>
      </c>
      <c r="D508" s="173" t="n">
        <f aca="false">SUM(D478:D507)</f>
        <v>192708332</v>
      </c>
      <c r="E508" s="174" t="n">
        <f aca="false">SUM(E478:E507)</f>
        <v>10918928</v>
      </c>
      <c r="F508" s="175" t="n">
        <f aca="false">SUM(F478:F507)</f>
        <v>143914</v>
      </c>
      <c r="G508" s="176" t="n">
        <f aca="false">SUM(B508:F508)</f>
        <v>341168028</v>
      </c>
      <c r="H508" s="173" t="n">
        <f aca="false">SUM(H478:H507)</f>
        <v>98196195</v>
      </c>
      <c r="I508" s="173" t="n">
        <f aca="false">SUM(I478:I507)</f>
        <v>102305115</v>
      </c>
      <c r="J508" s="175" t="n">
        <f aca="false">SUM(H508:I508)</f>
        <v>200501310</v>
      </c>
      <c r="K508" s="172" t="n">
        <f aca="false">SUM(K478:K507)</f>
        <v>7928807</v>
      </c>
      <c r="L508" s="173" t="n">
        <f aca="false">SUM(L478:L507)</f>
        <v>8377685</v>
      </c>
      <c r="M508" s="175" t="n">
        <f aca="false">SUM(K508:L508)</f>
        <v>16306492</v>
      </c>
      <c r="N508" s="172" t="n">
        <f aca="false">SUM(N478:N507)</f>
        <v>7639</v>
      </c>
      <c r="O508" s="173" t="n">
        <f aca="false">SUM(O478:O507)</f>
        <v>7652</v>
      </c>
      <c r="P508" s="175" t="n">
        <f aca="false">SUM(N508:O508)</f>
        <v>15291</v>
      </c>
      <c r="Q508" s="110" t="str">
        <f aca="false">IF(P443=P508,"〇","×")</f>
        <v>×</v>
      </c>
    </row>
    <row r="509" s="110" customFormat="true" ht="11.25" hidden="false" customHeight="true" outlineLevel="0" collapsed="false">
      <c r="A509" s="378"/>
      <c r="B509" s="379"/>
      <c r="C509" s="380"/>
      <c r="D509" s="381"/>
      <c r="E509" s="382"/>
      <c r="F509" s="380"/>
      <c r="G509" s="383"/>
      <c r="H509" s="381"/>
      <c r="I509" s="381"/>
      <c r="J509" s="380"/>
      <c r="K509" s="381"/>
      <c r="L509" s="381"/>
      <c r="M509" s="380"/>
      <c r="N509" s="381"/>
      <c r="O509" s="381"/>
      <c r="P509" s="380"/>
      <c r="Q509" s="110" t="str">
        <f aca="false">IF(P444=P509,"〇","×")</f>
        <v>〇</v>
      </c>
    </row>
    <row r="510" s="110" customFormat="true" ht="9.75" hidden="false" customHeight="true" outlineLevel="0" collapsed="false">
      <c r="A510" s="378"/>
      <c r="B510" s="379"/>
      <c r="C510" s="380"/>
      <c r="D510" s="381"/>
      <c r="E510" s="382"/>
      <c r="F510" s="380"/>
      <c r="G510" s="383"/>
      <c r="H510" s="381"/>
      <c r="I510" s="381"/>
      <c r="J510" s="380"/>
      <c r="K510" s="381"/>
      <c r="L510" s="381"/>
      <c r="M510" s="380"/>
      <c r="N510" s="381"/>
      <c r="O510" s="381"/>
      <c r="P510" s="380"/>
      <c r="Q510" s="110" t="str">
        <f aca="false">IF(P445=P510,"〇","×")</f>
        <v>〇</v>
      </c>
    </row>
    <row r="511" s="110" customFormat="true" ht="20.1" hidden="false" customHeight="true" outlineLevel="0" collapsed="false">
      <c r="A511" s="189" t="s">
        <v>200</v>
      </c>
      <c r="B511" s="384" t="n">
        <f aca="false">SUMIFS(報告入力!$AU$7:$AU$696,報告入力!$A$7:$A$696,$S$457,報告入力!$B$7:$B$696,$A511)</f>
        <v>145485</v>
      </c>
      <c r="C511" s="385" t="n">
        <f aca="false">SUMIFS(報告入力!$AV$7:$AV$696,報告入力!$A$7:$A$696,$S$457,報告入力!$B$7:$B$696,$A511)</f>
        <v>11925</v>
      </c>
      <c r="D511" s="213" t="n">
        <f aca="false">SUMIFS(報告入力!$AW$7:$AW$696,報告入力!$A$7:$A$696,$S$457,報告入力!$B$7:$B$696,$A511)</f>
        <v>145485</v>
      </c>
      <c r="E511" s="214" t="n">
        <f aca="false">SUMIFS(報告入力!$AX$7:$AX$696,報告入力!$A$7:$A$696,$S$457,報告入力!$B$7:$B$696,$A511)</f>
        <v>11925</v>
      </c>
      <c r="F511" s="368" t="n">
        <f aca="false">SUMIFS(報告入力!$AY$7:$AY$696,報告入力!$A$7:$A$696,$S$457,報告入力!$B$7:$B$696,$A511)</f>
        <v>149</v>
      </c>
      <c r="G511" s="366" t="n">
        <f aca="false">SUM(B511:F511)</f>
        <v>314969</v>
      </c>
      <c r="H511" s="130"/>
      <c r="I511" s="130"/>
      <c r="J511" s="196" t="n">
        <f aca="false">SUM(H511:I511)</f>
        <v>0</v>
      </c>
      <c r="K511" s="130"/>
      <c r="L511" s="130"/>
      <c r="M511" s="196" t="n">
        <f aca="false">SUM(K511:L511)</f>
        <v>0</v>
      </c>
      <c r="N511" s="130"/>
      <c r="O511" s="130"/>
      <c r="P511" s="196" t="n">
        <f aca="false">SUM(N511:O511)</f>
        <v>0</v>
      </c>
      <c r="Q511" s="110" t="str">
        <f aca="false">IF(P446=P511,"〇","×")</f>
        <v>〇</v>
      </c>
      <c r="R511" s="110" t="str">
        <f aca="false">IFERROR(INDEX(報告入力!$C$7:$C$696,MATCH($S$457&amp;"|"&amp;$A511,報告入力!$CG$7:$CG$696,0)),"")</f>
        <v>未受領</v>
      </c>
    </row>
    <row r="512" s="110" customFormat="true" ht="21.75" hidden="false" customHeight="true" outlineLevel="0" collapsed="false">
      <c r="A512" s="189" t="s">
        <v>201</v>
      </c>
      <c r="B512" s="386" t="n">
        <f aca="false">SUMIFS(報告入力!$AU$7:$AU$696,報告入力!$A$7:$A$696,$S$457,報告入力!$B$7:$B$696,$A512)</f>
        <v>53985</v>
      </c>
      <c r="C512" s="387" t="n">
        <f aca="false">SUMIFS(報告入力!$AV$7:$AV$696,報告入力!$A$7:$A$696,$S$457,報告入力!$B$7:$B$696,$A512)</f>
        <v>4425</v>
      </c>
      <c r="D512" s="388" t="n">
        <f aca="false">SUMIFS(報告入力!$AW$7:$AW$696,報告入力!$A$7:$A$696,$S$457,報告入力!$B$7:$B$696,$A512)</f>
        <v>53985</v>
      </c>
      <c r="E512" s="389" t="n">
        <f aca="false">SUMIFS(報告入力!$AX$7:$AX$696,報告入力!$A$7:$A$696,$S$457,報告入力!$B$7:$B$696,$A512)</f>
        <v>4425</v>
      </c>
      <c r="F512" s="390" t="n">
        <f aca="false">SUMIFS(報告入力!$AY$7:$AY$696,報告入力!$A$7:$A$696,$S$457,報告入力!$B$7:$B$696,$A512)</f>
        <v>51</v>
      </c>
      <c r="G512" s="366" t="n">
        <f aca="false">SUM(B512:F512)</f>
        <v>116871</v>
      </c>
      <c r="H512" s="252"/>
      <c r="I512" s="252"/>
      <c r="J512" s="253" t="n">
        <f aca="false">SUM(H512:I512)</f>
        <v>0</v>
      </c>
      <c r="K512" s="252"/>
      <c r="L512" s="252"/>
      <c r="M512" s="253" t="n">
        <f aca="false">SUM(K512:L512)</f>
        <v>0</v>
      </c>
      <c r="N512" s="252"/>
      <c r="O512" s="252"/>
      <c r="P512" s="253" t="n">
        <f aca="false">SUM(N512:O512)</f>
        <v>0</v>
      </c>
      <c r="Q512" s="110" t="str">
        <f aca="false">IF(P447=P512,"〇","×")</f>
        <v>〇</v>
      </c>
      <c r="R512" s="110" t="str">
        <f aca="false">IFERROR(INDEX(報告入力!$C$7:$C$696,MATCH($S$457&amp;"|"&amp;$A512,報告入力!$CG$7:$CG$696,0)),"")</f>
        <v>受領済</v>
      </c>
    </row>
    <row r="513" s="110" customFormat="true" ht="19.5" hidden="false" customHeight="true" outlineLevel="0" collapsed="false">
      <c r="A513" s="171" t="s">
        <v>383</v>
      </c>
      <c r="B513" s="172" t="n">
        <f aca="false">SUM(B511:B512)</f>
        <v>199470</v>
      </c>
      <c r="C513" s="175" t="n">
        <f aca="false">SUM(C511:C512)</f>
        <v>16350</v>
      </c>
      <c r="D513" s="173" t="n">
        <f aca="false">SUM(D511:D512)</f>
        <v>199470</v>
      </c>
      <c r="E513" s="174" t="n">
        <f aca="false">SUM(E511:E512)</f>
        <v>16350</v>
      </c>
      <c r="F513" s="175" t="n">
        <f aca="false">SUM(F511:F512)</f>
        <v>200</v>
      </c>
      <c r="G513" s="176" t="n">
        <f aca="false">SUM(B513:F513)</f>
        <v>431840</v>
      </c>
      <c r="H513" s="256" t="n">
        <f aca="false">SUM(H511:H512)</f>
        <v>0</v>
      </c>
      <c r="I513" s="257" t="n">
        <f aca="false">SUM(I511:I512)</f>
        <v>0</v>
      </c>
      <c r="J513" s="258" t="n">
        <f aca="false">SUM(H513:I513)</f>
        <v>0</v>
      </c>
      <c r="K513" s="256" t="n">
        <f aca="false">SUM(K511:K512)</f>
        <v>0</v>
      </c>
      <c r="L513" s="257" t="n">
        <f aca="false">SUM(L511:L512)</f>
        <v>0</v>
      </c>
      <c r="M513" s="258" t="n">
        <f aca="false">SUM(K513:L513)</f>
        <v>0</v>
      </c>
      <c r="N513" s="256" t="n">
        <f aca="false">SUM(N511:N512)</f>
        <v>0</v>
      </c>
      <c r="O513" s="257" t="n">
        <f aca="false">SUM(O511:O512)</f>
        <v>0</v>
      </c>
      <c r="P513" s="258" t="n">
        <f aca="false">SUM(N513:O513)</f>
        <v>0</v>
      </c>
      <c r="Q513" s="110" t="str">
        <f aca="false">IF(P448=P513,"〇","×")</f>
        <v>〇</v>
      </c>
    </row>
    <row r="514" s="110" customFormat="true" ht="20.1" hidden="false" customHeight="true" outlineLevel="0" collapsed="false">
      <c r="A514" s="100" t="s">
        <v>202</v>
      </c>
      <c r="B514" s="215" t="n">
        <f aca="false">SUMIFS(報告入力!$AU$7:$AU$696,報告入力!$A$7:$A$696,$S$457,報告入力!$B$7:$B$696,$A514)</f>
        <v>29280</v>
      </c>
      <c r="C514" s="212" t="n">
        <f aca="false">SUMIFS(報告入力!$AV$7:$AV$696,報告入力!$A$7:$A$696,$S$457,報告入力!$B$7:$B$696,$A514)</f>
        <v>2400</v>
      </c>
      <c r="D514" s="178" t="n">
        <f aca="false">SUMIFS(報告入力!$AW$7:$AW$696,報告入力!$A$7:$A$696,$S$457,報告入力!$B$7:$B$696,$A514)</f>
        <v>29280</v>
      </c>
      <c r="E514" s="182" t="n">
        <f aca="false">SUMIFS(報告入力!$AX$7:$AX$696,報告入力!$A$7:$A$696,$S$457,報告入力!$B$7:$B$696,$A514)</f>
        <v>2400</v>
      </c>
      <c r="F514" s="312"/>
      <c r="G514" s="181" t="n">
        <f aca="false">SUM(B514:F514)</f>
        <v>63360</v>
      </c>
      <c r="H514" s="182" t="n">
        <f aca="false">SUMIFS(報告入力!$AZ$7:$AZ$696,報告入力!$A$7:$A$696,$S$457,報告入力!$B$7:$B$696,$A514)</f>
        <v>17603</v>
      </c>
      <c r="I514" s="183" t="n">
        <f aca="false">SUMIFS(報告入力!$BA$7:$BA$696,報告入力!$A$7:$A$696,$S$457,報告入力!$B$7:$B$696,$A514)</f>
        <v>17635</v>
      </c>
      <c r="J514" s="135" t="n">
        <f aca="false">SUM(H514:I514)</f>
        <v>35238</v>
      </c>
      <c r="K514" s="182" t="n">
        <f aca="false">SUMIFS(報告入力!$BB$7:$BB$696,報告入力!$A$7:$A$696,$S$457,報告入力!$B$7:$B$696,$A514)</f>
        <v>2528</v>
      </c>
      <c r="L514" s="183" t="n">
        <f aca="false">SUMIFS(報告入力!$BC$7:$BC$696,報告入力!$A$7:$A$696,$S$457,報告入力!$B$7:$B$696,$A514)</f>
        <v>2528</v>
      </c>
      <c r="M514" s="135" t="n">
        <f aca="false">SUM(K514:L514)</f>
        <v>5056</v>
      </c>
      <c r="N514" s="182" t="n">
        <f aca="false">SUMIFS(報告入力!$BD$7:$BD$696,報告入力!$A$7:$A$696,$S$457,報告入力!$B$7:$B$696,$A514)</f>
        <v>1</v>
      </c>
      <c r="O514" s="183" t="n">
        <f aca="false">SUMIFS(報告入力!$BE$7:$BE$696,報告入力!$A$7:$A$696,$S$457,報告入力!$B$7:$B$696,$A514)</f>
        <v>1</v>
      </c>
      <c r="P514" s="135" t="n">
        <f aca="false">SUM(N514:O514)</f>
        <v>2</v>
      </c>
      <c r="Q514" s="110" t="str">
        <f aca="false">IF(P449=P514,"〇","×")</f>
        <v>×</v>
      </c>
      <c r="R514" s="110" t="str">
        <f aca="false">IFERROR(INDEX(報告入力!$C$7:$C$696,MATCH($S$457&amp;"|"&amp;$A514,報告入力!$CG$7:$CG$696,0)),"")</f>
        <v>未受領</v>
      </c>
    </row>
    <row r="515" s="110" customFormat="true" ht="20.1" hidden="false" customHeight="true" outlineLevel="0" collapsed="false">
      <c r="A515" s="100" t="s">
        <v>203</v>
      </c>
      <c r="B515" s="215" t="n">
        <f aca="false">SUMIFS(報告入力!$AU$7:$AU$696,報告入力!$A$7:$A$696,$S$457,報告入力!$B$7:$B$696,$A515)</f>
        <v>0</v>
      </c>
      <c r="C515" s="212" t="n">
        <f aca="false">SUMIFS(報告入力!$AV$7:$AV$696,報告入力!$A$7:$A$696,$S$457,報告入力!$B$7:$B$696,$A515)</f>
        <v>0</v>
      </c>
      <c r="D515" s="178" t="n">
        <f aca="false">SUMIFS(報告入力!$AW$7:$AW$696,報告入力!$A$7:$A$696,$S$457,報告入力!$B$7:$B$696,$A515)</f>
        <v>0</v>
      </c>
      <c r="E515" s="182" t="n">
        <f aca="false">SUMIFS(報告入力!$AX$7:$AX$696,報告入力!$A$7:$A$696,$S$457,報告入力!$B$7:$B$696,$A515)</f>
        <v>0</v>
      </c>
      <c r="F515" s="312"/>
      <c r="G515" s="181" t="n">
        <f aca="false">SUM(B515:F515)</f>
        <v>0</v>
      </c>
      <c r="H515" s="182" t="n">
        <f aca="false">SUMIFS(報告入力!$AZ$7:$AZ$696,報告入力!$A$7:$A$696,$S$457,報告入力!$B$7:$B$696,$A515)</f>
        <v>0</v>
      </c>
      <c r="I515" s="183" t="n">
        <f aca="false">SUMIFS(報告入力!$BA$7:$BA$696,報告入力!$A$7:$A$696,$S$457,報告入力!$B$7:$B$696,$A515)</f>
        <v>0</v>
      </c>
      <c r="J515" s="135" t="n">
        <f aca="false">SUM(H515:I515)</f>
        <v>0</v>
      </c>
      <c r="K515" s="262" t="n">
        <f aca="false">SUMIFS(報告入力!$BB$7:$BB$696,報告入力!$A$7:$A$696,$S$457,報告入力!$B$7:$B$696,$A515)</f>
        <v>0</v>
      </c>
      <c r="L515" s="183" t="n">
        <f aca="false">SUMIFS(報告入力!$BC$7:$BC$696,報告入力!$A$7:$A$696,$S$457,報告入力!$B$7:$B$696,$A515)</f>
        <v>0</v>
      </c>
      <c r="M515" s="135" t="n">
        <f aca="false">SUM(K515:L515)</f>
        <v>0</v>
      </c>
      <c r="N515" s="262" t="n">
        <f aca="false">SUMIFS(報告入力!$BD$7:$BD$696,報告入力!$A$7:$A$696,$S$457,報告入力!$B$7:$B$696,$A515)</f>
        <v>0</v>
      </c>
      <c r="O515" s="183" t="n">
        <f aca="false">SUMIFS(報告入力!$BE$7:$BE$696,報告入力!$A$7:$A$696,$S$457,報告入力!$B$7:$B$696,$A515)</f>
        <v>0</v>
      </c>
      <c r="P515" s="135" t="n">
        <f aca="false">SUM(N515:O515)</f>
        <v>0</v>
      </c>
      <c r="Q515" s="110" t="str">
        <f aca="false">IF(P450=P515,"〇","×")</f>
        <v>〇</v>
      </c>
      <c r="R515" s="110" t="str">
        <f aca="false">IFERROR(INDEX(報告入力!$C$7:$C$696,MATCH($S$457&amp;"|"&amp;$A515,報告入力!$CG$7:$CG$696,0)),"")</f>
        <v>未受領</v>
      </c>
    </row>
    <row r="516" s="110" customFormat="true" ht="20.1" hidden="false" customHeight="true" outlineLevel="0" collapsed="false">
      <c r="A516" s="192" t="s">
        <v>204</v>
      </c>
      <c r="B516" s="328" t="n">
        <f aca="false">SUMIFS(報告入力!$AU$7:$AU$696,報告入力!$A$7:$A$696,$S$457,報告入力!$B$7:$B$696,$A516)</f>
        <v>29280</v>
      </c>
      <c r="C516" s="371" t="n">
        <f aca="false">SUMIFS(報告入力!$AV$7:$AV$696,報告入力!$A$7:$A$696,$S$457,報告入力!$B$7:$B$696,$A516)</f>
        <v>2400</v>
      </c>
      <c r="D516" s="217" t="n">
        <f aca="false">SUMIFS(報告入力!$AW$7:$AW$696,報告入力!$A$7:$A$696,$S$457,報告入力!$B$7:$B$696,$A516)</f>
        <v>29280</v>
      </c>
      <c r="E516" s="133" t="n">
        <f aca="false">SUMIFS(報告入力!$AX$7:$AX$696,報告入力!$A$7:$A$696,$S$457,報告入力!$B$7:$B$696,$A516)</f>
        <v>2400</v>
      </c>
      <c r="F516" s="312"/>
      <c r="G516" s="181" t="n">
        <f aca="false">SUM(B516:F516)</f>
        <v>63360</v>
      </c>
      <c r="H516" s="133" t="n">
        <f aca="false">SUMIFS(報告入力!$AZ$7:$AZ$696,報告入力!$A$7:$A$696,$S$457,報告入力!$B$7:$B$696,$A516)</f>
        <v>32153</v>
      </c>
      <c r="I516" s="134" t="n">
        <f aca="false">SUMIFS(報告入力!$BA$7:$BA$696,報告入力!$A$7:$A$696,$S$457,報告入力!$B$7:$B$696,$A516)</f>
        <v>32184</v>
      </c>
      <c r="J516" s="135" t="n">
        <f aca="false">SUM(H516:I516)</f>
        <v>64337</v>
      </c>
      <c r="K516" s="136" t="n">
        <f aca="false">SUMIFS(報告入力!$BB$7:$BB$696,報告入力!$A$7:$A$696,$S$457,報告入力!$B$7:$B$696,$A516)</f>
        <v>2370</v>
      </c>
      <c r="L516" s="134" t="n">
        <f aca="false">SUMIFS(報告入力!$BC$7:$BC$696,報告入力!$A$7:$A$696,$S$457,報告入力!$B$7:$B$696,$A516)</f>
        <v>2370</v>
      </c>
      <c r="M516" s="135" t="n">
        <f aca="false">SUM(K516:L516)</f>
        <v>4740</v>
      </c>
      <c r="N516" s="136" t="n">
        <f aca="false">SUMIFS(報告入力!$BD$7:$BD$696,報告入力!$A$7:$A$696,$S$457,報告入力!$B$7:$B$696,$A516)</f>
        <v>713</v>
      </c>
      <c r="O516" s="134" t="n">
        <f aca="false">SUMIFS(報告入力!$BE$7:$BE$696,報告入力!$A$7:$A$696,$S$457,報告入力!$B$7:$B$696,$A516)</f>
        <v>713</v>
      </c>
      <c r="P516" s="135" t="n">
        <f aca="false">SUM(N516:O516)</f>
        <v>1426</v>
      </c>
      <c r="Q516" s="110" t="str">
        <f aca="false">IF(P451=P516,"〇","×")</f>
        <v>〇</v>
      </c>
      <c r="R516" s="110" t="str">
        <f aca="false">IFERROR(INDEX(報告入力!$C$7:$C$696,MATCH($S$457&amp;"|"&amp;$A516,報告入力!$CG$7:$CG$696,0)),"")</f>
        <v>受領済</v>
      </c>
    </row>
    <row r="517" s="110" customFormat="true" ht="20.1" hidden="false" customHeight="true" outlineLevel="0" collapsed="false">
      <c r="A517" s="192" t="s">
        <v>205</v>
      </c>
      <c r="B517" s="215"/>
      <c r="C517" s="212"/>
      <c r="D517" s="178"/>
      <c r="E517" s="182"/>
      <c r="F517" s="312"/>
      <c r="G517" s="181" t="n">
        <f aca="false">SUM(B517:F517)</f>
        <v>0</v>
      </c>
      <c r="H517" s="332"/>
      <c r="I517" s="333"/>
      <c r="J517" s="284" t="n">
        <f aca="false">SUM(H517:I517)</f>
        <v>0</v>
      </c>
      <c r="K517" s="334"/>
      <c r="L517" s="333"/>
      <c r="M517" s="284" t="n">
        <f aca="false">SUM(K517:L517)</f>
        <v>0</v>
      </c>
      <c r="N517" s="334"/>
      <c r="O517" s="333"/>
      <c r="P517" s="284" t="n">
        <f aca="false">SUM(N517:O517)</f>
        <v>0</v>
      </c>
      <c r="Q517" s="110" t="str">
        <f aca="false">IF(P452=P517,"〇","×")</f>
        <v>〇</v>
      </c>
      <c r="R517" s="110" t="str">
        <f aca="false">IFERROR(INDEX(報告入力!$C$7:$C$696,MATCH($S$457&amp;"|"&amp;$A517,報告入力!$CG$7:$CG$696,0)),"")</f>
        <v>報告なし</v>
      </c>
    </row>
    <row r="518" s="110" customFormat="true" ht="20.1" hidden="false" customHeight="true" outlineLevel="0" collapsed="false">
      <c r="A518" s="171" t="s">
        <v>383</v>
      </c>
      <c r="B518" s="172" t="n">
        <f aca="false">SUM(B514:B517)</f>
        <v>58560</v>
      </c>
      <c r="C518" s="176" t="n">
        <f aca="false">SUM(C514:C517)</f>
        <v>4800</v>
      </c>
      <c r="D518" s="172" t="n">
        <f aca="false">SUM(D514:D517)</f>
        <v>58560</v>
      </c>
      <c r="E518" s="174" t="n">
        <f aca="false">SUM(E514:E517)</f>
        <v>4800</v>
      </c>
      <c r="F518" s="175" t="n">
        <f aca="false">SUM(F514:F517)</f>
        <v>0</v>
      </c>
      <c r="G518" s="176" t="n">
        <f aca="false">SUM(B518:F518)</f>
        <v>126720</v>
      </c>
      <c r="H518" s="276" t="n">
        <f aca="false">SUM(H514:H517)</f>
        <v>49756</v>
      </c>
      <c r="I518" s="174" t="n">
        <f aca="false">SUM(I514:I517)</f>
        <v>49819</v>
      </c>
      <c r="J518" s="175" t="n">
        <f aca="false">SUM(H518:I518)</f>
        <v>99575</v>
      </c>
      <c r="K518" s="172" t="n">
        <f aca="false">SUM(K514:K517)</f>
        <v>4898</v>
      </c>
      <c r="L518" s="276" t="n">
        <f aca="false">SUM(L514:L517)</f>
        <v>4898</v>
      </c>
      <c r="M518" s="175" t="n">
        <f aca="false">SUM(K518:L518)</f>
        <v>9796</v>
      </c>
      <c r="N518" s="172" t="n">
        <f aca="false">SUM(N514:N517)</f>
        <v>714</v>
      </c>
      <c r="O518" s="276" t="n">
        <f aca="false">SUM(O514:O517)</f>
        <v>714</v>
      </c>
      <c r="P518" s="175" t="n">
        <f aca="false">SUM(N518:O518)</f>
        <v>1428</v>
      </c>
      <c r="Q518" s="110" t="str">
        <f aca="false">IF(P453=P518,"〇","×")</f>
        <v>×</v>
      </c>
    </row>
    <row r="519" s="110" customFormat="true" ht="20.1" hidden="false" customHeight="true" outlineLevel="0" collapsed="false">
      <c r="A519" s="277" t="s">
        <v>206</v>
      </c>
      <c r="B519" s="278"/>
      <c r="C519" s="279"/>
      <c r="D519" s="280"/>
      <c r="E519" s="281"/>
      <c r="F519" s="267"/>
      <c r="G519" s="268"/>
      <c r="H519" s="332" t="n">
        <f aca="false">SUMIFS(報告入力!$AZ$7:$AZ$696,報告入力!$A$7:$A$696,$S$457,報告入力!$B$7:$B$696,$A519)</f>
        <v>2637097</v>
      </c>
      <c r="I519" s="314"/>
      <c r="J519" s="284" t="n">
        <f aca="false">SUM(H519:I519)</f>
        <v>2637097</v>
      </c>
      <c r="K519" s="332" t="n">
        <f aca="false">SUMIFS(報告入力!$BB$7:$BB$696,報告入力!$A$7:$A$696,$S$457,報告入力!$B$7:$B$696,$A519)</f>
        <v>123617</v>
      </c>
      <c r="L519" s="314"/>
      <c r="M519" s="284" t="n">
        <f aca="false">SUM(K519:L519)</f>
        <v>123617</v>
      </c>
      <c r="N519" s="332" t="n">
        <f aca="false">SUMIFS(報告入力!$BD$7:$BD$696,報告入力!$A$7:$A$696,$S$457,報告入力!$B$7:$B$696,$A519)</f>
        <v>1</v>
      </c>
      <c r="O519" s="314"/>
      <c r="P519" s="284" t="n">
        <f aca="false">SUM(N519:O519)</f>
        <v>1</v>
      </c>
      <c r="Q519" s="110" t="str">
        <f aca="false">IF(P454=P519,"〇","×")</f>
        <v>×</v>
      </c>
      <c r="R519" s="110" t="str">
        <f aca="false">IFERROR(INDEX(報告入力!$C$7:$C$696,MATCH($S$457&amp;"|"&amp;$A519,報告入力!$CG$7:$CG$696,0)),"")</f>
        <v>未受領</v>
      </c>
    </row>
    <row r="520" s="110" customFormat="true" ht="30" hidden="false" customHeight="true" outlineLevel="0" collapsed="false">
      <c r="A520" s="285" t="s">
        <v>385</v>
      </c>
      <c r="B520" s="286" t="n">
        <f aca="false">SUM(+B477+B508+B513+B518+B519)</f>
        <v>482544009</v>
      </c>
      <c r="C520" s="287" t="n">
        <f aca="false">SUM(+C477+C508+C513+C518+C519)</f>
        <v>39551964</v>
      </c>
      <c r="D520" s="286" t="n">
        <f aca="false">SUM(+D477+D508+D513+D518+D519)</f>
        <v>709850896</v>
      </c>
      <c r="E520" s="288" t="n">
        <f aca="false">SUM(+E477+E508+E513+E518+E519)</f>
        <v>39528595</v>
      </c>
      <c r="F520" s="287" t="n">
        <f aca="false">SUM(+F477+F508+F513+F518+F519)</f>
        <v>514821</v>
      </c>
      <c r="G520" s="289" t="n">
        <f aca="false">SUM(B520:F520)</f>
        <v>1271990285</v>
      </c>
      <c r="H520" s="290" t="n">
        <f aca="false">SUM(+H477+H508+H513+H518+H519)</f>
        <v>367864881</v>
      </c>
      <c r="I520" s="290" t="n">
        <f aca="false">SUM(+I477+I508+I513+I518+I519)</f>
        <v>370249515</v>
      </c>
      <c r="J520" s="291" t="n">
        <f aca="false">SUM(H520:I520)</f>
        <v>738114396</v>
      </c>
      <c r="K520" s="292" t="n">
        <f aca="false">SUM(+K477+K508+K513+K518+K519)</f>
        <v>31229592</v>
      </c>
      <c r="L520" s="290" t="n">
        <f aca="false">SUM(+L477+L508+L513+L518+L519)</f>
        <v>31107974</v>
      </c>
      <c r="M520" s="291" t="n">
        <f aca="false">SUM(K520:L520)</f>
        <v>62337566</v>
      </c>
      <c r="N520" s="292" t="n">
        <f aca="false">SUM(+N477+N508+N513+N518+N519)</f>
        <v>8366</v>
      </c>
      <c r="O520" s="290" t="n">
        <f aca="false">SUM(+O477+O508+O513+O518+O519)</f>
        <v>8378</v>
      </c>
      <c r="P520" s="291" t="n">
        <f aca="false">SUM(N520:O520)</f>
        <v>16744</v>
      </c>
      <c r="Q520" s="110" t="str">
        <f aca="false">IF(P455=P520,"〇","×")</f>
        <v>×</v>
      </c>
    </row>
    <row r="521" s="316" customFormat="true" ht="39" hidden="false" customHeight="true" outlineLevel="0" collapsed="false">
      <c r="A521" s="315"/>
      <c r="G521" s="84"/>
      <c r="Q521" s="316" t="str">
        <f aca="false">IF(P456=P521,"〇","×")</f>
        <v>〇</v>
      </c>
    </row>
    <row r="522" s="297" customFormat="true" ht="30" hidden="false" customHeight="true" outlineLevel="0" collapsed="false">
      <c r="A522" s="295"/>
      <c r="B522" s="391" t="n">
        <f aca="false">EOMONTH(B457,1)</f>
        <v>46356</v>
      </c>
      <c r="C522" s="391"/>
      <c r="D522" s="391"/>
      <c r="E522" s="391"/>
      <c r="F522" s="391"/>
      <c r="G522" s="391"/>
      <c r="H522" s="87" t="n">
        <f aca="false">B522</f>
        <v>46356</v>
      </c>
      <c r="I522" s="87"/>
      <c r="J522" s="87"/>
      <c r="K522" s="87" t="n">
        <f aca="false">H522</f>
        <v>46356</v>
      </c>
      <c r="L522" s="87"/>
      <c r="M522" s="87"/>
      <c r="N522" s="87" t="n">
        <f aca="false">K522</f>
        <v>46356</v>
      </c>
      <c r="O522" s="87"/>
      <c r="P522" s="87"/>
      <c r="Q522" s="297" t="str">
        <f aca="false">IF(P457=P522,"〇","×")</f>
        <v>〇</v>
      </c>
      <c r="S522" s="297" t="s">
        <v>394</v>
      </c>
    </row>
    <row r="523" customFormat="false" ht="22.5" hidden="false" customHeight="true" outlineLevel="0" collapsed="false">
      <c r="A523" s="89" t="s">
        <v>369</v>
      </c>
      <c r="B523" s="89" t="s">
        <v>370</v>
      </c>
      <c r="C523" s="89"/>
      <c r="D523" s="89"/>
      <c r="E523" s="89"/>
      <c r="F523" s="89"/>
      <c r="G523" s="89"/>
      <c r="H523" s="91" t="s">
        <v>371</v>
      </c>
      <c r="I523" s="91"/>
      <c r="J523" s="91"/>
      <c r="K523" s="91" t="s">
        <v>372</v>
      </c>
      <c r="L523" s="91"/>
      <c r="M523" s="91"/>
      <c r="N523" s="91" t="str">
        <f aca="false">$N$3</f>
        <v>子ども・子育て支援納付金</v>
      </c>
      <c r="O523" s="91"/>
      <c r="P523" s="91"/>
      <c r="Q523" s="80" t="str">
        <f aca="false">IF(P458=P523,"〇","×")</f>
        <v>〇</v>
      </c>
    </row>
    <row r="524" customFormat="false" ht="22.5" hidden="false" customHeight="true" outlineLevel="0" collapsed="false">
      <c r="A524" s="89"/>
      <c r="B524" s="92" t="s">
        <v>373</v>
      </c>
      <c r="C524" s="92"/>
      <c r="D524" s="92" t="s">
        <v>374</v>
      </c>
      <c r="E524" s="92"/>
      <c r="F524" s="92"/>
      <c r="G524" s="92" t="s">
        <v>375</v>
      </c>
      <c r="H524" s="96" t="s">
        <v>376</v>
      </c>
      <c r="I524" s="94" t="s">
        <v>377</v>
      </c>
      <c r="J524" s="95" t="s">
        <v>375</v>
      </c>
      <c r="K524" s="96" t="s">
        <v>376</v>
      </c>
      <c r="L524" s="94" t="s">
        <v>377</v>
      </c>
      <c r="M524" s="95" t="s">
        <v>375</v>
      </c>
      <c r="N524" s="96" t="s">
        <v>376</v>
      </c>
      <c r="O524" s="94" t="s">
        <v>377</v>
      </c>
      <c r="P524" s="95" t="s">
        <v>375</v>
      </c>
      <c r="Q524" s="80" t="str">
        <f aca="false">IF(P459=P524,"〇","×")</f>
        <v>〇</v>
      </c>
    </row>
    <row r="525" customFormat="false" ht="22.5" hidden="false" customHeight="true" outlineLevel="0" collapsed="false">
      <c r="A525" s="89"/>
      <c r="B525" s="97" t="s">
        <v>378</v>
      </c>
      <c r="C525" s="98" t="s">
        <v>379</v>
      </c>
      <c r="D525" s="99" t="s">
        <v>378</v>
      </c>
      <c r="E525" s="99" t="s">
        <v>380</v>
      </c>
      <c r="F525" s="98" t="s">
        <v>85</v>
      </c>
      <c r="G525" s="92"/>
      <c r="H525" s="96"/>
      <c r="I525" s="94"/>
      <c r="J525" s="95"/>
      <c r="K525" s="96"/>
      <c r="L525" s="94"/>
      <c r="M525" s="95"/>
      <c r="N525" s="96"/>
      <c r="O525" s="94"/>
      <c r="P525" s="95"/>
      <c r="Q525" s="80" t="str">
        <f aca="false">IF(P460=P525,"〇","×")</f>
        <v>〇</v>
      </c>
    </row>
    <row r="526" s="110" customFormat="true" ht="20.1" hidden="false" customHeight="true" outlineLevel="0" collapsed="false">
      <c r="A526" s="100" t="s">
        <v>158</v>
      </c>
      <c r="B526" s="215" t="n">
        <f aca="false">SUMIFS(報告入力!$AU$7:$AU$696,報告入力!$A$7:$A$696,$S$522,報告入力!$B$7:$B$696,$A526)</f>
        <v>233143283</v>
      </c>
      <c r="C526" s="212" t="n">
        <f aca="false">SUMIFS(報告入力!$AV$7:$AV$696,報告入力!$A$7:$A$696,$S$522,報告入力!$B$7:$B$696,$A526)</f>
        <v>19118957</v>
      </c>
      <c r="D526" s="178" t="n">
        <f aca="false">SUMIFS(報告入力!$AW$7:$AW$696,報告入力!$A$7:$A$696,$S$522,報告入力!$B$7:$B$696,$A526)</f>
        <v>338993504</v>
      </c>
      <c r="E526" s="182" t="n">
        <f aca="false">SUMIFS(報告入力!$AX$7:$AX$696,報告入力!$A$7:$A$696,$S$522,報告入力!$B$7:$B$696,$A526)</f>
        <v>18571005</v>
      </c>
      <c r="F526" s="212" t="n">
        <f aca="false">SUMIFS(報告入力!$AY$7:$AY$696,報告入力!$A$7:$A$696,$S$522,報告入力!$B$7:$B$696,$A526)</f>
        <v>245094</v>
      </c>
      <c r="G526" s="392" t="n">
        <f aca="false">SUM(B526:F526)</f>
        <v>610071843</v>
      </c>
      <c r="H526" s="215" t="n">
        <f aca="false">SUMIFS(報告入力!$AZ$7:$AZ$696,報告入力!$A$7:$A$696,$S$522,報告入力!$B$7:$B$696,$A526)</f>
        <v>180313202</v>
      </c>
      <c r="I526" s="183" t="n">
        <f aca="false">SUMIFS(報告入力!$BA$7:$BA$696,報告入力!$A$7:$A$696,$S$522,報告入力!$B$7:$B$696,$A526)</f>
        <v>179630662</v>
      </c>
      <c r="J526" s="393" t="n">
        <f aca="false">SUM(H526:I526)</f>
        <v>359943864</v>
      </c>
      <c r="K526" s="360" t="n">
        <f aca="false">SUMIFS(報告入力!$BB$7:$BB$696,報告入力!$A$7:$A$696,$S$522,報告入力!$B$7:$B$696,$A526)</f>
        <v>15791898</v>
      </c>
      <c r="L526" s="362" t="n">
        <f aca="false">SUMIFS(報告入力!$BC$7:$BC$696,報告入力!$A$7:$A$696,$S$522,報告入力!$B$7:$B$696,$A526)</f>
        <v>15319802</v>
      </c>
      <c r="M526" s="181" t="n">
        <f aca="false">SUM(K526:L526)</f>
        <v>31111700</v>
      </c>
      <c r="N526" s="360" t="n">
        <f aca="false">SUMIFS(報告入力!$BD$7:$BD$696,報告入力!$A$7:$A$696,$S$522,報告入力!$B$7:$B$696,$A526)</f>
        <v>1</v>
      </c>
      <c r="O526" s="362" t="n">
        <f aca="false">SUMIFS(報告入力!$BE$7:$BE$696,報告入力!$A$7:$A$696,$S$522,報告入力!$B$7:$B$696,$A526)</f>
        <v>1</v>
      </c>
      <c r="P526" s="181" t="n">
        <f aca="false">SUM(N526:O526)</f>
        <v>2</v>
      </c>
      <c r="Q526" s="110" t="str">
        <f aca="false">IF(P461=P526,"〇","×")</f>
        <v>〇</v>
      </c>
      <c r="R526" s="110" t="str">
        <f aca="false">IFERROR(INDEX(報告入力!$C$7:$C$696,MATCH($S$522&amp;"|"&amp;$A526,報告入力!$CG$7:$CG$696,0)),"")</f>
        <v>未受領</v>
      </c>
    </row>
    <row r="527" s="110" customFormat="true" ht="20.1" hidden="false" customHeight="true" outlineLevel="0" collapsed="false">
      <c r="A527" s="100" t="s">
        <v>161</v>
      </c>
      <c r="B527" s="215" t="n">
        <f aca="false">SUMIFS(報告入力!$AU$7:$AU$696,報告入力!$A$7:$A$696,$S$522,報告入力!$B$7:$B$696,$A527)</f>
        <v>16631955</v>
      </c>
      <c r="C527" s="212" t="n">
        <f aca="false">SUMIFS(報告入力!$AV$7:$AV$696,報告入力!$A$7:$A$696,$S$522,報告入力!$B$7:$B$696,$A527)</f>
        <v>1363275</v>
      </c>
      <c r="D527" s="178" t="n">
        <f aca="false">SUMIFS(報告入力!$AW$7:$AW$696,報告入力!$A$7:$A$696,$S$522,報告入力!$B$7:$B$696,$A527)</f>
        <v>24204292</v>
      </c>
      <c r="E527" s="182" t="n">
        <f aca="false">SUMIFS(報告入力!$AX$7:$AX$696,報告入力!$A$7:$A$696,$S$522,報告入力!$B$7:$B$696,$A527)</f>
        <v>1363274</v>
      </c>
      <c r="F527" s="212" t="n">
        <f aca="false">SUMIFS(報告入力!$AY$7:$AY$696,報告入力!$A$7:$A$696,$S$522,報告入力!$B$7:$B$696,$A527)</f>
        <v>17126</v>
      </c>
      <c r="G527" s="392" t="n">
        <f aca="false">SUM(B527:F527)</f>
        <v>43579922</v>
      </c>
      <c r="H527" s="215" t="n">
        <f aca="false">SUMIFS(報告入力!$AZ$7:$AZ$696,報告入力!$A$7:$A$696,$S$522,報告入力!$B$7:$B$696,$A527)</f>
        <v>10416171</v>
      </c>
      <c r="I527" s="183" t="n">
        <f aca="false">SUMIFS(報告入力!$BA$7:$BA$696,報告入力!$A$7:$A$696,$S$522,報告入力!$B$7:$B$696,$A527)</f>
        <v>10600700</v>
      </c>
      <c r="J527" s="393" t="n">
        <f aca="false">SUM(H527:I527)</f>
        <v>21016871</v>
      </c>
      <c r="K527" s="178" t="n">
        <f aca="false">SUMIFS(報告入力!$BB$7:$BB$696,報告入力!$A$7:$A$696,$S$522,報告入力!$B$7:$B$696,$A527)</f>
        <v>1033903</v>
      </c>
      <c r="L527" s="362" t="n">
        <f aca="false">SUMIFS(報告入力!$BC$7:$BC$696,報告入力!$A$7:$A$696,$S$522,報告入力!$B$7:$B$696,$A527)</f>
        <v>1033903</v>
      </c>
      <c r="M527" s="181" t="n">
        <f aca="false">SUM(K527:L527)</f>
        <v>2067806</v>
      </c>
      <c r="N527" s="178" t="n">
        <f aca="false">SUMIFS(報告入力!$BD$7:$BD$696,報告入力!$A$7:$A$696,$S$522,報告入力!$B$7:$B$696,$A527)</f>
        <v>1</v>
      </c>
      <c r="O527" s="362" t="n">
        <f aca="false">SUMIFS(報告入力!$BE$7:$BE$696,報告入力!$A$7:$A$696,$S$522,報告入力!$B$7:$B$696,$A527)</f>
        <v>1</v>
      </c>
      <c r="P527" s="181" t="n">
        <f aca="false">SUM(N527:O527)</f>
        <v>2</v>
      </c>
      <c r="Q527" s="110" t="str">
        <f aca="false">IF(P462=P527,"〇","×")</f>
        <v>〇</v>
      </c>
      <c r="R527" s="110" t="str">
        <f aca="false">IFERROR(INDEX(報告入力!$C$7:$C$696,MATCH($S$522&amp;"|"&amp;$A527,報告入力!$CG$7:$CG$696,0)),"")</f>
        <v>未受領</v>
      </c>
    </row>
    <row r="528" s="110" customFormat="true" ht="20.25" hidden="false" customHeight="true" outlineLevel="0" collapsed="false">
      <c r="A528" s="100" t="s">
        <v>162</v>
      </c>
      <c r="B528" s="215" t="n">
        <f aca="false">SUMIFS(報告入力!$AU$7:$AU$696,報告入力!$A$7:$A$696,$S$522,報告入力!$B$7:$B$696,$A528)</f>
        <v>53556323</v>
      </c>
      <c r="C528" s="212" t="n">
        <f aca="false">SUMIFS(報告入力!$AV$7:$AV$696,報告入力!$A$7:$A$696,$S$522,報告入力!$B$7:$B$696,$A528)</f>
        <v>4392713</v>
      </c>
      <c r="D528" s="178" t="n">
        <f aca="false">SUMIFS(報告入力!$AW$7:$AW$696,報告入力!$A$7:$A$696,$S$522,報告入力!$B$7:$B$696,$A528)</f>
        <v>78209424</v>
      </c>
      <c r="E528" s="182" t="n">
        <f aca="false">SUMIFS(報告入力!$AX$7:$AX$696,報告入力!$A$7:$A$696,$S$522,報告入力!$B$7:$B$696,$A528)</f>
        <v>4391513</v>
      </c>
      <c r="F528" s="212" t="n">
        <f aca="false">SUMIFS(報告入力!$AY$7:$AY$696,報告入力!$A$7:$A$696,$S$522,報告入力!$B$7:$B$696,$A528)</f>
        <v>55502</v>
      </c>
      <c r="G528" s="392" t="n">
        <f aca="false">SUM(B528:F528)</f>
        <v>140605475</v>
      </c>
      <c r="H528" s="215" t="n">
        <f aca="false">SUMIFS(報告入力!$AZ$7:$AZ$696,報告入力!$A$7:$A$696,$S$522,報告入力!$B$7:$B$696,$A528)</f>
        <v>32917457</v>
      </c>
      <c r="I528" s="183" t="n">
        <f aca="false">SUMIFS(報告入力!$BA$7:$BA$696,報告入力!$A$7:$A$696,$S$522,報告入力!$B$7:$B$696,$A528)</f>
        <v>33497077</v>
      </c>
      <c r="J528" s="393" t="n">
        <f aca="false">SUM(H528:I528)</f>
        <v>66414534</v>
      </c>
      <c r="K528" s="178" t="n">
        <f aca="false">SUMIFS(報告入力!$BB$7:$BB$696,報告入力!$A$7:$A$696,$S$522,報告入力!$B$7:$B$696,$A528)</f>
        <v>1981286</v>
      </c>
      <c r="L528" s="362" t="n">
        <f aca="false">SUMIFS(報告入力!$BC$7:$BC$696,報告入力!$A$7:$A$696,$S$522,報告入力!$B$7:$B$696,$A528)</f>
        <v>1974257</v>
      </c>
      <c r="M528" s="181" t="n">
        <f aca="false">SUM(K528:L528)</f>
        <v>3955543</v>
      </c>
      <c r="N528" s="178" t="n">
        <f aca="false">SUMIFS(報告入力!$BD$7:$BD$696,報告入力!$A$7:$A$696,$S$522,報告入力!$B$7:$B$696,$A528)</f>
        <v>1</v>
      </c>
      <c r="O528" s="362" t="n">
        <f aca="false">SUMIFS(報告入力!$BE$7:$BE$696,報告入力!$A$7:$A$696,$S$522,報告入力!$B$7:$B$696,$A528)</f>
        <v>1</v>
      </c>
      <c r="P528" s="181" t="n">
        <f aca="false">SUM(N528:O528)</f>
        <v>2</v>
      </c>
      <c r="Q528" s="110" t="str">
        <f aca="false">IF(P463=P528,"〇","×")</f>
        <v>〇</v>
      </c>
      <c r="R528" s="110" t="str">
        <f aca="false">IFERROR(INDEX(報告入力!$C$7:$C$696,MATCH($S$522&amp;"|"&amp;$A528,報告入力!$CG$7:$CG$696,0)),"")</f>
        <v>未受領</v>
      </c>
    </row>
    <row r="529" s="110" customFormat="true" ht="20.1" hidden="false" customHeight="true" outlineLevel="0" collapsed="false">
      <c r="A529" s="100" t="s">
        <v>163</v>
      </c>
      <c r="B529" s="215" t="n">
        <f aca="false">SUMIFS(報告入力!$AU$7:$AU$696,報告入力!$A$7:$A$696,$S$522,報告入力!$B$7:$B$696,$A529)</f>
        <v>1740330</v>
      </c>
      <c r="C529" s="212" t="n">
        <f aca="false">SUMIFS(報告入力!$AV$7:$AV$696,報告入力!$A$7:$A$696,$S$522,報告入力!$B$7:$B$696,$A529)</f>
        <v>142650</v>
      </c>
      <c r="D529" s="178" t="n">
        <f aca="false">SUMIFS(報告入力!$AW$7:$AW$696,報告入力!$A$7:$A$696,$S$522,報告入力!$B$7:$B$696,$A529)</f>
        <v>2539620</v>
      </c>
      <c r="E529" s="182" t="n">
        <f aca="false">SUMIFS(報告入力!$AX$7:$AX$696,報告入力!$A$7:$A$696,$S$522,報告入力!$B$7:$B$696,$A529)</f>
        <v>142650</v>
      </c>
      <c r="F529" s="212" t="n">
        <f aca="false">SUMIFS(報告入力!$AY$7:$AY$696,報告入力!$A$7:$A$696,$S$522,報告入力!$B$7:$B$696,$A529)</f>
        <v>1808</v>
      </c>
      <c r="G529" s="392" t="n">
        <f aca="false">SUM(B529:F529)</f>
        <v>4567058</v>
      </c>
      <c r="H529" s="362" t="n">
        <f aca="false">SUMIFS(報告入力!$AZ$7:$AZ$696,報告入力!$A$7:$A$696,$S$522,報告入力!$B$7:$B$696,$A529)</f>
        <v>1055074</v>
      </c>
      <c r="I529" s="182" t="n">
        <f aca="false">SUMIFS(報告入力!$BA$7:$BA$696,報告入力!$A$7:$A$696,$S$522,報告入力!$B$7:$B$696,$A529)</f>
        <v>1073929</v>
      </c>
      <c r="J529" s="393" t="n">
        <f aca="false">SUM(H529:I529)</f>
        <v>2129003</v>
      </c>
      <c r="K529" s="178" t="n">
        <f aca="false">SUMIFS(報告入力!$BB$7:$BB$696,報告入力!$A$7:$A$696,$S$522,報告入力!$B$7:$B$696,$A529)</f>
        <v>96696</v>
      </c>
      <c r="L529" s="362" t="n">
        <f aca="false">SUMIFS(報告入力!$BC$7:$BC$696,報告入力!$A$7:$A$696,$S$522,報告入力!$B$7:$B$696,$A529)</f>
        <v>96696</v>
      </c>
      <c r="M529" s="181" t="n">
        <f aca="false">SUM(K529:L529)</f>
        <v>193392</v>
      </c>
      <c r="N529" s="178" t="n">
        <f aca="false">SUMIFS(報告入力!$BD$7:$BD$696,報告入力!$A$7:$A$696,$S$522,報告入力!$B$7:$B$696,$A529)</f>
        <v>1</v>
      </c>
      <c r="O529" s="362" t="n">
        <f aca="false">SUMIFS(報告入力!$BE$7:$BE$696,報告入力!$A$7:$A$696,$S$522,報告入力!$B$7:$B$696,$A529)</f>
        <v>1</v>
      </c>
      <c r="P529" s="181" t="n">
        <f aca="false">SUM(N529:O529)</f>
        <v>2</v>
      </c>
      <c r="Q529" s="110" t="str">
        <f aca="false">IF(P464=P529,"〇","×")</f>
        <v>〇</v>
      </c>
      <c r="R529" s="110" t="str">
        <f aca="false">IFERROR(INDEX(報告入力!$C$7:$C$696,MATCH($S$522&amp;"|"&amp;$A529,報告入力!$CG$7:$CG$696,0)),"")</f>
        <v>未受領</v>
      </c>
    </row>
    <row r="530" s="110" customFormat="true" ht="20.1" hidden="false" customHeight="true" outlineLevel="0" collapsed="false">
      <c r="A530" s="100" t="s">
        <v>164</v>
      </c>
      <c r="B530" s="215" t="n">
        <f aca="false">SUMIFS(報告入力!$AU$7:$AU$696,報告入力!$A$7:$A$696,$S$522,報告入力!$B$7:$B$696,$A530)</f>
        <v>24086461</v>
      </c>
      <c r="C530" s="212" t="n">
        <f aca="false">SUMIFS(報告入力!$AV$7:$AV$696,報告入力!$A$7:$A$696,$S$522,報告入力!$B$7:$B$696,$A530)</f>
        <v>1974301</v>
      </c>
      <c r="D530" s="178" t="n">
        <f aca="false">SUMIFS(報告入力!$AW$7:$AW$696,報告入力!$A$7:$A$696,$S$522,報告入力!$B$7:$B$696,$A530)</f>
        <v>35170175</v>
      </c>
      <c r="E530" s="182" t="n">
        <f aca="false">SUMIFS(報告入力!$AX$7:$AX$696,報告入力!$A$7:$A$696,$S$522,報告入力!$B$7:$B$696,$A530)</f>
        <v>1976400</v>
      </c>
      <c r="F530" s="212" t="n">
        <f aca="false">SUMIFS(報告入力!$AY$7:$AY$696,報告入力!$A$7:$A$696,$S$522,報告入力!$B$7:$B$696,$A530)</f>
        <v>25013</v>
      </c>
      <c r="G530" s="392" t="n">
        <f aca="false">SUM(B530:F530)</f>
        <v>63232350</v>
      </c>
      <c r="H530" s="362" t="n">
        <f aca="false">SUMIFS(報告入力!$AZ$7:$AZ$696,報告入力!$A$7:$A$696,$S$522,報告入力!$B$7:$B$696,$A530)</f>
        <v>25720517</v>
      </c>
      <c r="I530" s="182" t="n">
        <f aca="false">SUMIFS(報告入力!$BA$7:$BA$696,報告入力!$A$7:$A$696,$S$522,報告入力!$B$7:$B$696,$A530)</f>
        <v>26209654</v>
      </c>
      <c r="J530" s="393" t="n">
        <f aca="false">SUM(H530:I530)</f>
        <v>51930171</v>
      </c>
      <c r="K530" s="178" t="n">
        <f aca="false">SUMIFS(報告入力!$BB$7:$BB$696,報告入力!$A$7:$A$696,$S$522,報告入力!$B$7:$B$696,$A530)</f>
        <v>2801747</v>
      </c>
      <c r="L530" s="213" t="n">
        <f aca="false">SUMIFS(報告入力!$BC$7:$BC$696,報告入力!$A$7:$A$696,$S$522,報告入力!$B$7:$B$696,$A530)</f>
        <v>2802592</v>
      </c>
      <c r="M530" s="181" t="n">
        <f aca="false">SUM(K530:L530)</f>
        <v>5604339</v>
      </c>
      <c r="N530" s="178" t="n">
        <f aca="false">SUMIFS(報告入力!$BD$7:$BD$696,報告入力!$A$7:$A$696,$S$522,報告入力!$B$7:$B$696,$A530)</f>
        <v>1</v>
      </c>
      <c r="O530" s="213" t="n">
        <f aca="false">SUMIFS(報告入力!$BE$7:$BE$696,報告入力!$A$7:$A$696,$S$522,報告入力!$B$7:$B$696,$A530)</f>
        <v>1</v>
      </c>
      <c r="P530" s="181" t="n">
        <f aca="false">SUM(N530:O530)</f>
        <v>2</v>
      </c>
      <c r="Q530" s="110" t="str">
        <f aca="false">IF(P465=P530,"〇","×")</f>
        <v>〇</v>
      </c>
      <c r="R530" s="110" t="str">
        <f aca="false">IFERROR(INDEX(報告入力!$C$7:$C$696,MATCH($S$522&amp;"|"&amp;$A530,報告入力!$CG$7:$CG$696,0)),"")</f>
        <v>未受領</v>
      </c>
    </row>
    <row r="531" s="110" customFormat="true" ht="20.1" hidden="false" customHeight="true" outlineLevel="0" collapsed="false">
      <c r="A531" s="100" t="s">
        <v>165</v>
      </c>
      <c r="B531" s="215" t="n">
        <f aca="false">SUMIFS(報告入力!$AU$7:$AU$696,報告入力!$A$7:$A$696,$S$522,報告入力!$B$7:$B$696,$A531)</f>
        <v>280905</v>
      </c>
      <c r="C531" s="212" t="n">
        <f aca="false">SUMIFS(報告入力!$AV$7:$AV$696,報告入力!$A$7:$A$696,$S$522,報告入力!$B$7:$B$696,$A531)</f>
        <v>23025</v>
      </c>
      <c r="D531" s="178" t="n">
        <f aca="false">SUMIFS(報告入力!$AW$7:$AW$696,報告入力!$A$7:$A$696,$S$522,報告入力!$B$7:$B$696,$A531)</f>
        <v>408310</v>
      </c>
      <c r="E531" s="182" t="n">
        <f aca="false">SUMIFS(報告入力!$AX$7:$AX$696,報告入力!$A$7:$A$696,$S$522,報告入力!$B$7:$B$696,$A531)</f>
        <v>23025</v>
      </c>
      <c r="F531" s="212" t="n">
        <f aca="false">SUMIFS(報告入力!$AY$7:$AY$696,報告入力!$A$7:$A$696,$S$522,報告入力!$B$7:$B$696,$A531)</f>
        <v>288</v>
      </c>
      <c r="G531" s="392" t="n">
        <f aca="false">SUM(B531:F531)</f>
        <v>735553</v>
      </c>
      <c r="H531" s="215" t="n">
        <f aca="false">SUMIFS(報告入力!$AZ$7:$AZ$696,報告入力!$A$7:$A$696,$S$522,報告入力!$B$7:$B$696,$A531)</f>
        <v>264041</v>
      </c>
      <c r="I531" s="183" t="n">
        <f aca="false">SUMIFS(報告入力!$BA$7:$BA$696,報告入力!$A$7:$A$696,$S$522,報告入力!$B$7:$B$696,$A531)</f>
        <v>193690</v>
      </c>
      <c r="J531" s="393" t="n">
        <f aca="false">SUM(H531:I531)</f>
        <v>457731</v>
      </c>
      <c r="K531" s="178" t="n">
        <f aca="false">SUMIFS(報告入力!$BB$7:$BB$696,報告入力!$A$7:$A$696,$S$522,報告入力!$B$7:$B$696,$A531)</f>
        <v>21674</v>
      </c>
      <c r="L531" s="362" t="n">
        <f aca="false">SUMIFS(報告入力!$BC$7:$BC$696,報告入力!$A$7:$A$696,$S$522,報告入力!$B$7:$B$696,$A531)</f>
        <v>15326</v>
      </c>
      <c r="M531" s="181" t="n">
        <f aca="false">SUM(K531:L531)</f>
        <v>37000</v>
      </c>
      <c r="N531" s="178" t="n">
        <f aca="false">SUMIFS(報告入力!$BD$7:$BD$696,報告入力!$A$7:$A$696,$S$522,報告入力!$B$7:$B$696,$A531)</f>
        <v>1</v>
      </c>
      <c r="O531" s="362" t="n">
        <f aca="false">SUMIFS(報告入力!$BE$7:$BE$696,報告入力!$A$7:$A$696,$S$522,報告入力!$B$7:$B$696,$A531)</f>
        <v>1</v>
      </c>
      <c r="P531" s="181" t="n">
        <f aca="false">SUM(N531:O531)</f>
        <v>2</v>
      </c>
      <c r="Q531" s="110" t="str">
        <f aca="false">IF(P466=P531,"〇","×")</f>
        <v>〇</v>
      </c>
      <c r="R531" s="110" t="str">
        <f aca="false">IFERROR(INDEX(報告入力!$C$7:$C$696,MATCH($S$522&amp;"|"&amp;$A531,報告入力!$CG$7:$CG$696,0)),"")</f>
        <v>未受領</v>
      </c>
    </row>
    <row r="532" s="110" customFormat="true" ht="20.1" hidden="false" customHeight="true" outlineLevel="0" collapsed="false">
      <c r="A532" s="100" t="s">
        <v>166</v>
      </c>
      <c r="B532" s="215" t="n">
        <f aca="false">SUMIFS(報告入力!$AU$7:$AU$696,報告入力!$A$7:$A$696,$S$522,報告入力!$B$7:$B$696,$A532)</f>
        <v>561810</v>
      </c>
      <c r="C532" s="212" t="n">
        <f aca="false">SUMIFS(報告入力!$AV$7:$AV$696,報告入力!$A$7:$A$696,$S$522,報告入力!$B$7:$B$696,$A532)</f>
        <v>46050</v>
      </c>
      <c r="D532" s="178" t="n">
        <f aca="false">SUMIFS(報告入力!$AW$7:$AW$696,報告入力!$A$7:$A$696,$S$522,報告入力!$B$7:$B$696,$A532)</f>
        <v>816620</v>
      </c>
      <c r="E532" s="182" t="n">
        <f aca="false">SUMIFS(報告入力!$AX$7:$AX$696,報告入力!$A$7:$A$696,$S$522,報告入力!$B$7:$B$696,$A532)</f>
        <v>46050</v>
      </c>
      <c r="F532" s="212" t="n">
        <f aca="false">SUMIFS(報告入力!$AY$7:$AY$696,報告入力!$A$7:$A$696,$S$522,報告入力!$B$7:$B$696,$A532)</f>
        <v>576</v>
      </c>
      <c r="G532" s="392" t="n">
        <f aca="false">SUM(B532:F532)</f>
        <v>1471106</v>
      </c>
      <c r="H532" s="215" t="n">
        <f aca="false">SUMIFS(報告入力!$AZ$7:$AZ$696,報告入力!$A$7:$A$696,$S$522,報告入力!$B$7:$B$696,$A532)</f>
        <v>351070</v>
      </c>
      <c r="I532" s="183" t="n">
        <f aca="false">SUMIFS(報告入力!$BA$7:$BA$696,報告入力!$A$7:$A$696,$S$522,報告入力!$B$7:$B$696,$A532)</f>
        <v>357264</v>
      </c>
      <c r="J532" s="393" t="n">
        <f aca="false">SUM(H532:I532)</f>
        <v>708334</v>
      </c>
      <c r="K532" s="178" t="n">
        <f aca="false">SUMIFS(報告入力!$BB$7:$BB$696,報告入力!$A$7:$A$696,$S$522,報告入力!$B$7:$B$696,$A532)</f>
        <v>33353</v>
      </c>
      <c r="L532" s="362" t="n">
        <f aca="false">SUMIFS(報告入力!$BC$7:$BC$696,報告入力!$A$7:$A$696,$S$522,報告入力!$B$7:$B$696,$A532)</f>
        <v>33353</v>
      </c>
      <c r="M532" s="181" t="n">
        <f aca="false">SUM(K532:L532)</f>
        <v>66706</v>
      </c>
      <c r="N532" s="178" t="n">
        <f aca="false">SUMIFS(報告入力!$BD$7:$BD$696,報告入力!$A$7:$A$696,$S$522,報告入力!$B$7:$B$696,$A532)</f>
        <v>1</v>
      </c>
      <c r="O532" s="362" t="n">
        <f aca="false">SUMIFS(報告入力!$BE$7:$BE$696,報告入力!$A$7:$A$696,$S$522,報告入力!$B$7:$B$696,$A532)</f>
        <v>1</v>
      </c>
      <c r="P532" s="181" t="n">
        <f aca="false">SUM(N532:O532)</f>
        <v>2</v>
      </c>
      <c r="Q532" s="110" t="str">
        <f aca="false">IF(P467=P532,"〇","×")</f>
        <v>〇</v>
      </c>
      <c r="R532" s="110" t="str">
        <f aca="false">IFERROR(INDEX(報告入力!$C$7:$C$696,MATCH($S$522&amp;"|"&amp;$A532,報告入力!$CG$7:$CG$696,0)),"")</f>
        <v>未受領</v>
      </c>
    </row>
    <row r="533" s="110" customFormat="true" ht="20.1" hidden="false" customHeight="true" outlineLevel="0" collapsed="false">
      <c r="A533" s="100" t="s">
        <v>167</v>
      </c>
      <c r="B533" s="215" t="n">
        <f aca="false">SUMIFS(報告入力!$AU$7:$AU$696,報告入力!$A$7:$A$696,$S$522,報告入力!$B$7:$B$696,$A533)</f>
        <v>1344135</v>
      </c>
      <c r="C533" s="212" t="n">
        <f aca="false">SUMIFS(報告入力!$AV$7:$AV$696,報告入力!$A$7:$A$696,$S$522,報告入力!$B$7:$B$696,$A533)</f>
        <v>110175</v>
      </c>
      <c r="D533" s="178" t="n">
        <f aca="false">SUMIFS(報告入力!$AW$7:$AW$696,報告入力!$A$7:$A$696,$S$522,報告入力!$B$7:$B$696,$A533)</f>
        <v>1965390</v>
      </c>
      <c r="E533" s="182" t="n">
        <f aca="false">SUMIFS(報告入力!$AX$7:$AX$696,報告入力!$A$7:$A$696,$S$522,報告入力!$B$7:$B$696,$A533)</f>
        <v>110175</v>
      </c>
      <c r="F533" s="212" t="n">
        <f aca="false">SUMIFS(報告入力!$AY$7:$AY$696,報告入力!$A$7:$A$696,$S$522,報告入力!$B$7:$B$696,$A533)</f>
        <v>1405</v>
      </c>
      <c r="G533" s="392" t="n">
        <f aca="false">SUM(B533:F533)</f>
        <v>3531280</v>
      </c>
      <c r="H533" s="215" t="n">
        <f aca="false">SUMIFS(報告入力!$AZ$7:$AZ$696,報告入力!$A$7:$A$696,$S$522,報告入力!$B$7:$B$696,$A533)</f>
        <v>836690</v>
      </c>
      <c r="I533" s="183" t="n">
        <f aca="false">SUMIFS(報告入力!$BA$7:$BA$696,報告入力!$A$7:$A$696,$S$522,報告入力!$B$7:$B$696,$A533)</f>
        <v>851727</v>
      </c>
      <c r="J533" s="393" t="n">
        <f aca="false">SUM(H533:I533)</f>
        <v>1688417</v>
      </c>
      <c r="K533" s="178" t="n">
        <f aca="false">SUMIFS(報告入力!$BB$7:$BB$696,報告入力!$A$7:$A$696,$S$522,報告入力!$B$7:$B$696,$A533)</f>
        <v>108309</v>
      </c>
      <c r="L533" s="362" t="n">
        <f aca="false">SUMIFS(報告入力!$BC$7:$BC$696,報告入力!$A$7:$A$696,$S$522,報告入力!$B$7:$B$696,$A533)</f>
        <v>108309</v>
      </c>
      <c r="M533" s="181" t="n">
        <f aca="false">SUM(K533:L533)</f>
        <v>216618</v>
      </c>
      <c r="N533" s="178" t="n">
        <f aca="false">SUMIFS(報告入力!$BD$7:$BD$696,報告入力!$A$7:$A$696,$S$522,報告入力!$B$7:$B$696,$A533)</f>
        <v>1</v>
      </c>
      <c r="O533" s="362" t="n">
        <f aca="false">SUMIFS(報告入力!$BE$7:$BE$696,報告入力!$A$7:$A$696,$S$522,報告入力!$B$7:$B$696,$A533)</f>
        <v>1</v>
      </c>
      <c r="P533" s="181" t="n">
        <f aca="false">SUM(N533:O533)</f>
        <v>2</v>
      </c>
      <c r="Q533" s="110" t="str">
        <f aca="false">IF(P468=P533,"〇","×")</f>
        <v>〇</v>
      </c>
      <c r="R533" s="110" t="str">
        <f aca="false">IFERROR(INDEX(報告入力!$C$7:$C$696,MATCH($S$522&amp;"|"&amp;$A533,報告入力!$CG$7:$CG$696,0)),"")</f>
        <v>未受領</v>
      </c>
    </row>
    <row r="534" s="110" customFormat="true" ht="20.1" hidden="false" customHeight="true" outlineLevel="0" collapsed="false">
      <c r="A534" s="100" t="s">
        <v>168</v>
      </c>
      <c r="B534" s="215" t="n">
        <f aca="false">SUMIFS(報告入力!$AU$7:$AU$696,報告入力!$A$7:$A$696,$S$522,報告入力!$B$7:$B$696,$A534)</f>
        <v>382470</v>
      </c>
      <c r="C534" s="212" t="n">
        <f aca="false">SUMIFS(報告入力!$AV$7:$AV$696,報告入力!$A$7:$A$696,$S$522,報告入力!$B$7:$B$696,$A534)</f>
        <v>31350</v>
      </c>
      <c r="D534" s="178" t="n">
        <f aca="false">SUMIFS(報告入力!$AW$7:$AW$696,報告入力!$A$7:$A$696,$S$522,報告入力!$B$7:$B$696,$A534)</f>
        <v>555940</v>
      </c>
      <c r="E534" s="182" t="n">
        <f aca="false">SUMIFS(報告入力!$AX$7:$AX$696,報告入力!$A$7:$A$696,$S$522,報告入力!$B$7:$B$696,$A534)</f>
        <v>31350</v>
      </c>
      <c r="F534" s="212" t="n">
        <f aca="false">SUMIFS(報告入力!$AY$7:$AY$696,報告入力!$A$7:$A$696,$S$522,報告入力!$B$7:$B$696,$A534)</f>
        <v>392</v>
      </c>
      <c r="G534" s="392" t="n">
        <f aca="false">SUM(B534:F534)</f>
        <v>1001502</v>
      </c>
      <c r="H534" s="215" t="n">
        <f aca="false">SUMIFS(報告入力!$AZ$7:$AZ$696,報告入力!$A$7:$A$696,$S$522,報告入力!$B$7:$B$696,$A534)</f>
        <v>308930</v>
      </c>
      <c r="I534" s="183" t="n">
        <f aca="false">SUMIFS(報告入力!$BA$7:$BA$696,報告入力!$A$7:$A$696,$S$522,報告入力!$B$7:$B$696,$A534)</f>
        <v>314382</v>
      </c>
      <c r="J534" s="393" t="n">
        <f aca="false">SUM(H534:I534)</f>
        <v>623312</v>
      </c>
      <c r="K534" s="178" t="n">
        <f aca="false">SUMIFS(報告入力!$BB$7:$BB$696,報告入力!$A$7:$A$696,$S$522,報告入力!$B$7:$B$696,$A534)</f>
        <v>32672</v>
      </c>
      <c r="L534" s="362" t="n">
        <f aca="false">SUMIFS(報告入力!$BC$7:$BC$696,報告入力!$A$7:$A$696,$S$522,報告入力!$B$7:$B$696,$A534)</f>
        <v>32674</v>
      </c>
      <c r="M534" s="181" t="n">
        <f aca="false">SUM(K534:L534)</f>
        <v>65346</v>
      </c>
      <c r="N534" s="178" t="n">
        <f aca="false">SUMIFS(報告入力!$BD$7:$BD$696,報告入力!$A$7:$A$696,$S$522,報告入力!$B$7:$B$696,$A534)</f>
        <v>1</v>
      </c>
      <c r="O534" s="362" t="n">
        <f aca="false">SUMIFS(報告入力!$BE$7:$BE$696,報告入力!$A$7:$A$696,$S$522,報告入力!$B$7:$B$696,$A534)</f>
        <v>1</v>
      </c>
      <c r="P534" s="181" t="n">
        <f aca="false">SUM(N534:O534)</f>
        <v>2</v>
      </c>
      <c r="Q534" s="110" t="str">
        <f aca="false">IF(P469=P534,"〇","×")</f>
        <v>〇</v>
      </c>
      <c r="R534" s="110" t="str">
        <f aca="false">IFERROR(INDEX(報告入力!$C$7:$C$696,MATCH($S$522&amp;"|"&amp;$A534,報告入力!$CG$7:$CG$696,0)),"")</f>
        <v>未受領</v>
      </c>
    </row>
    <row r="535" s="110" customFormat="true" ht="20.1" hidden="false" customHeight="true" outlineLevel="0" collapsed="false">
      <c r="A535" s="100" t="s">
        <v>169</v>
      </c>
      <c r="B535" s="215" t="n">
        <f aca="false">SUMIFS(報告入力!$AU$7:$AU$696,報告入力!$A$7:$A$696,$S$522,報告入力!$B$7:$B$696,$A535)</f>
        <v>22400939</v>
      </c>
      <c r="C535" s="212" t="n">
        <f aca="false">SUMIFS(報告入力!$AV$7:$AV$696,報告入力!$A$7:$A$696,$S$522,報告入力!$B$7:$B$696,$A535)</f>
        <v>1836143</v>
      </c>
      <c r="D535" s="178" t="n">
        <f aca="false">SUMIFS(報告入力!$AW$7:$AW$696,報告入力!$A$7:$A$696,$S$522,報告入力!$B$7:$B$696,$A535)</f>
        <v>32700782</v>
      </c>
      <c r="E535" s="182" t="n">
        <f aca="false">SUMIFS(報告入力!$AX$7:$AX$696,報告入力!$A$7:$A$696,$S$522,報告入力!$B$7:$B$696,$A535)</f>
        <v>1836143</v>
      </c>
      <c r="F535" s="212" t="n">
        <f aca="false">SUMIFS(報告入力!$AY$7:$AY$696,報告入力!$A$7:$A$696,$S$522,報告入力!$B$7:$B$696,$A535)</f>
        <v>23299</v>
      </c>
      <c r="G535" s="392" t="n">
        <f aca="false">SUM(B535:F535)</f>
        <v>58797306</v>
      </c>
      <c r="H535" s="215" t="n">
        <f aca="false">SUMIFS(報告入力!$AZ$7:$AZ$696,報告入力!$A$7:$A$696,$S$522,報告入力!$B$7:$B$696,$A535)</f>
        <v>14200515</v>
      </c>
      <c r="I535" s="183" t="n">
        <f aca="false">SUMIFS(報告入力!$BA$7:$BA$696,報告入力!$A$7:$A$696,$S$522,報告入力!$B$7:$B$696,$A535)</f>
        <v>14454449</v>
      </c>
      <c r="J535" s="393" t="n">
        <f aca="false">SUM(H535:I535)</f>
        <v>28654964</v>
      </c>
      <c r="K535" s="178" t="n">
        <f aca="false">SUMIFS(報告入力!$BB$7:$BB$696,報告入力!$A$7:$A$696,$S$522,報告入力!$B$7:$B$696,$A535)</f>
        <v>1347187</v>
      </c>
      <c r="L535" s="362" t="n">
        <f aca="false">SUMIFS(報告入力!$BC$7:$BC$696,報告入力!$A$7:$A$696,$S$522,報告入力!$B$7:$B$696,$A535)</f>
        <v>1347187</v>
      </c>
      <c r="M535" s="181" t="n">
        <f aca="false">SUM(K535:L535)</f>
        <v>2694374</v>
      </c>
      <c r="N535" s="178" t="n">
        <f aca="false">SUMIFS(報告入力!$BD$7:$BD$696,報告入力!$A$7:$A$696,$S$522,報告入力!$B$7:$B$696,$A535)</f>
        <v>1</v>
      </c>
      <c r="O535" s="362" t="n">
        <f aca="false">SUMIFS(報告入力!$BE$7:$BE$696,報告入力!$A$7:$A$696,$S$522,報告入力!$B$7:$B$696,$A535)</f>
        <v>1</v>
      </c>
      <c r="P535" s="181" t="n">
        <f aca="false">SUM(N535:O535)</f>
        <v>2</v>
      </c>
      <c r="Q535" s="110" t="str">
        <f aca="false">IF(P470=P535,"〇","×")</f>
        <v>〇</v>
      </c>
      <c r="R535" s="110" t="str">
        <f aca="false">IFERROR(INDEX(報告入力!$C$7:$C$696,MATCH($S$522&amp;"|"&amp;$A535,報告入力!$CG$7:$CG$696,0)),"")</f>
        <v>未受領</v>
      </c>
    </row>
    <row r="536" s="110" customFormat="true" ht="19.5" hidden="false" customHeight="true" outlineLevel="0" collapsed="false">
      <c r="A536" s="121" t="s">
        <v>381</v>
      </c>
      <c r="B536" s="215" t="n">
        <f aca="false">SUMIFS(報告入力!$AU$7:$AU$696,報告入力!$A$7:$A$696,$S$522,報告入力!$B$7:$B$696,$A536)</f>
        <v>48495</v>
      </c>
      <c r="C536" s="212" t="n">
        <f aca="false">SUMIFS(報告入力!$AV$7:$AV$696,報告入力!$A$7:$A$696,$S$522,報告入力!$B$7:$B$696,$A536)</f>
        <v>3975</v>
      </c>
      <c r="D536" s="178" t="n">
        <f aca="false">SUMIFS(報告入力!$AW$7:$AW$696,報告入力!$A$7:$A$696,$S$522,報告入力!$B$7:$B$696,$A536)</f>
        <v>70490</v>
      </c>
      <c r="E536" s="182" t="n">
        <f aca="false">SUMIFS(報告入力!$AX$7:$AX$696,報告入力!$A$7:$A$696,$S$522,報告入力!$B$7:$B$696,$A536)</f>
        <v>3975</v>
      </c>
      <c r="F536" s="212" t="n">
        <f aca="false">SUMIFS(報告入力!$AY$7:$AY$696,報告入力!$A$7:$A$696,$S$522,報告入力!$B$7:$B$696,$A536)</f>
        <v>49</v>
      </c>
      <c r="G536" s="392" t="n">
        <f aca="false">SUM(B536:F536)</f>
        <v>126984</v>
      </c>
      <c r="H536" s="215" t="n">
        <f aca="false">SUMIFS(報告入力!$AZ$7:$AZ$696,報告入力!$A$7:$A$696,$S$522,報告入力!$B$7:$B$696,$A536)</f>
        <v>29155</v>
      </c>
      <c r="I536" s="183" t="n">
        <f aca="false">SUMIFS(報告入力!$BA$7:$BA$696,報告入力!$A$7:$A$696,$S$522,報告入力!$B$7:$B$696,$A536)</f>
        <v>29669</v>
      </c>
      <c r="J536" s="393" t="n">
        <f aca="false">SUM(H536:I536)</f>
        <v>58824</v>
      </c>
      <c r="K536" s="178" t="n">
        <f aca="false">SUMIFS(報告入力!$BB$7:$BB$696,報告入力!$A$7:$A$696,$S$522,報告入力!$B$7:$B$696,$A536)</f>
        <v>4187</v>
      </c>
      <c r="L536" s="362" t="n">
        <f aca="false">SUMIFS(報告入力!$BC$7:$BC$696,報告入力!$A$7:$A$696,$S$522,報告入力!$B$7:$B$696,$A536)</f>
        <v>4187</v>
      </c>
      <c r="M536" s="181" t="n">
        <f aca="false">SUM(K536:L536)</f>
        <v>8374</v>
      </c>
      <c r="N536" s="178" t="n">
        <f aca="false">SUMIFS(報告入力!$BD$7:$BD$696,報告入力!$A$7:$A$696,$S$522,報告入力!$B$7:$B$696,$A536)</f>
        <v>1</v>
      </c>
      <c r="O536" s="362" t="n">
        <f aca="false">SUMIFS(報告入力!$BE$7:$BE$696,報告入力!$A$7:$A$696,$S$522,報告入力!$B$7:$B$696,$A536)</f>
        <v>1</v>
      </c>
      <c r="P536" s="181" t="n">
        <f aca="false">SUM(N536:O536)</f>
        <v>2</v>
      </c>
      <c r="Q536" s="110" t="str">
        <f aca="false">IF(P471=P536,"〇","×")</f>
        <v>〇</v>
      </c>
      <c r="R536" s="110" t="str">
        <f aca="false">IFERROR(INDEX(報告入力!$C$7:$C$696,MATCH($S$522&amp;"|"&amp;$A536,報告入力!$CG$7:$CG$696,0)),"")</f>
        <v>未受領</v>
      </c>
    </row>
    <row r="537" s="137" customFormat="true" ht="19.5" hidden="false" customHeight="true" outlineLevel="0" collapsed="false">
      <c r="A537" s="126" t="s">
        <v>171</v>
      </c>
      <c r="B537" s="127" t="n">
        <f aca="false">SUMIFS(報告入力!$AU$7:$AU$696,報告入力!$A$7:$A$696,$S$522,報告入力!$B$7:$B$696,$A537)</f>
        <v>0</v>
      </c>
      <c r="C537" s="128" t="n">
        <f aca="false">SUMIFS(報告入力!$AV$7:$AV$696,報告入力!$A$7:$A$696,$S$522,報告入力!$B$7:$B$696,$A537)</f>
        <v>0</v>
      </c>
      <c r="D537" s="129"/>
      <c r="E537" s="130"/>
      <c r="F537" s="131" t="n">
        <f aca="false">SUMIFS(報告入力!$AY$7:$AY$696,報告入力!$A$7:$A$696,$S$522,報告入力!$B$7:$B$696,$A537)</f>
        <v>0</v>
      </c>
      <c r="G537" s="132" t="n">
        <f aca="false">SUM(B537:F537)</f>
        <v>0</v>
      </c>
      <c r="H537" s="262" t="n">
        <f aca="false">SUMIFS(報告入力!$AZ$7:$AZ$696,報告入力!$A$7:$A$696,$S$522,報告入力!$B$7:$B$696,$A537)</f>
        <v>303418</v>
      </c>
      <c r="I537" s="183" t="n">
        <f aca="false">SUMIFS(報告入力!$BA$7:$BA$696,報告入力!$A$7:$A$696,$S$522,報告入力!$B$7:$B$696,$A537)</f>
        <v>308994</v>
      </c>
      <c r="J537" s="135" t="n">
        <f aca="false">SUM(H537:I537)</f>
        <v>612412</v>
      </c>
      <c r="K537" s="178" t="n">
        <f aca="false">SUMIFS(報告入力!$BB$7:$BB$696,報告入力!$A$7:$A$696,$S$522,報告入力!$B$7:$B$696,$A537)</f>
        <v>6098</v>
      </c>
      <c r="L537" s="182" t="n">
        <f aca="false">SUMIFS(報告入力!$BC$7:$BC$696,報告入力!$A$7:$A$696,$S$522,報告入力!$B$7:$B$696,$A537)</f>
        <v>6098</v>
      </c>
      <c r="M537" s="135" t="n">
        <f aca="false">SUM(K537:L537)</f>
        <v>12196</v>
      </c>
      <c r="N537" s="178" t="n">
        <f aca="false">SUMIFS(報告入力!$BD$7:$BD$696,報告入力!$A$7:$A$696,$S$522,報告入力!$B$7:$B$696,$A537)</f>
        <v>1</v>
      </c>
      <c r="O537" s="182" t="n">
        <f aca="false">SUMIFS(報告入力!$BE$7:$BE$696,報告入力!$A$7:$A$696,$S$522,報告入力!$B$7:$B$696,$A537)</f>
        <v>1</v>
      </c>
      <c r="P537" s="135" t="n">
        <f aca="false">SUM(N537:O537)</f>
        <v>2</v>
      </c>
      <c r="Q537" s="137" t="str">
        <f aca="false">IF(P472=P537,"〇","×")</f>
        <v>〇</v>
      </c>
      <c r="R537" s="137" t="str">
        <f aca="false">IFERROR(INDEX(報告入力!$C$7:$C$696,MATCH($S$522&amp;"|"&amp;$A537,報告入力!$CG$7:$CG$696,0)),"")</f>
        <v>未受領</v>
      </c>
    </row>
    <row r="538" s="137" customFormat="true" ht="19.5" hidden="false" customHeight="true" outlineLevel="0" collapsed="false">
      <c r="A538" s="138" t="s">
        <v>382</v>
      </c>
      <c r="B538" s="139"/>
      <c r="C538" s="140"/>
      <c r="D538" s="139"/>
      <c r="E538" s="141"/>
      <c r="F538" s="142"/>
      <c r="G538" s="143"/>
      <c r="H538" s="394"/>
      <c r="I538" s="145"/>
      <c r="J538" s="146"/>
      <c r="K538" s="147"/>
      <c r="L538" s="148"/>
      <c r="M538" s="146"/>
      <c r="N538" s="147"/>
      <c r="O538" s="148"/>
      <c r="P538" s="146"/>
      <c r="Q538" s="137" t="str">
        <f aca="false">IF(P473=P538,"〇","×")</f>
        <v>〇</v>
      </c>
    </row>
    <row r="539" s="137" customFormat="true" ht="19.5" hidden="false" customHeight="true" outlineLevel="0" collapsed="false">
      <c r="A539" s="149" t="s">
        <v>382</v>
      </c>
      <c r="B539" s="150"/>
      <c r="C539" s="151"/>
      <c r="D539" s="150"/>
      <c r="E539" s="152"/>
      <c r="F539" s="153"/>
      <c r="G539" s="154"/>
      <c r="H539" s="150"/>
      <c r="I539" s="152"/>
      <c r="J539" s="156"/>
      <c r="K539" s="157"/>
      <c r="L539" s="158"/>
      <c r="M539" s="156"/>
      <c r="N539" s="157"/>
      <c r="O539" s="158"/>
      <c r="P539" s="156"/>
      <c r="Q539" s="137" t="str">
        <f aca="false">IF(P474=P539,"〇","×")</f>
        <v>〇</v>
      </c>
    </row>
    <row r="540" s="137" customFormat="true" ht="19.5" hidden="false" customHeight="true" outlineLevel="0" collapsed="false">
      <c r="A540" s="149" t="s">
        <v>382</v>
      </c>
      <c r="B540" s="139"/>
      <c r="C540" s="140"/>
      <c r="D540" s="139"/>
      <c r="E540" s="141"/>
      <c r="F540" s="142"/>
      <c r="G540" s="143"/>
      <c r="H540" s="139"/>
      <c r="I540" s="141"/>
      <c r="J540" s="146"/>
      <c r="K540" s="160"/>
      <c r="L540" s="161"/>
      <c r="M540" s="146"/>
      <c r="N540" s="160"/>
      <c r="O540" s="161"/>
      <c r="P540" s="146"/>
      <c r="Q540" s="137" t="str">
        <f aca="false">IF(P475=P540,"〇","×")</f>
        <v>〇</v>
      </c>
    </row>
    <row r="541" s="137" customFormat="true" ht="19.5" hidden="false" customHeight="true" outlineLevel="0" collapsed="false">
      <c r="A541" s="162" t="s">
        <v>382</v>
      </c>
      <c r="B541" s="163"/>
      <c r="C541" s="164"/>
      <c r="D541" s="163"/>
      <c r="E541" s="165"/>
      <c r="F541" s="166"/>
      <c r="G541" s="167"/>
      <c r="H541" s="150"/>
      <c r="I541" s="168"/>
      <c r="J541" s="169"/>
      <c r="K541" s="157"/>
      <c r="L541" s="158"/>
      <c r="M541" s="169"/>
      <c r="N541" s="157"/>
      <c r="O541" s="158"/>
      <c r="P541" s="169"/>
      <c r="Q541" s="137" t="str">
        <f aca="false">IF(P476=P541,"〇","×")</f>
        <v>〇</v>
      </c>
    </row>
    <row r="542" s="137" customFormat="true" ht="19.5" hidden="false" customHeight="true" outlineLevel="0" collapsed="false">
      <c r="A542" s="171" t="s">
        <v>383</v>
      </c>
      <c r="B542" s="172" t="n">
        <f aca="false">SUM(B526:B541)</f>
        <v>354177106</v>
      </c>
      <c r="C542" s="173" t="n">
        <f aca="false">SUM(C526:C541)</f>
        <v>29042614</v>
      </c>
      <c r="D542" s="172" t="n">
        <f aca="false">SUM(D526:D541)</f>
        <v>515634547</v>
      </c>
      <c r="E542" s="174" t="n">
        <f aca="false">SUM(E526:E541)</f>
        <v>28495560</v>
      </c>
      <c r="F542" s="175" t="n">
        <f aca="false">SUM(F526:F541)</f>
        <v>370552</v>
      </c>
      <c r="G542" s="176" t="n">
        <f aca="false">SUM(B542:F542)</f>
        <v>927720379</v>
      </c>
      <c r="H542" s="172" t="n">
        <f aca="false">SUM(H526:H541)</f>
        <v>266716240</v>
      </c>
      <c r="I542" s="173" t="n">
        <f aca="false">SUM(I526:I541)</f>
        <v>267522197</v>
      </c>
      <c r="J542" s="175" t="n">
        <f aca="false">SUM(H542:I542)</f>
        <v>534238437</v>
      </c>
      <c r="K542" s="172" t="n">
        <f aca="false">SUM(K526:K541)</f>
        <v>23259010</v>
      </c>
      <c r="L542" s="173" t="n">
        <f aca="false">SUM(L526:L541)</f>
        <v>22774384</v>
      </c>
      <c r="M542" s="175" t="n">
        <f aca="false">SUM(K542:L542)</f>
        <v>46033394</v>
      </c>
      <c r="N542" s="172" t="n">
        <f aca="false">SUM(N526:N541)</f>
        <v>12</v>
      </c>
      <c r="O542" s="173" t="n">
        <f aca="false">SUM(O526:O541)</f>
        <v>12</v>
      </c>
      <c r="P542" s="175" t="n">
        <f aca="false">SUM(N542:O542)</f>
        <v>24</v>
      </c>
      <c r="Q542" s="137" t="str">
        <f aca="false">IF(P477=P542,"〇","×")</f>
        <v>〇</v>
      </c>
    </row>
    <row r="543" s="110" customFormat="true" ht="20.1" hidden="false" customHeight="true" outlineLevel="0" collapsed="false">
      <c r="A543" s="177" t="s">
        <v>172</v>
      </c>
      <c r="B543" s="299"/>
      <c r="C543" s="308"/>
      <c r="D543" s="299"/>
      <c r="E543" s="303"/>
      <c r="F543" s="308"/>
      <c r="G543" s="395" t="n">
        <f aca="false">SUM(B543:F543)</f>
        <v>0</v>
      </c>
      <c r="H543" s="311"/>
      <c r="I543" s="304"/>
      <c r="J543" s="396" t="n">
        <f aca="false">SUM(H543:I543)</f>
        <v>0</v>
      </c>
      <c r="K543" s="338"/>
      <c r="L543" s="340"/>
      <c r="M543" s="302" t="n">
        <f aca="false">SUM(K543:L543)</f>
        <v>0</v>
      </c>
      <c r="N543" s="338"/>
      <c r="O543" s="340"/>
      <c r="P543" s="302" t="n">
        <f aca="false">SUM(N543:O543)</f>
        <v>0</v>
      </c>
      <c r="Q543" s="110" t="str">
        <f aca="false">IF(P478=P543,"〇","×")</f>
        <v>〇</v>
      </c>
      <c r="R543" s="110" t="str">
        <f aca="false">IFERROR(INDEX(報告入力!$C$7:$C$696,MATCH($S$522&amp;"|"&amp;$A543,報告入力!$CG$7:$CG$696,0)),"")</f>
        <v>報告なし</v>
      </c>
    </row>
    <row r="544" s="110" customFormat="true" ht="20.1" hidden="false" customHeight="true" outlineLevel="0" collapsed="false">
      <c r="A544" s="100" t="s">
        <v>174</v>
      </c>
      <c r="B544" s="215" t="n">
        <f aca="false">SUMIFS(報告入力!$AU$7:$AU$696,報告入力!$A$7:$A$696,$S$522,報告入力!$B$7:$B$696,$A544)</f>
        <v>0</v>
      </c>
      <c r="C544" s="212" t="n">
        <f aca="false">SUMIFS(報告入力!$AV$7:$AV$696,報告入力!$A$7:$A$696,$S$522,報告入力!$B$7:$B$696,$A544)</f>
        <v>0</v>
      </c>
      <c r="D544" s="178" t="n">
        <f aca="false">SUMIFS(報告入力!$AW$7:$AW$696,報告入力!$A$7:$A$696,$S$522,報告入力!$B$7:$B$696,$A544)</f>
        <v>563640</v>
      </c>
      <c r="E544" s="182" t="n">
        <f aca="false">SUMIFS(報告入力!$AX$7:$AX$696,報告入力!$A$7:$A$696,$S$522,報告入力!$B$7:$B$696,$A544)</f>
        <v>46200</v>
      </c>
      <c r="F544" s="212" t="n">
        <f aca="false">SUMIFS(報告入力!$AY$7:$AY$696,報告入力!$A$7:$A$696,$S$522,報告入力!$B$7:$B$696,$A544)</f>
        <v>713</v>
      </c>
      <c r="G544" s="392" t="n">
        <f aca="false">SUM(B544:F544)</f>
        <v>610553</v>
      </c>
      <c r="H544" s="215" t="n">
        <f aca="false">SUMIFS(報告入力!$AZ$7:$AZ$696,報告入力!$A$7:$A$696,$S$522,報告入力!$B$7:$B$696,$A544)</f>
        <v>0</v>
      </c>
      <c r="I544" s="183" t="n">
        <f aca="false">SUMIFS(報告入力!$BA$7:$BA$696,報告入力!$A$7:$A$696,$S$522,報告入力!$B$7:$B$696,$A544)</f>
        <v>341129</v>
      </c>
      <c r="J544" s="393" t="n">
        <f aca="false">SUM(H544:I544)</f>
        <v>341129</v>
      </c>
      <c r="K544" s="178" t="n">
        <f aca="false">SUMIFS(報告入力!$BB$7:$BB$696,報告入力!$A$7:$A$696,$S$522,報告入力!$B$7:$B$696,$A544)</f>
        <v>0</v>
      </c>
      <c r="L544" s="362" t="n">
        <f aca="false">SUMIFS(報告入力!$BC$7:$BC$696,報告入力!$A$7:$A$696,$S$522,報告入力!$B$7:$B$696,$A544)</f>
        <v>51903</v>
      </c>
      <c r="M544" s="181" t="n">
        <f aca="false">SUM(K544:L544)</f>
        <v>51903</v>
      </c>
      <c r="N544" s="178" t="n">
        <f aca="false">SUMIFS(報告入力!$BD$7:$BD$696,報告入力!$A$7:$A$696,$S$522,報告入力!$B$7:$B$696,$A544)</f>
        <v>0</v>
      </c>
      <c r="O544" s="362" t="n">
        <f aca="false">SUMIFS(報告入力!$BE$7:$BE$696,報告入力!$A$7:$A$696,$S$522,報告入力!$B$7:$B$696,$A544)</f>
        <v>1</v>
      </c>
      <c r="P544" s="181" t="n">
        <f aca="false">SUM(N544:O544)</f>
        <v>1</v>
      </c>
      <c r="Q544" s="110" t="str">
        <f aca="false">IF(P479=P544,"〇","×")</f>
        <v>〇</v>
      </c>
      <c r="R544" s="110" t="str">
        <f aca="false">IFERROR(INDEX(報告入力!$C$7:$C$696,MATCH($S$522&amp;"|"&amp;$A544,報告入力!$CG$7:$CG$696,0)),"")</f>
        <v>未受領</v>
      </c>
    </row>
    <row r="545" s="110" customFormat="true" ht="20.1" hidden="false" customHeight="true" outlineLevel="0" collapsed="false">
      <c r="A545" s="100" t="s">
        <v>175</v>
      </c>
      <c r="B545" s="186"/>
      <c r="C545" s="187"/>
      <c r="D545" s="178" t="n">
        <f aca="false">SUMIFS(報告入力!$AW$7:$AW$696,報告入力!$A$7:$A$696,$S$522,報告入力!$B$7:$B$696,$A545)</f>
        <v>1881240</v>
      </c>
      <c r="E545" s="182" t="n">
        <f aca="false">SUMIFS(報告入力!$AX$7:$AX$696,報告入力!$A$7:$A$696,$S$522,報告入力!$B$7:$B$696,$A545)</f>
        <v>154200</v>
      </c>
      <c r="F545" s="212" t="n">
        <f aca="false">SUMIFS(報告入力!$AY$7:$AY$696,報告入力!$A$7:$A$696,$S$522,報告入力!$B$7:$B$696,$A545)</f>
        <v>1960</v>
      </c>
      <c r="G545" s="181" t="n">
        <f aca="false">SUM(B545:F545)</f>
        <v>2037400</v>
      </c>
      <c r="H545" s="263"/>
      <c r="I545" s="183" t="n">
        <f aca="false">SUMIFS(報告入力!$BA$7:$BA$696,報告入力!$A$7:$A$696,$S$522,報告入力!$B$7:$B$696,$A545)</f>
        <v>1271974</v>
      </c>
      <c r="J545" s="393" t="n">
        <f aca="false">SUM(H545:I545)</f>
        <v>1271974</v>
      </c>
      <c r="K545" s="186"/>
      <c r="L545" s="182" t="n">
        <f aca="false">SUMIFS(報告入力!$BC$7:$BC$696,報告入力!$A$7:$A$696,$S$522,報告入力!$B$7:$B$696,$A545)</f>
        <v>141252</v>
      </c>
      <c r="M545" s="393" t="n">
        <f aca="false">SUM(K545:L545)</f>
        <v>141252</v>
      </c>
      <c r="N545" s="186"/>
      <c r="O545" s="182" t="n">
        <f aca="false">SUMIFS(報告入力!$BE$7:$BE$696,報告入力!$A$7:$A$696,$S$522,報告入力!$B$7:$B$696,$A545)</f>
        <v>1</v>
      </c>
      <c r="P545" s="393" t="n">
        <f aca="false">SUM(N545:O545)</f>
        <v>1</v>
      </c>
      <c r="Q545" s="110" t="str">
        <f aca="false">IF(P480=P545,"〇","×")</f>
        <v>〇</v>
      </c>
      <c r="R545" s="110" t="str">
        <f aca="false">IFERROR(INDEX(報告入力!$C$7:$C$696,MATCH($S$522&amp;"|"&amp;$A545,報告入力!$CG$7:$CG$696,0)),"")</f>
        <v>未受領</v>
      </c>
    </row>
    <row r="546" s="110" customFormat="true" ht="20.1" hidden="false" customHeight="true" outlineLevel="0" collapsed="false">
      <c r="A546" s="100" t="s">
        <v>176</v>
      </c>
      <c r="B546" s="186"/>
      <c r="C546" s="187"/>
      <c r="D546" s="178" t="n">
        <f aca="false">SUMIFS(報告入力!$AW$7:$AW$696,報告入力!$A$7:$A$696,$S$522,報告入力!$B$7:$B$696,$A546)</f>
        <v>48495</v>
      </c>
      <c r="E546" s="182" t="n">
        <f aca="false">SUMIFS(報告入力!$AX$7:$AX$696,報告入力!$A$7:$A$696,$S$522,報告入力!$B$7:$B$696,$A546)</f>
        <v>3975</v>
      </c>
      <c r="F546" s="212" t="n">
        <f aca="false">SUMIFS(報告入力!$AY$7:$AY$696,報告入力!$A$7:$A$696,$S$522,報告入力!$B$7:$B$696,$A546)</f>
        <v>49</v>
      </c>
      <c r="G546" s="181" t="n">
        <f aca="false">SUM(B546:F546)</f>
        <v>52519</v>
      </c>
      <c r="H546" s="263"/>
      <c r="I546" s="183" t="n">
        <f aca="false">SUMIFS(報告入力!$BA$7:$BA$696,報告入力!$A$7:$A$696,$S$522,報告入力!$B$7:$B$696,$A546)</f>
        <v>29208</v>
      </c>
      <c r="J546" s="393" t="n">
        <f aca="false">SUM(H546:I546)</f>
        <v>29208</v>
      </c>
      <c r="K546" s="186"/>
      <c r="L546" s="182" t="n">
        <f aca="false">SUMIFS(報告入力!$BC$7:$BC$696,報告入力!$A$7:$A$696,$S$522,報告入力!$B$7:$B$696,$A546)</f>
        <v>4187</v>
      </c>
      <c r="M546" s="393" t="n">
        <f aca="false">SUM(K546:L546)</f>
        <v>4187</v>
      </c>
      <c r="N546" s="186"/>
      <c r="O546" s="182" t="n">
        <f aca="false">SUMIFS(報告入力!$BE$7:$BE$696,報告入力!$A$7:$A$696,$S$522,報告入力!$B$7:$B$696,$A546)</f>
        <v>1</v>
      </c>
      <c r="P546" s="393" t="n">
        <f aca="false">SUM(N546:O546)</f>
        <v>1</v>
      </c>
      <c r="Q546" s="110" t="str">
        <f aca="false">IF(P481=P546,"〇","×")</f>
        <v>〇</v>
      </c>
      <c r="R546" s="110" t="str">
        <f aca="false">IFERROR(INDEX(報告入力!$C$7:$C$696,MATCH($S$522&amp;"|"&amp;$A546,報告入力!$CG$7:$CG$696,0)),"")</f>
        <v>未受領</v>
      </c>
    </row>
    <row r="547" s="110" customFormat="true" ht="20.1" hidden="false" customHeight="true" outlineLevel="0" collapsed="false">
      <c r="A547" s="189" t="s">
        <v>177</v>
      </c>
      <c r="B547" s="186"/>
      <c r="C547" s="187"/>
      <c r="D547" s="178" t="n">
        <f aca="false">SUMIFS(報告入力!$AW$7:$AW$696,報告入力!$A$7:$A$696,$S$522,報告入力!$B$7:$B$696,$A547)</f>
        <v>425475</v>
      </c>
      <c r="E547" s="182" t="n">
        <f aca="false">SUMIFS(報告入力!$AX$7:$AX$696,報告入力!$A$7:$A$696,$S$522,報告入力!$B$7:$B$696,$A547)</f>
        <v>34875</v>
      </c>
      <c r="F547" s="212" t="n">
        <f aca="false">SUMIFS(報告入力!$AY$7:$AY$696,報告入力!$A$7:$A$696,$S$522,報告入力!$B$7:$B$696,$A547)</f>
        <v>435</v>
      </c>
      <c r="G547" s="181" t="n">
        <f aca="false">SUM(B547:F547)</f>
        <v>460785</v>
      </c>
      <c r="H547" s="263"/>
      <c r="I547" s="183" t="n">
        <f aca="false">SUMIFS(報告入力!$BA$7:$BA$696,報告入力!$A$7:$A$696,$S$522,報告入力!$B$7:$B$696,$A547)</f>
        <v>256260</v>
      </c>
      <c r="J547" s="393" t="n">
        <f aca="false">SUM(H547:I547)</f>
        <v>256260</v>
      </c>
      <c r="K547" s="186"/>
      <c r="L547" s="182" t="n">
        <f aca="false">SUMIFS(報告入力!$BC$7:$BC$696,報告入力!$A$7:$A$696,$S$522,報告入力!$B$7:$B$696,$A547)</f>
        <v>34207</v>
      </c>
      <c r="M547" s="393" t="n">
        <f aca="false">SUM(K547:L547)</f>
        <v>34207</v>
      </c>
      <c r="N547" s="186"/>
      <c r="O547" s="182" t="n">
        <f aca="false">SUMIFS(報告入力!$BE$7:$BE$696,報告入力!$A$7:$A$696,$S$522,報告入力!$B$7:$B$696,$A547)</f>
        <v>1</v>
      </c>
      <c r="P547" s="393" t="n">
        <f aca="false">SUM(N547:O547)</f>
        <v>1</v>
      </c>
      <c r="Q547" s="110" t="str">
        <f aca="false">IF(P482=P547,"〇","×")</f>
        <v>〇</v>
      </c>
      <c r="R547" s="110" t="str">
        <f aca="false">IFERROR(INDEX(報告入力!$C$7:$C$696,MATCH($S$522&amp;"|"&amp;$A547,報告入力!$CG$7:$CG$696,0)),"")</f>
        <v>未受領</v>
      </c>
    </row>
    <row r="548" s="110" customFormat="true" ht="19.5" hidden="false" customHeight="true" outlineLevel="0" collapsed="false">
      <c r="A548" s="121" t="s">
        <v>178</v>
      </c>
      <c r="B548" s="186"/>
      <c r="C548" s="191"/>
      <c r="D548" s="178" t="n">
        <f aca="false">SUMIFS(報告入力!$AW$7:$AW$696,報告入力!$A$7:$A$696,$S$522,報告入力!$B$7:$B$696,$A548)</f>
        <v>86010</v>
      </c>
      <c r="E548" s="182" t="n">
        <f aca="false">SUMIFS(報告入力!$AX$7:$AX$696,報告入力!$A$7:$A$696,$S$522,報告入力!$B$7:$B$696,$A548)</f>
        <v>7050</v>
      </c>
      <c r="F548" s="212" t="n">
        <f aca="false">SUMIFS(報告入力!$AY$7:$AY$696,報告入力!$A$7:$A$696,$S$522,報告入力!$B$7:$B$696,$A548)</f>
        <v>88</v>
      </c>
      <c r="G548" s="181" t="n">
        <f aca="false">SUM(B548:F548)</f>
        <v>93148</v>
      </c>
      <c r="H548" s="263"/>
      <c r="I548" s="183" t="n">
        <f aca="false">SUMIFS(報告入力!$BA$7:$BA$696,報告入力!$A$7:$A$696,$S$522,報告入力!$B$7:$B$696,$A548)</f>
        <v>51803</v>
      </c>
      <c r="J548" s="393" t="n">
        <f aca="false">SUM(H548:I548)</f>
        <v>51803</v>
      </c>
      <c r="K548" s="186"/>
      <c r="L548" s="182" t="n">
        <f aca="false">SUMIFS(報告入力!$BC$7:$BC$696,報告入力!$A$7:$A$696,$S$522,報告入力!$B$7:$B$696,$A548)</f>
        <v>7426</v>
      </c>
      <c r="M548" s="393" t="n">
        <f aca="false">SUM(K548:L548)</f>
        <v>7426</v>
      </c>
      <c r="N548" s="186"/>
      <c r="O548" s="182" t="n">
        <f aca="false">SUMIFS(報告入力!$BE$7:$BE$696,報告入力!$A$7:$A$696,$S$522,報告入力!$B$7:$B$696,$A548)</f>
        <v>1</v>
      </c>
      <c r="P548" s="393" t="n">
        <f aca="false">SUM(N548:O548)</f>
        <v>1</v>
      </c>
      <c r="Q548" s="110" t="str">
        <f aca="false">IF(P483=P548,"〇","×")</f>
        <v>〇</v>
      </c>
      <c r="R548" s="110" t="str">
        <f aca="false">IFERROR(INDEX(報告入力!$C$7:$C$696,MATCH($S$522&amp;"|"&amp;$A548,報告入力!$CG$7:$CG$696,0)),"")</f>
        <v>未受領</v>
      </c>
    </row>
    <row r="549" s="110" customFormat="true" ht="20.1" hidden="false" customHeight="true" outlineLevel="0" collapsed="false">
      <c r="A549" s="121" t="s">
        <v>179</v>
      </c>
      <c r="B549" s="186"/>
      <c r="C549" s="191"/>
      <c r="D549" s="178" t="n">
        <f aca="false">SUMIFS(報告入力!$AW$7:$AW$696,報告入力!$A$7:$A$696,$S$522,報告入力!$B$7:$B$696,$A549)</f>
        <v>48495</v>
      </c>
      <c r="E549" s="182" t="n">
        <f aca="false">SUMIFS(報告入力!$AX$7:$AX$696,報告入力!$A$7:$A$696,$S$522,報告入力!$B$7:$B$696,$A549)</f>
        <v>3975</v>
      </c>
      <c r="F549" s="212" t="n">
        <f aca="false">SUMIFS(報告入力!$AY$7:$AY$696,報告入力!$A$7:$A$696,$S$522,報告入力!$B$7:$B$696,$A549)</f>
        <v>49</v>
      </c>
      <c r="G549" s="181" t="n">
        <f aca="false">SUM(B549:F549)</f>
        <v>52519</v>
      </c>
      <c r="H549" s="263"/>
      <c r="I549" s="183" t="n">
        <f aca="false">SUMIFS(報告入力!$BA$7:$BA$696,報告入力!$A$7:$A$696,$S$522,報告入力!$B$7:$B$696,$A549)</f>
        <v>29208</v>
      </c>
      <c r="J549" s="393" t="n">
        <f aca="false">SUM(H549:I549)</f>
        <v>29208</v>
      </c>
      <c r="K549" s="186"/>
      <c r="L549" s="182" t="n">
        <f aca="false">SUMIFS(報告入力!$BC$7:$BC$696,報告入力!$A$7:$A$696,$S$522,報告入力!$B$7:$B$696,$A549)</f>
        <v>4187</v>
      </c>
      <c r="M549" s="393" t="n">
        <f aca="false">SUM(K549:L549)</f>
        <v>4187</v>
      </c>
      <c r="N549" s="186"/>
      <c r="O549" s="182" t="n">
        <f aca="false">SUMIFS(報告入力!$BE$7:$BE$696,報告入力!$A$7:$A$696,$S$522,報告入力!$B$7:$B$696,$A549)</f>
        <v>1</v>
      </c>
      <c r="P549" s="393" t="n">
        <f aca="false">SUM(N549:O549)</f>
        <v>1</v>
      </c>
      <c r="Q549" s="110" t="str">
        <f aca="false">IF(P484=P549,"〇","×")</f>
        <v>〇</v>
      </c>
      <c r="R549" s="110" t="str">
        <f aca="false">IFERROR(INDEX(報告入力!$C$7:$C$696,MATCH($S$522&amp;"|"&amp;$A549,報告入力!$CG$7:$CG$696,0)),"")</f>
        <v>未受領</v>
      </c>
    </row>
    <row r="550" s="110" customFormat="true" ht="20.1" hidden="false" customHeight="true" outlineLevel="0" collapsed="false">
      <c r="A550" s="192" t="s">
        <v>180</v>
      </c>
      <c r="B550" s="186"/>
      <c r="C550" s="193"/>
      <c r="D550" s="178" t="n">
        <f aca="false">SUMIFS(報告入力!$AW$7:$AW$696,報告入力!$A$7:$A$696,$S$522,報告入力!$B$7:$B$696,$A550)</f>
        <v>124440</v>
      </c>
      <c r="E550" s="182" t="n">
        <f aca="false">SUMIFS(報告入力!$AX$7:$AX$696,報告入力!$A$7:$A$696,$S$522,報告入力!$B$7:$B$696,$A550)</f>
        <v>10200</v>
      </c>
      <c r="F550" s="212" t="n">
        <f aca="false">SUMIFS(報告入力!$AY$7:$AY$696,報告入力!$A$7:$A$696,$S$522,報告入力!$B$7:$B$696,$A550)</f>
        <v>127</v>
      </c>
      <c r="G550" s="181" t="n">
        <f aca="false">SUM(B550:F550)</f>
        <v>134767</v>
      </c>
      <c r="H550" s="263"/>
      <c r="I550" s="183" t="n">
        <f aca="false">SUMIFS(報告入力!$BA$7:$BA$696,報告入力!$A$7:$A$696,$S$522,報告入力!$B$7:$B$696,$A550)</f>
        <v>74949</v>
      </c>
      <c r="J550" s="393" t="n">
        <f aca="false">SUM(H550:I550)</f>
        <v>74949</v>
      </c>
      <c r="K550" s="186"/>
      <c r="L550" s="182" t="n">
        <f aca="false">SUMIFS(報告入力!$BC$7:$BC$696,報告入力!$A$7:$A$696,$S$522,報告入力!$B$7:$B$696,$A550)</f>
        <v>7031</v>
      </c>
      <c r="M550" s="393" t="n">
        <f aca="false">SUM(K550:L550)</f>
        <v>7031</v>
      </c>
      <c r="N550" s="186"/>
      <c r="O550" s="182" t="n">
        <f aca="false">SUMIFS(報告入力!$BE$7:$BE$696,報告入力!$A$7:$A$696,$S$522,報告入力!$B$7:$B$696,$A550)</f>
        <v>1</v>
      </c>
      <c r="P550" s="393" t="n">
        <f aca="false">SUM(N550:O550)</f>
        <v>1</v>
      </c>
      <c r="Q550" s="110" t="str">
        <f aca="false">IF(P485=P550,"〇","×")</f>
        <v>〇</v>
      </c>
      <c r="R550" s="110" t="str">
        <f aca="false">IFERROR(INDEX(報告入力!$C$7:$C$696,MATCH($S$522&amp;"|"&amp;$A550,報告入力!$CG$7:$CG$696,0)),"")</f>
        <v>未受領</v>
      </c>
    </row>
    <row r="551" s="110" customFormat="true" ht="20.1" hidden="false" customHeight="true" outlineLevel="0" collapsed="false">
      <c r="A551" s="100" t="s">
        <v>181</v>
      </c>
      <c r="B551" s="215" t="n">
        <f aca="false">SUMIFS(報告入力!$AU$7:$AU$696,報告入力!$A$7:$A$696,$S$522,報告入力!$B$7:$B$696,$A551)</f>
        <v>245220</v>
      </c>
      <c r="C551" s="212" t="n">
        <f aca="false">SUMIFS(報告入力!$AV$7:$AV$696,報告入力!$A$7:$A$696,$S$522,報告入力!$B$7:$B$696,$A551)</f>
        <v>20100</v>
      </c>
      <c r="D551" s="215" t="n">
        <f aca="false">SUMIFS(報告入力!$AW$7:$AW$696,報告入力!$A$7:$A$696,$S$522,報告入力!$B$7:$B$696,$A551)</f>
        <v>245220</v>
      </c>
      <c r="E551" s="214" t="n">
        <f aca="false">SUMIFS(報告入力!$AX$7:$AX$696,報告入力!$A$7:$A$696,$S$522,報告入力!$B$7:$B$696,$A551)</f>
        <v>20100</v>
      </c>
      <c r="F551" s="179" t="n">
        <f aca="false">SUMIFS(報告入力!$AY$7:$AY$696,報告入力!$A$7:$A$696,$S$522,報告入力!$B$7:$B$696,$A551)</f>
        <v>251</v>
      </c>
      <c r="G551" s="181" t="n">
        <f aca="false">SUM(B551:F551)</f>
        <v>530891</v>
      </c>
      <c r="H551" s="182" t="n">
        <f aca="false">SUMIFS(報告入力!$AZ$7:$AZ$696,報告入力!$A$7:$A$696,$S$522,報告入力!$B$7:$B$696,$A551)</f>
        <v>147425</v>
      </c>
      <c r="I551" s="214" t="n">
        <f aca="false">SUMIFS(報告入力!$BA$7:$BA$696,報告入力!$A$7:$A$696,$S$522,報告入力!$B$7:$B$696,$A551)</f>
        <v>147694</v>
      </c>
      <c r="J551" s="393" t="n">
        <f aca="false">SUM(H551:I551)</f>
        <v>295119</v>
      </c>
      <c r="K551" s="182" t="n">
        <f aca="false">SUMIFS(報告入力!$BB$7:$BB$696,報告入力!$A$7:$A$696,$S$522,報告入力!$B$7:$B$696,$A551)</f>
        <v>9559</v>
      </c>
      <c r="L551" s="214" t="n">
        <f aca="false">SUMIFS(報告入力!$BC$7:$BC$696,報告入力!$A$7:$A$696,$S$522,報告入力!$B$7:$B$696,$A551)</f>
        <v>9559</v>
      </c>
      <c r="M551" s="181" t="n">
        <f aca="false">SUM(K551:L551)</f>
        <v>19118</v>
      </c>
      <c r="N551" s="182" t="n">
        <f aca="false">SUMIFS(報告入力!$BD$7:$BD$696,報告入力!$A$7:$A$696,$S$522,報告入力!$B$7:$B$696,$A551)</f>
        <v>1</v>
      </c>
      <c r="O551" s="214" t="n">
        <f aca="false">SUMIFS(報告入力!$BE$7:$BE$696,報告入力!$A$7:$A$696,$S$522,報告入力!$B$7:$B$696,$A551)</f>
        <v>1</v>
      </c>
      <c r="P551" s="181" t="n">
        <f aca="false">SUM(N551:O551)</f>
        <v>2</v>
      </c>
      <c r="Q551" s="110" t="str">
        <f aca="false">IF(P486=P551,"〇","×")</f>
        <v>×</v>
      </c>
      <c r="R551" s="110" t="str">
        <f aca="false">IFERROR(INDEX(報告入力!$C$7:$C$696,MATCH($S$522&amp;"|"&amp;$A551,報告入力!$CG$7:$CG$696,0)),"")</f>
        <v>未受領</v>
      </c>
    </row>
    <row r="552" s="110" customFormat="true" ht="20.1" hidden="false" customHeight="true" outlineLevel="0" collapsed="false">
      <c r="A552" s="194" t="s">
        <v>182</v>
      </c>
      <c r="B552" s="178" t="n">
        <f aca="false">SUMIFS(報告入力!$AU$7:$AU$696,報告入力!$A$7:$A$696,$S$522,報告入力!$B$7:$B$696,$A552)</f>
        <v>40260</v>
      </c>
      <c r="C552" s="212" t="n">
        <f aca="false">SUMIFS(報告入力!$AV$7:$AV$696,報告入力!$A$7:$A$696,$S$522,報告入力!$B$7:$B$696,$A552)</f>
        <v>3300</v>
      </c>
      <c r="D552" s="178" t="n">
        <f aca="false">SUMIFS(報告入力!$AW$7:$AW$696,報告入力!$A$7:$A$696,$S$522,報告入力!$B$7:$B$696,$A552)</f>
        <v>40260</v>
      </c>
      <c r="E552" s="182" t="n">
        <f aca="false">SUMIFS(報告入力!$AX$7:$AX$696,報告入力!$A$7:$A$696,$S$522,報告入力!$B$7:$B$696,$A552)</f>
        <v>3300</v>
      </c>
      <c r="F552" s="212" t="n">
        <f aca="false">SUMIFS(報告入力!$AY$7:$AY$696,報告入力!$A$7:$A$696,$S$522,報告入力!$B$7:$B$696,$A552)</f>
        <v>41</v>
      </c>
      <c r="G552" s="181" t="n">
        <f aca="false">SUM(B552:F552)</f>
        <v>87161</v>
      </c>
      <c r="H552" s="262" t="n">
        <f aca="false">SUMIFS(報告入力!$AZ$7:$AZ$696,報告入力!$A$7:$A$696,$S$522,報告入力!$B$7:$B$696,$A552)</f>
        <v>24204</v>
      </c>
      <c r="I552" s="183" t="n">
        <f aca="false">SUMIFS(報告入力!$BA$7:$BA$696,報告入力!$A$7:$A$696,$S$522,報告入力!$B$7:$B$696,$A552)</f>
        <v>24248</v>
      </c>
      <c r="J552" s="393" t="n">
        <f aca="false">SUM(H552:I552)</f>
        <v>48452</v>
      </c>
      <c r="K552" s="178" t="n">
        <f aca="false">SUMIFS(報告入力!$BB$7:$BB$696,報告入力!$A$7:$A$696,$S$522,報告入力!$B$7:$B$696,$A552)</f>
        <v>0</v>
      </c>
      <c r="L552" s="182" t="n">
        <f aca="false">SUMIFS(報告入力!$BC$7:$BC$696,報告入力!$A$7:$A$696,$S$522,報告入力!$B$7:$B$696,$A552)</f>
        <v>0</v>
      </c>
      <c r="M552" s="393" t="n">
        <f aca="false">SUM(K552:L552)</f>
        <v>0</v>
      </c>
      <c r="N552" s="178" t="n">
        <f aca="false">SUMIFS(報告入力!$BD$7:$BD$696,報告入力!$A$7:$A$696,$S$522,報告入力!$B$7:$B$696,$A552)</f>
        <v>1</v>
      </c>
      <c r="O552" s="182" t="n">
        <f aca="false">SUMIFS(報告入力!$BE$7:$BE$696,報告入力!$A$7:$A$696,$S$522,報告入力!$B$7:$B$696,$A552)</f>
        <v>1</v>
      </c>
      <c r="P552" s="393" t="n">
        <f aca="false">SUM(N552:O552)</f>
        <v>2</v>
      </c>
      <c r="Q552" s="110" t="str">
        <f aca="false">IF(P487=P552,"〇","×")</f>
        <v>×</v>
      </c>
      <c r="R552" s="110" t="str">
        <f aca="false">IFERROR(INDEX(報告入力!$C$7:$C$696,MATCH($S$522&amp;"|"&amp;$A552,報告入力!$CG$7:$CG$696,0)),"")</f>
        <v>未受領</v>
      </c>
    </row>
    <row r="553" s="110" customFormat="true" ht="20.1" hidden="false" customHeight="true" outlineLevel="0" collapsed="false">
      <c r="A553" s="197" t="s">
        <v>183</v>
      </c>
      <c r="B553" s="215" t="n">
        <f aca="false">SUMIFS(報告入力!$AU$7:$AU$696,報告入力!$A$7:$A$696,$S$522,報告入力!$B$7:$B$696,$A553)</f>
        <v>102480</v>
      </c>
      <c r="C553" s="212" t="n">
        <f aca="false">SUMIFS(報告入力!$AV$7:$AV$696,報告入力!$A$7:$A$696,$S$522,報告入力!$B$7:$B$696,$A553)</f>
        <v>8400</v>
      </c>
      <c r="D553" s="178" t="n">
        <f aca="false">SUMIFS(報告入力!$AW$7:$AW$696,報告入力!$A$7:$A$696,$S$522,報告入力!$B$7:$B$696,$A553)</f>
        <v>102480</v>
      </c>
      <c r="E553" s="182" t="n">
        <f aca="false">SUMIFS(報告入力!$AX$7:$AX$696,報告入力!$A$7:$A$696,$S$522,報告入力!$B$7:$B$696,$A553)</f>
        <v>8400</v>
      </c>
      <c r="F553" s="212" t="n">
        <f aca="false">SUMIFS(報告入力!$AY$7:$AY$696,報告入力!$A$7:$A$696,$S$522,報告入力!$B$7:$B$696,$A553)</f>
        <v>105</v>
      </c>
      <c r="G553" s="181" t="n">
        <f aca="false">SUM(B553:F553)</f>
        <v>221865</v>
      </c>
      <c r="H553" s="215" t="n">
        <f aca="false">SUMIFS(報告入力!$AZ$7:$AZ$696,報告入力!$A$7:$A$696,$S$522,報告入力!$B$7:$B$696,$A553)</f>
        <v>61610</v>
      </c>
      <c r="I553" s="183" t="n">
        <f aca="false">SUMIFS(報告入力!$BA$7:$BA$696,報告入力!$A$7:$A$696,$S$522,報告入力!$B$7:$B$696,$A553)</f>
        <v>61723</v>
      </c>
      <c r="J553" s="393" t="n">
        <f aca="false">SUM(H553:I553)</f>
        <v>123333</v>
      </c>
      <c r="K553" s="178" t="n">
        <f aca="false">SUMIFS(報告入力!$BB$7:$BB$696,報告入力!$A$7:$A$696,$S$522,報告入力!$B$7:$B$696,$A553)</f>
        <v>4661</v>
      </c>
      <c r="L553" s="362" t="n">
        <f aca="false">SUMIFS(報告入力!$BC$7:$BC$696,報告入力!$A$7:$A$696,$S$522,報告入力!$B$7:$B$696,$A553)</f>
        <v>4661</v>
      </c>
      <c r="M553" s="181" t="n">
        <f aca="false">SUM(K553:L553)</f>
        <v>9322</v>
      </c>
      <c r="N553" s="178" t="n">
        <f aca="false">SUMIFS(報告入力!$BD$7:$BD$696,報告入力!$A$7:$A$696,$S$522,報告入力!$B$7:$B$696,$A553)</f>
        <v>1</v>
      </c>
      <c r="O553" s="362" t="n">
        <f aca="false">SUMIFS(報告入力!$BE$7:$BE$696,報告入力!$A$7:$A$696,$S$522,報告入力!$B$7:$B$696,$A553)</f>
        <v>1</v>
      </c>
      <c r="P553" s="181" t="n">
        <f aca="false">SUM(N553:O553)</f>
        <v>2</v>
      </c>
      <c r="Q553" s="110" t="str">
        <f aca="false">IF(P488=P553,"〇","×")</f>
        <v>〇</v>
      </c>
      <c r="R553" s="110" t="str">
        <f aca="false">IFERROR(INDEX(報告入力!$C$7:$C$696,MATCH($S$522&amp;"|"&amp;$A553,報告入力!$CG$7:$CG$696,0)),"")</f>
        <v>未受領</v>
      </c>
    </row>
    <row r="554" s="110" customFormat="true" ht="20.1" hidden="false" customHeight="true" outlineLevel="0" collapsed="false">
      <c r="A554" s="100" t="s">
        <v>184</v>
      </c>
      <c r="B554" s="215" t="n">
        <f aca="false">SUMIFS(報告入力!$AU$7:$AU$696,報告入力!$A$7:$A$696,$S$522,報告入力!$B$7:$B$696,$A554)</f>
        <v>912255</v>
      </c>
      <c r="C554" s="212" t="n">
        <f aca="false">SUMIFS(報告入力!$AV$7:$AV$696,報告入力!$A$7:$A$696,$S$522,報告入力!$B$7:$B$696,$A554)</f>
        <v>74775</v>
      </c>
      <c r="D554" s="178" t="n">
        <f aca="false">SUMIFS(報告入力!$AW$7:$AW$696,報告入力!$A$7:$A$696,$S$522,報告入力!$B$7:$B$696,$A554)</f>
        <v>912255</v>
      </c>
      <c r="E554" s="182" t="n">
        <f aca="false">SUMIFS(報告入力!$AX$7:$AX$696,報告入力!$A$7:$A$696,$S$522,報告入力!$B$7:$B$696,$A554)</f>
        <v>74775</v>
      </c>
      <c r="F554" s="212" t="n">
        <f aca="false">SUMIFS(報告入力!$AY$7:$AY$696,報告入力!$A$7:$A$696,$S$522,報告入力!$B$7:$B$696,$A554)</f>
        <v>936</v>
      </c>
      <c r="G554" s="181" t="n">
        <f aca="false">SUM(B554:F554)</f>
        <v>1974996</v>
      </c>
      <c r="H554" s="182" t="n">
        <f aca="false">SUMIFS(報告入力!$AZ$7:$AZ$696,報告入力!$A$7:$A$696,$S$522,報告入力!$B$7:$B$696,$A554)</f>
        <v>548442</v>
      </c>
      <c r="I554" s="214" t="n">
        <f aca="false">SUMIFS(報告入力!$BA$7:$BA$696,報告入力!$A$7:$A$696,$S$522,報告入力!$B$7:$B$696,$A554)</f>
        <v>549446</v>
      </c>
      <c r="J554" s="393" t="n">
        <f aca="false">SUM(H554:I554)</f>
        <v>1097888</v>
      </c>
      <c r="K554" s="178" t="n">
        <f aca="false">SUMIFS(報告入力!$BB$7:$BB$696,報告入力!$A$7:$A$696,$S$522,報告入力!$B$7:$B$696,$A554)</f>
        <v>50086</v>
      </c>
      <c r="L554" s="213" t="n">
        <f aca="false">SUMIFS(報告入力!$BC$7:$BC$696,報告入力!$A$7:$A$696,$S$522,報告入力!$B$7:$B$696,$A554)</f>
        <v>50086</v>
      </c>
      <c r="M554" s="181" t="n">
        <f aca="false">SUM(K554:L554)</f>
        <v>100172</v>
      </c>
      <c r="N554" s="178" t="n">
        <f aca="false">SUMIFS(報告入力!$BD$7:$BD$696,報告入力!$A$7:$A$696,$S$522,報告入力!$B$7:$B$696,$A554)</f>
        <v>1</v>
      </c>
      <c r="O554" s="213" t="n">
        <f aca="false">SUMIFS(報告入力!$BE$7:$BE$696,報告入力!$A$7:$A$696,$S$522,報告入力!$B$7:$B$696,$A554)</f>
        <v>1</v>
      </c>
      <c r="P554" s="181" t="n">
        <f aca="false">SUM(N554:O554)</f>
        <v>2</v>
      </c>
      <c r="Q554" s="110" t="str">
        <f aca="false">IF(P489=P554,"〇","×")</f>
        <v>〇</v>
      </c>
      <c r="R554" s="110" t="str">
        <f aca="false">IFERROR(INDEX(報告入力!$C$7:$C$696,MATCH($S$522&amp;"|"&amp;$A554,報告入力!$CG$7:$CG$696,0)),"")</f>
        <v>未受領</v>
      </c>
    </row>
    <row r="555" s="110" customFormat="true" ht="20.1" hidden="false" customHeight="true" outlineLevel="0" collapsed="false">
      <c r="A555" s="100" t="s">
        <v>185</v>
      </c>
      <c r="B555" s="201"/>
      <c r="C555" s="191"/>
      <c r="D555" s="178" t="n">
        <f aca="false">SUMIFS(報告入力!$AW$7:$AW$696,報告入力!$A$7:$A$696,$S$522,報告入力!$B$7:$B$696,$A555)</f>
        <v>571875</v>
      </c>
      <c r="E555" s="182" t="n">
        <f aca="false">SUMIFS(報告入力!$AX$7:$AX$696,報告入力!$A$7:$A$696,$S$522,報告入力!$B$7:$B$696,$A555)</f>
        <v>46875</v>
      </c>
      <c r="F555" s="212" t="n">
        <f aca="false">SUMIFS(報告入力!$AY$7:$AY$696,報告入力!$A$7:$A$696,$S$522,報告入力!$B$7:$B$696,$A555)</f>
        <v>613</v>
      </c>
      <c r="G555" s="181" t="n">
        <f aca="false">SUM(B555:F555)</f>
        <v>619363</v>
      </c>
      <c r="H555" s="397"/>
      <c r="I555" s="183" t="n">
        <f aca="false">SUMIFS(報告入力!$BA$7:$BA$696,報告入力!$A$7:$A$696,$S$522,報告入力!$B$7:$B$696,$A555)</f>
        <v>344467</v>
      </c>
      <c r="J555" s="393" t="n">
        <f aca="false">SUM(H555:I555)</f>
        <v>344467</v>
      </c>
      <c r="K555" s="186"/>
      <c r="L555" s="182" t="n">
        <f aca="false">SUMIFS(報告入力!$BC$7:$BC$696,報告入力!$A$7:$A$696,$S$522,報告入力!$B$7:$B$696,$A555)</f>
        <v>27255</v>
      </c>
      <c r="M555" s="393" t="n">
        <f aca="false">SUM(K555:L555)</f>
        <v>27255</v>
      </c>
      <c r="N555" s="186"/>
      <c r="O555" s="182" t="n">
        <f aca="false">SUMIFS(報告入力!$BE$7:$BE$696,報告入力!$A$7:$A$696,$S$522,報告入力!$B$7:$B$696,$A555)</f>
        <v>1</v>
      </c>
      <c r="P555" s="393" t="n">
        <f aca="false">SUM(N555:O555)</f>
        <v>1</v>
      </c>
      <c r="Q555" s="110" t="str">
        <f aca="false">IF(P490=P555,"〇","×")</f>
        <v>〇</v>
      </c>
      <c r="R555" s="110" t="str">
        <f aca="false">IFERROR(INDEX(報告入力!$C$7:$C$696,MATCH($S$522&amp;"|"&amp;$A555,報告入力!$CG$7:$CG$696,0)),"")</f>
        <v>未受領</v>
      </c>
    </row>
    <row r="556" s="110" customFormat="true" ht="20.1" hidden="false" customHeight="true" outlineLevel="0" collapsed="false">
      <c r="A556" s="203" t="s">
        <v>186</v>
      </c>
      <c r="B556" s="186"/>
      <c r="C556" s="193"/>
      <c r="D556" s="178" t="n">
        <f aca="false">SUMIFS(報告入力!$AW$7:$AW$696,報告入力!$A$7:$A$696,$S$522,報告入力!$B$7:$B$696,$A556)</f>
        <v>1160220</v>
      </c>
      <c r="E556" s="182" t="n">
        <f aca="false">SUMIFS(報告入力!$AX$7:$AX$696,報告入力!$A$7:$A$696,$S$522,報告入力!$B$7:$B$696,$A556)</f>
        <v>95100</v>
      </c>
      <c r="F556" s="212" t="n">
        <f aca="false">SUMIFS(報告入力!$AY$7:$AY$696,報告入力!$A$7:$A$696,$S$522,報告入力!$B$7:$B$696,$A556)</f>
        <v>1185</v>
      </c>
      <c r="G556" s="181" t="n">
        <f aca="false">SUM(B556:F556)</f>
        <v>1256505</v>
      </c>
      <c r="H556" s="263"/>
      <c r="I556" s="183" t="n">
        <f aca="false">SUMIFS(報告入力!$BA$7:$BA$696,報告入力!$A$7:$A$696,$S$522,報告入力!$B$7:$B$696,$A556)</f>
        <v>698790</v>
      </c>
      <c r="J556" s="393" t="n">
        <f aca="false">SUM(H556:I556)</f>
        <v>698790</v>
      </c>
      <c r="K556" s="186"/>
      <c r="L556" s="182" t="n">
        <f aca="false">SUMIFS(報告入力!$BC$7:$BC$696,報告入力!$A$7:$A$696,$S$522,報告入力!$B$7:$B$696,$A556)</f>
        <v>94721</v>
      </c>
      <c r="M556" s="393" t="n">
        <f aca="false">SUM(K556:L556)</f>
        <v>94721</v>
      </c>
      <c r="N556" s="186"/>
      <c r="O556" s="182" t="n">
        <f aca="false">SUMIFS(報告入力!$BE$7:$BE$696,報告入力!$A$7:$A$696,$S$522,報告入力!$B$7:$B$696,$A556)</f>
        <v>1</v>
      </c>
      <c r="P556" s="393" t="n">
        <f aca="false">SUM(N556:O556)</f>
        <v>1</v>
      </c>
      <c r="Q556" s="110" t="str">
        <f aca="false">IF(P491=P556,"〇","×")</f>
        <v>〇</v>
      </c>
      <c r="R556" s="110" t="str">
        <f aca="false">IFERROR(INDEX(報告入力!$C$7:$C$696,MATCH($S$522&amp;"|"&amp;$A556,報告入力!$CG$7:$CG$696,0)),"")</f>
        <v>未受領</v>
      </c>
    </row>
    <row r="557" s="110" customFormat="true" ht="20.1" hidden="false" customHeight="true" outlineLevel="0" collapsed="false">
      <c r="A557" s="204" t="s">
        <v>187</v>
      </c>
      <c r="B557" s="186"/>
      <c r="C557" s="193"/>
      <c r="D557" s="178" t="n">
        <f aca="false">SUMIFS(報告入力!$AW$7:$AW$696,報告入力!$A$7:$A$696,$S$522,報告入力!$B$7:$B$696,$A557)</f>
        <v>0</v>
      </c>
      <c r="E557" s="182" t="n">
        <f aca="false">SUMIFS(報告入力!$AX$7:$AX$696,報告入力!$A$7:$A$696,$S$522,報告入力!$B$7:$B$696,$A557)</f>
        <v>0</v>
      </c>
      <c r="F557" s="212" t="n">
        <f aca="false">SUMIFS(報告入力!$AY$7:$AY$696,報告入力!$A$7:$A$696,$S$522,報告入力!$B$7:$B$696,$A557)</f>
        <v>0</v>
      </c>
      <c r="G557" s="181" t="n">
        <f aca="false">SUM(B557:F557)</f>
        <v>0</v>
      </c>
      <c r="H557" s="263"/>
      <c r="I557" s="183" t="n">
        <f aca="false">SUMIFS(報告入力!$BA$7:$BA$696,報告入力!$A$7:$A$696,$S$522,報告入力!$B$7:$B$696,$A557)</f>
        <v>0</v>
      </c>
      <c r="J557" s="393" t="n">
        <f aca="false">SUM(H557:I557)</f>
        <v>0</v>
      </c>
      <c r="K557" s="186"/>
      <c r="L557" s="182" t="n">
        <f aca="false">SUMIFS(報告入力!$BC$7:$BC$696,報告入力!$A$7:$A$696,$S$522,報告入力!$B$7:$B$696,$A557)</f>
        <v>0</v>
      </c>
      <c r="M557" s="393" t="n">
        <f aca="false">SUM(K557:L557)</f>
        <v>0</v>
      </c>
      <c r="N557" s="186"/>
      <c r="O557" s="182" t="n">
        <f aca="false">SUMIFS(報告入力!$BE$7:$BE$696,報告入力!$A$7:$A$696,$S$522,報告入力!$B$7:$B$696,$A557)</f>
        <v>0</v>
      </c>
      <c r="P557" s="393" t="n">
        <f aca="false">SUM(N557:O557)</f>
        <v>0</v>
      </c>
      <c r="Q557" s="110" t="str">
        <f aca="false">IF(P492=P557,"〇","×")</f>
        <v>〇</v>
      </c>
      <c r="R557" s="110" t="str">
        <f aca="false">IFERROR(INDEX(報告入力!$C$7:$C$696,MATCH($S$522&amp;"|"&amp;$A557,報告入力!$CG$7:$CG$696,0)),"")</f>
        <v>未受領</v>
      </c>
    </row>
    <row r="558" s="110" customFormat="true" ht="20.1" hidden="false" customHeight="true" outlineLevel="0" collapsed="false">
      <c r="A558" s="100" t="s">
        <v>188</v>
      </c>
      <c r="B558" s="186"/>
      <c r="C558" s="193"/>
      <c r="D558" s="178" t="n">
        <f aca="false">SUMIFS(報告入力!$AW$7:$AW$696,報告入力!$A$7:$A$696,$S$522,報告入力!$B$7:$B$696,$A558)</f>
        <v>394365</v>
      </c>
      <c r="E558" s="182" t="n">
        <f aca="false">SUMIFS(報告入力!$AX$7:$AX$696,報告入力!$A$7:$A$696,$S$522,報告入力!$B$7:$B$696,$A558)</f>
        <v>32325</v>
      </c>
      <c r="F558" s="212" t="n">
        <f aca="false">SUMIFS(報告入力!$AY$7:$AY$696,報告入力!$A$7:$A$696,$S$522,報告入力!$B$7:$B$696,$A558)</f>
        <v>403</v>
      </c>
      <c r="G558" s="181" t="n">
        <f aca="false">SUM(B558:F558)</f>
        <v>427093</v>
      </c>
      <c r="H558" s="263"/>
      <c r="I558" s="183" t="n">
        <f aca="false">SUMIFS(報告入力!$BA$7:$BA$696,報告入力!$A$7:$A$696,$S$522,報告入力!$B$7:$B$696,$A558)</f>
        <v>237523</v>
      </c>
      <c r="J558" s="393" t="n">
        <f aca="false">SUM(H558:I558)</f>
        <v>237523</v>
      </c>
      <c r="K558" s="186"/>
      <c r="L558" s="182" t="n">
        <f aca="false">SUMIFS(報告入力!$BC$7:$BC$696,報告入力!$A$7:$A$696,$S$522,報告入力!$B$7:$B$696,$A558)</f>
        <v>34049</v>
      </c>
      <c r="M558" s="393" t="n">
        <f aca="false">SUM(K558:L558)</f>
        <v>34049</v>
      </c>
      <c r="N558" s="186"/>
      <c r="O558" s="182" t="n">
        <f aca="false">SUMIFS(報告入力!$BE$7:$BE$696,報告入力!$A$7:$A$696,$S$522,報告入力!$B$7:$B$696,$A558)</f>
        <v>1</v>
      </c>
      <c r="P558" s="393" t="n">
        <f aca="false">SUM(N558:O558)</f>
        <v>1</v>
      </c>
      <c r="Q558" s="110" t="str">
        <f aca="false">IF(P493=P558,"〇","×")</f>
        <v>〇</v>
      </c>
      <c r="R558" s="110" t="str">
        <f aca="false">IFERROR(INDEX(報告入力!$C$7:$C$696,MATCH($S$522&amp;"|"&amp;$A558,報告入力!$CG$7:$CG$696,0)),"")</f>
        <v>未受領</v>
      </c>
    </row>
    <row r="559" s="110" customFormat="true" ht="20.1" hidden="false" customHeight="true" outlineLevel="0" collapsed="false">
      <c r="A559" s="121" t="s">
        <v>189</v>
      </c>
      <c r="B559" s="215" t="n">
        <f aca="false">SUMIFS(報告入力!$AU$7:$AU$696,報告入力!$A$7:$A$696,$S$522,報告入力!$B$7:$B$696,$A559)</f>
        <v>137250</v>
      </c>
      <c r="C559" s="212" t="n">
        <f aca="false">SUMIFS(報告入力!$AV$7:$AV$696,報告入力!$A$7:$A$696,$S$522,報告入力!$B$7:$B$696,$A559)</f>
        <v>11250</v>
      </c>
      <c r="D559" s="178" t="n">
        <f aca="false">SUMIFS(報告入力!$AW$7:$AW$696,報告入力!$A$7:$A$696,$S$522,報告入力!$B$7:$B$696,$A559)</f>
        <v>137250</v>
      </c>
      <c r="E559" s="182" t="n">
        <f aca="false">SUMIFS(報告入力!$AX$7:$AX$696,報告入力!$A$7:$A$696,$S$522,報告入力!$B$7:$B$696,$A559)</f>
        <v>11250</v>
      </c>
      <c r="F559" s="212" t="n">
        <f aca="false">SUMIFS(報告入力!$AY$7:$AY$696,報告入力!$A$7:$A$696,$S$522,報告入力!$B$7:$B$696,$A559)</f>
        <v>140</v>
      </c>
      <c r="G559" s="181" t="n">
        <f aca="false">SUM(B559:F559)</f>
        <v>297140</v>
      </c>
      <c r="H559" s="215" t="n">
        <f aca="false">SUMIFS(報告入力!$AZ$7:$AZ$696,報告入力!$A$7:$A$696,$S$522,報告入力!$B$7:$B$696,$A559)</f>
        <v>82514</v>
      </c>
      <c r="I559" s="183" t="n">
        <f aca="false">SUMIFS(報告入力!$BA$7:$BA$696,報告入力!$A$7:$A$696,$S$522,報告入力!$B$7:$B$696,$A559)</f>
        <v>82665</v>
      </c>
      <c r="J559" s="393" t="n">
        <f aca="false">SUM(H559:I559)</f>
        <v>165179</v>
      </c>
      <c r="K559" s="178" t="n">
        <f aca="false">SUMIFS(報告入力!$BB$7:$BB$696,報告入力!$A$7:$A$696,$S$522,報告入力!$B$7:$B$696,$A559)</f>
        <v>8611</v>
      </c>
      <c r="L559" s="362" t="n">
        <f aca="false">SUMIFS(報告入力!$BC$7:$BC$696,報告入力!$A$7:$A$696,$S$522,報告入力!$B$7:$B$696,$A559)</f>
        <v>8611</v>
      </c>
      <c r="M559" s="181" t="n">
        <f aca="false">SUM(K559:L559)</f>
        <v>17222</v>
      </c>
      <c r="N559" s="178" t="n">
        <f aca="false">SUMIFS(報告入力!$BD$7:$BD$696,報告入力!$A$7:$A$696,$S$522,報告入力!$B$7:$B$696,$A559)</f>
        <v>1</v>
      </c>
      <c r="O559" s="362" t="n">
        <f aca="false">SUMIFS(報告入力!$BE$7:$BE$696,報告入力!$A$7:$A$696,$S$522,報告入力!$B$7:$B$696,$A559)</f>
        <v>1</v>
      </c>
      <c r="P559" s="181" t="n">
        <f aca="false">SUM(N559:O559)</f>
        <v>2</v>
      </c>
      <c r="Q559" s="110" t="str">
        <f aca="false">IF(P494=P559,"〇","×")</f>
        <v>〇</v>
      </c>
      <c r="R559" s="110" t="str">
        <f aca="false">IFERROR(INDEX(報告入力!$C$7:$C$696,MATCH($S$522&amp;"|"&amp;$A559,報告入力!$CG$7:$CG$696,0)),"")</f>
        <v>未受領</v>
      </c>
    </row>
    <row r="560" s="110" customFormat="true" ht="20.1" hidden="false" customHeight="true" outlineLevel="0" collapsed="false">
      <c r="A560" s="206" t="s">
        <v>190</v>
      </c>
      <c r="B560" s="201"/>
      <c r="C560" s="191"/>
      <c r="D560" s="178" t="n">
        <f aca="false">SUMIFS(報告入力!$AW$7:$AW$696,報告入力!$A$7:$A$696,$S$522,報告入力!$B$7:$B$696,$A560)</f>
        <v>472140</v>
      </c>
      <c r="E560" s="182" t="n">
        <f aca="false">SUMIFS(報告入力!$AX$7:$AX$696,報告入力!$A$7:$A$696,$S$522,報告入力!$B$7:$B$696,$A560)</f>
        <v>38700</v>
      </c>
      <c r="F560" s="212" t="n">
        <f aca="false">SUMIFS(報告入力!$AY$7:$AY$696,報告入力!$A$7:$A$696,$S$522,報告入力!$B$7:$B$696,$A560)</f>
        <v>484</v>
      </c>
      <c r="G560" s="181" t="n">
        <f aca="false">SUM(B560:F560)</f>
        <v>511324</v>
      </c>
      <c r="H560" s="397"/>
      <c r="I560" s="183" t="n">
        <f aca="false">SUMIFS(報告入力!$BA$7:$BA$696,報告入力!$A$7:$A$696,$S$522,報告入力!$B$7:$B$696,$A560)</f>
        <v>289878</v>
      </c>
      <c r="J560" s="393" t="n">
        <f aca="false">SUM(H560:I560)</f>
        <v>289878</v>
      </c>
      <c r="K560" s="186"/>
      <c r="L560" s="182" t="n">
        <f aca="false">SUMIFS(報告入力!$BC$7:$BC$696,報告入力!$A$7:$A$696,$S$522,報告入力!$B$7:$B$696,$A560)</f>
        <v>25517</v>
      </c>
      <c r="M560" s="393" t="n">
        <f aca="false">SUM(K560:L560)</f>
        <v>25517</v>
      </c>
      <c r="N560" s="186"/>
      <c r="O560" s="182" t="n">
        <f aca="false">SUMIFS(報告入力!$BE$7:$BE$696,報告入力!$A$7:$A$696,$S$522,報告入力!$B$7:$B$696,$A560)</f>
        <v>1</v>
      </c>
      <c r="P560" s="393" t="n">
        <f aca="false">SUM(N560:O560)</f>
        <v>1</v>
      </c>
      <c r="Q560" s="110" t="str">
        <f aca="false">IF(P495=P560,"〇","×")</f>
        <v>〇</v>
      </c>
      <c r="R560" s="110" t="str">
        <f aca="false">IFERROR(INDEX(報告入力!$C$7:$C$696,MATCH($S$522&amp;"|"&amp;$A560,報告入力!$CG$7:$CG$696,0)),"")</f>
        <v>未受領</v>
      </c>
    </row>
    <row r="561" s="110" customFormat="true" ht="20.1" hidden="false" customHeight="true" outlineLevel="0" collapsed="false">
      <c r="A561" s="189" t="s">
        <v>191</v>
      </c>
      <c r="B561" s="215" t="n">
        <f aca="false">SUMIFS(報告入力!$AU$7:$AU$696,報告入力!$A$7:$A$696,$S$522,報告入力!$B$7:$B$696,$A561)</f>
        <v>56730</v>
      </c>
      <c r="C561" s="212" t="n">
        <f aca="false">SUMIFS(報告入力!$AV$7:$AV$696,報告入力!$A$7:$A$696,$S$522,報告入力!$B$7:$B$696,$A561)</f>
        <v>4650</v>
      </c>
      <c r="D561" s="178" t="n">
        <f aca="false">SUMIFS(報告入力!$AW$7:$AW$696,報告入力!$A$7:$A$696,$S$522,報告入力!$B$7:$B$696,$A561)</f>
        <v>56730</v>
      </c>
      <c r="E561" s="182" t="n">
        <f aca="false">SUMIFS(報告入力!$AX$7:$AX$696,報告入力!$A$7:$A$696,$S$522,報告入力!$B$7:$B$696,$A561)</f>
        <v>4650</v>
      </c>
      <c r="F561" s="212" t="n">
        <f aca="false">SUMIFS(報告入力!$AY$7:$AY$696,報告入力!$A$7:$A$696,$S$522,報告入力!$B$7:$B$696,$A561)</f>
        <v>58</v>
      </c>
      <c r="G561" s="181" t="n">
        <f aca="false">SUM(B561:F561)</f>
        <v>122818</v>
      </c>
      <c r="H561" s="215" t="n">
        <f aca="false">SUMIFS(報告入力!$AZ$7:$AZ$696,報告入力!$A$7:$A$696,$S$522,報告入力!$B$7:$B$696,$A561)</f>
        <v>34106</v>
      </c>
      <c r="I561" s="183" t="n">
        <f aca="false">SUMIFS(報告入力!$BA$7:$BA$696,報告入力!$A$7:$A$696,$S$522,報告入力!$B$7:$B$696,$A561)</f>
        <v>34168</v>
      </c>
      <c r="J561" s="393" t="n">
        <f aca="false">SUM(H561:I561)</f>
        <v>68274</v>
      </c>
      <c r="K561" s="178" t="n">
        <f aca="false">SUMIFS(報告入力!$BB$7:$BB$696,報告入力!$A$7:$A$696,$S$522,報告入力!$B$7:$B$696,$A561)</f>
        <v>4898</v>
      </c>
      <c r="L561" s="362" t="n">
        <f aca="false">SUMIFS(報告入力!$BC$7:$BC$696,報告入力!$A$7:$A$696,$S$522,報告入力!$B$7:$B$696,$A561)</f>
        <v>4898</v>
      </c>
      <c r="M561" s="181" t="n">
        <f aca="false">SUM(K561:L561)</f>
        <v>9796</v>
      </c>
      <c r="N561" s="178" t="n">
        <f aca="false">SUMIFS(報告入力!$BD$7:$BD$696,報告入力!$A$7:$A$696,$S$522,報告入力!$B$7:$B$696,$A561)</f>
        <v>1</v>
      </c>
      <c r="O561" s="362" t="n">
        <f aca="false">SUMIFS(報告入力!$BE$7:$BE$696,報告入力!$A$7:$A$696,$S$522,報告入力!$B$7:$B$696,$A561)</f>
        <v>1</v>
      </c>
      <c r="P561" s="181" t="n">
        <f aca="false">SUM(N561:O561)</f>
        <v>2</v>
      </c>
      <c r="Q561" s="110" t="str">
        <f aca="false">IF(P496=P561,"〇","×")</f>
        <v>×</v>
      </c>
      <c r="R561" s="110" t="str">
        <f aca="false">IFERROR(INDEX(報告入力!$C$7:$C$696,MATCH($S$522&amp;"|"&amp;$A561,報告入力!$CG$7:$CG$696,0)),"")</f>
        <v>未受領</v>
      </c>
    </row>
    <row r="562" s="110" customFormat="true" ht="20.1" hidden="false" customHeight="true" outlineLevel="0" collapsed="false">
      <c r="A562" s="189" t="s">
        <v>192</v>
      </c>
      <c r="B562" s="215" t="n">
        <f aca="false">SUMIFS(報告入力!$AU$7:$AU$696,報告入力!$A$7:$A$696,$S$522,報告入力!$B$7:$B$696,$A562)</f>
        <v>59475</v>
      </c>
      <c r="C562" s="212" t="n">
        <f aca="false">SUMIFS(報告入力!$AV$7:$AV$696,報告入力!$A$7:$A$696,$S$522,報告入力!$B$7:$B$696,$A562)</f>
        <v>4875</v>
      </c>
      <c r="D562" s="178" t="n">
        <f aca="false">SUMIFS(報告入力!$AW$7:$AW$696,報告入力!$A$7:$A$696,$S$522,報告入力!$B$7:$B$696,$A562)</f>
        <v>59475</v>
      </c>
      <c r="E562" s="182" t="n">
        <f aca="false">SUMIFS(報告入力!$AX$7:$AX$696,報告入力!$A$7:$A$696,$S$522,報告入力!$B$7:$B$696,$A562)</f>
        <v>4875</v>
      </c>
      <c r="F562" s="212" t="n">
        <f aca="false">SUMIFS(報告入力!$AY$7:$AY$696,報告入力!$A$7:$A$696,$S$522,報告入力!$B$7:$B$696,$A562)</f>
        <v>61</v>
      </c>
      <c r="G562" s="181" t="n">
        <f aca="false">SUM(B562:F562)</f>
        <v>128761</v>
      </c>
      <c r="H562" s="215" t="n">
        <f aca="false">SUMIFS(報告入力!$AZ$7:$AZ$696,報告入力!$A$7:$A$696,$S$522,報告入力!$B$7:$B$696,$A562)</f>
        <v>41257</v>
      </c>
      <c r="I562" s="183" t="n">
        <f aca="false">SUMIFS(報告入力!$BA$7:$BA$696,報告入力!$A$7:$A$696,$S$522,報告入力!$B$7:$B$696,$A562)</f>
        <v>41332</v>
      </c>
      <c r="J562" s="393" t="n">
        <f aca="false">SUM(H562:I562)</f>
        <v>82589</v>
      </c>
      <c r="K562" s="178" t="n">
        <f aca="false">SUMIFS(報告入力!$BB$7:$BB$696,報告入力!$A$7:$A$696,$S$522,報告入力!$B$7:$B$696,$A562)</f>
        <v>5925</v>
      </c>
      <c r="L562" s="362" t="n">
        <f aca="false">SUMIFS(報告入力!$BC$7:$BC$696,報告入力!$A$7:$A$696,$S$522,報告入力!$B$7:$B$696,$A562)</f>
        <v>5925</v>
      </c>
      <c r="M562" s="181" t="n">
        <f aca="false">SUM(K562:L562)</f>
        <v>11850</v>
      </c>
      <c r="N562" s="178" t="n">
        <f aca="false">SUMIFS(報告入力!$BD$7:$BD$696,報告入力!$A$7:$A$696,$S$522,報告入力!$B$7:$B$696,$A562)</f>
        <v>1</v>
      </c>
      <c r="O562" s="362" t="n">
        <f aca="false">SUMIFS(報告入力!$BE$7:$BE$696,報告入力!$A$7:$A$696,$S$522,報告入力!$B$7:$B$696,$A562)</f>
        <v>1</v>
      </c>
      <c r="P562" s="181" t="n">
        <f aca="false">SUM(N562:O562)</f>
        <v>2</v>
      </c>
      <c r="Q562" s="110" t="str">
        <f aca="false">IF(P497=P562,"〇","×")</f>
        <v>×</v>
      </c>
      <c r="R562" s="110" t="str">
        <f aca="false">IFERROR(INDEX(報告入力!$C$7:$C$696,MATCH($S$522&amp;"|"&amp;$A562,報告入力!$CG$7:$CG$696,0)),"")</f>
        <v>未受領</v>
      </c>
    </row>
    <row r="563" s="110" customFormat="true" ht="20.1" hidden="false" customHeight="true" outlineLevel="0" collapsed="false">
      <c r="A563" s="189" t="s">
        <v>193</v>
      </c>
      <c r="B563" s="215" t="n">
        <f aca="false">SUMIFS(報告入力!$AU$7:$AU$696,報告入力!$A$7:$A$696,$S$522,報告入力!$B$7:$B$696,$A563)</f>
        <v>48495</v>
      </c>
      <c r="C563" s="212" t="n">
        <f aca="false">SUMIFS(報告入力!$AV$7:$AV$696,報告入力!$A$7:$A$696,$S$522,報告入力!$B$7:$B$696,$A563)</f>
        <v>3975</v>
      </c>
      <c r="D563" s="215" t="n">
        <f aca="false">SUMIFS(報告入力!$AW$7:$AW$696,報告入力!$A$7:$A$696,$S$522,報告入力!$B$7:$B$696,$A563)</f>
        <v>48495</v>
      </c>
      <c r="E563" s="214" t="n">
        <f aca="false">SUMIFS(報告入力!$AX$7:$AX$696,報告入力!$A$7:$A$696,$S$522,報告入力!$B$7:$B$696,$A563)</f>
        <v>3975</v>
      </c>
      <c r="F563" s="179" t="n">
        <f aca="false">SUMIFS(報告入力!$AY$7:$AY$696,報告入力!$A$7:$A$696,$S$522,報告入力!$B$7:$B$696,$A563)</f>
        <v>49</v>
      </c>
      <c r="G563" s="181" t="n">
        <f aca="false">SUM(B563:F563)</f>
        <v>104989</v>
      </c>
      <c r="H563" s="182" t="n">
        <f aca="false">SUMIFS(報告入力!$AZ$7:$AZ$696,報告入力!$A$7:$A$696,$S$522,報告入力!$B$7:$B$696,$A563)</f>
        <v>29155</v>
      </c>
      <c r="I563" s="214" t="n">
        <f aca="false">SUMIFS(報告入力!$BA$7:$BA$696,報告入力!$A$7:$A$696,$S$522,報告入力!$B$7:$B$696,$A563)</f>
        <v>29208</v>
      </c>
      <c r="J563" s="393" t="n">
        <f aca="false">SUM(H563:I563)</f>
        <v>58363</v>
      </c>
      <c r="K563" s="178" t="n">
        <f aca="false">SUMIFS(報告入力!$BB$7:$BB$696,報告入力!$A$7:$A$696,$S$522,報告入力!$B$7:$B$696,$A563)</f>
        <v>0</v>
      </c>
      <c r="L563" s="362" t="n">
        <f aca="false">SUMIFS(報告入力!$BC$7:$BC$696,報告入力!$A$7:$A$696,$S$522,報告入力!$B$7:$B$696,$A563)</f>
        <v>0</v>
      </c>
      <c r="M563" s="181" t="n">
        <f aca="false">SUM(K563:L563)</f>
        <v>0</v>
      </c>
      <c r="N563" s="178" t="n">
        <f aca="false">SUMIFS(報告入力!$BD$7:$BD$696,報告入力!$A$7:$A$696,$S$522,報告入力!$B$7:$B$696,$A563)</f>
        <v>1</v>
      </c>
      <c r="O563" s="362" t="n">
        <f aca="false">SUMIFS(報告入力!$BE$7:$BE$696,報告入力!$A$7:$A$696,$S$522,報告入力!$B$7:$B$696,$A563)</f>
        <v>1</v>
      </c>
      <c r="P563" s="181" t="n">
        <f aca="false">SUM(N563:O563)</f>
        <v>2</v>
      </c>
      <c r="Q563" s="110" t="str">
        <f aca="false">IF(P498=P563,"〇","×")</f>
        <v>×</v>
      </c>
      <c r="R563" s="110" t="str">
        <f aca="false">IFERROR(INDEX(報告入力!$C$7:$C$696,MATCH($S$522&amp;"|"&amp;$A563,報告入力!$CG$7:$CG$696,0)),"")</f>
        <v>未受領</v>
      </c>
    </row>
    <row r="564" s="110" customFormat="true" ht="20.1" hidden="false" customHeight="true" outlineLevel="0" collapsed="false">
      <c r="A564" s="121" t="s">
        <v>194</v>
      </c>
      <c r="B564" s="215" t="n">
        <f aca="false">SUMIFS(報告入力!$AU$7:$AU$696,報告入力!$A$7:$A$696,$S$522,報告入力!$B$7:$B$696,$A564)</f>
        <v>1122705</v>
      </c>
      <c r="C564" s="212" t="n">
        <f aca="false">SUMIFS(報告入力!$AV$7:$AV$696,報告入力!$A$7:$A$696,$S$522,報告入力!$B$7:$B$696,$A564)</f>
        <v>92025</v>
      </c>
      <c r="D564" s="178" t="n">
        <f aca="false">SUMIFS(報告入力!$AW$7:$AW$696,報告入力!$A$7:$A$696,$S$522,報告入力!$B$7:$B$696,$A564)</f>
        <v>1122705</v>
      </c>
      <c r="E564" s="182" t="n">
        <f aca="false">SUMIFS(報告入力!$AX$7:$AX$696,報告入力!$A$7:$A$696,$S$522,報告入力!$B$7:$B$696,$A564)</f>
        <v>92025</v>
      </c>
      <c r="F564" s="212" t="n">
        <f aca="false">SUMIFS(報告入力!$AY$7:$AY$696,報告入力!$A$7:$A$696,$S$522,報告入力!$B$7:$B$696,$A564)</f>
        <v>1337</v>
      </c>
      <c r="G564" s="181" t="n">
        <f aca="false">SUM(B564:F564)</f>
        <v>2430797</v>
      </c>
      <c r="H564" s="215" t="n">
        <f aca="false">SUMIFS(報告入力!$AZ$7:$AZ$696,報告入力!$A$7:$A$696,$S$522,報告入力!$B$7:$B$696,$A564)</f>
        <v>674963</v>
      </c>
      <c r="I564" s="183" t="n">
        <f aca="false">SUMIFS(報告入力!$BA$7:$BA$696,報告入力!$A$7:$A$696,$S$522,報告入力!$B$7:$B$696,$A564)</f>
        <v>676398</v>
      </c>
      <c r="J564" s="393" t="n">
        <f aca="false">SUM(H564:I564)</f>
        <v>1351361</v>
      </c>
      <c r="K564" s="178" t="n">
        <f aca="false">SUMIFS(報告入力!$BB$7:$BB$696,報告入力!$A$7:$A$696,$S$522,報告入力!$B$7:$B$696,$A564)</f>
        <v>64227</v>
      </c>
      <c r="L564" s="362" t="n">
        <f aca="false">SUMIFS(報告入力!$BC$7:$BC$696,報告入力!$A$7:$A$696,$S$522,報告入力!$B$7:$B$696,$A564)</f>
        <v>64227</v>
      </c>
      <c r="M564" s="181" t="n">
        <f aca="false">SUM(K564:L564)</f>
        <v>128454</v>
      </c>
      <c r="N564" s="178" t="n">
        <f aca="false">SUMIFS(報告入力!$BD$7:$BD$696,報告入力!$A$7:$A$696,$S$522,報告入力!$B$7:$B$696,$A564)</f>
        <v>1</v>
      </c>
      <c r="O564" s="362" t="n">
        <f aca="false">SUMIFS(報告入力!$BE$7:$BE$696,報告入力!$A$7:$A$696,$S$522,報告入力!$B$7:$B$696,$A564)</f>
        <v>1</v>
      </c>
      <c r="P564" s="181" t="n">
        <f aca="false">SUM(N564:O564)</f>
        <v>2</v>
      </c>
      <c r="Q564" s="110" t="str">
        <f aca="false">IF(P499=P564,"〇","×")</f>
        <v>〇</v>
      </c>
      <c r="R564" s="110" t="str">
        <f aca="false">IFERROR(INDEX(報告入力!$C$7:$C$696,MATCH($S$522&amp;"|"&amp;$A564,報告入力!$CG$7:$CG$696,0)),"")</f>
        <v>未受領</v>
      </c>
    </row>
    <row r="565" s="110" customFormat="true" ht="20.1" hidden="false" customHeight="true" outlineLevel="0" collapsed="false">
      <c r="A565" s="121" t="s">
        <v>195</v>
      </c>
      <c r="B565" s="201"/>
      <c r="C565" s="191"/>
      <c r="D565" s="178" t="n">
        <f aca="false">SUMIFS(報告入力!$AW$7:$AW$696,報告入力!$A$7:$A$696,$S$522,報告入力!$B$7:$B$696,$A565)</f>
        <v>245220</v>
      </c>
      <c r="E565" s="182" t="n">
        <f aca="false">SUMIFS(報告入力!$AX$7:$AX$696,報告入力!$A$7:$A$696,$S$522,報告入力!$B$7:$B$696,$A565)</f>
        <v>20100</v>
      </c>
      <c r="F565" s="212" t="n">
        <f aca="false">SUMIFS(報告入力!$AY$7:$AY$696,報告入力!$A$7:$A$696,$S$522,報告入力!$B$7:$B$696,$A565)</f>
        <v>251</v>
      </c>
      <c r="G565" s="181" t="n">
        <f aca="false">SUM(B565:F565)</f>
        <v>265571</v>
      </c>
      <c r="H565" s="397"/>
      <c r="I565" s="183" t="n">
        <f aca="false">SUMIFS(報告入力!$BA$7:$BA$696,報告入力!$A$7:$A$696,$S$522,報告入力!$B$7:$B$696,$A565)</f>
        <v>151001</v>
      </c>
      <c r="J565" s="393" t="n">
        <f aca="false">SUM(H565:I565)</f>
        <v>151001</v>
      </c>
      <c r="K565" s="201"/>
      <c r="L565" s="213" t="n">
        <f aca="false">SUMIFS(報告入力!$BC$7:$BC$696,報告入力!$A$7:$A$696,$S$522,報告入力!$B$7:$B$696,$A565)</f>
        <v>10744</v>
      </c>
      <c r="M565" s="181" t="n">
        <f aca="false">SUM(K565:L565)</f>
        <v>10744</v>
      </c>
      <c r="N565" s="201"/>
      <c r="O565" s="213" t="n">
        <f aca="false">SUMIFS(報告入力!$BE$7:$BE$696,報告入力!$A$7:$A$696,$S$522,報告入力!$B$7:$B$696,$A565)</f>
        <v>1</v>
      </c>
      <c r="P565" s="181" t="n">
        <f aca="false">SUM(N565:O565)</f>
        <v>1</v>
      </c>
      <c r="Q565" s="110" t="str">
        <f aca="false">IF(P500=P565,"〇","×")</f>
        <v>〇</v>
      </c>
      <c r="R565" s="110" t="str">
        <f aca="false">IFERROR(INDEX(報告入力!$C$7:$C$696,MATCH($S$522&amp;"|"&amp;$A565,報告入力!$CG$7:$CG$696,0)),"")</f>
        <v>未受領</v>
      </c>
    </row>
    <row r="566" s="110" customFormat="true" ht="19.5" hidden="false" customHeight="true" outlineLevel="0" collapsed="false">
      <c r="A566" s="207" t="s">
        <v>196</v>
      </c>
      <c r="B566" s="215" t="n">
        <f aca="false">SUMIFS(報告入力!$AU$7:$AU$696,報告入力!$A$7:$A$696,$S$522,報告入力!$B$7:$B$696,$A566)</f>
        <v>123858792</v>
      </c>
      <c r="C566" s="212" t="n">
        <f aca="false">SUMIFS(報告入力!$AV$7:$AV$696,報告入力!$A$7:$A$696,$S$522,報告入力!$B$7:$B$696,$A566)</f>
        <v>10152360</v>
      </c>
      <c r="D566" s="178" t="n">
        <f aca="false">SUMIFS(報告入力!$AW$7:$AW$696,報告入力!$A$7:$A$696,$S$522,報告入力!$B$7:$B$696,$A566)</f>
        <v>183351440</v>
      </c>
      <c r="E566" s="182" t="n">
        <f aca="false">SUMIFS(報告入力!$AX$7:$AX$696,報告入力!$A$7:$A$696,$S$522,報告入力!$B$7:$B$696,$A566)</f>
        <v>10152360</v>
      </c>
      <c r="F566" s="212" t="n">
        <f aca="false">SUMIFS(報告入力!$AY$7:$AY$696,報告入力!$A$7:$A$696,$S$522,報告入力!$B$7:$B$696,$A566)</f>
        <v>134503</v>
      </c>
      <c r="G566" s="181" t="n">
        <f aca="false">SUM(B566:F566)</f>
        <v>327649455</v>
      </c>
      <c r="H566" s="215" t="n">
        <f aca="false">SUMIFS(報告入力!$AZ$7:$AZ$696,報告入力!$A$7:$A$696,$S$522,報告入力!$B$7:$B$696,$A566)</f>
        <v>96232987</v>
      </c>
      <c r="I566" s="183" t="n">
        <f aca="false">SUMIFS(報告入力!$BA$7:$BA$696,報告入力!$A$7:$A$696,$S$522,報告入力!$B$7:$B$696,$A566)</f>
        <v>96420754</v>
      </c>
      <c r="J566" s="393" t="n">
        <f aca="false">SUM(H566:I566)</f>
        <v>192653741</v>
      </c>
      <c r="K566" s="178" t="n">
        <f aca="false">SUMIFS(報告入力!$BB$7:$BB$696,報告入力!$A$7:$A$696,$S$522,報告入力!$B$7:$B$696,$A566)</f>
        <v>7770719</v>
      </c>
      <c r="L566" s="362" t="n">
        <f aca="false">SUMIFS(報告入力!$BC$7:$BC$696,報告入力!$A$7:$A$696,$S$522,報告入力!$B$7:$B$696,$A566)</f>
        <v>7770719</v>
      </c>
      <c r="M566" s="181" t="n">
        <f aca="false">SUM(K566:L566)</f>
        <v>15541438</v>
      </c>
      <c r="N566" s="178" t="n">
        <f aca="false">SUMIFS(報告入力!$BD$7:$BD$696,報告入力!$A$7:$A$696,$S$522,報告入力!$B$7:$B$696,$A566)</f>
        <v>1</v>
      </c>
      <c r="O566" s="362" t="n">
        <f aca="false">SUMIFS(報告入力!$BE$7:$BE$696,報告入力!$A$7:$A$696,$S$522,報告入力!$B$7:$B$696,$A566)</f>
        <v>1</v>
      </c>
      <c r="P566" s="181" t="n">
        <f aca="false">SUM(N566:O566)</f>
        <v>2</v>
      </c>
      <c r="Q566" s="110" t="str">
        <f aca="false">IF(P501=P566,"〇","×")</f>
        <v>〇</v>
      </c>
      <c r="R566" s="110" t="str">
        <f aca="false">IFERROR(INDEX(報告入力!$C$7:$C$696,MATCH($S$522&amp;"|"&amp;$A566,報告入力!$CG$7:$CG$696,0)),"")</f>
        <v>未受領</v>
      </c>
    </row>
    <row r="567" s="137" customFormat="true" ht="21.75" hidden="false" customHeight="true" outlineLevel="0" collapsed="false">
      <c r="A567" s="374" t="s">
        <v>197</v>
      </c>
      <c r="B567" s="127"/>
      <c r="C567" s="131"/>
      <c r="D567" s="127"/>
      <c r="E567" s="209"/>
      <c r="F567" s="131"/>
      <c r="G567" s="210" t="n">
        <f aca="false">SUM(B567:F567)</f>
        <v>0</v>
      </c>
      <c r="H567" s="213" t="n">
        <f aca="false">SUMIFS(報告入力!$AZ$7:$AZ$696,報告入力!$A$7:$A$696,$S$522,報告入力!$B$7:$B$696,$A567)</f>
        <v>128716</v>
      </c>
      <c r="I567" s="370" t="n">
        <f aca="false">SUMIFS(報告入力!$BA$7:$BA$696,報告入力!$A$7:$A$696,$S$522,報告入力!$B$7:$B$696,$A567)</f>
        <v>108566</v>
      </c>
      <c r="J567" s="135" t="n">
        <f aca="false">SUM(H567:I567)</f>
        <v>237282</v>
      </c>
      <c r="K567" s="215" t="n">
        <f aca="false">SUMIFS(報告入力!$BB$7:$BB$696,報告入力!$A$7:$A$696,$S$522,報告入力!$B$7:$B$696,$A567)</f>
        <v>15168</v>
      </c>
      <c r="L567" s="369" t="n">
        <f aca="false">SUMIFS(報告入力!$BC$7:$BC$696,報告入力!$A$7:$A$696,$S$522,報告入力!$B$7:$B$696,$A567)</f>
        <v>12245</v>
      </c>
      <c r="M567" s="135" t="n">
        <f aca="false">SUM(K567:L567)</f>
        <v>27413</v>
      </c>
      <c r="N567" s="215" t="n">
        <f aca="false">SUMIFS(報告入力!$BD$7:$BD$696,報告入力!$A$7:$A$696,$S$522,報告入力!$B$7:$B$696,$A567)</f>
        <v>1</v>
      </c>
      <c r="O567" s="369" t="n">
        <f aca="false">SUMIFS(報告入力!$BE$7:$BE$696,報告入力!$A$7:$A$696,$S$522,報告入力!$B$7:$B$696,$A567)</f>
        <v>1</v>
      </c>
      <c r="P567" s="135" t="n">
        <f aca="false">SUM(N567:O567)</f>
        <v>2</v>
      </c>
      <c r="Q567" s="137" t="str">
        <f aca="false">IF(P502=P567,"〇","×")</f>
        <v>〇</v>
      </c>
      <c r="R567" s="137" t="str">
        <f aca="false">IFERROR(INDEX(報告入力!$C$7:$C$696,MATCH($S$522&amp;"|"&amp;$A567,報告入力!$CG$7:$CG$696,0)),"")</f>
        <v>未受領</v>
      </c>
    </row>
    <row r="568" s="137" customFormat="true" ht="21.75" hidden="false" customHeight="true" outlineLevel="0" collapsed="false">
      <c r="A568" s="211" t="s">
        <v>216</v>
      </c>
      <c r="B568" s="311"/>
      <c r="C568" s="330"/>
      <c r="D568" s="311"/>
      <c r="E568" s="309"/>
      <c r="F568" s="331"/>
      <c r="G568" s="302" t="n">
        <f aca="false">SUM(B568:F568)</f>
        <v>0</v>
      </c>
      <c r="H568" s="311"/>
      <c r="I568" s="310"/>
      <c r="J568" s="305" t="n">
        <f aca="false">SUM(H568:I568)</f>
        <v>0</v>
      </c>
      <c r="K568" s="311"/>
      <c r="L568" s="309"/>
      <c r="M568" s="305" t="n">
        <f aca="false">SUM(K568:L568)</f>
        <v>0</v>
      </c>
      <c r="N568" s="311"/>
      <c r="O568" s="309"/>
      <c r="P568" s="305" t="n">
        <f aca="false">SUM(N568:O568)</f>
        <v>0</v>
      </c>
      <c r="Q568" s="137" t="str">
        <f aca="false">IF(P503=P568,"〇","×")</f>
        <v>〇</v>
      </c>
      <c r="R568" s="137" t="str">
        <f aca="false">IFERROR(INDEX(報告入力!$C$7:$C$696,MATCH($S$522&amp;"|"&amp;$A568,報告入力!$CG$7:$CG$696,0)),"")</f>
        <v>報告なし</v>
      </c>
    </row>
    <row r="569" s="137" customFormat="true" ht="21.75" hidden="false" customHeight="true" outlineLevel="0" collapsed="false">
      <c r="A569" s="211" t="s">
        <v>199</v>
      </c>
      <c r="B569" s="215" t="n">
        <f aca="false">SUMIFS(報告入力!$AU$7:$AU$696,報告入力!$A$7:$A$696,$S$522,報告入力!$B$7:$B$696,$A569)</f>
        <v>59475</v>
      </c>
      <c r="C569" s="367" t="n">
        <f aca="false">SUMIFS(報告入力!$AV$7:$AV$696,報告入力!$A$7:$A$696,$S$522,報告入力!$B$7:$B$696,$A569)</f>
        <v>4875</v>
      </c>
      <c r="D569" s="215" t="n">
        <f aca="false">SUMIFS(報告入力!$AW$7:$AW$696,報告入力!$A$7:$A$696,$S$522,報告入力!$B$7:$B$696,$A569)</f>
        <v>59475</v>
      </c>
      <c r="E569" s="213" t="n">
        <f aca="false">SUMIFS(報告入力!$AX$7:$AX$696,報告入力!$A$7:$A$696,$S$522,報告入力!$B$7:$B$696,$A569)</f>
        <v>4875</v>
      </c>
      <c r="F569" s="368" t="n">
        <f aca="false">SUMIFS(報告入力!$AY$7:$AY$696,報告入力!$A$7:$A$696,$S$522,報告入力!$B$7:$B$696,$A569)</f>
        <v>61</v>
      </c>
      <c r="G569" s="181" t="n">
        <f aca="false">SUM(B569:F569)</f>
        <v>128761</v>
      </c>
      <c r="H569" s="215" t="n">
        <f aca="false">SUMIFS(報告入力!$AZ$7:$AZ$696,報告入力!$A$7:$A$696,$S$522,報告入力!$B$7:$B$696,$A569)</f>
        <v>41257</v>
      </c>
      <c r="I569" s="214" t="n">
        <f aca="false">SUMIFS(報告入力!$BA$7:$BA$696,報告入力!$A$7:$A$696,$S$522,報告入力!$B$7:$B$696,$A569)</f>
        <v>41332</v>
      </c>
      <c r="J569" s="135" t="n">
        <f aca="false">SUM(H569:I569)</f>
        <v>82589</v>
      </c>
      <c r="K569" s="215" t="n">
        <f aca="false">SUMIFS(報告入力!$BB$7:$BB$696,報告入力!$A$7:$A$696,$S$522,報告入力!$B$7:$B$696,$A569)</f>
        <v>5925</v>
      </c>
      <c r="L569" s="213" t="n">
        <f aca="false">SUMIFS(報告入力!$BC$7:$BC$696,報告入力!$A$7:$A$696,$S$522,報告入力!$B$7:$B$696,$A569)</f>
        <v>5925</v>
      </c>
      <c r="M569" s="135" t="n">
        <f aca="false">SUM(K569:L569)</f>
        <v>11850</v>
      </c>
      <c r="N569" s="215" t="n">
        <f aca="false">SUMIFS(報告入力!$BD$7:$BD$696,報告入力!$A$7:$A$696,$S$522,報告入力!$B$7:$B$696,$A569)</f>
        <v>1</v>
      </c>
      <c r="O569" s="213" t="n">
        <f aca="false">SUMIFS(報告入力!$BE$7:$BE$696,報告入力!$A$7:$A$696,$S$522,報告入力!$B$7:$B$696,$A569)</f>
        <v>1</v>
      </c>
      <c r="P569" s="135" t="n">
        <f aca="false">SUM(N569:O569)</f>
        <v>2</v>
      </c>
      <c r="Q569" s="137" t="str">
        <f aca="false">IF(P504=P569,"〇","×")</f>
        <v>×</v>
      </c>
      <c r="R569" s="137" t="str">
        <f aca="false">IFERROR(INDEX(報告入力!$C$7:$C$696,MATCH($S$522&amp;"|"&amp;$A569,報告入力!$CG$7:$CG$696,0)),"")</f>
        <v>未受領</v>
      </c>
    </row>
    <row r="570" s="137" customFormat="true" ht="21.75" hidden="false" customHeight="true" outlineLevel="0" collapsed="false">
      <c r="A570" s="149"/>
      <c r="B570" s="157"/>
      <c r="C570" s="156"/>
      <c r="D570" s="220"/>
      <c r="E570" s="158"/>
      <c r="F570" s="156"/>
      <c r="G570" s="221" t="n">
        <f aca="false">SUM(B570:F570)</f>
        <v>0</v>
      </c>
      <c r="H570" s="160"/>
      <c r="I570" s="158"/>
      <c r="J570" s="223" t="n">
        <f aca="false">SUM(H570:I570)</f>
        <v>0</v>
      </c>
      <c r="K570" s="157"/>
      <c r="L570" s="220" t="s">
        <v>395</v>
      </c>
      <c r="M570" s="223" t="n">
        <f aca="false">SUM(K570:L570)</f>
        <v>0</v>
      </c>
      <c r="N570" s="157"/>
      <c r="O570" s="220" t="s">
        <v>395</v>
      </c>
      <c r="P570" s="223" t="n">
        <f aca="false">SUM(N570:O570)</f>
        <v>0</v>
      </c>
      <c r="Q570" s="137" t="str">
        <f aca="false">IF(P505=P570,"〇","×")</f>
        <v>〇</v>
      </c>
    </row>
    <row r="571" s="137" customFormat="true" ht="0.2" hidden="false" customHeight="true" outlineLevel="0" collapsed="false">
      <c r="A571" s="149"/>
      <c r="B571" s="157"/>
      <c r="C571" s="156"/>
      <c r="D571" s="220"/>
      <c r="E571" s="158"/>
      <c r="F571" s="156"/>
      <c r="G571" s="221" t="n">
        <f aca="false">SUM(B571:F571)</f>
        <v>0</v>
      </c>
      <c r="H571" s="160"/>
      <c r="I571" s="158"/>
      <c r="J571" s="223" t="n">
        <f aca="false">SUM(H571:I571)</f>
        <v>0</v>
      </c>
      <c r="K571" s="157"/>
      <c r="L571" s="158"/>
      <c r="M571" s="223" t="n">
        <f aca="false">SUM(K571:L571)</f>
        <v>0</v>
      </c>
      <c r="N571" s="157"/>
      <c r="O571" s="158"/>
      <c r="P571" s="223" t="n">
        <f aca="false">SUM(N571:O571)</f>
        <v>0</v>
      </c>
      <c r="Q571" s="137" t="str">
        <f aca="false">IF(P506=P571,"〇","×")</f>
        <v>〇</v>
      </c>
    </row>
    <row r="572" s="137" customFormat="true" ht="0.2" hidden="false" customHeight="true" outlineLevel="0" collapsed="false">
      <c r="A572" s="162"/>
      <c r="B572" s="224"/>
      <c r="C572" s="225"/>
      <c r="D572" s="226"/>
      <c r="E572" s="227"/>
      <c r="F572" s="225"/>
      <c r="G572" s="228"/>
      <c r="H572" s="231"/>
      <c r="I572" s="229"/>
      <c r="J572" s="230"/>
      <c r="K572" s="231"/>
      <c r="L572" s="229"/>
      <c r="M572" s="230"/>
      <c r="N572" s="231"/>
      <c r="O572" s="229"/>
      <c r="P572" s="230"/>
      <c r="Q572" s="137" t="str">
        <f aca="false">IF(P507=P572,"〇","×")</f>
        <v>〇</v>
      </c>
    </row>
    <row r="573" s="110" customFormat="true" ht="20.1" hidden="false" customHeight="true" outlineLevel="0" collapsed="false">
      <c r="A573" s="171" t="s">
        <v>383</v>
      </c>
      <c r="B573" s="172" t="n">
        <f aca="false">SUM(B543:B572)</f>
        <v>126643137</v>
      </c>
      <c r="C573" s="175" t="n">
        <f aca="false">SUM(C543:C572)</f>
        <v>10380585</v>
      </c>
      <c r="D573" s="173" t="n">
        <f aca="false">SUM(D543:D572)</f>
        <v>192157400</v>
      </c>
      <c r="E573" s="174" t="n">
        <f aca="false">SUM(E543:E572)</f>
        <v>10874160</v>
      </c>
      <c r="F573" s="175" t="n">
        <f aca="false">SUM(F543:F572)</f>
        <v>143899</v>
      </c>
      <c r="G573" s="176" t="n">
        <f aca="false">SUM(B573:F573)</f>
        <v>340199181</v>
      </c>
      <c r="H573" s="172" t="n">
        <f aca="false">SUM(H543:H571)</f>
        <v>98046636</v>
      </c>
      <c r="I573" s="173" t="n">
        <f aca="false">SUM(I543:I571)</f>
        <v>101993724</v>
      </c>
      <c r="J573" s="175" t="n">
        <f aca="false">SUM(H573:I573)</f>
        <v>200040360</v>
      </c>
      <c r="K573" s="172" t="n">
        <f aca="false">SUM(K543:K571)</f>
        <v>7939779</v>
      </c>
      <c r="L573" s="173" t="n">
        <f aca="false">SUM(L543:L571)</f>
        <v>8379335</v>
      </c>
      <c r="M573" s="175" t="n">
        <f aca="false">SUM(K573:L573)</f>
        <v>16319114</v>
      </c>
      <c r="N573" s="172" t="n">
        <f aca="false">SUM(N543:N571)</f>
        <v>12</v>
      </c>
      <c r="O573" s="173" t="n">
        <f aca="false">SUM(O543:O571)</f>
        <v>24</v>
      </c>
      <c r="P573" s="175" t="n">
        <f aca="false">SUM(N573:O573)</f>
        <v>36</v>
      </c>
      <c r="Q573" s="110" t="str">
        <f aca="false">IF(P508=P573,"〇","×")</f>
        <v>×</v>
      </c>
    </row>
    <row r="574" s="137" customFormat="true" ht="0.2" hidden="false" customHeight="true" outlineLevel="0" collapsed="false">
      <c r="A574" s="149" t="s">
        <v>382</v>
      </c>
      <c r="B574" s="231"/>
      <c r="C574" s="232"/>
      <c r="D574" s="229"/>
      <c r="E574" s="233"/>
      <c r="F574" s="234"/>
      <c r="G574" s="235"/>
      <c r="H574" s="398"/>
      <c r="I574" s="236"/>
      <c r="J574" s="237"/>
      <c r="K574" s="238"/>
      <c r="L574" s="239"/>
      <c r="M574" s="240"/>
      <c r="N574" s="238"/>
      <c r="O574" s="239"/>
      <c r="P574" s="240"/>
      <c r="Q574" s="137" t="str">
        <f aca="false">IF(P509=P574,"〇","×")</f>
        <v>〇</v>
      </c>
    </row>
    <row r="575" s="137" customFormat="true" ht="0.2" hidden="false" customHeight="true" outlineLevel="0" collapsed="false">
      <c r="A575" s="241" t="s">
        <v>382</v>
      </c>
      <c r="B575" s="242"/>
      <c r="C575" s="243"/>
      <c r="D575" s="229"/>
      <c r="E575" s="233"/>
      <c r="F575" s="232"/>
      <c r="G575" s="228"/>
      <c r="H575" s="399"/>
      <c r="I575" s="244"/>
      <c r="J575" s="245"/>
      <c r="K575" s="246"/>
      <c r="L575" s="247"/>
      <c r="M575" s="248"/>
      <c r="N575" s="246"/>
      <c r="O575" s="247"/>
      <c r="P575" s="248"/>
      <c r="Q575" s="137" t="str">
        <f aca="false">IF(P510=P575,"〇","×")</f>
        <v>〇</v>
      </c>
    </row>
    <row r="576" s="110" customFormat="true" ht="20.1" hidden="false" customHeight="true" outlineLevel="0" collapsed="false">
      <c r="A576" s="189" t="s">
        <v>200</v>
      </c>
      <c r="B576" s="215" t="n">
        <f aca="false">SUMIFS(報告入力!$AU$7:$AU$696,報告入力!$A$7:$A$696,$S$522,報告入力!$B$7:$B$696,$A576)</f>
        <v>145485</v>
      </c>
      <c r="C576" s="212" t="n">
        <f aca="false">SUMIFS(報告入力!$AV$7:$AV$696,報告入力!$A$7:$A$696,$S$522,報告入力!$B$7:$B$696,$A576)</f>
        <v>11925</v>
      </c>
      <c r="D576" s="178" t="n">
        <f aca="false">SUMIFS(報告入力!$AW$7:$AW$696,報告入力!$A$7:$A$696,$S$522,報告入力!$B$7:$B$696,$A576)</f>
        <v>145485</v>
      </c>
      <c r="E576" s="182" t="n">
        <f aca="false">SUMIFS(報告入力!$AX$7:$AX$696,報告入力!$A$7:$A$696,$S$522,報告入力!$B$7:$B$696,$A576)</f>
        <v>11925</v>
      </c>
      <c r="F576" s="212" t="n">
        <f aca="false">SUMIFS(報告入力!$AY$7:$AY$696,報告入力!$A$7:$A$696,$S$522,報告入力!$B$7:$B$696,$A576)</f>
        <v>149</v>
      </c>
      <c r="G576" s="181" t="n">
        <f aca="false">SUM(B576:F576)</f>
        <v>314969</v>
      </c>
      <c r="H576" s="127"/>
      <c r="I576" s="130"/>
      <c r="J576" s="196" t="n">
        <f aca="false">SUM(H576:I576)</f>
        <v>0</v>
      </c>
      <c r="K576" s="127"/>
      <c r="L576" s="130"/>
      <c r="M576" s="196" t="n">
        <f aca="false">SUM(K576:L576)</f>
        <v>0</v>
      </c>
      <c r="N576" s="127"/>
      <c r="O576" s="130"/>
      <c r="P576" s="196" t="n">
        <f aca="false">SUM(N576:O576)</f>
        <v>0</v>
      </c>
      <c r="Q576" s="110" t="str">
        <f aca="false">IF(P511=P576,"〇","×")</f>
        <v>〇</v>
      </c>
      <c r="R576" s="110" t="str">
        <f aca="false">IFERROR(INDEX(報告入力!$C$7:$C$696,MATCH($S$522&amp;"|"&amp;$A576,報告入力!$CG$7:$CG$696,0)),"")</f>
        <v>未受領</v>
      </c>
    </row>
    <row r="577" s="110" customFormat="true" ht="21.75" hidden="false" customHeight="true" outlineLevel="0" collapsed="false">
      <c r="A577" s="189" t="s">
        <v>201</v>
      </c>
      <c r="B577" s="384" t="n">
        <f aca="false">SUMIFS(報告入力!$AU$7:$AU$696,報告入力!$A$7:$A$696,$S$522,報告入力!$B$7:$B$696,$A577)</f>
        <v>53985</v>
      </c>
      <c r="C577" s="385" t="n">
        <f aca="false">SUMIFS(報告入力!$AV$7:$AV$696,報告入力!$A$7:$A$696,$S$522,報告入力!$B$7:$B$696,$A577)</f>
        <v>4425</v>
      </c>
      <c r="D577" s="400" t="n">
        <f aca="false">SUMIFS(報告入力!$AW$7:$AW$696,報告入力!$A$7:$A$696,$S$522,報告入力!$B$7:$B$696,$A577)</f>
        <v>53985</v>
      </c>
      <c r="E577" s="401" t="n">
        <f aca="false">SUMIFS(報告入力!$AX$7:$AX$696,報告入力!$A$7:$A$696,$S$522,報告入力!$B$7:$B$696,$A577)</f>
        <v>4425</v>
      </c>
      <c r="F577" s="402" t="n">
        <f aca="false">SUMIFS(報告入力!$AY$7:$AY$696,報告入力!$A$7:$A$696,$S$522,報告入力!$B$7:$B$696,$A577)</f>
        <v>55</v>
      </c>
      <c r="G577" s="366" t="n">
        <f aca="false">SUM(B577:F577)</f>
        <v>116875</v>
      </c>
      <c r="H577" s="403"/>
      <c r="I577" s="252"/>
      <c r="J577" s="253" t="n">
        <f aca="false">SUM(H577:I577)</f>
        <v>0</v>
      </c>
      <c r="K577" s="403"/>
      <c r="L577" s="252"/>
      <c r="M577" s="253" t="n">
        <f aca="false">SUM(K577:L577)</f>
        <v>0</v>
      </c>
      <c r="N577" s="403"/>
      <c r="O577" s="252"/>
      <c r="P577" s="253" t="n">
        <f aca="false">SUM(N577:O577)</f>
        <v>0</v>
      </c>
      <c r="Q577" s="110" t="str">
        <f aca="false">IF(P512=P577,"〇","×")</f>
        <v>〇</v>
      </c>
      <c r="R577" s="110" t="str">
        <f aca="false">IFERROR(INDEX(報告入力!$C$7:$C$696,MATCH($S$522&amp;"|"&amp;$A577,報告入力!$CG$7:$CG$696,0)),"")</f>
        <v>未受領</v>
      </c>
    </row>
    <row r="578" s="110" customFormat="true" ht="19.5" hidden="false" customHeight="true" outlineLevel="0" collapsed="false">
      <c r="A578" s="171" t="s">
        <v>383</v>
      </c>
      <c r="B578" s="172" t="n">
        <f aca="false">SUM(B574:B577)</f>
        <v>199470</v>
      </c>
      <c r="C578" s="175" t="n">
        <f aca="false">SUM(C574:C577)</f>
        <v>16350</v>
      </c>
      <c r="D578" s="173" t="n">
        <f aca="false">SUM(D574:D577)</f>
        <v>199470</v>
      </c>
      <c r="E578" s="174" t="n">
        <f aca="false">SUM(E574:E577)</f>
        <v>16350</v>
      </c>
      <c r="F578" s="175" t="n">
        <f aca="false">SUM(F574:F577)</f>
        <v>204</v>
      </c>
      <c r="G578" s="176" t="n">
        <f aca="false">SUM(B578:F578)</f>
        <v>431844</v>
      </c>
      <c r="H578" s="256" t="n">
        <f aca="false">SUM(H574:H577)</f>
        <v>0</v>
      </c>
      <c r="I578" s="257" t="n">
        <f aca="false">SUM(I574:I577)</f>
        <v>0</v>
      </c>
      <c r="J578" s="258" t="n">
        <f aca="false">SUM(H578:I578)</f>
        <v>0</v>
      </c>
      <c r="K578" s="256" t="n">
        <f aca="false">SUM(K574:K577)</f>
        <v>0</v>
      </c>
      <c r="L578" s="257" t="n">
        <f aca="false">SUM(L574:L577)</f>
        <v>0</v>
      </c>
      <c r="M578" s="258" t="n">
        <f aca="false">SUM(K578:L578)</f>
        <v>0</v>
      </c>
      <c r="N578" s="256" t="n">
        <f aca="false">SUM(N574:N577)</f>
        <v>0</v>
      </c>
      <c r="O578" s="257" t="n">
        <f aca="false">SUM(O574:O577)</f>
        <v>0</v>
      </c>
      <c r="P578" s="258" t="n">
        <f aca="false">SUM(N578:O578)</f>
        <v>0</v>
      </c>
      <c r="Q578" s="110" t="str">
        <f aca="false">IF(P513=P578,"〇","×")</f>
        <v>〇</v>
      </c>
    </row>
    <row r="579" s="110" customFormat="true" ht="20.1" hidden="false" customHeight="true" outlineLevel="0" collapsed="false">
      <c r="A579" s="100" t="s">
        <v>202</v>
      </c>
      <c r="B579" s="215" t="n">
        <f aca="false">SUMIFS(報告入力!$AU$7:$AU$696,報告入力!$A$7:$A$696,$S$522,報告入力!$B$7:$B$696,$A579)</f>
        <v>29280</v>
      </c>
      <c r="C579" s="212" t="n">
        <f aca="false">SUMIFS(報告入力!$AV$7:$AV$696,報告入力!$A$7:$A$696,$S$522,報告入力!$B$7:$B$696,$A579)</f>
        <v>2400</v>
      </c>
      <c r="D579" s="178" t="n">
        <f aca="false">SUMIFS(報告入力!$AW$7:$AW$696,報告入力!$A$7:$A$696,$S$522,報告入力!$B$7:$B$696,$A579)</f>
        <v>29280</v>
      </c>
      <c r="E579" s="182" t="n">
        <f aca="false">SUMIFS(報告入力!$AX$7:$AX$696,報告入力!$A$7:$A$696,$S$522,報告入力!$B$7:$B$696,$A579)</f>
        <v>2400</v>
      </c>
      <c r="F579" s="312"/>
      <c r="G579" s="181" t="n">
        <f aca="false">SUM(B579:F579)</f>
        <v>63360</v>
      </c>
      <c r="H579" s="262" t="n">
        <f aca="false">SUMIFS(報告入力!$AZ$7:$AZ$696,報告入力!$A$7:$A$696,$S$522,報告入力!$B$7:$B$696,$A579)</f>
        <v>17603</v>
      </c>
      <c r="I579" s="183" t="n">
        <f aca="false">SUMIFS(報告入力!$BA$7:$BA$696,報告入力!$A$7:$A$696,$S$522,報告入力!$B$7:$B$696,$A579)</f>
        <v>17635</v>
      </c>
      <c r="J579" s="135" t="n">
        <f aca="false">SUM(H579:I579)</f>
        <v>35238</v>
      </c>
      <c r="K579" s="262" t="n">
        <f aca="false">SUMIFS(報告入力!$BB$7:$BB$696,報告入力!$A$7:$A$696,$S$522,報告入力!$B$7:$B$696,$A579)</f>
        <v>2528</v>
      </c>
      <c r="L579" s="183" t="n">
        <f aca="false">SUMIFS(報告入力!$BC$7:$BC$696,報告入力!$A$7:$A$696,$S$522,報告入力!$B$7:$B$696,$A579)</f>
        <v>2528</v>
      </c>
      <c r="M579" s="135" t="n">
        <f aca="false">SUM(K579:L579)</f>
        <v>5056</v>
      </c>
      <c r="N579" s="262" t="n">
        <f aca="false">SUMIFS(報告入力!$BD$7:$BD$696,報告入力!$A$7:$A$696,$S$522,報告入力!$B$7:$B$696,$A579)</f>
        <v>1</v>
      </c>
      <c r="O579" s="183" t="n">
        <f aca="false">SUMIFS(報告入力!$BE$7:$BE$696,報告入力!$A$7:$A$696,$S$522,報告入力!$B$7:$B$696,$A579)</f>
        <v>1</v>
      </c>
      <c r="P579" s="135" t="n">
        <f aca="false">SUM(N579:O579)</f>
        <v>2</v>
      </c>
      <c r="Q579" s="110" t="str">
        <f aca="false">IF(P514=P579,"〇","×")</f>
        <v>〇</v>
      </c>
      <c r="R579" s="110" t="str">
        <f aca="false">IFERROR(INDEX(報告入力!$C$7:$C$696,MATCH($S$522&amp;"|"&amp;$A579,報告入力!$CG$7:$CG$696,0)),"")</f>
        <v>未受領</v>
      </c>
    </row>
    <row r="580" s="110" customFormat="true" ht="20.1" hidden="false" customHeight="true" outlineLevel="0" collapsed="false">
      <c r="A580" s="100" t="s">
        <v>203</v>
      </c>
      <c r="B580" s="215"/>
      <c r="C580" s="212"/>
      <c r="D580" s="178"/>
      <c r="E580" s="182"/>
      <c r="F580" s="312"/>
      <c r="G580" s="181" t="n">
        <f aca="false">SUM(B580:F580)</f>
        <v>0</v>
      </c>
      <c r="H580" s="262"/>
      <c r="I580" s="183"/>
      <c r="J580" s="135" t="n">
        <f aca="false">SUM(H580:I580)</f>
        <v>0</v>
      </c>
      <c r="K580" s="262"/>
      <c r="L580" s="183"/>
      <c r="M580" s="135" t="n">
        <f aca="false">SUM(K580:L580)</f>
        <v>0</v>
      </c>
      <c r="N580" s="262"/>
      <c r="O580" s="183"/>
      <c r="P580" s="135" t="n">
        <f aca="false">SUM(N580:O580)</f>
        <v>0</v>
      </c>
      <c r="Q580" s="110" t="str">
        <f aca="false">IF(P515=P580,"〇","×")</f>
        <v>〇</v>
      </c>
      <c r="R580" s="110" t="str">
        <f aca="false">IFERROR(INDEX(報告入力!$C$7:$C$696,MATCH($S$522&amp;"|"&amp;$A580,報告入力!$CG$7:$CG$696,0)),"")</f>
        <v>報告なし</v>
      </c>
    </row>
    <row r="581" s="110" customFormat="true" ht="20.1" hidden="false" customHeight="true" outlineLevel="0" collapsed="false">
      <c r="A581" s="192" t="s">
        <v>204</v>
      </c>
      <c r="B581" s="215" t="n">
        <f aca="false">SUMIFS(報告入力!$AU$7:$AU$696,報告入力!$A$7:$A$696,$S$522,報告入力!$B$7:$B$696,$A581)</f>
        <v>23790</v>
      </c>
      <c r="C581" s="212" t="n">
        <f aca="false">SUMIFS(報告入力!$AV$7:$AV$696,報告入力!$A$7:$A$696,$S$522,報告入力!$B$7:$B$696,$A581)</f>
        <v>1950</v>
      </c>
      <c r="D581" s="178" t="n">
        <f aca="false">SUMIFS(報告入力!$AW$7:$AW$696,報告入力!$A$7:$A$696,$S$522,報告入力!$B$7:$B$696,$A581)</f>
        <v>23790</v>
      </c>
      <c r="E581" s="182" t="n">
        <f aca="false">SUMIFS(報告入力!$AX$7:$AX$696,報告入力!$A$7:$A$696,$S$522,報告入力!$B$7:$B$696,$A581)</f>
        <v>1950</v>
      </c>
      <c r="F581" s="312"/>
      <c r="G581" s="181" t="n">
        <f aca="false">SUM(B581:F581)</f>
        <v>51480</v>
      </c>
      <c r="H581" s="182" t="n">
        <f aca="false">SUMIFS(報告入力!$AZ$7:$AZ$696,報告入力!$A$7:$A$696,$S$522,報告入力!$B$7:$B$696,$A581)</f>
        <v>30805</v>
      </c>
      <c r="I581" s="183" t="n">
        <f aca="false">SUMIFS(報告入力!$BA$7:$BA$696,報告入力!$A$7:$A$696,$S$522,報告入力!$B$7:$B$696,$A581)</f>
        <v>30861</v>
      </c>
      <c r="J581" s="135" t="n">
        <f aca="false">SUM(H581:I581)</f>
        <v>61666</v>
      </c>
      <c r="K581" s="262" t="n">
        <f aca="false">SUMIFS(報告入力!$BB$7:$BB$696,報告入力!$A$7:$A$696,$S$522,報告入力!$B$7:$B$696,$A581)</f>
        <v>2370</v>
      </c>
      <c r="L581" s="183" t="n">
        <f aca="false">SUMIFS(報告入力!$BC$7:$BC$696,報告入力!$A$7:$A$696,$S$522,報告入力!$B$7:$B$696,$A581)</f>
        <v>2370</v>
      </c>
      <c r="M581" s="135" t="n">
        <f aca="false">SUM(K581:L581)</f>
        <v>4740</v>
      </c>
      <c r="N581" s="262" t="n">
        <f aca="false">SUMIFS(報告入力!$BD$7:$BD$696,報告入力!$A$7:$A$696,$S$522,報告入力!$B$7:$B$696,$A581)</f>
        <v>1</v>
      </c>
      <c r="O581" s="183" t="n">
        <f aca="false">SUMIFS(報告入力!$BE$7:$BE$696,報告入力!$A$7:$A$696,$S$522,報告入力!$B$7:$B$696,$A581)</f>
        <v>1</v>
      </c>
      <c r="P581" s="135" t="n">
        <f aca="false">SUM(N581:O581)</f>
        <v>2</v>
      </c>
      <c r="Q581" s="110" t="str">
        <f aca="false">IF(P516=P581,"〇","×")</f>
        <v>×</v>
      </c>
      <c r="R581" s="110" t="str">
        <f aca="false">IFERROR(INDEX(報告入力!$C$7:$C$696,MATCH($S$522&amp;"|"&amp;$A581,報告入力!$CG$7:$CG$696,0)),"")</f>
        <v>未受領</v>
      </c>
    </row>
    <row r="582" s="110" customFormat="true" ht="20.1" hidden="false" customHeight="true" outlineLevel="0" collapsed="false">
      <c r="A582" s="192" t="s">
        <v>205</v>
      </c>
      <c r="B582" s="215"/>
      <c r="C582" s="212"/>
      <c r="D582" s="178"/>
      <c r="E582" s="182"/>
      <c r="F582" s="312"/>
      <c r="G582" s="181" t="n">
        <f aca="false">SUM(B582:F582)</f>
        <v>0</v>
      </c>
      <c r="H582" s="334"/>
      <c r="I582" s="333"/>
      <c r="J582" s="284" t="n">
        <f aca="false">SUM(H582:I582)</f>
        <v>0</v>
      </c>
      <c r="K582" s="334"/>
      <c r="L582" s="333"/>
      <c r="M582" s="284" t="n">
        <f aca="false">SUM(K582:L582)</f>
        <v>0</v>
      </c>
      <c r="N582" s="334"/>
      <c r="O582" s="333"/>
      <c r="P582" s="284" t="n">
        <f aca="false">SUM(N582:O582)</f>
        <v>0</v>
      </c>
      <c r="Q582" s="110" t="str">
        <f aca="false">IF(P517=P582,"〇","×")</f>
        <v>〇</v>
      </c>
      <c r="R582" s="110" t="str">
        <f aca="false">IFERROR(INDEX(報告入力!$C$7:$C$696,MATCH($S$522&amp;"|"&amp;$A582,報告入力!$CG$7:$CG$696,0)),"")</f>
        <v>報告なし</v>
      </c>
    </row>
    <row r="583" s="110" customFormat="true" ht="20.1" hidden="false" customHeight="true" outlineLevel="0" collapsed="false">
      <c r="A583" s="171" t="s">
        <v>383</v>
      </c>
      <c r="B583" s="172" t="n">
        <f aca="false">SUM(B579:B582)</f>
        <v>53070</v>
      </c>
      <c r="C583" s="176" t="n">
        <f aca="false">SUM(C579:C582)</f>
        <v>4350</v>
      </c>
      <c r="D583" s="172" t="n">
        <f aca="false">SUM(D579:D582)</f>
        <v>53070</v>
      </c>
      <c r="E583" s="174" t="n">
        <f aca="false">SUM(E579:E582)</f>
        <v>4350</v>
      </c>
      <c r="F583" s="175" t="n">
        <f aca="false">SUM(F579:F582)</f>
        <v>0</v>
      </c>
      <c r="G583" s="176" t="n">
        <f aca="false">SUM(B583:F583)</f>
        <v>114840</v>
      </c>
      <c r="H583" s="404" t="n">
        <f aca="false">SUM(H579:H582)</f>
        <v>48408</v>
      </c>
      <c r="I583" s="174" t="n">
        <f aca="false">SUM(I579:I582)</f>
        <v>48496</v>
      </c>
      <c r="J583" s="175" t="n">
        <f aca="false">SUM(H583:I583)</f>
        <v>96904</v>
      </c>
      <c r="K583" s="172" t="n">
        <f aca="false">SUM(K579:K582)</f>
        <v>4898</v>
      </c>
      <c r="L583" s="276" t="n">
        <f aca="false">SUM(L579:L582)</f>
        <v>4898</v>
      </c>
      <c r="M583" s="175" t="n">
        <f aca="false">SUM(K583:L583)</f>
        <v>9796</v>
      </c>
      <c r="N583" s="172" t="n">
        <f aca="false">SUM(N579:N582)</f>
        <v>2</v>
      </c>
      <c r="O583" s="276" t="n">
        <f aca="false">SUM(O579:O582)</f>
        <v>2</v>
      </c>
      <c r="P583" s="175" t="n">
        <f aca="false">SUM(N583:O583)</f>
        <v>4</v>
      </c>
      <c r="Q583" s="110" t="str">
        <f aca="false">IF(P518=P583,"〇","×")</f>
        <v>×</v>
      </c>
    </row>
    <row r="584" s="110" customFormat="true" ht="20.1" hidden="false" customHeight="true" outlineLevel="0" collapsed="false">
      <c r="A584" s="277" t="s">
        <v>206</v>
      </c>
      <c r="B584" s="278"/>
      <c r="C584" s="279"/>
      <c r="D584" s="280"/>
      <c r="E584" s="281"/>
      <c r="F584" s="267"/>
      <c r="G584" s="268"/>
      <c r="H584" s="334" t="n">
        <f aca="false">SUMIFS(報告入力!$AZ$7:$AZ$696,報告入力!$A$7:$A$696,$S$522,報告入力!$B$7:$B$696,$A584)</f>
        <v>1365918</v>
      </c>
      <c r="I584" s="314"/>
      <c r="J584" s="284" t="n">
        <f aca="false">SUM(H584:I584)</f>
        <v>1365918</v>
      </c>
      <c r="K584" s="334" t="n">
        <f aca="false">SUMIFS(報告入力!$BB$7:$BB$696,報告入力!$A$7:$A$696,$S$522,報告入力!$B$7:$B$696,$A584)</f>
        <v>91032</v>
      </c>
      <c r="L584" s="314"/>
      <c r="M584" s="284" t="n">
        <f aca="false">SUM(K584:L584)</f>
        <v>91032</v>
      </c>
      <c r="N584" s="334" t="n">
        <f aca="false">SUMIFS(報告入力!$BD$7:$BD$696,報告入力!$A$7:$A$696,$S$522,報告入力!$B$7:$B$696,$A584)</f>
        <v>1</v>
      </c>
      <c r="O584" s="314"/>
      <c r="P584" s="284" t="n">
        <f aca="false">SUM(N584:O584)</f>
        <v>1</v>
      </c>
      <c r="Q584" s="110" t="str">
        <f aca="false">IF(P519=P584,"〇","×")</f>
        <v>〇</v>
      </c>
      <c r="R584" s="110" t="str">
        <f aca="false">IFERROR(INDEX(報告入力!$C$7:$C$696,MATCH($S$522&amp;"|"&amp;$A584,報告入力!$CG$7:$CG$696,0)),"")</f>
        <v>未受領</v>
      </c>
    </row>
    <row r="585" s="110" customFormat="true" ht="30" hidden="false" customHeight="true" outlineLevel="0" collapsed="false">
      <c r="A585" s="285" t="s">
        <v>385</v>
      </c>
      <c r="B585" s="286" t="n">
        <f aca="false">SUM(+B542+B573+B578+B583+B584)</f>
        <v>481072783</v>
      </c>
      <c r="C585" s="287" t="n">
        <f aca="false">SUM(+C542+C573+C578+C583+C584)</f>
        <v>39443899</v>
      </c>
      <c r="D585" s="286" t="n">
        <f aca="false">SUM(+D542+D573+D578+D583+D584)</f>
        <v>708044487</v>
      </c>
      <c r="E585" s="288" t="n">
        <f aca="false">SUM(+E542+E573+E578+E583+E584)</f>
        <v>39390420</v>
      </c>
      <c r="F585" s="287" t="n">
        <f aca="false">SUM(+F542+F573+F578+F583+F584)</f>
        <v>514655</v>
      </c>
      <c r="G585" s="289" t="n">
        <f aca="false">SUM(B585:F585)</f>
        <v>1268466244</v>
      </c>
      <c r="H585" s="292" t="n">
        <f aca="false">SUM(+H542+H573+H578+H583+H584)</f>
        <v>366177202</v>
      </c>
      <c r="I585" s="290" t="n">
        <f aca="false">SUM(+I542+I573+I578+I583+I584)</f>
        <v>369564417</v>
      </c>
      <c r="J585" s="291" t="n">
        <f aca="false">SUM(H585:I585)</f>
        <v>735741619</v>
      </c>
      <c r="K585" s="292" t="n">
        <f aca="false">SUM(+K542+K573+K578+K583+K584)</f>
        <v>31294719</v>
      </c>
      <c r="L585" s="290" t="n">
        <f aca="false">SUM(+L542+L573+L578+L583+L584)</f>
        <v>31158617</v>
      </c>
      <c r="M585" s="291" t="n">
        <f aca="false">SUM(K585:L585)</f>
        <v>62453336</v>
      </c>
      <c r="N585" s="292" t="n">
        <f aca="false">SUM(+N542+N573+N578+N583+N584)</f>
        <v>27</v>
      </c>
      <c r="O585" s="290" t="n">
        <f aca="false">SUM(+O542+O573+O578+O583+O584)</f>
        <v>38</v>
      </c>
      <c r="P585" s="291" t="n">
        <f aca="false">SUM(N585:O585)</f>
        <v>65</v>
      </c>
      <c r="Q585" s="110" t="str">
        <f aca="false">IF(P520=P585,"〇","×")</f>
        <v>×</v>
      </c>
    </row>
    <row r="586" s="316" customFormat="true" ht="39" hidden="false" customHeight="true" outlineLevel="0" collapsed="false">
      <c r="A586" s="315"/>
      <c r="G586" s="84"/>
      <c r="Q586" s="316" t="str">
        <f aca="false">IF(P521=P586,"〇","×")</f>
        <v>〇</v>
      </c>
    </row>
    <row r="587" s="297" customFormat="true" ht="30" hidden="false" customHeight="true" outlineLevel="0" collapsed="false">
      <c r="A587" s="335"/>
      <c r="B587" s="405" t="n">
        <f aca="false">B652</f>
        <v>46387</v>
      </c>
      <c r="C587" s="405"/>
      <c r="D587" s="405"/>
      <c r="E587" s="405"/>
      <c r="F587" s="405"/>
      <c r="G587" s="405"/>
      <c r="H587" s="336" t="n">
        <f aca="false">B587</f>
        <v>46387</v>
      </c>
      <c r="I587" s="336"/>
      <c r="J587" s="336"/>
      <c r="K587" s="336" t="n">
        <f aca="false">H587</f>
        <v>46387</v>
      </c>
      <c r="L587" s="336"/>
      <c r="M587" s="336"/>
      <c r="N587" s="336" t="n">
        <f aca="false">K587</f>
        <v>46387</v>
      </c>
      <c r="O587" s="336"/>
      <c r="P587" s="336"/>
      <c r="Q587" s="297" t="str">
        <f aca="false">IF(P522=P587,"〇","×")</f>
        <v>〇</v>
      </c>
      <c r="S587" s="297" t="s">
        <v>396</v>
      </c>
    </row>
    <row r="588" customFormat="false" ht="22.5" hidden="false" customHeight="true" outlineLevel="0" collapsed="false">
      <c r="A588" s="89" t="s">
        <v>369</v>
      </c>
      <c r="B588" s="89" t="s">
        <v>370</v>
      </c>
      <c r="C588" s="89"/>
      <c r="D588" s="89"/>
      <c r="E588" s="89"/>
      <c r="F588" s="89"/>
      <c r="G588" s="89"/>
      <c r="H588" s="91" t="s">
        <v>371</v>
      </c>
      <c r="I588" s="91"/>
      <c r="J588" s="91"/>
      <c r="K588" s="91" t="s">
        <v>372</v>
      </c>
      <c r="L588" s="91"/>
      <c r="M588" s="91"/>
      <c r="N588" s="91" t="str">
        <f aca="false">$N$3</f>
        <v>子ども・子育て支援納付金</v>
      </c>
      <c r="O588" s="91"/>
      <c r="P588" s="91"/>
      <c r="Q588" s="80" t="str">
        <f aca="false">IF(P523=P588,"〇","×")</f>
        <v>〇</v>
      </c>
    </row>
    <row r="589" customFormat="false" ht="22.5" hidden="false" customHeight="true" outlineLevel="0" collapsed="false">
      <c r="A589" s="89"/>
      <c r="B589" s="92" t="s">
        <v>373</v>
      </c>
      <c r="C589" s="92"/>
      <c r="D589" s="92" t="s">
        <v>374</v>
      </c>
      <c r="E589" s="92"/>
      <c r="F589" s="92"/>
      <c r="G589" s="92" t="s">
        <v>375</v>
      </c>
      <c r="H589" s="96" t="s">
        <v>376</v>
      </c>
      <c r="I589" s="94" t="s">
        <v>377</v>
      </c>
      <c r="J589" s="95" t="s">
        <v>375</v>
      </c>
      <c r="K589" s="96" t="s">
        <v>376</v>
      </c>
      <c r="L589" s="94" t="s">
        <v>377</v>
      </c>
      <c r="M589" s="95" t="s">
        <v>375</v>
      </c>
      <c r="N589" s="96" t="s">
        <v>376</v>
      </c>
      <c r="O589" s="94" t="s">
        <v>377</v>
      </c>
      <c r="P589" s="95" t="s">
        <v>375</v>
      </c>
      <c r="Q589" s="80" t="str">
        <f aca="false">IF(P524=P589,"〇","×")</f>
        <v>〇</v>
      </c>
    </row>
    <row r="590" customFormat="false" ht="22.5" hidden="false" customHeight="true" outlineLevel="0" collapsed="false">
      <c r="A590" s="89"/>
      <c r="B590" s="97" t="s">
        <v>378</v>
      </c>
      <c r="C590" s="98" t="s">
        <v>379</v>
      </c>
      <c r="D590" s="99" t="s">
        <v>378</v>
      </c>
      <c r="E590" s="99" t="s">
        <v>380</v>
      </c>
      <c r="F590" s="98" t="s">
        <v>85</v>
      </c>
      <c r="G590" s="92"/>
      <c r="H590" s="96"/>
      <c r="I590" s="94"/>
      <c r="J590" s="95"/>
      <c r="K590" s="96"/>
      <c r="L590" s="94"/>
      <c r="M590" s="95"/>
      <c r="N590" s="96"/>
      <c r="O590" s="94"/>
      <c r="P590" s="95"/>
      <c r="Q590" s="80" t="str">
        <f aca="false">IF(P525=P590,"〇","×")</f>
        <v>〇</v>
      </c>
    </row>
    <row r="591" s="110" customFormat="true" ht="20.1" hidden="false" customHeight="true" outlineLevel="0" collapsed="false">
      <c r="A591" s="100" t="s">
        <v>158</v>
      </c>
      <c r="B591" s="215" t="n">
        <f aca="false">SUMIFS(報告入力!$AU$7:$AU$696,報告入力!$A$7:$A$696,$S$587,報告入力!$B$7:$B$696,$A591)</f>
        <v>435917995</v>
      </c>
      <c r="C591" s="212" t="n">
        <f aca="false">SUMIFS(報告入力!$AV$7:$AV$696,報告入力!$A$7:$A$696,$S$587,報告入力!$B$7:$B$696,$A591)</f>
        <v>35740897</v>
      </c>
      <c r="D591" s="178" t="n">
        <f aca="false">SUMIFS(報告入力!$AW$7:$AW$696,報告入力!$A$7:$A$696,$S$587,報告入力!$B$7:$B$696,$A591)</f>
        <v>627554698</v>
      </c>
      <c r="E591" s="182" t="n">
        <f aca="false">SUMIFS(報告入力!$AX$7:$AX$696,報告入力!$A$7:$A$696,$S$587,報告入力!$B$7:$B$696,$A591)</f>
        <v>34768215</v>
      </c>
      <c r="F591" s="212" t="n">
        <f aca="false">SUMIFS(報告入力!$AY$7:$AY$696,報告入力!$A$7:$A$696,$S$587,報告入力!$B$7:$B$696,$A591)</f>
        <v>442176</v>
      </c>
      <c r="G591" s="406" t="n">
        <f aca="false">SUM(B591:F591)</f>
        <v>1134423981</v>
      </c>
      <c r="H591" s="215" t="n">
        <f aca="false">SUMIFS(報告入力!$AZ$7:$AZ$696,報告入力!$A$7:$A$696,$S$587,報告入力!$B$7:$B$696,$A591)</f>
        <v>336211683</v>
      </c>
      <c r="I591" s="183" t="n">
        <f aca="false">SUMIFS(報告入力!$BA$7:$BA$696,報告入力!$A$7:$A$696,$S$587,報告入力!$B$7:$B$696,$A591)</f>
        <v>335081107</v>
      </c>
      <c r="J591" s="393" t="n">
        <f aca="false">SUM(H591:I591)</f>
        <v>671292790</v>
      </c>
      <c r="K591" s="215" t="n">
        <f aca="false">SUMIFS(報告入力!$BB$7:$BB$696,報告入力!$A$7:$A$696,$S$587,報告入力!$B$7:$B$696,$A591)</f>
        <v>30330019</v>
      </c>
      <c r="L591" s="362" t="n">
        <f aca="false">SUMIFS(報告入力!$BC$7:$BC$696,報告入力!$A$7:$A$696,$S$587,報告入力!$B$7:$B$696,$A591)</f>
        <v>29480520</v>
      </c>
      <c r="M591" s="181" t="n">
        <f aca="false">SUM(K591:L591)</f>
        <v>59810539</v>
      </c>
      <c r="N591" s="215" t="n">
        <f aca="false">SUMIFS(報告入力!$BD$7:$BD$696,報告入力!$A$7:$A$696,$S$587,報告入力!$B$7:$B$696,$A591)</f>
        <v>1</v>
      </c>
      <c r="O591" s="362" t="n">
        <f aca="false">SUMIFS(報告入力!$BE$7:$BE$696,報告入力!$A$7:$A$696,$S$587,報告入力!$B$7:$B$696,$A591)</f>
        <v>1</v>
      </c>
      <c r="P591" s="181" t="n">
        <f aca="false">SUM(N591:O591)</f>
        <v>2</v>
      </c>
      <c r="Q591" s="110" t="str">
        <f aca="false">IF(P526=P591,"〇","×")</f>
        <v>〇</v>
      </c>
      <c r="R591" s="110" t="str">
        <f aca="false">IFERROR(INDEX(報告入力!$C$7:$C$696,MATCH($S$587&amp;"|"&amp;$A591,報告入力!$CG$7:$CG$696,0)),"")</f>
        <v>未受領</v>
      </c>
    </row>
    <row r="592" s="110" customFormat="true" ht="20.1" hidden="false" customHeight="true" outlineLevel="0" collapsed="false">
      <c r="A592" s="100" t="s">
        <v>161</v>
      </c>
      <c r="B592" s="215" t="n">
        <f aca="false">SUMIFS(報告入力!$AU$7:$AU$696,報告入力!$A$7:$A$696,$S$587,報告入力!$B$7:$B$696,$A592)</f>
        <v>29227117</v>
      </c>
      <c r="C592" s="213" t="n">
        <f aca="false">SUMIFS(報告入力!$AV$7:$AV$696,報告入力!$A$7:$A$696,$S$587,報告入力!$B$7:$B$696,$A592)</f>
        <v>2395585</v>
      </c>
      <c r="D592" s="178" t="n">
        <f aca="false">SUMIFS(報告入力!$AW$7:$AW$696,報告入力!$A$7:$A$696,$S$587,報告入力!$B$7:$B$696,$A592)</f>
        <v>42483252</v>
      </c>
      <c r="E592" s="182" t="n">
        <f aca="false">SUMIFS(報告入力!$AX$7:$AX$696,報告入力!$A$7:$A$696,$S$587,報告入力!$B$7:$B$696,$A592)</f>
        <v>2395669</v>
      </c>
      <c r="F592" s="212" t="n">
        <f aca="false">SUMIFS(報告入力!$AY$7:$AY$696,報告入力!$A$7:$A$696,$S$587,報告入力!$B$7:$B$696,$A592)</f>
        <v>29988</v>
      </c>
      <c r="G592" s="406" t="n">
        <f aca="false">SUM(B592:F592)</f>
        <v>76531611</v>
      </c>
      <c r="H592" s="215" t="n">
        <f aca="false">SUMIFS(報告入力!$AZ$7:$AZ$696,報告入力!$A$7:$A$696,$S$587,報告入力!$B$7:$B$696,$A592)</f>
        <v>18194146</v>
      </c>
      <c r="I592" s="183" t="n">
        <f aca="false">SUMIFS(報告入力!$BA$7:$BA$696,報告入力!$A$7:$A$696,$S$587,報告入力!$B$7:$B$696,$A592)</f>
        <v>18515147</v>
      </c>
      <c r="J592" s="393" t="n">
        <f aca="false">SUM(H592:I592)</f>
        <v>36709293</v>
      </c>
      <c r="K592" s="215" t="n">
        <f aca="false">SUMIFS(報告入力!$BB$7:$BB$696,報告入力!$A$7:$A$696,$S$587,報告入力!$B$7:$B$696,$A592)</f>
        <v>1869293</v>
      </c>
      <c r="L592" s="362" t="n">
        <f aca="false">SUMIFS(報告入力!$BC$7:$BC$696,報告入力!$A$7:$A$696,$S$587,報告入力!$B$7:$B$696,$A592)</f>
        <v>1869401</v>
      </c>
      <c r="M592" s="181" t="n">
        <f aca="false">SUM(K592:L592)</f>
        <v>3738694</v>
      </c>
      <c r="N592" s="215" t="n">
        <f aca="false">SUMIFS(報告入力!$BD$7:$BD$696,報告入力!$A$7:$A$696,$S$587,報告入力!$B$7:$B$696,$A592)</f>
        <v>1</v>
      </c>
      <c r="O592" s="362" t="n">
        <f aca="false">SUMIFS(報告入力!$BE$7:$BE$696,報告入力!$A$7:$A$696,$S$587,報告入力!$B$7:$B$696,$A592)</f>
        <v>1</v>
      </c>
      <c r="P592" s="181" t="n">
        <f aca="false">SUM(N592:O592)</f>
        <v>2</v>
      </c>
      <c r="Q592" s="110" t="str">
        <f aca="false">IF(P527=P592,"〇","×")</f>
        <v>〇</v>
      </c>
      <c r="R592" s="110" t="str">
        <f aca="false">IFERROR(INDEX(報告入力!$C$7:$C$696,MATCH($S$587&amp;"|"&amp;$A592,報告入力!$CG$7:$CG$696,0)),"")</f>
        <v>未受領</v>
      </c>
    </row>
    <row r="593" s="110" customFormat="true" ht="20.1" hidden="false" customHeight="true" outlineLevel="0" collapsed="false">
      <c r="A593" s="100" t="s">
        <v>162</v>
      </c>
      <c r="B593" s="215" t="n">
        <f aca="false">SUMIFS(報告入力!$AU$7:$AU$696,報告入力!$A$7:$A$696,$S$587,報告入力!$B$7:$B$696,$A593)</f>
        <v>93890932</v>
      </c>
      <c r="C593" s="213" t="n">
        <f aca="false">SUMIFS(報告入力!$AV$7:$AV$696,報告入力!$A$7:$A$696,$S$587,報告入力!$B$7:$B$696,$A593)</f>
        <v>7695676</v>
      </c>
      <c r="D593" s="178" t="n">
        <f aca="false">SUMIFS(報告入力!$AW$7:$AW$696,報告入力!$A$7:$A$696,$S$587,報告入力!$B$7:$B$696,$A593)</f>
        <v>136397911</v>
      </c>
      <c r="E593" s="182" t="n">
        <f aca="false">SUMIFS(報告入力!$AX$7:$AX$696,報告入力!$A$7:$A$696,$S$587,報告入力!$B$7:$B$696,$A593)</f>
        <v>7675343</v>
      </c>
      <c r="F593" s="212" t="n">
        <f aca="false">SUMIFS(報告入力!$AY$7:$AY$696,報告入力!$A$7:$A$696,$S$587,報告入力!$B$7:$B$696,$A593)</f>
        <v>96295</v>
      </c>
      <c r="G593" s="406" t="n">
        <f aca="false">SUM(B593:F593)</f>
        <v>245756157</v>
      </c>
      <c r="H593" s="215" t="n">
        <f aca="false">SUMIFS(報告入力!$AZ$7:$AZ$696,報告入力!$A$7:$A$696,$S$587,報告入力!$B$7:$B$696,$A593)</f>
        <v>57727100</v>
      </c>
      <c r="I593" s="183" t="n">
        <f aca="false">SUMIFS(報告入力!$BA$7:$BA$696,報告入力!$A$7:$A$696,$S$587,報告入力!$B$7:$B$696,$A593)</f>
        <v>58597723</v>
      </c>
      <c r="J593" s="393" t="n">
        <f aca="false">SUM(H593:I593)</f>
        <v>116324823</v>
      </c>
      <c r="K593" s="215" t="n">
        <f aca="false">SUMIFS(報告入力!$BB$7:$BB$696,報告入力!$A$7:$A$696,$S$587,報告入力!$B$7:$B$696,$A593)</f>
        <v>3696794</v>
      </c>
      <c r="L593" s="362" t="n">
        <f aca="false">SUMIFS(報告入力!$BC$7:$BC$696,報告入力!$A$7:$A$696,$S$587,報告入力!$B$7:$B$696,$A593)</f>
        <v>3682228</v>
      </c>
      <c r="M593" s="181" t="n">
        <f aca="false">SUM(K593:L593)</f>
        <v>7379022</v>
      </c>
      <c r="N593" s="215" t="n">
        <f aca="false">SUMIFS(報告入力!$BD$7:$BD$696,報告入力!$A$7:$A$696,$S$587,報告入力!$B$7:$B$696,$A593)</f>
        <v>1</v>
      </c>
      <c r="O593" s="362" t="n">
        <f aca="false">SUMIFS(報告入力!$BE$7:$BE$696,報告入力!$A$7:$A$696,$S$587,報告入力!$B$7:$B$696,$A593)</f>
        <v>1</v>
      </c>
      <c r="P593" s="181" t="n">
        <f aca="false">SUM(N593:O593)</f>
        <v>2</v>
      </c>
      <c r="Q593" s="110" t="str">
        <f aca="false">IF(P528=P593,"〇","×")</f>
        <v>〇</v>
      </c>
      <c r="R593" s="110" t="str">
        <f aca="false">IFERROR(INDEX(報告入力!$C$7:$C$696,MATCH($S$587&amp;"|"&amp;$A593,報告入力!$CG$7:$CG$696,0)),"")</f>
        <v>未受領</v>
      </c>
    </row>
    <row r="594" s="110" customFormat="true" ht="20.1" hidden="false" customHeight="true" outlineLevel="0" collapsed="false">
      <c r="A594" s="100" t="s">
        <v>163</v>
      </c>
      <c r="B594" s="215" t="n">
        <f aca="false">SUMIFS(報告入力!$AU$7:$AU$696,報告入力!$A$7:$A$696,$S$587,報告入力!$B$7:$B$696,$A594)</f>
        <v>3447894</v>
      </c>
      <c r="C594" s="213" t="n">
        <f aca="false">SUMIFS(報告入力!$AV$7:$AV$696,報告入力!$A$7:$A$696,$S$587,報告入力!$B$7:$B$696,$A594)</f>
        <v>282606</v>
      </c>
      <c r="D594" s="178" t="n">
        <f aca="false">SUMIFS(報告入力!$AW$7:$AW$696,報告入力!$A$7:$A$696,$S$587,報告入力!$B$7:$B$696,$A594)</f>
        <v>5011706</v>
      </c>
      <c r="E594" s="182" t="n">
        <f aca="false">SUMIFS(報告入力!$AX$7:$AX$696,報告入力!$A$7:$A$696,$S$587,報告入力!$B$7:$B$696,$A594)</f>
        <v>282615</v>
      </c>
      <c r="F594" s="212" t="n">
        <f aca="false">SUMIFS(報告入力!$AY$7:$AY$696,報告入力!$A$7:$A$696,$S$587,報告入力!$B$7:$B$696,$A594)</f>
        <v>3538</v>
      </c>
      <c r="G594" s="406" t="n">
        <f aca="false">SUM(B594:F594)</f>
        <v>9028359</v>
      </c>
      <c r="H594" s="215" t="n">
        <f aca="false">SUMIFS(報告入力!$AZ$7:$AZ$696,報告入力!$A$7:$A$696,$S$587,報告入力!$B$7:$B$696,$A594)</f>
        <v>2082544</v>
      </c>
      <c r="I594" s="183" t="n">
        <f aca="false">SUMIFS(報告入力!$BA$7:$BA$696,報告入力!$A$7:$A$696,$S$587,報告入力!$B$7:$B$696,$A594)</f>
        <v>2119290</v>
      </c>
      <c r="J594" s="393" t="n">
        <f aca="false">SUM(H594:I594)</f>
        <v>4201834</v>
      </c>
      <c r="K594" s="215" t="n">
        <f aca="false">SUMIFS(報告入力!$BB$7:$BB$696,報告入力!$A$7:$A$696,$S$587,報告入力!$B$7:$B$696,$A594)</f>
        <v>204837</v>
      </c>
      <c r="L594" s="362" t="n">
        <f aca="false">SUMIFS(報告入力!$BC$7:$BC$696,報告入力!$A$7:$A$696,$S$587,報告入力!$B$7:$B$696,$A594)</f>
        <v>204847</v>
      </c>
      <c r="M594" s="181" t="n">
        <f aca="false">SUM(K594:L594)</f>
        <v>409684</v>
      </c>
      <c r="N594" s="215" t="n">
        <f aca="false">SUMIFS(報告入力!$BD$7:$BD$696,報告入力!$A$7:$A$696,$S$587,報告入力!$B$7:$B$696,$A594)</f>
        <v>1</v>
      </c>
      <c r="O594" s="362" t="n">
        <f aca="false">SUMIFS(報告入力!$BE$7:$BE$696,報告入力!$A$7:$A$696,$S$587,報告入力!$B$7:$B$696,$A594)</f>
        <v>1</v>
      </c>
      <c r="P594" s="181" t="n">
        <f aca="false">SUM(N594:O594)</f>
        <v>2</v>
      </c>
      <c r="Q594" s="110" t="str">
        <f aca="false">IF(P529=P594,"〇","×")</f>
        <v>〇</v>
      </c>
      <c r="R594" s="110" t="str">
        <f aca="false">IFERROR(INDEX(報告入力!$C$7:$C$696,MATCH($S$587&amp;"|"&amp;$A594,報告入力!$CG$7:$CG$696,0)),"")</f>
        <v>未受領</v>
      </c>
    </row>
    <row r="595" s="110" customFormat="true" ht="20.1" hidden="false" customHeight="true" outlineLevel="0" collapsed="false">
      <c r="A595" s="100" t="s">
        <v>164</v>
      </c>
      <c r="B595" s="215" t="n">
        <f aca="false">SUMIFS(報告入力!$AU$7:$AU$696,報告入力!$A$7:$A$696,$S$587,報告入力!$B$7:$B$696,$A595)</f>
        <v>45885450</v>
      </c>
      <c r="C595" s="212" t="n">
        <f aca="false">SUMIFS(報告入力!$AV$7:$AV$696,報告入力!$A$7:$A$696,$S$587,報告入力!$B$7:$B$696,$A595)</f>
        <v>3760962</v>
      </c>
      <c r="D595" s="178" t="n">
        <f aca="false">SUMIFS(報告入力!$AW$7:$AW$696,報告入力!$A$7:$A$696,$S$587,報告入力!$B$7:$B$696,$A595)</f>
        <v>66761387</v>
      </c>
      <c r="E595" s="182" t="n">
        <f aca="false">SUMIFS(報告入力!$AX$7:$AX$696,報告入力!$A$7:$A$696,$S$587,報告入力!$B$7:$B$696,$A595)</f>
        <v>3761114</v>
      </c>
      <c r="F595" s="212" t="n">
        <f aca="false">SUMIFS(報告入力!$AY$7:$AY$696,報告入力!$A$7:$A$696,$S$587,報告入力!$B$7:$B$696,$A595)</f>
        <v>47227</v>
      </c>
      <c r="G595" s="406" t="n">
        <f aca="false">SUM(B595:F595)</f>
        <v>120216140</v>
      </c>
      <c r="H595" s="362" t="n">
        <f aca="false">SUMIFS(報告入力!$AZ$7:$AZ$696,報告入力!$A$7:$A$696,$S$587,報告入力!$B$7:$B$696,$A595)</f>
        <v>46934335</v>
      </c>
      <c r="I595" s="182" t="n">
        <f aca="false">SUMIFS(報告入力!$BA$7:$BA$696,報告入力!$A$7:$A$696,$S$587,報告入力!$B$7:$B$696,$A595)</f>
        <v>47766260</v>
      </c>
      <c r="J595" s="407" t="n">
        <f aca="false">SUM(H595:I595)</f>
        <v>94700595</v>
      </c>
      <c r="K595" s="214" t="n">
        <f aca="false">SUMIFS(報告入力!$BB$7:$BB$696,報告入力!$A$7:$A$696,$S$587,報告入力!$B$7:$B$696,$A595)</f>
        <v>5175632</v>
      </c>
      <c r="L595" s="214" t="n">
        <f aca="false">SUMIFS(報告入力!$BC$7:$BC$696,報告入力!$A$7:$A$696,$S$587,報告入力!$B$7:$B$696,$A595)</f>
        <v>5176190</v>
      </c>
      <c r="M595" s="181" t="n">
        <f aca="false">SUM(K595:L595)</f>
        <v>10351822</v>
      </c>
      <c r="N595" s="214" t="n">
        <f aca="false">SUMIFS(報告入力!$BD$7:$BD$696,報告入力!$A$7:$A$696,$S$587,報告入力!$B$7:$B$696,$A595)</f>
        <v>1</v>
      </c>
      <c r="O595" s="214" t="n">
        <f aca="false">SUMIFS(報告入力!$BE$7:$BE$696,報告入力!$A$7:$A$696,$S$587,報告入力!$B$7:$B$696,$A595)</f>
        <v>1</v>
      </c>
      <c r="P595" s="181" t="n">
        <f aca="false">SUM(N595:O595)</f>
        <v>2</v>
      </c>
      <c r="Q595" s="110" t="str">
        <f aca="false">IF(P530=P595,"〇","×")</f>
        <v>〇</v>
      </c>
      <c r="R595" s="110" t="str">
        <f aca="false">IFERROR(INDEX(報告入力!$C$7:$C$696,MATCH($S$587&amp;"|"&amp;$A595,報告入力!$CG$7:$CG$696,0)),"")</f>
        <v>未受領</v>
      </c>
    </row>
    <row r="596" s="110" customFormat="true" ht="20.1" hidden="false" customHeight="true" outlineLevel="0" collapsed="false">
      <c r="A596" s="100" t="s">
        <v>165</v>
      </c>
      <c r="B596" s="215" t="n">
        <f aca="false">SUMIFS(報告入力!$AU$7:$AU$696,報告入力!$A$7:$A$696,$S$587,報告入力!$B$7:$B$696,$A596)</f>
        <v>541129</v>
      </c>
      <c r="C596" s="212" t="n">
        <f aca="false">SUMIFS(報告入力!$AV$7:$AV$696,報告入力!$A$7:$A$696,$S$587,報告入力!$B$7:$B$696,$A596)</f>
        <v>44353</v>
      </c>
      <c r="D596" s="178" t="n">
        <f aca="false">SUMIFS(報告入力!$AW$7:$AW$696,報告入力!$A$7:$A$696,$S$587,報告入力!$B$7:$B$696,$A596)</f>
        <v>786562</v>
      </c>
      <c r="E596" s="182" t="n">
        <f aca="false">SUMIFS(報告入力!$AX$7:$AX$696,報告入力!$A$7:$A$696,$S$587,報告入力!$B$7:$B$696,$A596)</f>
        <v>44355</v>
      </c>
      <c r="F596" s="212" t="n">
        <f aca="false">SUMIFS(報告入力!$AY$7:$AY$696,報告入力!$A$7:$A$696,$S$587,報告入力!$B$7:$B$696,$A596)</f>
        <v>555</v>
      </c>
      <c r="G596" s="406" t="n">
        <f aca="false">SUM(B596:F596)</f>
        <v>1416954</v>
      </c>
      <c r="H596" s="215" t="n">
        <f aca="false">SUMIFS(報告入力!$AZ$7:$AZ$696,報告入力!$A$7:$A$696,$S$587,報告入力!$B$7:$B$696,$A596)</f>
        <v>363611</v>
      </c>
      <c r="I596" s="183" t="n">
        <f aca="false">SUMIFS(報告入力!$BA$7:$BA$696,報告入力!$A$7:$A$696,$S$587,報告入力!$B$7:$B$696,$A596)</f>
        <v>370027</v>
      </c>
      <c r="J596" s="393" t="n">
        <f aca="false">SUM(H596:I596)</f>
        <v>733638</v>
      </c>
      <c r="K596" s="215" t="n">
        <f aca="false">SUMIFS(報告入力!$BB$7:$BB$696,報告入力!$A$7:$A$696,$S$587,報告入力!$B$7:$B$696,$A596)</f>
        <v>32214</v>
      </c>
      <c r="L596" s="362" t="n">
        <f aca="false">SUMIFS(報告入力!$BC$7:$BC$696,報告入力!$A$7:$A$696,$S$587,報告入力!$B$7:$B$696,$A596)</f>
        <v>32215</v>
      </c>
      <c r="M596" s="181" t="n">
        <f aca="false">SUM(K596:L596)</f>
        <v>64429</v>
      </c>
      <c r="N596" s="215" t="n">
        <f aca="false">SUMIFS(報告入力!$BD$7:$BD$696,報告入力!$A$7:$A$696,$S$587,報告入力!$B$7:$B$696,$A596)</f>
        <v>1</v>
      </c>
      <c r="O596" s="362" t="n">
        <f aca="false">SUMIFS(報告入力!$BE$7:$BE$696,報告入力!$A$7:$A$696,$S$587,報告入力!$B$7:$B$696,$A596)</f>
        <v>1</v>
      </c>
      <c r="P596" s="181" t="n">
        <f aca="false">SUM(N596:O596)</f>
        <v>2</v>
      </c>
      <c r="Q596" s="110" t="str">
        <f aca="false">IF(P531=P596,"〇","×")</f>
        <v>〇</v>
      </c>
      <c r="R596" s="110" t="str">
        <f aca="false">IFERROR(INDEX(報告入力!$C$7:$C$696,MATCH($S$587&amp;"|"&amp;$A596,報告入力!$CG$7:$CG$696,0)),"")</f>
        <v>未受領</v>
      </c>
    </row>
    <row r="597" s="110" customFormat="true" ht="20.1" hidden="false" customHeight="true" outlineLevel="0" collapsed="false">
      <c r="A597" s="100" t="s">
        <v>166</v>
      </c>
      <c r="B597" s="215" t="n">
        <f aca="false">SUMIFS(報告入力!$AU$7:$AU$696,報告入力!$A$7:$A$696,$S$587,報告入力!$B$7:$B$696,$A597)</f>
        <v>1109161</v>
      </c>
      <c r="C597" s="212" t="n">
        <f aca="false">SUMIFS(報告入力!$AV$7:$AV$696,報告入力!$A$7:$A$696,$S$587,報告入力!$B$7:$B$696,$A597)</f>
        <v>90913</v>
      </c>
      <c r="D597" s="178" t="n">
        <f aca="false">SUMIFS(報告入力!$AW$7:$AW$696,報告入力!$A$7:$A$696,$S$587,報告入力!$B$7:$B$696,$A597)</f>
        <v>1612226</v>
      </c>
      <c r="E597" s="182" t="n">
        <f aca="false">SUMIFS(報告入力!$AX$7:$AX$696,報告入力!$A$7:$A$696,$S$587,報告入力!$B$7:$B$696,$A597)</f>
        <v>90915</v>
      </c>
      <c r="F597" s="212" t="n">
        <f aca="false">SUMIFS(報告入力!$AY$7:$AY$696,報告入力!$A$7:$A$696,$S$587,報告入力!$B$7:$B$696,$A597)</f>
        <v>1138</v>
      </c>
      <c r="G597" s="406" t="n">
        <f aca="false">SUM(B597:F597)</f>
        <v>2904353</v>
      </c>
      <c r="H597" s="215" t="n">
        <f aca="false">SUMIFS(報告入力!$AZ$7:$AZ$696,報告入力!$A$7:$A$696,$S$587,報告入力!$B$7:$B$696,$A597)</f>
        <v>679368</v>
      </c>
      <c r="I597" s="183" t="n">
        <f aca="false">SUMIFS(報告入力!$BA$7:$BA$696,報告入力!$A$7:$A$696,$S$587,報告入力!$B$7:$B$696,$A597)</f>
        <v>691353</v>
      </c>
      <c r="J597" s="393" t="n">
        <f aca="false">SUM(H597:I597)</f>
        <v>1370721</v>
      </c>
      <c r="K597" s="215" t="n">
        <f aca="false">SUMIFS(報告入力!$BB$7:$BB$696,報告入力!$A$7:$A$696,$S$587,報告入力!$B$7:$B$696,$A597)</f>
        <v>66024</v>
      </c>
      <c r="L597" s="362" t="n">
        <f aca="false">SUMIFS(報告入力!$BC$7:$BC$696,報告入力!$A$7:$A$696,$S$587,報告入力!$B$7:$B$696,$A597)</f>
        <v>66028</v>
      </c>
      <c r="M597" s="181" t="n">
        <f aca="false">SUM(K597:L597)</f>
        <v>132052</v>
      </c>
      <c r="N597" s="215" t="n">
        <f aca="false">SUMIFS(報告入力!$BD$7:$BD$696,報告入力!$A$7:$A$696,$S$587,報告入力!$B$7:$B$696,$A597)</f>
        <v>1</v>
      </c>
      <c r="O597" s="362" t="n">
        <f aca="false">SUMIFS(報告入力!$BE$7:$BE$696,報告入力!$A$7:$A$696,$S$587,報告入力!$B$7:$B$696,$A597)</f>
        <v>1</v>
      </c>
      <c r="P597" s="181" t="n">
        <f aca="false">SUM(N597:O597)</f>
        <v>2</v>
      </c>
      <c r="Q597" s="110" t="str">
        <f aca="false">IF(P532=P597,"〇","×")</f>
        <v>〇</v>
      </c>
      <c r="R597" s="110" t="str">
        <f aca="false">IFERROR(INDEX(報告入力!$C$7:$C$696,MATCH($S$587&amp;"|"&amp;$A597,報告入力!$CG$7:$CG$696,0)),"")</f>
        <v>未受領</v>
      </c>
    </row>
    <row r="598" s="110" customFormat="true" ht="20.1" hidden="false" customHeight="true" outlineLevel="0" collapsed="false">
      <c r="A598" s="100" t="s">
        <v>167</v>
      </c>
      <c r="B598" s="215" t="n">
        <f aca="false">SUMIFS(報告入力!$AU$7:$AU$696,報告入力!$A$7:$A$696,$S$587,報告入力!$B$7:$B$696,$A598)</f>
        <v>2686433</v>
      </c>
      <c r="C598" s="212" t="n">
        <f aca="false">SUMIFS(報告入力!$AV$7:$AV$696,報告入力!$A$7:$A$696,$S$587,報告入力!$B$7:$B$696,$A598)</f>
        <v>220193</v>
      </c>
      <c r="D598" s="178" t="n">
        <f aca="false">SUMIFS(報告入力!$AW$7:$AW$696,報告入力!$A$7:$A$696,$S$587,報告入力!$B$7:$B$696,$A598)</f>
        <v>3904880</v>
      </c>
      <c r="E598" s="182" t="n">
        <f aca="false">SUMIFS(報告入力!$AX$7:$AX$696,報告入力!$A$7:$A$696,$S$587,報告入力!$B$7:$B$696,$A598)</f>
        <v>220200</v>
      </c>
      <c r="F598" s="212" t="n">
        <f aca="false">SUMIFS(報告入力!$AY$7:$AY$696,報告入力!$A$7:$A$696,$S$587,報告入力!$B$7:$B$696,$A598)</f>
        <v>2756</v>
      </c>
      <c r="G598" s="406" t="n">
        <f aca="false">SUM(B598:F598)</f>
        <v>7034462</v>
      </c>
      <c r="H598" s="215" t="n">
        <f aca="false">SUMIFS(報告入力!$AZ$7:$AZ$696,報告入力!$A$7:$A$696,$S$587,報告入力!$B$7:$B$696,$A598)</f>
        <v>1670805</v>
      </c>
      <c r="I598" s="183" t="n">
        <f aca="false">SUMIFS(報告入力!$BA$7:$BA$696,報告入力!$A$7:$A$696,$S$587,報告入力!$B$7:$B$696,$A598)</f>
        <v>1700280</v>
      </c>
      <c r="J598" s="393" t="n">
        <f aca="false">SUM(H598:I598)</f>
        <v>3371085</v>
      </c>
      <c r="K598" s="215" t="n">
        <f aca="false">SUMIFS(報告入力!$BB$7:$BB$696,報告入力!$A$7:$A$696,$S$587,報告入力!$B$7:$B$696,$A598)</f>
        <v>217229</v>
      </c>
      <c r="L598" s="362" t="n">
        <f aca="false">SUMIFS(報告入力!$BC$7:$BC$696,報告入力!$A$7:$A$696,$S$587,報告入力!$B$7:$B$696,$A598)</f>
        <v>217241</v>
      </c>
      <c r="M598" s="181" t="n">
        <f aca="false">SUM(K598:L598)</f>
        <v>434470</v>
      </c>
      <c r="N598" s="215" t="n">
        <f aca="false">SUMIFS(報告入力!$BD$7:$BD$696,報告入力!$A$7:$A$696,$S$587,報告入力!$B$7:$B$696,$A598)</f>
        <v>1</v>
      </c>
      <c r="O598" s="362" t="n">
        <f aca="false">SUMIFS(報告入力!$BE$7:$BE$696,報告入力!$A$7:$A$696,$S$587,報告入力!$B$7:$B$696,$A598)</f>
        <v>1</v>
      </c>
      <c r="P598" s="181" t="n">
        <f aca="false">SUM(N598:O598)</f>
        <v>2</v>
      </c>
      <c r="Q598" s="110" t="str">
        <f aca="false">IF(P533=P598,"〇","×")</f>
        <v>〇</v>
      </c>
      <c r="R598" s="110" t="str">
        <f aca="false">IFERROR(INDEX(報告入力!$C$7:$C$696,MATCH($S$587&amp;"|"&amp;$A598,報告入力!$CG$7:$CG$696,0)),"")</f>
        <v>未受領</v>
      </c>
    </row>
    <row r="599" s="110" customFormat="true" ht="20.1" hidden="false" customHeight="true" outlineLevel="0" collapsed="false">
      <c r="A599" s="100" t="s">
        <v>168</v>
      </c>
      <c r="B599" s="215" t="n">
        <f aca="false">SUMIFS(報告入力!$AU$7:$AU$696,報告入力!$A$7:$A$696,$S$587,報告入力!$B$7:$B$696,$A599)</f>
        <v>763383</v>
      </c>
      <c r="C599" s="212" t="n">
        <f aca="false">SUMIFS(報告入力!$AV$7:$AV$696,報告入力!$A$7:$A$696,$S$587,報告入力!$B$7:$B$696,$A599)</f>
        <v>62571</v>
      </c>
      <c r="D599" s="178" t="n">
        <f aca="false">SUMIFS(報告入力!$AW$7:$AW$696,報告入力!$A$7:$A$696,$S$587,報告入力!$B$7:$B$696,$A599)</f>
        <v>1109618</v>
      </c>
      <c r="E599" s="182" t="n">
        <f aca="false">SUMIFS(報告入力!$AX$7:$AX$696,報告入力!$A$7:$A$696,$S$587,報告入力!$B$7:$B$696,$A599)</f>
        <v>62572</v>
      </c>
      <c r="F599" s="212" t="n">
        <f aca="false">SUMIFS(報告入力!$AY$7:$AY$696,報告入力!$A$7:$A$696,$S$587,報告入力!$B$7:$B$696,$A599)</f>
        <v>783</v>
      </c>
      <c r="G599" s="181" t="n">
        <f aca="false">SUM(B599:F599)</f>
        <v>1998927</v>
      </c>
      <c r="H599" s="215" t="n">
        <f aca="false">SUMIFS(報告入力!$AZ$7:$AZ$696,報告入力!$A$7:$A$696,$S$587,報告入力!$B$7:$B$696,$A599)</f>
        <v>609062</v>
      </c>
      <c r="I599" s="183" t="n">
        <f aca="false">SUMIFS(報告入力!$BA$7:$BA$696,報告入力!$A$7:$A$696,$S$587,報告入力!$B$7:$B$696,$A599)</f>
        <v>619810</v>
      </c>
      <c r="J599" s="393" t="n">
        <f aca="false">SUM(H599:I599)</f>
        <v>1228872</v>
      </c>
      <c r="K599" s="215" t="n">
        <f aca="false">SUMIFS(報告入力!$BB$7:$BB$696,報告入力!$A$7:$A$696,$S$587,報告入力!$B$7:$B$696,$A599)</f>
        <v>66757</v>
      </c>
      <c r="L599" s="362" t="n">
        <f aca="false">SUMIFS(報告入力!$BC$7:$BC$696,報告入力!$A$7:$A$696,$S$587,報告入力!$B$7:$B$696,$A599)</f>
        <v>66762</v>
      </c>
      <c r="M599" s="181" t="n">
        <f aca="false">SUM(K599:L599)</f>
        <v>133519</v>
      </c>
      <c r="N599" s="215" t="n">
        <f aca="false">SUMIFS(報告入力!$BD$7:$BD$696,報告入力!$A$7:$A$696,$S$587,報告入力!$B$7:$B$696,$A599)</f>
        <v>1</v>
      </c>
      <c r="O599" s="362" t="n">
        <f aca="false">SUMIFS(報告入力!$BE$7:$BE$696,報告入力!$A$7:$A$696,$S$587,報告入力!$B$7:$B$696,$A599)</f>
        <v>1</v>
      </c>
      <c r="P599" s="181" t="n">
        <f aca="false">SUM(N599:O599)</f>
        <v>2</v>
      </c>
      <c r="Q599" s="110" t="str">
        <f aca="false">IF(P534=P599,"〇","×")</f>
        <v>〇</v>
      </c>
      <c r="R599" s="110" t="str">
        <f aca="false">IFERROR(INDEX(報告入力!$C$7:$C$696,MATCH($S$587&amp;"|"&amp;$A599,報告入力!$CG$7:$CG$696,0)),"")</f>
        <v>未受領</v>
      </c>
    </row>
    <row r="600" s="110" customFormat="true" ht="20.1" hidden="false" customHeight="true" outlineLevel="0" collapsed="false">
      <c r="A600" s="100" t="s">
        <v>169</v>
      </c>
      <c r="B600" s="215" t="n">
        <f aca="false">SUMIFS(報告入力!$AU$7:$AU$696,報告入力!$A$7:$A$696,$S$587,報告入力!$B$7:$B$696,$A600)</f>
        <v>45078163</v>
      </c>
      <c r="C600" s="212" t="n">
        <f aca="false">SUMIFS(報告入力!$AV$7:$AV$696,報告入力!$A$7:$A$696,$S$587,報告入力!$B$7:$B$696,$A600)</f>
        <v>3694807</v>
      </c>
      <c r="D600" s="178" t="n">
        <f aca="false">SUMIFS(報告入力!$AW$7:$AW$696,報告入力!$A$7:$A$696,$S$587,報告入力!$B$7:$B$696,$A600)</f>
        <v>65628029</v>
      </c>
      <c r="E600" s="182" t="n">
        <f aca="false">SUMIFS(報告入力!$AX$7:$AX$696,報告入力!$A$7:$A$696,$S$587,報告入力!$B$7:$B$696,$A600)</f>
        <v>3694940</v>
      </c>
      <c r="F600" s="212" t="n">
        <f aca="false">SUMIFS(報告入力!$AY$7:$AY$696,報告入力!$A$7:$A$696,$S$587,報告入力!$B$7:$B$696,$A600)</f>
        <v>46490</v>
      </c>
      <c r="G600" s="181" t="n">
        <f aca="false">SUM(B600:F600)</f>
        <v>118142429</v>
      </c>
      <c r="H600" s="215" t="n">
        <f aca="false">SUMIFS(報告入力!$AZ$7:$AZ$696,報告入力!$A$7:$A$696,$S$587,報告入力!$B$7:$B$696,$A600)</f>
        <v>28168338</v>
      </c>
      <c r="I600" s="183" t="n">
        <f aca="false">SUMIFS(報告入力!$BA$7:$BA$696,報告入力!$A$7:$A$696,$S$587,報告入力!$B$7:$B$696,$A600)</f>
        <v>28667777</v>
      </c>
      <c r="J600" s="393" t="n">
        <f aca="false">SUM(H600:I600)</f>
        <v>56836115</v>
      </c>
      <c r="K600" s="215" t="n">
        <f aca="false">SUMIFS(報告入力!$BB$7:$BB$696,報告入力!$A$7:$A$696,$S$587,報告入力!$B$7:$B$696,$A600)</f>
        <v>2740609</v>
      </c>
      <c r="L600" s="362" t="n">
        <f aca="false">SUMIFS(報告入力!$BC$7:$BC$696,報告入力!$A$7:$A$696,$S$587,報告入力!$B$7:$B$696,$A600)</f>
        <v>2740766</v>
      </c>
      <c r="M600" s="181" t="n">
        <f aca="false">SUM(K600:L600)</f>
        <v>5481375</v>
      </c>
      <c r="N600" s="215" t="n">
        <f aca="false">SUMIFS(報告入力!$BD$7:$BD$696,報告入力!$A$7:$A$696,$S$587,報告入力!$B$7:$B$696,$A600)</f>
        <v>1</v>
      </c>
      <c r="O600" s="362" t="n">
        <f aca="false">SUMIFS(報告入力!$BE$7:$BE$696,報告入力!$A$7:$A$696,$S$587,報告入力!$B$7:$B$696,$A600)</f>
        <v>1</v>
      </c>
      <c r="P600" s="181" t="n">
        <f aca="false">SUM(N600:O600)</f>
        <v>2</v>
      </c>
      <c r="Q600" s="110" t="str">
        <f aca="false">IF(P535=P600,"〇","×")</f>
        <v>〇</v>
      </c>
      <c r="R600" s="110" t="str">
        <f aca="false">IFERROR(INDEX(報告入力!$C$7:$C$696,MATCH($S$587&amp;"|"&amp;$A600,報告入力!$CG$7:$CG$696,0)),"")</f>
        <v>未受領</v>
      </c>
    </row>
    <row r="601" s="110" customFormat="true" ht="19.5" hidden="false" customHeight="true" outlineLevel="0" collapsed="false">
      <c r="A601" s="121" t="s">
        <v>381</v>
      </c>
      <c r="B601" s="215" t="n">
        <f aca="false">SUMIFS(報告入力!$AU$7:$AU$696,報告入力!$A$7:$A$696,$S$587,報告入力!$B$7:$B$696,$A601)</f>
        <v>71461</v>
      </c>
      <c r="C601" s="212" t="n">
        <f aca="false">SUMIFS(報告入力!$AV$7:$AV$696,報告入力!$A$7:$A$696,$S$587,報告入力!$B$7:$B$696,$A601)</f>
        <v>5857</v>
      </c>
      <c r="D601" s="178" t="n">
        <f aca="false">SUMIFS(報告入力!$AW$7:$AW$696,報告入力!$A$7:$A$696,$S$587,報告入力!$B$7:$B$696,$A601)</f>
        <v>103873</v>
      </c>
      <c r="E601" s="182" t="n">
        <f aca="false">SUMIFS(報告入力!$AX$7:$AX$696,報告入力!$A$7:$A$696,$S$587,報告入力!$B$7:$B$696,$A601)</f>
        <v>5857</v>
      </c>
      <c r="F601" s="212" t="n">
        <f aca="false">SUMIFS(報告入力!$AY$7:$AY$696,報告入力!$A$7:$A$696,$S$587,報告入力!$B$7:$B$696,$A601)</f>
        <v>73</v>
      </c>
      <c r="G601" s="181" t="n">
        <f aca="false">SUM(B601:F601)</f>
        <v>187121</v>
      </c>
      <c r="H601" s="215" t="n">
        <f aca="false">SUMIFS(報告入力!$AZ$7:$AZ$696,報告入力!$A$7:$A$696,$S$587,報告入力!$B$7:$B$696,$A601)</f>
        <v>42962</v>
      </c>
      <c r="I601" s="183" t="n">
        <f aca="false">SUMIFS(報告入力!$BA$7:$BA$696,報告入力!$A$7:$A$696,$S$587,報告入力!$B$7:$B$696,$A601)</f>
        <v>43720</v>
      </c>
      <c r="J601" s="393" t="n">
        <f aca="false">SUM(H601:I601)</f>
        <v>86682</v>
      </c>
      <c r="K601" s="215" t="n">
        <f aca="false">SUMIFS(報告入力!$BB$7:$BB$696,報告入力!$A$7:$A$696,$S$587,報告入力!$B$7:$B$696,$A601)</f>
        <v>6169</v>
      </c>
      <c r="L601" s="362" t="n">
        <f aca="false">SUMIFS(報告入力!$BC$7:$BC$696,報告入力!$A$7:$A$696,$S$587,報告入力!$B$7:$B$696,$A601)</f>
        <v>6169</v>
      </c>
      <c r="M601" s="181" t="n">
        <f aca="false">SUM(K601:L601)</f>
        <v>12338</v>
      </c>
      <c r="N601" s="215" t="n">
        <f aca="false">SUMIFS(報告入力!$BD$7:$BD$696,報告入力!$A$7:$A$696,$S$587,報告入力!$B$7:$B$696,$A601)</f>
        <v>1</v>
      </c>
      <c r="O601" s="362" t="n">
        <f aca="false">SUMIFS(報告入力!$BE$7:$BE$696,報告入力!$A$7:$A$696,$S$587,報告入力!$B$7:$B$696,$A601)</f>
        <v>1</v>
      </c>
      <c r="P601" s="181" t="n">
        <f aca="false">SUM(N601:O601)</f>
        <v>2</v>
      </c>
      <c r="Q601" s="110" t="str">
        <f aca="false">IF(P536=P601,"〇","×")</f>
        <v>〇</v>
      </c>
      <c r="R601" s="110" t="str">
        <f aca="false">IFERROR(INDEX(報告入力!$C$7:$C$696,MATCH($S$587&amp;"|"&amp;$A601,報告入力!$CG$7:$CG$696,0)),"")</f>
        <v>未受領</v>
      </c>
    </row>
    <row r="602" s="137" customFormat="true" ht="19.5" hidden="false" customHeight="true" outlineLevel="0" collapsed="false">
      <c r="A602" s="126" t="s">
        <v>171</v>
      </c>
      <c r="B602" s="127" t="n">
        <f aca="false">SUMIFS(報告入力!$AU$7:$AU$696,報告入力!$A$7:$A$696,$S$587,報告入力!$B$7:$B$696,$A602)</f>
        <v>0</v>
      </c>
      <c r="C602" s="128" t="n">
        <f aca="false">SUMIFS(報告入力!$AV$7:$AV$696,報告入力!$A$7:$A$696,$S$587,報告入力!$B$7:$B$696,$A602)</f>
        <v>0</v>
      </c>
      <c r="D602" s="129"/>
      <c r="E602" s="130"/>
      <c r="F602" s="131" t="n">
        <f aca="false">SUMIFS(報告入力!$AY$7:$AY$696,報告入力!$A$7:$A$696,$S$587,報告入力!$B$7:$B$696,$A602)</f>
        <v>0</v>
      </c>
      <c r="G602" s="132" t="n">
        <f aca="false">SUM(B602:F602)</f>
        <v>0</v>
      </c>
      <c r="H602" s="262" t="n">
        <f aca="false">SUMIFS(報告入力!$AZ$7:$AZ$696,報告入力!$A$7:$A$696,$S$587,報告入力!$B$7:$B$696,$A602)</f>
        <v>397155</v>
      </c>
      <c r="I602" s="183" t="n">
        <f aca="false">SUMIFS(報告入力!$BA$7:$BA$696,報告入力!$A$7:$A$696,$S$587,報告入力!$B$7:$B$696,$A602)</f>
        <v>404459</v>
      </c>
      <c r="J602" s="135" t="n">
        <f aca="false">SUM(H602:I602)</f>
        <v>801614</v>
      </c>
      <c r="K602" s="262" t="n">
        <f aca="false">SUMIFS(報告入力!$BB$7:$BB$696,報告入力!$A$7:$A$696,$S$587,報告入力!$B$7:$B$696,$A602)</f>
        <v>10385</v>
      </c>
      <c r="L602" s="183" t="n">
        <f aca="false">SUMIFS(報告入力!$BC$7:$BC$696,報告入力!$A$7:$A$696,$S$587,報告入力!$B$7:$B$696,$A602)</f>
        <v>10388</v>
      </c>
      <c r="M602" s="135" t="n">
        <f aca="false">SUM(K602:L602)</f>
        <v>20773</v>
      </c>
      <c r="N602" s="262" t="n">
        <f aca="false">SUMIFS(報告入力!$BD$7:$BD$696,報告入力!$A$7:$A$696,$S$587,報告入力!$B$7:$B$696,$A602)</f>
        <v>1</v>
      </c>
      <c r="O602" s="183" t="n">
        <f aca="false">SUMIFS(報告入力!$BE$7:$BE$696,報告入力!$A$7:$A$696,$S$587,報告入力!$B$7:$B$696,$A602)</f>
        <v>1</v>
      </c>
      <c r="P602" s="135" t="n">
        <f aca="false">SUM(N602:O602)</f>
        <v>2</v>
      </c>
      <c r="Q602" s="137" t="str">
        <f aca="false">IF(P537=P602,"〇","×")</f>
        <v>〇</v>
      </c>
      <c r="R602" s="137" t="str">
        <f aca="false">IFERROR(INDEX(報告入力!$C$7:$C$696,MATCH($S$587&amp;"|"&amp;$A602,報告入力!$CG$7:$CG$696,0)),"")</f>
        <v>未受領</v>
      </c>
    </row>
    <row r="603" s="137" customFormat="true" ht="19.5" hidden="false" customHeight="true" outlineLevel="0" collapsed="false">
      <c r="A603" s="138" t="s">
        <v>382</v>
      </c>
      <c r="B603" s="139"/>
      <c r="C603" s="140"/>
      <c r="D603" s="139"/>
      <c r="E603" s="141"/>
      <c r="F603" s="142"/>
      <c r="G603" s="143"/>
      <c r="H603" s="394"/>
      <c r="I603" s="145"/>
      <c r="J603" s="146"/>
      <c r="K603" s="147"/>
      <c r="L603" s="148"/>
      <c r="M603" s="146"/>
      <c r="N603" s="147"/>
      <c r="O603" s="148"/>
      <c r="P603" s="146"/>
      <c r="Q603" s="137" t="str">
        <f aca="false">IF(P538=P603,"〇","×")</f>
        <v>〇</v>
      </c>
    </row>
    <row r="604" s="137" customFormat="true" ht="19.5" hidden="false" customHeight="true" outlineLevel="0" collapsed="false">
      <c r="A604" s="149" t="s">
        <v>382</v>
      </c>
      <c r="B604" s="150"/>
      <c r="C604" s="151"/>
      <c r="D604" s="150"/>
      <c r="E604" s="152"/>
      <c r="F604" s="153"/>
      <c r="G604" s="154"/>
      <c r="H604" s="150"/>
      <c r="I604" s="152"/>
      <c r="J604" s="156"/>
      <c r="K604" s="157"/>
      <c r="L604" s="158"/>
      <c r="M604" s="156"/>
      <c r="N604" s="157"/>
      <c r="O604" s="158"/>
      <c r="P604" s="156"/>
      <c r="Q604" s="137" t="str">
        <f aca="false">IF(P539=P604,"〇","×")</f>
        <v>〇</v>
      </c>
    </row>
    <row r="605" s="137" customFormat="true" ht="19.5" hidden="false" customHeight="true" outlineLevel="0" collapsed="false">
      <c r="A605" s="149" t="s">
        <v>382</v>
      </c>
      <c r="B605" s="139"/>
      <c r="C605" s="140"/>
      <c r="D605" s="139"/>
      <c r="E605" s="141"/>
      <c r="F605" s="142"/>
      <c r="G605" s="143"/>
      <c r="H605" s="139"/>
      <c r="I605" s="141"/>
      <c r="J605" s="146"/>
      <c r="K605" s="160"/>
      <c r="L605" s="161"/>
      <c r="M605" s="146"/>
      <c r="N605" s="160"/>
      <c r="O605" s="161"/>
      <c r="P605" s="146"/>
      <c r="Q605" s="137" t="str">
        <f aca="false">IF(P540=P605,"〇","×")</f>
        <v>〇</v>
      </c>
    </row>
    <row r="606" s="137" customFormat="true" ht="19.5" hidden="false" customHeight="true" outlineLevel="0" collapsed="false">
      <c r="A606" s="162" t="s">
        <v>382</v>
      </c>
      <c r="B606" s="163"/>
      <c r="C606" s="164"/>
      <c r="D606" s="163"/>
      <c r="E606" s="165"/>
      <c r="F606" s="166"/>
      <c r="G606" s="167"/>
      <c r="H606" s="150"/>
      <c r="I606" s="168"/>
      <c r="J606" s="169"/>
      <c r="K606" s="157"/>
      <c r="L606" s="158"/>
      <c r="M606" s="169"/>
      <c r="N606" s="157"/>
      <c r="O606" s="158"/>
      <c r="P606" s="169"/>
      <c r="Q606" s="137" t="str">
        <f aca="false">IF(P541=P606,"〇","×")</f>
        <v>〇</v>
      </c>
    </row>
    <row r="607" s="137" customFormat="true" ht="19.5" hidden="false" customHeight="true" outlineLevel="0" collapsed="false">
      <c r="A607" s="171" t="s">
        <v>383</v>
      </c>
      <c r="B607" s="172" t="n">
        <f aca="false">SUM(B591:B606)</f>
        <v>658619118</v>
      </c>
      <c r="C607" s="173" t="n">
        <f aca="false">SUM(C591:C606)</f>
        <v>53994420</v>
      </c>
      <c r="D607" s="172" t="n">
        <f aca="false">SUM(D591:D606)</f>
        <v>951354142</v>
      </c>
      <c r="E607" s="174" t="n">
        <f aca="false">SUM(E591:E606)</f>
        <v>53001795</v>
      </c>
      <c r="F607" s="175" t="n">
        <f aca="false">SUM(F591:F606)</f>
        <v>671019</v>
      </c>
      <c r="G607" s="176" t="n">
        <f aca="false">SUM(B607:F607)</f>
        <v>1717640494</v>
      </c>
      <c r="H607" s="172" t="n">
        <f aca="false">SUM(H591:H606)</f>
        <v>493081109</v>
      </c>
      <c r="I607" s="173" t="n">
        <f aca="false">SUM(I591:I606)</f>
        <v>494576953</v>
      </c>
      <c r="J607" s="175" t="n">
        <f aca="false">SUM(H607:I607)</f>
        <v>987658062</v>
      </c>
      <c r="K607" s="172" t="n">
        <f aca="false">SUM(K591:K606)</f>
        <v>44415962</v>
      </c>
      <c r="L607" s="173" t="n">
        <f aca="false">SUM(L591:L606)</f>
        <v>43552755</v>
      </c>
      <c r="M607" s="175" t="n">
        <f aca="false">SUM(K607:L607)</f>
        <v>87968717</v>
      </c>
      <c r="N607" s="172" t="n">
        <f aca="false">SUM(N591:N606)</f>
        <v>12</v>
      </c>
      <c r="O607" s="173" t="n">
        <f aca="false">SUM(O591:O606)</f>
        <v>12</v>
      </c>
      <c r="P607" s="175" t="n">
        <f aca="false">SUM(N607:O607)</f>
        <v>24</v>
      </c>
      <c r="Q607" s="137" t="str">
        <f aca="false">IF(P542=P607,"〇","×")</f>
        <v>〇</v>
      </c>
    </row>
    <row r="608" s="110" customFormat="true" ht="20.1" hidden="false" customHeight="true" outlineLevel="0" collapsed="false">
      <c r="A608" s="177" t="s">
        <v>172</v>
      </c>
      <c r="B608" s="311"/>
      <c r="C608" s="308"/>
      <c r="D608" s="299"/>
      <c r="E608" s="303"/>
      <c r="F608" s="308"/>
      <c r="G608" s="302" t="n">
        <f aca="false">SUM(B608:F608)</f>
        <v>0</v>
      </c>
      <c r="H608" s="311"/>
      <c r="I608" s="304"/>
      <c r="J608" s="396" t="n">
        <f aca="false">SUM(H608:I608)</f>
        <v>0</v>
      </c>
      <c r="K608" s="311"/>
      <c r="L608" s="340"/>
      <c r="M608" s="302" t="n">
        <f aca="false">SUM(K608:L608)</f>
        <v>0</v>
      </c>
      <c r="N608" s="311"/>
      <c r="O608" s="340"/>
      <c r="P608" s="302" t="n">
        <f aca="false">SUM(N608:O608)</f>
        <v>0</v>
      </c>
      <c r="Q608" s="110" t="str">
        <f aca="false">IF(P543=P608,"〇","×")</f>
        <v>〇</v>
      </c>
      <c r="R608" s="110" t="str">
        <f aca="false">IFERROR(INDEX(報告入力!$C$7:$C$696,MATCH($S$587&amp;"|"&amp;$A608,報告入力!$CG$7:$CG$696,0)),"")</f>
        <v>報告なし</v>
      </c>
    </row>
    <row r="609" s="110" customFormat="true" ht="20.1" hidden="false" customHeight="true" outlineLevel="0" collapsed="false">
      <c r="A609" s="100" t="s">
        <v>174</v>
      </c>
      <c r="B609" s="215" t="n">
        <f aca="false">SUMIFS(報告入力!$AU$7:$AU$696,報告入力!$A$7:$A$696,$S$587,報告入力!$B$7:$B$696,$A609)</f>
        <v>0</v>
      </c>
      <c r="C609" s="212" t="n">
        <f aca="false">SUMIFS(報告入力!$AV$7:$AV$696,報告入力!$A$7:$A$696,$S$587,報告入力!$B$7:$B$696,$A609)</f>
        <v>0</v>
      </c>
      <c r="D609" s="178" t="n">
        <f aca="false">SUMIFS(報告入力!$AW$7:$AW$696,報告入力!$A$7:$A$696,$S$587,報告入力!$B$7:$B$696,$A609)</f>
        <v>1159671</v>
      </c>
      <c r="E609" s="182" t="n">
        <f aca="false">SUMIFS(報告入力!$AX$7:$AX$696,報告入力!$A$7:$A$696,$S$587,報告入力!$B$7:$B$696,$A609)</f>
        <v>95056</v>
      </c>
      <c r="F609" s="212" t="n">
        <f aca="false">SUMIFS(報告入力!$AY$7:$AY$696,報告入力!$A$7:$A$696,$S$587,報告入力!$B$7:$B$696,$A609)</f>
        <v>1306</v>
      </c>
      <c r="G609" s="181" t="n">
        <f aca="false">SUM(B609:F609)</f>
        <v>1256033</v>
      </c>
      <c r="H609" s="215" t="n">
        <f aca="false">SUMIFS(報告入力!$AZ$7:$AZ$696,報告入力!$A$7:$A$696,$S$587,報告入力!$B$7:$B$696,$A609)</f>
        <v>0</v>
      </c>
      <c r="I609" s="183" t="n">
        <f aca="false">SUMIFS(報告入力!$BA$7:$BA$696,報告入力!$A$7:$A$696,$S$587,報告入力!$B$7:$B$696,$A609)</f>
        <v>698465</v>
      </c>
      <c r="J609" s="393" t="n">
        <f aca="false">SUM(H609:I609)</f>
        <v>698465</v>
      </c>
      <c r="K609" s="215" t="n">
        <f aca="false">SUMIFS(報告入力!$BB$7:$BB$696,報告入力!$A$7:$A$696,$S$587,報告入力!$B$7:$B$696,$A609)</f>
        <v>0</v>
      </c>
      <c r="L609" s="362" t="n">
        <f aca="false">SUMIFS(報告入力!$BC$7:$BC$696,報告入力!$A$7:$A$696,$S$587,報告入力!$B$7:$B$696,$A609)</f>
        <v>95329</v>
      </c>
      <c r="M609" s="181" t="n">
        <f aca="false">SUM(K609:L609)</f>
        <v>95329</v>
      </c>
      <c r="N609" s="215" t="n">
        <f aca="false">SUMIFS(報告入力!$BD$7:$BD$696,報告入力!$A$7:$A$696,$S$587,報告入力!$B$7:$B$696,$A609)</f>
        <v>0</v>
      </c>
      <c r="O609" s="362" t="n">
        <f aca="false">SUMIFS(報告入力!$BE$7:$BE$696,報告入力!$A$7:$A$696,$S$587,報告入力!$B$7:$B$696,$A609)</f>
        <v>1</v>
      </c>
      <c r="P609" s="181" t="n">
        <f aca="false">SUM(N609:O609)</f>
        <v>1</v>
      </c>
      <c r="Q609" s="110" t="str">
        <f aca="false">IF(P544=P609,"〇","×")</f>
        <v>〇</v>
      </c>
      <c r="R609" s="110" t="str">
        <f aca="false">IFERROR(INDEX(報告入力!$C$7:$C$696,MATCH($S$587&amp;"|"&amp;$A609,報告入力!$CG$7:$CG$696,0)),"")</f>
        <v>未受領</v>
      </c>
    </row>
    <row r="610" s="110" customFormat="true" ht="20.1" hidden="false" customHeight="true" outlineLevel="0" collapsed="false">
      <c r="A610" s="100" t="s">
        <v>175</v>
      </c>
      <c r="B610" s="186"/>
      <c r="C610" s="187"/>
      <c r="D610" s="178" t="n">
        <f aca="false">SUMIFS(報告入力!$AW$7:$AW$696,報告入力!$A$7:$A$696,$S$587,報告入力!$B$7:$B$696,$A610)</f>
        <v>3806683</v>
      </c>
      <c r="E610" s="182" t="n">
        <f aca="false">SUMIFS(報告入力!$AX$7:$AX$696,報告入力!$A$7:$A$696,$S$587,報告入力!$B$7:$B$696,$A610)</f>
        <v>312018</v>
      </c>
      <c r="F610" s="212" t="n">
        <f aca="false">SUMIFS(報告入力!$AY$7:$AY$696,報告入力!$A$7:$A$696,$S$587,報告入力!$B$7:$B$696,$A610)</f>
        <v>3974</v>
      </c>
      <c r="G610" s="181" t="n">
        <f aca="false">SUM(B610:F610)</f>
        <v>4122675</v>
      </c>
      <c r="H610" s="263"/>
      <c r="I610" s="183" t="n">
        <f aca="false">SUMIFS(報告入力!$BA$7:$BA$696,報告入力!$A$7:$A$696,$S$587,報告入力!$B$7:$B$696,$A610)</f>
        <v>2319101</v>
      </c>
      <c r="J610" s="393" t="n">
        <f aca="false">SUM(H610:I610)</f>
        <v>2319101</v>
      </c>
      <c r="K610" s="186"/>
      <c r="L610" s="362" t="n">
        <f aca="false">SUMIFS(報告入力!$BC$7:$BC$696,報告入力!$A$7:$A$696,$S$587,報告入力!$B$7:$B$696,$A610)</f>
        <v>255827</v>
      </c>
      <c r="M610" s="181" t="n">
        <f aca="false">SUM(K610:L610)</f>
        <v>255827</v>
      </c>
      <c r="N610" s="186"/>
      <c r="O610" s="362" t="n">
        <f aca="false">SUMIFS(報告入力!$BE$7:$BE$696,報告入力!$A$7:$A$696,$S$587,報告入力!$B$7:$B$696,$A610)</f>
        <v>1</v>
      </c>
      <c r="P610" s="181" t="n">
        <f aca="false">SUM(N610:O610)</f>
        <v>1</v>
      </c>
      <c r="Q610" s="110" t="str">
        <f aca="false">IF(P545=P610,"〇","×")</f>
        <v>〇</v>
      </c>
      <c r="R610" s="110" t="str">
        <f aca="false">IFERROR(INDEX(報告入力!$C$7:$C$696,MATCH($S$587&amp;"|"&amp;$A610,報告入力!$CG$7:$CG$696,0)),"")</f>
        <v>未受領</v>
      </c>
    </row>
    <row r="611" s="110" customFormat="true" ht="20.1" hidden="false" customHeight="true" outlineLevel="0" collapsed="false">
      <c r="A611" s="100" t="s">
        <v>176</v>
      </c>
      <c r="B611" s="186"/>
      <c r="C611" s="187"/>
      <c r="D611" s="178" t="n">
        <f aca="false">SUMIFS(報告入力!$AW$7:$AW$696,報告入力!$A$7:$A$696,$S$587,報告入力!$B$7:$B$696,$A611)</f>
        <v>102755</v>
      </c>
      <c r="E611" s="182" t="n">
        <f aca="false">SUMIFS(報告入力!$AX$7:$AX$696,報告入力!$A$7:$A$696,$S$587,報告入力!$B$7:$B$696,$A611)</f>
        <v>8422</v>
      </c>
      <c r="F611" s="212" t="n">
        <f aca="false">SUMIFS(報告入力!$AY$7:$AY$696,報告入力!$A$7:$A$696,$S$587,報告入力!$B$7:$B$696,$A611)</f>
        <v>105</v>
      </c>
      <c r="G611" s="181" t="n">
        <f aca="false">SUM(B611:F611)</f>
        <v>111282</v>
      </c>
      <c r="H611" s="263"/>
      <c r="I611" s="183" t="n">
        <f aca="false">SUMIFS(報告入力!$BA$7:$BA$696,報告入力!$A$7:$A$696,$S$587,報告入力!$B$7:$B$696,$A611)</f>
        <v>61888</v>
      </c>
      <c r="J611" s="393" t="n">
        <f aca="false">SUM(H611:I611)</f>
        <v>61888</v>
      </c>
      <c r="K611" s="186"/>
      <c r="L611" s="182" t="n">
        <f aca="false">SUMIFS(報告入力!$BC$7:$BC$696,報告入力!$A$7:$A$696,$S$587,報告入力!$B$7:$B$696,$A611)</f>
        <v>8871</v>
      </c>
      <c r="M611" s="393" t="n">
        <f aca="false">SUM(K611:L611)</f>
        <v>8871</v>
      </c>
      <c r="N611" s="186"/>
      <c r="O611" s="182" t="n">
        <f aca="false">SUMIFS(報告入力!$BE$7:$BE$696,報告入力!$A$7:$A$696,$S$587,報告入力!$B$7:$B$696,$A611)</f>
        <v>1</v>
      </c>
      <c r="P611" s="393" t="n">
        <f aca="false">SUM(N611:O611)</f>
        <v>1</v>
      </c>
      <c r="Q611" s="110" t="str">
        <f aca="false">IF(P546=P611,"〇","×")</f>
        <v>〇</v>
      </c>
      <c r="R611" s="110" t="str">
        <f aca="false">IFERROR(INDEX(報告入力!$C$7:$C$696,MATCH($S$587&amp;"|"&amp;$A611,報告入力!$CG$7:$CG$696,0)),"")</f>
        <v>未受領</v>
      </c>
    </row>
    <row r="612" s="110" customFormat="true" ht="20.1" hidden="false" customHeight="true" outlineLevel="0" collapsed="false">
      <c r="A612" s="189" t="s">
        <v>177</v>
      </c>
      <c r="B612" s="186"/>
      <c r="C612" s="187"/>
      <c r="D612" s="178" t="n">
        <f aca="false">SUMIFS(報告入力!$AW$7:$AW$696,報告入力!$A$7:$A$696,$S$587,報告入力!$B$7:$B$696,$A612)</f>
        <v>847109</v>
      </c>
      <c r="E612" s="182" t="n">
        <f aca="false">SUMIFS(報告入力!$AX$7:$AX$696,報告入力!$A$7:$A$696,$S$587,報告入力!$B$7:$B$696,$A612)</f>
        <v>69435</v>
      </c>
      <c r="F612" s="212" t="n">
        <f aca="false">SUMIFS(報告入力!$AY$7:$AY$696,報告入力!$A$7:$A$696,$S$587,報告入力!$B$7:$B$696,$A612)</f>
        <v>868</v>
      </c>
      <c r="G612" s="181" t="n">
        <f aca="false">SUM(B612:F612)</f>
        <v>917412</v>
      </c>
      <c r="H612" s="263"/>
      <c r="I612" s="183" t="n">
        <f aca="false">SUMIFS(報告入力!$BA$7:$BA$696,報告入力!$A$7:$A$696,$S$587,報告入力!$B$7:$B$696,$A612)</f>
        <v>510207</v>
      </c>
      <c r="J612" s="393" t="n">
        <f aca="false">SUM(H612:I612)</f>
        <v>510207</v>
      </c>
      <c r="K612" s="263"/>
      <c r="L612" s="183" t="n">
        <f aca="false">SUMIFS(報告入力!$BC$7:$BC$696,報告入力!$A$7:$A$696,$S$587,報告入力!$B$7:$B$696,$A612)</f>
        <v>68753</v>
      </c>
      <c r="M612" s="393" t="n">
        <f aca="false">SUM(K612:L612)</f>
        <v>68753</v>
      </c>
      <c r="N612" s="263"/>
      <c r="O612" s="183" t="n">
        <f aca="false">SUMIFS(報告入力!$BE$7:$BE$696,報告入力!$A$7:$A$696,$S$587,報告入力!$B$7:$B$696,$A612)</f>
        <v>1</v>
      </c>
      <c r="P612" s="393" t="n">
        <f aca="false">SUM(N612:O612)</f>
        <v>1</v>
      </c>
      <c r="Q612" s="110" t="str">
        <f aca="false">IF(P547=P612,"〇","×")</f>
        <v>〇</v>
      </c>
      <c r="R612" s="110" t="str">
        <f aca="false">IFERROR(INDEX(報告入力!$C$7:$C$696,MATCH($S$587&amp;"|"&amp;$A612,報告入力!$CG$7:$CG$696,0)),"")</f>
        <v>未受領</v>
      </c>
    </row>
    <row r="613" s="110" customFormat="true" ht="20.1" hidden="false" customHeight="true" outlineLevel="0" collapsed="false">
      <c r="A613" s="121" t="s">
        <v>178</v>
      </c>
      <c r="B613" s="186"/>
      <c r="C613" s="191"/>
      <c r="D613" s="178" t="n">
        <f aca="false">SUMIFS(報告入力!$AW$7:$AW$696,報告入力!$A$7:$A$696,$S$587,報告入力!$B$7:$B$696,$A613)</f>
        <v>183641</v>
      </c>
      <c r="E613" s="182" t="n">
        <f aca="false">SUMIFS(報告入力!$AX$7:$AX$696,報告入力!$A$7:$A$696,$S$587,報告入力!$B$7:$B$696,$A613)</f>
        <v>15052</v>
      </c>
      <c r="F613" s="212" t="n">
        <f aca="false">SUMIFS(報告入力!$AY$7:$AY$696,報告入力!$A$7:$A$696,$S$587,報告入力!$B$7:$B$696,$A613)</f>
        <v>188</v>
      </c>
      <c r="G613" s="181" t="n">
        <f aca="false">SUM(B613:F613)</f>
        <v>198881</v>
      </c>
      <c r="H613" s="263"/>
      <c r="I613" s="183" t="n">
        <f aca="false">SUMIFS(報告入力!$BA$7:$BA$696,報告入力!$A$7:$A$696,$S$587,報告入力!$B$7:$B$696,$A613)</f>
        <v>110605</v>
      </c>
      <c r="J613" s="393" t="n">
        <f aca="false">SUM(H613:I613)</f>
        <v>110605</v>
      </c>
      <c r="K613" s="263"/>
      <c r="L613" s="183" t="n">
        <f aca="false">SUMIFS(報告入力!$BC$7:$BC$696,報告入力!$A$7:$A$696,$S$587,報告入力!$B$7:$B$696,$A613)</f>
        <v>15855</v>
      </c>
      <c r="M613" s="393" t="n">
        <f aca="false">SUM(K613:L613)</f>
        <v>15855</v>
      </c>
      <c r="N613" s="263"/>
      <c r="O613" s="183" t="n">
        <f aca="false">SUMIFS(報告入力!$BE$7:$BE$696,報告入力!$A$7:$A$696,$S$587,報告入力!$B$7:$B$696,$A613)</f>
        <v>1</v>
      </c>
      <c r="P613" s="393" t="n">
        <f aca="false">SUM(N613:O613)</f>
        <v>1</v>
      </c>
      <c r="Q613" s="110" t="str">
        <f aca="false">IF(P548=P613,"〇","×")</f>
        <v>〇</v>
      </c>
      <c r="R613" s="110" t="str">
        <f aca="false">IFERROR(INDEX(報告入力!$C$7:$C$696,MATCH($S$587&amp;"|"&amp;$A613,報告入力!$CG$7:$CG$696,0)),"")</f>
        <v>未受領</v>
      </c>
    </row>
    <row r="614" s="110" customFormat="true" ht="20.1" hidden="false" customHeight="true" outlineLevel="0" collapsed="false">
      <c r="A614" s="121" t="s">
        <v>179</v>
      </c>
      <c r="B614" s="186"/>
      <c r="C614" s="191"/>
      <c r="D614" s="178" t="n">
        <f aca="false">SUMIFS(報告入力!$AW$7:$AW$696,報告入力!$A$7:$A$696,$S$587,報告入力!$B$7:$B$696,$A614)</f>
        <v>103944</v>
      </c>
      <c r="E614" s="182" t="n">
        <f aca="false">SUMIFS(報告入力!$AX$7:$AX$696,報告入力!$A$7:$A$696,$S$587,報告入力!$B$7:$B$696,$A614)</f>
        <v>8520</v>
      </c>
      <c r="F614" s="212" t="n">
        <f aca="false">SUMIFS(報告入力!$AY$7:$AY$696,報告入力!$A$7:$A$696,$S$587,報告入力!$B$7:$B$696,$A614)</f>
        <v>106</v>
      </c>
      <c r="G614" s="181" t="n">
        <f aca="false">SUM(B614:F614)</f>
        <v>112570</v>
      </c>
      <c r="H614" s="263"/>
      <c r="I614" s="183" t="n">
        <f aca="false">SUMIFS(報告入力!$BA$7:$BA$696,報告入力!$A$7:$A$696,$S$587,報告入力!$B$7:$B$696,$A614)</f>
        <v>62604</v>
      </c>
      <c r="J614" s="393" t="n">
        <f aca="false">SUM(H614:I614)</f>
        <v>62604</v>
      </c>
      <c r="K614" s="263"/>
      <c r="L614" s="183" t="n">
        <f aca="false">SUMIFS(報告入力!$BC$7:$BC$696,報告入力!$A$7:$A$696,$S$587,報告入力!$B$7:$B$696,$A614)</f>
        <v>8974</v>
      </c>
      <c r="M614" s="393" t="n">
        <f aca="false">SUM(K614:L614)</f>
        <v>8974</v>
      </c>
      <c r="N614" s="263"/>
      <c r="O614" s="183" t="n">
        <f aca="false">SUMIFS(報告入力!$BE$7:$BE$696,報告入力!$A$7:$A$696,$S$587,報告入力!$B$7:$B$696,$A614)</f>
        <v>1</v>
      </c>
      <c r="P614" s="393" t="n">
        <f aca="false">SUM(N614:O614)</f>
        <v>1</v>
      </c>
      <c r="Q614" s="110" t="str">
        <f aca="false">IF(P549=P614,"〇","×")</f>
        <v>〇</v>
      </c>
      <c r="R614" s="110" t="str">
        <f aca="false">IFERROR(INDEX(報告入力!$C$7:$C$696,MATCH($S$587&amp;"|"&amp;$A614,報告入力!$CG$7:$CG$696,0)),"")</f>
        <v>未受領</v>
      </c>
    </row>
    <row r="615" s="110" customFormat="true" ht="20.1" hidden="false" customHeight="true" outlineLevel="0" collapsed="false">
      <c r="A615" s="192" t="s">
        <v>180</v>
      </c>
      <c r="B615" s="186"/>
      <c r="C615" s="193"/>
      <c r="D615" s="178" t="n">
        <f aca="false">SUMIFS(報告入力!$AW$7:$AW$696,報告入力!$A$7:$A$696,$S$587,報告入力!$B$7:$B$696,$A615)</f>
        <v>252084</v>
      </c>
      <c r="E615" s="182" t="n">
        <f aca="false">SUMIFS(報告入力!$AX$7:$AX$696,報告入力!$A$7:$A$696,$S$587,報告入力!$B$7:$B$696,$A615)</f>
        <v>20662</v>
      </c>
      <c r="F615" s="212" t="n">
        <f aca="false">SUMIFS(報告入力!$AY$7:$AY$696,報告入力!$A$7:$A$696,$S$587,報告入力!$B$7:$B$696,$A615)</f>
        <v>258</v>
      </c>
      <c r="G615" s="181" t="n">
        <f aca="false">SUM(B615:F615)</f>
        <v>273004</v>
      </c>
      <c r="H615" s="263"/>
      <c r="I615" s="183" t="n">
        <f aca="false">SUMIFS(報告入力!$BA$7:$BA$696,報告入力!$A$7:$A$696,$S$587,報告入力!$B$7:$B$696,$A615)</f>
        <v>151828</v>
      </c>
      <c r="J615" s="393" t="n">
        <f aca="false">SUM(H615:I615)</f>
        <v>151828</v>
      </c>
      <c r="K615" s="201"/>
      <c r="L615" s="182" t="n">
        <f aca="false">SUMIFS(報告入力!$BC$7:$BC$696,報告入力!$A$7:$A$696,$S$587,報告入力!$B$7:$B$696,$A615)</f>
        <v>14788</v>
      </c>
      <c r="M615" s="393" t="n">
        <f aca="false">SUM(K615:L615)</f>
        <v>14788</v>
      </c>
      <c r="N615" s="201"/>
      <c r="O615" s="182" t="n">
        <f aca="false">SUMIFS(報告入力!$BE$7:$BE$696,報告入力!$A$7:$A$696,$S$587,報告入力!$B$7:$B$696,$A615)</f>
        <v>1</v>
      </c>
      <c r="P615" s="393" t="n">
        <f aca="false">SUM(N615:O615)</f>
        <v>1</v>
      </c>
      <c r="Q615" s="110" t="str">
        <f aca="false">IF(P550=P615,"〇","×")</f>
        <v>〇</v>
      </c>
      <c r="R615" s="110" t="str">
        <f aca="false">IFERROR(INDEX(報告入力!$C$7:$C$696,MATCH($S$587&amp;"|"&amp;$A615,報告入力!$CG$7:$CG$696,0)),"")</f>
        <v>未受領</v>
      </c>
    </row>
    <row r="616" s="110" customFormat="true" ht="20.1" hidden="false" customHeight="true" outlineLevel="0" collapsed="false">
      <c r="A616" s="100" t="s">
        <v>181</v>
      </c>
      <c r="B616" s="215" t="n">
        <f aca="false">SUMIFS(報告入力!$AU$7:$AU$696,報告入力!$A$7:$A$696,$S$587,報告入力!$B$7:$B$696,$A616)</f>
        <v>475616</v>
      </c>
      <c r="C616" s="212" t="n">
        <f aca="false">SUMIFS(報告入力!$AV$7:$AV$696,報告入力!$A$7:$A$696,$S$587,報告入力!$B$7:$B$696,$A616)</f>
        <v>38984</v>
      </c>
      <c r="D616" s="178" t="n">
        <f aca="false">SUMIFS(報告入力!$AW$7:$AW$696,報告入力!$A$7:$A$696,$S$587,報告入力!$B$7:$B$696,$A616)</f>
        <v>475618</v>
      </c>
      <c r="E616" s="182" t="n">
        <f aca="false">SUMIFS(報告入力!$AX$7:$AX$696,報告入力!$A$7:$A$696,$S$587,報告入力!$B$7:$B$696,$A616)</f>
        <v>38985</v>
      </c>
      <c r="F616" s="212" t="n">
        <f aca="false">SUMIFS(報告入力!$AY$7:$AY$696,報告入力!$A$7:$A$696,$S$587,報告入力!$B$7:$B$696,$A616)</f>
        <v>488</v>
      </c>
      <c r="G616" s="181" t="n">
        <f aca="false">SUM(B616:F616)</f>
        <v>1029691</v>
      </c>
      <c r="H616" s="215" t="n">
        <f aca="false">SUMIFS(報告入力!$AZ$7:$AZ$696,報告入力!$A$7:$A$696,$S$587,報告入力!$B$7:$B$696,$A616)</f>
        <v>285940</v>
      </c>
      <c r="I616" s="183" t="n">
        <f aca="false">SUMIFS(報告入力!$BA$7:$BA$696,報告入力!$A$7:$A$696,$S$587,報告入力!$B$7:$B$696,$A616)</f>
        <v>286461</v>
      </c>
      <c r="J616" s="393" t="n">
        <f aca="false">SUM(H616:I616)</f>
        <v>572401</v>
      </c>
      <c r="K616" s="178" t="n">
        <f aca="false">SUMIFS(報告入力!$BB$7:$BB$696,報告入力!$A$7:$A$696,$S$587,報告入力!$B$7:$B$696,$A616)</f>
        <v>19433</v>
      </c>
      <c r="L616" s="362" t="n">
        <f aca="false">SUMIFS(報告入力!$BC$7:$BC$696,報告入力!$A$7:$A$696,$S$587,報告入力!$B$7:$B$696,$A616)</f>
        <v>19434</v>
      </c>
      <c r="M616" s="181" t="n">
        <f aca="false">SUM(K616:L616)</f>
        <v>38867</v>
      </c>
      <c r="N616" s="178" t="n">
        <f aca="false">SUMIFS(報告入力!$BD$7:$BD$696,報告入力!$A$7:$A$696,$S$587,報告入力!$B$7:$B$696,$A616)</f>
        <v>1</v>
      </c>
      <c r="O616" s="362" t="n">
        <f aca="false">SUMIFS(報告入力!$BE$7:$BE$696,報告入力!$A$7:$A$696,$S$587,報告入力!$B$7:$B$696,$A616)</f>
        <v>1</v>
      </c>
      <c r="P616" s="181" t="n">
        <f aca="false">SUM(N616:O616)</f>
        <v>2</v>
      </c>
      <c r="Q616" s="110" t="str">
        <f aca="false">IF(P551=P616,"〇","×")</f>
        <v>〇</v>
      </c>
      <c r="R616" s="110" t="str">
        <f aca="false">IFERROR(INDEX(報告入力!$C$7:$C$696,MATCH($S$587&amp;"|"&amp;$A616,報告入力!$CG$7:$CG$696,0)),"")</f>
        <v>未受領</v>
      </c>
    </row>
    <row r="617" s="110" customFormat="true" ht="20.1" hidden="false" customHeight="true" outlineLevel="0" collapsed="false">
      <c r="A617" s="194" t="s">
        <v>182</v>
      </c>
      <c r="B617" s="178" t="n">
        <f aca="false">SUMIFS(報告入力!$AU$7:$AU$696,報告入力!$A$7:$A$696,$S$587,報告入力!$B$7:$B$696,$A617)</f>
        <v>66246</v>
      </c>
      <c r="C617" s="212" t="n">
        <f aca="false">SUMIFS(報告入力!$AV$7:$AV$696,報告入力!$A$7:$A$696,$S$587,報告入力!$B$7:$B$696,$A617)</f>
        <v>5430</v>
      </c>
      <c r="D617" s="178" t="n">
        <f aca="false">SUMIFS(報告入力!$AW$7:$AW$696,報告入力!$A$7:$A$696,$S$587,報告入力!$B$7:$B$696,$A617)</f>
        <v>66246</v>
      </c>
      <c r="E617" s="182" t="n">
        <f aca="false">SUMIFS(報告入力!$AX$7:$AX$696,報告入力!$A$7:$A$696,$S$587,報告入力!$B$7:$B$696,$A617)</f>
        <v>5430</v>
      </c>
      <c r="F617" s="212" t="n">
        <f aca="false">SUMIFS(報告入力!$AY$7:$AY$696,報告入力!$A$7:$A$696,$S$587,報告入力!$B$7:$B$696,$A617)</f>
        <v>67</v>
      </c>
      <c r="G617" s="181" t="n">
        <f aca="false">SUM(B617:F617)</f>
        <v>143419</v>
      </c>
      <c r="H617" s="262" t="n">
        <f aca="false">SUMIFS(報告入力!$AZ$7:$AZ$696,報告入力!$A$7:$A$696,$S$587,報告入力!$B$7:$B$696,$A617)</f>
        <v>39827</v>
      </c>
      <c r="I617" s="183" t="n">
        <f aca="false">SUMIFS(報告入力!$BA$7:$BA$696,報告入力!$A$7:$A$696,$S$587,報告入力!$B$7:$B$696,$A617)</f>
        <v>39899</v>
      </c>
      <c r="J617" s="393" t="n">
        <f aca="false">SUM(H617:I617)</f>
        <v>79726</v>
      </c>
      <c r="K617" s="178" t="n">
        <f aca="false">SUMIFS(報告入力!$BB$7:$BB$696,報告入力!$A$7:$A$696,$S$587,報告入力!$B$7:$B$696,$A617)</f>
        <v>0</v>
      </c>
      <c r="L617" s="182" t="n">
        <f aca="false">SUMIFS(報告入力!$BC$7:$BC$696,報告入力!$A$7:$A$696,$S$587,報告入力!$B$7:$B$696,$A617)</f>
        <v>0</v>
      </c>
      <c r="M617" s="393" t="n">
        <f aca="false">SUM(K617:L617)</f>
        <v>0</v>
      </c>
      <c r="N617" s="178" t="n">
        <f aca="false">SUMIFS(報告入力!$BD$7:$BD$696,報告入力!$A$7:$A$696,$S$587,報告入力!$B$7:$B$696,$A617)</f>
        <v>1</v>
      </c>
      <c r="O617" s="182" t="n">
        <f aca="false">SUMIFS(報告入力!$BE$7:$BE$696,報告入力!$A$7:$A$696,$S$587,報告入力!$B$7:$B$696,$A617)</f>
        <v>1</v>
      </c>
      <c r="P617" s="393" t="n">
        <f aca="false">SUM(N617:O617)</f>
        <v>2</v>
      </c>
      <c r="Q617" s="110" t="str">
        <f aca="false">IF(P552=P617,"〇","×")</f>
        <v>〇</v>
      </c>
      <c r="R617" s="110" t="str">
        <f aca="false">IFERROR(INDEX(報告入力!$C$7:$C$696,MATCH($S$587&amp;"|"&amp;$A617,報告入力!$CG$7:$CG$696,0)),"")</f>
        <v>未受領</v>
      </c>
    </row>
    <row r="618" s="110" customFormat="true" ht="20.1" hidden="false" customHeight="true" outlineLevel="0" collapsed="false">
      <c r="A618" s="197" t="s">
        <v>183</v>
      </c>
      <c r="B618" s="215" t="n">
        <f aca="false">SUMIFS(報告入力!$AU$7:$AU$696,報告入力!$A$7:$A$696,$S$587,報告入力!$B$7:$B$696,$A618)</f>
        <v>171562</v>
      </c>
      <c r="C618" s="212" t="n">
        <f aca="false">SUMIFS(報告入力!$AV$7:$AV$696,報告入力!$A$7:$A$696,$S$587,報告入力!$B$7:$B$696,$A618)</f>
        <v>14062</v>
      </c>
      <c r="D618" s="178" t="n">
        <f aca="false">SUMIFS(報告入力!$AW$7:$AW$696,報告入力!$A$7:$A$696,$S$587,報告入力!$B$7:$B$696,$A618)</f>
        <v>171563</v>
      </c>
      <c r="E618" s="182" t="n">
        <f aca="false">SUMIFS(報告入力!$AX$7:$AX$696,報告入力!$A$7:$A$696,$S$587,報告入力!$B$7:$B$696,$A618)</f>
        <v>14062</v>
      </c>
      <c r="F618" s="212" t="n">
        <f aca="false">SUMIFS(報告入力!$AY$7:$AY$696,報告入力!$A$7:$A$696,$S$587,報告入力!$B$7:$B$696,$A618)</f>
        <v>176</v>
      </c>
      <c r="G618" s="181" t="n">
        <f aca="false">SUM(B618:F618)</f>
        <v>371425</v>
      </c>
      <c r="H618" s="215" t="n">
        <f aca="false">SUMIFS(報告入力!$AZ$7:$AZ$696,報告入力!$A$7:$A$696,$S$587,報告入力!$B$7:$B$696,$A618)</f>
        <v>103142</v>
      </c>
      <c r="I618" s="183" t="n">
        <f aca="false">SUMIFS(報告入力!$BA$7:$BA$696,報告入力!$A$7:$A$696,$S$587,報告入力!$B$7:$B$696,$A618)</f>
        <v>103331</v>
      </c>
      <c r="J618" s="393" t="n">
        <f aca="false">SUM(H618:I618)</f>
        <v>206473</v>
      </c>
      <c r="K618" s="178" t="n">
        <f aca="false">SUMIFS(報告入力!$BB$7:$BB$696,報告入力!$A$7:$A$696,$S$587,報告入力!$B$7:$B$696,$A618)</f>
        <v>7828</v>
      </c>
      <c r="L618" s="362" t="n">
        <f aca="false">SUMIFS(報告入力!$BC$7:$BC$696,報告入力!$A$7:$A$696,$S$587,報告入力!$B$7:$B$696,$A618)</f>
        <v>7828</v>
      </c>
      <c r="M618" s="181" t="n">
        <f aca="false">SUM(K618:L618)</f>
        <v>15656</v>
      </c>
      <c r="N618" s="178" t="n">
        <f aca="false">SUMIFS(報告入力!$BD$7:$BD$696,報告入力!$A$7:$A$696,$S$587,報告入力!$B$7:$B$696,$A618)</f>
        <v>1</v>
      </c>
      <c r="O618" s="362" t="n">
        <f aca="false">SUMIFS(報告入力!$BE$7:$BE$696,報告入力!$A$7:$A$696,$S$587,報告入力!$B$7:$B$696,$A618)</f>
        <v>1</v>
      </c>
      <c r="P618" s="181" t="n">
        <f aca="false">SUM(N618:O618)</f>
        <v>2</v>
      </c>
      <c r="Q618" s="110" t="str">
        <f aca="false">IF(P553=P618,"〇","×")</f>
        <v>〇</v>
      </c>
      <c r="R618" s="110" t="str">
        <f aca="false">IFERROR(INDEX(報告入力!$C$7:$C$696,MATCH($S$587&amp;"|"&amp;$A618,報告入力!$CG$7:$CG$696,0)),"")</f>
        <v>未受領</v>
      </c>
    </row>
    <row r="619" s="110" customFormat="true" ht="20.1" hidden="false" customHeight="true" outlineLevel="0" collapsed="false">
      <c r="A619" s="100" t="s">
        <v>184</v>
      </c>
      <c r="B619" s="215" t="n">
        <f aca="false">SUMIFS(報告入力!$AU$7:$AU$696,報告入力!$A$7:$A$696,$S$587,報告入力!$B$7:$B$696,$A619)</f>
        <v>1785344</v>
      </c>
      <c r="C619" s="212" t="n">
        <f aca="false">SUMIFS(報告入力!$AV$7:$AV$696,報告入力!$A$7:$A$696,$S$587,報告入力!$B$7:$B$696,$A619)</f>
        <v>146336</v>
      </c>
      <c r="D619" s="178" t="n">
        <f aca="false">SUMIFS(報告入力!$AW$7:$AW$696,報告入力!$A$7:$A$696,$S$587,報告入力!$B$7:$B$696,$A619)</f>
        <v>1785348</v>
      </c>
      <c r="E619" s="182" t="n">
        <f aca="false">SUMIFS(報告入力!$AX$7:$AX$696,報告入力!$A$7:$A$696,$S$587,報告入力!$B$7:$B$696,$A619)</f>
        <v>146340</v>
      </c>
      <c r="F619" s="212" t="n">
        <f aca="false">SUMIFS(報告入力!$AY$7:$AY$696,報告入力!$A$7:$A$696,$S$587,報告入力!$B$7:$B$696,$A619)</f>
        <v>1832</v>
      </c>
      <c r="G619" s="181" t="n">
        <f aca="false">SUM(B619:F619)</f>
        <v>3865200</v>
      </c>
      <c r="H619" s="215" t="n">
        <f aca="false">SUMIFS(報告入力!$AZ$7:$AZ$696,報告入力!$A$7:$A$696,$S$587,報告入力!$B$7:$B$696,$A619)</f>
        <v>1073346</v>
      </c>
      <c r="I619" s="183" t="n">
        <f aca="false">SUMIFS(報告入力!$BA$7:$BA$696,報告入力!$A$7:$A$696,$S$587,報告入力!$B$7:$B$696,$A619)</f>
        <v>1075306</v>
      </c>
      <c r="J619" s="393" t="n">
        <f aca="false">SUM(H619:I619)</f>
        <v>2148652</v>
      </c>
      <c r="K619" s="178" t="n">
        <f aca="false">SUMIFS(報告入力!$BB$7:$BB$696,報告入力!$A$7:$A$696,$S$587,報告入力!$B$7:$B$696,$A619)</f>
        <v>104204</v>
      </c>
      <c r="L619" s="362" t="n">
        <f aca="false">SUMIFS(報告入力!$BC$7:$BC$696,報告入力!$A$7:$A$696,$S$587,報告入力!$B$7:$B$696,$A619)</f>
        <v>104208</v>
      </c>
      <c r="M619" s="181" t="n">
        <f aca="false">SUM(K619:L619)</f>
        <v>208412</v>
      </c>
      <c r="N619" s="178" t="n">
        <f aca="false">SUMIFS(報告入力!$BD$7:$BD$696,報告入力!$A$7:$A$696,$S$587,報告入力!$B$7:$B$696,$A619)</f>
        <v>1</v>
      </c>
      <c r="O619" s="362" t="n">
        <f aca="false">SUMIFS(報告入力!$BE$7:$BE$696,報告入力!$A$7:$A$696,$S$587,報告入力!$B$7:$B$696,$A619)</f>
        <v>1</v>
      </c>
      <c r="P619" s="181" t="n">
        <f aca="false">SUM(N619:O619)</f>
        <v>2</v>
      </c>
      <c r="Q619" s="110" t="str">
        <f aca="false">IF(P554=P619,"〇","×")</f>
        <v>〇</v>
      </c>
      <c r="R619" s="110" t="str">
        <f aca="false">IFERROR(INDEX(報告入力!$C$7:$C$696,MATCH($S$587&amp;"|"&amp;$A619,報告入力!$CG$7:$CG$696,0)),"")</f>
        <v>未受領</v>
      </c>
    </row>
    <row r="620" s="110" customFormat="true" ht="20.1" hidden="false" customHeight="true" outlineLevel="0" collapsed="false">
      <c r="A620" s="100" t="s">
        <v>185</v>
      </c>
      <c r="B620" s="201"/>
      <c r="C620" s="191"/>
      <c r="D620" s="178" t="n">
        <f aca="false">SUMIFS(報告入力!$AW$7:$AW$696,報告入力!$A$7:$A$696,$S$587,報告入力!$B$7:$B$696,$A620)</f>
        <v>1116024</v>
      </c>
      <c r="E620" s="182" t="n">
        <f aca="false">SUMIFS(報告入力!$AX$7:$AX$696,報告入力!$A$7:$A$696,$S$587,報告入力!$B$7:$B$696,$A620)</f>
        <v>91476</v>
      </c>
      <c r="F620" s="212" t="n">
        <f aca="false">SUMIFS(報告入力!$AY$7:$AY$696,報告入力!$A$7:$A$696,$S$587,報告入力!$B$7:$B$696,$A620)</f>
        <v>1202</v>
      </c>
      <c r="G620" s="181" t="n">
        <f aca="false">SUM(B620:F620)</f>
        <v>1208702</v>
      </c>
      <c r="H620" s="397"/>
      <c r="I620" s="370" t="n">
        <f aca="false">SUMIFS(報告入力!$BA$7:$BA$696,報告入力!$A$7:$A$696,$S$587,報告入力!$B$7:$B$696,$A620)</f>
        <v>672237</v>
      </c>
      <c r="J620" s="135" t="n">
        <f aca="false">SUM(H620:I620)</f>
        <v>672237</v>
      </c>
      <c r="K620" s="263"/>
      <c r="L620" s="370" t="n">
        <f aca="false">SUMIFS(報告入力!$BC$7:$BC$696,報告入力!$A$7:$A$696,$S$587,報告入力!$B$7:$B$696,$A620)</f>
        <v>56215</v>
      </c>
      <c r="M620" s="135" t="n">
        <f aca="false">SUM(K620:L620)</f>
        <v>56215</v>
      </c>
      <c r="N620" s="263"/>
      <c r="O620" s="370" t="n">
        <f aca="false">SUMIFS(報告入力!$BE$7:$BE$696,報告入力!$A$7:$A$696,$S$587,報告入力!$B$7:$B$696,$A620)</f>
        <v>1</v>
      </c>
      <c r="P620" s="135" t="n">
        <f aca="false">SUM(N620:O620)</f>
        <v>1</v>
      </c>
      <c r="Q620" s="110" t="str">
        <f aca="false">IF(P555=P620,"〇","×")</f>
        <v>〇</v>
      </c>
      <c r="R620" s="110" t="str">
        <f aca="false">IFERROR(INDEX(報告入力!$C$7:$C$696,MATCH($S$587&amp;"|"&amp;$A620,報告入力!$CG$7:$CG$696,0)),"")</f>
        <v>未受領</v>
      </c>
    </row>
    <row r="621" s="110" customFormat="true" ht="20.1" hidden="false" customHeight="true" outlineLevel="0" collapsed="false">
      <c r="A621" s="203" t="s">
        <v>186</v>
      </c>
      <c r="B621" s="186"/>
      <c r="C621" s="193"/>
      <c r="D621" s="178" t="n">
        <f aca="false">SUMIFS(報告入力!$AW$7:$AW$696,報告入力!$A$7:$A$696,$S$587,報告入力!$B$7:$B$696,$A621)</f>
        <v>2437384</v>
      </c>
      <c r="E621" s="182" t="n">
        <f aca="false">SUMIFS(報告入力!$AX$7:$AX$696,報告入力!$A$7:$A$696,$S$587,報告入力!$B$7:$B$696,$A621)</f>
        <v>199783</v>
      </c>
      <c r="F621" s="212" t="n">
        <f aca="false">SUMIFS(報告入力!$AY$7:$AY$696,報告入力!$A$7:$A$696,$S$587,報告入力!$B$7:$B$696,$A621)</f>
        <v>2496</v>
      </c>
      <c r="G621" s="181" t="n">
        <f aca="false">SUM(B621:F621)</f>
        <v>2639663</v>
      </c>
      <c r="H621" s="263"/>
      <c r="I621" s="183" t="n">
        <f aca="false">SUMIFS(報告入力!$BA$7:$BA$696,報告入力!$A$7:$A$696,$S$587,報告入力!$B$7:$B$696,$A621)</f>
        <v>1468017</v>
      </c>
      <c r="J621" s="393" t="n">
        <f aca="false">SUM(H621:I621)</f>
        <v>1468017</v>
      </c>
      <c r="K621" s="186"/>
      <c r="L621" s="182" t="n">
        <f aca="false">SUMIFS(報告入力!$BC$7:$BC$696,報告入力!$A$7:$A$696,$S$587,報告入力!$B$7:$B$696,$A621)</f>
        <v>199629</v>
      </c>
      <c r="M621" s="393" t="n">
        <f aca="false">SUM(K621:L621)</f>
        <v>199629</v>
      </c>
      <c r="N621" s="186"/>
      <c r="O621" s="182" t="n">
        <f aca="false">SUMIFS(報告入力!$BE$7:$BE$696,報告入力!$A$7:$A$696,$S$587,報告入力!$B$7:$B$696,$A621)</f>
        <v>1</v>
      </c>
      <c r="P621" s="393" t="n">
        <f aca="false">SUM(N621:O621)</f>
        <v>1</v>
      </c>
      <c r="Q621" s="110" t="str">
        <f aca="false">IF(P556=P621,"〇","×")</f>
        <v>〇</v>
      </c>
      <c r="R621" s="110" t="str">
        <f aca="false">IFERROR(INDEX(報告入力!$C$7:$C$696,MATCH($S$587&amp;"|"&amp;$A621,報告入力!$CG$7:$CG$696,0)),"")</f>
        <v>未受領</v>
      </c>
    </row>
    <row r="622" s="110" customFormat="true" ht="20.1" hidden="false" customHeight="true" outlineLevel="0" collapsed="false">
      <c r="A622" s="204" t="s">
        <v>187</v>
      </c>
      <c r="B622" s="186"/>
      <c r="C622" s="193"/>
      <c r="D622" s="178" t="n">
        <f aca="false">SUMIFS(報告入力!$AW$7:$AW$696,報告入力!$A$7:$A$696,$S$587,報告入力!$B$7:$B$696,$A622)</f>
        <v>0</v>
      </c>
      <c r="E622" s="182" t="n">
        <f aca="false">SUMIFS(報告入力!$AX$7:$AX$696,報告入力!$A$7:$A$696,$S$587,報告入力!$B$7:$B$696,$A622)</f>
        <v>0</v>
      </c>
      <c r="F622" s="212" t="n">
        <f aca="false">SUMIFS(報告入力!$AY$7:$AY$696,報告入力!$A$7:$A$696,$S$587,報告入力!$B$7:$B$696,$A622)</f>
        <v>0</v>
      </c>
      <c r="G622" s="181" t="n">
        <f aca="false">SUM(B622:F622)</f>
        <v>0</v>
      </c>
      <c r="H622" s="263"/>
      <c r="I622" s="183" t="n">
        <f aca="false">SUMIFS(報告入力!$BA$7:$BA$696,報告入力!$A$7:$A$696,$S$587,報告入力!$B$7:$B$696,$A622)</f>
        <v>0</v>
      </c>
      <c r="J622" s="393" t="n">
        <f aca="false">SUM(H622:I622)</f>
        <v>0</v>
      </c>
      <c r="K622" s="263"/>
      <c r="L622" s="183" t="n">
        <f aca="false">SUMIFS(報告入力!$BC$7:$BC$696,報告入力!$A$7:$A$696,$S$587,報告入力!$B$7:$B$696,$A622)</f>
        <v>0</v>
      </c>
      <c r="M622" s="393" t="n">
        <f aca="false">SUM(K622:L622)</f>
        <v>0</v>
      </c>
      <c r="N622" s="263"/>
      <c r="O622" s="183" t="n">
        <f aca="false">SUMIFS(報告入力!$BE$7:$BE$696,報告入力!$A$7:$A$696,$S$587,報告入力!$B$7:$B$696,$A622)</f>
        <v>0</v>
      </c>
      <c r="P622" s="393" t="n">
        <f aca="false">SUM(N622:O622)</f>
        <v>0</v>
      </c>
      <c r="Q622" s="110" t="str">
        <f aca="false">IF(P557=P622,"〇","×")</f>
        <v>〇</v>
      </c>
      <c r="R622" s="110" t="str">
        <f aca="false">IFERROR(INDEX(報告入力!$C$7:$C$696,MATCH($S$587&amp;"|"&amp;$A622,報告入力!$CG$7:$CG$696,0)),"")</f>
        <v>未受領</v>
      </c>
    </row>
    <row r="623" s="110" customFormat="true" ht="20.1" hidden="false" customHeight="true" outlineLevel="0" collapsed="false">
      <c r="A623" s="100" t="s">
        <v>188</v>
      </c>
      <c r="B623" s="186"/>
      <c r="C623" s="193"/>
      <c r="D623" s="362" t="n">
        <f aca="false">SUMIFS(報告入力!$AW$7:$AW$696,報告入力!$A$7:$A$696,$S$587,報告入力!$B$7:$B$696,$A623)</f>
        <v>847292</v>
      </c>
      <c r="E623" s="182" t="n">
        <f aca="false">SUMIFS(報告入力!$AX$7:$AX$696,報告入力!$A$7:$A$696,$S$587,報告入力!$B$7:$B$696,$A623)</f>
        <v>69448</v>
      </c>
      <c r="F623" s="368" t="n">
        <f aca="false">SUMIFS(報告入力!$AY$7:$AY$696,報告入力!$A$7:$A$696,$S$587,報告入力!$B$7:$B$696,$A623)</f>
        <v>867</v>
      </c>
      <c r="G623" s="181" t="n">
        <f aca="false">SUM(B623:F623)</f>
        <v>917607</v>
      </c>
      <c r="H623" s="263"/>
      <c r="I623" s="183" t="n">
        <f aca="false">SUMIFS(報告入力!$BA$7:$BA$696,報告入力!$A$7:$A$696,$S$587,報告入力!$B$7:$B$696,$A623)</f>
        <v>510316</v>
      </c>
      <c r="J623" s="393" t="n">
        <f aca="false">SUM(H623:I623)</f>
        <v>510316</v>
      </c>
      <c r="K623" s="201"/>
      <c r="L623" s="182" t="n">
        <f aca="false">SUMIFS(報告入力!$BC$7:$BC$696,報告入力!$A$7:$A$696,$S$587,報告入力!$B$7:$B$696,$A623)</f>
        <v>73152</v>
      </c>
      <c r="M623" s="218" t="n">
        <f aca="false">SUM(K623:L623)</f>
        <v>73152</v>
      </c>
      <c r="N623" s="201"/>
      <c r="O623" s="182" t="n">
        <f aca="false">SUMIFS(報告入力!$BE$7:$BE$696,報告入力!$A$7:$A$696,$S$587,報告入力!$B$7:$B$696,$A623)</f>
        <v>1</v>
      </c>
      <c r="P623" s="218" t="n">
        <f aca="false">SUM(N623:O623)</f>
        <v>1</v>
      </c>
      <c r="Q623" s="110" t="str">
        <f aca="false">IF(P558=P623,"〇","×")</f>
        <v>〇</v>
      </c>
      <c r="R623" s="110" t="str">
        <f aca="false">IFERROR(INDEX(報告入力!$C$7:$C$696,MATCH($S$587&amp;"|"&amp;$A623,報告入力!$CG$7:$CG$696,0)),"")</f>
        <v>未受領</v>
      </c>
    </row>
    <row r="624" s="110" customFormat="true" ht="20.1" hidden="false" customHeight="true" outlineLevel="0" collapsed="false">
      <c r="A624" s="121" t="s">
        <v>189</v>
      </c>
      <c r="B624" s="215" t="n">
        <f aca="false">SUMIFS(報告入力!$AU$7:$AU$696,報告入力!$A$7:$A$696,$S$587,報告入力!$B$7:$B$696,$A624)</f>
        <v>281910</v>
      </c>
      <c r="C624" s="212" t="n">
        <f aca="false">SUMIFS(報告入力!$AV$7:$AV$696,報告入力!$A$7:$A$696,$S$587,報告入力!$B$7:$B$696,$A624)</f>
        <v>23106</v>
      </c>
      <c r="D624" s="178" t="n">
        <f aca="false">SUMIFS(報告入力!$AW$7:$AW$696,報告入力!$A$7:$A$696,$S$587,報告入力!$B$7:$B$696,$A624)</f>
        <v>281913</v>
      </c>
      <c r="E624" s="182" t="n">
        <f aca="false">SUMIFS(報告入力!$AX$7:$AX$696,報告入力!$A$7:$A$696,$S$587,報告入力!$B$7:$B$696,$A624)</f>
        <v>23107</v>
      </c>
      <c r="F624" s="212" t="n">
        <f aca="false">SUMIFS(報告入力!$AY$7:$AY$696,報告入力!$A$7:$A$696,$S$587,報告入力!$B$7:$B$696,$A624)</f>
        <v>289</v>
      </c>
      <c r="G624" s="181" t="n">
        <f aca="false">SUM(B624:F624)</f>
        <v>610325</v>
      </c>
      <c r="H624" s="215" t="n">
        <f aca="false">SUMIFS(報告入力!$AZ$7:$AZ$696,報告入力!$A$7:$A$696,$S$587,報告入力!$B$7:$B$696,$A624)</f>
        <v>169484</v>
      </c>
      <c r="I624" s="183" t="n">
        <f aca="false">SUMIFS(報告入力!$BA$7:$BA$696,報告入力!$A$7:$A$696,$S$587,報告入力!$B$7:$B$696,$A624)</f>
        <v>169793</v>
      </c>
      <c r="J624" s="393" t="n">
        <f aca="false">SUM(H624:I624)</f>
        <v>339277</v>
      </c>
      <c r="K624" s="178" t="n">
        <f aca="false">SUMIFS(報告入力!$BB$7:$BB$696,報告入力!$A$7:$A$696,$S$587,報告入力!$B$7:$B$696,$A624)</f>
        <v>18233</v>
      </c>
      <c r="L624" s="362" t="n">
        <f aca="false">SUMIFS(報告入力!$BC$7:$BC$696,報告入力!$A$7:$A$696,$S$587,報告入力!$B$7:$B$696,$A624)</f>
        <v>18233</v>
      </c>
      <c r="M624" s="181" t="n">
        <f aca="false">SUM(K624:L624)</f>
        <v>36466</v>
      </c>
      <c r="N624" s="178" t="n">
        <f aca="false">SUMIFS(報告入力!$BD$7:$BD$696,報告入力!$A$7:$A$696,$S$587,報告入力!$B$7:$B$696,$A624)</f>
        <v>1</v>
      </c>
      <c r="O624" s="362" t="n">
        <f aca="false">SUMIFS(報告入力!$BE$7:$BE$696,報告入力!$A$7:$A$696,$S$587,報告入力!$B$7:$B$696,$A624)</f>
        <v>1</v>
      </c>
      <c r="P624" s="181" t="n">
        <f aca="false">SUM(N624:O624)</f>
        <v>2</v>
      </c>
      <c r="Q624" s="110" t="str">
        <f aca="false">IF(P559=P624,"〇","×")</f>
        <v>〇</v>
      </c>
      <c r="R624" s="110" t="str">
        <f aca="false">IFERROR(INDEX(報告入力!$C$7:$C$696,MATCH($S$587&amp;"|"&amp;$A624,報告入力!$CG$7:$CG$696,0)),"")</f>
        <v>未受領</v>
      </c>
    </row>
    <row r="625" s="110" customFormat="true" ht="20.1" hidden="false" customHeight="true" outlineLevel="0" collapsed="false">
      <c r="A625" s="206" t="s">
        <v>190</v>
      </c>
      <c r="B625" s="201"/>
      <c r="C625" s="191"/>
      <c r="D625" s="178" t="n">
        <f aca="false">SUMIFS(報告入力!$AW$7:$AW$696,報告入力!$A$7:$A$696,$S$587,報告入力!$B$7:$B$696,$A625)</f>
        <v>856624</v>
      </c>
      <c r="E625" s="182" t="n">
        <f aca="false">SUMIFS(報告入力!$AX$7:$AX$696,報告入力!$A$7:$A$696,$S$587,報告入力!$B$7:$B$696,$A625)</f>
        <v>70215</v>
      </c>
      <c r="F625" s="212" t="n">
        <f aca="false">SUMIFS(報告入力!$AY$7:$AY$696,報告入力!$A$7:$A$696,$S$587,報告入力!$B$7:$B$696,$A625)</f>
        <v>879</v>
      </c>
      <c r="G625" s="181" t="n">
        <f aca="false">SUM(B625:F625)</f>
        <v>927718</v>
      </c>
      <c r="H625" s="397"/>
      <c r="I625" s="183" t="n">
        <f aca="false">SUMIFS(報告入力!$BA$7:$BA$696,報告入力!$A$7:$A$696,$S$587,報告入力!$B$7:$B$696,$A625)</f>
        <v>515939</v>
      </c>
      <c r="J625" s="393" t="n">
        <f aca="false">SUM(H625:I625)</f>
        <v>515939</v>
      </c>
      <c r="K625" s="186"/>
      <c r="L625" s="182" t="n">
        <f aca="false">SUMIFS(報告入力!$BC$7:$BC$696,報告入力!$A$7:$A$696,$S$587,報告入力!$B$7:$B$696,$A625)</f>
        <v>49343</v>
      </c>
      <c r="M625" s="393" t="n">
        <f aca="false">SUM(K625:L625)</f>
        <v>49343</v>
      </c>
      <c r="N625" s="186"/>
      <c r="O625" s="182" t="n">
        <f aca="false">SUMIFS(報告入力!$BE$7:$BE$696,報告入力!$A$7:$A$696,$S$587,報告入力!$B$7:$B$696,$A625)</f>
        <v>1</v>
      </c>
      <c r="P625" s="393" t="n">
        <f aca="false">SUM(N625:O625)</f>
        <v>1</v>
      </c>
      <c r="Q625" s="110" t="str">
        <f aca="false">IF(P560=P625,"〇","×")</f>
        <v>〇</v>
      </c>
      <c r="R625" s="110" t="str">
        <f aca="false">IFERROR(INDEX(報告入力!$C$7:$C$696,MATCH($S$587&amp;"|"&amp;$A625,報告入力!$CG$7:$CG$696,0)),"")</f>
        <v>未受領</v>
      </c>
    </row>
    <row r="626" s="110" customFormat="true" ht="20.1" hidden="false" customHeight="true" outlineLevel="0" collapsed="false">
      <c r="A626" s="189" t="s">
        <v>191</v>
      </c>
      <c r="B626" s="215" t="n">
        <f aca="false">SUMIFS(報告入力!$AU$7:$AU$696,報告入力!$A$7:$A$696,$S$587,報告入力!$B$7:$B$696,$A626)</f>
        <v>117028</v>
      </c>
      <c r="C626" s="212" t="n">
        <f aca="false">SUMIFS(報告入力!$AV$7:$AV$696,報告入力!$A$7:$A$696,$S$587,報告入力!$B$7:$B$696,$A626)</f>
        <v>9592</v>
      </c>
      <c r="D626" s="178" t="n">
        <f aca="false">SUMIFS(報告入力!$AW$7:$AW$696,報告入力!$A$7:$A$696,$S$587,報告入力!$B$7:$B$696,$A626)</f>
        <v>117029</v>
      </c>
      <c r="E626" s="182" t="n">
        <f aca="false">SUMIFS(報告入力!$AX$7:$AX$696,報告入力!$A$7:$A$696,$S$587,報告入力!$B$7:$B$696,$A626)</f>
        <v>9592</v>
      </c>
      <c r="F626" s="212" t="n">
        <f aca="false">SUMIFS(報告入力!$AY$7:$AY$696,報告入力!$A$7:$A$696,$S$587,報告入力!$B$7:$B$696,$A626)</f>
        <v>120</v>
      </c>
      <c r="G626" s="181" t="n">
        <f aca="false">SUM(B626:F626)</f>
        <v>253361</v>
      </c>
      <c r="H626" s="215" t="n">
        <f aca="false">SUMIFS(報告入力!$AZ$7:$AZ$696,報告入力!$A$7:$A$696,$S$587,報告入力!$B$7:$B$696,$A626)</f>
        <v>70357</v>
      </c>
      <c r="I626" s="183" t="n">
        <f aca="false">SUMIFS(報告入力!$BA$7:$BA$696,報告入力!$A$7:$A$696,$S$587,報告入力!$B$7:$B$696,$A626)</f>
        <v>70485</v>
      </c>
      <c r="J626" s="393" t="n">
        <f aca="false">SUM(H626:I626)</f>
        <v>140842</v>
      </c>
      <c r="K626" s="178" t="n">
        <f aca="false">SUMIFS(報告入力!$BB$7:$BB$696,報告入力!$A$7:$A$696,$S$587,報告入力!$B$7:$B$696,$A626)</f>
        <v>10104</v>
      </c>
      <c r="L626" s="362" t="n">
        <f aca="false">SUMIFS(報告入力!$BC$7:$BC$696,報告入力!$A$7:$A$696,$S$587,報告入力!$B$7:$B$696,$A626)</f>
        <v>10104</v>
      </c>
      <c r="M626" s="181" t="n">
        <f aca="false">SUM(K626:L626)</f>
        <v>20208</v>
      </c>
      <c r="N626" s="178" t="n">
        <f aca="false">SUMIFS(報告入力!$BD$7:$BD$696,報告入力!$A$7:$A$696,$S$587,報告入力!$B$7:$B$696,$A626)</f>
        <v>1</v>
      </c>
      <c r="O626" s="362" t="n">
        <f aca="false">SUMIFS(報告入力!$BE$7:$BE$696,報告入力!$A$7:$A$696,$S$587,報告入力!$B$7:$B$696,$A626)</f>
        <v>1</v>
      </c>
      <c r="P626" s="181" t="n">
        <f aca="false">SUM(N626:O626)</f>
        <v>2</v>
      </c>
      <c r="Q626" s="110" t="str">
        <f aca="false">IF(P561=P626,"〇","×")</f>
        <v>〇</v>
      </c>
      <c r="R626" s="110" t="str">
        <f aca="false">IFERROR(INDEX(報告入力!$C$7:$C$696,MATCH($S$587&amp;"|"&amp;$A626,報告入力!$CG$7:$CG$696,0)),"")</f>
        <v>未受領</v>
      </c>
    </row>
    <row r="627" s="110" customFormat="true" ht="20.1" hidden="false" customHeight="true" outlineLevel="0" collapsed="false">
      <c r="A627" s="189" t="s">
        <v>192</v>
      </c>
      <c r="B627" s="215" t="n">
        <f aca="false">SUMIFS(報告入力!$AU$7:$AU$696,報告入力!$A$7:$A$696,$S$587,報告入力!$B$7:$B$696,$A627)</f>
        <v>137250</v>
      </c>
      <c r="C627" s="212" t="n">
        <f aca="false">SUMIFS(報告入力!$AV$7:$AV$696,報告入力!$A$7:$A$696,$S$587,報告入力!$B$7:$B$696,$A627)</f>
        <v>11250</v>
      </c>
      <c r="D627" s="178" t="n">
        <f aca="false">SUMIFS(報告入力!$AW$7:$AW$696,報告入力!$A$7:$A$696,$S$587,報告入力!$B$7:$B$696,$A627)</f>
        <v>137250</v>
      </c>
      <c r="E627" s="182" t="n">
        <f aca="false">SUMIFS(報告入力!$AX$7:$AX$696,報告入力!$A$7:$A$696,$S$587,報告入力!$B$7:$B$696,$A627)</f>
        <v>11250</v>
      </c>
      <c r="F627" s="212" t="n">
        <f aca="false">SUMIFS(報告入力!$AY$7:$AY$696,報告入力!$A$7:$A$696,$S$587,報告入力!$B$7:$B$696,$A627)</f>
        <v>140</v>
      </c>
      <c r="G627" s="181" t="n">
        <f aca="false">SUM(B627:F627)</f>
        <v>297140</v>
      </c>
      <c r="H627" s="215" t="n">
        <f aca="false">SUMIFS(報告入力!$AZ$7:$AZ$696,報告入力!$A$7:$A$696,$S$587,報告入力!$B$7:$B$696,$A627)</f>
        <v>85375</v>
      </c>
      <c r="I627" s="183" t="n">
        <f aca="false">SUMIFS(報告入力!$BA$7:$BA$696,報告入力!$A$7:$A$696,$S$587,報告入力!$B$7:$B$696,$A627)</f>
        <v>85530</v>
      </c>
      <c r="J627" s="393" t="n">
        <f aca="false">SUM(H627:I627)</f>
        <v>170905</v>
      </c>
      <c r="K627" s="178" t="n">
        <f aca="false">SUMIFS(報告入力!$BB$7:$BB$696,報告入力!$A$7:$A$696,$S$587,報告入力!$B$7:$B$696,$A627)</f>
        <v>12260</v>
      </c>
      <c r="L627" s="362" t="n">
        <f aca="false">SUMIFS(報告入力!$BC$7:$BC$696,報告入力!$A$7:$A$696,$S$587,報告入力!$B$7:$B$696,$A627)</f>
        <v>12260</v>
      </c>
      <c r="M627" s="181" t="n">
        <f aca="false">SUM(K627:L627)</f>
        <v>24520</v>
      </c>
      <c r="N627" s="178" t="n">
        <f aca="false">SUMIFS(報告入力!$BD$7:$BD$696,報告入力!$A$7:$A$696,$S$587,報告入力!$B$7:$B$696,$A627)</f>
        <v>1</v>
      </c>
      <c r="O627" s="362" t="n">
        <f aca="false">SUMIFS(報告入力!$BE$7:$BE$696,報告入力!$A$7:$A$696,$S$587,報告入力!$B$7:$B$696,$A627)</f>
        <v>1</v>
      </c>
      <c r="P627" s="181" t="n">
        <f aca="false">SUM(N627:O627)</f>
        <v>2</v>
      </c>
      <c r="Q627" s="110" t="str">
        <f aca="false">IF(P562=P627,"〇","×")</f>
        <v>〇</v>
      </c>
      <c r="R627" s="110" t="str">
        <f aca="false">IFERROR(INDEX(報告入力!$C$7:$C$696,MATCH($S$587&amp;"|"&amp;$A627,報告入力!$CG$7:$CG$696,0)),"")</f>
        <v>未受領</v>
      </c>
    </row>
    <row r="628" s="110" customFormat="true" ht="20.1" hidden="false" customHeight="true" outlineLevel="0" collapsed="false">
      <c r="A628" s="189" t="s">
        <v>193</v>
      </c>
      <c r="B628" s="215" t="n">
        <f aca="false">SUMIFS(報告入力!$AU$7:$AU$696,報告入力!$A$7:$A$696,$S$587,報告入力!$B$7:$B$696,$A628)</f>
        <v>110989</v>
      </c>
      <c r="C628" s="212" t="n">
        <f aca="false">SUMIFS(報告入力!$AV$7:$AV$696,報告入力!$A$7:$A$696,$S$587,報告入力!$B$7:$B$696,$A628)</f>
        <v>9097</v>
      </c>
      <c r="D628" s="178" t="n">
        <f aca="false">SUMIFS(報告入力!$AW$7:$AW$696,報告入力!$A$7:$A$696,$S$587,報告入力!$B$7:$B$696,$A628)</f>
        <v>110990</v>
      </c>
      <c r="E628" s="182" t="n">
        <f aca="false">SUMIFS(報告入力!$AX$7:$AX$696,報告入力!$A$7:$A$696,$S$587,報告入力!$B$7:$B$696,$A628)</f>
        <v>9097</v>
      </c>
      <c r="F628" s="212" t="n">
        <f aca="false">SUMIFS(報告入力!$AY$7:$AY$696,報告入力!$A$7:$A$696,$S$587,報告入力!$B$7:$B$696,$A628)</f>
        <v>113</v>
      </c>
      <c r="G628" s="181" t="n">
        <f aca="false">SUM(B628:F628)</f>
        <v>240286</v>
      </c>
      <c r="H628" s="215" t="n">
        <f aca="false">SUMIFS(報告入力!$AZ$7:$AZ$696,報告入力!$A$7:$A$696,$S$587,報告入力!$B$7:$B$696,$A628)</f>
        <v>66727</v>
      </c>
      <c r="I628" s="183" t="n">
        <f aca="false">SUMIFS(報告入力!$BA$7:$BA$696,報告入力!$A$7:$A$696,$S$587,報告入力!$B$7:$B$696,$A628)</f>
        <v>66848</v>
      </c>
      <c r="J628" s="393" t="n">
        <f aca="false">SUM(H628:I628)</f>
        <v>133575</v>
      </c>
      <c r="K628" s="178" t="n">
        <f aca="false">SUMIFS(報告入力!$BB$7:$BB$696,報告入力!$A$7:$A$696,$S$587,報告入力!$B$7:$B$696,$A628)</f>
        <v>0</v>
      </c>
      <c r="L628" s="362" t="n">
        <f aca="false">SUMIFS(報告入力!$BC$7:$BC$696,報告入力!$A$7:$A$696,$S$587,報告入力!$B$7:$B$696,$A628)</f>
        <v>0</v>
      </c>
      <c r="M628" s="181" t="n">
        <f aca="false">SUM(K628:L628)</f>
        <v>0</v>
      </c>
      <c r="N628" s="178" t="n">
        <f aca="false">SUMIFS(報告入力!$BD$7:$BD$696,報告入力!$A$7:$A$696,$S$587,報告入力!$B$7:$B$696,$A628)</f>
        <v>1</v>
      </c>
      <c r="O628" s="362" t="n">
        <f aca="false">SUMIFS(報告入力!$BE$7:$BE$696,報告入力!$A$7:$A$696,$S$587,報告入力!$B$7:$B$696,$A628)</f>
        <v>1</v>
      </c>
      <c r="P628" s="181" t="n">
        <f aca="false">SUM(N628:O628)</f>
        <v>2</v>
      </c>
      <c r="Q628" s="110" t="str">
        <f aca="false">IF(P563=P628,"〇","×")</f>
        <v>〇</v>
      </c>
      <c r="R628" s="110" t="str">
        <f aca="false">IFERROR(INDEX(報告入力!$C$7:$C$696,MATCH($S$587&amp;"|"&amp;$A628,報告入力!$CG$7:$CG$696,0)),"")</f>
        <v>未受領</v>
      </c>
    </row>
    <row r="629" s="110" customFormat="true" ht="20.1" hidden="false" customHeight="true" outlineLevel="0" collapsed="false">
      <c r="A629" s="121" t="s">
        <v>194</v>
      </c>
      <c r="B629" s="215" t="n">
        <f aca="false">SUMIFS(報告入力!$AU$7:$AU$696,報告入力!$A$7:$A$696,$S$587,報告入力!$B$7:$B$696,$A629)</f>
        <v>2224906</v>
      </c>
      <c r="C629" s="212" t="n">
        <f aca="false">SUMIFS(報告入力!$AV$7:$AV$696,報告入力!$A$7:$A$696,$S$587,報告入力!$B$7:$B$696,$A629)</f>
        <v>182362</v>
      </c>
      <c r="D629" s="178" t="n">
        <f aca="false">SUMIFS(報告入力!$AW$7:$AW$696,報告入力!$A$7:$A$696,$S$587,報告入力!$B$7:$B$696,$A629)</f>
        <v>2224922</v>
      </c>
      <c r="E629" s="182" t="n">
        <f aca="false">SUMIFS(報告入力!$AX$7:$AX$696,報告入力!$A$7:$A$696,$S$587,報告入力!$B$7:$B$696,$A629)</f>
        <v>182370</v>
      </c>
      <c r="F629" s="212" t="n">
        <f aca="false">SUMIFS(報告入力!$AY$7:$AY$696,報告入力!$A$7:$A$696,$S$587,報告入力!$B$7:$B$696,$A629)</f>
        <v>2370</v>
      </c>
      <c r="G629" s="181" t="n">
        <f aca="false">SUM(B629:F629)</f>
        <v>4816930</v>
      </c>
      <c r="H629" s="215" t="n">
        <f aca="false">SUMIFS(報告入力!$AZ$7:$AZ$696,報告入力!$A$7:$A$696,$S$587,報告入力!$B$7:$B$696,$A629)</f>
        <v>1337610</v>
      </c>
      <c r="I629" s="183" t="n">
        <f aca="false">SUMIFS(報告入力!$BA$7:$BA$696,報告入力!$A$7:$A$696,$S$587,報告入力!$B$7:$B$696,$A629)</f>
        <v>1340149</v>
      </c>
      <c r="J629" s="393" t="n">
        <f aca="false">SUM(H629:I629)</f>
        <v>2677759</v>
      </c>
      <c r="K629" s="178" t="n">
        <f aca="false">SUMIFS(報告入力!$BB$7:$BB$696,報告入力!$A$7:$A$696,$S$587,報告入力!$B$7:$B$696,$A629)</f>
        <v>125563</v>
      </c>
      <c r="L629" s="362" t="n">
        <f aca="false">SUMIFS(報告入力!$BC$7:$BC$696,報告入力!$A$7:$A$696,$S$587,報告入力!$B$7:$B$696,$A629)</f>
        <v>125570</v>
      </c>
      <c r="M629" s="181" t="n">
        <f aca="false">SUM(K629:L629)</f>
        <v>251133</v>
      </c>
      <c r="N629" s="178" t="n">
        <f aca="false">SUMIFS(報告入力!$BD$7:$BD$696,報告入力!$A$7:$A$696,$S$587,報告入力!$B$7:$B$696,$A629)</f>
        <v>1</v>
      </c>
      <c r="O629" s="362" t="n">
        <f aca="false">SUMIFS(報告入力!$BE$7:$BE$696,報告入力!$A$7:$A$696,$S$587,報告入力!$B$7:$B$696,$A629)</f>
        <v>1</v>
      </c>
      <c r="P629" s="181" t="n">
        <f aca="false">SUM(N629:O629)</f>
        <v>2</v>
      </c>
      <c r="Q629" s="110" t="str">
        <f aca="false">IF(P564=P629,"〇","×")</f>
        <v>〇</v>
      </c>
      <c r="R629" s="110" t="str">
        <f aca="false">IFERROR(INDEX(報告入力!$C$7:$C$696,MATCH($S$587&amp;"|"&amp;$A629,報告入力!$CG$7:$CG$696,0)),"")</f>
        <v>未受領</v>
      </c>
    </row>
    <row r="630" s="110" customFormat="true" ht="20.1" hidden="false" customHeight="true" outlineLevel="0" collapsed="false">
      <c r="A630" s="121" t="s">
        <v>195</v>
      </c>
      <c r="B630" s="201"/>
      <c r="C630" s="191"/>
      <c r="D630" s="215" t="n">
        <f aca="false">SUMIFS(報告入力!$AW$7:$AW$696,報告入力!$A$7:$A$696,$S$587,報告入力!$B$7:$B$696,$A630)</f>
        <v>438378</v>
      </c>
      <c r="E630" s="213" t="n">
        <f aca="false">SUMIFS(報告入力!$AX$7:$AX$696,報告入力!$A$7:$A$696,$S$587,報告入力!$B$7:$B$696,$A630)</f>
        <v>35932</v>
      </c>
      <c r="F630" s="368" t="n">
        <f aca="false">SUMIFS(報告入力!$AY$7:$AY$696,報告入力!$A$7:$A$696,$S$587,報告入力!$B$7:$B$696,$A630)</f>
        <v>449</v>
      </c>
      <c r="G630" s="181" t="n">
        <f aca="false">SUM(B630:F630)</f>
        <v>474759</v>
      </c>
      <c r="H630" s="397"/>
      <c r="I630" s="214" t="n">
        <f aca="false">SUMIFS(報告入力!$BA$7:$BA$696,報告入力!$A$7:$A$696,$S$587,報告入力!$B$7:$B$696,$A630)</f>
        <v>276211</v>
      </c>
      <c r="J630" s="135" t="n">
        <f aca="false">SUM(H630:I630)</f>
        <v>276211</v>
      </c>
      <c r="K630" s="397"/>
      <c r="L630" s="214" t="n">
        <f aca="false">SUMIFS(報告入力!$BC$7:$BC$696,報告入力!$A$7:$A$696,$S$587,報告入力!$B$7:$B$696,$A630)</f>
        <v>21622</v>
      </c>
      <c r="M630" s="135" t="n">
        <f aca="false">SUM(K630:L630)</f>
        <v>21622</v>
      </c>
      <c r="N630" s="397"/>
      <c r="O630" s="214" t="n">
        <f aca="false">SUMIFS(報告入力!$BE$7:$BE$696,報告入力!$A$7:$A$696,$S$587,報告入力!$B$7:$B$696,$A630)</f>
        <v>1</v>
      </c>
      <c r="P630" s="135" t="n">
        <f aca="false">SUM(N630:O630)</f>
        <v>1</v>
      </c>
      <c r="Q630" s="110" t="str">
        <f aca="false">IF(P565=P630,"〇","×")</f>
        <v>〇</v>
      </c>
      <c r="R630" s="110" t="str">
        <f aca="false">IFERROR(INDEX(報告入力!$C$7:$C$696,MATCH($S$587&amp;"|"&amp;$A630,報告入力!$CG$7:$CG$696,0)),"")</f>
        <v>未受領</v>
      </c>
    </row>
    <row r="631" s="110" customFormat="true" ht="19.5" hidden="false" customHeight="true" outlineLevel="0" collapsed="false">
      <c r="A631" s="207" t="s">
        <v>196</v>
      </c>
      <c r="B631" s="215" t="n">
        <f aca="false">SUMIFS(報告入力!$AU$7:$AU$696,報告入力!$A$7:$A$696,$S$587,報告入力!$B$7:$B$696,$A631)</f>
        <v>206247320</v>
      </c>
      <c r="C631" s="212" t="n">
        <f aca="false">SUMIFS(報告入力!$AV$7:$AV$696,報告入力!$A$7:$A$696,$S$587,報告入力!$B$7:$B$696,$A631)</f>
        <v>16904936</v>
      </c>
      <c r="D631" s="178" t="n">
        <f aca="false">SUMIFS(報告入力!$AW$7:$AW$696,報告入力!$A$7:$A$696,$S$587,報告入力!$B$7:$B$696,$A631)</f>
        <v>301635254</v>
      </c>
      <c r="E631" s="182" t="n">
        <f aca="false">SUMIFS(報告入力!$AX$7:$AX$696,報告入力!$A$7:$A$696,$S$587,報告入力!$B$7:$B$696,$A631)</f>
        <v>16904936</v>
      </c>
      <c r="F631" s="212" t="n">
        <f aca="false">SUMIFS(報告入力!$AY$7:$AY$696,報告入力!$A$7:$A$696,$S$587,報告入力!$B$7:$B$696,$A631)</f>
        <v>215827</v>
      </c>
      <c r="G631" s="181" t="n">
        <f aca="false">SUM(B631:F631)</f>
        <v>541908273</v>
      </c>
      <c r="H631" s="215" t="n">
        <f aca="false">SUMIFS(報告入力!$AZ$7:$AZ$696,報告入力!$A$7:$A$696,$S$587,報告入力!$B$7:$B$696,$A631)</f>
        <v>131697105</v>
      </c>
      <c r="I631" s="214" t="n">
        <f aca="false">SUMIFS(報告入力!$BA$7:$BA$696,報告入力!$A$7:$A$696,$S$587,報告入力!$B$7:$B$696,$A631)</f>
        <v>131936571</v>
      </c>
      <c r="J631" s="135" t="n">
        <f aca="false">SUM(H631:I631)</f>
        <v>263633676</v>
      </c>
      <c r="K631" s="215" t="n">
        <f aca="false">SUMIFS(報告入力!$BB$7:$BB$696,報告入力!$A$7:$A$696,$S$587,報告入力!$B$7:$B$696,$A631)</f>
        <v>11352393</v>
      </c>
      <c r="L631" s="214" t="n">
        <f aca="false">SUMIFS(報告入力!$BC$7:$BC$696,報告入力!$A$7:$A$696,$S$587,報告入力!$B$7:$B$696,$A631)</f>
        <v>11352393</v>
      </c>
      <c r="M631" s="135" t="n">
        <f aca="false">SUM(K631:L631)</f>
        <v>22704786</v>
      </c>
      <c r="N631" s="215" t="n">
        <f aca="false">SUMIFS(報告入力!$BD$7:$BD$696,報告入力!$A$7:$A$696,$S$587,報告入力!$B$7:$B$696,$A631)</f>
        <v>1</v>
      </c>
      <c r="O631" s="214" t="n">
        <f aca="false">SUMIFS(報告入力!$BE$7:$BE$696,報告入力!$A$7:$A$696,$S$587,報告入力!$B$7:$B$696,$A631)</f>
        <v>1</v>
      </c>
      <c r="P631" s="135" t="n">
        <f aca="false">SUM(N631:O631)</f>
        <v>2</v>
      </c>
      <c r="Q631" s="110" t="str">
        <f aca="false">IF(P566=P631,"〇","×")</f>
        <v>〇</v>
      </c>
      <c r="R631" s="110" t="str">
        <f aca="false">IFERROR(INDEX(報告入力!$C$7:$C$696,MATCH($S$587&amp;"|"&amp;$A631,報告入力!$CG$7:$CG$696,0)),"")</f>
        <v>未受領</v>
      </c>
    </row>
    <row r="632" s="137" customFormat="true" ht="21.75" hidden="false" customHeight="true" outlineLevel="0" collapsed="false">
      <c r="A632" s="374" t="s">
        <v>197</v>
      </c>
      <c r="B632" s="127"/>
      <c r="C632" s="131"/>
      <c r="D632" s="127"/>
      <c r="E632" s="209"/>
      <c r="F632" s="131"/>
      <c r="G632" s="210" t="n">
        <f aca="false">SUM(B632:F632)</f>
        <v>0</v>
      </c>
      <c r="H632" s="213" t="n">
        <f aca="false">SUMIFS(報告入力!$AZ$7:$AZ$696,報告入力!$A$7:$A$696,$S$587,報告入力!$B$7:$B$696,$A632)</f>
        <v>129546</v>
      </c>
      <c r="I632" s="370" t="n">
        <f aca="false">SUMIFS(報告入力!$BA$7:$BA$696,報告入力!$A$7:$A$696,$S$587,報告入力!$B$7:$B$696,$A632)</f>
        <v>129782</v>
      </c>
      <c r="J632" s="135" t="n">
        <f aca="false">SUM(H632:I632)</f>
        <v>259328</v>
      </c>
      <c r="K632" s="215" t="n">
        <f aca="false">SUMIFS(報告入力!$BB$7:$BB$696,報告入力!$A$7:$A$696,$S$587,報告入力!$B$7:$B$696,$A632)</f>
        <v>13041</v>
      </c>
      <c r="L632" s="370" t="n">
        <f aca="false">SUMIFS(報告入力!$BC$7:$BC$696,報告入力!$A$7:$A$696,$S$587,報告入力!$B$7:$B$696,$A632)</f>
        <v>13042</v>
      </c>
      <c r="M632" s="135" t="n">
        <f aca="false">SUM(K632:L632)</f>
        <v>26083</v>
      </c>
      <c r="N632" s="215" t="n">
        <f aca="false">SUMIFS(報告入力!$BD$7:$BD$696,報告入力!$A$7:$A$696,$S$587,報告入力!$B$7:$B$696,$A632)</f>
        <v>1</v>
      </c>
      <c r="O632" s="370" t="n">
        <f aca="false">SUMIFS(報告入力!$BE$7:$BE$696,報告入力!$A$7:$A$696,$S$587,報告入力!$B$7:$B$696,$A632)</f>
        <v>1</v>
      </c>
      <c r="P632" s="135" t="n">
        <f aca="false">SUM(N632:O632)</f>
        <v>2</v>
      </c>
      <c r="Q632" s="137" t="str">
        <f aca="false">IF(P567=P632,"〇","×")</f>
        <v>〇</v>
      </c>
      <c r="R632" s="137" t="str">
        <f aca="false">IFERROR(INDEX(報告入力!$C$7:$C$696,MATCH($S$587&amp;"|"&amp;$A632,報告入力!$CG$7:$CG$696,0)),"")</f>
        <v>未受領</v>
      </c>
    </row>
    <row r="633" s="137" customFormat="true" ht="21.75" hidden="false" customHeight="true" outlineLevel="0" collapsed="false">
      <c r="A633" s="211" t="s">
        <v>216</v>
      </c>
      <c r="B633" s="311"/>
      <c r="C633" s="330"/>
      <c r="D633" s="311"/>
      <c r="E633" s="309"/>
      <c r="F633" s="331"/>
      <c r="G633" s="302" t="n">
        <f aca="false">SUM(B633:F633)</f>
        <v>0</v>
      </c>
      <c r="H633" s="311"/>
      <c r="I633" s="310"/>
      <c r="J633" s="305" t="n">
        <f aca="false">SUM(H633:I633)</f>
        <v>0</v>
      </c>
      <c r="K633" s="311"/>
      <c r="L633" s="310"/>
      <c r="M633" s="305" t="n">
        <f aca="false">SUM(K633:L633)</f>
        <v>0</v>
      </c>
      <c r="N633" s="311"/>
      <c r="O633" s="310"/>
      <c r="P633" s="305" t="n">
        <f aca="false">SUM(N633:O633)</f>
        <v>0</v>
      </c>
      <c r="Q633" s="137" t="str">
        <f aca="false">IF(P568=P633,"〇","×")</f>
        <v>〇</v>
      </c>
      <c r="R633" s="137" t="str">
        <f aca="false">IFERROR(INDEX(報告入力!$C$7:$C$696,MATCH($S$587&amp;"|"&amp;$A633,報告入力!$CG$7:$CG$696,0)),"")</f>
        <v>報告なし</v>
      </c>
    </row>
    <row r="634" s="137" customFormat="true" ht="21.75" hidden="false" customHeight="true" outlineLevel="0" collapsed="false">
      <c r="A634" s="211" t="s">
        <v>199</v>
      </c>
      <c r="B634" s="215" t="n">
        <f aca="false">SUMIFS(報告入力!$AU$7:$AU$696,報告入力!$A$7:$A$696,$S$587,報告入力!$B$7:$B$696,$A634)</f>
        <v>137250</v>
      </c>
      <c r="C634" s="367" t="n">
        <f aca="false">SUMIFS(報告入力!$AV$7:$AV$696,報告入力!$A$7:$A$696,$S$587,報告入力!$B$7:$B$696,$A634)</f>
        <v>11250</v>
      </c>
      <c r="D634" s="215" t="n">
        <f aca="false">SUMIFS(報告入力!$AW$7:$AW$696,報告入力!$A$7:$A$696,$S$587,報告入力!$B$7:$B$696,$A634)</f>
        <v>137250</v>
      </c>
      <c r="E634" s="213" t="n">
        <f aca="false">SUMIFS(報告入力!$AX$7:$AX$696,報告入力!$A$7:$A$696,$S$587,報告入力!$B$7:$B$696,$A634)</f>
        <v>11250</v>
      </c>
      <c r="F634" s="368" t="n">
        <f aca="false">SUMIFS(報告入力!$AY$7:$AY$696,報告入力!$A$7:$A$696,$S$587,報告入力!$B$7:$B$696,$A634)</f>
        <v>140</v>
      </c>
      <c r="G634" s="181" t="n">
        <f aca="false">SUM(B634:F634)</f>
        <v>297140</v>
      </c>
      <c r="H634" s="215" t="n">
        <f aca="false">SUMIFS(報告入力!$AZ$7:$AZ$696,報告入力!$A$7:$A$696,$S$587,報告入力!$B$7:$B$696,$A634)</f>
        <v>103253</v>
      </c>
      <c r="I634" s="214" t="n">
        <f aca="false">SUMIFS(報告入力!$BA$7:$BA$696,報告入力!$A$7:$A$696,$S$587,報告入力!$B$7:$B$696,$A634)</f>
        <v>103441</v>
      </c>
      <c r="J634" s="135" t="n">
        <f aca="false">SUM(H634:I634)</f>
        <v>206694</v>
      </c>
      <c r="K634" s="215" t="n">
        <f aca="false">SUMIFS(報告入力!$BB$7:$BB$696,報告入力!$A$7:$A$696,$S$587,報告入力!$B$7:$B$696,$A634)</f>
        <v>14828</v>
      </c>
      <c r="L634" s="214" t="n">
        <f aca="false">SUMIFS(報告入力!$BC$7:$BC$696,報告入力!$A$7:$A$696,$S$587,報告入力!$B$7:$B$696,$A634)</f>
        <v>14828</v>
      </c>
      <c r="M634" s="135" t="n">
        <f aca="false">SUM(K634:L634)</f>
        <v>29656</v>
      </c>
      <c r="N634" s="215" t="n">
        <f aca="false">SUMIFS(報告入力!$BD$7:$BD$696,報告入力!$A$7:$A$696,$S$587,報告入力!$B$7:$B$696,$A634)</f>
        <v>1</v>
      </c>
      <c r="O634" s="214" t="n">
        <f aca="false">SUMIFS(報告入力!$BE$7:$BE$696,報告入力!$A$7:$A$696,$S$587,報告入力!$B$7:$B$696,$A634)</f>
        <v>1</v>
      </c>
      <c r="P634" s="135" t="n">
        <f aca="false">SUM(N634:O634)</f>
        <v>2</v>
      </c>
      <c r="Q634" s="137" t="str">
        <f aca="false">IF(P569=P634,"〇","×")</f>
        <v>〇</v>
      </c>
      <c r="R634" s="137" t="str">
        <f aca="false">IFERROR(INDEX(報告入力!$C$7:$C$696,MATCH($S$587&amp;"|"&amp;$A634,報告入力!$CG$7:$CG$696,0)),"")</f>
        <v>未受領</v>
      </c>
    </row>
    <row r="635" s="137" customFormat="true" ht="21.75" hidden="false" customHeight="true" outlineLevel="0" collapsed="false">
      <c r="A635" s="149"/>
      <c r="B635" s="157"/>
      <c r="C635" s="156"/>
      <c r="D635" s="220"/>
      <c r="E635" s="158"/>
      <c r="F635" s="156"/>
      <c r="G635" s="221" t="n">
        <f aca="false">SUM(B635:F635)</f>
        <v>0</v>
      </c>
      <c r="H635" s="160"/>
      <c r="I635" s="158"/>
      <c r="J635" s="223" t="n">
        <f aca="false">SUM(H635:I635)</f>
        <v>0</v>
      </c>
      <c r="K635" s="157"/>
      <c r="L635" s="158"/>
      <c r="M635" s="223" t="n">
        <f aca="false">SUM(K635:L635)</f>
        <v>0</v>
      </c>
      <c r="N635" s="157"/>
      <c r="O635" s="158"/>
      <c r="P635" s="223" t="n">
        <f aca="false">SUM(N635:O635)</f>
        <v>0</v>
      </c>
      <c r="Q635" s="137" t="str">
        <f aca="false">IF(P570=P635,"〇","×")</f>
        <v>〇</v>
      </c>
    </row>
    <row r="636" s="137" customFormat="true" ht="0.2" hidden="false" customHeight="true" outlineLevel="0" collapsed="false">
      <c r="A636" s="149"/>
      <c r="B636" s="157"/>
      <c r="C636" s="156"/>
      <c r="D636" s="220"/>
      <c r="E636" s="158"/>
      <c r="F636" s="156"/>
      <c r="G636" s="221" t="n">
        <f aca="false">SUM(B636:F636)</f>
        <v>0</v>
      </c>
      <c r="H636" s="160"/>
      <c r="I636" s="158"/>
      <c r="J636" s="223" t="n">
        <f aca="false">SUM(H636:I636)</f>
        <v>0</v>
      </c>
      <c r="K636" s="157"/>
      <c r="L636" s="158"/>
      <c r="M636" s="223" t="n">
        <f aca="false">SUM(K636:L636)</f>
        <v>0</v>
      </c>
      <c r="N636" s="157"/>
      <c r="O636" s="158"/>
      <c r="P636" s="223" t="n">
        <f aca="false">SUM(N636:O636)</f>
        <v>0</v>
      </c>
      <c r="Q636" s="137" t="str">
        <f aca="false">IF(P571=P636,"〇","×")</f>
        <v>〇</v>
      </c>
    </row>
    <row r="637" s="137" customFormat="true" ht="0.2" hidden="false" customHeight="true" outlineLevel="0" collapsed="false">
      <c r="A637" s="162"/>
      <c r="B637" s="224"/>
      <c r="C637" s="225"/>
      <c r="D637" s="226"/>
      <c r="E637" s="227"/>
      <c r="F637" s="225"/>
      <c r="G637" s="228"/>
      <c r="H637" s="231"/>
      <c r="I637" s="229"/>
      <c r="J637" s="230"/>
      <c r="K637" s="231"/>
      <c r="L637" s="229"/>
      <c r="M637" s="230"/>
      <c r="N637" s="231"/>
      <c r="O637" s="229"/>
      <c r="P637" s="230"/>
      <c r="Q637" s="137" t="str">
        <f aca="false">IF(P572=P637,"〇","×")</f>
        <v>〇</v>
      </c>
    </row>
    <row r="638" s="110" customFormat="true" ht="20.1" hidden="false" customHeight="true" outlineLevel="0" collapsed="false">
      <c r="A638" s="171" t="s">
        <v>383</v>
      </c>
      <c r="B638" s="408" t="n">
        <f aca="false">SUM(B608:B637)</f>
        <v>211755421</v>
      </c>
      <c r="C638" s="409" t="n">
        <f aca="false">SUM(C608:C637)</f>
        <v>17356405</v>
      </c>
      <c r="D638" s="410" t="n">
        <f aca="false">SUM(D608:D637)</f>
        <v>319294972</v>
      </c>
      <c r="E638" s="411" t="n">
        <f aca="false">SUM(E608:E637)</f>
        <v>18352438</v>
      </c>
      <c r="F638" s="409" t="n">
        <f aca="false">SUM(F608:F637)</f>
        <v>234260</v>
      </c>
      <c r="G638" s="412" t="n">
        <f aca="false">SUM(B638:F638)</f>
        <v>566993496</v>
      </c>
      <c r="H638" s="172" t="n">
        <f aca="false">SUM(H608:H636)</f>
        <v>135161712</v>
      </c>
      <c r="I638" s="173" t="n">
        <f aca="false">SUM(I608:I636)</f>
        <v>142765014</v>
      </c>
      <c r="J638" s="175" t="n">
        <f aca="false">SUM(H638:I638)</f>
        <v>277926726</v>
      </c>
      <c r="K638" s="172" t="n">
        <f aca="false">SUM(K608:K636)</f>
        <v>11677887</v>
      </c>
      <c r="L638" s="173" t="n">
        <f aca="false">SUM(L608:L636)</f>
        <v>12546258</v>
      </c>
      <c r="M638" s="175" t="n">
        <f aca="false">SUM(K638:L638)</f>
        <v>24224145</v>
      </c>
      <c r="N638" s="172" t="n">
        <f aca="false">SUM(N608:N636)</f>
        <v>12</v>
      </c>
      <c r="O638" s="173" t="n">
        <f aca="false">SUM(O608:O636)</f>
        <v>24</v>
      </c>
      <c r="P638" s="175" t="n">
        <f aca="false">SUM(N638:O638)</f>
        <v>36</v>
      </c>
      <c r="Q638" s="110" t="str">
        <f aca="false">IF(P573=P638,"〇","×")</f>
        <v>〇</v>
      </c>
    </row>
    <row r="639" s="137" customFormat="true" ht="0.2" hidden="false" customHeight="true" outlineLevel="0" collapsed="false">
      <c r="A639" s="149" t="s">
        <v>382</v>
      </c>
      <c r="B639" s="413"/>
      <c r="C639" s="390"/>
      <c r="D639" s="388"/>
      <c r="E639" s="389"/>
      <c r="F639" s="414"/>
      <c r="G639" s="364"/>
      <c r="H639" s="398"/>
      <c r="I639" s="236"/>
      <c r="J639" s="237"/>
      <c r="K639" s="238"/>
      <c r="L639" s="239"/>
      <c r="M639" s="240"/>
      <c r="N639" s="238"/>
      <c r="O639" s="239"/>
      <c r="P639" s="240"/>
      <c r="Q639" s="137" t="str">
        <f aca="false">IF(P574=P639,"〇","×")</f>
        <v>〇</v>
      </c>
    </row>
    <row r="640" s="137" customFormat="true" ht="0.2" hidden="false" customHeight="true" outlineLevel="0" collapsed="false">
      <c r="A640" s="241" t="s">
        <v>382</v>
      </c>
      <c r="B640" s="386"/>
      <c r="C640" s="387"/>
      <c r="D640" s="388"/>
      <c r="E640" s="389"/>
      <c r="F640" s="390"/>
      <c r="G640" s="383"/>
      <c r="H640" s="399"/>
      <c r="I640" s="244"/>
      <c r="J640" s="245"/>
      <c r="K640" s="246"/>
      <c r="L640" s="247"/>
      <c r="M640" s="248"/>
      <c r="N640" s="246"/>
      <c r="O640" s="247"/>
      <c r="P640" s="248"/>
      <c r="Q640" s="137" t="str">
        <f aca="false">IF(P575=P640,"〇","×")</f>
        <v>〇</v>
      </c>
    </row>
    <row r="641" s="110" customFormat="true" ht="20.1" hidden="false" customHeight="true" outlineLevel="0" collapsed="false">
      <c r="A641" s="189" t="s">
        <v>200</v>
      </c>
      <c r="B641" s="215" t="n">
        <f aca="false">SUMIFS(報告入力!$AU$7:$AU$696,報告入力!$A$7:$A$696,$S$587,報告入力!$B$7:$B$696,$A641)</f>
        <v>293806</v>
      </c>
      <c r="C641" s="212" t="n">
        <f aca="false">SUMIFS(報告入力!$AV$7:$AV$696,報告入力!$A$7:$A$696,$S$587,報告入力!$B$7:$B$696,$A641)</f>
        <v>24082</v>
      </c>
      <c r="D641" s="178" t="n">
        <f aca="false">SUMIFS(報告入力!$AW$7:$AW$696,報告入力!$A$7:$A$696,$S$587,報告入力!$B$7:$B$696,$A641)</f>
        <v>293807</v>
      </c>
      <c r="E641" s="182" t="n">
        <f aca="false">SUMIFS(報告入力!$AX$7:$AX$696,報告入力!$A$7:$A$696,$S$587,報告入力!$B$7:$B$696,$A641)</f>
        <v>24082</v>
      </c>
      <c r="F641" s="212" t="n">
        <f aca="false">SUMIFS(報告入力!$AY$7:$AY$696,報告入力!$A$7:$A$696,$S$587,報告入力!$B$7:$B$696,$A641)</f>
        <v>301</v>
      </c>
      <c r="G641" s="181" t="n">
        <f aca="false">SUM(B641:F641)</f>
        <v>636078</v>
      </c>
      <c r="H641" s="127"/>
      <c r="I641" s="130"/>
      <c r="J641" s="196" t="n">
        <f aca="false">SUM(H641:I641)</f>
        <v>0</v>
      </c>
      <c r="K641" s="127"/>
      <c r="L641" s="130"/>
      <c r="M641" s="196" t="n">
        <f aca="false">SUM(K641:L641)</f>
        <v>0</v>
      </c>
      <c r="N641" s="127"/>
      <c r="O641" s="130"/>
      <c r="P641" s="196" t="n">
        <f aca="false">SUM(N641:O641)</f>
        <v>0</v>
      </c>
      <c r="Q641" s="110" t="str">
        <f aca="false">IF(P576=P641,"〇","×")</f>
        <v>〇</v>
      </c>
      <c r="R641" s="110" t="str">
        <f aca="false">IFERROR(INDEX(報告入力!$C$7:$C$696,MATCH($S$587&amp;"|"&amp;$A641,報告入力!$CG$7:$CG$696,0)),"")</f>
        <v>未受領</v>
      </c>
    </row>
    <row r="642" s="110" customFormat="true" ht="21.75" hidden="false" customHeight="true" outlineLevel="0" collapsed="false">
      <c r="A642" s="189" t="s">
        <v>201</v>
      </c>
      <c r="B642" s="384" t="n">
        <f aca="false">SUMIFS(報告入力!$AU$7:$AU$696,報告入力!$A$7:$A$696,$S$587,報告入力!$B$7:$B$696,$A642)</f>
        <v>119773</v>
      </c>
      <c r="C642" s="385" t="n">
        <f aca="false">SUMIFS(報告入力!$AV$7:$AV$696,報告入力!$A$7:$A$696,$S$587,報告入力!$B$7:$B$696,$A642)</f>
        <v>9817</v>
      </c>
      <c r="D642" s="400" t="n">
        <f aca="false">SUMIFS(報告入力!$AW$7:$AW$696,報告入力!$A$7:$A$696,$S$587,報告入力!$B$7:$B$696,$A642)</f>
        <v>119774</v>
      </c>
      <c r="E642" s="401" t="n">
        <f aca="false">SUMIFS(報告入力!$AX$7:$AX$696,報告入力!$A$7:$A$696,$S$587,報告入力!$B$7:$B$696,$A642)</f>
        <v>9817</v>
      </c>
      <c r="F642" s="402" t="n">
        <f aca="false">SUMIFS(報告入力!$AY$7:$AY$696,報告入力!$A$7:$A$696,$S$587,報告入力!$B$7:$B$696,$A642)</f>
        <v>122</v>
      </c>
      <c r="G642" s="366" t="n">
        <f aca="false">SUM(B642:F642)</f>
        <v>259303</v>
      </c>
      <c r="H642" s="403"/>
      <c r="I642" s="252"/>
      <c r="J642" s="253" t="n">
        <f aca="false">SUM(H642:I642)</f>
        <v>0</v>
      </c>
      <c r="K642" s="403"/>
      <c r="L642" s="252"/>
      <c r="M642" s="253" t="n">
        <f aca="false">SUM(K642:L642)</f>
        <v>0</v>
      </c>
      <c r="N642" s="403"/>
      <c r="O642" s="252"/>
      <c r="P642" s="253" t="n">
        <f aca="false">SUM(N642:O642)</f>
        <v>0</v>
      </c>
      <c r="Q642" s="110" t="str">
        <f aca="false">IF(P577=P642,"〇","×")</f>
        <v>〇</v>
      </c>
      <c r="R642" s="110" t="str">
        <f aca="false">IFERROR(INDEX(報告入力!$C$7:$C$696,MATCH($S$587&amp;"|"&amp;$A642,報告入力!$CG$7:$CG$696,0)),"")</f>
        <v>未受領</v>
      </c>
    </row>
    <row r="643" s="110" customFormat="true" ht="19.5" hidden="false" customHeight="true" outlineLevel="0" collapsed="false">
      <c r="A643" s="171" t="s">
        <v>383</v>
      </c>
      <c r="B643" s="172" t="n">
        <f aca="false">SUM(B639:B642)</f>
        <v>413579</v>
      </c>
      <c r="C643" s="175" t="n">
        <f aca="false">SUM(C639:C642)</f>
        <v>33899</v>
      </c>
      <c r="D643" s="173" t="n">
        <f aca="false">SUM(D639:D642)</f>
        <v>413581</v>
      </c>
      <c r="E643" s="174" t="n">
        <f aca="false">SUM(E639:E642)</f>
        <v>33899</v>
      </c>
      <c r="F643" s="175" t="n">
        <f aca="false">SUM(F639:F642)</f>
        <v>423</v>
      </c>
      <c r="G643" s="176" t="n">
        <f aca="false">SUM(B643:F643)</f>
        <v>895381</v>
      </c>
      <c r="H643" s="256" t="n">
        <f aca="false">SUM(H639:H642)</f>
        <v>0</v>
      </c>
      <c r="I643" s="257" t="n">
        <f aca="false">SUM(I639:I642)</f>
        <v>0</v>
      </c>
      <c r="J643" s="258" t="n">
        <f aca="false">SUM(H643:I643)</f>
        <v>0</v>
      </c>
      <c r="K643" s="256" t="n">
        <f aca="false">SUM(K639:K642)</f>
        <v>0</v>
      </c>
      <c r="L643" s="257" t="n">
        <f aca="false">SUM(L639:L642)</f>
        <v>0</v>
      </c>
      <c r="M643" s="258" t="n">
        <f aca="false">SUM(K643:L643)</f>
        <v>0</v>
      </c>
      <c r="N643" s="256" t="n">
        <f aca="false">SUM(N639:N642)</f>
        <v>0</v>
      </c>
      <c r="O643" s="257" t="n">
        <f aca="false">SUM(O639:O642)</f>
        <v>0</v>
      </c>
      <c r="P643" s="258" t="n">
        <f aca="false">SUM(N643:O643)</f>
        <v>0</v>
      </c>
      <c r="Q643" s="110" t="str">
        <f aca="false">IF(P578=P643,"〇","×")</f>
        <v>〇</v>
      </c>
    </row>
    <row r="644" s="110" customFormat="true" ht="20.1" hidden="false" customHeight="true" outlineLevel="0" collapsed="false">
      <c r="A644" s="100" t="s">
        <v>202</v>
      </c>
      <c r="B644" s="215" t="n">
        <f aca="false">SUMIFS(報告入力!$AU$7:$AU$696,報告入力!$A$7:$A$696,$S$587,報告入力!$B$7:$B$696,$A644)</f>
        <v>27907</v>
      </c>
      <c r="C644" s="212" t="n">
        <f aca="false">SUMIFS(報告入力!$AV$7:$AV$696,報告入力!$A$7:$A$696,$S$587,報告入力!$B$7:$B$696,$A644)</f>
        <v>2287</v>
      </c>
      <c r="D644" s="178" t="n">
        <f aca="false">SUMIFS(報告入力!$AW$7:$AW$696,報告入力!$A$7:$A$696,$S$587,報告入力!$B$7:$B$696,$A644)</f>
        <v>27908</v>
      </c>
      <c r="E644" s="182" t="n">
        <f aca="false">SUMIFS(報告入力!$AX$7:$AX$696,報告入力!$A$7:$A$696,$S$587,報告入力!$B$7:$B$696,$A644)</f>
        <v>2287</v>
      </c>
      <c r="F644" s="312"/>
      <c r="G644" s="181" t="n">
        <f aca="false">SUM(B644:F644)</f>
        <v>60389</v>
      </c>
      <c r="H644" s="262" t="n">
        <f aca="false">SUMIFS(報告入力!$AZ$7:$AZ$696,報告入力!$A$7:$A$696,$S$587,報告入力!$B$7:$B$696,$A644)</f>
        <v>16778</v>
      </c>
      <c r="I644" s="183" t="n">
        <f aca="false">SUMIFS(報告入力!$BA$7:$BA$696,報告入力!$A$7:$A$696,$S$587,報告入力!$B$7:$B$696,$A644)</f>
        <v>16808</v>
      </c>
      <c r="J644" s="135" t="n">
        <f aca="false">SUM(H644:I644)</f>
        <v>33586</v>
      </c>
      <c r="K644" s="262" t="n">
        <f aca="false">SUMIFS(報告入力!$BB$7:$BB$696,報告入力!$A$7:$A$696,$S$587,報告入力!$B$7:$B$696,$A644)</f>
        <v>2409</v>
      </c>
      <c r="L644" s="183" t="n">
        <f aca="false">SUMIFS(報告入力!$BC$7:$BC$696,報告入力!$A$7:$A$696,$S$587,報告入力!$B$7:$B$696,$A644)</f>
        <v>2409</v>
      </c>
      <c r="M644" s="135" t="n">
        <f aca="false">SUM(K644:L644)</f>
        <v>4818</v>
      </c>
      <c r="N644" s="262" t="n">
        <f aca="false">SUMIFS(報告入力!$BD$7:$BD$696,報告入力!$A$7:$A$696,$S$587,報告入力!$B$7:$B$696,$A644)</f>
        <v>1</v>
      </c>
      <c r="O644" s="183" t="n">
        <f aca="false">SUMIFS(報告入力!$BE$7:$BE$696,報告入力!$A$7:$A$696,$S$587,報告入力!$B$7:$B$696,$A644)</f>
        <v>1</v>
      </c>
      <c r="P644" s="135" t="n">
        <f aca="false">SUM(N644:O644)</f>
        <v>2</v>
      </c>
      <c r="Q644" s="110" t="str">
        <f aca="false">IF(P579=P644,"〇","×")</f>
        <v>〇</v>
      </c>
      <c r="R644" s="110" t="str">
        <f aca="false">IFERROR(INDEX(報告入力!$C$7:$C$696,MATCH($S$587&amp;"|"&amp;$A644,報告入力!$CG$7:$CG$696,0)),"")</f>
        <v>未受領</v>
      </c>
    </row>
    <row r="645" s="110" customFormat="true" ht="20.1" hidden="false" customHeight="true" outlineLevel="0" collapsed="false">
      <c r="A645" s="100" t="s">
        <v>203</v>
      </c>
      <c r="B645" s="215"/>
      <c r="C645" s="212"/>
      <c r="D645" s="178"/>
      <c r="E645" s="182"/>
      <c r="F645" s="312"/>
      <c r="G645" s="181" t="n">
        <f aca="false">SUM(B645:F645)</f>
        <v>0</v>
      </c>
      <c r="H645" s="262"/>
      <c r="I645" s="183"/>
      <c r="J645" s="135" t="n">
        <f aca="false">SUM(H645:I645)</f>
        <v>0</v>
      </c>
      <c r="K645" s="262"/>
      <c r="L645" s="183"/>
      <c r="M645" s="135" t="n">
        <f aca="false">SUM(K645:L645)</f>
        <v>0</v>
      </c>
      <c r="N645" s="262"/>
      <c r="O645" s="183"/>
      <c r="P645" s="135" t="n">
        <f aca="false">SUM(N645:O645)</f>
        <v>0</v>
      </c>
      <c r="Q645" s="110" t="str">
        <f aca="false">IF(P580=P645,"〇","×")</f>
        <v>〇</v>
      </c>
      <c r="R645" s="110" t="str">
        <f aca="false">IFERROR(INDEX(報告入力!$C$7:$C$696,MATCH($S$587&amp;"|"&amp;$A645,報告入力!$CG$7:$CG$696,0)),"")</f>
        <v>報告なし</v>
      </c>
    </row>
    <row r="646" s="110" customFormat="true" ht="20.1" hidden="false" customHeight="true" outlineLevel="0" collapsed="false">
      <c r="A646" s="192" t="s">
        <v>204</v>
      </c>
      <c r="B646" s="178" t="n">
        <f aca="false">SUMIFS(報告入力!$AU$7:$AU$696,報告入力!$A$7:$A$696,$S$587,報告入力!$B$7:$B$696,$A646)</f>
        <v>43005</v>
      </c>
      <c r="C646" s="179" t="n">
        <f aca="false">SUMIFS(報告入力!$AV$7:$AV$696,報告入力!$A$7:$A$696,$S$587,報告入力!$B$7:$B$696,$A646)</f>
        <v>3525</v>
      </c>
      <c r="D646" s="178" t="n">
        <f aca="false">SUMIFS(報告入力!$AW$7:$AW$696,報告入力!$A$7:$A$696,$S$587,報告入力!$B$7:$B$696,$A646)</f>
        <v>43005</v>
      </c>
      <c r="E646" s="415" t="n">
        <f aca="false">SUMIFS(報告入力!$AX$7:$AX$696,報告入力!$A$7:$A$696,$S$587,報告入力!$B$7:$B$696,$A646)</f>
        <v>3525</v>
      </c>
      <c r="F646" s="312"/>
      <c r="G646" s="181" t="n">
        <f aca="false">SUM(B646:F646)</f>
        <v>93060</v>
      </c>
      <c r="H646" s="262" t="n">
        <f aca="false">SUMIFS(報告入力!$AZ$7:$AZ$696,報告入力!$A$7:$A$696,$S$587,報告入力!$B$7:$B$696,$A646)</f>
        <v>39936</v>
      </c>
      <c r="I646" s="183" t="n">
        <f aca="false">SUMIFS(報告入力!$BA$7:$BA$696,報告入力!$A$7:$A$696,$S$587,報告入力!$B$7:$B$696,$A646)</f>
        <v>40009</v>
      </c>
      <c r="J646" s="135" t="n">
        <f aca="false">SUM(H646:I646)</f>
        <v>79945</v>
      </c>
      <c r="K646" s="262" t="n">
        <f aca="false">SUMIFS(報告入力!$BB$7:$BB$696,報告入力!$A$7:$A$696,$S$587,報告入力!$B$7:$B$696,$A646)</f>
        <v>2022</v>
      </c>
      <c r="L646" s="183" t="n">
        <f aca="false">SUMIFS(報告入力!$BC$7:$BC$696,報告入力!$A$7:$A$696,$S$587,報告入力!$B$7:$B$696,$A646)</f>
        <v>2022</v>
      </c>
      <c r="M646" s="135" t="n">
        <f aca="false">SUM(K646:L646)</f>
        <v>4044</v>
      </c>
      <c r="N646" s="262" t="n">
        <f aca="false">SUMIFS(報告入力!$BD$7:$BD$696,報告入力!$A$7:$A$696,$S$587,報告入力!$B$7:$B$696,$A646)</f>
        <v>1</v>
      </c>
      <c r="O646" s="183" t="n">
        <f aca="false">SUMIFS(報告入力!$BE$7:$BE$696,報告入力!$A$7:$A$696,$S$587,報告入力!$B$7:$B$696,$A646)</f>
        <v>1</v>
      </c>
      <c r="P646" s="135" t="n">
        <f aca="false">SUM(N646:O646)</f>
        <v>2</v>
      </c>
      <c r="Q646" s="110" t="str">
        <f aca="false">IF(P581=P646,"〇","×")</f>
        <v>〇</v>
      </c>
      <c r="R646" s="110" t="str">
        <f aca="false">IFERROR(INDEX(報告入力!$C$7:$C$696,MATCH($S$587&amp;"|"&amp;$A646,報告入力!$CG$7:$CG$696,0)),"")</f>
        <v>未受領</v>
      </c>
    </row>
    <row r="647" s="110" customFormat="true" ht="20.1" hidden="false" customHeight="true" outlineLevel="0" collapsed="false">
      <c r="A647" s="192" t="s">
        <v>205</v>
      </c>
      <c r="B647" s="416"/>
      <c r="C647" s="417"/>
      <c r="D647" s="416"/>
      <c r="E647" s="418"/>
      <c r="F647" s="267"/>
      <c r="G647" s="419" t="n">
        <f aca="false">SUM(B647:F647)</f>
        <v>0</v>
      </c>
      <c r="H647" s="334"/>
      <c r="I647" s="333"/>
      <c r="J647" s="284" t="n">
        <f aca="false">SUM(H647:I647)</f>
        <v>0</v>
      </c>
      <c r="K647" s="334"/>
      <c r="L647" s="333"/>
      <c r="M647" s="284" t="n">
        <f aca="false">SUM(K647:L647)</f>
        <v>0</v>
      </c>
      <c r="N647" s="334"/>
      <c r="O647" s="333"/>
      <c r="P647" s="284" t="n">
        <f aca="false">SUM(N647:O647)</f>
        <v>0</v>
      </c>
      <c r="Q647" s="110" t="str">
        <f aca="false">IF(P582=P647,"〇","×")</f>
        <v>〇</v>
      </c>
      <c r="R647" s="110" t="str">
        <f aca="false">IFERROR(INDEX(報告入力!$C$7:$C$696,MATCH($S$587&amp;"|"&amp;$A647,報告入力!$CG$7:$CG$696,0)),"")</f>
        <v>報告なし</v>
      </c>
    </row>
    <row r="648" s="110" customFormat="true" ht="20.1" hidden="false" customHeight="true" outlineLevel="0" collapsed="false">
      <c r="A648" s="171" t="s">
        <v>383</v>
      </c>
      <c r="B648" s="172" t="n">
        <f aca="false">SUM(B644:B647)</f>
        <v>70912</v>
      </c>
      <c r="C648" s="176" t="n">
        <f aca="false">SUM(C644:C647)</f>
        <v>5812</v>
      </c>
      <c r="D648" s="172" t="n">
        <f aca="false">SUM(D644:D647)</f>
        <v>70913</v>
      </c>
      <c r="E648" s="174" t="n">
        <f aca="false">SUM(E644:E647)</f>
        <v>5812</v>
      </c>
      <c r="F648" s="175" t="n">
        <f aca="false">SUM(F644:F647)</f>
        <v>0</v>
      </c>
      <c r="G648" s="176" t="n">
        <f aca="false">SUM(B648:F648)</f>
        <v>153449</v>
      </c>
      <c r="H648" s="404" t="n">
        <f aca="false">SUM(H644:H647)</f>
        <v>56714</v>
      </c>
      <c r="I648" s="174" t="n">
        <f aca="false">SUM(I644:I647)</f>
        <v>56817</v>
      </c>
      <c r="J648" s="175" t="n">
        <f aca="false">SUM(H648:I648)</f>
        <v>113531</v>
      </c>
      <c r="K648" s="172" t="n">
        <f aca="false">SUM(K644:K647)</f>
        <v>4431</v>
      </c>
      <c r="L648" s="276" t="n">
        <f aca="false">SUM(L644:L647)</f>
        <v>4431</v>
      </c>
      <c r="M648" s="175" t="n">
        <f aca="false">SUM(K648:L648)</f>
        <v>8862</v>
      </c>
      <c r="N648" s="172" t="n">
        <f aca="false">SUM(N644:N647)</f>
        <v>2</v>
      </c>
      <c r="O648" s="276" t="n">
        <f aca="false">SUM(O644:O647)</f>
        <v>2</v>
      </c>
      <c r="P648" s="175" t="n">
        <f aca="false">SUM(N648:O648)</f>
        <v>4</v>
      </c>
      <c r="Q648" s="110" t="str">
        <f aca="false">IF(P583=P648,"〇","×")</f>
        <v>〇</v>
      </c>
    </row>
    <row r="649" s="110" customFormat="true" ht="20.1" hidden="false" customHeight="true" outlineLevel="0" collapsed="false">
      <c r="A649" s="277" t="s">
        <v>206</v>
      </c>
      <c r="B649" s="278"/>
      <c r="C649" s="279"/>
      <c r="D649" s="280"/>
      <c r="E649" s="281"/>
      <c r="F649" s="267"/>
      <c r="G649" s="268"/>
      <c r="H649" s="274"/>
      <c r="I649" s="314"/>
      <c r="J649" s="271" t="n">
        <f aca="false">SUM(H649:I649)</f>
        <v>0</v>
      </c>
      <c r="K649" s="274"/>
      <c r="L649" s="314"/>
      <c r="M649" s="271" t="n">
        <f aca="false">SUM(K649:L649)</f>
        <v>0</v>
      </c>
      <c r="N649" s="274"/>
      <c r="O649" s="314"/>
      <c r="P649" s="271" t="n">
        <f aca="false">SUM(N649:O649)</f>
        <v>0</v>
      </c>
      <c r="Q649" s="110" t="str">
        <f aca="false">IF(P584=P649,"〇","×")</f>
        <v>×</v>
      </c>
      <c r="R649" s="110" t="str">
        <f aca="false">IFERROR(INDEX(報告入力!$C$7:$C$696,MATCH($S$587&amp;"|"&amp;$A649,報告入力!$CG$7:$CG$696,0)),"")</f>
        <v>報告なし</v>
      </c>
    </row>
    <row r="650" s="110" customFormat="true" ht="30" hidden="false" customHeight="true" outlineLevel="0" collapsed="false">
      <c r="A650" s="285" t="s">
        <v>385</v>
      </c>
      <c r="B650" s="286" t="n">
        <f aca="false">SUM(+B607+B638+B643+B648+B649)</f>
        <v>870859030</v>
      </c>
      <c r="C650" s="287" t="n">
        <f aca="false">SUM(+C607+C638+C643+C648+C649)</f>
        <v>71390536</v>
      </c>
      <c r="D650" s="286" t="n">
        <f aca="false">SUM(+D607+D638+D643+D648+D649)</f>
        <v>1271133608</v>
      </c>
      <c r="E650" s="288" t="n">
        <f aca="false">SUM(+E607+E638+E643+E648+E649)</f>
        <v>71393944</v>
      </c>
      <c r="F650" s="287" t="n">
        <f aca="false">SUM(+F607+F638+F643+F648+F649)</f>
        <v>905702</v>
      </c>
      <c r="G650" s="289" t="n">
        <f aca="false">SUM(B650:F650)</f>
        <v>2285682820</v>
      </c>
      <c r="H650" s="292" t="n">
        <f aca="false">SUM(+H607+H638+H643+H648+H649)</f>
        <v>628299535</v>
      </c>
      <c r="I650" s="290" t="n">
        <f aca="false">SUM(+I607+I638+I643+I648+I649)</f>
        <v>637398784</v>
      </c>
      <c r="J650" s="291" t="n">
        <f aca="false">SUM(H650:I650)</f>
        <v>1265698319</v>
      </c>
      <c r="K650" s="292" t="n">
        <f aca="false">SUM(+K607+K638+K643+K648+K649)</f>
        <v>56098280</v>
      </c>
      <c r="L650" s="290" t="n">
        <f aca="false">SUM(+L607+L638+L643+L648+L649)</f>
        <v>56103444</v>
      </c>
      <c r="M650" s="291" t="n">
        <f aca="false">SUM(K650:L650)</f>
        <v>112201724</v>
      </c>
      <c r="N650" s="292" t="n">
        <f aca="false">SUM(+N607+N638+N643+N648+N649)</f>
        <v>26</v>
      </c>
      <c r="O650" s="290" t="n">
        <f aca="false">SUM(+O607+O638+O643+O648+O649)</f>
        <v>38</v>
      </c>
      <c r="P650" s="291" t="n">
        <f aca="false">SUM(N650:O650)</f>
        <v>64</v>
      </c>
      <c r="Q650" s="110" t="str">
        <f aca="false">IF(P585=P650,"〇","×")</f>
        <v>×</v>
      </c>
    </row>
    <row r="651" s="316" customFormat="true" ht="39" hidden="false" customHeight="true" outlineLevel="0" collapsed="false">
      <c r="A651" s="315"/>
      <c r="G651" s="84"/>
      <c r="Q651" s="316" t="str">
        <f aca="false">IF(P586=P651,"〇","×")</f>
        <v>〇</v>
      </c>
    </row>
    <row r="652" s="297" customFormat="true" ht="30" hidden="false" customHeight="true" outlineLevel="0" collapsed="false">
      <c r="A652" s="295"/>
      <c r="B652" s="391" t="n">
        <f aca="false">EOMONTH(B522,1)</f>
        <v>46387</v>
      </c>
      <c r="C652" s="391"/>
      <c r="D652" s="391"/>
      <c r="E652" s="391"/>
      <c r="F652" s="391"/>
      <c r="G652" s="391"/>
      <c r="H652" s="87" t="n">
        <f aca="false">B652</f>
        <v>46387</v>
      </c>
      <c r="I652" s="87"/>
      <c r="J652" s="87"/>
      <c r="K652" s="87" t="n">
        <f aca="false">H652</f>
        <v>46387</v>
      </c>
      <c r="L652" s="87"/>
      <c r="M652" s="87"/>
      <c r="N652" s="87" t="n">
        <f aca="false">K652</f>
        <v>46387</v>
      </c>
      <c r="O652" s="87"/>
      <c r="P652" s="87"/>
      <c r="Q652" s="297" t="str">
        <f aca="false">IF(P587=P652,"〇","×")</f>
        <v>〇</v>
      </c>
      <c r="S652" s="297" t="s">
        <v>397</v>
      </c>
    </row>
    <row r="653" customFormat="false" ht="22.5" hidden="false" customHeight="true" outlineLevel="0" collapsed="false">
      <c r="A653" s="89" t="s">
        <v>369</v>
      </c>
      <c r="B653" s="89" t="s">
        <v>370</v>
      </c>
      <c r="C653" s="89"/>
      <c r="D653" s="89"/>
      <c r="E653" s="89"/>
      <c r="F653" s="89"/>
      <c r="G653" s="89"/>
      <c r="H653" s="91" t="s">
        <v>371</v>
      </c>
      <c r="I653" s="91"/>
      <c r="J653" s="91"/>
      <c r="K653" s="91" t="s">
        <v>372</v>
      </c>
      <c r="L653" s="91"/>
      <c r="M653" s="91"/>
      <c r="N653" s="91" t="str">
        <f aca="false">$N$3</f>
        <v>子ども・子育て支援納付金</v>
      </c>
      <c r="O653" s="91"/>
      <c r="P653" s="91"/>
      <c r="Q653" s="80" t="str">
        <f aca="false">IF(P588=P653,"〇","×")</f>
        <v>〇</v>
      </c>
    </row>
    <row r="654" customFormat="false" ht="22.5" hidden="false" customHeight="true" outlineLevel="0" collapsed="false">
      <c r="A654" s="89"/>
      <c r="B654" s="92" t="s">
        <v>373</v>
      </c>
      <c r="C654" s="92"/>
      <c r="D654" s="92" t="s">
        <v>374</v>
      </c>
      <c r="E654" s="92"/>
      <c r="F654" s="92"/>
      <c r="G654" s="92" t="s">
        <v>375</v>
      </c>
      <c r="H654" s="96" t="s">
        <v>376</v>
      </c>
      <c r="I654" s="94" t="s">
        <v>377</v>
      </c>
      <c r="J654" s="95" t="s">
        <v>375</v>
      </c>
      <c r="K654" s="96" t="s">
        <v>376</v>
      </c>
      <c r="L654" s="94" t="s">
        <v>377</v>
      </c>
      <c r="M654" s="95" t="s">
        <v>375</v>
      </c>
      <c r="N654" s="96" t="s">
        <v>376</v>
      </c>
      <c r="O654" s="94" t="s">
        <v>377</v>
      </c>
      <c r="P654" s="95" t="s">
        <v>375</v>
      </c>
      <c r="Q654" s="80" t="str">
        <f aca="false">IF(P589=P654,"〇","×")</f>
        <v>〇</v>
      </c>
    </row>
    <row r="655" customFormat="false" ht="22.5" hidden="false" customHeight="true" outlineLevel="0" collapsed="false">
      <c r="A655" s="89"/>
      <c r="B655" s="97" t="s">
        <v>378</v>
      </c>
      <c r="C655" s="98" t="s">
        <v>379</v>
      </c>
      <c r="D655" s="99" t="s">
        <v>378</v>
      </c>
      <c r="E655" s="99" t="s">
        <v>380</v>
      </c>
      <c r="F655" s="98" t="s">
        <v>85</v>
      </c>
      <c r="G655" s="92"/>
      <c r="H655" s="96"/>
      <c r="I655" s="94"/>
      <c r="J655" s="95"/>
      <c r="K655" s="96"/>
      <c r="L655" s="94"/>
      <c r="M655" s="95"/>
      <c r="N655" s="96"/>
      <c r="O655" s="94"/>
      <c r="P655" s="95"/>
      <c r="Q655" s="80" t="str">
        <f aca="false">IF(P590=P655,"〇","×")</f>
        <v>〇</v>
      </c>
    </row>
    <row r="656" s="110" customFormat="true" ht="20.1" hidden="false" customHeight="true" outlineLevel="0" collapsed="false">
      <c r="A656" s="100" t="s">
        <v>158</v>
      </c>
      <c r="B656" s="215" t="n">
        <f aca="false">SUMIFS(報告入力!$AU$7:$AU$696,報告入力!$A$7:$A$696,$S$652,報告入力!$B$7:$B$696,$A656)</f>
        <v>233126170</v>
      </c>
      <c r="C656" s="212" t="n">
        <f aca="false">SUMIFS(報告入力!$AV$7:$AV$696,報告入力!$A$7:$A$696,$S$652,報告入力!$B$7:$B$696,$A656)</f>
        <v>19113577</v>
      </c>
      <c r="D656" s="178" t="n">
        <f aca="false">SUMIFS(報告入力!$AW$7:$AW$696,報告入力!$A$7:$A$696,$S$652,報告入力!$B$7:$B$696,$A656)</f>
        <v>339305043</v>
      </c>
      <c r="E656" s="182" t="n">
        <f aca="false">SUMIFS(報告入力!$AX$7:$AX$696,報告入力!$A$7:$A$696,$S$652,報告入力!$B$7:$B$696,$A656)</f>
        <v>18598079</v>
      </c>
      <c r="F656" s="212" t="n">
        <f aca="false">SUMIFS(報告入力!$AY$7:$AY$696,報告入力!$A$7:$A$696,$S$652,報告入力!$B$7:$B$696,$A656)</f>
        <v>244998</v>
      </c>
      <c r="G656" s="181" t="n">
        <f aca="false">SUM(B656:F656)</f>
        <v>610387867</v>
      </c>
      <c r="H656" s="215" t="n">
        <f aca="false">SUMIFS(報告入力!$AZ$7:$AZ$696,報告入力!$A$7:$A$696,$S$652,報告入力!$B$7:$B$696,$A656)</f>
        <v>180684280</v>
      </c>
      <c r="I656" s="183" t="n">
        <f aca="false">SUMIFS(報告入力!$BA$7:$BA$696,報告入力!$A$7:$A$696,$S$652,報告入力!$B$7:$B$696,$A656)</f>
        <v>179903134</v>
      </c>
      <c r="J656" s="393" t="n">
        <f aca="false">SUM(H656:I656)</f>
        <v>360587414</v>
      </c>
      <c r="K656" s="360" t="n">
        <f aca="false">SUMIFS(報告入力!$BB$7:$BB$696,報告入力!$A$7:$A$696,$S$652,報告入力!$B$7:$B$696,$A656)</f>
        <v>15817033</v>
      </c>
      <c r="L656" s="362" t="n">
        <f aca="false">SUMIFS(報告入力!$BC$7:$BC$696,報告入力!$A$7:$A$696,$S$652,報告入力!$B$7:$B$696,$A656)</f>
        <v>15370794</v>
      </c>
      <c r="M656" s="181" t="n">
        <f aca="false">SUM(K656:L656)</f>
        <v>31187827</v>
      </c>
      <c r="N656" s="360" t="n">
        <f aca="false">SUMIFS(報告入力!$BD$7:$BD$696,報告入力!$A$7:$A$696,$S$652,報告入力!$B$7:$B$696,$A656)</f>
        <v>1</v>
      </c>
      <c r="O656" s="362" t="n">
        <f aca="false">SUMIFS(報告入力!$BE$7:$BE$696,報告入力!$A$7:$A$696,$S$652,報告入力!$B$7:$B$696,$A656)</f>
        <v>1</v>
      </c>
      <c r="P656" s="181" t="n">
        <f aca="false">SUM(N656:O656)</f>
        <v>2</v>
      </c>
      <c r="Q656" s="110" t="str">
        <f aca="false">IF(P591=P656,"〇","×")</f>
        <v>〇</v>
      </c>
      <c r="R656" s="110" t="str">
        <f aca="false">IFERROR(INDEX(報告入力!$C$7:$C$696,MATCH($S$652&amp;"|"&amp;$A656,報告入力!$CG$7:$CG$696,0)),"")</f>
        <v>未受領</v>
      </c>
    </row>
    <row r="657" s="110" customFormat="true" ht="20.1" hidden="false" customHeight="true" outlineLevel="0" collapsed="false">
      <c r="A657" s="100" t="s">
        <v>161</v>
      </c>
      <c r="B657" s="215" t="n">
        <f aca="false">SUMIFS(報告入力!$AU$7:$AU$696,報告入力!$A$7:$A$696,$S$652,報告入力!$B$7:$B$696,$A657)</f>
        <v>16545945</v>
      </c>
      <c r="C657" s="212" t="n">
        <f aca="false">SUMIFS(報告入力!$AV$7:$AV$696,報告入力!$A$7:$A$696,$S$652,報告入力!$B$7:$B$696,$A657)</f>
        <v>1356225</v>
      </c>
      <c r="D657" s="178" t="n">
        <f aca="false">SUMIFS(報告入力!$AW$7:$AW$696,報告入力!$A$7:$A$696,$S$652,報告入力!$B$7:$B$696,$A657)</f>
        <v>24116790</v>
      </c>
      <c r="E657" s="182" t="n">
        <f aca="false">SUMIFS(報告入力!$AX$7:$AX$696,報告入力!$A$7:$A$696,$S$652,報告入力!$B$7:$B$696,$A657)</f>
        <v>1356225</v>
      </c>
      <c r="F657" s="212" t="n">
        <f aca="false">SUMIFS(報告入力!$AY$7:$AY$696,報告入力!$A$7:$A$696,$S$652,報告入力!$B$7:$B$696,$A657)</f>
        <v>17124</v>
      </c>
      <c r="G657" s="181" t="n">
        <f aca="false">SUM(B657:F657)</f>
        <v>43392309</v>
      </c>
      <c r="H657" s="215" t="n">
        <f aca="false">SUMIFS(報告入力!$AZ$7:$AZ$696,報告入力!$A$7:$A$696,$S$652,報告入力!$B$7:$B$696,$A657)</f>
        <v>10364462</v>
      </c>
      <c r="I657" s="183" t="n">
        <f aca="false">SUMIFS(報告入力!$BA$7:$BA$696,報告入力!$A$7:$A$696,$S$652,報告入力!$B$7:$B$696,$A657)</f>
        <v>10548958</v>
      </c>
      <c r="J657" s="393" t="n">
        <f aca="false">SUM(H657:I657)</f>
        <v>20913420</v>
      </c>
      <c r="K657" s="215" t="n">
        <f aca="false">SUMIFS(報告入力!$BB$7:$BB$696,報告入力!$A$7:$A$696,$S$652,報告入力!$B$7:$B$696,$A657)</f>
        <v>1033666</v>
      </c>
      <c r="L657" s="362" t="n">
        <f aca="false">SUMIFS(報告入力!$BC$7:$BC$696,報告入力!$A$7:$A$696,$S$652,報告入力!$B$7:$B$696,$A657)</f>
        <v>1033666</v>
      </c>
      <c r="M657" s="181" t="n">
        <f aca="false">SUM(K657:L657)</f>
        <v>2067332</v>
      </c>
      <c r="N657" s="215" t="n">
        <f aca="false">SUMIFS(報告入力!$BD$7:$BD$696,報告入力!$A$7:$A$696,$S$652,報告入力!$B$7:$B$696,$A657)</f>
        <v>1</v>
      </c>
      <c r="O657" s="362" t="n">
        <f aca="false">SUMIFS(報告入力!$BE$7:$BE$696,報告入力!$A$7:$A$696,$S$652,報告入力!$B$7:$B$696,$A657)</f>
        <v>1</v>
      </c>
      <c r="P657" s="181" t="n">
        <f aca="false">SUM(N657:O657)</f>
        <v>2</v>
      </c>
      <c r="Q657" s="110" t="str">
        <f aca="false">IF(P592=P657,"〇","×")</f>
        <v>〇</v>
      </c>
      <c r="R657" s="110" t="str">
        <f aca="false">IFERROR(INDEX(報告入力!$C$7:$C$696,MATCH($S$652&amp;"|"&amp;$A657,報告入力!$CG$7:$CG$696,0)),"")</f>
        <v>未受領</v>
      </c>
    </row>
    <row r="658" s="110" customFormat="true" ht="20.1" hidden="false" customHeight="true" outlineLevel="0" collapsed="false">
      <c r="A658" s="100" t="s">
        <v>162</v>
      </c>
      <c r="B658" s="215" t="n">
        <f aca="false">SUMIFS(報告入力!$AU$7:$AU$696,報告入力!$A$7:$A$696,$S$652,報告入力!$B$7:$B$696,$A658)</f>
        <v>53599145</v>
      </c>
      <c r="C658" s="212" t="n">
        <f aca="false">SUMIFS(報告入力!$AV$7:$AV$696,報告入力!$A$7:$A$696,$S$652,報告入力!$B$7:$B$696,$A658)</f>
        <v>4393373</v>
      </c>
      <c r="D658" s="178" t="n">
        <f aca="false">SUMIFS(報告入力!$AW$7:$AW$696,報告入力!$A$7:$A$696,$S$652,報告入力!$B$7:$B$696,$A658)</f>
        <v>78064589</v>
      </c>
      <c r="E658" s="182" t="n">
        <f aca="false">SUMIFS(報告入力!$AX$7:$AX$696,報告入力!$A$7:$A$696,$S$652,報告入力!$B$7:$B$696,$A658)</f>
        <v>4380998</v>
      </c>
      <c r="F658" s="212" t="n">
        <f aca="false">SUMIFS(報告入力!$AY$7:$AY$696,報告入力!$A$7:$A$696,$S$652,報告入力!$B$7:$B$696,$A658)</f>
        <v>55464</v>
      </c>
      <c r="G658" s="181" t="n">
        <f aca="false">SUM(B658:F658)</f>
        <v>140493569</v>
      </c>
      <c r="H658" s="215" t="n">
        <f aca="false">SUMIFS(報告入力!$AZ$7:$AZ$696,報告入力!$A$7:$A$696,$S$652,報告入力!$B$7:$B$696,$A658)</f>
        <v>32951456</v>
      </c>
      <c r="I658" s="183" t="n">
        <f aca="false">SUMIFS(報告入力!$BA$7:$BA$696,報告入力!$A$7:$A$696,$S$652,報告入力!$B$7:$B$696,$A658)</f>
        <v>33419569</v>
      </c>
      <c r="J658" s="393" t="n">
        <f aca="false">SUM(H658:I658)</f>
        <v>66371025</v>
      </c>
      <c r="K658" s="215" t="n">
        <f aca="false">SUMIFS(報告入力!$BB$7:$BB$696,報告入力!$A$7:$A$696,$S$652,報告入力!$B$7:$B$696,$A658)</f>
        <v>1989423</v>
      </c>
      <c r="L658" s="362" t="n">
        <f aca="false">SUMIFS(報告入力!$BC$7:$BC$696,報告入力!$A$7:$A$696,$S$652,報告入力!$B$7:$B$696,$A658)</f>
        <v>1982394</v>
      </c>
      <c r="M658" s="181" t="n">
        <f aca="false">SUM(K658:L658)</f>
        <v>3971817</v>
      </c>
      <c r="N658" s="215" t="n">
        <f aca="false">SUMIFS(報告入力!$BD$7:$BD$696,報告入力!$A$7:$A$696,$S$652,報告入力!$B$7:$B$696,$A658)</f>
        <v>1</v>
      </c>
      <c r="O658" s="362" t="n">
        <f aca="false">SUMIFS(報告入力!$BE$7:$BE$696,報告入力!$A$7:$A$696,$S$652,報告入力!$B$7:$B$696,$A658)</f>
        <v>1</v>
      </c>
      <c r="P658" s="181" t="n">
        <f aca="false">SUM(N658:O658)</f>
        <v>2</v>
      </c>
      <c r="Q658" s="110" t="str">
        <f aca="false">IF(P593=P658,"〇","×")</f>
        <v>〇</v>
      </c>
      <c r="R658" s="110" t="str">
        <f aca="false">IFERROR(INDEX(報告入力!$C$7:$C$696,MATCH($S$652&amp;"|"&amp;$A658,報告入力!$CG$7:$CG$696,0)),"")</f>
        <v>未受領</v>
      </c>
    </row>
    <row r="659" s="110" customFormat="true" ht="20.1" hidden="false" customHeight="true" outlineLevel="0" collapsed="false">
      <c r="A659" s="100" t="s">
        <v>163</v>
      </c>
      <c r="B659" s="215" t="n">
        <f aca="false">SUMIFS(報告入力!$AU$7:$AU$696,報告入力!$A$7:$A$696,$S$652,報告入力!$B$7:$B$696,$A659)</f>
        <v>1740330</v>
      </c>
      <c r="C659" s="212" t="n">
        <f aca="false">SUMIFS(報告入力!$AV$7:$AV$696,報告入力!$A$7:$A$696,$S$652,報告入力!$B$7:$B$696,$A659)</f>
        <v>142650</v>
      </c>
      <c r="D659" s="178" t="n">
        <f aca="false">SUMIFS(報告入力!$AW$7:$AW$696,報告入力!$A$7:$A$696,$S$652,報告入力!$B$7:$B$696,$A659)</f>
        <v>2539620</v>
      </c>
      <c r="E659" s="182" t="n">
        <f aca="false">SUMIFS(報告入力!$AX$7:$AX$696,報告入力!$A$7:$A$696,$S$652,報告入力!$B$7:$B$696,$A659)</f>
        <v>142650</v>
      </c>
      <c r="F659" s="212" t="n">
        <f aca="false">SUMIFS(報告入力!$AY$7:$AY$696,報告入力!$A$7:$A$696,$S$652,報告入力!$B$7:$B$696,$A659)</f>
        <v>1808</v>
      </c>
      <c r="G659" s="181" t="n">
        <f aca="false">SUM(B659:F659)</f>
        <v>4567058</v>
      </c>
      <c r="H659" s="215" t="n">
        <f aca="false">SUMIFS(報告入力!$AZ$7:$AZ$696,報告入力!$A$7:$A$696,$S$652,報告入力!$B$7:$B$696,$A659)</f>
        <v>1055074</v>
      </c>
      <c r="I659" s="183" t="n">
        <f aca="false">SUMIFS(報告入力!$BA$7:$BA$696,報告入力!$A$7:$A$696,$S$652,報告入力!$B$7:$B$696,$A659)</f>
        <v>1073929</v>
      </c>
      <c r="J659" s="393" t="n">
        <f aca="false">SUM(H659:I659)</f>
        <v>2129003</v>
      </c>
      <c r="K659" s="215" t="n">
        <f aca="false">SUMIFS(報告入力!$BB$7:$BB$696,報告入力!$A$7:$A$696,$S$652,報告入力!$B$7:$B$696,$A659)</f>
        <v>99935</v>
      </c>
      <c r="L659" s="362" t="n">
        <f aca="false">SUMIFS(報告入力!$BC$7:$BC$696,報告入力!$A$7:$A$696,$S$652,報告入力!$B$7:$B$696,$A659)</f>
        <v>99935</v>
      </c>
      <c r="M659" s="181" t="n">
        <f aca="false">SUM(K659:L659)</f>
        <v>199870</v>
      </c>
      <c r="N659" s="215" t="n">
        <f aca="false">SUMIFS(報告入力!$BD$7:$BD$696,報告入力!$A$7:$A$696,$S$652,報告入力!$B$7:$B$696,$A659)</f>
        <v>1</v>
      </c>
      <c r="O659" s="362" t="n">
        <f aca="false">SUMIFS(報告入力!$BE$7:$BE$696,報告入力!$A$7:$A$696,$S$652,報告入力!$B$7:$B$696,$A659)</f>
        <v>1</v>
      </c>
      <c r="P659" s="181" t="n">
        <f aca="false">SUM(N659:O659)</f>
        <v>2</v>
      </c>
      <c r="Q659" s="110" t="str">
        <f aca="false">IF(P594=P659,"〇","×")</f>
        <v>〇</v>
      </c>
      <c r="R659" s="110" t="str">
        <f aca="false">IFERROR(INDEX(報告入力!$C$7:$C$696,MATCH($S$652&amp;"|"&amp;$A659,報告入力!$CG$7:$CG$696,0)),"")</f>
        <v>未受領</v>
      </c>
    </row>
    <row r="660" s="110" customFormat="true" ht="20.1" hidden="false" customHeight="true" outlineLevel="0" collapsed="false">
      <c r="A660" s="100" t="s">
        <v>164</v>
      </c>
      <c r="B660" s="215" t="n">
        <f aca="false">SUMIFS(報告入力!$AU$7:$AU$696,報告入力!$A$7:$A$696,$S$652,報告入力!$B$7:$B$696,$A660)</f>
        <v>24097440</v>
      </c>
      <c r="C660" s="212" t="n">
        <f aca="false">SUMIFS(報告入力!$AV$7:$AV$696,報告入力!$A$7:$A$696,$S$652,報告入力!$B$7:$B$696,$A660)</f>
        <v>1975200</v>
      </c>
      <c r="D660" s="178" t="n">
        <f aca="false">SUMIFS(報告入力!$AW$7:$AW$696,報告入力!$A$7:$A$696,$S$652,報告入力!$B$7:$B$696,$A660)</f>
        <v>35096235</v>
      </c>
      <c r="E660" s="182" t="n">
        <f aca="false">SUMIFS(報告入力!$AX$7:$AX$696,報告入力!$A$7:$A$696,$S$652,報告入力!$B$7:$B$696,$A660)</f>
        <v>1970850</v>
      </c>
      <c r="F660" s="212" t="n">
        <f aca="false">SUMIFS(報告入力!$AY$7:$AY$696,報告入力!$A$7:$A$696,$S$652,報告入力!$B$7:$B$696,$A660)</f>
        <v>25002</v>
      </c>
      <c r="G660" s="181" t="n">
        <f aca="false">SUM(B660:F660)</f>
        <v>63164727</v>
      </c>
      <c r="H660" s="362" t="n">
        <f aca="false">SUMIFS(報告入力!$AZ$7:$AZ$696,報告入力!$A$7:$A$696,$S$652,報告入力!$B$7:$B$696,$A660)</f>
        <v>25721646</v>
      </c>
      <c r="I660" s="182" t="n">
        <f aca="false">SUMIFS(報告入力!$BA$7:$BA$696,報告入力!$A$7:$A$696,$S$652,報告入力!$B$7:$B$696,$A660)</f>
        <v>26142323</v>
      </c>
      <c r="J660" s="407" t="n">
        <f aca="false">SUM(H660:I660)</f>
        <v>51863969</v>
      </c>
      <c r="K660" s="214" t="n">
        <f aca="false">SUMIFS(報告入力!$BB$7:$BB$696,報告入力!$A$7:$A$696,$S$652,報告入力!$B$7:$B$696,$A660)</f>
        <v>2801399</v>
      </c>
      <c r="L660" s="213" t="n">
        <f aca="false">SUMIFS(報告入力!$BC$7:$BC$696,報告入力!$A$7:$A$696,$S$652,報告入力!$B$7:$B$696,$A660)</f>
        <v>2801572</v>
      </c>
      <c r="M660" s="181" t="n">
        <f aca="false">SUM(K660:L660)</f>
        <v>5602971</v>
      </c>
      <c r="N660" s="214" t="n">
        <f aca="false">SUMIFS(報告入力!$BD$7:$BD$696,報告入力!$A$7:$A$696,$S$652,報告入力!$B$7:$B$696,$A660)</f>
        <v>1</v>
      </c>
      <c r="O660" s="213" t="n">
        <f aca="false">SUMIFS(報告入力!$BE$7:$BE$696,報告入力!$A$7:$A$696,$S$652,報告入力!$B$7:$B$696,$A660)</f>
        <v>1</v>
      </c>
      <c r="P660" s="181" t="n">
        <f aca="false">SUM(N660:O660)</f>
        <v>2</v>
      </c>
      <c r="Q660" s="110" t="str">
        <f aca="false">IF(P595=P660,"〇","×")</f>
        <v>〇</v>
      </c>
      <c r="R660" s="110" t="str">
        <f aca="false">IFERROR(INDEX(報告入力!$C$7:$C$696,MATCH($S$652&amp;"|"&amp;$A660,報告入力!$CG$7:$CG$696,0)),"")</f>
        <v>未受領</v>
      </c>
    </row>
    <row r="661" s="110" customFormat="true" ht="20.1" hidden="false" customHeight="true" outlineLevel="0" collapsed="false">
      <c r="A661" s="100" t="s">
        <v>165</v>
      </c>
      <c r="B661" s="215" t="n">
        <f aca="false">SUMIFS(報告入力!$AU$7:$AU$696,報告入力!$A$7:$A$696,$S$652,報告入力!$B$7:$B$696,$A661)</f>
        <v>280905</v>
      </c>
      <c r="C661" s="212" t="n">
        <f aca="false">SUMIFS(報告入力!$AV$7:$AV$696,報告入力!$A$7:$A$696,$S$652,報告入力!$B$7:$B$696,$A661)</f>
        <v>23025</v>
      </c>
      <c r="D661" s="178" t="n">
        <f aca="false">SUMIFS(報告入力!$AW$7:$AW$696,報告入力!$A$7:$A$696,$S$652,報告入力!$B$7:$B$696,$A661)</f>
        <v>408310</v>
      </c>
      <c r="E661" s="182" t="n">
        <f aca="false">SUMIFS(報告入力!$AX$7:$AX$696,報告入力!$A$7:$A$696,$S$652,報告入力!$B$7:$B$696,$A661)</f>
        <v>23025</v>
      </c>
      <c r="F661" s="212" t="n">
        <f aca="false">SUMIFS(報告入力!$AY$7:$AY$696,報告入力!$A$7:$A$696,$S$652,報告入力!$B$7:$B$696,$A661)</f>
        <v>288</v>
      </c>
      <c r="G661" s="181" t="n">
        <f aca="false">SUM(B661:F661)</f>
        <v>735553</v>
      </c>
      <c r="H661" s="215" t="n">
        <f aca="false">SUMIFS(報告入力!$AZ$7:$AZ$696,報告入力!$A$7:$A$696,$S$652,報告入力!$B$7:$B$696,$A661)</f>
        <v>190331</v>
      </c>
      <c r="I661" s="183" t="n">
        <f aca="false">SUMIFS(報告入力!$BA$7:$BA$696,報告入力!$A$7:$A$696,$S$652,報告入力!$B$7:$B$696,$A661)</f>
        <v>193690</v>
      </c>
      <c r="J661" s="393" t="n">
        <f aca="false">SUM(H661:I661)</f>
        <v>384021</v>
      </c>
      <c r="K661" s="215" t="n">
        <f aca="false">SUMIFS(報告入力!$BB$7:$BB$696,報告入力!$A$7:$A$696,$S$652,報告入力!$B$7:$B$696,$A661)</f>
        <v>15326</v>
      </c>
      <c r="L661" s="362" t="n">
        <f aca="false">SUMIFS(報告入力!$BC$7:$BC$696,報告入力!$A$7:$A$696,$S$652,報告入力!$B$7:$B$696,$A661)</f>
        <v>15326</v>
      </c>
      <c r="M661" s="181" t="n">
        <f aca="false">SUM(K661:L661)</f>
        <v>30652</v>
      </c>
      <c r="N661" s="215" t="n">
        <f aca="false">SUMIFS(報告入力!$BD$7:$BD$696,報告入力!$A$7:$A$696,$S$652,報告入力!$B$7:$B$696,$A661)</f>
        <v>1</v>
      </c>
      <c r="O661" s="362" t="n">
        <f aca="false">SUMIFS(報告入力!$BE$7:$BE$696,報告入力!$A$7:$A$696,$S$652,報告入力!$B$7:$B$696,$A661)</f>
        <v>1</v>
      </c>
      <c r="P661" s="181" t="n">
        <f aca="false">SUM(N661:O661)</f>
        <v>2</v>
      </c>
      <c r="Q661" s="110" t="str">
        <f aca="false">IF(P596=P661,"〇","×")</f>
        <v>〇</v>
      </c>
      <c r="R661" s="110" t="str">
        <f aca="false">IFERROR(INDEX(報告入力!$C$7:$C$696,MATCH($S$652&amp;"|"&amp;$A661,報告入力!$CG$7:$CG$696,0)),"")</f>
        <v>未受領</v>
      </c>
    </row>
    <row r="662" s="110" customFormat="true" ht="20.1" hidden="false" customHeight="true" outlineLevel="0" collapsed="false">
      <c r="A662" s="100" t="s">
        <v>166</v>
      </c>
      <c r="B662" s="215" t="n">
        <f aca="false">SUMIFS(報告入力!$AU$7:$AU$696,報告入力!$A$7:$A$696,$S$652,報告入力!$B$7:$B$696,$A662)</f>
        <v>561810</v>
      </c>
      <c r="C662" s="212" t="n">
        <f aca="false">SUMIFS(報告入力!$AV$7:$AV$696,報告入力!$A$7:$A$696,$S$652,報告入力!$B$7:$B$696,$A662)</f>
        <v>46050</v>
      </c>
      <c r="D662" s="178" t="n">
        <f aca="false">SUMIFS(報告入力!$AW$7:$AW$696,報告入力!$A$7:$A$696,$S$652,報告入力!$B$7:$B$696,$A662)</f>
        <v>816620</v>
      </c>
      <c r="E662" s="182" t="n">
        <f aca="false">SUMIFS(報告入力!$AX$7:$AX$696,報告入力!$A$7:$A$696,$S$652,報告入力!$B$7:$B$696,$A662)</f>
        <v>46050</v>
      </c>
      <c r="F662" s="212" t="n">
        <f aca="false">SUMIFS(報告入力!$AY$7:$AY$696,報告入力!$A$7:$A$696,$S$652,報告入力!$B$7:$B$696,$A662)</f>
        <v>576</v>
      </c>
      <c r="G662" s="181" t="n">
        <f aca="false">SUM(B662:F662)</f>
        <v>1471106</v>
      </c>
      <c r="H662" s="215" t="n">
        <f aca="false">SUMIFS(報告入力!$AZ$7:$AZ$696,報告入力!$A$7:$A$696,$S$652,報告入力!$B$7:$B$696,$A662)</f>
        <v>343259</v>
      </c>
      <c r="I662" s="183" t="n">
        <f aca="false">SUMIFS(報告入力!$BA$7:$BA$696,報告入力!$A$7:$A$696,$S$652,報告入力!$B$7:$B$696,$A662)</f>
        <v>349315</v>
      </c>
      <c r="J662" s="393" t="n">
        <f aca="false">SUM(H662:I662)</f>
        <v>692574</v>
      </c>
      <c r="K662" s="215" t="n">
        <f aca="false">SUMIFS(報告入力!$BB$7:$BB$696,報告入力!$A$7:$A$696,$S$652,報告入力!$B$7:$B$696,$A662)</f>
        <v>32232</v>
      </c>
      <c r="L662" s="362" t="n">
        <f aca="false">SUMIFS(報告入力!$BC$7:$BC$696,報告入力!$A$7:$A$696,$S$652,報告入力!$B$7:$B$696,$A662)</f>
        <v>32232</v>
      </c>
      <c r="M662" s="181" t="n">
        <f aca="false">SUM(K662:L662)</f>
        <v>64464</v>
      </c>
      <c r="N662" s="215" t="n">
        <f aca="false">SUMIFS(報告入力!$BD$7:$BD$696,報告入力!$A$7:$A$696,$S$652,報告入力!$B$7:$B$696,$A662)</f>
        <v>1</v>
      </c>
      <c r="O662" s="362" t="n">
        <f aca="false">SUMIFS(報告入力!$BE$7:$BE$696,報告入力!$A$7:$A$696,$S$652,報告入力!$B$7:$B$696,$A662)</f>
        <v>1</v>
      </c>
      <c r="P662" s="181" t="n">
        <f aca="false">SUM(N662:O662)</f>
        <v>2</v>
      </c>
      <c r="Q662" s="110" t="str">
        <f aca="false">IF(P597=P662,"〇","×")</f>
        <v>〇</v>
      </c>
      <c r="R662" s="110" t="str">
        <f aca="false">IFERROR(INDEX(報告入力!$C$7:$C$696,MATCH($S$652&amp;"|"&amp;$A662,報告入力!$CG$7:$CG$696,0)),"")</f>
        <v>未受領</v>
      </c>
    </row>
    <row r="663" s="110" customFormat="true" ht="20.1" hidden="false" customHeight="true" outlineLevel="0" collapsed="false">
      <c r="A663" s="100" t="s">
        <v>167</v>
      </c>
      <c r="B663" s="215" t="n">
        <f aca="false">SUMIFS(報告入力!$AU$7:$AU$696,報告入力!$A$7:$A$696,$S$652,報告入力!$B$7:$B$696,$A663)</f>
        <v>1344135</v>
      </c>
      <c r="C663" s="212" t="n">
        <f aca="false">SUMIFS(報告入力!$AV$7:$AV$696,報告入力!$A$7:$A$696,$S$652,報告入力!$B$7:$B$696,$A663)</f>
        <v>110175</v>
      </c>
      <c r="D663" s="178" t="n">
        <f aca="false">SUMIFS(報告入力!$AW$7:$AW$696,報告入力!$A$7:$A$696,$S$652,報告入力!$B$7:$B$696,$A663)</f>
        <v>1965390</v>
      </c>
      <c r="E663" s="182" t="n">
        <f aca="false">SUMIFS(報告入力!$AX$7:$AX$696,報告入力!$A$7:$A$696,$S$652,報告入力!$B$7:$B$696,$A663)</f>
        <v>110175</v>
      </c>
      <c r="F663" s="212" t="n">
        <f aca="false">SUMIFS(報告入力!$AY$7:$AY$696,報告入力!$A$7:$A$696,$S$652,報告入力!$B$7:$B$696,$A663)</f>
        <v>1405</v>
      </c>
      <c r="G663" s="181" t="n">
        <f aca="false">SUM(B663:F663)</f>
        <v>3531280</v>
      </c>
      <c r="H663" s="215" t="n">
        <f aca="false">SUMIFS(報告入力!$AZ$7:$AZ$696,報告入力!$A$7:$A$696,$S$652,報告入力!$B$7:$B$696,$A663)</f>
        <v>836690</v>
      </c>
      <c r="I663" s="183" t="n">
        <f aca="false">SUMIFS(報告入力!$BA$7:$BA$696,報告入力!$A$7:$A$696,$S$652,報告入力!$B$7:$B$696,$A663)</f>
        <v>851727</v>
      </c>
      <c r="J663" s="393" t="n">
        <f aca="false">SUM(H663:I663)</f>
        <v>1688417</v>
      </c>
      <c r="K663" s="215" t="n">
        <f aca="false">SUMIFS(報告入力!$BB$7:$BB$696,報告入力!$A$7:$A$696,$S$652,報告入力!$B$7:$B$696,$A663)</f>
        <v>108309</v>
      </c>
      <c r="L663" s="362" t="n">
        <f aca="false">SUMIFS(報告入力!$BC$7:$BC$696,報告入力!$A$7:$A$696,$S$652,報告入力!$B$7:$B$696,$A663)</f>
        <v>108309</v>
      </c>
      <c r="M663" s="181" t="n">
        <f aca="false">SUM(K663:L663)</f>
        <v>216618</v>
      </c>
      <c r="N663" s="215" t="n">
        <f aca="false">SUMIFS(報告入力!$BD$7:$BD$696,報告入力!$A$7:$A$696,$S$652,報告入力!$B$7:$B$696,$A663)</f>
        <v>1</v>
      </c>
      <c r="O663" s="362" t="n">
        <f aca="false">SUMIFS(報告入力!$BE$7:$BE$696,報告入力!$A$7:$A$696,$S$652,報告入力!$B$7:$B$696,$A663)</f>
        <v>1</v>
      </c>
      <c r="P663" s="181" t="n">
        <f aca="false">SUM(N663:O663)</f>
        <v>2</v>
      </c>
      <c r="Q663" s="110" t="str">
        <f aca="false">IF(P598=P663,"〇","×")</f>
        <v>〇</v>
      </c>
      <c r="R663" s="110" t="str">
        <f aca="false">IFERROR(INDEX(報告入力!$C$7:$C$696,MATCH($S$652&amp;"|"&amp;$A663,報告入力!$CG$7:$CG$696,0)),"")</f>
        <v>未受領</v>
      </c>
    </row>
    <row r="664" s="110" customFormat="true" ht="20.1" hidden="false" customHeight="true" outlineLevel="0" collapsed="false">
      <c r="A664" s="100" t="s">
        <v>168</v>
      </c>
      <c r="B664" s="215" t="n">
        <f aca="false">SUMIFS(報告入力!$AU$7:$AU$696,報告入力!$A$7:$A$696,$S$652,報告入力!$B$7:$B$696,$A664)</f>
        <v>382470</v>
      </c>
      <c r="C664" s="212" t="n">
        <f aca="false">SUMIFS(報告入力!$AV$7:$AV$696,報告入力!$A$7:$A$696,$S$652,報告入力!$B$7:$B$696,$A664)</f>
        <v>31350</v>
      </c>
      <c r="D664" s="178" t="n">
        <f aca="false">SUMIFS(報告入力!$AW$7:$AW$696,報告入力!$A$7:$A$696,$S$652,報告入力!$B$7:$B$696,$A664)</f>
        <v>555940</v>
      </c>
      <c r="E664" s="182" t="n">
        <f aca="false">SUMIFS(報告入力!$AX$7:$AX$696,報告入力!$A$7:$A$696,$S$652,報告入力!$B$7:$B$696,$A664)</f>
        <v>31350</v>
      </c>
      <c r="F664" s="212" t="n">
        <f aca="false">SUMIFS(報告入力!$AY$7:$AY$696,報告入力!$A$7:$A$696,$S$652,報告入力!$B$7:$B$696,$A664)</f>
        <v>392</v>
      </c>
      <c r="G664" s="181" t="n">
        <f aca="false">SUM(B664:F664)</f>
        <v>1001502</v>
      </c>
      <c r="H664" s="215" t="n">
        <f aca="false">SUMIFS(報告入力!$AZ$7:$AZ$696,報告入力!$A$7:$A$696,$S$652,報告入力!$B$7:$B$696,$A664)</f>
        <v>308930</v>
      </c>
      <c r="I664" s="183" t="n">
        <f aca="false">SUMIFS(報告入力!$BA$7:$BA$696,報告入力!$A$7:$A$696,$S$652,報告入力!$B$7:$B$696,$A664)</f>
        <v>314382</v>
      </c>
      <c r="J664" s="393" t="n">
        <f aca="false">SUM(H664:I664)</f>
        <v>623312</v>
      </c>
      <c r="K664" s="215" t="n">
        <f aca="false">SUMIFS(報告入力!$BB$7:$BB$696,報告入力!$A$7:$A$696,$S$652,報告入力!$B$7:$B$696,$A664)</f>
        <v>32672</v>
      </c>
      <c r="L664" s="362" t="n">
        <f aca="false">SUMIFS(報告入力!$BC$7:$BC$696,報告入力!$A$7:$A$696,$S$652,報告入力!$B$7:$B$696,$A664)</f>
        <v>32674</v>
      </c>
      <c r="M664" s="181" t="n">
        <f aca="false">SUM(K664:L664)</f>
        <v>65346</v>
      </c>
      <c r="N664" s="215" t="n">
        <f aca="false">SUMIFS(報告入力!$BD$7:$BD$696,報告入力!$A$7:$A$696,$S$652,報告入力!$B$7:$B$696,$A664)</f>
        <v>1</v>
      </c>
      <c r="O664" s="362" t="n">
        <f aca="false">SUMIFS(報告入力!$BE$7:$BE$696,報告入力!$A$7:$A$696,$S$652,報告入力!$B$7:$B$696,$A664)</f>
        <v>1</v>
      </c>
      <c r="P664" s="181" t="n">
        <f aca="false">SUM(N664:O664)</f>
        <v>2</v>
      </c>
      <c r="Q664" s="110" t="str">
        <f aca="false">IF(P599=P664,"〇","×")</f>
        <v>〇</v>
      </c>
      <c r="R664" s="110" t="str">
        <f aca="false">IFERROR(INDEX(報告入力!$C$7:$C$696,MATCH($S$652&amp;"|"&amp;$A664,報告入力!$CG$7:$CG$696,0)),"")</f>
        <v>未受領</v>
      </c>
    </row>
    <row r="665" s="110" customFormat="true" ht="20.1" hidden="false" customHeight="true" outlineLevel="0" collapsed="false">
      <c r="A665" s="100" t="s">
        <v>169</v>
      </c>
      <c r="B665" s="215" t="n">
        <f aca="false">SUMIFS(報告入力!$AU$7:$AU$696,報告入力!$A$7:$A$696,$S$652,報告入力!$B$7:$B$696,$A665)</f>
        <v>22420245</v>
      </c>
      <c r="C665" s="212" t="n">
        <f aca="false">SUMIFS(報告入力!$AV$7:$AV$696,報告入力!$A$7:$A$696,$S$652,報告入力!$B$7:$B$696,$A665)</f>
        <v>1837725</v>
      </c>
      <c r="D665" s="178" t="n">
        <f aca="false">SUMIFS(報告入力!$AW$7:$AW$696,報告入力!$A$7:$A$696,$S$652,報告入力!$B$7:$B$696,$A665)</f>
        <v>32718055</v>
      </c>
      <c r="E665" s="182" t="n">
        <f aca="false">SUMIFS(報告入力!$AX$7:$AX$696,報告入力!$A$7:$A$696,$S$652,報告入力!$B$7:$B$696,$A665)</f>
        <v>1837725</v>
      </c>
      <c r="F665" s="212" t="n">
        <f aca="false">SUMIFS(報告入力!$AY$7:$AY$696,報告入力!$A$7:$A$696,$S$652,報告入力!$B$7:$B$696,$A665)</f>
        <v>23294</v>
      </c>
      <c r="G665" s="181" t="n">
        <f aca="false">SUM(B665:F665)</f>
        <v>58837044</v>
      </c>
      <c r="H665" s="215" t="n">
        <f aca="false">SUMIFS(報告入力!$AZ$7:$AZ$696,報告入力!$A$7:$A$696,$S$652,報告入力!$B$7:$B$696,$A665)</f>
        <v>14220373</v>
      </c>
      <c r="I665" s="183" t="n">
        <f aca="false">SUMIFS(報告入力!$BA$7:$BA$696,報告入力!$A$7:$A$696,$S$652,報告入力!$B$7:$B$696,$A665)</f>
        <v>14474405</v>
      </c>
      <c r="J665" s="393" t="n">
        <f aca="false">SUM(H665:I665)</f>
        <v>28694778</v>
      </c>
      <c r="K665" s="215" t="n">
        <f aca="false">SUMIFS(報告入力!$BB$7:$BB$696,報告入力!$A$7:$A$696,$S$652,報告入力!$B$7:$B$696,$A665)</f>
        <v>1341183</v>
      </c>
      <c r="L665" s="213" t="n">
        <f aca="false">SUMIFS(報告入力!$BC$7:$BC$696,報告入力!$A$7:$A$696,$S$652,報告入力!$B$7:$B$696,$A665)</f>
        <v>1341183</v>
      </c>
      <c r="M665" s="181" t="n">
        <f aca="false">SUM(K665:L665)</f>
        <v>2682366</v>
      </c>
      <c r="N665" s="215" t="n">
        <f aca="false">SUMIFS(報告入力!$BD$7:$BD$696,報告入力!$A$7:$A$696,$S$652,報告入力!$B$7:$B$696,$A665)</f>
        <v>1</v>
      </c>
      <c r="O665" s="213" t="n">
        <f aca="false">SUMIFS(報告入力!$BE$7:$BE$696,報告入力!$A$7:$A$696,$S$652,報告入力!$B$7:$B$696,$A665)</f>
        <v>1</v>
      </c>
      <c r="P665" s="181" t="n">
        <f aca="false">SUM(N665:O665)</f>
        <v>2</v>
      </c>
      <c r="Q665" s="110" t="str">
        <f aca="false">IF(P600=P665,"〇","×")</f>
        <v>〇</v>
      </c>
      <c r="R665" s="110" t="str">
        <f aca="false">IFERROR(INDEX(報告入力!$C$7:$C$696,MATCH($S$652&amp;"|"&amp;$A665,報告入力!$CG$7:$CG$696,0)),"")</f>
        <v>未受領</v>
      </c>
    </row>
    <row r="666" s="110" customFormat="true" ht="19.5" hidden="false" customHeight="true" outlineLevel="0" collapsed="false">
      <c r="A666" s="121" t="s">
        <v>381</v>
      </c>
      <c r="B666" s="215" t="n">
        <f aca="false">SUMIFS(報告入力!$AU$7:$AU$696,報告入力!$A$7:$A$696,$S$652,報告入力!$B$7:$B$696,$A666)</f>
        <v>48495</v>
      </c>
      <c r="C666" s="212" t="n">
        <f aca="false">SUMIFS(報告入力!$AV$7:$AV$696,報告入力!$A$7:$A$696,$S$652,報告入力!$B$7:$B$696,$A666)</f>
        <v>3975</v>
      </c>
      <c r="D666" s="178" t="n">
        <f aca="false">SUMIFS(報告入力!$AW$7:$AW$696,報告入力!$A$7:$A$696,$S$652,報告入力!$B$7:$B$696,$A666)</f>
        <v>70490</v>
      </c>
      <c r="E666" s="182" t="n">
        <f aca="false">SUMIFS(報告入力!$AX$7:$AX$696,報告入力!$A$7:$A$696,$S$652,報告入力!$B$7:$B$696,$A666)</f>
        <v>3975</v>
      </c>
      <c r="F666" s="212" t="n">
        <f aca="false">SUMIFS(報告入力!$AY$7:$AY$696,報告入力!$A$7:$A$696,$S$652,報告入力!$B$7:$B$696,$A666)</f>
        <v>49</v>
      </c>
      <c r="G666" s="181" t="n">
        <f aca="false">SUM(B666:F666)</f>
        <v>126984</v>
      </c>
      <c r="H666" s="215" t="n">
        <f aca="false">SUMIFS(報告入力!$AZ$7:$AZ$696,報告入力!$A$7:$A$696,$S$652,報告入力!$B$7:$B$696,$A666)</f>
        <v>29155</v>
      </c>
      <c r="I666" s="183" t="n">
        <f aca="false">SUMIFS(報告入力!$BA$7:$BA$696,報告入力!$A$7:$A$696,$S$652,報告入力!$B$7:$B$696,$A666)</f>
        <v>29669</v>
      </c>
      <c r="J666" s="393" t="n">
        <f aca="false">SUM(H666:I666)</f>
        <v>58824</v>
      </c>
      <c r="K666" s="215" t="n">
        <f aca="false">SUMIFS(報告入力!$BB$7:$BB$696,報告入力!$A$7:$A$696,$S$652,報告入力!$B$7:$B$696,$A666)</f>
        <v>4187</v>
      </c>
      <c r="L666" s="362" t="n">
        <f aca="false">SUMIFS(報告入力!$BC$7:$BC$696,報告入力!$A$7:$A$696,$S$652,報告入力!$B$7:$B$696,$A666)</f>
        <v>4187</v>
      </c>
      <c r="M666" s="181" t="n">
        <f aca="false">SUM(K666:L666)</f>
        <v>8374</v>
      </c>
      <c r="N666" s="215" t="n">
        <f aca="false">SUMIFS(報告入力!$BD$7:$BD$696,報告入力!$A$7:$A$696,$S$652,報告入力!$B$7:$B$696,$A666)</f>
        <v>1</v>
      </c>
      <c r="O666" s="362" t="n">
        <f aca="false">SUMIFS(報告入力!$BE$7:$BE$696,報告入力!$A$7:$A$696,$S$652,報告入力!$B$7:$B$696,$A666)</f>
        <v>1</v>
      </c>
      <c r="P666" s="181" t="n">
        <f aca="false">SUM(N666:O666)</f>
        <v>2</v>
      </c>
      <c r="Q666" s="110" t="str">
        <f aca="false">IF(P601=P666,"〇","×")</f>
        <v>〇</v>
      </c>
      <c r="R666" s="110" t="str">
        <f aca="false">IFERROR(INDEX(報告入力!$C$7:$C$696,MATCH($S$652&amp;"|"&amp;$A666,報告入力!$CG$7:$CG$696,0)),"")</f>
        <v>未受領</v>
      </c>
    </row>
    <row r="667" s="137" customFormat="true" ht="19.5" hidden="false" customHeight="true" outlineLevel="0" collapsed="false">
      <c r="A667" s="126" t="s">
        <v>171</v>
      </c>
      <c r="B667" s="127" t="n">
        <f aca="false">SUMIFS(報告入力!$AU$7:$AU$696,報告入力!$A$7:$A$696,$S$652,報告入力!$B$7:$B$696,$A667)</f>
        <v>0</v>
      </c>
      <c r="C667" s="128" t="n">
        <f aca="false">SUMIFS(報告入力!$AV$7:$AV$696,報告入力!$A$7:$A$696,$S$652,報告入力!$B$7:$B$696,$A667)</f>
        <v>0</v>
      </c>
      <c r="D667" s="129"/>
      <c r="E667" s="130"/>
      <c r="F667" s="131" t="n">
        <f aca="false">SUMIFS(報告入力!$AY$7:$AY$696,報告入力!$A$7:$A$696,$S$652,報告入力!$B$7:$B$696,$A667)</f>
        <v>0</v>
      </c>
      <c r="G667" s="132" t="n">
        <f aca="false">SUM(B667:F667)</f>
        <v>0</v>
      </c>
      <c r="H667" s="262" t="n">
        <f aca="false">SUMIFS(報告入力!$AZ$7:$AZ$696,報告入力!$A$7:$A$696,$S$652,報告入力!$B$7:$B$696,$A667)</f>
        <v>266011</v>
      </c>
      <c r="I667" s="183" t="n">
        <f aca="false">SUMIFS(報告入力!$BA$7:$BA$696,報告入力!$A$7:$A$696,$S$652,報告入力!$B$7:$B$696,$A667)</f>
        <v>270928</v>
      </c>
      <c r="J667" s="135" t="n">
        <f aca="false">SUM(H667:I667)</f>
        <v>536939</v>
      </c>
      <c r="K667" s="178" t="n">
        <f aca="false">SUMIFS(報告入力!$BB$7:$BB$696,報告入力!$A$7:$A$696,$S$652,報告入力!$B$7:$B$696,$A667)</f>
        <v>7678</v>
      </c>
      <c r="L667" s="182" t="n">
        <f aca="false">SUMIFS(報告入力!$BC$7:$BC$696,報告入力!$A$7:$A$696,$S$652,報告入力!$B$7:$B$696,$A667)</f>
        <v>7678</v>
      </c>
      <c r="M667" s="135" t="n">
        <f aca="false">SUM(K667:L667)</f>
        <v>15356</v>
      </c>
      <c r="N667" s="178" t="n">
        <f aca="false">SUMIFS(報告入力!$BD$7:$BD$696,報告入力!$A$7:$A$696,$S$652,報告入力!$B$7:$B$696,$A667)</f>
        <v>1</v>
      </c>
      <c r="O667" s="182" t="n">
        <f aca="false">SUMIFS(報告入力!$BE$7:$BE$696,報告入力!$A$7:$A$696,$S$652,報告入力!$B$7:$B$696,$A667)</f>
        <v>1</v>
      </c>
      <c r="P667" s="135" t="n">
        <f aca="false">SUM(N667:O667)</f>
        <v>2</v>
      </c>
      <c r="Q667" s="137" t="str">
        <f aca="false">IF(P602=P667,"〇","×")</f>
        <v>〇</v>
      </c>
      <c r="R667" s="137" t="str">
        <f aca="false">IFERROR(INDEX(報告入力!$C$7:$C$696,MATCH($S$652&amp;"|"&amp;$A667,報告入力!$CG$7:$CG$696,0)),"")</f>
        <v>未受領</v>
      </c>
    </row>
    <row r="668" s="137" customFormat="true" ht="19.5" hidden="false" customHeight="true" outlineLevel="0" collapsed="false">
      <c r="A668" s="138" t="s">
        <v>382</v>
      </c>
      <c r="B668" s="139"/>
      <c r="C668" s="140"/>
      <c r="D668" s="139"/>
      <c r="E668" s="141"/>
      <c r="F668" s="142"/>
      <c r="G668" s="143"/>
      <c r="H668" s="394"/>
      <c r="I668" s="145"/>
      <c r="J668" s="146"/>
      <c r="K668" s="147"/>
      <c r="L668" s="148"/>
      <c r="M668" s="146"/>
      <c r="N668" s="147"/>
      <c r="O668" s="148"/>
      <c r="P668" s="146"/>
      <c r="Q668" s="137" t="str">
        <f aca="false">IF(P603=P668,"〇","×")</f>
        <v>〇</v>
      </c>
    </row>
    <row r="669" s="137" customFormat="true" ht="19.5" hidden="false" customHeight="true" outlineLevel="0" collapsed="false">
      <c r="A669" s="149" t="s">
        <v>382</v>
      </c>
      <c r="B669" s="150"/>
      <c r="C669" s="151"/>
      <c r="D669" s="150"/>
      <c r="E669" s="152"/>
      <c r="F669" s="153"/>
      <c r="G669" s="154"/>
      <c r="H669" s="150"/>
      <c r="I669" s="152"/>
      <c r="J669" s="156"/>
      <c r="K669" s="157"/>
      <c r="L669" s="158"/>
      <c r="M669" s="156"/>
      <c r="N669" s="157"/>
      <c r="O669" s="158"/>
      <c r="P669" s="156"/>
      <c r="Q669" s="137" t="str">
        <f aca="false">IF(P604=P669,"〇","×")</f>
        <v>〇</v>
      </c>
    </row>
    <row r="670" s="137" customFormat="true" ht="19.5" hidden="false" customHeight="true" outlineLevel="0" collapsed="false">
      <c r="A670" s="149" t="s">
        <v>382</v>
      </c>
      <c r="B670" s="139"/>
      <c r="C670" s="140"/>
      <c r="D670" s="139"/>
      <c r="E670" s="141"/>
      <c r="F670" s="142"/>
      <c r="G670" s="143"/>
      <c r="H670" s="139"/>
      <c r="I670" s="141"/>
      <c r="J670" s="146"/>
      <c r="K670" s="160"/>
      <c r="L670" s="161"/>
      <c r="M670" s="146"/>
      <c r="N670" s="160"/>
      <c r="O670" s="161"/>
      <c r="P670" s="146"/>
      <c r="Q670" s="137" t="str">
        <f aca="false">IF(P605=P670,"〇","×")</f>
        <v>〇</v>
      </c>
    </row>
    <row r="671" s="137" customFormat="true" ht="19.5" hidden="false" customHeight="true" outlineLevel="0" collapsed="false">
      <c r="A671" s="162" t="s">
        <v>382</v>
      </c>
      <c r="B671" s="163"/>
      <c r="C671" s="164"/>
      <c r="D671" s="163"/>
      <c r="E671" s="165"/>
      <c r="F671" s="166"/>
      <c r="G671" s="167"/>
      <c r="H671" s="150"/>
      <c r="I671" s="168"/>
      <c r="J671" s="169"/>
      <c r="K671" s="157"/>
      <c r="L671" s="158"/>
      <c r="M671" s="169"/>
      <c r="N671" s="157"/>
      <c r="O671" s="158"/>
      <c r="P671" s="169"/>
      <c r="Q671" s="137" t="str">
        <f aca="false">IF(P606=P671,"〇","×")</f>
        <v>〇</v>
      </c>
    </row>
    <row r="672" s="137" customFormat="true" ht="19.5" hidden="false" customHeight="true" outlineLevel="0" collapsed="false">
      <c r="A672" s="171" t="s">
        <v>383</v>
      </c>
      <c r="B672" s="172" t="n">
        <f aca="false">SUM(B656:B671)</f>
        <v>354147090</v>
      </c>
      <c r="C672" s="173" t="n">
        <f aca="false">SUM(C656:C671)</f>
        <v>29033325</v>
      </c>
      <c r="D672" s="172" t="n">
        <f aca="false">SUM(D656:D671)</f>
        <v>515657082</v>
      </c>
      <c r="E672" s="172" t="n">
        <f aca="false">SUM(E656:E671)</f>
        <v>28501102</v>
      </c>
      <c r="F672" s="175" t="n">
        <f aca="false">SUM(F656:F671)</f>
        <v>370400</v>
      </c>
      <c r="G672" s="176" t="n">
        <f aca="false">SUM(B672:F672)</f>
        <v>927708999</v>
      </c>
      <c r="H672" s="172" t="n">
        <f aca="false">SUM(H656:H671)</f>
        <v>266971667</v>
      </c>
      <c r="I672" s="173" t="n">
        <f aca="false">SUM(I656:I671)</f>
        <v>267572029</v>
      </c>
      <c r="J672" s="175" t="n">
        <f aca="false">SUM(H672:I672)</f>
        <v>534543696</v>
      </c>
      <c r="K672" s="172" t="n">
        <f aca="false">SUM(K656:K671)</f>
        <v>23283043</v>
      </c>
      <c r="L672" s="173" t="n">
        <f aca="false">SUM(L656:L671)</f>
        <v>22829950</v>
      </c>
      <c r="M672" s="175" t="n">
        <f aca="false">SUM(K672:L672)</f>
        <v>46112993</v>
      </c>
      <c r="N672" s="172" t="n">
        <f aca="false">SUM(N656:N671)</f>
        <v>12</v>
      </c>
      <c r="O672" s="173" t="n">
        <f aca="false">SUM(O656:O671)</f>
        <v>12</v>
      </c>
      <c r="P672" s="175" t="n">
        <f aca="false">SUM(N672:O672)</f>
        <v>24</v>
      </c>
      <c r="Q672" s="137" t="str">
        <f aca="false">IF(P607=P672,"〇","×")</f>
        <v>〇</v>
      </c>
    </row>
    <row r="673" s="110" customFormat="true" ht="20.1" hidden="false" customHeight="true" outlineLevel="0" collapsed="false">
      <c r="A673" s="177" t="s">
        <v>172</v>
      </c>
      <c r="B673" s="311"/>
      <c r="C673" s="308"/>
      <c r="D673" s="299"/>
      <c r="E673" s="303"/>
      <c r="F673" s="308"/>
      <c r="G673" s="302" t="n">
        <f aca="false">SUM(B673:F673)</f>
        <v>0</v>
      </c>
      <c r="H673" s="311"/>
      <c r="I673" s="304"/>
      <c r="J673" s="396" t="n">
        <f aca="false">SUM(H673:I673)</f>
        <v>0</v>
      </c>
      <c r="K673" s="311"/>
      <c r="L673" s="340"/>
      <c r="M673" s="302" t="n">
        <f aca="false">SUM(K673:L673)</f>
        <v>0</v>
      </c>
      <c r="N673" s="311"/>
      <c r="O673" s="340"/>
      <c r="P673" s="302" t="n">
        <f aca="false">SUM(N673:O673)</f>
        <v>0</v>
      </c>
      <c r="Q673" s="110" t="str">
        <f aca="false">IF(P608=P673,"〇","×")</f>
        <v>〇</v>
      </c>
      <c r="R673" s="110" t="str">
        <f aca="false">IFERROR(INDEX(報告入力!$C$7:$C$696,MATCH($S$652&amp;"|"&amp;$A673,報告入力!$CG$7:$CG$696,0)),"")</f>
        <v>報告なし</v>
      </c>
    </row>
    <row r="674" s="110" customFormat="true" ht="20.1" hidden="false" customHeight="true" outlineLevel="0" collapsed="false">
      <c r="A674" s="100" t="s">
        <v>174</v>
      </c>
      <c r="B674" s="215" t="n">
        <f aca="false">SUMIFS(報告入力!$AU$7:$AU$696,報告入力!$A$7:$A$696,$S$652,報告入力!$B$7:$B$696,$A674)</f>
        <v>0</v>
      </c>
      <c r="C674" s="212" t="n">
        <f aca="false">SUMIFS(報告入力!$AV$7:$AV$696,報告入力!$A$7:$A$696,$S$652,報告入力!$B$7:$B$696,$A674)</f>
        <v>0</v>
      </c>
      <c r="D674" s="178" t="n">
        <f aca="false">SUMIFS(報告入力!$AW$7:$AW$696,報告入力!$A$7:$A$696,$S$652,報告入力!$B$7:$B$696,$A674)</f>
        <v>629520</v>
      </c>
      <c r="E674" s="182" t="n">
        <f aca="false">SUMIFS(報告入力!$AX$7:$AX$696,報告入力!$A$7:$A$696,$S$652,報告入力!$B$7:$B$696,$A674)</f>
        <v>51600</v>
      </c>
      <c r="F674" s="212" t="n">
        <f aca="false">SUMIFS(報告入力!$AY$7:$AY$696,報告入力!$A$7:$A$696,$S$652,報告入力!$B$7:$B$696,$A674)</f>
        <v>713</v>
      </c>
      <c r="G674" s="392" t="n">
        <f aca="false">SUM(B674:F674)</f>
        <v>681833</v>
      </c>
      <c r="H674" s="215" t="n">
        <f aca="false">SUMIFS(報告入力!$AZ$7:$AZ$696,報告入力!$A$7:$A$696,$S$652,報告入力!$B$7:$B$696,$A674)</f>
        <v>0</v>
      </c>
      <c r="I674" s="183" t="n">
        <f aca="false">SUMIFS(報告入力!$BA$7:$BA$696,報告入力!$A$7:$A$696,$S$652,報告入力!$B$7:$B$696,$A674)</f>
        <v>380809</v>
      </c>
      <c r="J674" s="393" t="n">
        <f aca="false">SUM(H674:I674)</f>
        <v>380809</v>
      </c>
      <c r="K674" s="178" t="n">
        <f aca="false">SUMIFS(報告入力!$BB$7:$BB$696,報告入力!$A$7:$A$696,$S$652,報告入力!$B$7:$B$696,$A674)</f>
        <v>0</v>
      </c>
      <c r="L674" s="362" t="n">
        <f aca="false">SUMIFS(報告入力!$BC$7:$BC$696,報告入力!$A$7:$A$696,$S$652,報告入力!$B$7:$B$696,$A674)</f>
        <v>51903</v>
      </c>
      <c r="M674" s="181" t="n">
        <f aca="false">SUM(K674:L674)</f>
        <v>51903</v>
      </c>
      <c r="N674" s="178" t="n">
        <f aca="false">SUMIFS(報告入力!$BD$7:$BD$696,報告入力!$A$7:$A$696,$S$652,報告入力!$B$7:$B$696,$A674)</f>
        <v>0</v>
      </c>
      <c r="O674" s="362" t="n">
        <f aca="false">SUMIFS(報告入力!$BE$7:$BE$696,報告入力!$A$7:$A$696,$S$652,報告入力!$B$7:$B$696,$A674)</f>
        <v>1</v>
      </c>
      <c r="P674" s="181" t="n">
        <f aca="false">SUM(N674:O674)</f>
        <v>1</v>
      </c>
      <c r="Q674" s="110" t="str">
        <f aca="false">IF(P609=P674,"〇","×")</f>
        <v>〇</v>
      </c>
      <c r="R674" s="110" t="str">
        <f aca="false">IFERROR(INDEX(報告入力!$C$7:$C$696,MATCH($S$652&amp;"|"&amp;$A674,報告入力!$CG$7:$CG$696,0)),"")</f>
        <v>未受領</v>
      </c>
    </row>
    <row r="675" s="110" customFormat="true" ht="20.1" hidden="false" customHeight="true" outlineLevel="0" collapsed="false">
      <c r="A675" s="100" t="s">
        <v>175</v>
      </c>
      <c r="B675" s="186"/>
      <c r="C675" s="187"/>
      <c r="D675" s="178" t="n">
        <f aca="false">SUMIFS(報告入力!$AW$7:$AW$696,報告入力!$A$7:$A$696,$S$652,報告入力!$B$7:$B$696,$A675)</f>
        <v>1881240</v>
      </c>
      <c r="E675" s="182" t="n">
        <f aca="false">SUMIFS(報告入力!$AX$7:$AX$696,報告入力!$A$7:$A$696,$S$652,報告入力!$B$7:$B$696,$A675)</f>
        <v>154200</v>
      </c>
      <c r="F675" s="212" t="n">
        <f aca="false">SUMIFS(報告入力!$AY$7:$AY$696,報告入力!$A$7:$A$696,$S$652,報告入力!$B$7:$B$696,$A675)</f>
        <v>1955</v>
      </c>
      <c r="G675" s="181" t="n">
        <f aca="false">SUM(B675:F675)</f>
        <v>2037395</v>
      </c>
      <c r="H675" s="263"/>
      <c r="I675" s="370" t="n">
        <f aca="false">SUMIFS(報告入力!$BA$7:$BA$696,報告入力!$A$7:$A$696,$S$652,報告入力!$B$7:$B$696,$A675)</f>
        <v>1271969</v>
      </c>
      <c r="J675" s="135" t="n">
        <f aca="false">SUM(H675:I675)</f>
        <v>1271969</v>
      </c>
      <c r="K675" s="263"/>
      <c r="L675" s="370" t="n">
        <f aca="false">SUMIFS(報告入力!$BC$7:$BC$696,報告入力!$A$7:$A$696,$S$652,報告入力!$B$7:$B$696,$A675)</f>
        <v>141252</v>
      </c>
      <c r="M675" s="135" t="n">
        <f aca="false">SUM(K675:L675)</f>
        <v>141252</v>
      </c>
      <c r="N675" s="263"/>
      <c r="O675" s="370" t="n">
        <f aca="false">SUMIFS(報告入力!$BE$7:$BE$696,報告入力!$A$7:$A$696,$S$652,報告入力!$B$7:$B$696,$A675)</f>
        <v>1</v>
      </c>
      <c r="P675" s="135" t="n">
        <f aca="false">SUM(N675:O675)</f>
        <v>1</v>
      </c>
      <c r="Q675" s="110" t="str">
        <f aca="false">IF(P610=P675,"〇","×")</f>
        <v>〇</v>
      </c>
      <c r="R675" s="110" t="str">
        <f aca="false">IFERROR(INDEX(報告入力!$C$7:$C$696,MATCH($S$652&amp;"|"&amp;$A675,報告入力!$CG$7:$CG$696,0)),"")</f>
        <v>未受領</v>
      </c>
    </row>
    <row r="676" s="110" customFormat="true" ht="20.1" hidden="false" customHeight="true" outlineLevel="0" collapsed="false">
      <c r="A676" s="100" t="s">
        <v>176</v>
      </c>
      <c r="B676" s="186"/>
      <c r="C676" s="187"/>
      <c r="D676" s="178" t="n">
        <f aca="false">SUMIFS(報告入力!$AW$7:$AW$696,報告入力!$A$7:$A$696,$S$652,報告入力!$B$7:$B$696,$A676)</f>
        <v>48495</v>
      </c>
      <c r="E676" s="182" t="n">
        <f aca="false">SUMIFS(報告入力!$AX$7:$AX$696,報告入力!$A$7:$A$696,$S$652,報告入力!$B$7:$B$696,$A676)</f>
        <v>3975</v>
      </c>
      <c r="F676" s="212" t="n">
        <f aca="false">SUMIFS(報告入力!$AY$7:$AY$696,報告入力!$A$7:$A$696,$S$652,報告入力!$B$7:$B$696,$A676)</f>
        <v>49</v>
      </c>
      <c r="G676" s="181" t="n">
        <f aca="false">SUM(B676:F676)</f>
        <v>52519</v>
      </c>
      <c r="H676" s="263"/>
      <c r="I676" s="370" t="n">
        <f aca="false">SUMIFS(報告入力!$BA$7:$BA$696,報告入力!$A$7:$A$696,$S$652,報告入力!$B$7:$B$696,$A676)</f>
        <v>29208</v>
      </c>
      <c r="J676" s="135" t="n">
        <f aca="false">SUM(H676:I676)</f>
        <v>29208</v>
      </c>
      <c r="K676" s="263"/>
      <c r="L676" s="370" t="n">
        <f aca="false">SUMIFS(報告入力!$BC$7:$BC$696,報告入力!$A$7:$A$696,$S$652,報告入力!$B$7:$B$696,$A676)</f>
        <v>4187</v>
      </c>
      <c r="M676" s="135" t="n">
        <f aca="false">SUM(K676:L676)</f>
        <v>4187</v>
      </c>
      <c r="N676" s="263"/>
      <c r="O676" s="370" t="n">
        <f aca="false">SUMIFS(報告入力!$BE$7:$BE$696,報告入力!$A$7:$A$696,$S$652,報告入力!$B$7:$B$696,$A676)</f>
        <v>1</v>
      </c>
      <c r="P676" s="135" t="n">
        <f aca="false">SUM(N676:O676)</f>
        <v>1</v>
      </c>
      <c r="Q676" s="110" t="str">
        <f aca="false">IF(P611=P676,"〇","×")</f>
        <v>〇</v>
      </c>
      <c r="R676" s="110" t="str">
        <f aca="false">IFERROR(INDEX(報告入力!$C$7:$C$696,MATCH($S$652&amp;"|"&amp;$A676,報告入力!$CG$7:$CG$696,0)),"")</f>
        <v>未受領</v>
      </c>
    </row>
    <row r="677" s="110" customFormat="true" ht="20.1" hidden="false" customHeight="true" outlineLevel="0" collapsed="false">
      <c r="A677" s="189" t="s">
        <v>177</v>
      </c>
      <c r="B677" s="186"/>
      <c r="C677" s="187"/>
      <c r="D677" s="178" t="n">
        <f aca="false">SUMIFS(報告入力!$AW$7:$AW$696,報告入力!$A$7:$A$696,$S$652,報告入力!$B$7:$B$696,$A677)</f>
        <v>425475</v>
      </c>
      <c r="E677" s="182" t="n">
        <f aca="false">SUMIFS(報告入力!$AX$7:$AX$696,報告入力!$A$7:$A$696,$S$652,報告入力!$B$7:$B$696,$A677)</f>
        <v>34875</v>
      </c>
      <c r="F677" s="212" t="n">
        <f aca="false">SUMIFS(報告入力!$AY$7:$AY$696,報告入力!$A$7:$A$696,$S$652,報告入力!$B$7:$B$696,$A677)</f>
        <v>435</v>
      </c>
      <c r="G677" s="181" t="n">
        <f aca="false">SUM(B677:F677)</f>
        <v>460785</v>
      </c>
      <c r="H677" s="263"/>
      <c r="I677" s="370" t="n">
        <f aca="false">SUMIFS(報告入力!$BA$7:$BA$696,報告入力!$A$7:$A$696,$S$652,報告入力!$B$7:$B$696,$A677)</f>
        <v>256260</v>
      </c>
      <c r="J677" s="135" t="n">
        <f aca="false">SUM(H677:I677)</f>
        <v>256260</v>
      </c>
      <c r="K677" s="263"/>
      <c r="L677" s="370" t="n">
        <f aca="false">SUMIFS(報告入力!$BC$7:$BC$696,報告入力!$A$7:$A$696,$S$652,報告入力!$B$7:$B$696,$A677)</f>
        <v>34207</v>
      </c>
      <c r="M677" s="135" t="n">
        <f aca="false">SUM(K677:L677)</f>
        <v>34207</v>
      </c>
      <c r="N677" s="263"/>
      <c r="O677" s="370" t="n">
        <f aca="false">SUMIFS(報告入力!$BE$7:$BE$696,報告入力!$A$7:$A$696,$S$652,報告入力!$B$7:$B$696,$A677)</f>
        <v>1</v>
      </c>
      <c r="P677" s="135" t="n">
        <f aca="false">SUM(N677:O677)</f>
        <v>1</v>
      </c>
      <c r="Q677" s="110" t="str">
        <f aca="false">IF(P612=P677,"〇","×")</f>
        <v>〇</v>
      </c>
      <c r="R677" s="110" t="str">
        <f aca="false">IFERROR(INDEX(報告入力!$C$7:$C$696,MATCH($S$652&amp;"|"&amp;$A677,報告入力!$CG$7:$CG$696,0)),"")</f>
        <v>未受領</v>
      </c>
    </row>
    <row r="678" s="110" customFormat="true" ht="20.1" hidden="false" customHeight="true" outlineLevel="0" collapsed="false">
      <c r="A678" s="121" t="s">
        <v>178</v>
      </c>
      <c r="B678" s="186"/>
      <c r="C678" s="191"/>
      <c r="D678" s="362" t="n">
        <f aca="false">SUMIFS(報告入力!$AW$7:$AW$696,報告入力!$A$7:$A$696,$S$652,報告入力!$B$7:$B$696,$A678)</f>
        <v>86010</v>
      </c>
      <c r="E678" s="182" t="n">
        <f aca="false">SUMIFS(報告入力!$AX$7:$AX$696,報告入力!$A$7:$A$696,$S$652,報告入力!$B$7:$B$696,$A678)</f>
        <v>7050</v>
      </c>
      <c r="F678" s="368" t="n">
        <f aca="false">SUMIFS(報告入力!$AY$7:$AY$696,報告入力!$A$7:$A$696,$S$652,報告入力!$B$7:$B$696,$A678)</f>
        <v>88</v>
      </c>
      <c r="G678" s="181" t="n">
        <f aca="false">SUM(B678:F678)</f>
        <v>93148</v>
      </c>
      <c r="H678" s="263"/>
      <c r="I678" s="370" t="n">
        <f aca="false">SUMIFS(報告入力!$BA$7:$BA$696,報告入力!$A$7:$A$696,$S$652,報告入力!$B$7:$B$696,$A678)</f>
        <v>51803</v>
      </c>
      <c r="J678" s="135" t="n">
        <f aca="false">SUM(H678:I678)</f>
        <v>51803</v>
      </c>
      <c r="K678" s="263"/>
      <c r="L678" s="370" t="n">
        <f aca="false">SUMIFS(報告入力!$BC$7:$BC$696,報告入力!$A$7:$A$696,$S$652,報告入力!$B$7:$B$696,$A678)</f>
        <v>7426</v>
      </c>
      <c r="M678" s="135" t="n">
        <f aca="false">SUM(K678:L678)</f>
        <v>7426</v>
      </c>
      <c r="N678" s="263"/>
      <c r="O678" s="370" t="n">
        <f aca="false">SUMIFS(報告入力!$BE$7:$BE$696,報告入力!$A$7:$A$696,$S$652,報告入力!$B$7:$B$696,$A678)</f>
        <v>1</v>
      </c>
      <c r="P678" s="135" t="n">
        <f aca="false">SUM(N678:O678)</f>
        <v>1</v>
      </c>
      <c r="Q678" s="110" t="str">
        <f aca="false">IF(P613=P678,"〇","×")</f>
        <v>〇</v>
      </c>
      <c r="R678" s="110" t="str">
        <f aca="false">IFERROR(INDEX(報告入力!$C$7:$C$696,MATCH($S$652&amp;"|"&amp;$A678,報告入力!$CG$7:$CG$696,0)),"")</f>
        <v>未受領</v>
      </c>
    </row>
    <row r="679" s="110" customFormat="true" ht="20.1" hidden="false" customHeight="true" outlineLevel="0" collapsed="false">
      <c r="A679" s="121" t="s">
        <v>179</v>
      </c>
      <c r="B679" s="186"/>
      <c r="C679" s="191"/>
      <c r="D679" s="178" t="n">
        <f aca="false">SUMIFS(報告入力!$AW$7:$AW$696,報告入力!$A$7:$A$696,$S$652,報告入力!$B$7:$B$696,$A679)</f>
        <v>48495</v>
      </c>
      <c r="E679" s="182" t="n">
        <f aca="false">SUMIFS(報告入力!$AX$7:$AX$696,報告入力!$A$7:$A$696,$S$652,報告入力!$B$7:$B$696,$A679)</f>
        <v>3975</v>
      </c>
      <c r="F679" s="212" t="n">
        <f aca="false">SUMIFS(報告入力!$AY$7:$AY$696,報告入力!$A$7:$A$696,$S$652,報告入力!$B$7:$B$696,$A679)</f>
        <v>49</v>
      </c>
      <c r="G679" s="181" t="n">
        <f aca="false">SUM(B679:F679)</f>
        <v>52519</v>
      </c>
      <c r="H679" s="263"/>
      <c r="I679" s="183" t="n">
        <f aca="false">SUMIFS(報告入力!$BA$7:$BA$696,報告入力!$A$7:$A$696,$S$652,報告入力!$B$7:$B$696,$A679)</f>
        <v>29208</v>
      </c>
      <c r="J679" s="393" t="n">
        <f aca="false">SUM(H679:I679)</f>
        <v>29208</v>
      </c>
      <c r="K679" s="263"/>
      <c r="L679" s="183" t="n">
        <f aca="false">SUMIFS(報告入力!$BC$7:$BC$696,報告入力!$A$7:$A$696,$S$652,報告入力!$B$7:$B$696,$A679)</f>
        <v>4187</v>
      </c>
      <c r="M679" s="393" t="n">
        <f aca="false">SUM(K679:L679)</f>
        <v>4187</v>
      </c>
      <c r="N679" s="263"/>
      <c r="O679" s="183" t="n">
        <f aca="false">SUMIFS(報告入力!$BE$7:$BE$696,報告入力!$A$7:$A$696,$S$652,報告入力!$B$7:$B$696,$A679)</f>
        <v>1</v>
      </c>
      <c r="P679" s="393" t="n">
        <f aca="false">SUM(N679:O679)</f>
        <v>1</v>
      </c>
      <c r="Q679" s="110" t="str">
        <f aca="false">IF(P614=P679,"〇","×")</f>
        <v>〇</v>
      </c>
      <c r="R679" s="110" t="str">
        <f aca="false">IFERROR(INDEX(報告入力!$C$7:$C$696,MATCH($S$652&amp;"|"&amp;$A679,報告入力!$CG$7:$CG$696,0)),"")</f>
        <v>未受領</v>
      </c>
    </row>
    <row r="680" s="110" customFormat="true" ht="20.1" hidden="false" customHeight="true" outlineLevel="0" collapsed="false">
      <c r="A680" s="192" t="s">
        <v>180</v>
      </c>
      <c r="B680" s="186"/>
      <c r="C680" s="193"/>
      <c r="D680" s="178" t="n">
        <f aca="false">SUMIFS(報告入力!$AW$7:$AW$696,報告入力!$A$7:$A$696,$S$652,報告入力!$B$7:$B$696,$A680)</f>
        <v>124440</v>
      </c>
      <c r="E680" s="182" t="n">
        <f aca="false">SUMIFS(報告入力!$AX$7:$AX$696,報告入力!$A$7:$A$696,$S$652,報告入力!$B$7:$B$696,$A680)</f>
        <v>10200</v>
      </c>
      <c r="F680" s="212" t="n">
        <f aca="false">SUMIFS(報告入力!$AY$7:$AY$696,報告入力!$A$7:$A$696,$S$652,報告入力!$B$7:$B$696,$A680)</f>
        <v>127</v>
      </c>
      <c r="G680" s="181" t="n">
        <f aca="false">SUM(B680:F680)</f>
        <v>134767</v>
      </c>
      <c r="H680" s="263"/>
      <c r="I680" s="183" t="n">
        <f aca="false">SUMIFS(報告入力!$BA$7:$BA$696,報告入力!$A$7:$A$696,$S$652,報告入力!$B$7:$B$696,$A680)</f>
        <v>74949</v>
      </c>
      <c r="J680" s="393" t="n">
        <f aca="false">SUM(H680:I680)</f>
        <v>74949</v>
      </c>
      <c r="K680" s="263"/>
      <c r="L680" s="183" t="n">
        <f aca="false">SUMIFS(報告入力!$BC$7:$BC$696,報告入力!$A$7:$A$696,$S$652,報告入力!$B$7:$B$696,$A680)</f>
        <v>7031</v>
      </c>
      <c r="M680" s="393" t="n">
        <f aca="false">SUM(K680:L680)</f>
        <v>7031</v>
      </c>
      <c r="N680" s="263"/>
      <c r="O680" s="183" t="n">
        <f aca="false">SUMIFS(報告入力!$BE$7:$BE$696,報告入力!$A$7:$A$696,$S$652,報告入力!$B$7:$B$696,$A680)</f>
        <v>1</v>
      </c>
      <c r="P680" s="393" t="n">
        <f aca="false">SUM(N680:O680)</f>
        <v>1</v>
      </c>
      <c r="Q680" s="110" t="str">
        <f aca="false">IF(P615=P680,"〇","×")</f>
        <v>〇</v>
      </c>
      <c r="R680" s="110" t="str">
        <f aca="false">IFERROR(INDEX(報告入力!$C$7:$C$696,MATCH($S$652&amp;"|"&amp;$A680,報告入力!$CG$7:$CG$696,0)),"")</f>
        <v>未受領</v>
      </c>
    </row>
    <row r="681" s="110" customFormat="true" ht="20.1" hidden="false" customHeight="true" outlineLevel="0" collapsed="false">
      <c r="A681" s="100" t="s">
        <v>181</v>
      </c>
      <c r="B681" s="215" t="n">
        <f aca="false">SUMIFS(報告入力!$AU$7:$AU$696,報告入力!$A$7:$A$696,$S$652,報告入力!$B$7:$B$696,$A681)</f>
        <v>245220</v>
      </c>
      <c r="C681" s="212" t="n">
        <f aca="false">SUMIFS(報告入力!$AV$7:$AV$696,報告入力!$A$7:$A$696,$S$652,報告入力!$B$7:$B$696,$A681)</f>
        <v>20100</v>
      </c>
      <c r="D681" s="215" t="n">
        <f aca="false">SUMIFS(報告入力!$AW$7:$AW$696,報告入力!$A$7:$A$696,$S$652,報告入力!$B$7:$B$696,$A681)</f>
        <v>245220</v>
      </c>
      <c r="E681" s="214" t="n">
        <f aca="false">SUMIFS(報告入力!$AX$7:$AX$696,報告入力!$A$7:$A$696,$S$652,報告入力!$B$7:$B$696,$A681)</f>
        <v>20100</v>
      </c>
      <c r="F681" s="179" t="n">
        <f aca="false">SUMIFS(報告入力!$AY$7:$AY$696,報告入力!$A$7:$A$696,$S$652,報告入力!$B$7:$B$696,$A681)</f>
        <v>251</v>
      </c>
      <c r="G681" s="181" t="n">
        <f aca="false">SUM(B681:F681)</f>
        <v>530891</v>
      </c>
      <c r="H681" s="182" t="n">
        <f aca="false">SUMIFS(報告入力!$AZ$7:$AZ$696,報告入力!$A$7:$A$696,$S$652,報告入力!$B$7:$B$696,$A681)</f>
        <v>147425</v>
      </c>
      <c r="I681" s="214" t="n">
        <f aca="false">SUMIFS(報告入力!$BA$7:$BA$696,報告入力!$A$7:$A$696,$S$652,報告入力!$B$7:$B$696,$A681)</f>
        <v>147694</v>
      </c>
      <c r="J681" s="393" t="n">
        <f aca="false">SUM(H681:I681)</f>
        <v>295119</v>
      </c>
      <c r="K681" s="182" t="n">
        <f aca="false">SUMIFS(報告入力!$BB$7:$BB$696,報告入力!$A$7:$A$696,$S$652,報告入力!$B$7:$B$696,$A681)</f>
        <v>9559</v>
      </c>
      <c r="L681" s="214" t="n">
        <f aca="false">SUMIFS(報告入力!$BC$7:$BC$696,報告入力!$A$7:$A$696,$S$652,報告入力!$B$7:$B$696,$A681)</f>
        <v>9559</v>
      </c>
      <c r="M681" s="181" t="n">
        <f aca="false">SUM(K681:L681)</f>
        <v>19118</v>
      </c>
      <c r="N681" s="182" t="n">
        <f aca="false">SUMIFS(報告入力!$BD$7:$BD$696,報告入力!$A$7:$A$696,$S$652,報告入力!$B$7:$B$696,$A681)</f>
        <v>1</v>
      </c>
      <c r="O681" s="214" t="n">
        <f aca="false">SUMIFS(報告入力!$BE$7:$BE$696,報告入力!$A$7:$A$696,$S$652,報告入力!$B$7:$B$696,$A681)</f>
        <v>1</v>
      </c>
      <c r="P681" s="181" t="n">
        <f aca="false">SUM(N681:O681)</f>
        <v>2</v>
      </c>
      <c r="Q681" s="110" t="str">
        <f aca="false">IF(P616=P681,"〇","×")</f>
        <v>〇</v>
      </c>
      <c r="R681" s="110" t="str">
        <f aca="false">IFERROR(INDEX(報告入力!$C$7:$C$696,MATCH($S$652&amp;"|"&amp;$A681,報告入力!$CG$7:$CG$696,0)),"")</f>
        <v>未受領</v>
      </c>
    </row>
    <row r="682" s="110" customFormat="true" ht="20.1" hidden="false" customHeight="true" outlineLevel="0" collapsed="false">
      <c r="A682" s="194" t="s">
        <v>182</v>
      </c>
      <c r="B682" s="178" t="n">
        <f aca="false">SUMIFS(報告入力!$AU$7:$AU$696,報告入力!$A$7:$A$696,$S$652,報告入力!$B$7:$B$696,$A682)</f>
        <v>40260</v>
      </c>
      <c r="C682" s="212" t="n">
        <f aca="false">SUMIFS(報告入力!$AV$7:$AV$696,報告入力!$A$7:$A$696,$S$652,報告入力!$B$7:$B$696,$A682)</f>
        <v>3300</v>
      </c>
      <c r="D682" s="178" t="n">
        <f aca="false">SUMIFS(報告入力!$AW$7:$AW$696,報告入力!$A$7:$A$696,$S$652,報告入力!$B$7:$B$696,$A682)</f>
        <v>40260</v>
      </c>
      <c r="E682" s="182" t="n">
        <f aca="false">SUMIFS(報告入力!$AX$7:$AX$696,報告入力!$A$7:$A$696,$S$652,報告入力!$B$7:$B$696,$A682)</f>
        <v>3300</v>
      </c>
      <c r="F682" s="212" t="n">
        <f aca="false">SUMIFS(報告入力!$AY$7:$AY$696,報告入力!$A$7:$A$696,$S$652,報告入力!$B$7:$B$696,$A682)</f>
        <v>41</v>
      </c>
      <c r="G682" s="181" t="n">
        <f aca="false">SUM(B682:F682)</f>
        <v>87161</v>
      </c>
      <c r="H682" s="262" t="n">
        <f aca="false">SUMIFS(報告入力!$AZ$7:$AZ$696,報告入力!$A$7:$A$696,$S$652,報告入力!$B$7:$B$696,$A682)</f>
        <v>24204</v>
      </c>
      <c r="I682" s="370" t="n">
        <f aca="false">SUMIFS(報告入力!$BA$7:$BA$696,報告入力!$A$7:$A$696,$S$652,報告入力!$B$7:$B$696,$A682)</f>
        <v>24248</v>
      </c>
      <c r="J682" s="135" t="n">
        <f aca="false">SUM(H682:I682)</f>
        <v>48452</v>
      </c>
      <c r="K682" s="262" t="n">
        <f aca="false">SUMIFS(報告入力!$BB$7:$BB$696,報告入力!$A$7:$A$696,$S$652,報告入力!$B$7:$B$696,$A682)</f>
        <v>0</v>
      </c>
      <c r="L682" s="370" t="n">
        <f aca="false">SUMIFS(報告入力!$BC$7:$BC$696,報告入力!$A$7:$A$696,$S$652,報告入力!$B$7:$B$696,$A682)</f>
        <v>0</v>
      </c>
      <c r="M682" s="135" t="n">
        <f aca="false">SUM(K682:L682)</f>
        <v>0</v>
      </c>
      <c r="N682" s="262" t="n">
        <f aca="false">SUMIFS(報告入力!$BD$7:$BD$696,報告入力!$A$7:$A$696,$S$652,報告入力!$B$7:$B$696,$A682)</f>
        <v>1</v>
      </c>
      <c r="O682" s="370" t="n">
        <f aca="false">SUMIFS(報告入力!$BE$7:$BE$696,報告入力!$A$7:$A$696,$S$652,報告入力!$B$7:$B$696,$A682)</f>
        <v>1</v>
      </c>
      <c r="P682" s="135" t="n">
        <f aca="false">SUM(N682:O682)</f>
        <v>2</v>
      </c>
      <c r="Q682" s="110" t="str">
        <f aca="false">IF(P617=P682,"〇","×")</f>
        <v>〇</v>
      </c>
      <c r="R682" s="110" t="str">
        <f aca="false">IFERROR(INDEX(報告入力!$C$7:$C$696,MATCH($S$652&amp;"|"&amp;$A682,報告入力!$CG$7:$CG$696,0)),"")</f>
        <v>未受領</v>
      </c>
    </row>
    <row r="683" s="110" customFormat="true" ht="20.1" hidden="false" customHeight="true" outlineLevel="0" collapsed="false">
      <c r="A683" s="197" t="s">
        <v>183</v>
      </c>
      <c r="B683" s="178" t="n">
        <f aca="false">SUMIFS(報告入力!$AU$7:$AU$696,報告入力!$A$7:$A$696,$S$652,報告入力!$B$7:$B$696,$A683)</f>
        <v>102480</v>
      </c>
      <c r="C683" s="212" t="n">
        <f aca="false">SUMIFS(報告入力!$AV$7:$AV$696,報告入力!$A$7:$A$696,$S$652,報告入力!$B$7:$B$696,$A683)</f>
        <v>8400</v>
      </c>
      <c r="D683" s="178" t="n">
        <f aca="false">SUMIFS(報告入力!$AW$7:$AW$696,報告入力!$A$7:$A$696,$S$652,報告入力!$B$7:$B$696,$A683)</f>
        <v>102480</v>
      </c>
      <c r="E683" s="182" t="n">
        <f aca="false">SUMIFS(報告入力!$AX$7:$AX$696,報告入力!$A$7:$A$696,$S$652,報告入力!$B$7:$B$696,$A683)</f>
        <v>8400</v>
      </c>
      <c r="F683" s="212" t="n">
        <f aca="false">SUMIFS(報告入力!$AY$7:$AY$696,報告入力!$A$7:$A$696,$S$652,報告入力!$B$7:$B$696,$A683)</f>
        <v>105</v>
      </c>
      <c r="G683" s="181" t="n">
        <f aca="false">SUM(B683:F683)</f>
        <v>221865</v>
      </c>
      <c r="H683" s="262" t="n">
        <f aca="false">SUMIFS(報告入力!$AZ$7:$AZ$696,報告入力!$A$7:$A$696,$S$652,報告入力!$B$7:$B$696,$A683)</f>
        <v>61610</v>
      </c>
      <c r="I683" s="183" t="n">
        <f aca="false">SUMIFS(報告入力!$BA$7:$BA$696,報告入力!$A$7:$A$696,$S$652,報告入力!$B$7:$B$696,$A683)</f>
        <v>61723</v>
      </c>
      <c r="J683" s="135" t="n">
        <f aca="false">SUM(H683:I683)</f>
        <v>123333</v>
      </c>
      <c r="K683" s="262" t="n">
        <f aca="false">SUMIFS(報告入力!$BB$7:$BB$696,報告入力!$A$7:$A$696,$S$652,報告入力!$B$7:$B$696,$A683)</f>
        <v>4661</v>
      </c>
      <c r="L683" s="183" t="n">
        <f aca="false">SUMIFS(報告入力!$BC$7:$BC$696,報告入力!$A$7:$A$696,$S$652,報告入力!$B$7:$B$696,$A683)</f>
        <v>4661</v>
      </c>
      <c r="M683" s="135" t="n">
        <f aca="false">SUM(K683:L683)</f>
        <v>9322</v>
      </c>
      <c r="N683" s="262" t="n">
        <f aca="false">SUMIFS(報告入力!$BD$7:$BD$696,報告入力!$A$7:$A$696,$S$652,報告入力!$B$7:$B$696,$A683)</f>
        <v>1</v>
      </c>
      <c r="O683" s="183" t="n">
        <f aca="false">SUMIFS(報告入力!$BE$7:$BE$696,報告入力!$A$7:$A$696,$S$652,報告入力!$B$7:$B$696,$A683)</f>
        <v>1</v>
      </c>
      <c r="P683" s="135" t="n">
        <f aca="false">SUM(N683:O683)</f>
        <v>2</v>
      </c>
      <c r="Q683" s="110" t="str">
        <f aca="false">IF(P618=P683,"〇","×")</f>
        <v>〇</v>
      </c>
      <c r="R683" s="110" t="str">
        <f aca="false">IFERROR(INDEX(報告入力!$C$7:$C$696,MATCH($S$652&amp;"|"&amp;$A683,報告入力!$CG$7:$CG$696,0)),"")</f>
        <v>未受領</v>
      </c>
    </row>
    <row r="684" s="110" customFormat="true" ht="20.1" hidden="false" customHeight="true" outlineLevel="0" collapsed="false">
      <c r="A684" s="100" t="s">
        <v>184</v>
      </c>
      <c r="B684" s="384" t="n">
        <f aca="false">SUMIFS(報告入力!$AU$7:$AU$696,報告入力!$A$7:$A$696,$S$652,報告入力!$B$7:$B$696,$A684)</f>
        <v>912255</v>
      </c>
      <c r="C684" s="368" t="n">
        <f aca="false">SUMIFS(報告入力!$AV$7:$AV$696,報告入力!$A$7:$A$696,$S$652,報告入力!$B$7:$B$696,$A684)</f>
        <v>74775</v>
      </c>
      <c r="D684" s="215" t="n">
        <f aca="false">SUMIFS(報告入力!$AW$7:$AW$696,報告入力!$A$7:$A$696,$S$652,報告入力!$B$7:$B$696,$A684)</f>
        <v>912255</v>
      </c>
      <c r="E684" s="369" t="n">
        <f aca="false">SUMIFS(報告入力!$AX$7:$AX$696,報告入力!$A$7:$A$696,$S$652,報告入力!$B$7:$B$696,$A684)</f>
        <v>74775</v>
      </c>
      <c r="F684" s="368" t="n">
        <f aca="false">SUMIFS(報告入力!$AY$7:$AY$696,報告入力!$A$7:$A$696,$S$652,報告入力!$B$7:$B$696,$A684)</f>
        <v>936</v>
      </c>
      <c r="G684" s="181" t="n">
        <f aca="false">SUM(B684:F684)</f>
        <v>1974996</v>
      </c>
      <c r="H684" s="420" t="n">
        <f aca="false">SUMIFS(報告入力!$AZ$7:$AZ$696,報告入力!$A$7:$A$696,$S$652,報告入力!$B$7:$B$696,$A684)</f>
        <v>548442</v>
      </c>
      <c r="I684" s="421" t="n">
        <f aca="false">SUMIFS(報告入力!$BA$7:$BA$696,報告入力!$A$7:$A$696,$S$652,報告入力!$B$7:$B$696,$A684)</f>
        <v>549446</v>
      </c>
      <c r="J684" s="135" t="n">
        <f aca="false">SUM(H684:I684)</f>
        <v>1097888</v>
      </c>
      <c r="K684" s="215" t="n">
        <f aca="false">SUMIFS(報告入力!$BB$7:$BB$696,報告入力!$A$7:$A$696,$S$652,報告入力!$B$7:$B$696,$A684)</f>
        <v>50086</v>
      </c>
      <c r="L684" s="421" t="n">
        <f aca="false">SUMIFS(報告入力!$BC$7:$BC$696,報告入力!$A$7:$A$696,$S$652,報告入力!$B$7:$B$696,$A684)</f>
        <v>50086</v>
      </c>
      <c r="M684" s="135" t="n">
        <f aca="false">SUM(K684:L684)</f>
        <v>100172</v>
      </c>
      <c r="N684" s="215" t="n">
        <f aca="false">SUMIFS(報告入力!$BD$7:$BD$696,報告入力!$A$7:$A$696,$S$652,報告入力!$B$7:$B$696,$A684)</f>
        <v>1</v>
      </c>
      <c r="O684" s="421" t="n">
        <f aca="false">SUMIFS(報告入力!$BE$7:$BE$696,報告入力!$A$7:$A$696,$S$652,報告入力!$B$7:$B$696,$A684)</f>
        <v>1</v>
      </c>
      <c r="P684" s="135" t="n">
        <f aca="false">SUM(N684:O684)</f>
        <v>2</v>
      </c>
      <c r="Q684" s="110" t="str">
        <f aca="false">IF(P619=P684,"〇","×")</f>
        <v>〇</v>
      </c>
      <c r="R684" s="110" t="str">
        <f aca="false">IFERROR(INDEX(報告入力!$C$7:$C$696,MATCH($S$652&amp;"|"&amp;$A684,報告入力!$CG$7:$CG$696,0)),"")</f>
        <v>未受領</v>
      </c>
    </row>
    <row r="685" s="110" customFormat="true" ht="20.1" hidden="false" customHeight="true" outlineLevel="0" collapsed="false">
      <c r="A685" s="100" t="s">
        <v>185</v>
      </c>
      <c r="B685" s="201"/>
      <c r="C685" s="191"/>
      <c r="D685" s="178" t="n">
        <f aca="false">SUMIFS(報告入力!$AW$7:$AW$696,報告入力!$A$7:$A$696,$S$652,報告入力!$B$7:$B$696,$A685)</f>
        <v>571875</v>
      </c>
      <c r="E685" s="182" t="n">
        <f aca="false">SUMIFS(報告入力!$AX$7:$AX$696,報告入力!$A$7:$A$696,$S$652,報告入力!$B$7:$B$696,$A685)</f>
        <v>46875</v>
      </c>
      <c r="F685" s="212" t="n">
        <f aca="false">SUMIFS(報告入力!$AY$7:$AY$696,報告入力!$A$7:$A$696,$S$652,報告入力!$B$7:$B$696,$A685)</f>
        <v>613</v>
      </c>
      <c r="G685" s="181" t="n">
        <f aca="false">SUM(B685:F685)</f>
        <v>619363</v>
      </c>
      <c r="H685" s="397"/>
      <c r="I685" s="370" t="n">
        <f aca="false">SUMIFS(報告入力!$BA$7:$BA$696,報告入力!$A$7:$A$696,$S$652,報告入力!$B$7:$B$696,$A685)</f>
        <v>344467</v>
      </c>
      <c r="J685" s="135" t="n">
        <f aca="false">SUM(H685:I685)</f>
        <v>344467</v>
      </c>
      <c r="K685" s="263"/>
      <c r="L685" s="370" t="n">
        <f aca="false">SUMIFS(報告入力!$BC$7:$BC$696,報告入力!$A$7:$A$696,$S$652,報告入力!$B$7:$B$696,$A685)</f>
        <v>27255</v>
      </c>
      <c r="M685" s="135" t="n">
        <f aca="false">SUM(K685:L685)</f>
        <v>27255</v>
      </c>
      <c r="N685" s="263"/>
      <c r="O685" s="370" t="n">
        <f aca="false">SUMIFS(報告入力!$BE$7:$BE$696,報告入力!$A$7:$A$696,$S$652,報告入力!$B$7:$B$696,$A685)</f>
        <v>1</v>
      </c>
      <c r="P685" s="135" t="n">
        <f aca="false">SUM(N685:O685)</f>
        <v>1</v>
      </c>
      <c r="Q685" s="110" t="str">
        <f aca="false">IF(P620=P685,"〇","×")</f>
        <v>〇</v>
      </c>
      <c r="R685" s="110" t="str">
        <f aca="false">IFERROR(INDEX(報告入力!$C$7:$C$696,MATCH($S$652&amp;"|"&amp;$A685,報告入力!$CG$7:$CG$696,0)),"")</f>
        <v>未受領</v>
      </c>
    </row>
    <row r="686" s="110" customFormat="true" ht="20.1" hidden="false" customHeight="true" outlineLevel="0" collapsed="false">
      <c r="A686" s="203" t="s">
        <v>186</v>
      </c>
      <c r="B686" s="186"/>
      <c r="C686" s="193"/>
      <c r="D686" s="178" t="n">
        <f aca="false">SUMIFS(報告入力!$AW$7:$AW$696,報告入力!$A$7:$A$696,$S$652,報告入力!$B$7:$B$696,$A686)</f>
        <v>1160220</v>
      </c>
      <c r="E686" s="182" t="n">
        <f aca="false">SUMIFS(報告入力!$AX$7:$AX$696,報告入力!$A$7:$A$696,$S$652,報告入力!$B$7:$B$696,$A686)</f>
        <v>95100</v>
      </c>
      <c r="F686" s="212" t="n">
        <f aca="false">SUMIFS(報告入力!$AY$7:$AY$696,報告入力!$A$7:$A$696,$S$652,報告入力!$B$7:$B$696,$A686)</f>
        <v>1185</v>
      </c>
      <c r="G686" s="181" t="n">
        <f aca="false">SUM(B686:F686)</f>
        <v>1256505</v>
      </c>
      <c r="H686" s="263"/>
      <c r="I686" s="370" t="n">
        <f aca="false">SUMIFS(報告入力!$BA$7:$BA$696,報告入力!$A$7:$A$696,$S$652,報告入力!$B$7:$B$696,$A686)</f>
        <v>698790</v>
      </c>
      <c r="J686" s="135" t="n">
        <f aca="false">SUM(H686:I686)</f>
        <v>698790</v>
      </c>
      <c r="K686" s="263"/>
      <c r="L686" s="370" t="n">
        <f aca="false">SUMIFS(報告入力!$BC$7:$BC$696,報告入力!$A$7:$A$696,$S$652,報告入力!$B$7:$B$696,$A686)</f>
        <v>94721</v>
      </c>
      <c r="M686" s="135" t="n">
        <f aca="false">SUM(K686:L686)</f>
        <v>94721</v>
      </c>
      <c r="N686" s="263"/>
      <c r="O686" s="370" t="n">
        <f aca="false">SUMIFS(報告入力!$BE$7:$BE$696,報告入力!$A$7:$A$696,$S$652,報告入力!$B$7:$B$696,$A686)</f>
        <v>1</v>
      </c>
      <c r="P686" s="135" t="n">
        <f aca="false">SUM(N686:O686)</f>
        <v>1</v>
      </c>
      <c r="Q686" s="110" t="str">
        <f aca="false">IF(P621=P686,"〇","×")</f>
        <v>〇</v>
      </c>
      <c r="R686" s="110" t="str">
        <f aca="false">IFERROR(INDEX(報告入力!$C$7:$C$696,MATCH($S$652&amp;"|"&amp;$A686,報告入力!$CG$7:$CG$696,0)),"")</f>
        <v>未受領</v>
      </c>
    </row>
    <row r="687" s="110" customFormat="true" ht="20.1" hidden="false" customHeight="true" outlineLevel="0" collapsed="false">
      <c r="A687" s="204" t="s">
        <v>187</v>
      </c>
      <c r="B687" s="186"/>
      <c r="C687" s="193"/>
      <c r="D687" s="215" t="n">
        <f aca="false">SUMIFS(報告入力!$AW$7:$AW$696,報告入力!$A$7:$A$696,$S$652,報告入力!$B$7:$B$696,$A687)</f>
        <v>0</v>
      </c>
      <c r="E687" s="213" t="n">
        <f aca="false">SUMIFS(報告入力!$AX$7:$AX$696,報告入力!$A$7:$A$696,$S$652,報告入力!$B$7:$B$696,$A687)</f>
        <v>0</v>
      </c>
      <c r="F687" s="385" t="n">
        <f aca="false">SUMIFS(報告入力!$AY$7:$AY$696,報告入力!$A$7:$A$696,$S$652,報告入力!$B$7:$B$696,$A687)</f>
        <v>0</v>
      </c>
      <c r="G687" s="181" t="n">
        <f aca="false">SUM(B687:F687)</f>
        <v>0</v>
      </c>
      <c r="H687" s="263"/>
      <c r="I687" s="370" t="n">
        <f aca="false">SUMIFS(報告入力!$BA$7:$BA$696,報告入力!$A$7:$A$696,$S$652,報告入力!$B$7:$B$696,$A687)</f>
        <v>0</v>
      </c>
      <c r="J687" s="135" t="n">
        <f aca="false">SUM(H687:I687)</f>
        <v>0</v>
      </c>
      <c r="K687" s="263"/>
      <c r="L687" s="370" t="n">
        <f aca="false">SUMIFS(報告入力!$BC$7:$BC$696,報告入力!$A$7:$A$696,$S$652,報告入力!$B$7:$B$696,$A687)</f>
        <v>0</v>
      </c>
      <c r="M687" s="135" t="n">
        <f aca="false">SUM(K687:L687)</f>
        <v>0</v>
      </c>
      <c r="N687" s="263"/>
      <c r="O687" s="370" t="n">
        <f aca="false">SUMIFS(報告入力!$BE$7:$BE$696,報告入力!$A$7:$A$696,$S$652,報告入力!$B$7:$B$696,$A687)</f>
        <v>0</v>
      </c>
      <c r="P687" s="135" t="n">
        <f aca="false">SUM(N687:O687)</f>
        <v>0</v>
      </c>
      <c r="Q687" s="110" t="str">
        <f aca="false">IF(P622=P687,"〇","×")</f>
        <v>〇</v>
      </c>
      <c r="R687" s="110" t="str">
        <f aca="false">IFERROR(INDEX(報告入力!$C$7:$C$696,MATCH($S$652&amp;"|"&amp;$A687,報告入力!$CG$7:$CG$696,0)),"")</f>
        <v>未受領</v>
      </c>
    </row>
    <row r="688" s="110" customFormat="true" ht="20.1" hidden="false" customHeight="true" outlineLevel="0" collapsed="false">
      <c r="A688" s="100" t="s">
        <v>188</v>
      </c>
      <c r="B688" s="186"/>
      <c r="C688" s="193"/>
      <c r="D688" s="362" t="n">
        <f aca="false">SUMIFS(報告入力!$AW$7:$AW$696,報告入力!$A$7:$A$696,$S$652,報告入力!$B$7:$B$696,$A688)</f>
        <v>394365</v>
      </c>
      <c r="E688" s="182" t="n">
        <f aca="false">SUMIFS(報告入力!$AX$7:$AX$696,報告入力!$A$7:$A$696,$S$652,報告入力!$B$7:$B$696,$A688)</f>
        <v>32325</v>
      </c>
      <c r="F688" s="368" t="n">
        <f aca="false">SUMIFS(報告入力!$AY$7:$AY$696,報告入力!$A$7:$A$696,$S$652,報告入力!$B$7:$B$696,$A688)</f>
        <v>403</v>
      </c>
      <c r="G688" s="181" t="n">
        <f aca="false">SUM(B688:F688)</f>
        <v>427093</v>
      </c>
      <c r="H688" s="263"/>
      <c r="I688" s="183" t="n">
        <f aca="false">SUMIFS(報告入力!$BA$7:$BA$696,報告入力!$A$7:$A$696,$S$652,報告入力!$B$7:$B$696,$A688)</f>
        <v>237523</v>
      </c>
      <c r="J688" s="393" t="n">
        <f aca="false">SUM(H688:I688)</f>
        <v>237523</v>
      </c>
      <c r="K688" s="263"/>
      <c r="L688" s="183" t="n">
        <f aca="false">SUMIFS(報告入力!$BC$7:$BC$696,報告入力!$A$7:$A$696,$S$652,報告入力!$B$7:$B$696,$A688)</f>
        <v>34049</v>
      </c>
      <c r="M688" s="393" t="n">
        <f aca="false">SUM(K688:L688)</f>
        <v>34049</v>
      </c>
      <c r="N688" s="263"/>
      <c r="O688" s="183" t="n">
        <f aca="false">SUMIFS(報告入力!$BE$7:$BE$696,報告入力!$A$7:$A$696,$S$652,報告入力!$B$7:$B$696,$A688)</f>
        <v>1</v>
      </c>
      <c r="P688" s="393" t="n">
        <f aca="false">SUM(N688:O688)</f>
        <v>1</v>
      </c>
      <c r="Q688" s="110" t="str">
        <f aca="false">IF(P623=P688,"〇","×")</f>
        <v>〇</v>
      </c>
      <c r="R688" s="110" t="str">
        <f aca="false">IFERROR(INDEX(報告入力!$C$7:$C$696,MATCH($S$652&amp;"|"&amp;$A688,報告入力!$CG$7:$CG$696,0)),"")</f>
        <v>未受領</v>
      </c>
    </row>
    <row r="689" s="110" customFormat="true" ht="20.1" hidden="false" customHeight="true" outlineLevel="0" collapsed="false">
      <c r="A689" s="121" t="s">
        <v>189</v>
      </c>
      <c r="B689" s="178" t="n">
        <f aca="false">SUMIFS(報告入力!$AU$7:$AU$696,報告入力!$A$7:$A$696,$S$652,報告入力!$B$7:$B$696,$A689)</f>
        <v>137250</v>
      </c>
      <c r="C689" s="212" t="n">
        <f aca="false">SUMIFS(報告入力!$AV$7:$AV$696,報告入力!$A$7:$A$696,$S$652,報告入力!$B$7:$B$696,$A689)</f>
        <v>11250</v>
      </c>
      <c r="D689" s="178" t="n">
        <f aca="false">SUMIFS(報告入力!$AW$7:$AW$696,報告入力!$A$7:$A$696,$S$652,報告入力!$B$7:$B$696,$A689)</f>
        <v>137250</v>
      </c>
      <c r="E689" s="182" t="n">
        <f aca="false">SUMIFS(報告入力!$AX$7:$AX$696,報告入力!$A$7:$A$696,$S$652,報告入力!$B$7:$B$696,$A689)</f>
        <v>11250</v>
      </c>
      <c r="F689" s="368" t="n">
        <f aca="false">SUMIFS(報告入力!$AY$7:$AY$696,報告入力!$A$7:$A$696,$S$652,報告入力!$B$7:$B$696,$A689)</f>
        <v>140</v>
      </c>
      <c r="G689" s="181" t="n">
        <f aca="false">SUM(B689:F689)</f>
        <v>297140</v>
      </c>
      <c r="H689" s="262" t="n">
        <f aca="false">SUMIFS(報告入力!$AZ$7:$AZ$696,報告入力!$A$7:$A$696,$S$652,報告入力!$B$7:$B$696,$A689)</f>
        <v>82514</v>
      </c>
      <c r="I689" s="370" t="n">
        <f aca="false">SUMIFS(報告入力!$BA$7:$BA$696,報告入力!$A$7:$A$696,$S$652,報告入力!$B$7:$B$696,$A689)</f>
        <v>82665</v>
      </c>
      <c r="J689" s="135" t="n">
        <f aca="false">SUM(H689:I689)</f>
        <v>165179</v>
      </c>
      <c r="K689" s="262" t="n">
        <f aca="false">SUMIFS(報告入力!$BB$7:$BB$696,報告入力!$A$7:$A$696,$S$652,報告入力!$B$7:$B$696,$A689)</f>
        <v>8611</v>
      </c>
      <c r="L689" s="370" t="n">
        <f aca="false">SUMIFS(報告入力!$BC$7:$BC$696,報告入力!$A$7:$A$696,$S$652,報告入力!$B$7:$B$696,$A689)</f>
        <v>8611</v>
      </c>
      <c r="M689" s="135" t="n">
        <f aca="false">SUM(K689:L689)</f>
        <v>17222</v>
      </c>
      <c r="N689" s="262" t="n">
        <f aca="false">SUMIFS(報告入力!$BD$7:$BD$696,報告入力!$A$7:$A$696,$S$652,報告入力!$B$7:$B$696,$A689)</f>
        <v>1</v>
      </c>
      <c r="O689" s="370" t="n">
        <f aca="false">SUMIFS(報告入力!$BE$7:$BE$696,報告入力!$A$7:$A$696,$S$652,報告入力!$B$7:$B$696,$A689)</f>
        <v>1</v>
      </c>
      <c r="P689" s="135" t="n">
        <f aca="false">SUM(N689:O689)</f>
        <v>2</v>
      </c>
      <c r="Q689" s="110" t="str">
        <f aca="false">IF(P624=P689,"〇","×")</f>
        <v>〇</v>
      </c>
      <c r="R689" s="110" t="str">
        <f aca="false">IFERROR(INDEX(報告入力!$C$7:$C$696,MATCH($S$652&amp;"|"&amp;$A689,報告入力!$CG$7:$CG$696,0)),"")</f>
        <v>未受領</v>
      </c>
    </row>
    <row r="690" s="110" customFormat="true" ht="20.1" hidden="false" customHeight="true" outlineLevel="0" collapsed="false">
      <c r="A690" s="206" t="s">
        <v>190</v>
      </c>
      <c r="B690" s="201"/>
      <c r="C690" s="191"/>
      <c r="D690" s="178" t="n">
        <f aca="false">SUMIFS(報告入力!$AW$7:$AW$696,報告入力!$A$7:$A$696,$S$652,報告入力!$B$7:$B$696,$A690)</f>
        <v>472140</v>
      </c>
      <c r="E690" s="182" t="n">
        <f aca="false">SUMIFS(報告入力!$AX$7:$AX$696,報告入力!$A$7:$A$696,$S$652,報告入力!$B$7:$B$696,$A690)</f>
        <v>38700</v>
      </c>
      <c r="F690" s="368" t="n">
        <f aca="false">SUMIFS(報告入力!$AY$7:$AY$696,報告入力!$A$7:$A$696,$S$652,報告入力!$B$7:$B$696,$A690)</f>
        <v>484</v>
      </c>
      <c r="G690" s="181" t="n">
        <f aca="false">SUM(D690:F690)</f>
        <v>511324</v>
      </c>
      <c r="H690" s="397"/>
      <c r="I690" s="370" t="n">
        <f aca="false">SUMIFS(報告入力!$BA$7:$BA$696,報告入力!$A$7:$A$696,$S$652,報告入力!$B$7:$B$696,$A690)</f>
        <v>289878</v>
      </c>
      <c r="J690" s="135" t="n">
        <f aca="false">SUM(H690:I690)</f>
        <v>289878</v>
      </c>
      <c r="K690" s="263"/>
      <c r="L690" s="370" t="n">
        <f aca="false">SUMIFS(報告入力!$BC$7:$BC$696,報告入力!$A$7:$A$696,$S$652,報告入力!$B$7:$B$696,$A690)</f>
        <v>25517</v>
      </c>
      <c r="M690" s="422" t="n">
        <f aca="false">SUM(K690:L690)</f>
        <v>25517</v>
      </c>
      <c r="N690" s="263"/>
      <c r="O690" s="370" t="n">
        <f aca="false">SUMIFS(報告入力!$BE$7:$BE$696,報告入力!$A$7:$A$696,$S$652,報告入力!$B$7:$B$696,$A690)</f>
        <v>1</v>
      </c>
      <c r="P690" s="422" t="n">
        <f aca="false">SUM(N690:O690)</f>
        <v>1</v>
      </c>
      <c r="Q690" s="110" t="str">
        <f aca="false">IF(P625=P690,"〇","×")</f>
        <v>〇</v>
      </c>
      <c r="R690" s="110" t="str">
        <f aca="false">IFERROR(INDEX(報告入力!$C$7:$C$696,MATCH($S$652&amp;"|"&amp;$A690,報告入力!$CG$7:$CG$696,0)),"")</f>
        <v>未受領</v>
      </c>
    </row>
    <row r="691" s="110" customFormat="true" ht="20.1" hidden="false" customHeight="true" outlineLevel="0" collapsed="false">
      <c r="A691" s="189" t="s">
        <v>191</v>
      </c>
      <c r="B691" s="178" t="n">
        <f aca="false">SUMIFS(報告入力!$AU$7:$AU$696,報告入力!$A$7:$A$696,$S$652,報告入力!$B$7:$B$696,$A691)</f>
        <v>56730</v>
      </c>
      <c r="C691" s="212" t="n">
        <f aca="false">SUMIFS(報告入力!$AV$7:$AV$696,報告入力!$A$7:$A$696,$S$652,報告入力!$B$7:$B$696,$A691)</f>
        <v>4650</v>
      </c>
      <c r="D691" s="178" t="n">
        <f aca="false">SUMIFS(報告入力!$AW$7:$AW$696,報告入力!$A$7:$A$696,$S$652,報告入力!$B$7:$B$696,$A691)</f>
        <v>56730</v>
      </c>
      <c r="E691" s="182" t="n">
        <f aca="false">SUMIFS(報告入力!$AX$7:$AX$696,報告入力!$A$7:$A$696,$S$652,報告入力!$B$7:$B$696,$A691)</f>
        <v>4650</v>
      </c>
      <c r="F691" s="212" t="n">
        <f aca="false">SUMIFS(報告入力!$AY$7:$AY$696,報告入力!$A$7:$A$696,$S$652,報告入力!$B$7:$B$696,$A691)</f>
        <v>58</v>
      </c>
      <c r="G691" s="181" t="n">
        <f aca="false">SUM(B691:F691)</f>
        <v>122818</v>
      </c>
      <c r="H691" s="262" t="n">
        <f aca="false">SUMIFS(報告入力!$AZ$7:$AZ$696,報告入力!$A$7:$A$696,$S$652,報告入力!$B$7:$B$696,$A691)</f>
        <v>34106</v>
      </c>
      <c r="I691" s="183" t="n">
        <f aca="false">SUMIFS(報告入力!$BA$7:$BA$696,報告入力!$A$7:$A$696,$S$652,報告入力!$B$7:$B$696,$A691)</f>
        <v>34168</v>
      </c>
      <c r="J691" s="135" t="n">
        <f aca="false">SUM(H691:I691)</f>
        <v>68274</v>
      </c>
      <c r="K691" s="262" t="n">
        <f aca="false">SUMIFS(報告入力!$BB$7:$BB$696,報告入力!$A$7:$A$696,$S$652,報告入力!$B$7:$B$696,$A691)</f>
        <v>4898</v>
      </c>
      <c r="L691" s="183" t="n">
        <f aca="false">SUMIFS(報告入力!$BC$7:$BC$696,報告入力!$A$7:$A$696,$S$652,報告入力!$B$7:$B$696,$A691)</f>
        <v>4898</v>
      </c>
      <c r="M691" s="135" t="n">
        <f aca="false">SUM(K691:L691)</f>
        <v>9796</v>
      </c>
      <c r="N691" s="262" t="n">
        <f aca="false">SUMIFS(報告入力!$BD$7:$BD$696,報告入力!$A$7:$A$696,$S$652,報告入力!$B$7:$B$696,$A691)</f>
        <v>1</v>
      </c>
      <c r="O691" s="183" t="n">
        <f aca="false">SUMIFS(報告入力!$BE$7:$BE$696,報告入力!$A$7:$A$696,$S$652,報告入力!$B$7:$B$696,$A691)</f>
        <v>1</v>
      </c>
      <c r="P691" s="135" t="n">
        <f aca="false">SUM(N691:O691)</f>
        <v>2</v>
      </c>
      <c r="Q691" s="110" t="str">
        <f aca="false">IF(P626=P691,"〇","×")</f>
        <v>〇</v>
      </c>
      <c r="R691" s="110" t="str">
        <f aca="false">IFERROR(INDEX(報告入力!$C$7:$C$696,MATCH($S$652&amp;"|"&amp;$A691,報告入力!$CG$7:$CG$696,0)),"")</f>
        <v>未受領</v>
      </c>
    </row>
    <row r="692" s="110" customFormat="true" ht="20.1" hidden="false" customHeight="true" outlineLevel="0" collapsed="false">
      <c r="A692" s="189" t="s">
        <v>192</v>
      </c>
      <c r="B692" s="215" t="n">
        <f aca="false">SUMIFS(報告入力!$AU$7:$AU$696,報告入力!$A$7:$A$696,$S$652,報告入力!$B$7:$B$696,$A692)</f>
        <v>59475</v>
      </c>
      <c r="C692" s="212" t="n">
        <f aca="false">SUMIFS(報告入力!$AV$7:$AV$696,報告入力!$A$7:$A$696,$S$652,報告入力!$B$7:$B$696,$A692)</f>
        <v>4875</v>
      </c>
      <c r="D692" s="178" t="n">
        <f aca="false">SUMIFS(報告入力!$AW$7:$AW$696,報告入力!$A$7:$A$696,$S$652,報告入力!$B$7:$B$696,$A692)</f>
        <v>59475</v>
      </c>
      <c r="E692" s="182" t="n">
        <f aca="false">SUMIFS(報告入力!$AX$7:$AX$696,報告入力!$A$7:$A$696,$S$652,報告入力!$B$7:$B$696,$A692)</f>
        <v>4875</v>
      </c>
      <c r="F692" s="212" t="n">
        <f aca="false">SUMIFS(報告入力!$AY$7:$AY$696,報告入力!$A$7:$A$696,$S$652,報告入力!$B$7:$B$696,$A692)</f>
        <v>61</v>
      </c>
      <c r="G692" s="181" t="n">
        <f aca="false">SUM(B692:F692)</f>
        <v>128761</v>
      </c>
      <c r="H692" s="215" t="n">
        <f aca="false">SUMIFS(報告入力!$AZ$7:$AZ$696,報告入力!$A$7:$A$696,$S$652,報告入力!$B$7:$B$696,$A692)</f>
        <v>41257</v>
      </c>
      <c r="I692" s="183" t="n">
        <f aca="false">SUMIFS(報告入力!$BA$7:$BA$696,報告入力!$A$7:$A$696,$S$652,報告入力!$B$7:$B$696,$A692)</f>
        <v>41332</v>
      </c>
      <c r="J692" s="393" t="n">
        <f aca="false">SUM(H692:I692)</f>
        <v>82589</v>
      </c>
      <c r="K692" s="215" t="n">
        <f aca="false">SUMIFS(報告入力!$BB$7:$BB$696,報告入力!$A$7:$A$696,$S$652,報告入力!$B$7:$B$696,$A692)</f>
        <v>5925</v>
      </c>
      <c r="L692" s="362" t="n">
        <f aca="false">SUMIFS(報告入力!$BC$7:$BC$696,報告入力!$A$7:$A$696,$S$652,報告入力!$B$7:$B$696,$A692)</f>
        <v>5925</v>
      </c>
      <c r="M692" s="181" t="n">
        <f aca="false">SUM(K692:L692)</f>
        <v>11850</v>
      </c>
      <c r="N692" s="215" t="n">
        <f aca="false">SUMIFS(報告入力!$BD$7:$BD$696,報告入力!$A$7:$A$696,$S$652,報告入力!$B$7:$B$696,$A692)</f>
        <v>1</v>
      </c>
      <c r="O692" s="362" t="n">
        <f aca="false">SUMIFS(報告入力!$BE$7:$BE$696,報告入力!$A$7:$A$696,$S$652,報告入力!$B$7:$B$696,$A692)</f>
        <v>1</v>
      </c>
      <c r="P692" s="181" t="n">
        <f aca="false">SUM(N692:O692)</f>
        <v>2</v>
      </c>
      <c r="Q692" s="110" t="str">
        <f aca="false">IF(P627=P692,"〇","×")</f>
        <v>〇</v>
      </c>
      <c r="R692" s="110" t="str">
        <f aca="false">IFERROR(INDEX(報告入力!$C$7:$C$696,MATCH($S$652&amp;"|"&amp;$A692,報告入力!$CG$7:$CG$696,0)),"")</f>
        <v>未受領</v>
      </c>
    </row>
    <row r="693" s="110" customFormat="true" ht="20.1" hidden="false" customHeight="true" outlineLevel="0" collapsed="false">
      <c r="A693" s="189" t="s">
        <v>193</v>
      </c>
      <c r="B693" s="215" t="n">
        <f aca="false">SUMIFS(報告入力!$AU$7:$AU$696,報告入力!$A$7:$A$696,$S$652,報告入力!$B$7:$B$696,$A693)</f>
        <v>48495</v>
      </c>
      <c r="C693" s="212" t="n">
        <f aca="false">SUMIFS(報告入力!$AV$7:$AV$696,報告入力!$A$7:$A$696,$S$652,報告入力!$B$7:$B$696,$A693)</f>
        <v>3975</v>
      </c>
      <c r="D693" s="215" t="n">
        <f aca="false">SUMIFS(報告入力!$AW$7:$AW$696,報告入力!$A$7:$A$696,$S$652,報告入力!$B$7:$B$696,$A693)</f>
        <v>48495</v>
      </c>
      <c r="E693" s="214" t="n">
        <f aca="false">SUMIFS(報告入力!$AX$7:$AX$696,報告入力!$A$7:$A$696,$S$652,報告入力!$B$7:$B$696,$A693)</f>
        <v>3975</v>
      </c>
      <c r="F693" s="179" t="n">
        <f aca="false">SUMIFS(報告入力!$AY$7:$AY$696,報告入力!$A$7:$A$696,$S$652,報告入力!$B$7:$B$696,$A693)</f>
        <v>49</v>
      </c>
      <c r="G693" s="181" t="n">
        <f aca="false">SUM(B693:F693)</f>
        <v>104989</v>
      </c>
      <c r="H693" s="182" t="n">
        <f aca="false">SUMIFS(報告入力!$AZ$7:$AZ$696,報告入力!$A$7:$A$696,$S$652,報告入力!$B$7:$B$696,$A693)</f>
        <v>29155</v>
      </c>
      <c r="I693" s="214" t="n">
        <f aca="false">SUMIFS(報告入力!$BA$7:$BA$696,報告入力!$A$7:$A$696,$S$652,報告入力!$B$7:$B$696,$A693)</f>
        <v>29208</v>
      </c>
      <c r="J693" s="393" t="n">
        <f aca="false">SUM(H693:I693)</f>
        <v>58363</v>
      </c>
      <c r="K693" s="178" t="n">
        <f aca="false">SUMIFS(報告入力!$BB$7:$BB$696,報告入力!$A$7:$A$696,$S$652,報告入力!$B$7:$B$696,$A693)</f>
        <v>0</v>
      </c>
      <c r="L693" s="362" t="n">
        <f aca="false">SUMIFS(報告入力!$BC$7:$BC$696,報告入力!$A$7:$A$696,$S$652,報告入力!$B$7:$B$696,$A693)</f>
        <v>0</v>
      </c>
      <c r="M693" s="181" t="n">
        <f aca="false">SUM(K693:L693)</f>
        <v>0</v>
      </c>
      <c r="N693" s="178" t="n">
        <f aca="false">SUMIFS(報告入力!$BD$7:$BD$696,報告入力!$A$7:$A$696,$S$652,報告入力!$B$7:$B$696,$A693)</f>
        <v>1</v>
      </c>
      <c r="O693" s="362" t="n">
        <f aca="false">SUMIFS(報告入力!$BE$7:$BE$696,報告入力!$A$7:$A$696,$S$652,報告入力!$B$7:$B$696,$A693)</f>
        <v>1</v>
      </c>
      <c r="P693" s="181" t="n">
        <f aca="false">SUM(N693:O693)</f>
        <v>2</v>
      </c>
      <c r="Q693" s="110" t="str">
        <f aca="false">IF(P628=P693,"〇","×")</f>
        <v>〇</v>
      </c>
      <c r="R693" s="110" t="str">
        <f aca="false">IFERROR(INDEX(報告入力!$C$7:$C$696,MATCH($S$652&amp;"|"&amp;$A693,報告入力!$CG$7:$CG$696,0)),"")</f>
        <v>未受領</v>
      </c>
    </row>
    <row r="694" s="110" customFormat="true" ht="20.1" hidden="false" customHeight="true" outlineLevel="0" collapsed="false">
      <c r="A694" s="121" t="s">
        <v>194</v>
      </c>
      <c r="B694" s="215" t="n">
        <f aca="false">SUMIFS(報告入力!$AU$7:$AU$696,報告入力!$A$7:$A$696,$S$652,報告入力!$B$7:$B$696,$A694)</f>
        <v>1194075</v>
      </c>
      <c r="C694" s="212" t="n">
        <f aca="false">SUMIFS(報告入力!$AV$7:$AV$696,報告入力!$A$7:$A$696,$S$652,報告入力!$B$7:$B$696,$A694)</f>
        <v>97875</v>
      </c>
      <c r="D694" s="178" t="n">
        <f aca="false">SUMIFS(報告入力!$AW$7:$AW$696,報告入力!$A$7:$A$696,$S$652,報告入力!$B$7:$B$696,$A694)</f>
        <v>1194075</v>
      </c>
      <c r="E694" s="182" t="n">
        <f aca="false">SUMIFS(報告入力!$AX$7:$AX$696,報告入力!$A$7:$A$696,$S$652,報告入力!$B$7:$B$696,$A694)</f>
        <v>97875</v>
      </c>
      <c r="F694" s="212" t="n">
        <f aca="false">SUMIFS(報告入力!$AY$7:$AY$696,報告入力!$A$7:$A$696,$S$652,報告入力!$B$7:$B$696,$A694)</f>
        <v>1337</v>
      </c>
      <c r="G694" s="181" t="n">
        <f aca="false">SUM(B694:F694)</f>
        <v>2585237</v>
      </c>
      <c r="H694" s="215" t="n">
        <f aca="false">SUMIFS(報告入力!$AZ$7:$AZ$696,報告入力!$A$7:$A$696,$S$652,報告入力!$B$7:$B$696,$A694)</f>
        <v>717870</v>
      </c>
      <c r="I694" s="183" t="n">
        <f aca="false">SUMIFS(報告入力!$BA$7:$BA$696,報告入力!$A$7:$A$696,$S$652,報告入力!$B$7:$B$696,$A694)</f>
        <v>719305</v>
      </c>
      <c r="J694" s="393" t="n">
        <f aca="false">SUM(H694:I694)</f>
        <v>1437175</v>
      </c>
      <c r="K694" s="178" t="n">
        <f aca="false">SUMIFS(報告入力!$BB$7:$BB$696,報告入力!$A$7:$A$696,$S$652,報告入力!$B$7:$B$696,$A694)</f>
        <v>64227</v>
      </c>
      <c r="L694" s="362" t="n">
        <f aca="false">SUMIFS(報告入力!$BC$7:$BC$696,報告入力!$A$7:$A$696,$S$652,報告入力!$B$7:$B$696,$A694)</f>
        <v>64227</v>
      </c>
      <c r="M694" s="181" t="n">
        <f aca="false">SUM(K694:L694)</f>
        <v>128454</v>
      </c>
      <c r="N694" s="178" t="n">
        <f aca="false">SUMIFS(報告入力!$BD$7:$BD$696,報告入力!$A$7:$A$696,$S$652,報告入力!$B$7:$B$696,$A694)</f>
        <v>1</v>
      </c>
      <c r="O694" s="362" t="n">
        <f aca="false">SUMIFS(報告入力!$BE$7:$BE$696,報告入力!$A$7:$A$696,$S$652,報告入力!$B$7:$B$696,$A694)</f>
        <v>1</v>
      </c>
      <c r="P694" s="181" t="n">
        <f aca="false">SUM(N694:O694)</f>
        <v>2</v>
      </c>
      <c r="Q694" s="110" t="str">
        <f aca="false">IF(P629=P694,"〇","×")</f>
        <v>〇</v>
      </c>
      <c r="R694" s="110" t="str">
        <f aca="false">IFERROR(INDEX(報告入力!$C$7:$C$696,MATCH($S$652&amp;"|"&amp;$A694,報告入力!$CG$7:$CG$696,0)),"")</f>
        <v>未受領</v>
      </c>
    </row>
    <row r="695" s="110" customFormat="true" ht="20.1" hidden="false" customHeight="true" outlineLevel="0" collapsed="false">
      <c r="A695" s="121" t="s">
        <v>195</v>
      </c>
      <c r="B695" s="201"/>
      <c r="C695" s="191"/>
      <c r="D695" s="215" t="n">
        <f aca="false">SUMIFS(報告入力!$AW$7:$AW$696,報告入力!$A$7:$A$696,$S$652,報告入力!$B$7:$B$696,$A695)</f>
        <v>245220</v>
      </c>
      <c r="E695" s="213" t="n">
        <f aca="false">SUMIFS(報告入力!$AX$7:$AX$696,報告入力!$A$7:$A$696,$S$652,報告入力!$B$7:$B$696,$A695)</f>
        <v>20100</v>
      </c>
      <c r="F695" s="368" t="n">
        <f aca="false">SUMIFS(報告入力!$AY$7:$AY$696,報告入力!$A$7:$A$696,$S$652,報告入力!$B$7:$B$696,$A695)</f>
        <v>251</v>
      </c>
      <c r="G695" s="181" t="n">
        <f aca="false">SUM(B695:F695)</f>
        <v>265571</v>
      </c>
      <c r="H695" s="397"/>
      <c r="I695" s="214" t="n">
        <f aca="false">SUMIFS(報告入力!$BA$7:$BA$696,報告入力!$A$7:$A$696,$S$652,報告入力!$B$7:$B$696,$A695)</f>
        <v>151001</v>
      </c>
      <c r="J695" s="135" t="n">
        <f aca="false">SUM(H695:I695)</f>
        <v>151001</v>
      </c>
      <c r="K695" s="397"/>
      <c r="L695" s="214" t="n">
        <f aca="false">SUMIFS(報告入力!$BC$7:$BC$696,報告入力!$A$7:$A$696,$S$652,報告入力!$B$7:$B$696,$A695)</f>
        <v>10744</v>
      </c>
      <c r="M695" s="135" t="n">
        <f aca="false">SUM(K695:L695)</f>
        <v>10744</v>
      </c>
      <c r="N695" s="397"/>
      <c r="O695" s="214" t="n">
        <f aca="false">SUMIFS(報告入力!$BE$7:$BE$696,報告入力!$A$7:$A$696,$S$652,報告入力!$B$7:$B$696,$A695)</f>
        <v>1</v>
      </c>
      <c r="P695" s="135" t="n">
        <f aca="false">SUM(N695:O695)</f>
        <v>1</v>
      </c>
      <c r="Q695" s="110" t="str">
        <f aca="false">IF(P630=P695,"〇","×")</f>
        <v>〇</v>
      </c>
      <c r="R695" s="110" t="str">
        <f aca="false">IFERROR(INDEX(報告入力!$C$7:$C$696,MATCH($S$652&amp;"|"&amp;$A695,報告入力!$CG$7:$CG$696,0)),"")</f>
        <v>未受領</v>
      </c>
    </row>
    <row r="696" s="110" customFormat="true" ht="20.1" hidden="false" customHeight="true" outlineLevel="0" collapsed="false">
      <c r="A696" s="207" t="s">
        <v>196</v>
      </c>
      <c r="B696" s="215" t="n">
        <f aca="false">SUMIFS(報告入力!$AU$7:$AU$696,報告入力!$A$7:$A$696,$S$652,報告入力!$B$7:$B$696,$A696)</f>
        <v>123464885</v>
      </c>
      <c r="C696" s="212" t="n">
        <f aca="false">SUMIFS(報告入力!$AV$7:$AV$696,報告入力!$A$7:$A$696,$S$652,報告入力!$B$7:$B$696,$A696)</f>
        <v>10128923</v>
      </c>
      <c r="D696" s="178" t="n">
        <f aca="false">SUMIFS(報告入力!$AW$7:$AW$696,報告入力!$A$7:$A$696,$S$652,報告入力!$B$7:$B$696,$A696)</f>
        <v>182815225</v>
      </c>
      <c r="E696" s="182" t="n">
        <f aca="false">SUMIFS(報告入力!$AX$7:$AX$696,報告入力!$A$7:$A$696,$S$652,報告入力!$B$7:$B$696,$A696)</f>
        <v>10128923</v>
      </c>
      <c r="F696" s="212" t="n">
        <f aca="false">SUMIFS(報告入力!$AY$7:$AY$696,報告入力!$A$7:$A$696,$S$652,報告入力!$B$7:$B$696,$A696)</f>
        <v>134171</v>
      </c>
      <c r="G696" s="181" t="n">
        <f aca="false">SUM(B696:F696)</f>
        <v>326672127</v>
      </c>
      <c r="H696" s="215" t="n">
        <f aca="false">SUMIFS(報告入力!$AZ$7:$AZ$696,報告入力!$A$7:$A$696,$S$652,報告入力!$B$7:$B$696,$A696)</f>
        <v>96185407</v>
      </c>
      <c r="I696" s="183" t="n">
        <f aca="false">SUMIFS(報告入力!$BA$7:$BA$696,報告入力!$A$7:$A$696,$S$652,報告入力!$B$7:$B$696,$A696)</f>
        <v>96373091</v>
      </c>
      <c r="J696" s="393" t="n">
        <f aca="false">SUM(H696:I696)</f>
        <v>192558498</v>
      </c>
      <c r="K696" s="215" t="n">
        <f aca="false">SUMIFS(報告入力!$BB$7:$BB$696,報告入力!$A$7:$A$696,$S$652,報告入力!$B$7:$B$696,$A696)</f>
        <v>7782472</v>
      </c>
      <c r="L696" s="362" t="n">
        <f aca="false">SUMIFS(報告入力!$BC$7:$BC$696,報告入力!$A$7:$A$696,$S$652,報告入力!$B$7:$B$696,$A696)</f>
        <v>7782472</v>
      </c>
      <c r="M696" s="181" t="n">
        <f aca="false">SUM(K696:L696)</f>
        <v>15564944</v>
      </c>
      <c r="N696" s="215" t="n">
        <f aca="false">SUMIFS(報告入力!$BD$7:$BD$696,報告入力!$A$7:$A$696,$S$652,報告入力!$B$7:$B$696,$A696)</f>
        <v>1</v>
      </c>
      <c r="O696" s="362" t="n">
        <f aca="false">SUMIFS(報告入力!$BE$7:$BE$696,報告入力!$A$7:$A$696,$S$652,報告入力!$B$7:$B$696,$A696)</f>
        <v>1</v>
      </c>
      <c r="P696" s="181" t="n">
        <f aca="false">SUM(N696:O696)</f>
        <v>2</v>
      </c>
      <c r="Q696" s="110" t="str">
        <f aca="false">IF(P631=P696,"〇","×")</f>
        <v>〇</v>
      </c>
      <c r="R696" s="110" t="str">
        <f aca="false">IFERROR(INDEX(報告入力!$C$7:$C$696,MATCH($S$652&amp;"|"&amp;$A696,報告入力!$CG$7:$CG$696,0)),"")</f>
        <v>未受領</v>
      </c>
    </row>
    <row r="697" s="137" customFormat="true" ht="21.75" hidden="false" customHeight="true" outlineLevel="0" collapsed="false">
      <c r="A697" s="374" t="s">
        <v>197</v>
      </c>
      <c r="B697" s="127"/>
      <c r="C697" s="131"/>
      <c r="D697" s="127"/>
      <c r="E697" s="209"/>
      <c r="F697" s="131"/>
      <c r="G697" s="210" t="n">
        <f aca="false">SUM(B697:F697)</f>
        <v>0</v>
      </c>
      <c r="H697" s="213" t="n">
        <f aca="false">SUMIFS(報告入力!$AZ$7:$AZ$696,報告入力!$A$7:$A$696,$S$652,報告入力!$B$7:$B$696,$A697)</f>
        <v>108364</v>
      </c>
      <c r="I697" s="370" t="n">
        <f aca="false">SUMIFS(報告入力!$BA$7:$BA$696,報告入力!$A$7:$A$696,$S$652,報告入力!$B$7:$B$696,$A697)</f>
        <v>108566</v>
      </c>
      <c r="J697" s="135" t="n">
        <f aca="false">SUM(H697:I697)</f>
        <v>216930</v>
      </c>
      <c r="K697" s="215" t="n">
        <f aca="false">SUMIFS(報告入力!$BB$7:$BB$696,報告入力!$A$7:$A$696,$S$652,報告入力!$B$7:$B$696,$A697)</f>
        <v>12245</v>
      </c>
      <c r="L697" s="370" t="n">
        <f aca="false">SUMIFS(報告入力!$BC$7:$BC$696,報告入力!$A$7:$A$696,$S$652,報告入力!$B$7:$B$696,$A697)</f>
        <v>12245</v>
      </c>
      <c r="M697" s="135" t="n">
        <f aca="false">SUM(K697:L697)</f>
        <v>24490</v>
      </c>
      <c r="N697" s="215" t="n">
        <f aca="false">SUMIFS(報告入力!$BD$7:$BD$696,報告入力!$A$7:$A$696,$S$652,報告入力!$B$7:$B$696,$A697)</f>
        <v>1</v>
      </c>
      <c r="O697" s="370" t="n">
        <f aca="false">SUMIFS(報告入力!$BE$7:$BE$696,報告入力!$A$7:$A$696,$S$652,報告入力!$B$7:$B$696,$A697)</f>
        <v>1</v>
      </c>
      <c r="P697" s="135" t="n">
        <f aca="false">SUM(N697:O697)</f>
        <v>2</v>
      </c>
      <c r="Q697" s="137" t="str">
        <f aca="false">IF(P632=P697,"〇","×")</f>
        <v>〇</v>
      </c>
      <c r="R697" s="137" t="str">
        <f aca="false">IFERROR(INDEX(報告入力!$C$7:$C$696,MATCH($S$652&amp;"|"&amp;$A697,報告入力!$CG$7:$CG$696,0)),"")</f>
        <v>未受領</v>
      </c>
    </row>
    <row r="698" s="137" customFormat="true" ht="21.75" hidden="false" customHeight="true" outlineLevel="0" collapsed="false">
      <c r="A698" s="211" t="s">
        <v>216</v>
      </c>
      <c r="B698" s="311"/>
      <c r="C698" s="330"/>
      <c r="D698" s="311"/>
      <c r="E698" s="309"/>
      <c r="F698" s="331"/>
      <c r="G698" s="302" t="n">
        <f aca="false">SUM(B698:F698)</f>
        <v>0</v>
      </c>
      <c r="H698" s="311"/>
      <c r="I698" s="310"/>
      <c r="J698" s="305" t="n">
        <f aca="false">SUM(H698:I698)</f>
        <v>0</v>
      </c>
      <c r="K698" s="311"/>
      <c r="L698" s="310"/>
      <c r="M698" s="305" t="n">
        <f aca="false">SUM(K698:L698)</f>
        <v>0</v>
      </c>
      <c r="N698" s="311"/>
      <c r="O698" s="310"/>
      <c r="P698" s="305" t="n">
        <f aca="false">SUM(N698:O698)</f>
        <v>0</v>
      </c>
      <c r="Q698" s="137" t="str">
        <f aca="false">IF(P633=P698,"〇","×")</f>
        <v>〇</v>
      </c>
      <c r="R698" s="137" t="str">
        <f aca="false">IFERROR(INDEX(報告入力!$C$7:$C$696,MATCH($S$652&amp;"|"&amp;$A698,報告入力!$CG$7:$CG$696,0)),"")</f>
        <v>報告なし</v>
      </c>
    </row>
    <row r="699" s="137" customFormat="true" ht="21.75" hidden="false" customHeight="true" outlineLevel="0" collapsed="false">
      <c r="A699" s="211" t="s">
        <v>199</v>
      </c>
      <c r="B699" s="215" t="n">
        <f aca="false">SUMIFS(報告入力!$AU$7:$AU$696,報告入力!$A$7:$A$696,$S$652,報告入力!$B$7:$B$696,$A699)</f>
        <v>59475</v>
      </c>
      <c r="C699" s="367" t="n">
        <f aca="false">SUMIFS(報告入力!$AV$7:$AV$696,報告入力!$A$7:$A$696,$S$652,報告入力!$B$7:$B$696,$A699)</f>
        <v>4875</v>
      </c>
      <c r="D699" s="215" t="n">
        <f aca="false">SUMIFS(報告入力!$AW$7:$AW$696,報告入力!$A$7:$A$696,$S$652,報告入力!$B$7:$B$696,$A699)</f>
        <v>59475</v>
      </c>
      <c r="E699" s="213" t="n">
        <f aca="false">SUMIFS(報告入力!$AX$7:$AX$696,報告入力!$A$7:$A$696,$S$652,報告入力!$B$7:$B$696,$A699)</f>
        <v>4875</v>
      </c>
      <c r="F699" s="368" t="n">
        <f aca="false">SUMIFS(報告入力!$AY$7:$AY$696,報告入力!$A$7:$A$696,$S$652,報告入力!$B$7:$B$696,$A699)</f>
        <v>61</v>
      </c>
      <c r="G699" s="181" t="n">
        <f aca="false">SUM(B699:F699)</f>
        <v>128761</v>
      </c>
      <c r="H699" s="215" t="n">
        <f aca="false">SUMIFS(報告入力!$AZ$7:$AZ$696,報告入力!$A$7:$A$696,$S$652,報告入力!$B$7:$B$696,$A699)</f>
        <v>41257</v>
      </c>
      <c r="I699" s="214" t="n">
        <f aca="false">SUMIFS(報告入力!$BA$7:$BA$696,報告入力!$A$7:$A$696,$S$652,報告入力!$B$7:$B$696,$A699)</f>
        <v>41332</v>
      </c>
      <c r="J699" s="135" t="n">
        <f aca="false">SUM(H699:I699)</f>
        <v>82589</v>
      </c>
      <c r="K699" s="215" t="n">
        <f aca="false">SUMIFS(報告入力!$BB$7:$BB$696,報告入力!$A$7:$A$696,$S$652,報告入力!$B$7:$B$696,$A699)</f>
        <v>5925</v>
      </c>
      <c r="L699" s="213" t="n">
        <f aca="false">SUMIFS(報告入力!$BC$7:$BC$696,報告入力!$A$7:$A$696,$S$652,報告入力!$B$7:$B$696,$A699)</f>
        <v>5925</v>
      </c>
      <c r="M699" s="135" t="n">
        <f aca="false">SUM(K699:L699)</f>
        <v>11850</v>
      </c>
      <c r="N699" s="215" t="n">
        <f aca="false">SUMIFS(報告入力!$BD$7:$BD$696,報告入力!$A$7:$A$696,$S$652,報告入力!$B$7:$B$696,$A699)</f>
        <v>1</v>
      </c>
      <c r="O699" s="213" t="n">
        <f aca="false">SUMIFS(報告入力!$BE$7:$BE$696,報告入力!$A$7:$A$696,$S$652,報告入力!$B$7:$B$696,$A699)</f>
        <v>1</v>
      </c>
      <c r="P699" s="135" t="n">
        <f aca="false">SUM(N699:O699)</f>
        <v>2</v>
      </c>
      <c r="Q699" s="137" t="str">
        <f aca="false">IF(P634=P699,"〇","×")</f>
        <v>〇</v>
      </c>
      <c r="R699" s="137" t="str">
        <f aca="false">IFERROR(INDEX(報告入力!$C$7:$C$696,MATCH($S$652&amp;"|"&amp;$A699,報告入力!$CG$7:$CG$696,0)),"")</f>
        <v>未受領</v>
      </c>
    </row>
    <row r="700" s="137" customFormat="true" ht="21.75" hidden="false" customHeight="true" outlineLevel="0" collapsed="false">
      <c r="A700" s="149"/>
      <c r="B700" s="157"/>
      <c r="C700" s="156"/>
      <c r="D700" s="220"/>
      <c r="E700" s="158"/>
      <c r="F700" s="156"/>
      <c r="G700" s="221" t="n">
        <f aca="false">SUM(B700:F700)</f>
        <v>0</v>
      </c>
      <c r="H700" s="160"/>
      <c r="I700" s="423" t="s">
        <v>398</v>
      </c>
      <c r="J700" s="223" t="n">
        <f aca="false">SUM(H700:I700)</f>
        <v>0</v>
      </c>
      <c r="K700" s="157"/>
      <c r="L700" s="158"/>
      <c r="M700" s="223" t="n">
        <f aca="false">SUM(K700:L700)</f>
        <v>0</v>
      </c>
      <c r="N700" s="157"/>
      <c r="O700" s="158"/>
      <c r="P700" s="223" t="n">
        <f aca="false">SUM(N700:O700)</f>
        <v>0</v>
      </c>
      <c r="Q700" s="137" t="str">
        <f aca="false">IF(P635=P700,"〇","×")</f>
        <v>〇</v>
      </c>
    </row>
    <row r="701" s="137" customFormat="true" ht="0.2" hidden="false" customHeight="true" outlineLevel="0" collapsed="false">
      <c r="A701" s="149"/>
      <c r="B701" s="157"/>
      <c r="C701" s="156"/>
      <c r="D701" s="220"/>
      <c r="E701" s="158"/>
      <c r="F701" s="156"/>
      <c r="G701" s="221" t="n">
        <f aca="false">SUM(B701:F701)</f>
        <v>0</v>
      </c>
      <c r="H701" s="160"/>
      <c r="I701" s="158"/>
      <c r="J701" s="223" t="n">
        <f aca="false">SUM(H701:I701)</f>
        <v>0</v>
      </c>
      <c r="K701" s="157"/>
      <c r="L701" s="158"/>
      <c r="M701" s="223" t="n">
        <f aca="false">SUM(K701:L701)</f>
        <v>0</v>
      </c>
      <c r="N701" s="157"/>
      <c r="O701" s="158"/>
      <c r="P701" s="223" t="n">
        <f aca="false">SUM(N701:O701)</f>
        <v>0</v>
      </c>
      <c r="Q701" s="137" t="str">
        <f aca="false">IF(P636=P701,"〇","×")</f>
        <v>〇</v>
      </c>
    </row>
    <row r="702" s="137" customFormat="true" ht="0.2" hidden="false" customHeight="true" outlineLevel="0" collapsed="false">
      <c r="A702" s="162"/>
      <c r="B702" s="224"/>
      <c r="C702" s="225"/>
      <c r="D702" s="226"/>
      <c r="E702" s="227"/>
      <c r="F702" s="225"/>
      <c r="G702" s="228"/>
      <c r="H702" s="231"/>
      <c r="I702" s="229"/>
      <c r="J702" s="230"/>
      <c r="K702" s="231"/>
      <c r="L702" s="229"/>
      <c r="M702" s="230"/>
      <c r="N702" s="231"/>
      <c r="O702" s="229"/>
      <c r="P702" s="230"/>
      <c r="Q702" s="137" t="str">
        <f aca="false">IF(P637=P702,"〇","×")</f>
        <v>〇</v>
      </c>
    </row>
    <row r="703" s="110" customFormat="true" ht="20.1" hidden="false" customHeight="true" outlineLevel="0" collapsed="false">
      <c r="A703" s="171" t="s">
        <v>383</v>
      </c>
      <c r="B703" s="172" t="n">
        <f aca="false">SUM(B673:B702)</f>
        <v>126320600</v>
      </c>
      <c r="C703" s="175" t="n">
        <f aca="false">SUM(C673:C702)</f>
        <v>10362998</v>
      </c>
      <c r="D703" s="173" t="n">
        <f aca="false">SUM(D673:D702)</f>
        <v>191758435</v>
      </c>
      <c r="E703" s="174" t="n">
        <f aca="false">SUM(E673:E702)</f>
        <v>10861973</v>
      </c>
      <c r="F703" s="175" t="n">
        <f aca="false">SUM(F673:F702)</f>
        <v>143562</v>
      </c>
      <c r="G703" s="176" t="n">
        <f aca="false">SUM(B703:F703)</f>
        <v>339447568</v>
      </c>
      <c r="H703" s="172" t="n">
        <f aca="false">SUM(H673:H701)</f>
        <v>98021611</v>
      </c>
      <c r="I703" s="173" t="n">
        <f aca="false">SUM(I673:I701)</f>
        <v>102028643</v>
      </c>
      <c r="J703" s="175" t="n">
        <f aca="false">SUM(H703:I703)</f>
        <v>200050254</v>
      </c>
      <c r="K703" s="172" t="n">
        <f aca="false">SUM(K673:K701)</f>
        <v>7948609</v>
      </c>
      <c r="L703" s="173" t="n">
        <f aca="false">SUM(L673:L701)</f>
        <v>8391088</v>
      </c>
      <c r="M703" s="175" t="n">
        <f aca="false">SUM(K703:L703)</f>
        <v>16339697</v>
      </c>
      <c r="N703" s="172" t="n">
        <f aca="false">SUM(N673:N701)</f>
        <v>12</v>
      </c>
      <c r="O703" s="173" t="n">
        <f aca="false">SUM(O673:O701)</f>
        <v>24</v>
      </c>
      <c r="P703" s="175" t="n">
        <f aca="false">SUM(N703:O703)</f>
        <v>36</v>
      </c>
      <c r="Q703" s="110" t="str">
        <f aca="false">IF(P638=P703,"〇","×")</f>
        <v>〇</v>
      </c>
    </row>
    <row r="704" s="137" customFormat="true" ht="0.2" hidden="false" customHeight="true" outlineLevel="0" collapsed="false">
      <c r="A704" s="149" t="s">
        <v>382</v>
      </c>
      <c r="B704" s="231"/>
      <c r="C704" s="232"/>
      <c r="D704" s="229"/>
      <c r="E704" s="233"/>
      <c r="F704" s="234"/>
      <c r="G704" s="235"/>
      <c r="H704" s="398"/>
      <c r="I704" s="236"/>
      <c r="J704" s="237"/>
      <c r="K704" s="238"/>
      <c r="L704" s="239"/>
      <c r="M704" s="240"/>
      <c r="N704" s="238"/>
      <c r="O704" s="239"/>
      <c r="P704" s="240"/>
      <c r="Q704" s="137" t="str">
        <f aca="false">IF(P639=P704,"〇","×")</f>
        <v>〇</v>
      </c>
    </row>
    <row r="705" s="137" customFormat="true" ht="0.2" hidden="false" customHeight="true" outlineLevel="0" collapsed="false">
      <c r="A705" s="241" t="s">
        <v>382</v>
      </c>
      <c r="B705" s="242"/>
      <c r="C705" s="243"/>
      <c r="D705" s="229"/>
      <c r="E705" s="233"/>
      <c r="F705" s="232"/>
      <c r="G705" s="228"/>
      <c r="H705" s="399"/>
      <c r="I705" s="244"/>
      <c r="J705" s="245"/>
      <c r="K705" s="246"/>
      <c r="L705" s="247"/>
      <c r="M705" s="248"/>
      <c r="N705" s="246"/>
      <c r="O705" s="247"/>
      <c r="P705" s="248"/>
      <c r="Q705" s="137" t="str">
        <f aca="false">IF(P640=P705,"〇","×")</f>
        <v>〇</v>
      </c>
    </row>
    <row r="706" s="110" customFormat="true" ht="20.1" hidden="false" customHeight="true" outlineLevel="0" collapsed="false">
      <c r="A706" s="189" t="s">
        <v>200</v>
      </c>
      <c r="B706" s="215" t="n">
        <f aca="false">SUMIFS(報告入力!$AU$7:$AU$696,報告入力!$A$7:$A$696,$S$652,報告入力!$B$7:$B$696,$A706)</f>
        <v>145485</v>
      </c>
      <c r="C706" s="368" t="n">
        <f aca="false">SUMIFS(報告入力!$AV$7:$AV$696,報告入力!$A$7:$A$696,$S$652,報告入力!$B$7:$B$696,$A706)</f>
        <v>11925</v>
      </c>
      <c r="D706" s="215" t="n">
        <f aca="false">SUMIFS(報告入力!$AW$7:$AW$696,報告入力!$A$7:$A$696,$S$652,報告入力!$B$7:$B$696,$A706)</f>
        <v>145485</v>
      </c>
      <c r="E706" s="213" t="n">
        <f aca="false">SUMIFS(報告入力!$AX$7:$AX$696,報告入力!$A$7:$A$696,$S$652,報告入力!$B$7:$B$696,$A706)</f>
        <v>11925</v>
      </c>
      <c r="F706" s="368" t="n">
        <f aca="false">SUMIFS(報告入力!$AY$7:$AY$696,報告入力!$A$7:$A$696,$S$652,報告入力!$B$7:$B$696,$A706)</f>
        <v>149</v>
      </c>
      <c r="G706" s="181" t="n">
        <f aca="false">SUM(B706:F706)</f>
        <v>314969</v>
      </c>
      <c r="H706" s="127"/>
      <c r="I706" s="130"/>
      <c r="J706" s="196" t="n">
        <f aca="false">SUM(H706:I706)</f>
        <v>0</v>
      </c>
      <c r="K706" s="127"/>
      <c r="L706" s="130"/>
      <c r="M706" s="196" t="n">
        <f aca="false">SUM(K706:L706)</f>
        <v>0</v>
      </c>
      <c r="N706" s="127"/>
      <c r="O706" s="130"/>
      <c r="P706" s="196" t="n">
        <f aca="false">SUM(N706:O706)</f>
        <v>0</v>
      </c>
      <c r="Q706" s="110" t="str">
        <f aca="false">IF(P641=P706,"〇","×")</f>
        <v>〇</v>
      </c>
      <c r="R706" s="110" t="str">
        <f aca="false">IFERROR(INDEX(報告入力!$C$7:$C$696,MATCH($S$652&amp;"|"&amp;$A706,報告入力!$CG$7:$CG$696,0)),"")</f>
        <v>未受領</v>
      </c>
    </row>
    <row r="707" s="110" customFormat="true" ht="21.75" hidden="false" customHeight="true" outlineLevel="0" collapsed="false">
      <c r="A707" s="189" t="s">
        <v>201</v>
      </c>
      <c r="B707" s="384" t="n">
        <f aca="false">SUMIFS(報告入力!$AU$7:$AU$696,報告入力!$A$7:$A$696,$S$652,報告入力!$B$7:$B$696,$A707)</f>
        <v>53985</v>
      </c>
      <c r="C707" s="385" t="n">
        <f aca="false">SUMIFS(報告入力!$AV$7:$AV$696,報告入力!$A$7:$A$696,$S$652,報告入力!$B$7:$B$696,$A707)</f>
        <v>4425</v>
      </c>
      <c r="D707" s="400" t="n">
        <f aca="false">SUMIFS(報告入力!$AW$7:$AW$696,報告入力!$A$7:$A$696,$S$652,報告入力!$B$7:$B$696,$A707)</f>
        <v>53985</v>
      </c>
      <c r="E707" s="401" t="n">
        <f aca="false">SUMIFS(報告入力!$AX$7:$AX$696,報告入力!$A$7:$A$696,$S$652,報告入力!$B$7:$B$696,$A707)</f>
        <v>4425</v>
      </c>
      <c r="F707" s="402" t="n">
        <f aca="false">SUMIFS(報告入力!$AY$7:$AY$696,報告入力!$A$7:$A$696,$S$652,報告入力!$B$7:$B$696,$A707)</f>
        <v>55</v>
      </c>
      <c r="G707" s="366" t="n">
        <f aca="false">SUM(B707:F707)</f>
        <v>116875</v>
      </c>
      <c r="H707" s="403"/>
      <c r="I707" s="252"/>
      <c r="J707" s="253" t="n">
        <f aca="false">SUM(H707:I707)</f>
        <v>0</v>
      </c>
      <c r="K707" s="403"/>
      <c r="L707" s="252"/>
      <c r="M707" s="253" t="n">
        <f aca="false">SUM(K707:L707)</f>
        <v>0</v>
      </c>
      <c r="N707" s="403"/>
      <c r="O707" s="252"/>
      <c r="P707" s="253" t="n">
        <f aca="false">SUM(N707:O707)</f>
        <v>0</v>
      </c>
      <c r="Q707" s="110" t="str">
        <f aca="false">IF(P642=P707,"〇","×")</f>
        <v>〇</v>
      </c>
      <c r="R707" s="110" t="str">
        <f aca="false">IFERROR(INDEX(報告入力!$C$7:$C$696,MATCH($S$652&amp;"|"&amp;$A707,報告入力!$CG$7:$CG$696,0)),"")</f>
        <v>未受領</v>
      </c>
    </row>
    <row r="708" s="110" customFormat="true" ht="19.5" hidden="false" customHeight="true" outlineLevel="0" collapsed="false">
      <c r="A708" s="171" t="s">
        <v>383</v>
      </c>
      <c r="B708" s="172" t="n">
        <f aca="false">SUM(B704:B707)</f>
        <v>199470</v>
      </c>
      <c r="C708" s="175" t="n">
        <f aca="false">SUM(C704:C707)</f>
        <v>16350</v>
      </c>
      <c r="D708" s="173" t="n">
        <f aca="false">SUM(D704:D707)</f>
        <v>199470</v>
      </c>
      <c r="E708" s="174" t="n">
        <f aca="false">SUM(E704:E707)</f>
        <v>16350</v>
      </c>
      <c r="F708" s="175" t="n">
        <f aca="false">SUM(F704:F707)</f>
        <v>204</v>
      </c>
      <c r="G708" s="176" t="n">
        <f aca="false">SUM(B708:F708)</f>
        <v>431844</v>
      </c>
      <c r="H708" s="256" t="n">
        <f aca="false">SUM(H704:H707)</f>
        <v>0</v>
      </c>
      <c r="I708" s="257" t="n">
        <f aca="false">SUM(I704:I707)</f>
        <v>0</v>
      </c>
      <c r="J708" s="258" t="n">
        <f aca="false">SUM(H708:I708)</f>
        <v>0</v>
      </c>
      <c r="K708" s="256" t="n">
        <f aca="false">SUM(K704:K707)</f>
        <v>0</v>
      </c>
      <c r="L708" s="257" t="n">
        <f aca="false">SUM(L704:L707)</f>
        <v>0</v>
      </c>
      <c r="M708" s="258" t="n">
        <f aca="false">SUM(K708:L708)</f>
        <v>0</v>
      </c>
      <c r="N708" s="256" t="n">
        <f aca="false">SUM(N704:N707)</f>
        <v>0</v>
      </c>
      <c r="O708" s="257" t="n">
        <f aca="false">SUM(O704:O707)</f>
        <v>0</v>
      </c>
      <c r="P708" s="258" t="n">
        <f aca="false">SUM(N708:O708)</f>
        <v>0</v>
      </c>
      <c r="Q708" s="110" t="str">
        <f aca="false">IF(P643=P708,"〇","×")</f>
        <v>〇</v>
      </c>
    </row>
    <row r="709" s="110" customFormat="true" ht="20.1" hidden="false" customHeight="true" outlineLevel="0" collapsed="false">
      <c r="A709" s="100" t="s">
        <v>202</v>
      </c>
      <c r="B709" s="215" t="n">
        <f aca="false">SUMIFS(報告入力!$AU$7:$AU$696,報告入力!$A$7:$A$696,$S$652,報告入力!$B$7:$B$696,$A709)</f>
        <v>29280</v>
      </c>
      <c r="C709" s="212" t="n">
        <f aca="false">SUMIFS(報告入力!$AV$7:$AV$696,報告入力!$A$7:$A$696,$S$652,報告入力!$B$7:$B$696,$A709)</f>
        <v>2400</v>
      </c>
      <c r="D709" s="178" t="n">
        <f aca="false">SUMIFS(報告入力!$AW$7:$AW$696,報告入力!$A$7:$A$696,$S$652,報告入力!$B$7:$B$696,$A709)</f>
        <v>29280</v>
      </c>
      <c r="E709" s="182" t="n">
        <f aca="false">SUMIFS(報告入力!$AX$7:$AX$696,報告入力!$A$7:$A$696,$S$652,報告入力!$B$7:$B$696,$A709)</f>
        <v>2400</v>
      </c>
      <c r="F709" s="312"/>
      <c r="G709" s="181" t="n">
        <f aca="false">SUM(B709:F709)</f>
        <v>63360</v>
      </c>
      <c r="H709" s="262" t="n">
        <f aca="false">SUMIFS(報告入力!$AZ$7:$AZ$696,報告入力!$A$7:$A$696,$S$652,報告入力!$B$7:$B$696,$A709)</f>
        <v>17603</v>
      </c>
      <c r="I709" s="183" t="n">
        <f aca="false">SUMIFS(報告入力!$BA$7:$BA$696,報告入力!$A$7:$A$696,$S$652,報告入力!$B$7:$B$696,$A709)</f>
        <v>17635</v>
      </c>
      <c r="J709" s="135" t="n">
        <f aca="false">SUM(H709:I709)</f>
        <v>35238</v>
      </c>
      <c r="K709" s="262" t="n">
        <f aca="false">SUMIFS(報告入力!$BB$7:$BB$696,報告入力!$A$7:$A$696,$S$652,報告入力!$B$7:$B$696,$A709)</f>
        <v>2528</v>
      </c>
      <c r="L709" s="183" t="n">
        <f aca="false">SUMIFS(報告入力!$BC$7:$BC$696,報告入力!$A$7:$A$696,$S$652,報告入力!$B$7:$B$696,$A709)</f>
        <v>2528</v>
      </c>
      <c r="M709" s="135" t="n">
        <f aca="false">SUM(K709:L709)</f>
        <v>5056</v>
      </c>
      <c r="N709" s="262" t="n">
        <f aca="false">SUMIFS(報告入力!$BD$7:$BD$696,報告入力!$A$7:$A$696,$S$652,報告入力!$B$7:$B$696,$A709)</f>
        <v>1</v>
      </c>
      <c r="O709" s="183" t="n">
        <f aca="false">SUMIFS(報告入力!$BE$7:$BE$696,報告入力!$A$7:$A$696,$S$652,報告入力!$B$7:$B$696,$A709)</f>
        <v>1</v>
      </c>
      <c r="P709" s="135" t="n">
        <f aca="false">SUM(N709:O709)</f>
        <v>2</v>
      </c>
      <c r="Q709" s="110" t="str">
        <f aca="false">IF(P644=P709,"〇","×")</f>
        <v>〇</v>
      </c>
      <c r="R709" s="110" t="str">
        <f aca="false">IFERROR(INDEX(報告入力!$C$7:$C$696,MATCH($S$652&amp;"|"&amp;$A709,報告入力!$CG$7:$CG$696,0)),"")</f>
        <v>未受領</v>
      </c>
    </row>
    <row r="710" s="110" customFormat="true" ht="20.1" hidden="false" customHeight="true" outlineLevel="0" collapsed="false">
      <c r="A710" s="100" t="s">
        <v>203</v>
      </c>
      <c r="B710" s="215"/>
      <c r="C710" s="212"/>
      <c r="D710" s="178"/>
      <c r="E710" s="182"/>
      <c r="F710" s="312"/>
      <c r="G710" s="181" t="n">
        <f aca="false">SUM(B710:F710)</f>
        <v>0</v>
      </c>
      <c r="H710" s="262"/>
      <c r="I710" s="183"/>
      <c r="J710" s="135" t="n">
        <f aca="false">SUM(H710:I710)</f>
        <v>0</v>
      </c>
      <c r="K710" s="262"/>
      <c r="L710" s="183"/>
      <c r="M710" s="135" t="n">
        <f aca="false">SUM(K710:L710)</f>
        <v>0</v>
      </c>
      <c r="N710" s="262"/>
      <c r="O710" s="183"/>
      <c r="P710" s="135" t="n">
        <f aca="false">SUM(N710:O710)</f>
        <v>0</v>
      </c>
      <c r="Q710" s="110" t="str">
        <f aca="false">IF(P645=P710,"〇","×")</f>
        <v>〇</v>
      </c>
      <c r="R710" s="110" t="str">
        <f aca="false">IFERROR(INDEX(報告入力!$C$7:$C$696,MATCH($S$652&amp;"|"&amp;$A710,報告入力!$CG$7:$CG$696,0)),"")</f>
        <v>報告なし</v>
      </c>
    </row>
    <row r="711" s="110" customFormat="true" ht="20.1" hidden="false" customHeight="true" outlineLevel="0" collapsed="false">
      <c r="A711" s="192" t="s">
        <v>204</v>
      </c>
      <c r="B711" s="178" t="n">
        <f aca="false">SUMIFS(報告入力!$AU$7:$AU$696,報告入力!$A$7:$A$696,$S$652,報告入力!$B$7:$B$696,$A711)</f>
        <v>23790</v>
      </c>
      <c r="C711" s="179" t="n">
        <f aca="false">SUMIFS(報告入力!$AV$7:$AV$696,報告入力!$A$7:$A$696,$S$652,報告入力!$B$7:$B$696,$A711)</f>
        <v>1950</v>
      </c>
      <c r="D711" s="178" t="n">
        <f aca="false">SUMIFS(報告入力!$AW$7:$AW$696,報告入力!$A$7:$A$696,$S$652,報告入力!$B$7:$B$696,$A711)</f>
        <v>23790</v>
      </c>
      <c r="E711" s="415" t="n">
        <f aca="false">SUMIFS(報告入力!$AX$7:$AX$696,報告入力!$A$7:$A$696,$S$652,報告入力!$B$7:$B$696,$A711)</f>
        <v>1950</v>
      </c>
      <c r="F711" s="312"/>
      <c r="G711" s="181" t="n">
        <f aca="false">SUM(B711:F711)</f>
        <v>51480</v>
      </c>
      <c r="H711" s="262" t="n">
        <f aca="false">SUMIFS(報告入力!$AZ$7:$AZ$696,報告入力!$A$7:$A$696,$S$652,報告入力!$B$7:$B$696,$A711)</f>
        <v>30805</v>
      </c>
      <c r="I711" s="183" t="n">
        <f aca="false">SUMIFS(報告入力!$BA$7:$BA$696,報告入力!$A$7:$A$696,$S$652,報告入力!$B$7:$B$696,$A711)</f>
        <v>30861</v>
      </c>
      <c r="J711" s="135" t="n">
        <f aca="false">SUM(H711:I711)</f>
        <v>61666</v>
      </c>
      <c r="K711" s="262" t="n">
        <f aca="false">SUMIFS(報告入力!$BB$7:$BB$696,報告入力!$A$7:$A$696,$S$652,報告入力!$B$7:$B$696,$A711)</f>
        <v>2370</v>
      </c>
      <c r="L711" s="183" t="n">
        <f aca="false">SUMIFS(報告入力!$BC$7:$BC$696,報告入力!$A$7:$A$696,$S$652,報告入力!$B$7:$B$696,$A711)</f>
        <v>2370</v>
      </c>
      <c r="M711" s="135" t="n">
        <f aca="false">SUM(K711:L711)</f>
        <v>4740</v>
      </c>
      <c r="N711" s="262" t="n">
        <f aca="false">SUMIFS(報告入力!$BD$7:$BD$696,報告入力!$A$7:$A$696,$S$652,報告入力!$B$7:$B$696,$A711)</f>
        <v>1</v>
      </c>
      <c r="O711" s="183" t="n">
        <f aca="false">SUMIFS(報告入力!$BE$7:$BE$696,報告入力!$A$7:$A$696,$S$652,報告入力!$B$7:$B$696,$A711)</f>
        <v>1</v>
      </c>
      <c r="P711" s="135" t="n">
        <f aca="false">SUM(N711:O711)</f>
        <v>2</v>
      </c>
      <c r="Q711" s="110" t="str">
        <f aca="false">IF(P646=P711,"〇","×")</f>
        <v>〇</v>
      </c>
      <c r="R711" s="110" t="str">
        <f aca="false">IFERROR(INDEX(報告入力!$C$7:$C$696,MATCH($S$652&amp;"|"&amp;$A711,報告入力!$CG$7:$CG$696,0)),"")</f>
        <v>未受領</v>
      </c>
    </row>
    <row r="712" s="110" customFormat="true" ht="20.1" hidden="false" customHeight="true" outlineLevel="0" collapsed="false">
      <c r="A712" s="192" t="s">
        <v>205</v>
      </c>
      <c r="B712" s="215"/>
      <c r="C712" s="212"/>
      <c r="D712" s="178"/>
      <c r="E712" s="182"/>
      <c r="F712" s="312"/>
      <c r="G712" s="181" t="n">
        <f aca="false">SUM(B712:F712)</f>
        <v>0</v>
      </c>
      <c r="H712" s="334"/>
      <c r="I712" s="333"/>
      <c r="J712" s="284" t="n">
        <f aca="false">SUM(H712:I712)</f>
        <v>0</v>
      </c>
      <c r="K712" s="334"/>
      <c r="L712" s="333"/>
      <c r="M712" s="284" t="n">
        <f aca="false">SUM(K712:L712)</f>
        <v>0</v>
      </c>
      <c r="N712" s="334"/>
      <c r="O712" s="333"/>
      <c r="P712" s="284" t="n">
        <f aca="false">SUM(N712:O712)</f>
        <v>0</v>
      </c>
      <c r="Q712" s="110" t="str">
        <f aca="false">IF(P647=P712,"〇","×")</f>
        <v>〇</v>
      </c>
      <c r="R712" s="110" t="str">
        <f aca="false">IFERROR(INDEX(報告入力!$C$7:$C$696,MATCH($S$652&amp;"|"&amp;$A712,報告入力!$CG$7:$CG$696,0)),"")</f>
        <v>報告なし</v>
      </c>
    </row>
    <row r="713" s="110" customFormat="true" ht="20.1" hidden="false" customHeight="true" outlineLevel="0" collapsed="false">
      <c r="A713" s="171" t="s">
        <v>383</v>
      </c>
      <c r="B713" s="172" t="n">
        <f aca="false">SUM(B709:B712)</f>
        <v>53070</v>
      </c>
      <c r="C713" s="176" t="n">
        <f aca="false">SUM(C709:C712)</f>
        <v>4350</v>
      </c>
      <c r="D713" s="172" t="n">
        <f aca="false">SUM(D709:D712)</f>
        <v>53070</v>
      </c>
      <c r="E713" s="174" t="n">
        <f aca="false">SUM(E709:E712)</f>
        <v>4350</v>
      </c>
      <c r="F713" s="175" t="n">
        <f aca="false">SUM(F709:F712)</f>
        <v>0</v>
      </c>
      <c r="G713" s="176" t="n">
        <f aca="false">SUM(B713:F713)</f>
        <v>114840</v>
      </c>
      <c r="H713" s="404" t="n">
        <f aca="false">SUM(H709:H712)</f>
        <v>48408</v>
      </c>
      <c r="I713" s="174" t="n">
        <f aca="false">SUM(I709:I712)</f>
        <v>48496</v>
      </c>
      <c r="J713" s="175" t="n">
        <f aca="false">SUM(H713:I713)</f>
        <v>96904</v>
      </c>
      <c r="K713" s="172" t="n">
        <f aca="false">SUM(K709:K712)</f>
        <v>4898</v>
      </c>
      <c r="L713" s="276" t="n">
        <f aca="false">SUM(L709:L712)</f>
        <v>4898</v>
      </c>
      <c r="M713" s="175" t="n">
        <f aca="false">SUM(K713:L713)</f>
        <v>9796</v>
      </c>
      <c r="N713" s="172" t="n">
        <f aca="false">SUM(N709:N712)</f>
        <v>2</v>
      </c>
      <c r="O713" s="276" t="n">
        <f aca="false">SUM(O709:O712)</f>
        <v>2</v>
      </c>
      <c r="P713" s="175" t="n">
        <f aca="false">SUM(N713:O713)</f>
        <v>4</v>
      </c>
      <c r="Q713" s="110" t="str">
        <f aca="false">IF(P648=P713,"〇","×")</f>
        <v>〇</v>
      </c>
    </row>
    <row r="714" s="110" customFormat="true" ht="20.1" hidden="false" customHeight="true" outlineLevel="0" collapsed="false">
      <c r="A714" s="277" t="s">
        <v>206</v>
      </c>
      <c r="B714" s="278"/>
      <c r="C714" s="279"/>
      <c r="D714" s="280"/>
      <c r="E714" s="281"/>
      <c r="F714" s="267"/>
      <c r="G714" s="268"/>
      <c r="H714" s="334" t="n">
        <f aca="false">SUMIFS(報告入力!$AZ$7:$AZ$696,報告入力!$A$7:$A$696,$S$652,報告入力!$B$7:$B$696,$A714)</f>
        <v>1270075</v>
      </c>
      <c r="I714" s="314"/>
      <c r="J714" s="284" t="n">
        <f aca="false">SUM(H714:I714)</f>
        <v>1270075</v>
      </c>
      <c r="K714" s="334" t="n">
        <f aca="false">SUMIFS(報告入力!$BB$7:$BB$696,報告入力!$A$7:$A$696,$S$652,報告入力!$B$7:$B$696,$A714)</f>
        <v>77228</v>
      </c>
      <c r="L714" s="314"/>
      <c r="M714" s="284" t="n">
        <f aca="false">SUM(K714:L714)</f>
        <v>77228</v>
      </c>
      <c r="N714" s="334" t="n">
        <f aca="false">SUMIFS(報告入力!$BD$7:$BD$696,報告入力!$A$7:$A$696,$S$652,報告入力!$B$7:$B$696,$A714)</f>
        <v>1</v>
      </c>
      <c r="O714" s="314"/>
      <c r="P714" s="284" t="n">
        <f aca="false">SUM(N714:O714)</f>
        <v>1</v>
      </c>
      <c r="Q714" s="110" t="str">
        <f aca="false">IF(P649=P714,"〇","×")</f>
        <v>×</v>
      </c>
      <c r="R714" s="110" t="str">
        <f aca="false">IFERROR(INDEX(報告入力!$C$7:$C$696,MATCH($S$652&amp;"|"&amp;$A714,報告入力!$CG$7:$CG$696,0)),"")</f>
        <v>未受領</v>
      </c>
    </row>
    <row r="715" s="110" customFormat="true" ht="30" hidden="false" customHeight="true" outlineLevel="0" collapsed="false">
      <c r="A715" s="285" t="s">
        <v>385</v>
      </c>
      <c r="B715" s="286" t="n">
        <f aca="false">SUM(+B672+B703+B708+B713+B714)</f>
        <v>480720230</v>
      </c>
      <c r="C715" s="287" t="n">
        <f aca="false">SUM(+C672+C703+C708+C713+C714)</f>
        <v>39417023</v>
      </c>
      <c r="D715" s="286" t="n">
        <f aca="false">SUM(+D672+D703+D708+D713+D714)</f>
        <v>707668057</v>
      </c>
      <c r="E715" s="288" t="n">
        <f aca="false">SUM(+E672+E703+E708+E713+E714)</f>
        <v>39383775</v>
      </c>
      <c r="F715" s="287" t="n">
        <f aca="false">SUM(+F672+F703+F708+F713+F714)</f>
        <v>514166</v>
      </c>
      <c r="G715" s="289" t="n">
        <f aca="false">SUM(B715:F715)</f>
        <v>1267703251</v>
      </c>
      <c r="H715" s="292" t="n">
        <f aca="false">SUM(+H672+H703+H708+H713+H714)</f>
        <v>366311761</v>
      </c>
      <c r="I715" s="290" t="n">
        <f aca="false">SUM(+I672+I703+I708+I713+I714)</f>
        <v>369649168</v>
      </c>
      <c r="J715" s="291" t="n">
        <f aca="false">SUM(H715:I715)</f>
        <v>735960929</v>
      </c>
      <c r="K715" s="292" t="n">
        <f aca="false">SUM(+K672+K703+K708+K713+K714)</f>
        <v>31313778</v>
      </c>
      <c r="L715" s="290" t="n">
        <f aca="false">SUM(+L672+L703+L708+L713+L714)</f>
        <v>31225936</v>
      </c>
      <c r="M715" s="291" t="n">
        <f aca="false">SUM(K715:L715)</f>
        <v>62539714</v>
      </c>
      <c r="N715" s="292" t="n">
        <f aca="false">SUM(+N672+N703+N708+N713+N714)</f>
        <v>27</v>
      </c>
      <c r="O715" s="290" t="n">
        <f aca="false">SUM(+O672+O703+O708+O713+O714)</f>
        <v>38</v>
      </c>
      <c r="P715" s="291" t="n">
        <f aca="false">SUM(N715:O715)</f>
        <v>65</v>
      </c>
      <c r="Q715" s="110" t="str">
        <f aca="false">IF(P650=P715,"〇","×")</f>
        <v>×</v>
      </c>
    </row>
    <row r="716" s="316" customFormat="true" ht="39" hidden="false" customHeight="true" outlineLevel="0" collapsed="false">
      <c r="A716" s="315"/>
      <c r="G716" s="84"/>
      <c r="Q716" s="316" t="str">
        <f aca="false">IF(P651=P716,"〇","×")</f>
        <v>〇</v>
      </c>
    </row>
    <row r="717" s="297" customFormat="true" ht="30" hidden="false" customHeight="true" outlineLevel="0" collapsed="false">
      <c r="A717" s="295"/>
      <c r="B717" s="391" t="n">
        <f aca="false">EOMONTH(B587,1)</f>
        <v>46418</v>
      </c>
      <c r="C717" s="391"/>
      <c r="D717" s="391"/>
      <c r="E717" s="391"/>
      <c r="F717" s="391"/>
      <c r="G717" s="391"/>
      <c r="H717" s="87" t="n">
        <f aca="false">B717</f>
        <v>46418</v>
      </c>
      <c r="I717" s="87"/>
      <c r="J717" s="87"/>
      <c r="K717" s="87" t="n">
        <f aca="false">H717</f>
        <v>46418</v>
      </c>
      <c r="L717" s="87"/>
      <c r="M717" s="87"/>
      <c r="N717" s="87" t="n">
        <f aca="false">K717</f>
        <v>46418</v>
      </c>
      <c r="O717" s="87"/>
      <c r="P717" s="87"/>
      <c r="Q717" s="297" t="str">
        <f aca="false">IF(P652=P717,"〇","×")</f>
        <v>〇</v>
      </c>
      <c r="S717" s="297" t="s">
        <v>399</v>
      </c>
    </row>
    <row r="718" customFormat="false" ht="22.5" hidden="false" customHeight="true" outlineLevel="0" collapsed="false">
      <c r="A718" s="89" t="s">
        <v>369</v>
      </c>
      <c r="B718" s="89" t="s">
        <v>370</v>
      </c>
      <c r="C718" s="89"/>
      <c r="D718" s="89"/>
      <c r="E718" s="89"/>
      <c r="F718" s="89"/>
      <c r="G718" s="89"/>
      <c r="H718" s="91" t="s">
        <v>371</v>
      </c>
      <c r="I718" s="91"/>
      <c r="J718" s="91"/>
      <c r="K718" s="91" t="s">
        <v>372</v>
      </c>
      <c r="L718" s="91"/>
      <c r="M718" s="91"/>
      <c r="N718" s="91" t="str">
        <f aca="false">$N$3</f>
        <v>子ども・子育て支援納付金</v>
      </c>
      <c r="O718" s="91"/>
      <c r="P718" s="91"/>
      <c r="Q718" s="80" t="str">
        <f aca="false">IF(P653=P718,"〇","×")</f>
        <v>〇</v>
      </c>
    </row>
    <row r="719" customFormat="false" ht="22.5" hidden="false" customHeight="true" outlineLevel="0" collapsed="false">
      <c r="A719" s="89"/>
      <c r="B719" s="92" t="s">
        <v>373</v>
      </c>
      <c r="C719" s="92"/>
      <c r="D719" s="92" t="s">
        <v>374</v>
      </c>
      <c r="E719" s="92"/>
      <c r="F719" s="92"/>
      <c r="G719" s="92" t="s">
        <v>375</v>
      </c>
      <c r="H719" s="96" t="s">
        <v>376</v>
      </c>
      <c r="I719" s="94" t="s">
        <v>377</v>
      </c>
      <c r="J719" s="95" t="s">
        <v>375</v>
      </c>
      <c r="K719" s="96" t="s">
        <v>376</v>
      </c>
      <c r="L719" s="94" t="s">
        <v>377</v>
      </c>
      <c r="M719" s="95" t="s">
        <v>375</v>
      </c>
      <c r="N719" s="96" t="s">
        <v>376</v>
      </c>
      <c r="O719" s="94" t="s">
        <v>377</v>
      </c>
      <c r="P719" s="95" t="s">
        <v>375</v>
      </c>
      <c r="Q719" s="80" t="str">
        <f aca="false">IF(P654=P719,"〇","×")</f>
        <v>〇</v>
      </c>
    </row>
    <row r="720" customFormat="false" ht="22.5" hidden="false" customHeight="true" outlineLevel="0" collapsed="false">
      <c r="A720" s="89"/>
      <c r="B720" s="97" t="s">
        <v>378</v>
      </c>
      <c r="C720" s="98" t="s">
        <v>379</v>
      </c>
      <c r="D720" s="99" t="s">
        <v>378</v>
      </c>
      <c r="E720" s="99" t="s">
        <v>380</v>
      </c>
      <c r="F720" s="98" t="s">
        <v>85</v>
      </c>
      <c r="G720" s="92"/>
      <c r="H720" s="96"/>
      <c r="I720" s="94"/>
      <c r="J720" s="95"/>
      <c r="K720" s="96"/>
      <c r="L720" s="94"/>
      <c r="M720" s="95"/>
      <c r="N720" s="96"/>
      <c r="O720" s="94"/>
      <c r="P720" s="95"/>
      <c r="Q720" s="80" t="str">
        <f aca="false">IF(P655=P720,"〇","×")</f>
        <v>〇</v>
      </c>
    </row>
    <row r="721" s="110" customFormat="true" ht="20.1" hidden="false" customHeight="true" outlineLevel="0" collapsed="false">
      <c r="A721" s="100" t="s">
        <v>158</v>
      </c>
      <c r="B721" s="360" t="n">
        <f aca="false">SUMIFS(報告入力!$AU$7:$AU$696,報告入力!$A$7:$A$696,$S$717,報告入力!$B$7:$B$696,$A721)</f>
        <v>233353275</v>
      </c>
      <c r="C721" s="361" t="n">
        <f aca="false">SUMIFS(報告入力!$AV$7:$AV$696,報告入力!$A$7:$A$696,$S$717,報告入力!$B$7:$B$696,$A721)</f>
        <v>19132194</v>
      </c>
      <c r="D721" s="362" t="n">
        <f aca="false">SUMIFS(報告入力!$AW$7:$AW$696,報告入力!$A$7:$A$696,$S$717,報告入力!$B$7:$B$696,$A721)</f>
        <v>339862897</v>
      </c>
      <c r="E721" s="362" t="n">
        <f aca="false">SUMIFS(報告入力!$AX$7:$AX$696,報告入力!$A$7:$A$696,$S$717,報告入力!$B$7:$B$696,$A721)</f>
        <v>18614235</v>
      </c>
      <c r="F721" s="363" t="n">
        <f aca="false">SUMIFS(報告入力!$AY$7:$AY$696,報告入力!$A$7:$A$696,$S$717,報告入力!$B$7:$B$696,$A721)</f>
        <v>245746</v>
      </c>
      <c r="G721" s="364" t="n">
        <f aca="false">SUM(B721:F721)</f>
        <v>611208347</v>
      </c>
      <c r="H721" s="365" t="n">
        <f aca="false">SUMIFS(報告入力!$AZ$7:$AZ$696,報告入力!$A$7:$A$696,$S$717,報告入力!$B$7:$B$696,$A721)</f>
        <v>180638089</v>
      </c>
      <c r="I721" s="180" t="n">
        <f aca="false">SUMIFS(報告入力!$BA$7:$BA$696,報告入力!$A$7:$A$696,$S$717,報告入力!$B$7:$B$696,$A721)</f>
        <v>180025030</v>
      </c>
      <c r="J721" s="181" t="n">
        <f aca="false">SUM(H721:I721)</f>
        <v>360663119</v>
      </c>
      <c r="K721" s="262" t="n">
        <f aca="false">SUMIFS(報告入力!$BB$7:$BB$696,報告入力!$A$7:$A$696,$S$717,報告入力!$B$7:$B$696,$A721)</f>
        <v>15853222</v>
      </c>
      <c r="L721" s="180" t="n">
        <f aca="false">SUMIFS(報告入力!$BC$7:$BC$696,報告入力!$A$7:$A$696,$S$717,報告入力!$B$7:$B$696,$A721)</f>
        <v>15423172</v>
      </c>
      <c r="M721" s="181" t="n">
        <f aca="false">SUM(K721:L721)</f>
        <v>31276394</v>
      </c>
      <c r="N721" s="262" t="n">
        <f aca="false">SUMIFS(報告入力!$BD$7:$BD$696,報告入力!$A$7:$A$696,$S$717,報告入力!$B$7:$B$696,$A721)</f>
        <v>1</v>
      </c>
      <c r="O721" s="180" t="n">
        <f aca="false">SUMIFS(報告入力!$BE$7:$BE$696,報告入力!$A$7:$A$696,$S$717,報告入力!$B$7:$B$696,$A721)</f>
        <v>1</v>
      </c>
      <c r="P721" s="181" t="n">
        <f aca="false">SUM(N721:O721)</f>
        <v>2</v>
      </c>
      <c r="Q721" s="110" t="str">
        <f aca="false">IF(P656=P721,"〇","×")</f>
        <v>〇</v>
      </c>
      <c r="R721" s="110" t="str">
        <f aca="false">IFERROR(INDEX(報告入力!$C$7:$C$696,MATCH($S$717&amp;"|"&amp;$A721,報告入力!$CG$7:$CG$696,0)),"")</f>
        <v>未受領</v>
      </c>
    </row>
    <row r="722" s="110" customFormat="true" ht="20.1" hidden="false" customHeight="true" outlineLevel="0" collapsed="false">
      <c r="A722" s="100" t="s">
        <v>161</v>
      </c>
      <c r="B722" s="178" t="n">
        <f aca="false">SUMIFS(報告入力!$AU$7:$AU$696,報告入力!$A$7:$A$696,$S$717,報告入力!$B$7:$B$696,$A722)</f>
        <v>16576140</v>
      </c>
      <c r="C722" s="179" t="n">
        <f aca="false">SUMIFS(報告入力!$AV$7:$AV$696,報告入力!$A$7:$A$696,$S$717,報告入力!$B$7:$B$696,$A722)</f>
        <v>1358700</v>
      </c>
      <c r="D722" s="362" t="n">
        <f aca="false">SUMIFS(報告入力!$AW$7:$AW$696,報告入力!$A$7:$A$696,$S$717,報告入力!$B$7:$B$696,$A722)</f>
        <v>24202440</v>
      </c>
      <c r="E722" s="362" t="n">
        <f aca="false">SUMIFS(報告入力!$AX$7:$AX$696,報告入力!$A$7:$A$696,$S$717,報告入力!$B$7:$B$696,$A722)</f>
        <v>1362225</v>
      </c>
      <c r="F722" s="212" t="n">
        <f aca="false">SUMIFS(報告入力!$AY$7:$AY$696,報告入力!$A$7:$A$696,$S$717,報告入力!$B$7:$B$696,$A722)</f>
        <v>17152</v>
      </c>
      <c r="G722" s="181" t="n">
        <f aca="false">SUM(B722:F722)</f>
        <v>43516657</v>
      </c>
      <c r="H722" s="182" t="n">
        <f aca="false">SUMIFS(報告入力!$AZ$7:$AZ$696,報告入力!$A$7:$A$696,$S$717,報告入力!$B$7:$B$696,$A722)</f>
        <v>10382615</v>
      </c>
      <c r="I722" s="183" t="n">
        <f aca="false">SUMIFS(報告入力!$BA$7:$BA$696,報告入力!$A$7:$A$696,$S$717,報告入力!$B$7:$B$696,$A722)</f>
        <v>10593257</v>
      </c>
      <c r="J722" s="135" t="n">
        <f aca="false">SUM(H722:I722)</f>
        <v>20975872</v>
      </c>
      <c r="K722" s="215" t="n">
        <f aca="false">SUMIFS(報告入力!$BB$7:$BB$696,報告入力!$A$7:$A$696,$S$717,報告入力!$B$7:$B$696,$A722)</f>
        <v>1034614</v>
      </c>
      <c r="L722" s="213" t="n">
        <f aca="false">SUMIFS(報告入力!$BC$7:$BC$696,報告入力!$A$7:$A$696,$S$717,報告入力!$B$7:$B$696,$A722)</f>
        <v>1038327</v>
      </c>
      <c r="M722" s="135" t="n">
        <f aca="false">SUM(K722:L722)</f>
        <v>2072941</v>
      </c>
      <c r="N722" s="215" t="n">
        <f aca="false">SUMIFS(報告入力!$BD$7:$BD$696,報告入力!$A$7:$A$696,$S$717,報告入力!$B$7:$B$696,$A722)</f>
        <v>1</v>
      </c>
      <c r="O722" s="213" t="n">
        <f aca="false">SUMIFS(報告入力!$BE$7:$BE$696,報告入力!$A$7:$A$696,$S$717,報告入力!$B$7:$B$696,$A722)</f>
        <v>1</v>
      </c>
      <c r="P722" s="135" t="n">
        <f aca="false">SUM(N722:O722)</f>
        <v>2</v>
      </c>
      <c r="Q722" s="110" t="str">
        <f aca="false">IF(P657=P722,"〇","×")</f>
        <v>〇</v>
      </c>
      <c r="R722" s="110" t="str">
        <f aca="false">IFERROR(INDEX(報告入力!$C$7:$C$696,MATCH($S$717&amp;"|"&amp;$A722,報告入力!$CG$7:$CG$696,0)),"")</f>
        <v>未受領</v>
      </c>
    </row>
    <row r="723" s="110" customFormat="true" ht="20.1" hidden="false" customHeight="true" outlineLevel="0" collapsed="false">
      <c r="A723" s="100" t="s">
        <v>162</v>
      </c>
      <c r="B723" s="178" t="n">
        <f aca="false">SUMIFS(報告入力!$AU$7:$AU$696,報告入力!$A$7:$A$696,$S$717,報告入力!$B$7:$B$696,$A723)</f>
        <v>53671153</v>
      </c>
      <c r="C723" s="179" t="n">
        <f aca="false">SUMIFS(報告入力!$AV$7:$AV$696,報告入力!$A$7:$A$696,$S$717,報告入力!$B$7:$B$696,$A723)</f>
        <v>4399273</v>
      </c>
      <c r="D723" s="362" t="n">
        <f aca="false">SUMIFS(報告入力!$AW$7:$AW$696,報告入力!$A$7:$A$696,$S$717,報告入力!$B$7:$B$696,$A723)</f>
        <v>78181314</v>
      </c>
      <c r="E723" s="362" t="n">
        <f aca="false">SUMIFS(報告入力!$AX$7:$AX$696,報告入力!$A$7:$A$696,$S$717,報告入力!$B$7:$B$696,$A723)</f>
        <v>4391639</v>
      </c>
      <c r="F723" s="212" t="n">
        <f aca="false">SUMIFS(報告入力!$AY$7:$AY$696,報告入力!$A$7:$A$696,$S$717,報告入力!$B$7:$B$696,$A723)</f>
        <v>55437</v>
      </c>
      <c r="G723" s="181" t="n">
        <f aca="false">SUM(B723:F723)</f>
        <v>140698816</v>
      </c>
      <c r="H723" s="213" t="n">
        <f aca="false">SUMIFS(報告入力!$AZ$7:$AZ$696,報告入力!$A$7:$A$696,$S$717,報告入力!$B$7:$B$696,$A723)</f>
        <v>32967788</v>
      </c>
      <c r="I723" s="182" t="n">
        <f aca="false">SUMIFS(報告入力!$BA$7:$BA$696,報告入力!$A$7:$A$696,$S$717,報告入力!$B$7:$B$696,$A723)</f>
        <v>33499560</v>
      </c>
      <c r="J723" s="135" t="n">
        <f aca="false">SUM(H723:I723)</f>
        <v>66467348</v>
      </c>
      <c r="K723" s="215" t="n">
        <f aca="false">SUMIFS(報告入力!$BB$7:$BB$696,報告入力!$A$7:$A$696,$S$717,報告入力!$B$7:$B$696,$A723)</f>
        <v>1996991</v>
      </c>
      <c r="L723" s="182" t="n">
        <f aca="false">SUMIFS(報告入力!$BC$7:$BC$696,報告入力!$A$7:$A$696,$S$717,報告入力!$B$7:$B$696,$A723)</f>
        <v>1989962</v>
      </c>
      <c r="M723" s="135" t="n">
        <f aca="false">SUM(K723:L723)</f>
        <v>3986953</v>
      </c>
      <c r="N723" s="215" t="n">
        <f aca="false">SUMIFS(報告入力!$BD$7:$BD$696,報告入力!$A$7:$A$696,$S$717,報告入力!$B$7:$B$696,$A723)</f>
        <v>1</v>
      </c>
      <c r="O723" s="182" t="n">
        <f aca="false">SUMIFS(報告入力!$BE$7:$BE$696,報告入力!$A$7:$A$696,$S$717,報告入力!$B$7:$B$696,$A723)</f>
        <v>1</v>
      </c>
      <c r="P723" s="135" t="n">
        <f aca="false">SUM(N723:O723)</f>
        <v>2</v>
      </c>
      <c r="Q723" s="110" t="str">
        <f aca="false">IF(P658=P723,"〇","×")</f>
        <v>〇</v>
      </c>
      <c r="R723" s="110" t="str">
        <f aca="false">IFERROR(INDEX(報告入力!$C$7:$C$696,MATCH($S$717&amp;"|"&amp;$A723,報告入力!$CG$7:$CG$696,0)),"")</f>
        <v>未受領</v>
      </c>
    </row>
    <row r="724" s="110" customFormat="true" ht="20.1" hidden="false" customHeight="true" outlineLevel="0" collapsed="false">
      <c r="A724" s="100" t="s">
        <v>163</v>
      </c>
      <c r="B724" s="178" t="n">
        <f aca="false">SUMIFS(報告入力!$AU$7:$AU$696,報告入力!$A$7:$A$696,$S$717,報告入力!$B$7:$B$696,$A724)</f>
        <v>1740330</v>
      </c>
      <c r="C724" s="179" t="n">
        <f aca="false">SUMIFS(報告入力!$AV$7:$AV$696,報告入力!$A$7:$A$696,$S$717,報告入力!$B$7:$B$696,$A724)</f>
        <v>142650</v>
      </c>
      <c r="D724" s="362" t="n">
        <f aca="false">SUMIFS(報告入力!$AW$7:$AW$696,報告入力!$A$7:$A$696,$S$717,報告入力!$B$7:$B$696,$A724)</f>
        <v>2539620</v>
      </c>
      <c r="E724" s="362" t="n">
        <f aca="false">SUMIFS(報告入力!$AX$7:$AX$696,報告入力!$A$7:$A$696,$S$717,報告入力!$B$7:$B$696,$A724)</f>
        <v>142650</v>
      </c>
      <c r="F724" s="212" t="n">
        <f aca="false">SUMIFS(報告入力!$AY$7:$AY$696,報告入力!$A$7:$A$696,$S$717,報告入力!$B$7:$B$696,$A724)</f>
        <v>1808</v>
      </c>
      <c r="G724" s="181" t="n">
        <f aca="false">SUM(B724:F724)</f>
        <v>4567058</v>
      </c>
      <c r="H724" s="362" t="n">
        <f aca="false">SUMIFS(報告入力!$AZ$7:$AZ$696,報告入力!$A$7:$A$696,$S$717,報告入力!$B$7:$B$696,$A724)</f>
        <v>1055074</v>
      </c>
      <c r="I724" s="182" t="n">
        <f aca="false">SUMIFS(報告入力!$BA$7:$BA$696,報告入力!$A$7:$A$696,$S$717,報告入力!$B$7:$B$696,$A724)</f>
        <v>1073929</v>
      </c>
      <c r="J724" s="135" t="n">
        <f aca="false">SUM(H724:I724)</f>
        <v>2129003</v>
      </c>
      <c r="K724" s="178" t="n">
        <f aca="false">SUMIFS(報告入力!$BB$7:$BB$696,報告入力!$A$7:$A$696,$S$717,報告入力!$B$7:$B$696,$A724)</f>
        <v>99935</v>
      </c>
      <c r="L724" s="182" t="n">
        <f aca="false">SUMIFS(報告入力!$BC$7:$BC$696,報告入力!$A$7:$A$696,$S$717,報告入力!$B$7:$B$696,$A724)</f>
        <v>99935</v>
      </c>
      <c r="M724" s="135" t="n">
        <f aca="false">SUM(K724:L724)</f>
        <v>199870</v>
      </c>
      <c r="N724" s="178" t="n">
        <f aca="false">SUMIFS(報告入力!$BD$7:$BD$696,報告入力!$A$7:$A$696,$S$717,報告入力!$B$7:$B$696,$A724)</f>
        <v>1</v>
      </c>
      <c r="O724" s="182" t="n">
        <f aca="false">SUMIFS(報告入力!$BE$7:$BE$696,報告入力!$A$7:$A$696,$S$717,報告入力!$B$7:$B$696,$A724)</f>
        <v>1</v>
      </c>
      <c r="P724" s="135" t="n">
        <f aca="false">SUM(N724:O724)</f>
        <v>2</v>
      </c>
      <c r="Q724" s="110" t="str">
        <f aca="false">IF(P659=P724,"〇","×")</f>
        <v>〇</v>
      </c>
      <c r="R724" s="110" t="str">
        <f aca="false">IFERROR(INDEX(報告入力!$C$7:$C$696,MATCH($S$717&amp;"|"&amp;$A724,報告入力!$CG$7:$CG$696,0)),"")</f>
        <v>未受領</v>
      </c>
    </row>
    <row r="725" s="110" customFormat="true" ht="20.1" hidden="false" customHeight="true" outlineLevel="0" collapsed="false">
      <c r="A725" s="100" t="s">
        <v>164</v>
      </c>
      <c r="B725" s="178" t="n">
        <f aca="false">SUMIFS(報告入力!$AU$7:$AU$696,報告入力!$A$7:$A$696,$S$717,報告入力!$B$7:$B$696,$A725)</f>
        <v>24104029</v>
      </c>
      <c r="C725" s="179" t="n">
        <f aca="false">SUMIFS(報告入力!$AV$7:$AV$696,報告入力!$A$7:$A$696,$S$717,報告入力!$B$7:$B$696,$A725)</f>
        <v>1975741</v>
      </c>
      <c r="D725" s="215" t="n">
        <f aca="false">SUMIFS(報告入力!$AW$7:$AW$696,報告入力!$A$7:$A$696,$S$717,報告入力!$B$7:$B$696,$A725)</f>
        <v>35172411</v>
      </c>
      <c r="E725" s="362" t="n">
        <f aca="false">SUMIFS(報告入力!$AX$7:$AX$696,報告入力!$A$7:$A$696,$S$717,報告入力!$B$7:$B$696,$A725)</f>
        <v>1975741</v>
      </c>
      <c r="F725" s="212" t="n">
        <f aca="false">SUMIFS(報告入力!$AY$7:$AY$696,報告入力!$A$7:$A$696,$S$717,報告入力!$B$7:$B$696,$A725)</f>
        <v>25038</v>
      </c>
      <c r="G725" s="181" t="n">
        <f aca="false">SUM(B725:F725)</f>
        <v>63252960</v>
      </c>
      <c r="H725" s="362" t="n">
        <f aca="false">SUMIFS(報告入力!$AZ$7:$AZ$696,報告入力!$A$7:$A$696,$S$717,報告入力!$B$7:$B$696,$A725)</f>
        <v>24967150</v>
      </c>
      <c r="I725" s="182" t="n">
        <f aca="false">SUMIFS(報告入力!$BA$7:$BA$696,報告入力!$A$7:$A$696,$S$717,報告入力!$B$7:$B$696,$A725)</f>
        <v>25510639</v>
      </c>
      <c r="J725" s="424" t="n">
        <f aca="false">SUM(H725:I725)</f>
        <v>50477789</v>
      </c>
      <c r="K725" s="214" t="n">
        <f aca="false">SUMIFS(報告入力!$BB$7:$BB$696,報告入力!$A$7:$A$696,$S$717,報告入力!$B$7:$B$696,$A725)</f>
        <v>2779167</v>
      </c>
      <c r="L725" s="214" t="n">
        <f aca="false">SUMIFS(報告入力!$BC$7:$BC$696,報告入力!$A$7:$A$696,$S$717,報告入力!$B$7:$B$696,$A725)</f>
        <v>2736927</v>
      </c>
      <c r="M725" s="135" t="n">
        <f aca="false">SUM(K725:L725)</f>
        <v>5516094</v>
      </c>
      <c r="N725" s="214" t="n">
        <f aca="false">SUMIFS(報告入力!$BD$7:$BD$696,報告入力!$A$7:$A$696,$S$717,報告入力!$B$7:$B$696,$A725)</f>
        <v>1</v>
      </c>
      <c r="O725" s="214" t="n">
        <f aca="false">SUMIFS(報告入力!$BE$7:$BE$696,報告入力!$A$7:$A$696,$S$717,報告入力!$B$7:$B$696,$A725)</f>
        <v>1</v>
      </c>
      <c r="P725" s="135" t="n">
        <f aca="false">SUM(N725:O725)</f>
        <v>2</v>
      </c>
      <c r="Q725" s="110" t="str">
        <f aca="false">IF(P660=P725,"〇","×")</f>
        <v>〇</v>
      </c>
      <c r="R725" s="110" t="str">
        <f aca="false">IFERROR(INDEX(報告入力!$C$7:$C$696,MATCH($S$717&amp;"|"&amp;$A725,報告入力!$CG$7:$CG$696,0)),"")</f>
        <v>未受領</v>
      </c>
    </row>
    <row r="726" s="110" customFormat="true" ht="20.1" hidden="false" customHeight="true" outlineLevel="0" collapsed="false">
      <c r="A726" s="100" t="s">
        <v>165</v>
      </c>
      <c r="B726" s="178" t="n">
        <f aca="false">SUMIFS(報告入力!$AU$7:$AU$696,報告入力!$A$7:$A$696,$S$717,報告入力!$B$7:$B$696,$A726)</f>
        <v>286395</v>
      </c>
      <c r="C726" s="179" t="n">
        <f aca="false">SUMIFS(報告入力!$AV$7:$AV$696,報告入力!$A$7:$A$696,$S$717,報告入力!$B$7:$B$696,$A726)</f>
        <v>23475</v>
      </c>
      <c r="D726" s="362" t="n">
        <f aca="false">SUMIFS(報告入力!$AW$7:$AW$696,報告入力!$A$7:$A$696,$S$717,報告入力!$B$7:$B$696,$A726)</f>
        <v>416290</v>
      </c>
      <c r="E726" s="362" t="n">
        <f aca="false">SUMIFS(報告入力!$AX$7:$AX$696,報告入力!$A$7:$A$696,$S$717,報告入力!$B$7:$B$696,$A726)</f>
        <v>23475</v>
      </c>
      <c r="F726" s="212" t="n">
        <f aca="false">SUMIFS(報告入力!$AY$7:$AY$696,報告入力!$A$7:$A$696,$S$717,報告入力!$B$7:$B$696,$A726)</f>
        <v>293</v>
      </c>
      <c r="G726" s="181" t="n">
        <f aca="false">SUM(B726:F726)</f>
        <v>749928</v>
      </c>
      <c r="H726" s="182" t="n">
        <f aca="false">SUMIFS(報告入力!$AZ$7:$AZ$696,報告入力!$A$7:$A$696,$S$717,報告入力!$B$7:$B$696,$A726)</f>
        <v>193631</v>
      </c>
      <c r="I726" s="183" t="n">
        <f aca="false">SUMIFS(報告入力!$BA$7:$BA$696,報告入力!$A$7:$A$696,$S$717,報告入力!$B$7:$B$696,$A726)</f>
        <v>197049</v>
      </c>
      <c r="J726" s="135" t="n">
        <f aca="false">SUM(H726:I726)</f>
        <v>390680</v>
      </c>
      <c r="K726" s="178" t="n">
        <f aca="false">SUMIFS(報告入力!$BB$7:$BB$696,報告入力!$A$7:$A$696,$S$717,報告入力!$B$7:$B$696,$A726)</f>
        <v>15326</v>
      </c>
      <c r="L726" s="182" t="n">
        <f aca="false">SUMIFS(報告入力!$BC$7:$BC$696,報告入力!$A$7:$A$696,$S$717,報告入力!$B$7:$B$696,$A726)</f>
        <v>15326</v>
      </c>
      <c r="M726" s="135" t="n">
        <f aca="false">SUM(K726:L726)</f>
        <v>30652</v>
      </c>
      <c r="N726" s="178" t="n">
        <f aca="false">SUMIFS(報告入力!$BD$7:$BD$696,報告入力!$A$7:$A$696,$S$717,報告入力!$B$7:$B$696,$A726)</f>
        <v>1</v>
      </c>
      <c r="O726" s="182" t="n">
        <f aca="false">SUMIFS(報告入力!$BE$7:$BE$696,報告入力!$A$7:$A$696,$S$717,報告入力!$B$7:$B$696,$A726)</f>
        <v>1</v>
      </c>
      <c r="P726" s="135" t="n">
        <f aca="false">SUM(N726:O726)</f>
        <v>2</v>
      </c>
      <c r="Q726" s="110" t="str">
        <f aca="false">IF(P661=P726,"〇","×")</f>
        <v>〇</v>
      </c>
      <c r="R726" s="110" t="str">
        <f aca="false">IFERROR(INDEX(報告入力!$C$7:$C$696,MATCH($S$717&amp;"|"&amp;$A726,報告入力!$CG$7:$CG$696,0)),"")</f>
        <v>未受領</v>
      </c>
    </row>
    <row r="727" s="110" customFormat="true" ht="20.1" hidden="false" customHeight="true" outlineLevel="0" collapsed="false">
      <c r="A727" s="100" t="s">
        <v>166</v>
      </c>
      <c r="B727" s="178" t="n">
        <f aca="false">SUMIFS(報告入力!$AU$7:$AU$696,報告入力!$A$7:$A$696,$S$717,報告入力!$B$7:$B$696,$A727)</f>
        <v>561810</v>
      </c>
      <c r="C727" s="179" t="n">
        <f aca="false">SUMIFS(報告入力!$AV$7:$AV$696,報告入力!$A$7:$A$696,$S$717,報告入力!$B$7:$B$696,$A727)</f>
        <v>46050</v>
      </c>
      <c r="D727" s="362" t="n">
        <f aca="false">SUMIFS(報告入力!$AW$7:$AW$696,報告入力!$A$7:$A$696,$S$717,報告入力!$B$7:$B$696,$A727)</f>
        <v>816620</v>
      </c>
      <c r="E727" s="362" t="n">
        <f aca="false">SUMIFS(報告入力!$AX$7:$AX$696,報告入力!$A$7:$A$696,$S$717,報告入力!$B$7:$B$696,$A727)</f>
        <v>46050</v>
      </c>
      <c r="F727" s="212" t="n">
        <f aca="false">SUMIFS(報告入力!$AY$7:$AY$696,報告入力!$A$7:$A$696,$S$717,報告入力!$B$7:$B$696,$A727)</f>
        <v>576</v>
      </c>
      <c r="G727" s="366" t="n">
        <f aca="false">SUM(B727:F727)</f>
        <v>1471106</v>
      </c>
      <c r="H727" s="182" t="n">
        <f aca="false">SUMIFS(報告入力!$AZ$7:$AZ$696,報告入力!$A$7:$A$696,$S$717,報告入力!$B$7:$B$696,$A727)</f>
        <v>343259</v>
      </c>
      <c r="I727" s="183" t="n">
        <f aca="false">SUMIFS(報告入力!$BA$7:$BA$696,報告入力!$A$7:$A$696,$S$717,報告入力!$B$7:$B$696,$A727)</f>
        <v>349315</v>
      </c>
      <c r="J727" s="135" t="n">
        <f aca="false">SUM(H727:I727)</f>
        <v>692574</v>
      </c>
      <c r="K727" s="262" t="n">
        <f aca="false">SUMIFS(報告入力!$BB$7:$BB$696,報告入力!$A$7:$A$696,$S$717,報告入力!$B$7:$B$696,$A727)</f>
        <v>32232</v>
      </c>
      <c r="L727" s="183" t="n">
        <f aca="false">SUMIFS(報告入力!$BC$7:$BC$696,報告入力!$A$7:$A$696,$S$717,報告入力!$B$7:$B$696,$A727)</f>
        <v>32232</v>
      </c>
      <c r="M727" s="135" t="n">
        <f aca="false">SUM(K727:L727)</f>
        <v>64464</v>
      </c>
      <c r="N727" s="262" t="n">
        <f aca="false">SUMIFS(報告入力!$BD$7:$BD$696,報告入力!$A$7:$A$696,$S$717,報告入力!$B$7:$B$696,$A727)</f>
        <v>1</v>
      </c>
      <c r="O727" s="183" t="n">
        <f aca="false">SUMIFS(報告入力!$BE$7:$BE$696,報告入力!$A$7:$A$696,$S$717,報告入力!$B$7:$B$696,$A727)</f>
        <v>1</v>
      </c>
      <c r="P727" s="135" t="n">
        <f aca="false">SUM(N727:O727)</f>
        <v>2</v>
      </c>
      <c r="Q727" s="110" t="str">
        <f aca="false">IF(P662=P727,"〇","×")</f>
        <v>〇</v>
      </c>
      <c r="R727" s="110" t="str">
        <f aca="false">IFERROR(INDEX(報告入力!$C$7:$C$696,MATCH($S$717&amp;"|"&amp;$A727,報告入力!$CG$7:$CG$696,0)),"")</f>
        <v>未受領</v>
      </c>
    </row>
    <row r="728" s="110" customFormat="true" ht="20.1" hidden="false" customHeight="true" outlineLevel="0" collapsed="false">
      <c r="A728" s="100" t="s">
        <v>167</v>
      </c>
      <c r="B728" s="178" t="n">
        <f aca="false">SUMIFS(報告入力!$AU$7:$AU$696,報告入力!$A$7:$A$696,$S$717,報告入力!$B$7:$B$696,$A728)</f>
        <v>1344135</v>
      </c>
      <c r="C728" s="179" t="n">
        <f aca="false">SUMIFS(報告入力!$AV$7:$AV$696,報告入力!$A$7:$A$696,$S$717,報告入力!$B$7:$B$696,$A728)</f>
        <v>110175</v>
      </c>
      <c r="D728" s="362" t="n">
        <f aca="false">SUMIFS(報告入力!$AW$7:$AW$696,報告入力!$A$7:$A$696,$S$717,報告入力!$B$7:$B$696,$A728)</f>
        <v>1965390</v>
      </c>
      <c r="E728" s="362" t="n">
        <f aca="false">SUMIFS(報告入力!$AX$7:$AX$696,報告入力!$A$7:$A$696,$S$717,報告入力!$B$7:$B$696,$A728)</f>
        <v>110175</v>
      </c>
      <c r="F728" s="212" t="n">
        <f aca="false">SUMIFS(報告入力!$AY$7:$AY$696,報告入力!$A$7:$A$696,$S$717,報告入力!$B$7:$B$696,$A728)</f>
        <v>1405</v>
      </c>
      <c r="G728" s="181" t="n">
        <f aca="false">SUM(B728:F728)</f>
        <v>3531280</v>
      </c>
      <c r="H728" s="182" t="n">
        <f aca="false">SUMIFS(報告入力!$AZ$7:$AZ$696,報告入力!$A$7:$A$696,$S$717,報告入力!$B$7:$B$696,$A728)</f>
        <v>836690</v>
      </c>
      <c r="I728" s="183" t="n">
        <f aca="false">SUMIFS(報告入力!$BA$7:$BA$696,報告入力!$A$7:$A$696,$S$717,報告入力!$B$7:$B$696,$A728)</f>
        <v>851727</v>
      </c>
      <c r="J728" s="135" t="n">
        <f aca="false">SUM(H728:I728)</f>
        <v>1688417</v>
      </c>
      <c r="K728" s="262" t="n">
        <f aca="false">SUMIFS(報告入力!$BB$7:$BB$696,報告入力!$A$7:$A$696,$S$717,報告入力!$B$7:$B$696,$A728)</f>
        <v>108309</v>
      </c>
      <c r="L728" s="183" t="n">
        <f aca="false">SUMIFS(報告入力!$BC$7:$BC$696,報告入力!$A$7:$A$696,$S$717,報告入力!$B$7:$B$696,$A728)</f>
        <v>108309</v>
      </c>
      <c r="M728" s="135" t="n">
        <f aca="false">SUM(K728:L728)</f>
        <v>216618</v>
      </c>
      <c r="N728" s="262" t="n">
        <f aca="false">SUMIFS(報告入力!$BD$7:$BD$696,報告入力!$A$7:$A$696,$S$717,報告入力!$B$7:$B$696,$A728)</f>
        <v>1</v>
      </c>
      <c r="O728" s="183" t="n">
        <f aca="false">SUMIFS(報告入力!$BE$7:$BE$696,報告入力!$A$7:$A$696,$S$717,報告入力!$B$7:$B$696,$A728)</f>
        <v>1</v>
      </c>
      <c r="P728" s="135" t="n">
        <f aca="false">SUM(N728:O728)</f>
        <v>2</v>
      </c>
      <c r="Q728" s="110" t="str">
        <f aca="false">IF(P663=P728,"〇","×")</f>
        <v>〇</v>
      </c>
      <c r="R728" s="110" t="str">
        <f aca="false">IFERROR(INDEX(報告入力!$C$7:$C$696,MATCH($S$717&amp;"|"&amp;$A728,報告入力!$CG$7:$CG$696,0)),"")</f>
        <v>未受領</v>
      </c>
    </row>
    <row r="729" s="110" customFormat="true" ht="20.1" hidden="false" customHeight="true" outlineLevel="0" collapsed="false">
      <c r="A729" s="100" t="s">
        <v>168</v>
      </c>
      <c r="B729" s="178" t="n">
        <f aca="false">SUMIFS(報告入力!$AU$7:$AU$696,報告入力!$A$7:$A$696,$S$717,報告入力!$B$7:$B$696,$A729)</f>
        <v>382470</v>
      </c>
      <c r="C729" s="179" t="n">
        <f aca="false">SUMIFS(報告入力!$AV$7:$AV$696,報告入力!$A$7:$A$696,$S$717,報告入力!$B$7:$B$696,$A729)</f>
        <v>31350</v>
      </c>
      <c r="D729" s="362" t="n">
        <f aca="false">SUMIFS(報告入力!$AW$7:$AW$696,報告入力!$A$7:$A$696,$S$717,報告入力!$B$7:$B$696,$A729)</f>
        <v>555940</v>
      </c>
      <c r="E729" s="362" t="n">
        <f aca="false">SUMIFS(報告入力!$AX$7:$AX$696,報告入力!$A$7:$A$696,$S$717,報告入力!$B$7:$B$696,$A729)</f>
        <v>31350</v>
      </c>
      <c r="F729" s="212" t="n">
        <f aca="false">SUMIFS(報告入力!$AY$7:$AY$696,報告入力!$A$7:$A$696,$S$717,報告入力!$B$7:$B$696,$A729)</f>
        <v>392</v>
      </c>
      <c r="G729" s="181" t="n">
        <f aca="false">SUM(B729:F729)</f>
        <v>1001502</v>
      </c>
      <c r="H729" s="182" t="n">
        <f aca="false">SUMIFS(報告入力!$AZ$7:$AZ$696,報告入力!$A$7:$A$696,$S$717,報告入力!$B$7:$B$696,$A729)</f>
        <v>308930</v>
      </c>
      <c r="I729" s="183" t="n">
        <f aca="false">SUMIFS(報告入力!$BA$7:$BA$696,報告入力!$A$7:$A$696,$S$717,報告入力!$B$7:$B$696,$A729)</f>
        <v>314382</v>
      </c>
      <c r="J729" s="135" t="n">
        <f aca="false">SUM(H729:I729)</f>
        <v>623312</v>
      </c>
      <c r="K729" s="262" t="n">
        <f aca="false">SUMIFS(報告入力!$BB$7:$BB$696,報告入力!$A$7:$A$696,$S$717,報告入力!$B$7:$B$696,$A729)</f>
        <v>32672</v>
      </c>
      <c r="L729" s="183" t="n">
        <f aca="false">SUMIFS(報告入力!$BC$7:$BC$696,報告入力!$A$7:$A$696,$S$717,報告入力!$B$7:$B$696,$A729)</f>
        <v>32674</v>
      </c>
      <c r="M729" s="135" t="n">
        <f aca="false">SUM(K729:L729)</f>
        <v>65346</v>
      </c>
      <c r="N729" s="262" t="n">
        <f aca="false">SUMIFS(報告入力!$BD$7:$BD$696,報告入力!$A$7:$A$696,$S$717,報告入力!$B$7:$B$696,$A729)</f>
        <v>1</v>
      </c>
      <c r="O729" s="183" t="n">
        <f aca="false">SUMIFS(報告入力!$BE$7:$BE$696,報告入力!$A$7:$A$696,$S$717,報告入力!$B$7:$B$696,$A729)</f>
        <v>1</v>
      </c>
      <c r="P729" s="135" t="n">
        <f aca="false">SUM(N729:O729)</f>
        <v>2</v>
      </c>
      <c r="Q729" s="110" t="str">
        <f aca="false">IF(P664=P729,"〇","×")</f>
        <v>〇</v>
      </c>
      <c r="R729" s="110" t="str">
        <f aca="false">IFERROR(INDEX(報告入力!$C$7:$C$696,MATCH($S$717&amp;"|"&amp;$A729,報告入力!$CG$7:$CG$696,0)),"")</f>
        <v>未受領</v>
      </c>
    </row>
    <row r="730" s="110" customFormat="true" ht="20.1" hidden="false" customHeight="true" outlineLevel="0" collapsed="false">
      <c r="A730" s="100" t="s">
        <v>169</v>
      </c>
      <c r="B730" s="178" t="n">
        <f aca="false">SUMIFS(報告入力!$AU$7:$AU$696,報告入力!$A$7:$A$696,$S$717,報告入力!$B$7:$B$696,$A730)</f>
        <v>22420245</v>
      </c>
      <c r="C730" s="179" t="n">
        <f aca="false">SUMIFS(報告入力!$AV$7:$AV$696,報告入力!$A$7:$A$696,$S$717,報告入力!$B$7:$B$696,$A730)</f>
        <v>1837725</v>
      </c>
      <c r="D730" s="362" t="n">
        <f aca="false">SUMIFS(報告入力!$AW$7:$AW$696,報告入力!$A$7:$A$696,$S$717,報告入力!$B$7:$B$696,$A730)</f>
        <v>32739220</v>
      </c>
      <c r="E730" s="362" t="n">
        <f aca="false">SUMIFS(報告入力!$AX$7:$AX$696,報告入力!$A$7:$A$696,$S$717,報告入力!$B$7:$B$696,$A730)</f>
        <v>1837725</v>
      </c>
      <c r="F730" s="212" t="n">
        <f aca="false">SUMIFS(報告入力!$AY$7:$AY$696,報告入力!$A$7:$A$696,$S$717,報告入力!$B$7:$B$696,$A730)</f>
        <v>23343</v>
      </c>
      <c r="G730" s="181" t="n">
        <f aca="false">SUM(B730:F730)</f>
        <v>58858258</v>
      </c>
      <c r="H730" s="182" t="n">
        <f aca="false">SUMIFS(報告入力!$AZ$7:$AZ$696,報告入力!$A$7:$A$696,$S$717,報告入力!$B$7:$B$696,$A730)</f>
        <v>14212123</v>
      </c>
      <c r="I730" s="183" t="n">
        <f aca="false">SUMIFS(報告入力!$BA$7:$BA$696,報告入力!$A$7:$A$696,$S$717,報告入力!$B$7:$B$696,$A730)</f>
        <v>14466503</v>
      </c>
      <c r="J730" s="135" t="n">
        <f aca="false">SUM(H730:I730)</f>
        <v>28678626</v>
      </c>
      <c r="K730" s="262" t="n">
        <f aca="false">SUMIFS(報告入力!$BB$7:$BB$696,報告入力!$A$7:$A$696,$S$717,報告入力!$B$7:$B$696,$A730)</f>
        <v>1332967</v>
      </c>
      <c r="L730" s="183" t="n">
        <f aca="false">SUMIFS(報告入力!$BC$7:$BC$696,報告入力!$A$7:$A$696,$S$717,報告入力!$B$7:$B$696,$A730)</f>
        <v>1332967</v>
      </c>
      <c r="M730" s="135" t="n">
        <f aca="false">SUM(K730:L730)</f>
        <v>2665934</v>
      </c>
      <c r="N730" s="262" t="n">
        <f aca="false">SUMIFS(報告入力!$BD$7:$BD$696,報告入力!$A$7:$A$696,$S$717,報告入力!$B$7:$B$696,$A730)</f>
        <v>1</v>
      </c>
      <c r="O730" s="183" t="n">
        <f aca="false">SUMIFS(報告入力!$BE$7:$BE$696,報告入力!$A$7:$A$696,$S$717,報告入力!$B$7:$B$696,$A730)</f>
        <v>1</v>
      </c>
      <c r="P730" s="135" t="n">
        <f aca="false">SUM(N730:O730)</f>
        <v>2</v>
      </c>
      <c r="Q730" s="110" t="str">
        <f aca="false">IF(P665=P730,"〇","×")</f>
        <v>〇</v>
      </c>
      <c r="R730" s="110" t="str">
        <f aca="false">IFERROR(INDEX(報告入力!$C$7:$C$696,MATCH($S$717&amp;"|"&amp;$A730,報告入力!$CG$7:$CG$696,0)),"")</f>
        <v>未受領</v>
      </c>
    </row>
    <row r="731" s="110" customFormat="true" ht="19.5" hidden="false" customHeight="true" outlineLevel="0" collapsed="false">
      <c r="A731" s="121" t="s">
        <v>381</v>
      </c>
      <c r="B731" s="215" t="n">
        <f aca="false">SUMIFS(報告入力!$AU$7:$AU$696,報告入力!$A$7:$A$696,$S$717,報告入力!$B$7:$B$696,$A731)</f>
        <v>48495</v>
      </c>
      <c r="C731" s="367" t="n">
        <f aca="false">SUMIFS(報告入力!$AV$7:$AV$696,報告入力!$A$7:$A$696,$S$717,報告入力!$B$7:$B$696,$A731)</f>
        <v>3975</v>
      </c>
      <c r="D731" s="215" t="n">
        <f aca="false">SUMIFS(報告入力!$AW$7:$AW$696,報告入力!$A$7:$A$696,$S$717,報告入力!$B$7:$B$696,$A731)</f>
        <v>70490</v>
      </c>
      <c r="E731" s="213" t="n">
        <f aca="false">SUMIFS(報告入力!$AX$7:$AX$696,報告入力!$A$7:$A$696,$S$717,報告入力!$B$7:$B$696,$A731)</f>
        <v>3975</v>
      </c>
      <c r="F731" s="368" t="n">
        <f aca="false">SUMIFS(報告入力!$AY$7:$AY$696,報告入力!$A$7:$A$696,$S$717,報告入力!$B$7:$B$696,$A731)</f>
        <v>49</v>
      </c>
      <c r="G731" s="366" t="n">
        <f aca="false">SUM(B731:F731)</f>
        <v>126984</v>
      </c>
      <c r="H731" s="369" t="n">
        <f aca="false">SUMIFS(報告入力!$AZ$7:$AZ$696,報告入力!$A$7:$A$696,$S$717,報告入力!$B$7:$B$696,$A731)</f>
        <v>29155</v>
      </c>
      <c r="I731" s="370" t="n">
        <f aca="false">SUMIFS(報告入力!$BA$7:$BA$696,報告入力!$A$7:$A$696,$S$717,報告入力!$B$7:$B$696,$A731)</f>
        <v>29669</v>
      </c>
      <c r="J731" s="135" t="n">
        <f aca="false">SUM(H731:I731)</f>
        <v>58824</v>
      </c>
      <c r="K731" s="262" t="n">
        <f aca="false">SUMIFS(報告入力!$BB$7:$BB$696,報告入力!$A$7:$A$696,$S$717,報告入力!$B$7:$B$696,$A731)</f>
        <v>4187</v>
      </c>
      <c r="L731" s="183" t="n">
        <f aca="false">SUMIFS(報告入力!$BC$7:$BC$696,報告入力!$A$7:$A$696,$S$717,報告入力!$B$7:$B$696,$A731)</f>
        <v>4187</v>
      </c>
      <c r="M731" s="135" t="n">
        <f aca="false">SUM(K731:L731)</f>
        <v>8374</v>
      </c>
      <c r="N731" s="262" t="n">
        <f aca="false">SUMIFS(報告入力!$BD$7:$BD$696,報告入力!$A$7:$A$696,$S$717,報告入力!$B$7:$B$696,$A731)</f>
        <v>1</v>
      </c>
      <c r="O731" s="183" t="n">
        <f aca="false">SUMIFS(報告入力!$BE$7:$BE$696,報告入力!$A$7:$A$696,$S$717,報告入力!$B$7:$B$696,$A731)</f>
        <v>1</v>
      </c>
      <c r="P731" s="135" t="n">
        <f aca="false">SUM(N731:O731)</f>
        <v>2</v>
      </c>
      <c r="Q731" s="110" t="str">
        <f aca="false">IF(P666=P731,"〇","×")</f>
        <v>〇</v>
      </c>
      <c r="R731" s="110" t="str">
        <f aca="false">IFERROR(INDEX(報告入力!$C$7:$C$696,MATCH($S$717&amp;"|"&amp;$A731,報告入力!$CG$7:$CG$696,0)),"")</f>
        <v>未受領</v>
      </c>
    </row>
    <row r="732" s="137" customFormat="true" ht="19.5" hidden="false" customHeight="true" outlineLevel="0" collapsed="false">
      <c r="A732" s="126" t="s">
        <v>171</v>
      </c>
      <c r="B732" s="127" t="n">
        <f aca="false">SUMIFS(報告入力!$AU$7:$AU$696,報告入力!$A$7:$A$696,$S$717,報告入力!$B$7:$B$696,$A732)</f>
        <v>0</v>
      </c>
      <c r="C732" s="128" t="n">
        <f aca="false">SUMIFS(報告入力!$AV$7:$AV$696,報告入力!$A$7:$A$696,$S$717,報告入力!$B$7:$B$696,$A732)</f>
        <v>0</v>
      </c>
      <c r="D732" s="129"/>
      <c r="E732" s="130"/>
      <c r="F732" s="131" t="n">
        <f aca="false">SUMIFS(報告入力!$AY$7:$AY$696,報告入力!$A$7:$A$696,$S$717,報告入力!$B$7:$B$696,$A732)</f>
        <v>0</v>
      </c>
      <c r="G732" s="132" t="n">
        <f aca="false">SUM(B732:F732)</f>
        <v>0</v>
      </c>
      <c r="H732" s="182" t="n">
        <f aca="false">SUMIFS(報告入力!$AZ$7:$AZ$696,報告入力!$A$7:$A$696,$S$717,報告入力!$B$7:$B$696,$A732)</f>
        <v>255394</v>
      </c>
      <c r="I732" s="183" t="n">
        <f aca="false">SUMIFS(報告入力!$BA$7:$BA$696,報告入力!$A$7:$A$696,$S$717,報告入力!$B$7:$B$696,$A732)</f>
        <v>252175</v>
      </c>
      <c r="J732" s="135" t="n">
        <f aca="false">SUM(H732:I732)</f>
        <v>507569</v>
      </c>
      <c r="K732" s="262" t="n">
        <f aca="false">SUMIFS(報告入力!$BB$7:$BB$696,報告入力!$A$7:$A$696,$S$717,報告入力!$B$7:$B$696,$A732)</f>
        <v>8626</v>
      </c>
      <c r="L732" s="183" t="n">
        <f aca="false">SUMIFS(報告入力!$BC$7:$BC$696,報告入力!$A$7:$A$696,$S$717,報告入力!$B$7:$B$696,$A732)</f>
        <v>8626</v>
      </c>
      <c r="M732" s="135" t="n">
        <f aca="false">SUM(K732:L732)</f>
        <v>17252</v>
      </c>
      <c r="N732" s="262" t="n">
        <f aca="false">SUMIFS(報告入力!$BD$7:$BD$696,報告入力!$A$7:$A$696,$S$717,報告入力!$B$7:$B$696,$A732)</f>
        <v>1</v>
      </c>
      <c r="O732" s="183" t="n">
        <f aca="false">SUMIFS(報告入力!$BE$7:$BE$696,報告入力!$A$7:$A$696,$S$717,報告入力!$B$7:$B$696,$A732)</f>
        <v>1</v>
      </c>
      <c r="P732" s="135" t="n">
        <f aca="false">SUM(N732:O732)</f>
        <v>2</v>
      </c>
      <c r="Q732" s="137" t="str">
        <f aca="false">IF(P667=P732,"〇","×")</f>
        <v>〇</v>
      </c>
      <c r="R732" s="137" t="str">
        <f aca="false">IFERROR(INDEX(報告入力!$C$7:$C$696,MATCH($S$717&amp;"|"&amp;$A732,報告入力!$CG$7:$CG$696,0)),"")</f>
        <v>未受領</v>
      </c>
    </row>
    <row r="733" s="137" customFormat="true" ht="19.5" hidden="false" customHeight="true" outlineLevel="0" collapsed="false">
      <c r="A733" s="138" t="s">
        <v>382</v>
      </c>
      <c r="B733" s="139"/>
      <c r="C733" s="140"/>
      <c r="D733" s="139"/>
      <c r="E733" s="141"/>
      <c r="F733" s="142"/>
      <c r="G733" s="143"/>
      <c r="H733" s="144"/>
      <c r="I733" s="145"/>
      <c r="J733" s="146"/>
      <c r="K733" s="147"/>
      <c r="L733" s="148"/>
      <c r="M733" s="148"/>
      <c r="N733" s="147"/>
      <c r="O733" s="148"/>
      <c r="P733" s="148"/>
      <c r="Q733" s="137" t="str">
        <f aca="false">IF(P668=P733,"〇","×")</f>
        <v>〇</v>
      </c>
    </row>
    <row r="734" s="137" customFormat="true" ht="19.5" hidden="false" customHeight="true" outlineLevel="0" collapsed="false">
      <c r="A734" s="149" t="s">
        <v>382</v>
      </c>
      <c r="B734" s="150"/>
      <c r="C734" s="151"/>
      <c r="D734" s="150"/>
      <c r="E734" s="152"/>
      <c r="F734" s="153"/>
      <c r="G734" s="154"/>
      <c r="H734" s="155"/>
      <c r="I734" s="152"/>
      <c r="J734" s="156"/>
      <c r="K734" s="157"/>
      <c r="L734" s="158"/>
      <c r="M734" s="158"/>
      <c r="N734" s="157"/>
      <c r="O734" s="158"/>
      <c r="P734" s="158"/>
      <c r="Q734" s="137" t="str">
        <f aca="false">IF(P669=P734,"〇","×")</f>
        <v>〇</v>
      </c>
    </row>
    <row r="735" s="137" customFormat="true" ht="19.5" hidden="false" customHeight="true" outlineLevel="0" collapsed="false">
      <c r="A735" s="149" t="s">
        <v>382</v>
      </c>
      <c r="B735" s="139"/>
      <c r="C735" s="140"/>
      <c r="D735" s="139"/>
      <c r="E735" s="141"/>
      <c r="F735" s="142"/>
      <c r="G735" s="143"/>
      <c r="H735" s="159"/>
      <c r="I735" s="141"/>
      <c r="J735" s="146"/>
      <c r="K735" s="160"/>
      <c r="L735" s="161"/>
      <c r="M735" s="161"/>
      <c r="N735" s="160"/>
      <c r="O735" s="161"/>
      <c r="P735" s="161"/>
      <c r="Q735" s="137" t="str">
        <f aca="false">IF(P670=P735,"〇","×")</f>
        <v>〇</v>
      </c>
    </row>
    <row r="736" s="137" customFormat="true" ht="19.5" hidden="false" customHeight="true" outlineLevel="0" collapsed="false">
      <c r="A736" s="162" t="s">
        <v>382</v>
      </c>
      <c r="B736" s="163"/>
      <c r="C736" s="164"/>
      <c r="D736" s="163"/>
      <c r="E736" s="165"/>
      <c r="F736" s="166"/>
      <c r="G736" s="167"/>
      <c r="H736" s="155"/>
      <c r="I736" s="168"/>
      <c r="J736" s="169"/>
      <c r="K736" s="157"/>
      <c r="L736" s="158"/>
      <c r="M736" s="170"/>
      <c r="N736" s="157"/>
      <c r="O736" s="158"/>
      <c r="P736" s="170"/>
      <c r="Q736" s="137" t="str">
        <f aca="false">IF(P671=P736,"〇","×")</f>
        <v>〇</v>
      </c>
    </row>
    <row r="737" s="137" customFormat="true" ht="19.5" hidden="false" customHeight="true" outlineLevel="0" collapsed="false">
      <c r="A737" s="171" t="s">
        <v>383</v>
      </c>
      <c r="B737" s="172" t="n">
        <f aca="false">SUM(B721:B736)</f>
        <v>354488477</v>
      </c>
      <c r="C737" s="173" t="n">
        <f aca="false">SUM(C721:C736)</f>
        <v>29061308</v>
      </c>
      <c r="D737" s="172" t="n">
        <f aca="false">SUM(D721:D736)</f>
        <v>516522632</v>
      </c>
      <c r="E737" s="174" t="n">
        <f aca="false">SUM(E721:E736)</f>
        <v>28539240</v>
      </c>
      <c r="F737" s="175" t="n">
        <f aca="false">SUM(F721:F736)</f>
        <v>371239</v>
      </c>
      <c r="G737" s="176" t="n">
        <f aca="false">SUM(B737:F737)</f>
        <v>928982896</v>
      </c>
      <c r="H737" s="173" t="n">
        <f aca="false">SUM(H721:H736)</f>
        <v>266189898</v>
      </c>
      <c r="I737" s="173" t="n">
        <f aca="false">SUM(I721:I736)</f>
        <v>267163235</v>
      </c>
      <c r="J737" s="175" t="n">
        <f aca="false">SUM(H737:I737)</f>
        <v>533353133</v>
      </c>
      <c r="K737" s="172" t="n">
        <f aca="false">SUM(K721:K736)</f>
        <v>23298248</v>
      </c>
      <c r="L737" s="173" t="n">
        <f aca="false">SUM(L721:L736)</f>
        <v>22822644</v>
      </c>
      <c r="M737" s="175" t="n">
        <f aca="false">SUM(K737:L737)</f>
        <v>46120892</v>
      </c>
      <c r="N737" s="172" t="n">
        <f aca="false">SUM(N721:N736)</f>
        <v>12</v>
      </c>
      <c r="O737" s="173" t="n">
        <f aca="false">SUM(O721:O736)</f>
        <v>12</v>
      </c>
      <c r="P737" s="175" t="n">
        <f aca="false">SUM(N737:O737)</f>
        <v>24</v>
      </c>
      <c r="Q737" s="137" t="str">
        <f aca="false">IF(P672=P737,"〇","×")</f>
        <v>〇</v>
      </c>
    </row>
    <row r="738" s="110" customFormat="true" ht="20.1" hidden="false" customHeight="true" outlineLevel="0" collapsed="false">
      <c r="A738" s="177" t="s">
        <v>172</v>
      </c>
      <c r="B738" s="311"/>
      <c r="C738" s="308"/>
      <c r="D738" s="299"/>
      <c r="E738" s="303"/>
      <c r="F738" s="308"/>
      <c r="G738" s="302" t="n">
        <f aca="false">SUM(B738:F738)</f>
        <v>0</v>
      </c>
      <c r="H738" s="311"/>
      <c r="I738" s="304"/>
      <c r="J738" s="305" t="n">
        <f aca="false">SUM(H738:I738)</f>
        <v>0</v>
      </c>
      <c r="K738" s="311"/>
      <c r="L738" s="340"/>
      <c r="M738" s="305" t="n">
        <f aca="false">SUM(K738:L738)</f>
        <v>0</v>
      </c>
      <c r="N738" s="311"/>
      <c r="O738" s="340"/>
      <c r="P738" s="305" t="n">
        <f aca="false">SUM(N738:O738)</f>
        <v>0</v>
      </c>
      <c r="Q738" s="110" t="str">
        <f aca="false">IF(P673=P738,"〇","×")</f>
        <v>〇</v>
      </c>
      <c r="R738" s="110" t="str">
        <f aca="false">IFERROR(INDEX(報告入力!$C$7:$C$696,MATCH($S$717&amp;"|"&amp;$A738,報告入力!$CG$7:$CG$696,0)),"")</f>
        <v>報告なし</v>
      </c>
    </row>
    <row r="739" s="110" customFormat="true" ht="18.75" hidden="false" customHeight="true" outlineLevel="0" collapsed="false">
      <c r="A739" s="100" t="s">
        <v>174</v>
      </c>
      <c r="B739" s="178" t="n">
        <f aca="false">SUMIFS(報告入力!$AU$7:$AU$696,報告入力!$A$7:$A$696,$S$717,報告入力!$B$7:$B$696,$A739)</f>
        <v>0</v>
      </c>
      <c r="C739" s="179" t="n">
        <f aca="false">SUMIFS(報告入力!$AV$7:$AV$696,報告入力!$A$7:$A$696,$S$717,報告入力!$B$7:$B$696,$A739)</f>
        <v>0</v>
      </c>
      <c r="D739" s="384" t="n">
        <f aca="false">SUMIFS(報告入力!$AW$7:$AW$696,報告入力!$A$7:$A$696,$S$717,報告入力!$B$7:$B$696,$A739)</f>
        <v>638670</v>
      </c>
      <c r="E739" s="213" t="n">
        <f aca="false">SUMIFS(報告入力!$AX$7:$AX$696,報告入力!$A$7:$A$696,$S$717,報告入力!$B$7:$B$696,$A739)</f>
        <v>52350</v>
      </c>
      <c r="F739" s="212" t="n">
        <f aca="false">SUMIFS(報告入力!$AY$7:$AY$696,報告入力!$A$7:$A$696,$S$717,報告入力!$B$7:$B$696,$A739)</f>
        <v>723</v>
      </c>
      <c r="G739" s="181" t="n">
        <f aca="false">SUM(B739:F739)</f>
        <v>691743</v>
      </c>
      <c r="H739" s="182" t="n">
        <f aca="false">SUMIFS(報告入力!$AZ$7:$AZ$696,報告入力!$A$7:$A$696,$S$717,報告入力!$B$7:$B$696,$A739)</f>
        <v>0</v>
      </c>
      <c r="I739" s="183" t="n">
        <f aca="false">SUMIFS(報告入力!$BA$7:$BA$696,報告入力!$A$7:$A$696,$S$717,報告入力!$B$7:$B$696,$A739)</f>
        <v>386320</v>
      </c>
      <c r="J739" s="135" t="n">
        <f aca="false">SUM(H739:I739)</f>
        <v>386320</v>
      </c>
      <c r="K739" s="182" t="n">
        <f aca="false">SUMIFS(報告入力!$BB$7:$BB$696,報告入力!$A$7:$A$696,$S$717,報告入力!$B$7:$B$696,$A739)</f>
        <v>0</v>
      </c>
      <c r="L739" s="183" t="n">
        <f aca="false">SUMIFS(報告入力!$BC$7:$BC$696,報告入力!$A$7:$A$696,$S$717,報告入力!$B$7:$B$696,$A739)</f>
        <v>52377</v>
      </c>
      <c r="M739" s="135" t="n">
        <f aca="false">SUM(K739:L739)</f>
        <v>52377</v>
      </c>
      <c r="N739" s="182" t="n">
        <f aca="false">SUMIFS(報告入力!$BD$7:$BD$696,報告入力!$A$7:$A$696,$S$717,報告入力!$B$7:$B$696,$A739)</f>
        <v>0</v>
      </c>
      <c r="O739" s="183" t="n">
        <f aca="false">SUMIFS(報告入力!$BE$7:$BE$696,報告入力!$A$7:$A$696,$S$717,報告入力!$B$7:$B$696,$A739)</f>
        <v>1</v>
      </c>
      <c r="P739" s="135" t="n">
        <f aca="false">SUM(N739:O739)</f>
        <v>1</v>
      </c>
      <c r="Q739" s="110" t="str">
        <f aca="false">IF(P674=P739,"〇","×")</f>
        <v>〇</v>
      </c>
      <c r="R739" s="110" t="str">
        <f aca="false">IFERROR(INDEX(報告入力!$C$7:$C$696,MATCH($S$717&amp;"|"&amp;$A739,報告入力!$CG$7:$CG$696,0)),"")</f>
        <v>未受領</v>
      </c>
    </row>
    <row r="740" s="110" customFormat="true" ht="20.1" hidden="false" customHeight="true" outlineLevel="0" collapsed="false">
      <c r="A740" s="100" t="s">
        <v>175</v>
      </c>
      <c r="B740" s="186"/>
      <c r="C740" s="187"/>
      <c r="D740" s="215" t="n">
        <f aca="false">SUMIFS(報告入力!$AW$7:$AW$696,報告入力!$A$7:$A$696,$S$717,報告入力!$B$7:$B$696,$A740)</f>
        <v>1886730</v>
      </c>
      <c r="E740" s="182" t="n">
        <f aca="false">SUMIFS(報告入力!$AX$7:$AX$696,報告入力!$A$7:$A$696,$S$717,報告入力!$B$7:$B$696,$A740)</f>
        <v>154650</v>
      </c>
      <c r="F740" s="212" t="n">
        <f aca="false">SUMIFS(報告入力!$AY$7:$AY$696,報告入力!$A$7:$A$696,$S$717,報告入力!$B$7:$B$696,$A740)</f>
        <v>1988</v>
      </c>
      <c r="G740" s="181" t="n">
        <f aca="false">SUM(B740:F740)</f>
        <v>2043368</v>
      </c>
      <c r="H740" s="188"/>
      <c r="I740" s="183" t="n">
        <f aca="false">SUMIFS(報告入力!$BA$7:$BA$696,報告入力!$A$7:$A$696,$S$717,報告入力!$B$7:$B$696,$A740)</f>
        <v>1275306</v>
      </c>
      <c r="J740" s="135" t="n">
        <f aca="false">SUM(H740:I740)</f>
        <v>1275306</v>
      </c>
      <c r="K740" s="188"/>
      <c r="L740" s="183" t="n">
        <f aca="false">SUMIFS(報告入力!$BC$7:$BC$696,報告入力!$A$7:$A$696,$S$717,報告入力!$B$7:$B$696,$A740)</f>
        <v>141252</v>
      </c>
      <c r="M740" s="135" t="n">
        <f aca="false">SUM(K740:L740)</f>
        <v>141252</v>
      </c>
      <c r="N740" s="188"/>
      <c r="O740" s="183" t="n">
        <f aca="false">SUMIFS(報告入力!$BE$7:$BE$696,報告入力!$A$7:$A$696,$S$717,報告入力!$B$7:$B$696,$A740)</f>
        <v>1</v>
      </c>
      <c r="P740" s="135" t="n">
        <f aca="false">SUM(N740:O740)</f>
        <v>1</v>
      </c>
      <c r="Q740" s="110" t="str">
        <f aca="false">IF(P675=P740,"〇","×")</f>
        <v>〇</v>
      </c>
      <c r="R740" s="110" t="str">
        <f aca="false">IFERROR(INDEX(報告入力!$C$7:$C$696,MATCH($S$717&amp;"|"&amp;$A740,報告入力!$CG$7:$CG$696,0)),"")</f>
        <v>未受領</v>
      </c>
    </row>
    <row r="741" s="110" customFormat="true" ht="20.1" hidden="false" customHeight="true" outlineLevel="0" collapsed="false">
      <c r="A741" s="100" t="s">
        <v>176</v>
      </c>
      <c r="B741" s="186"/>
      <c r="C741" s="187"/>
      <c r="D741" s="178" t="n">
        <f aca="false">SUMIFS(報告入力!$AW$7:$AW$696,報告入力!$A$7:$A$696,$S$717,報告入力!$B$7:$B$696,$A741)</f>
        <v>48495</v>
      </c>
      <c r="E741" s="182" t="n">
        <f aca="false">SUMIFS(報告入力!$AX$7:$AX$696,報告入力!$A$7:$A$696,$S$717,報告入力!$B$7:$B$696,$A741)</f>
        <v>3975</v>
      </c>
      <c r="F741" s="212" t="n">
        <f aca="false">SUMIFS(報告入力!$AY$7:$AY$696,報告入力!$A$7:$A$696,$S$717,報告入力!$B$7:$B$696,$A741)</f>
        <v>49</v>
      </c>
      <c r="G741" s="181" t="n">
        <f aca="false">SUM(B741:F741)</f>
        <v>52519</v>
      </c>
      <c r="H741" s="188"/>
      <c r="I741" s="183" t="n">
        <f aca="false">SUMIFS(報告入力!$BA$7:$BA$696,報告入力!$A$7:$A$696,$S$717,報告入力!$B$7:$B$696,$A741)</f>
        <v>29208</v>
      </c>
      <c r="J741" s="135" t="n">
        <f aca="false">SUM(H741:I741)</f>
        <v>29208</v>
      </c>
      <c r="K741" s="188"/>
      <c r="L741" s="183" t="n">
        <f aca="false">SUMIFS(報告入力!$BC$7:$BC$696,報告入力!$A$7:$A$696,$S$717,報告入力!$B$7:$B$696,$A741)</f>
        <v>4187</v>
      </c>
      <c r="M741" s="135" t="n">
        <f aca="false">SUM(K741:L741)</f>
        <v>4187</v>
      </c>
      <c r="N741" s="188"/>
      <c r="O741" s="183" t="n">
        <f aca="false">SUMIFS(報告入力!$BE$7:$BE$696,報告入力!$A$7:$A$696,$S$717,報告入力!$B$7:$B$696,$A741)</f>
        <v>1</v>
      </c>
      <c r="P741" s="135" t="n">
        <f aca="false">SUM(N741:O741)</f>
        <v>1</v>
      </c>
      <c r="Q741" s="110" t="str">
        <f aca="false">IF(P676=P741,"〇","×")</f>
        <v>〇</v>
      </c>
      <c r="R741" s="110" t="str">
        <f aca="false">IFERROR(INDEX(報告入力!$C$7:$C$696,MATCH($S$717&amp;"|"&amp;$A741,報告入力!$CG$7:$CG$696,0)),"")</f>
        <v>未受領</v>
      </c>
    </row>
    <row r="742" s="110" customFormat="true" ht="20.1" hidden="false" customHeight="true" outlineLevel="0" collapsed="false">
      <c r="A742" s="189" t="s">
        <v>177</v>
      </c>
      <c r="B742" s="186"/>
      <c r="C742" s="187"/>
      <c r="D742" s="178" t="n">
        <f aca="false">SUMIFS(報告入力!$AW$7:$AW$696,報告入力!$A$7:$A$696,$S$717,報告入力!$B$7:$B$696,$A742)</f>
        <v>425475</v>
      </c>
      <c r="E742" s="182" t="n">
        <f aca="false">SUMIFS(報告入力!$AX$7:$AX$696,報告入力!$A$7:$A$696,$S$717,報告入力!$B$7:$B$696,$A742)</f>
        <v>34875</v>
      </c>
      <c r="F742" s="212" t="n">
        <f aca="false">SUMIFS(報告入力!$AY$7:$AY$696,報告入力!$A$7:$A$696,$S$717,報告入力!$B$7:$B$696,$A742)</f>
        <v>435</v>
      </c>
      <c r="G742" s="181" t="n">
        <f aca="false">SUM(B742:F742)</f>
        <v>460785</v>
      </c>
      <c r="H742" s="188"/>
      <c r="I742" s="370" t="n">
        <f aca="false">SUMIFS(報告入力!$BA$7:$BA$696,報告入力!$A$7:$A$696,$S$717,報告入力!$B$7:$B$696,$A742)</f>
        <v>256260</v>
      </c>
      <c r="J742" s="135" t="n">
        <f aca="false">SUM(H742:I742)</f>
        <v>256260</v>
      </c>
      <c r="K742" s="263"/>
      <c r="L742" s="370" t="n">
        <f aca="false">SUMIFS(報告入力!$BC$7:$BC$696,報告入力!$A$7:$A$696,$S$717,報告入力!$B$7:$B$696,$A742)</f>
        <v>34207</v>
      </c>
      <c r="M742" s="135" t="n">
        <f aca="false">SUM(K742:L742)</f>
        <v>34207</v>
      </c>
      <c r="N742" s="263"/>
      <c r="O742" s="370" t="n">
        <f aca="false">SUMIFS(報告入力!$BE$7:$BE$696,報告入力!$A$7:$A$696,$S$717,報告入力!$B$7:$B$696,$A742)</f>
        <v>1</v>
      </c>
      <c r="P742" s="135" t="n">
        <f aca="false">SUM(N742:O742)</f>
        <v>1</v>
      </c>
      <c r="Q742" s="110" t="str">
        <f aca="false">IF(P677=P742,"〇","×")</f>
        <v>〇</v>
      </c>
      <c r="R742" s="110" t="str">
        <f aca="false">IFERROR(INDEX(報告入力!$C$7:$C$696,MATCH($S$717&amp;"|"&amp;$A742,報告入力!$CG$7:$CG$696,0)),"")</f>
        <v>未受領</v>
      </c>
    </row>
    <row r="743" s="110" customFormat="true" ht="20.1" hidden="false" customHeight="true" outlineLevel="0" collapsed="false">
      <c r="A743" s="121" t="s">
        <v>178</v>
      </c>
      <c r="B743" s="186"/>
      <c r="C743" s="191"/>
      <c r="D743" s="178" t="n">
        <f aca="false">SUMIFS(報告入力!$AW$7:$AW$696,報告入力!$A$7:$A$696,$S$717,報告入力!$B$7:$B$696,$A743)</f>
        <v>86010</v>
      </c>
      <c r="E743" s="182" t="n">
        <f aca="false">SUMIFS(報告入力!$AX$7:$AX$696,報告入力!$A$7:$A$696,$S$717,報告入力!$B$7:$B$696,$A743)</f>
        <v>7050</v>
      </c>
      <c r="F743" s="212" t="n">
        <f aca="false">SUMIFS(報告入力!$AY$7:$AY$696,報告入力!$A$7:$A$696,$S$717,報告入力!$B$7:$B$696,$A743)</f>
        <v>88</v>
      </c>
      <c r="G743" s="181" t="n">
        <f aca="false">SUM(B743:F743)</f>
        <v>93148</v>
      </c>
      <c r="H743" s="188"/>
      <c r="I743" s="370" t="n">
        <f aca="false">SUMIFS(報告入力!$BA$7:$BA$696,報告入力!$A$7:$A$696,$S$717,報告入力!$B$7:$B$696,$A743)</f>
        <v>51803</v>
      </c>
      <c r="J743" s="135" t="n">
        <f aca="false">SUM(H743:I743)</f>
        <v>51803</v>
      </c>
      <c r="K743" s="188"/>
      <c r="L743" s="370" t="n">
        <f aca="false">SUMIFS(報告入力!$BC$7:$BC$696,報告入力!$A$7:$A$696,$S$717,報告入力!$B$7:$B$696,$A743)</f>
        <v>7426</v>
      </c>
      <c r="M743" s="135" t="n">
        <f aca="false">SUM(K743:L743)</f>
        <v>7426</v>
      </c>
      <c r="N743" s="188"/>
      <c r="O743" s="370" t="n">
        <f aca="false">SUMIFS(報告入力!$BE$7:$BE$696,報告入力!$A$7:$A$696,$S$717,報告入力!$B$7:$B$696,$A743)</f>
        <v>1</v>
      </c>
      <c r="P743" s="135" t="n">
        <f aca="false">SUM(N743:O743)</f>
        <v>1</v>
      </c>
      <c r="Q743" s="110" t="str">
        <f aca="false">IF(P678=P743,"〇","×")</f>
        <v>〇</v>
      </c>
      <c r="R743" s="110" t="str">
        <f aca="false">IFERROR(INDEX(報告入力!$C$7:$C$696,MATCH($S$717&amp;"|"&amp;$A743,報告入力!$CG$7:$CG$696,0)),"")</f>
        <v>未受領</v>
      </c>
    </row>
    <row r="744" s="110" customFormat="true" ht="20.1" hidden="false" customHeight="true" outlineLevel="0" collapsed="false">
      <c r="A744" s="121" t="s">
        <v>179</v>
      </c>
      <c r="B744" s="186"/>
      <c r="C744" s="191"/>
      <c r="D744" s="215" t="n">
        <f aca="false">SUMIFS(報告入力!$AW$7:$AW$696,報告入力!$A$7:$A$696,$S$717,報告入力!$B$7:$B$696,$A744)</f>
        <v>48495</v>
      </c>
      <c r="E744" s="182" t="n">
        <f aca="false">SUMIFS(報告入力!$AX$7:$AX$696,報告入力!$A$7:$A$696,$S$717,報告入力!$B$7:$B$696,$A744)</f>
        <v>3975</v>
      </c>
      <c r="F744" s="212" t="n">
        <f aca="false">SUMIFS(報告入力!$AY$7:$AY$696,報告入力!$A$7:$A$696,$S$717,報告入力!$B$7:$B$696,$A744)</f>
        <v>49</v>
      </c>
      <c r="G744" s="181" t="n">
        <f aca="false">SUM(B744:F744)</f>
        <v>52519</v>
      </c>
      <c r="H744" s="188"/>
      <c r="I744" s="183" t="n">
        <f aca="false">SUMIFS(報告入力!$BA$7:$BA$696,報告入力!$A$7:$A$696,$S$717,報告入力!$B$7:$B$696,$A744)</f>
        <v>29208</v>
      </c>
      <c r="J744" s="135" t="n">
        <f aca="false">SUM(H744:I744)</f>
        <v>29208</v>
      </c>
      <c r="K744" s="188"/>
      <c r="L744" s="183" t="n">
        <f aca="false">SUMIFS(報告入力!$BC$7:$BC$696,報告入力!$A$7:$A$696,$S$717,報告入力!$B$7:$B$696,$A744)</f>
        <v>4187</v>
      </c>
      <c r="M744" s="135" t="n">
        <f aca="false">SUM(K744:L744)</f>
        <v>4187</v>
      </c>
      <c r="N744" s="188"/>
      <c r="O744" s="183" t="n">
        <f aca="false">SUMIFS(報告入力!$BE$7:$BE$696,報告入力!$A$7:$A$696,$S$717,報告入力!$B$7:$B$696,$A744)</f>
        <v>1</v>
      </c>
      <c r="P744" s="135" t="n">
        <f aca="false">SUM(N744:O744)</f>
        <v>1</v>
      </c>
      <c r="Q744" s="110" t="str">
        <f aca="false">IF(P679=P744,"〇","×")</f>
        <v>〇</v>
      </c>
      <c r="R744" s="110" t="str">
        <f aca="false">IFERROR(INDEX(報告入力!$C$7:$C$696,MATCH($S$717&amp;"|"&amp;$A744,報告入力!$CG$7:$CG$696,0)),"")</f>
        <v>未受領</v>
      </c>
    </row>
    <row r="745" s="110" customFormat="true" ht="20.1" hidden="false" customHeight="true" outlineLevel="0" collapsed="false">
      <c r="A745" s="192" t="s">
        <v>180</v>
      </c>
      <c r="B745" s="186"/>
      <c r="C745" s="193"/>
      <c r="D745" s="178" t="n">
        <f aca="false">SUMIFS(報告入力!$AW$7:$AW$696,報告入力!$A$7:$A$696,$S$717,報告入力!$B$7:$B$696,$A745)</f>
        <v>124440</v>
      </c>
      <c r="E745" s="182" t="n">
        <f aca="false">SUMIFS(報告入力!$AX$7:$AX$696,報告入力!$A$7:$A$696,$S$717,報告入力!$B$7:$B$696,$A745)</f>
        <v>10200</v>
      </c>
      <c r="F745" s="212" t="n">
        <f aca="false">SUMIFS(報告入力!$AY$7:$AY$696,報告入力!$A$7:$A$696,$S$717,報告入力!$B$7:$B$696,$A745)</f>
        <v>127</v>
      </c>
      <c r="G745" s="181" t="n">
        <f aca="false">SUM(B745:F745)</f>
        <v>134767</v>
      </c>
      <c r="H745" s="188"/>
      <c r="I745" s="183" t="n">
        <f aca="false">SUMIFS(報告入力!$BA$7:$BA$696,報告入力!$A$7:$A$696,$S$717,報告入力!$B$7:$B$696,$A745)</f>
        <v>74949</v>
      </c>
      <c r="J745" s="135" t="n">
        <f aca="false">SUM(H745:I745)</f>
        <v>74949</v>
      </c>
      <c r="K745" s="188"/>
      <c r="L745" s="183" t="n">
        <f aca="false">SUMIFS(報告入力!$BC$7:$BC$696,報告入力!$A$7:$A$696,$S$717,報告入力!$B$7:$B$696,$A745)</f>
        <v>7031</v>
      </c>
      <c r="M745" s="135" t="n">
        <f aca="false">SUM(K745:L745)</f>
        <v>7031</v>
      </c>
      <c r="N745" s="188"/>
      <c r="O745" s="183" t="n">
        <f aca="false">SUMIFS(報告入力!$BE$7:$BE$696,報告入力!$A$7:$A$696,$S$717,報告入力!$B$7:$B$696,$A745)</f>
        <v>1</v>
      </c>
      <c r="P745" s="135" t="n">
        <f aca="false">SUM(N745:O745)</f>
        <v>1</v>
      </c>
      <c r="Q745" s="110" t="str">
        <f aca="false">IF(P680=P745,"〇","×")</f>
        <v>〇</v>
      </c>
      <c r="R745" s="110" t="str">
        <f aca="false">IFERROR(INDEX(報告入力!$C$7:$C$696,MATCH($S$717&amp;"|"&amp;$A745,報告入力!$CG$7:$CG$696,0)),"")</f>
        <v>未受領</v>
      </c>
    </row>
    <row r="746" s="110" customFormat="true" ht="20.1" hidden="false" customHeight="true" outlineLevel="0" collapsed="false">
      <c r="A746" s="100" t="s">
        <v>181</v>
      </c>
      <c r="B746" s="215" t="n">
        <f aca="false">SUMIFS(報告入力!$AU$7:$AU$696,報告入力!$A$7:$A$696,$S$717,報告入力!$B$7:$B$696,$A746)</f>
        <v>245220</v>
      </c>
      <c r="C746" s="212" t="n">
        <f aca="false">SUMIFS(報告入力!$AV$7:$AV$696,報告入力!$A$7:$A$696,$S$717,報告入力!$B$7:$B$696,$A746)</f>
        <v>20100</v>
      </c>
      <c r="D746" s="215" t="n">
        <f aca="false">SUMIFS(報告入力!$AW$7:$AW$696,報告入力!$A$7:$A$696,$S$717,報告入力!$B$7:$B$696,$A746)</f>
        <v>245220</v>
      </c>
      <c r="E746" s="214" t="n">
        <f aca="false">SUMIFS(報告入力!$AX$7:$AX$696,報告入力!$A$7:$A$696,$S$717,報告入力!$B$7:$B$696,$A746)</f>
        <v>20100</v>
      </c>
      <c r="F746" s="179" t="n">
        <f aca="false">SUMIFS(報告入力!$AY$7:$AY$696,報告入力!$A$7:$A$696,$S$717,報告入力!$B$7:$B$696,$A746)</f>
        <v>251</v>
      </c>
      <c r="G746" s="181" t="n">
        <f aca="false">SUM(B746:F746)</f>
        <v>530891</v>
      </c>
      <c r="H746" s="182" t="n">
        <f aca="false">SUMIFS(報告入力!$AZ$7:$AZ$696,報告入力!$A$7:$A$696,$S$717,報告入力!$B$7:$B$696,$A746)</f>
        <v>147425</v>
      </c>
      <c r="I746" s="214" t="n">
        <f aca="false">SUMIFS(報告入力!$BA$7:$BA$696,報告入力!$A$7:$A$696,$S$717,報告入力!$B$7:$B$696,$A746)</f>
        <v>147694</v>
      </c>
      <c r="J746" s="393" t="n">
        <f aca="false">SUM(H746:I746)</f>
        <v>295119</v>
      </c>
      <c r="K746" s="182" t="n">
        <f aca="false">SUMIFS(報告入力!$BB$7:$BB$696,報告入力!$A$7:$A$696,$S$717,報告入力!$B$7:$B$696,$A746)</f>
        <v>9559</v>
      </c>
      <c r="L746" s="214" t="n">
        <f aca="false">SUMIFS(報告入力!$BC$7:$BC$696,報告入力!$A$7:$A$696,$S$717,報告入力!$B$7:$B$696,$A746)</f>
        <v>9559</v>
      </c>
      <c r="M746" s="181" t="n">
        <f aca="false">SUM(K746:L746)</f>
        <v>19118</v>
      </c>
      <c r="N746" s="182" t="n">
        <f aca="false">SUMIFS(報告入力!$BD$7:$BD$696,報告入力!$A$7:$A$696,$S$717,報告入力!$B$7:$B$696,$A746)</f>
        <v>1</v>
      </c>
      <c r="O746" s="214" t="n">
        <f aca="false">SUMIFS(報告入力!$BE$7:$BE$696,報告入力!$A$7:$A$696,$S$717,報告入力!$B$7:$B$696,$A746)</f>
        <v>1</v>
      </c>
      <c r="P746" s="181" t="n">
        <f aca="false">SUM(N746:O746)</f>
        <v>2</v>
      </c>
      <c r="Q746" s="110" t="str">
        <f aca="false">IF(P681=P746,"〇","×")</f>
        <v>〇</v>
      </c>
      <c r="R746" s="110" t="str">
        <f aca="false">IFERROR(INDEX(報告入力!$C$7:$C$696,MATCH($S$717&amp;"|"&amp;$A746,報告入力!$CG$7:$CG$696,0)),"")</f>
        <v>未受領</v>
      </c>
    </row>
    <row r="747" s="110" customFormat="true" ht="20.1" hidden="false" customHeight="true" outlineLevel="0" collapsed="false">
      <c r="A747" s="194" t="s">
        <v>182</v>
      </c>
      <c r="B747" s="178" t="n">
        <f aca="false">SUMIFS(報告入力!$AU$7:$AU$696,報告入力!$A$7:$A$696,$S$717,報告入力!$B$7:$B$696,$A747)</f>
        <v>40260</v>
      </c>
      <c r="C747" s="212" t="n">
        <f aca="false">SUMIFS(報告入力!$AV$7:$AV$696,報告入力!$A$7:$A$696,$S$717,報告入力!$B$7:$B$696,$A747)</f>
        <v>3300</v>
      </c>
      <c r="D747" s="178" t="n">
        <f aca="false">SUMIFS(報告入力!$AW$7:$AW$696,報告入力!$A$7:$A$696,$S$717,報告入力!$B$7:$B$696,$A747)</f>
        <v>40260</v>
      </c>
      <c r="E747" s="182" t="n">
        <f aca="false">SUMIFS(報告入力!$AX$7:$AX$696,報告入力!$A$7:$A$696,$S$717,報告入力!$B$7:$B$696,$A747)</f>
        <v>3300</v>
      </c>
      <c r="F747" s="212" t="n">
        <f aca="false">SUMIFS(報告入力!$AY$7:$AY$696,報告入力!$A$7:$A$696,$S$717,報告入力!$B$7:$B$696,$A747)</f>
        <v>41</v>
      </c>
      <c r="G747" s="366" t="n">
        <f aca="false">SUM(B747:F747)</f>
        <v>87161</v>
      </c>
      <c r="H747" s="182" t="n">
        <f aca="false">SUMIFS(報告入力!$AZ$7:$AZ$696,報告入力!$A$7:$A$696,$S$717,報告入力!$B$7:$B$696,$A747)</f>
        <v>24204</v>
      </c>
      <c r="I747" s="183" t="n">
        <f aca="false">SUMIFS(報告入力!$BA$7:$BA$696,報告入力!$A$7:$A$696,$S$717,報告入力!$B$7:$B$696,$A747)</f>
        <v>24248</v>
      </c>
      <c r="J747" s="135" t="n">
        <f aca="false">SUM(H747:I747)</f>
        <v>48452</v>
      </c>
      <c r="K747" s="182" t="n">
        <f aca="false">SUMIFS(報告入力!$BB$7:$BB$696,報告入力!$A$7:$A$696,$S$717,報告入力!$B$7:$B$696,$A747)</f>
        <v>0</v>
      </c>
      <c r="L747" s="183" t="n">
        <f aca="false">SUMIFS(報告入力!$BC$7:$BC$696,報告入力!$A$7:$A$696,$S$717,報告入力!$B$7:$B$696,$A747)</f>
        <v>0</v>
      </c>
      <c r="M747" s="135" t="n">
        <f aca="false">SUM(K747:L747)</f>
        <v>0</v>
      </c>
      <c r="N747" s="182" t="n">
        <f aca="false">SUMIFS(報告入力!$BD$7:$BD$696,報告入力!$A$7:$A$696,$S$717,報告入力!$B$7:$B$696,$A747)</f>
        <v>1</v>
      </c>
      <c r="O747" s="183" t="n">
        <f aca="false">SUMIFS(報告入力!$BE$7:$BE$696,報告入力!$A$7:$A$696,$S$717,報告入力!$B$7:$B$696,$A747)</f>
        <v>1</v>
      </c>
      <c r="P747" s="135" t="n">
        <f aca="false">SUM(N747:O747)</f>
        <v>2</v>
      </c>
      <c r="Q747" s="110" t="str">
        <f aca="false">IF(P682=P747,"〇","×")</f>
        <v>〇</v>
      </c>
      <c r="R747" s="110" t="str">
        <f aca="false">IFERROR(INDEX(報告入力!$C$7:$C$696,MATCH($S$717&amp;"|"&amp;$A747,報告入力!$CG$7:$CG$696,0)),"")</f>
        <v>未受領</v>
      </c>
    </row>
    <row r="748" s="110" customFormat="true" ht="20.1" hidden="false" customHeight="true" outlineLevel="0" collapsed="false">
      <c r="A748" s="197" t="s">
        <v>183</v>
      </c>
      <c r="B748" s="178" t="n">
        <f aca="false">SUMIFS(報告入力!$AU$7:$AU$696,報告入力!$A$7:$A$696,$S$717,報告入力!$B$7:$B$696,$A748)</f>
        <v>102480</v>
      </c>
      <c r="C748" s="212" t="n">
        <f aca="false">SUMIFS(報告入力!$AV$7:$AV$696,報告入力!$A$7:$A$696,$S$717,報告入力!$B$7:$B$696,$A748)</f>
        <v>8400</v>
      </c>
      <c r="D748" s="178" t="n">
        <f aca="false">SUMIFS(報告入力!$AW$7:$AW$696,報告入力!$A$7:$A$696,$S$717,報告入力!$B$7:$B$696,$A748)</f>
        <v>102480</v>
      </c>
      <c r="E748" s="182" t="n">
        <f aca="false">SUMIFS(報告入力!$AX$7:$AX$696,報告入力!$A$7:$A$696,$S$717,報告入力!$B$7:$B$696,$A748)</f>
        <v>8400</v>
      </c>
      <c r="F748" s="212" t="n">
        <f aca="false">SUMIFS(報告入力!$AY$7:$AY$696,報告入力!$A$7:$A$696,$S$717,報告入力!$B$7:$B$696,$A748)</f>
        <v>105</v>
      </c>
      <c r="G748" s="181" t="n">
        <f aca="false">SUM(B748:F748)</f>
        <v>221865</v>
      </c>
      <c r="H748" s="182" t="n">
        <f aca="false">SUMIFS(報告入力!$AZ$7:$AZ$696,報告入力!$A$7:$A$696,$S$717,報告入力!$B$7:$B$696,$A748)</f>
        <v>61610</v>
      </c>
      <c r="I748" s="183" t="n">
        <f aca="false">SUMIFS(報告入力!$BA$7:$BA$696,報告入力!$A$7:$A$696,$S$717,報告入力!$B$7:$B$696,$A748)</f>
        <v>61723</v>
      </c>
      <c r="J748" s="135" t="n">
        <f aca="false">SUM(H748:I748)</f>
        <v>123333</v>
      </c>
      <c r="K748" s="182" t="n">
        <f aca="false">SUMIFS(報告入力!$BB$7:$BB$696,報告入力!$A$7:$A$696,$S$717,報告入力!$B$7:$B$696,$A748)</f>
        <v>4661</v>
      </c>
      <c r="L748" s="183" t="n">
        <f aca="false">SUMIFS(報告入力!$BC$7:$BC$696,報告入力!$A$7:$A$696,$S$717,報告入力!$B$7:$B$696,$A748)</f>
        <v>4661</v>
      </c>
      <c r="M748" s="135" t="n">
        <f aca="false">SUM(K748:L748)</f>
        <v>9322</v>
      </c>
      <c r="N748" s="182" t="n">
        <f aca="false">SUMIFS(報告入力!$BD$7:$BD$696,報告入力!$A$7:$A$696,$S$717,報告入力!$B$7:$B$696,$A748)</f>
        <v>1</v>
      </c>
      <c r="O748" s="183" t="n">
        <f aca="false">SUMIFS(報告入力!$BE$7:$BE$696,報告入力!$A$7:$A$696,$S$717,報告入力!$B$7:$B$696,$A748)</f>
        <v>1</v>
      </c>
      <c r="P748" s="135" t="n">
        <f aca="false">SUM(N748:O748)</f>
        <v>2</v>
      </c>
      <c r="Q748" s="110" t="str">
        <f aca="false">IF(P683=P748,"〇","×")</f>
        <v>〇</v>
      </c>
      <c r="R748" s="110" t="str">
        <f aca="false">IFERROR(INDEX(報告入力!$C$7:$C$696,MATCH($S$717&amp;"|"&amp;$A748,報告入力!$CG$7:$CG$696,0)),"")</f>
        <v>未受領</v>
      </c>
    </row>
    <row r="749" s="110" customFormat="true" ht="20.1" hidden="false" customHeight="true" outlineLevel="0" collapsed="false">
      <c r="A749" s="100" t="s">
        <v>184</v>
      </c>
      <c r="B749" s="215" t="n">
        <f aca="false">SUMIFS(報告入力!$AU$7:$AU$696,報告入力!$A$7:$A$696,$S$717,報告入力!$B$7:$B$696,$A749)</f>
        <v>923235</v>
      </c>
      <c r="C749" s="368" t="n">
        <f aca="false">SUMIFS(報告入力!$AV$7:$AV$696,報告入力!$A$7:$A$696,$S$717,報告入力!$B$7:$B$696,$A749)</f>
        <v>75675</v>
      </c>
      <c r="D749" s="215" t="n">
        <f aca="false">SUMIFS(報告入力!$AW$7:$AW$696,報告入力!$A$7:$A$696,$S$717,報告入力!$B$7:$B$696,$A749)</f>
        <v>923235</v>
      </c>
      <c r="E749" s="213" t="n">
        <f aca="false">SUMIFS(報告入力!$AX$7:$AX$696,報告入力!$A$7:$A$696,$S$717,報告入力!$B$7:$B$696,$A749)</f>
        <v>75675</v>
      </c>
      <c r="F749" s="368" t="n">
        <f aca="false">SUMIFS(報告入力!$AY$7:$AY$696,報告入力!$A$7:$A$696,$S$717,報告入力!$B$7:$B$696,$A749)</f>
        <v>947</v>
      </c>
      <c r="G749" s="181" t="n">
        <f aca="false">SUM(B749:F749)</f>
        <v>1998767</v>
      </c>
      <c r="H749" s="182" t="n">
        <f aca="false">SUMIFS(報告入力!$AZ$7:$AZ$696,報告入力!$A$7:$A$696,$S$717,報告入力!$B$7:$B$696,$A749)</f>
        <v>556693</v>
      </c>
      <c r="I749" s="183" t="n">
        <f aca="false">SUMIFS(報告入力!$BA$7:$BA$696,報告入力!$A$7:$A$696,$S$717,報告入力!$B$7:$B$696,$A749)</f>
        <v>557713</v>
      </c>
      <c r="J749" s="135" t="n">
        <f aca="false">SUM(H749:I749)</f>
        <v>1114406</v>
      </c>
      <c r="K749" s="182" t="n">
        <f aca="false">SUMIFS(報告入力!$BB$7:$BB$696,報告入力!$A$7:$A$696,$S$717,報告入力!$B$7:$B$696,$A749)</f>
        <v>50797</v>
      </c>
      <c r="L749" s="183" t="n">
        <f aca="false">SUMIFS(報告入力!$BC$7:$BC$696,報告入力!$A$7:$A$696,$S$717,報告入力!$B$7:$B$696,$A749)</f>
        <v>50797</v>
      </c>
      <c r="M749" s="135" t="n">
        <f aca="false">SUM(K749:L749)</f>
        <v>101594</v>
      </c>
      <c r="N749" s="182" t="n">
        <f aca="false">SUMIFS(報告入力!$BD$7:$BD$696,報告入力!$A$7:$A$696,$S$717,報告入力!$B$7:$B$696,$A749)</f>
        <v>1</v>
      </c>
      <c r="O749" s="183" t="n">
        <f aca="false">SUMIFS(報告入力!$BE$7:$BE$696,報告入力!$A$7:$A$696,$S$717,報告入力!$B$7:$B$696,$A749)</f>
        <v>1</v>
      </c>
      <c r="P749" s="135" t="n">
        <f aca="false">SUM(N749:O749)</f>
        <v>2</v>
      </c>
      <c r="Q749" s="110" t="str">
        <f aca="false">IF(P684=P749,"〇","×")</f>
        <v>〇</v>
      </c>
      <c r="R749" s="110" t="str">
        <f aca="false">IFERROR(INDEX(報告入力!$C$7:$C$696,MATCH($S$717&amp;"|"&amp;$A749,報告入力!$CG$7:$CG$696,0)),"")</f>
        <v>未受領</v>
      </c>
    </row>
    <row r="750" s="110" customFormat="true" ht="20.1" hidden="false" customHeight="true" outlineLevel="0" collapsed="false">
      <c r="A750" s="100" t="s">
        <v>185</v>
      </c>
      <c r="B750" s="201"/>
      <c r="C750" s="191"/>
      <c r="D750" s="215" t="n">
        <f aca="false">SUMIFS(報告入力!$AW$7:$AW$696,報告入力!$A$7:$A$696,$S$717,報告入力!$B$7:$B$696,$A750)</f>
        <v>571875</v>
      </c>
      <c r="E750" s="369" t="n">
        <f aca="false">SUMIFS(報告入力!$AX$7:$AX$696,報告入力!$A$7:$A$696,$S$717,報告入力!$B$7:$B$696,$A750)</f>
        <v>46875</v>
      </c>
      <c r="F750" s="368" t="n">
        <f aca="false">SUMIFS(報告入力!$AY$7:$AY$696,報告入力!$A$7:$A$696,$S$717,報告入力!$B$7:$B$696,$A750)</f>
        <v>613</v>
      </c>
      <c r="G750" s="181" t="n">
        <f aca="false">SUM(B750:F750)</f>
        <v>619363</v>
      </c>
      <c r="H750" s="202"/>
      <c r="I750" s="370" t="n">
        <f aca="false">SUMIFS(報告入力!$BA$7:$BA$696,報告入力!$A$7:$A$696,$S$717,報告入力!$B$7:$B$696,$A750)</f>
        <v>344467</v>
      </c>
      <c r="J750" s="135" t="n">
        <f aca="false">SUM(H750:I750)</f>
        <v>344467</v>
      </c>
      <c r="K750" s="202"/>
      <c r="L750" s="370" t="n">
        <f aca="false">SUMIFS(報告入力!$BC$7:$BC$696,報告入力!$A$7:$A$696,$S$717,報告入力!$B$7:$B$696,$A750)</f>
        <v>27255</v>
      </c>
      <c r="M750" s="135" t="n">
        <f aca="false">SUM(K750:L750)</f>
        <v>27255</v>
      </c>
      <c r="N750" s="202"/>
      <c r="O750" s="370" t="n">
        <f aca="false">SUMIFS(報告入力!$BE$7:$BE$696,報告入力!$A$7:$A$696,$S$717,報告入力!$B$7:$B$696,$A750)</f>
        <v>1</v>
      </c>
      <c r="P750" s="135" t="n">
        <f aca="false">SUM(N750:O750)</f>
        <v>1</v>
      </c>
      <c r="Q750" s="110" t="str">
        <f aca="false">IF(P685=P750,"〇","×")</f>
        <v>〇</v>
      </c>
      <c r="R750" s="110" t="str">
        <f aca="false">IFERROR(INDEX(報告入力!$C$7:$C$696,MATCH($S$717&amp;"|"&amp;$A750,報告入力!$CG$7:$CG$696,0)),"")</f>
        <v>未受領</v>
      </c>
    </row>
    <row r="751" s="110" customFormat="true" ht="20.1" hidden="false" customHeight="true" outlineLevel="0" collapsed="false">
      <c r="A751" s="203" t="s">
        <v>186</v>
      </c>
      <c r="B751" s="186"/>
      <c r="C751" s="193"/>
      <c r="D751" s="178" t="n">
        <f aca="false">SUMIFS(報告入力!$AW$7:$AW$696,報告入力!$A$7:$A$696,$S$717,報告入力!$B$7:$B$696,$A751)</f>
        <v>1160220</v>
      </c>
      <c r="E751" s="182" t="n">
        <f aca="false">SUMIFS(報告入力!$AX$7:$AX$696,報告入力!$A$7:$A$696,$S$717,報告入力!$B$7:$B$696,$A751)</f>
        <v>95100</v>
      </c>
      <c r="F751" s="368" t="n">
        <f aca="false">SUMIFS(報告入力!$AY$7:$AY$696,報告入力!$A$7:$A$696,$S$717,報告入力!$B$7:$B$696,$A751)</f>
        <v>1185</v>
      </c>
      <c r="G751" s="181" t="n">
        <f aca="false">SUM(B751:F751)</f>
        <v>1256505</v>
      </c>
      <c r="H751" s="188"/>
      <c r="I751" s="370" t="n">
        <f aca="false">SUMIFS(報告入力!$BA$7:$BA$696,報告入力!$A$7:$A$696,$S$717,報告入力!$B$7:$B$696,$A751)</f>
        <v>698790</v>
      </c>
      <c r="J751" s="135" t="n">
        <f aca="false">SUM(H751:I751)</f>
        <v>698790</v>
      </c>
      <c r="K751" s="188"/>
      <c r="L751" s="370" t="n">
        <f aca="false">SUMIFS(報告入力!$BC$7:$BC$696,報告入力!$A$7:$A$696,$S$717,報告入力!$B$7:$B$696,$A751)</f>
        <v>94721</v>
      </c>
      <c r="M751" s="135" t="n">
        <f aca="false">SUM(K751:L751)</f>
        <v>94721</v>
      </c>
      <c r="N751" s="188"/>
      <c r="O751" s="370" t="n">
        <f aca="false">SUMIFS(報告入力!$BE$7:$BE$696,報告入力!$A$7:$A$696,$S$717,報告入力!$B$7:$B$696,$A751)</f>
        <v>1</v>
      </c>
      <c r="P751" s="135" t="n">
        <f aca="false">SUM(N751:O751)</f>
        <v>1</v>
      </c>
      <c r="Q751" s="110" t="str">
        <f aca="false">IF(P686=P751,"〇","×")</f>
        <v>〇</v>
      </c>
      <c r="R751" s="110" t="str">
        <f aca="false">IFERROR(INDEX(報告入力!$C$7:$C$696,MATCH($S$717&amp;"|"&amp;$A751,報告入力!$CG$7:$CG$696,0)),"")</f>
        <v>未受領</v>
      </c>
    </row>
    <row r="752" s="110" customFormat="true" ht="20.1" hidden="false" customHeight="true" outlineLevel="0" collapsed="false">
      <c r="A752" s="204" t="s">
        <v>187</v>
      </c>
      <c r="B752" s="186"/>
      <c r="C752" s="193"/>
      <c r="D752" s="178" t="n">
        <f aca="false">SUMIFS(報告入力!$AW$7:$AW$696,報告入力!$A$7:$A$696,$S$717,報告入力!$B$7:$B$696,$A752)</f>
        <v>0</v>
      </c>
      <c r="E752" s="182" t="n">
        <f aca="false">SUMIFS(報告入力!$AX$7:$AX$696,報告入力!$A$7:$A$696,$S$717,報告入力!$B$7:$B$696,$A752)</f>
        <v>0</v>
      </c>
      <c r="F752" s="368" t="n">
        <f aca="false">SUMIFS(報告入力!$AY$7:$AY$696,報告入力!$A$7:$A$696,$S$717,報告入力!$B$7:$B$696,$A752)</f>
        <v>0</v>
      </c>
      <c r="G752" s="181" t="n">
        <f aca="false">SUM(B752:F752)</f>
        <v>0</v>
      </c>
      <c r="H752" s="188"/>
      <c r="I752" s="370" t="n">
        <f aca="false">SUMIFS(報告入力!$BA$7:$BA$696,報告入力!$A$7:$A$696,$S$717,報告入力!$B$7:$B$696,$A752)</f>
        <v>0</v>
      </c>
      <c r="J752" s="135" t="n">
        <f aca="false">SUM(H752:I752)</f>
        <v>0</v>
      </c>
      <c r="K752" s="188"/>
      <c r="L752" s="370" t="n">
        <f aca="false">SUMIFS(報告入力!$BC$7:$BC$696,報告入力!$A$7:$A$696,$S$717,報告入力!$B$7:$B$696,$A752)</f>
        <v>0</v>
      </c>
      <c r="M752" s="135" t="n">
        <f aca="false">SUM(K752:L752)</f>
        <v>0</v>
      </c>
      <c r="N752" s="188"/>
      <c r="O752" s="370" t="n">
        <f aca="false">SUMIFS(報告入力!$BE$7:$BE$696,報告入力!$A$7:$A$696,$S$717,報告入力!$B$7:$B$696,$A752)</f>
        <v>0</v>
      </c>
      <c r="P752" s="135" t="n">
        <f aca="false">SUM(N752:O752)</f>
        <v>0</v>
      </c>
      <c r="Q752" s="110" t="str">
        <f aca="false">IF(P687=P752,"〇","×")</f>
        <v>〇</v>
      </c>
      <c r="R752" s="110" t="str">
        <f aca="false">IFERROR(INDEX(報告入力!$C$7:$C$696,MATCH($S$717&amp;"|"&amp;$A752,報告入力!$CG$7:$CG$696,0)),"")</f>
        <v>未受領</v>
      </c>
    </row>
    <row r="753" s="110" customFormat="true" ht="20.1" hidden="false" customHeight="true" outlineLevel="0" collapsed="false">
      <c r="A753" s="100" t="s">
        <v>188</v>
      </c>
      <c r="B753" s="186"/>
      <c r="C753" s="193"/>
      <c r="D753" s="178" t="n">
        <f aca="false">SUMIFS(報告入力!$AW$7:$AW$696,報告入力!$A$7:$A$696,$S$717,報告入力!$B$7:$B$696,$A753)</f>
        <v>402600</v>
      </c>
      <c r="E753" s="182" t="n">
        <f aca="false">SUMIFS(報告入力!$AX$7:$AX$696,報告入力!$A$7:$A$696,$S$717,報告入力!$B$7:$B$696,$A753)</f>
        <v>33000</v>
      </c>
      <c r="F753" s="368" t="n">
        <f aca="false">SUMIFS(報告入力!$AY$7:$AY$696,報告入力!$A$7:$A$696,$S$717,報告入力!$B$7:$B$696,$A753)</f>
        <v>412</v>
      </c>
      <c r="G753" s="181" t="n">
        <f aca="false">SUM(B753:F753)</f>
        <v>436012</v>
      </c>
      <c r="H753" s="188"/>
      <c r="I753" s="370" t="n">
        <f aca="false">SUMIFS(報告入力!$BA$7:$BA$696,報告入力!$A$7:$A$696,$S$717,報告入力!$B$7:$B$696,$A753)</f>
        <v>242482</v>
      </c>
      <c r="J753" s="135" t="n">
        <f aca="false">SUM(H753:I753)</f>
        <v>242482</v>
      </c>
      <c r="K753" s="188"/>
      <c r="L753" s="370" t="n">
        <f aca="false">SUMIFS(報告入力!$BC$7:$BC$696,報告入力!$A$7:$A$696,$S$717,報告入力!$B$7:$B$696,$A753)</f>
        <v>34760</v>
      </c>
      <c r="M753" s="135" t="n">
        <f aca="false">SUM(K753:L753)</f>
        <v>34760</v>
      </c>
      <c r="N753" s="188"/>
      <c r="O753" s="370" t="n">
        <f aca="false">SUMIFS(報告入力!$BE$7:$BE$696,報告入力!$A$7:$A$696,$S$717,報告入力!$B$7:$B$696,$A753)</f>
        <v>1</v>
      </c>
      <c r="P753" s="135" t="n">
        <f aca="false">SUM(N753:O753)</f>
        <v>1</v>
      </c>
      <c r="Q753" s="110" t="str">
        <f aca="false">IF(P688=P753,"〇","×")</f>
        <v>〇</v>
      </c>
      <c r="R753" s="110" t="str">
        <f aca="false">IFERROR(INDEX(報告入力!$C$7:$C$696,MATCH($S$717&amp;"|"&amp;$A753,報告入力!$CG$7:$CG$696,0)),"")</f>
        <v>未受領</v>
      </c>
    </row>
    <row r="754" s="110" customFormat="true" ht="20.1" hidden="false" customHeight="true" outlineLevel="0" collapsed="false">
      <c r="A754" s="121" t="s">
        <v>189</v>
      </c>
      <c r="B754" s="178" t="n">
        <f aca="false">SUMIFS(報告入力!$AU$7:$AU$696,報告入力!$A$7:$A$696,$S$717,報告入力!$B$7:$B$696,$A754)</f>
        <v>137250</v>
      </c>
      <c r="C754" s="212" t="n">
        <f aca="false">SUMIFS(報告入力!$AV$7:$AV$696,報告入力!$A$7:$A$696,$S$717,報告入力!$B$7:$B$696,$A754)</f>
        <v>11250</v>
      </c>
      <c r="D754" s="178" t="n">
        <f aca="false">SUMIFS(報告入力!$AW$7:$AW$696,報告入力!$A$7:$A$696,$S$717,報告入力!$B$7:$B$696,$A754)</f>
        <v>137250</v>
      </c>
      <c r="E754" s="182" t="n">
        <f aca="false">SUMIFS(報告入力!$AX$7:$AX$696,報告入力!$A$7:$A$696,$S$717,報告入力!$B$7:$B$696,$A754)</f>
        <v>11250</v>
      </c>
      <c r="F754" s="368" t="n">
        <f aca="false">SUMIFS(報告入力!$AY$7:$AY$696,報告入力!$A$7:$A$696,$S$717,報告入力!$B$7:$B$696,$A754)</f>
        <v>140</v>
      </c>
      <c r="G754" s="181" t="n">
        <f aca="false">SUM(B754:F754)</f>
        <v>297140</v>
      </c>
      <c r="H754" s="182" t="n">
        <f aca="false">SUMIFS(報告入力!$AZ$7:$AZ$696,報告入力!$A$7:$A$696,$S$717,報告入力!$B$7:$B$696,$A754)</f>
        <v>82514</v>
      </c>
      <c r="I754" s="183" t="n">
        <f aca="false">SUMIFS(報告入力!$BA$7:$BA$696,報告入力!$A$7:$A$696,$S$717,報告入力!$B$7:$B$696,$A754)</f>
        <v>82665</v>
      </c>
      <c r="J754" s="135" t="n">
        <f aca="false">SUM(H754:I754)</f>
        <v>165179</v>
      </c>
      <c r="K754" s="182" t="n">
        <f aca="false">SUMIFS(報告入力!$BB$7:$BB$696,報告入力!$A$7:$A$696,$S$717,報告入力!$B$7:$B$696,$A754)</f>
        <v>8611</v>
      </c>
      <c r="L754" s="183" t="n">
        <f aca="false">SUMIFS(報告入力!$BC$7:$BC$696,報告入力!$A$7:$A$696,$S$717,報告入力!$B$7:$B$696,$A754)</f>
        <v>8611</v>
      </c>
      <c r="M754" s="135" t="n">
        <f aca="false">SUM(K754:L754)</f>
        <v>17222</v>
      </c>
      <c r="N754" s="182" t="n">
        <f aca="false">SUMIFS(報告入力!$BD$7:$BD$696,報告入力!$A$7:$A$696,$S$717,報告入力!$B$7:$B$696,$A754)</f>
        <v>1</v>
      </c>
      <c r="O754" s="183" t="n">
        <f aca="false">SUMIFS(報告入力!$BE$7:$BE$696,報告入力!$A$7:$A$696,$S$717,報告入力!$B$7:$B$696,$A754)</f>
        <v>1</v>
      </c>
      <c r="P754" s="135" t="n">
        <f aca="false">SUM(N754:O754)</f>
        <v>2</v>
      </c>
      <c r="Q754" s="110" t="str">
        <f aca="false">IF(P689=P754,"〇","×")</f>
        <v>〇</v>
      </c>
      <c r="R754" s="110" t="str">
        <f aca="false">IFERROR(INDEX(報告入力!$C$7:$C$696,MATCH($S$717&amp;"|"&amp;$A754,報告入力!$CG$7:$CG$696,0)),"")</f>
        <v>未受領</v>
      </c>
    </row>
    <row r="755" s="110" customFormat="true" ht="20.1" hidden="false" customHeight="true" outlineLevel="0" collapsed="false">
      <c r="A755" s="206" t="s">
        <v>190</v>
      </c>
      <c r="B755" s="201"/>
      <c r="C755" s="191"/>
      <c r="D755" s="215" t="n">
        <f aca="false">SUMIFS(報告入力!$AW$7:$AW$696,報告入力!$A$7:$A$696,$S$717,報告入力!$B$7:$B$696,$A755)</f>
        <v>477630</v>
      </c>
      <c r="E755" s="369" t="n">
        <f aca="false">SUMIFS(報告入力!$AX$7:$AX$696,報告入力!$A$7:$A$696,$S$717,報告入力!$B$7:$B$696,$A755)</f>
        <v>39150</v>
      </c>
      <c r="F755" s="368" t="n">
        <f aca="false">SUMIFS(報告入力!$AY$7:$AY$696,報告入力!$A$7:$A$696,$S$717,報告入力!$B$7:$B$696,$A755)</f>
        <v>490</v>
      </c>
      <c r="G755" s="181" t="n">
        <f aca="false">SUM(B755:F755)</f>
        <v>517270</v>
      </c>
      <c r="H755" s="202"/>
      <c r="I755" s="370" t="n">
        <f aca="false">SUMIFS(報告入力!$BA$7:$BA$696,報告入力!$A$7:$A$696,$S$717,報告入力!$B$7:$B$696,$A755)</f>
        <v>293185</v>
      </c>
      <c r="J755" s="135" t="n">
        <f aca="false">SUM(H755:I755)</f>
        <v>293185</v>
      </c>
      <c r="K755" s="202"/>
      <c r="L755" s="370" t="n">
        <f aca="false">SUMIFS(報告入力!$BC$7:$BC$696,報告入力!$A$7:$A$696,$S$717,報告入力!$B$7:$B$696,$A755)</f>
        <v>25517</v>
      </c>
      <c r="M755" s="135" t="n">
        <f aca="false">SUM(K755:L755)</f>
        <v>25517</v>
      </c>
      <c r="N755" s="202"/>
      <c r="O755" s="370" t="n">
        <f aca="false">SUMIFS(報告入力!$BE$7:$BE$696,報告入力!$A$7:$A$696,$S$717,報告入力!$B$7:$B$696,$A755)</f>
        <v>1</v>
      </c>
      <c r="P755" s="135" t="n">
        <f aca="false">SUM(N755:O755)</f>
        <v>1</v>
      </c>
      <c r="Q755" s="110" t="str">
        <f aca="false">IF(P690=P755,"〇","×")</f>
        <v>〇</v>
      </c>
      <c r="R755" s="110" t="str">
        <f aca="false">IFERROR(INDEX(報告入力!$C$7:$C$696,MATCH($S$717&amp;"|"&amp;$A755,報告入力!$CG$7:$CG$696,0)),"")</f>
        <v>未受領</v>
      </c>
    </row>
    <row r="756" s="110" customFormat="true" ht="20.1" hidden="false" customHeight="true" outlineLevel="0" collapsed="false">
      <c r="A756" s="189" t="s">
        <v>191</v>
      </c>
      <c r="B756" s="215" t="n">
        <f aca="false">SUMIFS(報告入力!$AU$7:$AU$696,報告入力!$A$7:$A$696,$S$717,報告入力!$B$7:$B$696,$A756)</f>
        <v>56730</v>
      </c>
      <c r="C756" s="368" t="n">
        <f aca="false">SUMIFS(報告入力!$AV$7:$AV$696,報告入力!$A$7:$A$696,$S$717,報告入力!$B$7:$B$696,$A756)</f>
        <v>4650</v>
      </c>
      <c r="D756" s="215" t="n">
        <f aca="false">SUMIFS(報告入力!$AW$7:$AW$696,報告入力!$A$7:$A$696,$S$717,報告入力!$B$7:$B$696,$A756)</f>
        <v>56730</v>
      </c>
      <c r="E756" s="213" t="n">
        <f aca="false">SUMIFS(報告入力!$AX$7:$AX$696,報告入力!$A$7:$A$696,$S$717,報告入力!$B$7:$B$696,$A756)</f>
        <v>4650</v>
      </c>
      <c r="F756" s="368" t="n">
        <f aca="false">SUMIFS(報告入力!$AY$7:$AY$696,報告入力!$A$7:$A$696,$S$717,報告入力!$B$7:$B$696,$A756)</f>
        <v>58</v>
      </c>
      <c r="G756" s="181" t="n">
        <f aca="false">SUM(B756:F756)</f>
        <v>122818</v>
      </c>
      <c r="H756" s="182" t="n">
        <f aca="false">SUMIFS(報告入力!$AZ$7:$AZ$696,報告入力!$A$7:$A$696,$S$717,報告入力!$B$7:$B$696,$A756)</f>
        <v>34106</v>
      </c>
      <c r="I756" s="183" t="n">
        <f aca="false">SUMIFS(報告入力!$BA$7:$BA$696,報告入力!$A$7:$A$696,$S$717,報告入力!$B$7:$B$696,$A756)</f>
        <v>34168</v>
      </c>
      <c r="J756" s="135" t="n">
        <f aca="false">SUM(H756:I756)</f>
        <v>68274</v>
      </c>
      <c r="K756" s="182" t="n">
        <f aca="false">SUMIFS(報告入力!$BB$7:$BB$696,報告入力!$A$7:$A$696,$S$717,報告入力!$B$7:$B$696,$A756)</f>
        <v>4898</v>
      </c>
      <c r="L756" s="183" t="n">
        <f aca="false">SUMIFS(報告入力!$BC$7:$BC$696,報告入力!$A$7:$A$696,$S$717,報告入力!$B$7:$B$696,$A756)</f>
        <v>4898</v>
      </c>
      <c r="M756" s="135" t="n">
        <f aca="false">SUM(K756:L756)</f>
        <v>9796</v>
      </c>
      <c r="N756" s="182" t="n">
        <f aca="false">SUMIFS(報告入力!$BD$7:$BD$696,報告入力!$A$7:$A$696,$S$717,報告入力!$B$7:$B$696,$A756)</f>
        <v>1</v>
      </c>
      <c r="O756" s="183" t="n">
        <f aca="false">SUMIFS(報告入力!$BE$7:$BE$696,報告入力!$A$7:$A$696,$S$717,報告入力!$B$7:$B$696,$A756)</f>
        <v>1</v>
      </c>
      <c r="P756" s="135" t="n">
        <f aca="false">SUM(N756:O756)</f>
        <v>2</v>
      </c>
      <c r="Q756" s="110" t="str">
        <f aca="false">IF(P691=P756,"〇","×")</f>
        <v>〇</v>
      </c>
      <c r="R756" s="110" t="str">
        <f aca="false">IFERROR(INDEX(報告入力!$C$7:$C$696,MATCH($S$717&amp;"|"&amp;$A756,報告入力!$CG$7:$CG$696,0)),"")</f>
        <v>未受領</v>
      </c>
    </row>
    <row r="757" s="110" customFormat="true" ht="20.1" hidden="false" customHeight="true" outlineLevel="0" collapsed="false">
      <c r="A757" s="189" t="s">
        <v>192</v>
      </c>
      <c r="B757" s="215" t="n">
        <f aca="false">SUMIFS(報告入力!$AU$7:$AU$696,報告入力!$A$7:$A$696,$S$717,報告入力!$B$7:$B$696,$A757)</f>
        <v>59475</v>
      </c>
      <c r="C757" s="368" t="n">
        <f aca="false">SUMIFS(報告入力!$AV$7:$AV$696,報告入力!$A$7:$A$696,$S$717,報告入力!$B$7:$B$696,$A757)</f>
        <v>4875</v>
      </c>
      <c r="D757" s="215" t="n">
        <f aca="false">SUMIFS(報告入力!$AW$7:$AW$696,報告入力!$A$7:$A$696,$S$717,報告入力!$B$7:$B$696,$A757)</f>
        <v>59475</v>
      </c>
      <c r="E757" s="213" t="n">
        <f aca="false">SUMIFS(報告入力!$AX$7:$AX$696,報告入力!$A$7:$A$696,$S$717,報告入力!$B$7:$B$696,$A757)</f>
        <v>4875</v>
      </c>
      <c r="F757" s="368" t="n">
        <f aca="false">SUMIFS(報告入力!$AY$7:$AY$696,報告入力!$A$7:$A$696,$S$717,報告入力!$B$7:$B$696,$A757)</f>
        <v>61</v>
      </c>
      <c r="G757" s="181" t="n">
        <f aca="false">SUM(B757:F757)</f>
        <v>128761</v>
      </c>
      <c r="H757" s="182" t="n">
        <f aca="false">SUMIFS(報告入力!$AZ$7:$AZ$696,報告入力!$A$7:$A$696,$S$717,報告入力!$B$7:$B$696,$A757)</f>
        <v>41257</v>
      </c>
      <c r="I757" s="183" t="n">
        <f aca="false">SUMIFS(報告入力!$BA$7:$BA$696,報告入力!$A$7:$A$696,$S$717,報告入力!$B$7:$B$696,$A757)</f>
        <v>41332</v>
      </c>
      <c r="J757" s="135" t="n">
        <f aca="false">SUM(H757:I757)</f>
        <v>82589</v>
      </c>
      <c r="K757" s="182" t="n">
        <f aca="false">SUMIFS(報告入力!$BB$7:$BB$696,報告入力!$A$7:$A$696,$S$717,報告入力!$B$7:$B$696,$A757)</f>
        <v>5925</v>
      </c>
      <c r="L757" s="183" t="n">
        <f aca="false">SUMIFS(報告入力!$BC$7:$BC$696,報告入力!$A$7:$A$696,$S$717,報告入力!$B$7:$B$696,$A757)</f>
        <v>5925</v>
      </c>
      <c r="M757" s="135" t="n">
        <f aca="false">SUM(K757:L757)</f>
        <v>11850</v>
      </c>
      <c r="N757" s="182" t="n">
        <f aca="false">SUMIFS(報告入力!$BD$7:$BD$696,報告入力!$A$7:$A$696,$S$717,報告入力!$B$7:$B$696,$A757)</f>
        <v>1</v>
      </c>
      <c r="O757" s="183" t="n">
        <f aca="false">SUMIFS(報告入力!$BE$7:$BE$696,報告入力!$A$7:$A$696,$S$717,報告入力!$B$7:$B$696,$A757)</f>
        <v>1</v>
      </c>
      <c r="P757" s="135" t="n">
        <f aca="false">SUM(N757:O757)</f>
        <v>2</v>
      </c>
      <c r="Q757" s="110" t="str">
        <f aca="false">IF(P692=P757,"〇","×")</f>
        <v>〇</v>
      </c>
      <c r="R757" s="110" t="str">
        <f aca="false">IFERROR(INDEX(報告入力!$C$7:$C$696,MATCH($S$717&amp;"|"&amp;$A757,報告入力!$CG$7:$CG$696,0)),"")</f>
        <v>未受領</v>
      </c>
    </row>
    <row r="758" s="110" customFormat="true" ht="20.1" hidden="false" customHeight="true" outlineLevel="0" collapsed="false">
      <c r="A758" s="189" t="s">
        <v>193</v>
      </c>
      <c r="B758" s="178" t="n">
        <f aca="false">SUMIFS(報告入力!$AU$7:$AU$696,報告入力!$A$7:$A$696,$S$717,報告入力!$B$7:$B$696,$A758)</f>
        <v>53985</v>
      </c>
      <c r="C758" s="212" t="n">
        <f aca="false">SUMIFS(報告入力!$AV$7:$AV$696,報告入力!$A$7:$A$696,$S$717,報告入力!$B$7:$B$696,$A758)</f>
        <v>4425</v>
      </c>
      <c r="D758" s="178" t="n">
        <f aca="false">SUMIFS(報告入力!$AW$7:$AW$696,報告入力!$A$7:$A$696,$S$717,報告入力!$B$7:$B$696,$A758)</f>
        <v>53985</v>
      </c>
      <c r="E758" s="182" t="n">
        <f aca="false">SUMIFS(報告入力!$AX$7:$AX$696,報告入力!$A$7:$A$696,$S$717,報告入力!$B$7:$B$696,$A758)</f>
        <v>4425</v>
      </c>
      <c r="F758" s="212" t="n">
        <f aca="false">SUMIFS(報告入力!$AY$7:$AY$696,報告入力!$A$7:$A$696,$S$717,報告入力!$B$7:$B$696,$A758)</f>
        <v>55</v>
      </c>
      <c r="G758" s="181" t="n">
        <f aca="false">SUM(B758:F758)</f>
        <v>116875</v>
      </c>
      <c r="H758" s="182" t="n">
        <f aca="false">SUMIFS(報告入力!$AZ$7:$AZ$696,報告入力!$A$7:$A$696,$S$717,報告入力!$B$7:$B$696,$A758)</f>
        <v>32455</v>
      </c>
      <c r="I758" s="183" t="n">
        <f aca="false">SUMIFS(報告入力!$BA$7:$BA$696,報告入力!$A$7:$A$696,$S$717,報告入力!$B$7:$B$696,$A758)</f>
        <v>32514</v>
      </c>
      <c r="J758" s="135" t="n">
        <f aca="false">SUM(H758:I758)</f>
        <v>64969</v>
      </c>
      <c r="K758" s="182" t="n">
        <f aca="false">SUMIFS(報告入力!$BB$7:$BB$696,報告入力!$A$7:$A$696,$S$717,報告入力!$B$7:$B$696,$A758)</f>
        <v>0</v>
      </c>
      <c r="L758" s="183" t="n">
        <f aca="false">SUMIFS(報告入力!$BC$7:$BC$696,報告入力!$A$7:$A$696,$S$717,報告入力!$B$7:$B$696,$A758)</f>
        <v>0</v>
      </c>
      <c r="M758" s="135" t="n">
        <f aca="false">SUM(K758:L758)</f>
        <v>0</v>
      </c>
      <c r="N758" s="182" t="n">
        <f aca="false">SUMIFS(報告入力!$BD$7:$BD$696,報告入力!$A$7:$A$696,$S$717,報告入力!$B$7:$B$696,$A758)</f>
        <v>1</v>
      </c>
      <c r="O758" s="183" t="n">
        <f aca="false">SUMIFS(報告入力!$BE$7:$BE$696,報告入力!$A$7:$A$696,$S$717,報告入力!$B$7:$B$696,$A758)</f>
        <v>1</v>
      </c>
      <c r="P758" s="135" t="n">
        <f aca="false">SUM(N758:O758)</f>
        <v>2</v>
      </c>
      <c r="Q758" s="110" t="str">
        <f aca="false">IF(P693=P758,"〇","×")</f>
        <v>〇</v>
      </c>
      <c r="R758" s="110" t="str">
        <f aca="false">IFERROR(INDEX(報告入力!$C$7:$C$696,MATCH($S$717&amp;"|"&amp;$A758,報告入力!$CG$7:$CG$696,0)),"")</f>
        <v>未受領</v>
      </c>
    </row>
    <row r="759" s="110" customFormat="true" ht="20.1" hidden="false" customHeight="true" outlineLevel="0" collapsed="false">
      <c r="A759" s="121" t="s">
        <v>194</v>
      </c>
      <c r="B759" s="178" t="n">
        <f aca="false">SUMIFS(報告入力!$AU$7:$AU$696,報告入力!$A$7:$A$696,$S$717,報告入力!$B$7:$B$696,$A759)</f>
        <v>1197735</v>
      </c>
      <c r="C759" s="212" t="n">
        <f aca="false">SUMIFS(報告入力!$AV$7:$AV$696,報告入力!$A$7:$A$696,$S$717,報告入力!$B$7:$B$696,$A759)</f>
        <v>98175</v>
      </c>
      <c r="D759" s="178" t="n">
        <f aca="false">SUMIFS(報告入力!$AW$7:$AW$696,報告入力!$A$7:$A$696,$S$717,報告入力!$B$7:$B$696,$A759)</f>
        <v>1197735</v>
      </c>
      <c r="E759" s="182" t="n">
        <f aca="false">SUMIFS(報告入力!$AX$7:$AX$696,報告入力!$A$7:$A$696,$S$717,報告入力!$B$7:$B$696,$A759)</f>
        <v>98175</v>
      </c>
      <c r="F759" s="212" t="n">
        <f aca="false">SUMIFS(報告入力!$AY$7:$AY$696,報告入力!$A$7:$A$696,$S$717,報告入力!$B$7:$B$696,$A759)</f>
        <v>1340</v>
      </c>
      <c r="G759" s="181" t="n">
        <f aca="false">SUM(B759:F759)</f>
        <v>2593160</v>
      </c>
      <c r="H759" s="182" t="n">
        <f aca="false">SUMIFS(報告入力!$AZ$7:$AZ$696,報告入力!$A$7:$A$696,$S$717,報告入力!$B$7:$B$696,$A759)</f>
        <v>720070</v>
      </c>
      <c r="I759" s="183" t="n">
        <f aca="false">SUMIFS(報告入力!$BA$7:$BA$696,報告入力!$A$7:$A$696,$S$717,報告入力!$B$7:$B$696,$A759)</f>
        <v>721509</v>
      </c>
      <c r="J759" s="135" t="n">
        <f aca="false">SUM(H759:I759)</f>
        <v>1441579</v>
      </c>
      <c r="K759" s="182" t="n">
        <f aca="false">SUMIFS(報告入力!$BB$7:$BB$696,報告入力!$A$7:$A$696,$S$717,報告入力!$B$7:$B$696,$A759)</f>
        <v>67940</v>
      </c>
      <c r="L759" s="183" t="n">
        <f aca="false">SUMIFS(報告入力!$BC$7:$BC$696,報告入力!$A$7:$A$696,$S$717,報告入力!$B$7:$B$696,$A759)</f>
        <v>67940</v>
      </c>
      <c r="M759" s="135" t="n">
        <f aca="false">SUM(K759:L759)</f>
        <v>135880</v>
      </c>
      <c r="N759" s="182" t="n">
        <f aca="false">SUMIFS(報告入力!$BD$7:$BD$696,報告入力!$A$7:$A$696,$S$717,報告入力!$B$7:$B$696,$A759)</f>
        <v>1</v>
      </c>
      <c r="O759" s="183" t="n">
        <f aca="false">SUMIFS(報告入力!$BE$7:$BE$696,報告入力!$A$7:$A$696,$S$717,報告入力!$B$7:$B$696,$A759)</f>
        <v>1</v>
      </c>
      <c r="P759" s="135" t="n">
        <f aca="false">SUM(N759:O759)</f>
        <v>2</v>
      </c>
      <c r="Q759" s="110" t="str">
        <f aca="false">IF(P694=P759,"〇","×")</f>
        <v>〇</v>
      </c>
      <c r="R759" s="110" t="str">
        <f aca="false">IFERROR(INDEX(報告入力!$C$7:$C$696,MATCH($S$717&amp;"|"&amp;$A759,報告入力!$CG$7:$CG$696,0)),"")</f>
        <v>未受領</v>
      </c>
    </row>
    <row r="760" s="110" customFormat="true" ht="20.1" hidden="false" customHeight="true" outlineLevel="0" collapsed="false">
      <c r="A760" s="121" t="s">
        <v>195</v>
      </c>
      <c r="B760" s="201"/>
      <c r="C760" s="191"/>
      <c r="D760" s="215" t="n">
        <f aca="false">SUMIFS(報告入力!$AW$7:$AW$696,報告入力!$A$7:$A$696,$S$717,報告入力!$B$7:$B$696,$A760)</f>
        <v>245220</v>
      </c>
      <c r="E760" s="213" t="n">
        <f aca="false">SUMIFS(報告入力!$AX$7:$AX$696,報告入力!$A$7:$A$696,$S$717,報告入力!$B$7:$B$696,$A760)</f>
        <v>20100</v>
      </c>
      <c r="F760" s="368" t="n">
        <f aca="false">SUMIFS(報告入力!$AY$7:$AY$696,報告入力!$A$7:$A$696,$S$717,報告入力!$B$7:$B$696,$A760)</f>
        <v>251</v>
      </c>
      <c r="G760" s="181" t="n">
        <f aca="false">SUM(B760:F760)</f>
        <v>265571</v>
      </c>
      <c r="H760" s="202"/>
      <c r="I760" s="214" t="n">
        <f aca="false">SUMIFS(報告入力!$BA$7:$BA$696,報告入力!$A$7:$A$696,$S$717,報告入力!$B$7:$B$696,$A760)</f>
        <v>151001</v>
      </c>
      <c r="J760" s="135" t="n">
        <f aca="false">SUM(H760:I760)</f>
        <v>151001</v>
      </c>
      <c r="K760" s="202"/>
      <c r="L760" s="214" t="n">
        <f aca="false">SUMIFS(報告入力!$BC$7:$BC$696,報告入力!$A$7:$A$696,$S$717,報告入力!$B$7:$B$696,$A760)</f>
        <v>10744</v>
      </c>
      <c r="M760" s="135" t="n">
        <f aca="false">SUM(K760:L760)</f>
        <v>10744</v>
      </c>
      <c r="N760" s="202"/>
      <c r="O760" s="214" t="n">
        <f aca="false">SUMIFS(報告入力!$BE$7:$BE$696,報告入力!$A$7:$A$696,$S$717,報告入力!$B$7:$B$696,$A760)</f>
        <v>1</v>
      </c>
      <c r="P760" s="135" t="n">
        <f aca="false">SUM(N760:O760)</f>
        <v>1</v>
      </c>
      <c r="Q760" s="110" t="str">
        <f aca="false">IF(P695=P760,"〇","×")</f>
        <v>〇</v>
      </c>
      <c r="R760" s="110" t="str">
        <f aca="false">IFERROR(INDEX(報告入力!$C$7:$C$696,MATCH($S$717&amp;"|"&amp;$A760,報告入力!$CG$7:$CG$696,0)),"")</f>
        <v>未受領</v>
      </c>
    </row>
    <row r="761" s="110" customFormat="true" ht="19.5" hidden="false" customHeight="true" outlineLevel="0" collapsed="false">
      <c r="A761" s="207" t="s">
        <v>196</v>
      </c>
      <c r="B761" s="215" t="n">
        <f aca="false">SUMIFS(報告入力!$AU$7:$AU$696,報告入力!$A$7:$A$696,$S$717,報告入力!$B$7:$B$696,$A761)</f>
        <v>124182702</v>
      </c>
      <c r="C761" s="368" t="n">
        <f aca="false">SUMIFS(報告入力!$AV$7:$AV$696,報告入力!$A$7:$A$696,$S$717,報告入力!$B$7:$B$696,$A761)</f>
        <v>10170060</v>
      </c>
      <c r="D761" s="215" t="n">
        <f aca="false">SUMIFS(報告入力!$AW$7:$AW$696,報告入力!$A$7:$A$696,$S$717,報告入力!$B$7:$B$696,$A761)</f>
        <v>183964729</v>
      </c>
      <c r="E761" s="369" t="n">
        <f aca="false">SUMIFS(報告入力!$AX$7:$AX$696,報告入力!$A$7:$A$696,$S$717,報告入力!$B$7:$B$696,$A761)</f>
        <v>10170060</v>
      </c>
      <c r="F761" s="368" t="n">
        <f aca="false">SUMIFS(報告入力!$AY$7:$AY$696,報告入力!$A$7:$A$696,$S$717,報告入力!$B$7:$B$696,$A761)</f>
        <v>135218</v>
      </c>
      <c r="G761" s="181" t="n">
        <f aca="false">SUM(B761:F761)</f>
        <v>328622769</v>
      </c>
      <c r="H761" s="213" t="n">
        <f aca="false">SUMIFS(報告入力!$AZ$7:$AZ$696,報告入力!$A$7:$A$696,$S$717,報告入力!$B$7:$B$696,$A761)</f>
        <v>96575695</v>
      </c>
      <c r="I761" s="370" t="n">
        <f aca="false">SUMIFS(報告入力!$BA$7:$BA$696,報告入力!$A$7:$A$696,$S$717,報告入力!$B$7:$B$696,$A761)</f>
        <v>96764159</v>
      </c>
      <c r="J761" s="135" t="n">
        <f aca="false">SUM(H761:I761)</f>
        <v>193339854</v>
      </c>
      <c r="K761" s="215" t="n">
        <f aca="false">SUMIFS(報告入力!$BB$7:$BB$696,報告入力!$A$7:$A$696,$S$717,報告入力!$B$7:$B$696,$A761)</f>
        <v>7824224</v>
      </c>
      <c r="L761" s="370" t="n">
        <f aca="false">SUMIFS(報告入力!$BC$7:$BC$696,報告入力!$A$7:$A$696,$S$717,報告入力!$B$7:$B$696,$A761)</f>
        <v>7824224</v>
      </c>
      <c r="M761" s="135" t="n">
        <f aca="false">SUM(K761:L761)</f>
        <v>15648448</v>
      </c>
      <c r="N761" s="215" t="n">
        <f aca="false">SUMIFS(報告入力!$BD$7:$BD$696,報告入力!$A$7:$A$696,$S$717,報告入力!$B$7:$B$696,$A761)</f>
        <v>1</v>
      </c>
      <c r="O761" s="370" t="n">
        <f aca="false">SUMIFS(報告入力!$BE$7:$BE$696,報告入力!$A$7:$A$696,$S$717,報告入力!$B$7:$B$696,$A761)</f>
        <v>1</v>
      </c>
      <c r="P761" s="135" t="n">
        <f aca="false">SUM(N761:O761)</f>
        <v>2</v>
      </c>
      <c r="Q761" s="110" t="str">
        <f aca="false">IF(P696=P761,"〇","×")</f>
        <v>〇</v>
      </c>
      <c r="R761" s="110" t="str">
        <f aca="false">IFERROR(INDEX(報告入力!$C$7:$C$696,MATCH($S$717&amp;"|"&amp;$A761,報告入力!$CG$7:$CG$696,0)),"")</f>
        <v>未受領</v>
      </c>
    </row>
    <row r="762" s="137" customFormat="true" ht="21.75" hidden="false" customHeight="true" outlineLevel="0" collapsed="false">
      <c r="A762" s="374" t="s">
        <v>197</v>
      </c>
      <c r="B762" s="127"/>
      <c r="C762" s="131"/>
      <c r="D762" s="127"/>
      <c r="E762" s="209"/>
      <c r="F762" s="131"/>
      <c r="G762" s="210" t="n">
        <f aca="false">SUM(B762:F762)</f>
        <v>0</v>
      </c>
      <c r="H762" s="213" t="n">
        <f aca="false">SUMIFS(報告入力!$AZ$7:$AZ$696,報告入力!$A$7:$A$696,$S$717,報告入力!$B$7:$B$696,$A762)</f>
        <v>108364</v>
      </c>
      <c r="I762" s="370" t="n">
        <f aca="false">SUMIFS(報告入力!$BA$7:$BA$696,報告入力!$A$7:$A$696,$S$717,報告入力!$B$7:$B$696,$A762)</f>
        <v>108566</v>
      </c>
      <c r="J762" s="135" t="n">
        <f aca="false">SUM(H762:I762)</f>
        <v>216930</v>
      </c>
      <c r="K762" s="215" t="n">
        <f aca="false">SUMIFS(報告入力!$BB$7:$BB$696,報告入力!$A$7:$A$696,$S$717,報告入力!$B$7:$B$696,$A762)</f>
        <v>12245</v>
      </c>
      <c r="L762" s="370" t="n">
        <f aca="false">SUMIFS(報告入力!$BC$7:$BC$696,報告入力!$A$7:$A$696,$S$717,報告入力!$B$7:$B$696,$A762)</f>
        <v>12245</v>
      </c>
      <c r="M762" s="135" t="n">
        <f aca="false">SUM(K762:L762)</f>
        <v>24490</v>
      </c>
      <c r="N762" s="215" t="n">
        <f aca="false">SUMIFS(報告入力!$BD$7:$BD$696,報告入力!$A$7:$A$696,$S$717,報告入力!$B$7:$B$696,$A762)</f>
        <v>1</v>
      </c>
      <c r="O762" s="370" t="n">
        <f aca="false">SUMIFS(報告入力!$BE$7:$BE$696,報告入力!$A$7:$A$696,$S$717,報告入力!$B$7:$B$696,$A762)</f>
        <v>1</v>
      </c>
      <c r="P762" s="135" t="n">
        <f aca="false">SUM(N762:O762)</f>
        <v>2</v>
      </c>
      <c r="Q762" s="137" t="str">
        <f aca="false">IF(P697=P762,"〇","×")</f>
        <v>〇</v>
      </c>
      <c r="R762" s="137" t="str">
        <f aca="false">IFERROR(INDEX(報告入力!$C$7:$C$696,MATCH($S$717&amp;"|"&amp;$A762,報告入力!$CG$7:$CG$696,0)),"")</f>
        <v>未受領</v>
      </c>
    </row>
    <row r="763" s="137" customFormat="true" ht="21.75" hidden="false" customHeight="true" outlineLevel="0" collapsed="false">
      <c r="A763" s="211" t="s">
        <v>216</v>
      </c>
      <c r="B763" s="311"/>
      <c r="C763" s="330"/>
      <c r="D763" s="311"/>
      <c r="E763" s="309"/>
      <c r="F763" s="331"/>
      <c r="G763" s="302" t="n">
        <f aca="false">SUM(B763:F763)</f>
        <v>0</v>
      </c>
      <c r="H763" s="311"/>
      <c r="I763" s="310"/>
      <c r="J763" s="305" t="n">
        <f aca="false">SUM(H763:I763)</f>
        <v>0</v>
      </c>
      <c r="K763" s="309"/>
      <c r="L763" s="310"/>
      <c r="M763" s="305" t="n">
        <f aca="false">SUM(K763:L763)</f>
        <v>0</v>
      </c>
      <c r="N763" s="309"/>
      <c r="O763" s="310"/>
      <c r="P763" s="305" t="n">
        <f aca="false">SUM(N763:O763)</f>
        <v>0</v>
      </c>
      <c r="Q763" s="137" t="str">
        <f aca="false">IF(P698=P763,"〇","×")</f>
        <v>〇</v>
      </c>
      <c r="R763" s="137" t="str">
        <f aca="false">IFERROR(INDEX(報告入力!$C$7:$C$696,MATCH($S$717&amp;"|"&amp;$A763,報告入力!$CG$7:$CG$696,0)),"")</f>
        <v>報告なし</v>
      </c>
    </row>
    <row r="764" s="137" customFormat="true" ht="21.75" hidden="false" customHeight="true" outlineLevel="0" collapsed="false">
      <c r="A764" s="211" t="s">
        <v>199</v>
      </c>
      <c r="B764" s="215" t="n">
        <f aca="false">SUMIFS(報告入力!$AU$7:$AU$696,報告入力!$A$7:$A$696,$S$717,報告入力!$B$7:$B$696,$A764)</f>
        <v>59475</v>
      </c>
      <c r="C764" s="367" t="n">
        <f aca="false">SUMIFS(報告入力!$AV$7:$AV$696,報告入力!$A$7:$A$696,$S$717,報告入力!$B$7:$B$696,$A764)</f>
        <v>4875</v>
      </c>
      <c r="D764" s="215" t="n">
        <f aca="false">SUMIFS(報告入力!$AW$7:$AW$696,報告入力!$A$7:$A$696,$S$717,報告入力!$B$7:$B$696,$A764)</f>
        <v>59475</v>
      </c>
      <c r="E764" s="213" t="n">
        <f aca="false">SUMIFS(報告入力!$AX$7:$AX$696,報告入力!$A$7:$A$696,$S$717,報告入力!$B$7:$B$696,$A764)</f>
        <v>4875</v>
      </c>
      <c r="F764" s="368" t="n">
        <f aca="false">SUMIFS(報告入力!$AY$7:$AY$696,報告入力!$A$7:$A$696,$S$717,報告入力!$B$7:$B$696,$A764)</f>
        <v>61</v>
      </c>
      <c r="G764" s="181" t="n">
        <f aca="false">SUM(B764:F764)</f>
        <v>128761</v>
      </c>
      <c r="H764" s="215" t="n">
        <f aca="false">SUMIFS(報告入力!$AZ$7:$AZ$696,報告入力!$A$7:$A$696,$S$717,報告入力!$B$7:$B$696,$A764)</f>
        <v>41257</v>
      </c>
      <c r="I764" s="214" t="n">
        <f aca="false">SUMIFS(報告入力!$BA$7:$BA$696,報告入力!$A$7:$A$696,$S$717,報告入力!$B$7:$B$696,$A764)</f>
        <v>41332</v>
      </c>
      <c r="J764" s="135" t="n">
        <f aca="false">SUM(H764:I764)</f>
        <v>82589</v>
      </c>
      <c r="K764" s="215" t="n">
        <f aca="false">SUMIFS(報告入力!$BB$7:$BB$696,報告入力!$A$7:$A$696,$S$717,報告入力!$B$7:$B$696,$A764)</f>
        <v>5925</v>
      </c>
      <c r="L764" s="213" t="n">
        <f aca="false">SUMIFS(報告入力!$BC$7:$BC$696,報告入力!$A$7:$A$696,$S$717,報告入力!$B$7:$B$696,$A764)</f>
        <v>5925</v>
      </c>
      <c r="M764" s="135" t="n">
        <f aca="false">SUM(K764:L764)</f>
        <v>11850</v>
      </c>
      <c r="N764" s="215" t="n">
        <f aca="false">SUMIFS(報告入力!$BD$7:$BD$696,報告入力!$A$7:$A$696,$S$717,報告入力!$B$7:$B$696,$A764)</f>
        <v>1</v>
      </c>
      <c r="O764" s="213" t="n">
        <f aca="false">SUMIFS(報告入力!$BE$7:$BE$696,報告入力!$A$7:$A$696,$S$717,報告入力!$B$7:$B$696,$A764)</f>
        <v>1</v>
      </c>
      <c r="P764" s="135" t="n">
        <f aca="false">SUM(N764:O764)</f>
        <v>2</v>
      </c>
      <c r="Q764" s="137" t="str">
        <f aca="false">IF(P699=P764,"〇","×")</f>
        <v>〇</v>
      </c>
      <c r="R764" s="137" t="str">
        <f aca="false">IFERROR(INDEX(報告入力!$C$7:$C$696,MATCH($S$717&amp;"|"&amp;$A764,報告入力!$CG$7:$CG$696,0)),"")</f>
        <v>未受領</v>
      </c>
    </row>
    <row r="765" s="137" customFormat="true" ht="21.75" hidden="false" customHeight="true" outlineLevel="0" collapsed="false">
      <c r="A765" s="149"/>
      <c r="B765" s="157"/>
      <c r="C765" s="156"/>
      <c r="D765" s="220"/>
      <c r="E765" s="158"/>
      <c r="F765" s="156"/>
      <c r="G765" s="221" t="n">
        <f aca="false">SUM(B765:F765)</f>
        <v>0</v>
      </c>
      <c r="H765" s="222"/>
      <c r="I765" s="158"/>
      <c r="J765" s="223" t="n">
        <f aca="false">SUM(H765:I765)</f>
        <v>0</v>
      </c>
      <c r="K765" s="220"/>
      <c r="L765" s="158"/>
      <c r="M765" s="223" t="n">
        <f aca="false">SUM(K765:L765)</f>
        <v>0</v>
      </c>
      <c r="N765" s="220"/>
      <c r="O765" s="158"/>
      <c r="P765" s="223" t="n">
        <f aca="false">SUM(N765:O765)</f>
        <v>0</v>
      </c>
      <c r="Q765" s="137" t="str">
        <f aca="false">IF(P700=P765,"〇","×")</f>
        <v>〇</v>
      </c>
    </row>
    <row r="766" s="137" customFormat="true" ht="0.2" hidden="false" customHeight="true" outlineLevel="0" collapsed="false">
      <c r="A766" s="149"/>
      <c r="B766" s="157"/>
      <c r="C766" s="156"/>
      <c r="D766" s="220"/>
      <c r="E766" s="158"/>
      <c r="F766" s="156"/>
      <c r="G766" s="221" t="n">
        <f aca="false">SUM(B766:F766)</f>
        <v>0</v>
      </c>
      <c r="H766" s="222"/>
      <c r="I766" s="158"/>
      <c r="J766" s="223" t="n">
        <f aca="false">SUM(H766:I766)</f>
        <v>0</v>
      </c>
      <c r="K766" s="220"/>
      <c r="L766" s="158"/>
      <c r="M766" s="223" t="n">
        <f aca="false">SUM(K766:L766)</f>
        <v>0</v>
      </c>
      <c r="N766" s="220"/>
      <c r="O766" s="158"/>
      <c r="P766" s="223" t="n">
        <f aca="false">SUM(N766:O766)</f>
        <v>0</v>
      </c>
      <c r="Q766" s="137" t="str">
        <f aca="false">IF(P701=P766,"〇","×")</f>
        <v>〇</v>
      </c>
    </row>
    <row r="767" s="137" customFormat="true" ht="0.2" hidden="false" customHeight="true" outlineLevel="0" collapsed="false">
      <c r="A767" s="162"/>
      <c r="B767" s="224"/>
      <c r="C767" s="225"/>
      <c r="D767" s="226"/>
      <c r="E767" s="227"/>
      <c r="F767" s="225"/>
      <c r="G767" s="228"/>
      <c r="H767" s="229"/>
      <c r="I767" s="229"/>
      <c r="J767" s="230"/>
      <c r="K767" s="231"/>
      <c r="L767" s="229"/>
      <c r="M767" s="230"/>
      <c r="N767" s="231"/>
      <c r="O767" s="229"/>
      <c r="P767" s="230"/>
      <c r="Q767" s="137" t="str">
        <f aca="false">IF(P702=P767,"〇","×")</f>
        <v>〇</v>
      </c>
    </row>
    <row r="768" s="110" customFormat="true" ht="20.1" hidden="false" customHeight="true" outlineLevel="0" collapsed="false">
      <c r="A768" s="171" t="s">
        <v>383</v>
      </c>
      <c r="B768" s="172" t="n">
        <f aca="false">SUM(B738:B767)</f>
        <v>127058547</v>
      </c>
      <c r="C768" s="175" t="n">
        <f aca="false">SUM(C738:C767)</f>
        <v>10405785</v>
      </c>
      <c r="D768" s="173" t="n">
        <f aca="false">SUM(D738:D767)</f>
        <v>192956434</v>
      </c>
      <c r="E768" s="174" t="n">
        <f aca="false">SUM(E738:E767)</f>
        <v>10907085</v>
      </c>
      <c r="F768" s="175" t="n">
        <f aca="false">SUM(F738:F767)</f>
        <v>144687</v>
      </c>
      <c r="G768" s="176" t="n">
        <f aca="false">SUM(B768:F768)</f>
        <v>341472538</v>
      </c>
      <c r="H768" s="173" t="n">
        <f aca="false">SUM(H738:H766)</f>
        <v>98425650</v>
      </c>
      <c r="I768" s="173" t="n">
        <f aca="false">SUM(I738:I766)</f>
        <v>102450602</v>
      </c>
      <c r="J768" s="175" t="n">
        <f aca="false">SUM(H768:I768)</f>
        <v>200876252</v>
      </c>
      <c r="K768" s="172" t="n">
        <f aca="false">SUM(K738:K766)</f>
        <v>7994785</v>
      </c>
      <c r="L768" s="173" t="n">
        <f aca="false">SUM(L738:L766)</f>
        <v>8438449</v>
      </c>
      <c r="M768" s="175" t="n">
        <f aca="false">SUM(K768:L768)</f>
        <v>16433234</v>
      </c>
      <c r="N768" s="172" t="n">
        <f aca="false">SUM(N738:N766)</f>
        <v>12</v>
      </c>
      <c r="O768" s="173" t="n">
        <f aca="false">SUM(O738:O766)</f>
        <v>24</v>
      </c>
      <c r="P768" s="175" t="n">
        <f aca="false">SUM(N768:O768)</f>
        <v>36</v>
      </c>
      <c r="Q768" s="110" t="str">
        <f aca="false">IF(P703=P768,"〇","×")</f>
        <v>〇</v>
      </c>
    </row>
    <row r="769" s="137" customFormat="true" ht="0.2" hidden="false" customHeight="true" outlineLevel="0" collapsed="false">
      <c r="A769" s="149" t="s">
        <v>382</v>
      </c>
      <c r="B769" s="231"/>
      <c r="C769" s="232"/>
      <c r="D769" s="229"/>
      <c r="E769" s="233"/>
      <c r="F769" s="234"/>
      <c r="G769" s="235"/>
      <c r="H769" s="236"/>
      <c r="I769" s="236"/>
      <c r="J769" s="237"/>
      <c r="K769" s="238"/>
      <c r="L769" s="239"/>
      <c r="M769" s="240"/>
      <c r="N769" s="238"/>
      <c r="O769" s="239"/>
      <c r="P769" s="240"/>
      <c r="Q769" s="137" t="str">
        <f aca="false">IF(P704=P769,"〇","×")</f>
        <v>〇</v>
      </c>
    </row>
    <row r="770" s="137" customFormat="true" ht="0.2" hidden="false" customHeight="true" outlineLevel="0" collapsed="false">
      <c r="A770" s="241" t="s">
        <v>382</v>
      </c>
      <c r="B770" s="242"/>
      <c r="C770" s="243"/>
      <c r="D770" s="229"/>
      <c r="E770" s="233"/>
      <c r="F770" s="232"/>
      <c r="G770" s="228"/>
      <c r="H770" s="244"/>
      <c r="I770" s="244"/>
      <c r="J770" s="245"/>
      <c r="K770" s="246"/>
      <c r="L770" s="247"/>
      <c r="M770" s="248"/>
      <c r="N770" s="246"/>
      <c r="O770" s="247"/>
      <c r="P770" s="248"/>
      <c r="Q770" s="137" t="str">
        <f aca="false">IF(P705=P770,"〇","×")</f>
        <v>〇</v>
      </c>
    </row>
    <row r="771" s="110" customFormat="true" ht="20.1" hidden="false" customHeight="true" outlineLevel="0" collapsed="false">
      <c r="A771" s="189" t="s">
        <v>200</v>
      </c>
      <c r="B771" s="215" t="n">
        <f aca="false">SUMIFS(報告入力!$AU$7:$AU$696,報告入力!$A$7:$A$696,$S$717,報告入力!$B$7:$B$696,$A771)</f>
        <v>145485</v>
      </c>
      <c r="C771" s="368" t="n">
        <f aca="false">SUMIFS(報告入力!$AV$7:$AV$696,報告入力!$A$7:$A$696,$S$717,報告入力!$B$7:$B$696,$A771)</f>
        <v>11925</v>
      </c>
      <c r="D771" s="215" t="n">
        <f aca="false">SUMIFS(報告入力!$AW$7:$AW$696,報告入力!$A$7:$A$696,$S$717,報告入力!$B$7:$B$696,$A771)</f>
        <v>145485</v>
      </c>
      <c r="E771" s="213" t="n">
        <f aca="false">SUMIFS(報告入力!$AX$7:$AX$696,報告入力!$A$7:$A$696,$S$717,報告入力!$B$7:$B$696,$A771)</f>
        <v>11925</v>
      </c>
      <c r="F771" s="368" t="n">
        <f aca="false">SUMIFS(報告入力!$AY$7:$AY$696,報告入力!$A$7:$A$696,$S$717,報告入力!$B$7:$B$696,$A771)</f>
        <v>149</v>
      </c>
      <c r="G771" s="181" t="n">
        <f aca="false">SUM(B771:F771)</f>
        <v>314969</v>
      </c>
      <c r="H771" s="130"/>
      <c r="I771" s="130"/>
      <c r="J771" s="196" t="n">
        <f aca="false">SUM(H771:I771)</f>
        <v>0</v>
      </c>
      <c r="K771" s="130"/>
      <c r="L771" s="130"/>
      <c r="M771" s="196" t="n">
        <f aca="false">SUM(K771:L771)</f>
        <v>0</v>
      </c>
      <c r="N771" s="130"/>
      <c r="O771" s="130"/>
      <c r="P771" s="196" t="n">
        <f aca="false">SUM(N771:O771)</f>
        <v>0</v>
      </c>
      <c r="Q771" s="110" t="str">
        <f aca="false">IF(P706=P771,"〇","×")</f>
        <v>〇</v>
      </c>
      <c r="R771" s="110" t="str">
        <f aca="false">IFERROR(INDEX(報告入力!$C$7:$C$696,MATCH($S$717&amp;"|"&amp;$A771,報告入力!$CG$7:$CG$696,0)),"")</f>
        <v>未受領</v>
      </c>
    </row>
    <row r="772" s="110" customFormat="true" ht="21.75" hidden="false" customHeight="true" outlineLevel="0" collapsed="false">
      <c r="A772" s="189" t="s">
        <v>201</v>
      </c>
      <c r="B772" s="384" t="n">
        <f aca="false">SUMIFS(報告入力!$AU$7:$AU$696,報告入力!$A$7:$A$696,$S$717,報告入力!$B$7:$B$696,$A772)</f>
        <v>53985</v>
      </c>
      <c r="C772" s="385" t="n">
        <f aca="false">SUMIFS(報告入力!$AV$7:$AV$696,報告入力!$A$7:$A$696,$S$717,報告入力!$B$7:$B$696,$A772)</f>
        <v>4425</v>
      </c>
      <c r="D772" s="400" t="n">
        <f aca="false">SUMIFS(報告入力!$AW$7:$AW$696,報告入力!$A$7:$A$696,$S$717,報告入力!$B$7:$B$696,$A772)</f>
        <v>53985</v>
      </c>
      <c r="E772" s="401" t="n">
        <f aca="false">SUMIFS(報告入力!$AX$7:$AX$696,報告入力!$A$7:$A$696,$S$717,報告入力!$B$7:$B$696,$A772)</f>
        <v>4425</v>
      </c>
      <c r="F772" s="402" t="n">
        <f aca="false">SUMIFS(報告入力!$AY$7:$AY$696,報告入力!$A$7:$A$696,$S$717,報告入力!$B$7:$B$696,$A772)</f>
        <v>55</v>
      </c>
      <c r="G772" s="181" t="n">
        <f aca="false">SUM(B772:F772)</f>
        <v>116875</v>
      </c>
      <c r="H772" s="252"/>
      <c r="I772" s="252"/>
      <c r="J772" s="253" t="n">
        <f aca="false">SUM(H772:I772)</f>
        <v>0</v>
      </c>
      <c r="K772" s="252"/>
      <c r="L772" s="252"/>
      <c r="M772" s="253" t="n">
        <f aca="false">SUM(K772:L772)</f>
        <v>0</v>
      </c>
      <c r="N772" s="252"/>
      <c r="O772" s="252"/>
      <c r="P772" s="253" t="n">
        <f aca="false">SUM(N772:O772)</f>
        <v>0</v>
      </c>
      <c r="Q772" s="110" t="str">
        <f aca="false">IF(P707=P772,"〇","×")</f>
        <v>〇</v>
      </c>
      <c r="R772" s="110" t="str">
        <f aca="false">IFERROR(INDEX(報告入力!$C$7:$C$696,MATCH($S$717&amp;"|"&amp;$A772,報告入力!$CG$7:$CG$696,0)),"")</f>
        <v>未受領</v>
      </c>
    </row>
    <row r="773" s="110" customFormat="true" ht="19.5" hidden="false" customHeight="true" outlineLevel="0" collapsed="false">
      <c r="A773" s="171" t="s">
        <v>383</v>
      </c>
      <c r="B773" s="172" t="n">
        <f aca="false">SUM(B769:B772)</f>
        <v>199470</v>
      </c>
      <c r="C773" s="175" t="n">
        <f aca="false">SUM(C769:C772)</f>
        <v>16350</v>
      </c>
      <c r="D773" s="173" t="n">
        <f aca="false">SUM(D769:D772)</f>
        <v>199470</v>
      </c>
      <c r="E773" s="174" t="n">
        <f aca="false">SUM(E769:E772)</f>
        <v>16350</v>
      </c>
      <c r="F773" s="175" t="n">
        <f aca="false">SUM(F769:F772)</f>
        <v>204</v>
      </c>
      <c r="G773" s="176" t="n">
        <f aca="false">SUM(B773:F773)</f>
        <v>431844</v>
      </c>
      <c r="H773" s="256" t="n">
        <f aca="false">SUM(H769:H772)</f>
        <v>0</v>
      </c>
      <c r="I773" s="257" t="n">
        <f aca="false">SUM(I769:I772)</f>
        <v>0</v>
      </c>
      <c r="J773" s="258" t="n">
        <f aca="false">SUM(H773:I773)</f>
        <v>0</v>
      </c>
      <c r="K773" s="256" t="n">
        <f aca="false">SUM(K769:K772)</f>
        <v>0</v>
      </c>
      <c r="L773" s="257" t="n">
        <f aca="false">SUM(L769:L772)</f>
        <v>0</v>
      </c>
      <c r="M773" s="258" t="n">
        <f aca="false">SUM(K773:L773)</f>
        <v>0</v>
      </c>
      <c r="N773" s="256" t="n">
        <f aca="false">SUM(N769:N772)</f>
        <v>0</v>
      </c>
      <c r="O773" s="257" t="n">
        <f aca="false">SUM(O769:O772)</f>
        <v>0</v>
      </c>
      <c r="P773" s="258" t="n">
        <f aca="false">SUM(N773:O773)</f>
        <v>0</v>
      </c>
      <c r="Q773" s="110" t="str">
        <f aca="false">IF(P708=P773,"〇","×")</f>
        <v>〇</v>
      </c>
    </row>
    <row r="774" s="110" customFormat="true" ht="20.1" hidden="false" customHeight="true" outlineLevel="0" collapsed="false">
      <c r="A774" s="100" t="s">
        <v>202</v>
      </c>
      <c r="B774" s="215" t="n">
        <f aca="false">SUMIFS(報告入力!$AU$7:$AU$696,報告入力!$A$7:$A$696,$S$717,報告入力!$B$7:$B$696,$A774)</f>
        <v>29280</v>
      </c>
      <c r="C774" s="212" t="n">
        <f aca="false">SUMIFS(報告入力!$AV$7:$AV$696,報告入力!$A$7:$A$696,$S$717,報告入力!$B$7:$B$696,$A774)</f>
        <v>2400</v>
      </c>
      <c r="D774" s="178" t="n">
        <f aca="false">SUMIFS(報告入力!$AW$7:$AW$696,報告入力!$A$7:$A$696,$S$717,報告入力!$B$7:$B$696,$A774)</f>
        <v>29280</v>
      </c>
      <c r="E774" s="182" t="n">
        <f aca="false">SUMIFS(報告入力!$AX$7:$AX$696,報告入力!$A$7:$A$696,$S$717,報告入力!$B$7:$B$696,$A774)</f>
        <v>2400</v>
      </c>
      <c r="F774" s="312"/>
      <c r="G774" s="181" t="n">
        <f aca="false">SUM(B774:F774)</f>
        <v>63360</v>
      </c>
      <c r="H774" s="262" t="n">
        <f aca="false">SUMIFS(報告入力!$AZ$7:$AZ$696,報告入力!$A$7:$A$696,$S$717,報告入力!$B$7:$B$696,$A774)</f>
        <v>17603</v>
      </c>
      <c r="I774" s="183" t="n">
        <f aca="false">SUMIFS(報告入力!$BA$7:$BA$696,報告入力!$A$7:$A$696,$S$717,報告入力!$B$7:$B$696,$A774)</f>
        <v>17635</v>
      </c>
      <c r="J774" s="135" t="n">
        <f aca="false">SUM(H774:I774)</f>
        <v>35238</v>
      </c>
      <c r="K774" s="262" t="n">
        <f aca="false">SUMIFS(報告入力!$BB$7:$BB$696,報告入力!$A$7:$A$696,$S$717,報告入力!$B$7:$B$696,$A774)</f>
        <v>2528</v>
      </c>
      <c r="L774" s="183" t="n">
        <f aca="false">SUMIFS(報告入力!$BC$7:$BC$696,報告入力!$A$7:$A$696,$S$717,報告入力!$B$7:$B$696,$A774)</f>
        <v>2528</v>
      </c>
      <c r="M774" s="135" t="n">
        <f aca="false">SUM(K774:L774)</f>
        <v>5056</v>
      </c>
      <c r="N774" s="262" t="n">
        <f aca="false">SUMIFS(報告入力!$BD$7:$BD$696,報告入力!$A$7:$A$696,$S$717,報告入力!$B$7:$B$696,$A774)</f>
        <v>1</v>
      </c>
      <c r="O774" s="183" t="n">
        <f aca="false">SUMIFS(報告入力!$BE$7:$BE$696,報告入力!$A$7:$A$696,$S$717,報告入力!$B$7:$B$696,$A774)</f>
        <v>1</v>
      </c>
      <c r="P774" s="135" t="n">
        <f aca="false">SUM(N774:O774)</f>
        <v>2</v>
      </c>
      <c r="Q774" s="110" t="str">
        <f aca="false">IF(P709=P774,"〇","×")</f>
        <v>〇</v>
      </c>
      <c r="R774" s="110" t="str">
        <f aca="false">IFERROR(INDEX(報告入力!$C$7:$C$696,MATCH($S$717&amp;"|"&amp;$A774,報告入力!$CG$7:$CG$696,0)),"")</f>
        <v>未受領</v>
      </c>
    </row>
    <row r="775" s="110" customFormat="true" ht="20.25" hidden="false" customHeight="true" outlineLevel="0" collapsed="false">
      <c r="A775" s="100" t="s">
        <v>203</v>
      </c>
      <c r="B775" s="178"/>
      <c r="C775" s="179"/>
      <c r="D775" s="178"/>
      <c r="E775" s="415"/>
      <c r="F775" s="312"/>
      <c r="G775" s="181" t="n">
        <f aca="false">SUM(B775:F775)</f>
        <v>0</v>
      </c>
      <c r="H775" s="182"/>
      <c r="I775" s="183"/>
      <c r="J775" s="135" t="n">
        <f aca="false">SUM(H775:I775)</f>
        <v>0</v>
      </c>
      <c r="K775" s="262"/>
      <c r="L775" s="183"/>
      <c r="M775" s="135" t="n">
        <f aca="false">SUM(K775:L775)</f>
        <v>0</v>
      </c>
      <c r="N775" s="262"/>
      <c r="O775" s="183"/>
      <c r="P775" s="135" t="n">
        <f aca="false">SUM(N775:O775)</f>
        <v>0</v>
      </c>
      <c r="Q775" s="110" t="str">
        <f aca="false">IF(P710=P775,"〇","×")</f>
        <v>〇</v>
      </c>
      <c r="R775" s="110" t="str">
        <f aca="false">IFERROR(INDEX(報告入力!$C$7:$C$696,MATCH($S$717&amp;"|"&amp;$A775,報告入力!$CG$7:$CG$696,0)),"")</f>
        <v>報告なし</v>
      </c>
    </row>
    <row r="776" s="110" customFormat="true" ht="20.1" hidden="false" customHeight="true" outlineLevel="0" collapsed="false">
      <c r="A776" s="192" t="s">
        <v>204</v>
      </c>
      <c r="B776" s="178" t="n">
        <f aca="false">SUMIFS(報告入力!$AU$7:$AU$696,報告入力!$A$7:$A$696,$S$717,報告入力!$B$7:$B$696,$A776)</f>
        <v>27450</v>
      </c>
      <c r="C776" s="179" t="n">
        <f aca="false">SUMIFS(報告入力!$AV$7:$AV$696,報告入力!$A$7:$A$696,$S$717,報告入力!$B$7:$B$696,$A776)</f>
        <v>2250</v>
      </c>
      <c r="D776" s="178" t="n">
        <f aca="false">SUMIFS(報告入力!$AW$7:$AW$696,報告入力!$A$7:$A$696,$S$717,報告入力!$B$7:$B$696,$A776)</f>
        <v>27450</v>
      </c>
      <c r="E776" s="415" t="n">
        <f aca="false">SUMIFS(報告入力!$AX$7:$AX$696,報告入力!$A$7:$A$696,$S$717,報告入力!$B$7:$B$696,$A776)</f>
        <v>2250</v>
      </c>
      <c r="F776" s="312"/>
      <c r="G776" s="181" t="n">
        <f aca="false">SUM(B776:F776)</f>
        <v>59400</v>
      </c>
      <c r="H776" s="182" t="n">
        <f aca="false">SUMIFS(報告入力!$AZ$7:$AZ$696,報告入力!$A$7:$A$696,$S$717,報告入力!$B$7:$B$696,$A776)</f>
        <v>33006</v>
      </c>
      <c r="I776" s="183" t="n">
        <f aca="false">SUMIFS(報告入力!$BA$7:$BA$696,報告入力!$A$7:$A$696,$S$717,報告入力!$B$7:$B$696,$A776)</f>
        <v>33066</v>
      </c>
      <c r="J776" s="135" t="n">
        <f aca="false">SUM(H776:I776)</f>
        <v>66072</v>
      </c>
      <c r="K776" s="262" t="n">
        <f aca="false">SUMIFS(報告入力!$BB$7:$BB$696,報告入力!$A$7:$A$696,$S$717,報告入力!$B$7:$B$696,$A776)</f>
        <v>2370</v>
      </c>
      <c r="L776" s="183" t="n">
        <f aca="false">SUMIFS(報告入力!$BC$7:$BC$696,報告入力!$A$7:$A$696,$S$717,報告入力!$B$7:$B$696,$A776)</f>
        <v>2370</v>
      </c>
      <c r="M776" s="135" t="n">
        <f aca="false">SUM(K776:L776)</f>
        <v>4740</v>
      </c>
      <c r="N776" s="262" t="n">
        <f aca="false">SUMIFS(報告入力!$BD$7:$BD$696,報告入力!$A$7:$A$696,$S$717,報告入力!$B$7:$B$696,$A776)</f>
        <v>1</v>
      </c>
      <c r="O776" s="183" t="n">
        <f aca="false">SUMIFS(報告入力!$BE$7:$BE$696,報告入力!$A$7:$A$696,$S$717,報告入力!$B$7:$B$696,$A776)</f>
        <v>1</v>
      </c>
      <c r="P776" s="135" t="n">
        <f aca="false">SUM(N776:O776)</f>
        <v>2</v>
      </c>
      <c r="Q776" s="110" t="str">
        <f aca="false">IF(P711=P776,"〇","×")</f>
        <v>〇</v>
      </c>
      <c r="R776" s="110" t="str">
        <f aca="false">IFERROR(INDEX(報告入力!$C$7:$C$696,MATCH($S$717&amp;"|"&amp;$A776,報告入力!$CG$7:$CG$696,0)),"")</f>
        <v>未受領</v>
      </c>
    </row>
    <row r="777" s="110" customFormat="true" ht="20.1" hidden="false" customHeight="true" outlineLevel="0" collapsed="false">
      <c r="A777" s="192" t="s">
        <v>205</v>
      </c>
      <c r="B777" s="416"/>
      <c r="C777" s="417"/>
      <c r="D777" s="416"/>
      <c r="E777" s="418"/>
      <c r="F777" s="267"/>
      <c r="G777" s="419" t="n">
        <f aca="false">SUM(B777:F777)</f>
        <v>0</v>
      </c>
      <c r="H777" s="332"/>
      <c r="I777" s="333"/>
      <c r="J777" s="284" t="n">
        <f aca="false">SUM(H777:I777)</f>
        <v>0</v>
      </c>
      <c r="K777" s="334"/>
      <c r="L777" s="333"/>
      <c r="M777" s="284" t="n">
        <f aca="false">SUM(K777:L777)</f>
        <v>0</v>
      </c>
      <c r="N777" s="334"/>
      <c r="O777" s="333"/>
      <c r="P777" s="284" t="n">
        <f aca="false">SUM(N777:O777)</f>
        <v>0</v>
      </c>
      <c r="Q777" s="110" t="str">
        <f aca="false">IF(P712=P777,"〇","×")</f>
        <v>〇</v>
      </c>
      <c r="R777" s="110" t="str">
        <f aca="false">IFERROR(INDEX(報告入力!$C$7:$C$696,MATCH($S$717&amp;"|"&amp;$A777,報告入力!$CG$7:$CG$696,0)),"")</f>
        <v>報告なし</v>
      </c>
    </row>
    <row r="778" s="110" customFormat="true" ht="20.1" hidden="false" customHeight="true" outlineLevel="0" collapsed="false">
      <c r="A778" s="171" t="s">
        <v>383</v>
      </c>
      <c r="B778" s="172" t="n">
        <f aca="false">SUM(B774:B777)</f>
        <v>56730</v>
      </c>
      <c r="C778" s="176" t="n">
        <f aca="false">SUM(C774:C777)</f>
        <v>4650</v>
      </c>
      <c r="D778" s="172" t="n">
        <f aca="false">SUM(D774:D777)</f>
        <v>56730</v>
      </c>
      <c r="E778" s="174" t="n">
        <f aca="false">SUM(E774:E777)</f>
        <v>4650</v>
      </c>
      <c r="F778" s="175" t="n">
        <f aca="false">SUM(F774:F777)</f>
        <v>0</v>
      </c>
      <c r="G778" s="176" t="n">
        <f aca="false">SUM(B778:F778)</f>
        <v>122760</v>
      </c>
      <c r="H778" s="276" t="n">
        <f aca="false">SUM(H774:H777)</f>
        <v>50609</v>
      </c>
      <c r="I778" s="174" t="n">
        <f aca="false">SUM(I774:I777)</f>
        <v>50701</v>
      </c>
      <c r="J778" s="175" t="n">
        <f aca="false">SUM(H778:I778)</f>
        <v>101310</v>
      </c>
      <c r="K778" s="172" t="n">
        <f aca="false">SUM(K774:K777)</f>
        <v>4898</v>
      </c>
      <c r="L778" s="276" t="n">
        <f aca="false">SUM(L774:L777)</f>
        <v>4898</v>
      </c>
      <c r="M778" s="175" t="n">
        <f aca="false">SUM(K778:L778)</f>
        <v>9796</v>
      </c>
      <c r="N778" s="172" t="n">
        <f aca="false">SUM(N774:N777)</f>
        <v>2</v>
      </c>
      <c r="O778" s="276" t="n">
        <f aca="false">SUM(O774:O777)</f>
        <v>2</v>
      </c>
      <c r="P778" s="175" t="n">
        <f aca="false">SUM(N778:O778)</f>
        <v>4</v>
      </c>
      <c r="Q778" s="110" t="str">
        <f aca="false">IF(P713=P778,"〇","×")</f>
        <v>〇</v>
      </c>
    </row>
    <row r="779" s="110" customFormat="true" ht="20.1" hidden="false" customHeight="true" outlineLevel="0" collapsed="false">
      <c r="A779" s="277" t="s">
        <v>206</v>
      </c>
      <c r="B779" s="278"/>
      <c r="C779" s="279"/>
      <c r="D779" s="280"/>
      <c r="E779" s="281"/>
      <c r="F779" s="267"/>
      <c r="G779" s="268"/>
      <c r="H779" s="332" t="n">
        <f aca="false">SUMIFS(報告入力!$AZ$7:$AZ$696,報告入力!$A$7:$A$696,$S$717,報告入力!$B$7:$B$696,$A779)</f>
        <v>1487293</v>
      </c>
      <c r="I779" s="314"/>
      <c r="J779" s="284" t="n">
        <f aca="false">SUM(H779:I779)</f>
        <v>1487293</v>
      </c>
      <c r="K779" s="332" t="n">
        <f aca="false">SUMIFS(報告入力!$BB$7:$BB$696,報告入力!$A$7:$A$696,$S$717,報告入力!$B$7:$B$696,$A779)</f>
        <v>75931</v>
      </c>
      <c r="L779" s="314"/>
      <c r="M779" s="284" t="n">
        <f aca="false">SUM(K779:L779)</f>
        <v>75931</v>
      </c>
      <c r="N779" s="332" t="n">
        <f aca="false">SUMIFS(報告入力!$BD$7:$BD$696,報告入力!$A$7:$A$696,$S$717,報告入力!$B$7:$B$696,$A779)</f>
        <v>1</v>
      </c>
      <c r="O779" s="314"/>
      <c r="P779" s="284" t="n">
        <f aca="false">SUM(N779:O779)</f>
        <v>1</v>
      </c>
      <c r="Q779" s="110" t="str">
        <f aca="false">IF(P714=P779,"〇","×")</f>
        <v>〇</v>
      </c>
      <c r="R779" s="110" t="str">
        <f aca="false">IFERROR(INDEX(報告入力!$C$7:$C$696,MATCH($S$717&amp;"|"&amp;$A779,報告入力!$CG$7:$CG$696,0)),"")</f>
        <v>未受領</v>
      </c>
    </row>
    <row r="780" s="110" customFormat="true" ht="30" hidden="false" customHeight="true" outlineLevel="0" collapsed="false">
      <c r="A780" s="285" t="s">
        <v>385</v>
      </c>
      <c r="B780" s="286" t="n">
        <f aca="false">SUM(+B737+B768+B773+B778+B779)</f>
        <v>481803224</v>
      </c>
      <c r="C780" s="287" t="n">
        <f aca="false">SUM(+C737+C768+C773+C778+C779)</f>
        <v>39488093</v>
      </c>
      <c r="D780" s="286" t="n">
        <f aca="false">SUM(+D737+D768+D773+D778+D779)</f>
        <v>709735266</v>
      </c>
      <c r="E780" s="288" t="n">
        <f aca="false">SUM(+E737+E768+E773+E778+E779)</f>
        <v>39467325</v>
      </c>
      <c r="F780" s="287" t="n">
        <f aca="false">SUM(+F737+F768+F773+F778+F779)</f>
        <v>516130</v>
      </c>
      <c r="G780" s="289" t="n">
        <f aca="false">SUM(B780:F780)</f>
        <v>1271010038</v>
      </c>
      <c r="H780" s="290" t="n">
        <f aca="false">SUM(+H737+H768+H773+H778+H779)</f>
        <v>366153450</v>
      </c>
      <c r="I780" s="290" t="n">
        <f aca="false">SUM(+I737+I768+I773+I778+I779)</f>
        <v>369664538</v>
      </c>
      <c r="J780" s="291" t="n">
        <f aca="false">SUM(H780:I780)</f>
        <v>735817988</v>
      </c>
      <c r="K780" s="292" t="n">
        <f aca="false">SUM(+K737+K768+K773+K778+K779)</f>
        <v>31373862</v>
      </c>
      <c r="L780" s="290" t="n">
        <f aca="false">SUM(+L737+L768+L773+L778+L779)</f>
        <v>31265991</v>
      </c>
      <c r="M780" s="291" t="n">
        <f aca="false">SUM(K780:L780)</f>
        <v>62639853</v>
      </c>
      <c r="N780" s="292" t="n">
        <f aca="false">SUM(+N737+N768+N773+N778+N779)</f>
        <v>27</v>
      </c>
      <c r="O780" s="290" t="n">
        <f aca="false">SUM(+O737+O768+O773+O778+O779)</f>
        <v>38</v>
      </c>
      <c r="P780" s="291" t="n">
        <f aca="false">SUM(N780:O780)</f>
        <v>65</v>
      </c>
      <c r="Q780" s="110" t="str">
        <f aca="false">IF(P715=P780,"〇","×")</f>
        <v>〇</v>
      </c>
    </row>
    <row r="781" s="316" customFormat="true" ht="39" hidden="false" customHeight="true" outlineLevel="0" collapsed="false">
      <c r="A781" s="315"/>
      <c r="G781" s="84"/>
      <c r="Q781" s="316" t="str">
        <f aca="false">IF(P716=P781,"〇","×")</f>
        <v>〇</v>
      </c>
    </row>
    <row r="782" s="297" customFormat="true" ht="30" hidden="false" customHeight="true" outlineLevel="0" collapsed="false">
      <c r="A782" s="295"/>
      <c r="B782" s="391" t="n">
        <f aca="false">EOMONTH(B717,1)</f>
        <v>46446</v>
      </c>
      <c r="C782" s="391"/>
      <c r="D782" s="391"/>
      <c r="E782" s="391"/>
      <c r="F782" s="391"/>
      <c r="G782" s="391"/>
      <c r="H782" s="87" t="n">
        <f aca="false">B782</f>
        <v>46446</v>
      </c>
      <c r="I782" s="87"/>
      <c r="J782" s="87"/>
      <c r="K782" s="87" t="n">
        <f aca="false">H782</f>
        <v>46446</v>
      </c>
      <c r="L782" s="87"/>
      <c r="M782" s="87"/>
      <c r="N782" s="87" t="n">
        <f aca="false">K782</f>
        <v>46446</v>
      </c>
      <c r="O782" s="87"/>
      <c r="P782" s="87"/>
      <c r="Q782" s="297" t="str">
        <f aca="false">IF(P717=P782,"〇","×")</f>
        <v>〇</v>
      </c>
      <c r="S782" s="297" t="s">
        <v>400</v>
      </c>
    </row>
    <row r="783" customFormat="false" ht="22.5" hidden="false" customHeight="true" outlineLevel="0" collapsed="false">
      <c r="A783" s="89" t="s">
        <v>369</v>
      </c>
      <c r="B783" s="89" t="s">
        <v>370</v>
      </c>
      <c r="C783" s="89"/>
      <c r="D783" s="89"/>
      <c r="E783" s="89"/>
      <c r="F783" s="89"/>
      <c r="G783" s="89"/>
      <c r="H783" s="91" t="s">
        <v>371</v>
      </c>
      <c r="I783" s="91"/>
      <c r="J783" s="91"/>
      <c r="K783" s="91" t="s">
        <v>372</v>
      </c>
      <c r="L783" s="91"/>
      <c r="M783" s="91"/>
      <c r="N783" s="91" t="str">
        <f aca="false">$N$3</f>
        <v>子ども・子育て支援納付金</v>
      </c>
      <c r="O783" s="91"/>
      <c r="P783" s="91"/>
      <c r="Q783" s="80" t="str">
        <f aca="false">IF(P718=P783,"〇","×")</f>
        <v>〇</v>
      </c>
    </row>
    <row r="784" customFormat="false" ht="22.5" hidden="false" customHeight="true" outlineLevel="0" collapsed="false">
      <c r="A784" s="89"/>
      <c r="B784" s="92" t="s">
        <v>373</v>
      </c>
      <c r="C784" s="92"/>
      <c r="D784" s="92" t="s">
        <v>374</v>
      </c>
      <c r="E784" s="92"/>
      <c r="F784" s="92"/>
      <c r="G784" s="92" t="s">
        <v>375</v>
      </c>
      <c r="H784" s="96" t="s">
        <v>376</v>
      </c>
      <c r="I784" s="94" t="s">
        <v>377</v>
      </c>
      <c r="J784" s="95" t="s">
        <v>375</v>
      </c>
      <c r="K784" s="96" t="s">
        <v>376</v>
      </c>
      <c r="L784" s="94" t="s">
        <v>377</v>
      </c>
      <c r="M784" s="95" t="s">
        <v>375</v>
      </c>
      <c r="N784" s="96" t="s">
        <v>376</v>
      </c>
      <c r="O784" s="94" t="s">
        <v>377</v>
      </c>
      <c r="P784" s="95" t="s">
        <v>375</v>
      </c>
      <c r="Q784" s="80" t="str">
        <f aca="false">IF(P719=P784,"〇","×")</f>
        <v>〇</v>
      </c>
    </row>
    <row r="785" customFormat="false" ht="22.5" hidden="false" customHeight="true" outlineLevel="0" collapsed="false">
      <c r="A785" s="89"/>
      <c r="B785" s="97" t="s">
        <v>378</v>
      </c>
      <c r="C785" s="98" t="s">
        <v>379</v>
      </c>
      <c r="D785" s="99" t="s">
        <v>378</v>
      </c>
      <c r="E785" s="99" t="s">
        <v>380</v>
      </c>
      <c r="F785" s="98" t="s">
        <v>85</v>
      </c>
      <c r="G785" s="92"/>
      <c r="H785" s="96"/>
      <c r="I785" s="94"/>
      <c r="J785" s="95"/>
      <c r="K785" s="96"/>
      <c r="L785" s="94"/>
      <c r="M785" s="95"/>
      <c r="N785" s="96"/>
      <c r="O785" s="94"/>
      <c r="P785" s="95"/>
      <c r="Q785" s="80" t="str">
        <f aca="false">IF(P720=P785,"〇","×")</f>
        <v>〇</v>
      </c>
    </row>
    <row r="786" s="110" customFormat="true" ht="19.5" hidden="false" customHeight="true" outlineLevel="0" collapsed="false">
      <c r="A786" s="100" t="s">
        <v>158</v>
      </c>
      <c r="B786" s="215" t="n">
        <f aca="false">SUMIFS(報告入力!$AU$7:$AU$696,報告入力!$A$7:$A$696,$S$782,報告入力!$B$7:$B$696,$A786)</f>
        <v>232963119</v>
      </c>
      <c r="C786" s="368" t="n">
        <f aca="false">SUMIFS(報告入力!$AV$7:$AV$696,報告入力!$A$7:$A$696,$S$782,報告入力!$B$7:$B$696,$A786)</f>
        <v>19100214</v>
      </c>
      <c r="D786" s="215" t="n">
        <f aca="false">SUMIFS(報告入力!$AW$7:$AW$696,報告入力!$A$7:$A$696,$S$782,報告入力!$B$7:$B$696,$A786)</f>
        <v>339759219</v>
      </c>
      <c r="E786" s="213" t="n">
        <f aca="false">SUMIFS(報告入力!$AX$7:$AX$696,報告入力!$A$7:$A$696,$S$782,報告入力!$B$7:$B$696,$A786)</f>
        <v>18607559</v>
      </c>
      <c r="F786" s="368" t="n">
        <f aca="false">SUMIFS(報告入力!$AY$7:$AY$696,報告入力!$A$7:$A$696,$S$782,報告入力!$B$7:$B$696,$A786)</f>
        <v>245654</v>
      </c>
      <c r="G786" s="181" t="n">
        <f aca="false">SUM(B786:F786)</f>
        <v>610675765</v>
      </c>
      <c r="H786" s="182" t="n">
        <f aca="false">SUMIFS(報告入力!$AZ$7:$AZ$696,報告入力!$A$7:$A$696,$S$782,報告入力!$B$7:$B$696,$A786)</f>
        <v>180228959</v>
      </c>
      <c r="I786" s="183" t="n">
        <f aca="false">SUMIFS(報告入力!$BA$7:$BA$696,報告入力!$A$7:$A$696,$S$782,報告入力!$B$7:$B$696,$A786)</f>
        <v>179795878</v>
      </c>
      <c r="J786" s="135" t="n">
        <f aca="false">SUM(H786:I786)</f>
        <v>360024837</v>
      </c>
      <c r="K786" s="182" t="n">
        <f aca="false">SUMIFS(報告入力!$BB$7:$BB$696,報告入力!$A$7:$A$696,$S$782,報告入力!$B$7:$B$696,$A786)</f>
        <v>15863531</v>
      </c>
      <c r="L786" s="183" t="n">
        <f aca="false">SUMIFS(報告入力!$BC$7:$BC$696,報告入力!$A$7:$A$696,$S$782,報告入力!$B$7:$B$696,$A786)</f>
        <v>15423045</v>
      </c>
      <c r="M786" s="135" t="n">
        <f aca="false">SUM(K786:L786)</f>
        <v>31286576</v>
      </c>
      <c r="N786" s="182" t="n">
        <f aca="false">SUMIFS(報告入力!$BD$7:$BD$696,報告入力!$A$7:$A$696,$S$782,報告入力!$B$7:$B$696,$A786)</f>
        <v>1</v>
      </c>
      <c r="O786" s="183" t="n">
        <f aca="false">SUMIFS(報告入力!$BE$7:$BE$696,報告入力!$A$7:$A$696,$S$782,報告入力!$B$7:$B$696,$A786)</f>
        <v>1</v>
      </c>
      <c r="P786" s="135" t="n">
        <f aca="false">SUM(N786:O786)</f>
        <v>2</v>
      </c>
      <c r="Q786" s="110" t="str">
        <f aca="false">IF(P721=P786,"〇","×")</f>
        <v>〇</v>
      </c>
      <c r="R786" s="110" t="str">
        <f aca="false">IFERROR(INDEX(報告入力!$C$7:$C$696,MATCH($S$782&amp;"|"&amp;$A786,報告入力!$CG$7:$CG$696,0)),"")</f>
        <v>未受領</v>
      </c>
    </row>
    <row r="787" s="110" customFormat="true" ht="20.1" hidden="false" customHeight="true" outlineLevel="0" collapsed="false">
      <c r="A787" s="100" t="s">
        <v>161</v>
      </c>
      <c r="B787" s="215" t="n">
        <f aca="false">SUMIFS(報告入力!$AU$7:$AU$696,報告入力!$A$7:$A$696,$S$782,報告入力!$B$7:$B$696,$A787)</f>
        <v>16581906</v>
      </c>
      <c r="C787" s="368" t="n">
        <f aca="false">SUMIFS(報告入力!$AV$7:$AV$696,報告入力!$A$7:$A$696,$S$782,報告入力!$B$7:$B$696,$A787)</f>
        <v>1359174</v>
      </c>
      <c r="D787" s="215" t="n">
        <f aca="false">SUMIFS(報告入力!$AW$7:$AW$696,報告入力!$A$7:$A$696,$S$782,報告入力!$B$7:$B$696,$A787)</f>
        <v>24091980</v>
      </c>
      <c r="E787" s="213" t="n">
        <f aca="false">SUMIFS(報告入力!$AX$7:$AX$696,報告入力!$A$7:$A$696,$S$782,報告入力!$B$7:$B$696,$A787)</f>
        <v>1353375</v>
      </c>
      <c r="F787" s="368" t="n">
        <f aca="false">SUMIFS(報告入力!$AY$7:$AY$696,報告入力!$A$7:$A$696,$S$782,報告入力!$B$7:$B$696,$A787)</f>
        <v>17146</v>
      </c>
      <c r="G787" s="181" t="n">
        <f aca="false">SUM(B787:F787)</f>
        <v>43403581</v>
      </c>
      <c r="H787" s="182" t="n">
        <f aca="false">SUMIFS(報告入力!$AZ$7:$AZ$696,報告入力!$A$7:$A$696,$S$782,報告入力!$B$7:$B$696,$A787)</f>
        <v>10386132</v>
      </c>
      <c r="I787" s="183" t="n">
        <f aca="false">SUMIFS(報告入力!$BA$7:$BA$696,報告入力!$A$7:$A$696,$S$782,報告入力!$B$7:$B$696,$A787)</f>
        <v>10528288</v>
      </c>
      <c r="J787" s="135" t="n">
        <f aca="false">SUM(H787:I787)</f>
        <v>20914420</v>
      </c>
      <c r="K787" s="182" t="n">
        <f aca="false">SUMIFS(報告入力!$BB$7:$BB$696,報告入力!$A$7:$A$696,$S$782,報告入力!$B$7:$B$696,$A787)</f>
        <v>1033192</v>
      </c>
      <c r="L787" s="183" t="n">
        <f aca="false">SUMIFS(報告入力!$BC$7:$BC$696,報告入力!$A$7:$A$696,$S$782,報告入力!$B$7:$B$696,$A787)</f>
        <v>1025529</v>
      </c>
      <c r="M787" s="135" t="n">
        <f aca="false">SUM(K787:L787)</f>
        <v>2058721</v>
      </c>
      <c r="N787" s="182" t="n">
        <f aca="false">SUMIFS(報告入力!$BD$7:$BD$696,報告入力!$A$7:$A$696,$S$782,報告入力!$B$7:$B$696,$A787)</f>
        <v>1</v>
      </c>
      <c r="O787" s="183" t="n">
        <f aca="false">SUMIFS(報告入力!$BE$7:$BE$696,報告入力!$A$7:$A$696,$S$782,報告入力!$B$7:$B$696,$A787)</f>
        <v>1</v>
      </c>
      <c r="P787" s="135" t="n">
        <f aca="false">SUM(N787:O787)</f>
        <v>2</v>
      </c>
      <c r="Q787" s="110" t="str">
        <f aca="false">IF(P722=P787,"〇","×")</f>
        <v>〇</v>
      </c>
      <c r="R787" s="110" t="str">
        <f aca="false">IFERROR(INDEX(報告入力!$C$7:$C$696,MATCH($S$782&amp;"|"&amp;$A787,報告入力!$CG$7:$CG$696,0)),"")</f>
        <v>未受領</v>
      </c>
    </row>
    <row r="788" s="110" customFormat="true" ht="20.1" hidden="false" customHeight="true" outlineLevel="0" collapsed="false">
      <c r="A788" s="100" t="s">
        <v>162</v>
      </c>
      <c r="B788" s="215" t="n">
        <f aca="false">SUMIFS(報告入力!$AU$7:$AU$696,報告入力!$A$7:$A$696,$S$782,報告入力!$B$7:$B$696,$A788)</f>
        <v>53727793</v>
      </c>
      <c r="C788" s="368" t="n">
        <f aca="false">SUMIFS(報告入力!$AV$7:$AV$696,報告入力!$A$7:$A$696,$S$782,報告入力!$B$7:$B$696,$A788)</f>
        <v>4403917</v>
      </c>
      <c r="D788" s="215" t="n">
        <f aca="false">SUMIFS(報告入力!$AW$7:$AW$696,報告入力!$A$7:$A$696,$S$782,報告入力!$B$7:$B$696,$A788)</f>
        <v>78203593</v>
      </c>
      <c r="E788" s="213" t="n">
        <f aca="false">SUMIFS(報告入力!$AX$7:$AX$696,報告入力!$A$7:$A$696,$S$782,報告入力!$B$7:$B$696,$A788)</f>
        <v>4396568</v>
      </c>
      <c r="F788" s="368" t="n">
        <f aca="false">SUMIFS(報告入力!$AY$7:$AY$696,報告入力!$A$7:$A$696,$S$782,報告入力!$B$7:$B$696,$A788)</f>
        <v>55349</v>
      </c>
      <c r="G788" s="181" t="n">
        <f aca="false">SUM(B788:F788)</f>
        <v>140787220</v>
      </c>
      <c r="H788" s="182" t="n">
        <f aca="false">SUMIFS(報告入力!$AZ$7:$AZ$696,報告入力!$A$7:$A$696,$S$782,報告入力!$B$7:$B$696,$A788)</f>
        <v>33001840</v>
      </c>
      <c r="I788" s="183" t="n">
        <f aca="false">SUMIFS(報告入力!$BA$7:$BA$696,報告入力!$A$7:$A$696,$S$782,報告入力!$B$7:$B$696,$A788)</f>
        <v>33534812</v>
      </c>
      <c r="J788" s="135" t="n">
        <f aca="false">SUM(H788:I788)</f>
        <v>66536652</v>
      </c>
      <c r="K788" s="182" t="n">
        <f aca="false">SUMIFS(報告入力!$BB$7:$BB$696,報告入力!$A$7:$A$696,$S$782,報告入力!$B$7:$B$696,$A788)</f>
        <v>2001660</v>
      </c>
      <c r="L788" s="183" t="n">
        <f aca="false">SUMIFS(報告入力!$BC$7:$BC$696,報告入力!$A$7:$A$696,$S$782,報告入力!$B$7:$B$696,$A788)</f>
        <v>1994631</v>
      </c>
      <c r="M788" s="135" t="n">
        <f aca="false">SUM(K788:L788)</f>
        <v>3996291</v>
      </c>
      <c r="N788" s="182" t="n">
        <f aca="false">SUMIFS(報告入力!$BD$7:$BD$696,報告入力!$A$7:$A$696,$S$782,報告入力!$B$7:$B$696,$A788)</f>
        <v>1</v>
      </c>
      <c r="O788" s="183" t="n">
        <f aca="false">SUMIFS(報告入力!$BE$7:$BE$696,報告入力!$A$7:$A$696,$S$782,報告入力!$B$7:$B$696,$A788)</f>
        <v>1</v>
      </c>
      <c r="P788" s="135" t="n">
        <f aca="false">SUM(N788:O788)</f>
        <v>2</v>
      </c>
      <c r="Q788" s="110" t="str">
        <f aca="false">IF(P723=P788,"〇","×")</f>
        <v>〇</v>
      </c>
      <c r="R788" s="110" t="str">
        <f aca="false">IFERROR(INDEX(報告入力!$C$7:$C$696,MATCH($S$782&amp;"|"&amp;$A788,報告入力!$CG$7:$CG$696,0)),"")</f>
        <v>未受領</v>
      </c>
    </row>
    <row r="789" s="110" customFormat="true" ht="20.1" hidden="false" customHeight="true" outlineLevel="0" collapsed="false">
      <c r="A789" s="100" t="s">
        <v>163</v>
      </c>
      <c r="B789" s="215" t="n">
        <f aca="false">SUMIFS(報告入力!$AU$7:$AU$696,報告入力!$A$7:$A$696,$S$782,報告入力!$B$7:$B$696,$A789)</f>
        <v>1740330</v>
      </c>
      <c r="C789" s="368" t="n">
        <f aca="false">SUMIFS(報告入力!$AV$7:$AV$696,報告入力!$A$7:$A$696,$S$782,報告入力!$B$7:$B$696,$A789)</f>
        <v>142650</v>
      </c>
      <c r="D789" s="215" t="n">
        <f aca="false">SUMIFS(報告入力!$AW$7:$AW$696,報告入力!$A$7:$A$696,$S$782,報告入力!$B$7:$B$696,$A789)</f>
        <v>2539620</v>
      </c>
      <c r="E789" s="213" t="n">
        <f aca="false">SUMIFS(報告入力!$AX$7:$AX$696,報告入力!$A$7:$A$696,$S$782,報告入力!$B$7:$B$696,$A789)</f>
        <v>142650</v>
      </c>
      <c r="F789" s="368" t="n">
        <f aca="false">SUMIFS(報告入力!$AY$7:$AY$696,報告入力!$A$7:$A$696,$S$782,報告入力!$B$7:$B$696,$A789)</f>
        <v>1808</v>
      </c>
      <c r="G789" s="181" t="n">
        <f aca="false">SUM(B789:F789)</f>
        <v>4567058</v>
      </c>
      <c r="H789" s="182" t="n">
        <f aca="false">SUMIFS(報告入力!$AZ$7:$AZ$696,報告入力!$A$7:$A$696,$S$782,報告入力!$B$7:$B$696,$A789)</f>
        <v>1055074</v>
      </c>
      <c r="I789" s="183" t="n">
        <f aca="false">SUMIFS(報告入力!$BA$7:$BA$696,報告入力!$A$7:$A$696,$S$782,報告入力!$B$7:$B$696,$A789)</f>
        <v>1073929</v>
      </c>
      <c r="J789" s="135" t="n">
        <f aca="false">SUM(H789:I789)</f>
        <v>2129003</v>
      </c>
      <c r="K789" s="182" t="n">
        <f aca="false">SUMIFS(報告入力!$BB$7:$BB$696,報告入力!$A$7:$A$696,$S$782,報告入力!$B$7:$B$696,$A789)</f>
        <v>99935</v>
      </c>
      <c r="L789" s="183" t="n">
        <f aca="false">SUMIFS(報告入力!$BC$7:$BC$696,報告入力!$A$7:$A$696,$S$782,報告入力!$B$7:$B$696,$A789)</f>
        <v>99935</v>
      </c>
      <c r="M789" s="135" t="n">
        <f aca="false">SUM(K789:L789)</f>
        <v>199870</v>
      </c>
      <c r="N789" s="182" t="n">
        <f aca="false">SUMIFS(報告入力!$BD$7:$BD$696,報告入力!$A$7:$A$696,$S$782,報告入力!$B$7:$B$696,$A789)</f>
        <v>1</v>
      </c>
      <c r="O789" s="183" t="n">
        <f aca="false">SUMIFS(報告入力!$BE$7:$BE$696,報告入力!$A$7:$A$696,$S$782,報告入力!$B$7:$B$696,$A789)</f>
        <v>1</v>
      </c>
      <c r="P789" s="135" t="n">
        <f aca="false">SUM(N789:O789)</f>
        <v>2</v>
      </c>
      <c r="Q789" s="110" t="str">
        <f aca="false">IF(P724=P789,"〇","×")</f>
        <v>〇</v>
      </c>
      <c r="R789" s="110" t="str">
        <f aca="false">IFERROR(INDEX(報告入力!$C$7:$C$696,MATCH($S$782&amp;"|"&amp;$A789,報告入力!$CG$7:$CG$696,0)),"")</f>
        <v>未受領</v>
      </c>
    </row>
    <row r="790" s="110" customFormat="true" ht="19.5" hidden="false" customHeight="true" outlineLevel="0" collapsed="false">
      <c r="A790" s="100" t="s">
        <v>164</v>
      </c>
      <c r="B790" s="215" t="n">
        <f aca="false">SUMIFS(報告入力!$AU$7:$AU$696,報告入力!$A$7:$A$696,$S$782,報告入力!$B$7:$B$696,$A790)</f>
        <v>24150144</v>
      </c>
      <c r="C790" s="368" t="n">
        <f aca="false">SUMIFS(報告入力!$AV$7:$AV$696,報告入力!$A$7:$A$696,$S$782,報告入力!$B$7:$B$696,$A790)</f>
        <v>1979520</v>
      </c>
      <c r="D790" s="215" t="n">
        <f aca="false">SUMIFS(報告入力!$AW$7:$AW$696,報告入力!$A$7:$A$696,$S$782,報告入力!$B$7:$B$696,$A790)</f>
        <v>35247213</v>
      </c>
      <c r="E790" s="213" t="n">
        <f aca="false">SUMIFS(報告入力!$AX$7:$AX$696,報告入力!$A$7:$A$696,$S$782,報告入力!$B$7:$B$696,$A790)</f>
        <v>1981470</v>
      </c>
      <c r="F790" s="368" t="n">
        <f aca="false">SUMIFS(報告入力!$AY$7:$AY$696,報告入力!$A$7:$A$696,$S$782,報告入力!$B$7:$B$696,$A790)</f>
        <v>25050</v>
      </c>
      <c r="G790" s="181" t="n">
        <f aca="false">SUM(B790:F790)</f>
        <v>63383397</v>
      </c>
      <c r="H790" s="362" t="n">
        <f aca="false">SUMIFS(報告入力!$AZ$7:$AZ$696,報告入力!$A$7:$A$696,$S$782,報告入力!$B$7:$B$696,$A790)</f>
        <v>25548768</v>
      </c>
      <c r="I790" s="182" t="n">
        <f aca="false">SUMIFS(報告入力!$BA$7:$BA$696,報告入力!$A$7:$A$696,$S$782,報告入力!$B$7:$B$696,$A790)</f>
        <v>25995220</v>
      </c>
      <c r="J790" s="424" t="n">
        <f aca="false">SUM(H790:I790)</f>
        <v>51543988</v>
      </c>
      <c r="K790" s="214" t="n">
        <f aca="false">SUMIFS(報告入力!$BB$7:$BB$696,報告入力!$A$7:$A$696,$S$782,報告入力!$B$7:$B$696,$A790)</f>
        <v>2774507</v>
      </c>
      <c r="L790" s="214" t="n">
        <f aca="false">SUMIFS(報告入力!$BC$7:$BC$696,報告入力!$A$7:$A$696,$S$782,報告入力!$B$7:$B$696,$A790)</f>
        <v>2772516</v>
      </c>
      <c r="M790" s="135" t="n">
        <f aca="false">SUM(K790:L790)</f>
        <v>5547023</v>
      </c>
      <c r="N790" s="214" t="n">
        <f aca="false">SUMIFS(報告入力!$BD$7:$BD$696,報告入力!$A$7:$A$696,$S$782,報告入力!$B$7:$B$696,$A790)</f>
        <v>1</v>
      </c>
      <c r="O790" s="214" t="n">
        <f aca="false">SUMIFS(報告入力!$BE$7:$BE$696,報告入力!$A$7:$A$696,$S$782,報告入力!$B$7:$B$696,$A790)</f>
        <v>1</v>
      </c>
      <c r="P790" s="135" t="n">
        <f aca="false">SUM(N790:O790)</f>
        <v>2</v>
      </c>
      <c r="Q790" s="110" t="str">
        <f aca="false">IF(P725=P790,"〇","×")</f>
        <v>〇</v>
      </c>
      <c r="R790" s="110" t="str">
        <f aca="false">IFERROR(INDEX(報告入力!$C$7:$C$696,MATCH($S$782&amp;"|"&amp;$A790,報告入力!$CG$7:$CG$696,0)),"")</f>
        <v>未受領</v>
      </c>
    </row>
    <row r="791" s="110" customFormat="true" ht="20.1" hidden="false" customHeight="true" outlineLevel="0" collapsed="false">
      <c r="A791" s="100" t="s">
        <v>165</v>
      </c>
      <c r="B791" s="215" t="n">
        <f aca="false">SUMIFS(報告入力!$AU$7:$AU$696,報告入力!$A$7:$A$696,$S$782,報告入力!$B$7:$B$696,$A791)</f>
        <v>253455</v>
      </c>
      <c r="C791" s="368" t="n">
        <f aca="false">SUMIFS(報告入力!$AV$7:$AV$696,報告入力!$A$7:$A$696,$S$782,報告入力!$B$7:$B$696,$A791)</f>
        <v>20775</v>
      </c>
      <c r="D791" s="215" t="n">
        <f aca="false">SUMIFS(報告入力!$AW$7:$AW$696,報告入力!$A$7:$A$696,$S$782,報告入力!$B$7:$B$696,$A791)</f>
        <v>368410</v>
      </c>
      <c r="E791" s="213" t="n">
        <f aca="false">SUMIFS(報告入力!$AX$7:$AX$696,報告入力!$A$7:$A$696,$S$782,報告入力!$B$7:$B$696,$A791)</f>
        <v>20775</v>
      </c>
      <c r="F791" s="368" t="n">
        <f aca="false">SUMIFS(報告入力!$AY$7:$AY$696,報告入力!$A$7:$A$696,$S$782,報告入力!$B$7:$B$696,$A791)</f>
        <v>260</v>
      </c>
      <c r="G791" s="181" t="n">
        <f aca="false">SUM(B791:F791)</f>
        <v>663675</v>
      </c>
      <c r="H791" s="182" t="n">
        <f aca="false">SUMIFS(報告入力!$AZ$7:$AZ$696,報告入力!$A$7:$A$696,$S$782,報告入力!$B$7:$B$696,$A791)</f>
        <v>173828</v>
      </c>
      <c r="I791" s="183" t="n">
        <f aca="false">SUMIFS(報告入力!$BA$7:$BA$696,報告入力!$A$7:$A$696,$S$782,報告入力!$B$7:$B$696,$A791)</f>
        <v>176896</v>
      </c>
      <c r="J791" s="135" t="n">
        <f aca="false">SUM(H791:I791)</f>
        <v>350724</v>
      </c>
      <c r="K791" s="182" t="n">
        <f aca="false">SUMIFS(報告入力!$BB$7:$BB$696,報告入力!$A$7:$A$696,$S$782,報告入力!$B$7:$B$696,$A791)</f>
        <v>15326</v>
      </c>
      <c r="L791" s="183" t="n">
        <f aca="false">SUMIFS(報告入力!$BC$7:$BC$696,報告入力!$A$7:$A$696,$S$782,報告入力!$B$7:$B$696,$A791)</f>
        <v>15326</v>
      </c>
      <c r="M791" s="135" t="n">
        <f aca="false">SUM(K791:L791)</f>
        <v>30652</v>
      </c>
      <c r="N791" s="182" t="n">
        <f aca="false">SUMIFS(報告入力!$BD$7:$BD$696,報告入力!$A$7:$A$696,$S$782,報告入力!$B$7:$B$696,$A791)</f>
        <v>1</v>
      </c>
      <c r="O791" s="183" t="n">
        <f aca="false">SUMIFS(報告入力!$BE$7:$BE$696,報告入力!$A$7:$A$696,$S$782,報告入力!$B$7:$B$696,$A791)</f>
        <v>1</v>
      </c>
      <c r="P791" s="135" t="n">
        <f aca="false">SUM(N791:O791)</f>
        <v>2</v>
      </c>
      <c r="Q791" s="110" t="str">
        <f aca="false">IF(P726=P791,"〇","×")</f>
        <v>〇</v>
      </c>
      <c r="R791" s="110" t="str">
        <f aca="false">IFERROR(INDEX(報告入力!$C$7:$C$696,MATCH($S$782&amp;"|"&amp;$A791,報告入力!$CG$7:$CG$696,0)),"")</f>
        <v>未受領</v>
      </c>
    </row>
    <row r="792" s="110" customFormat="true" ht="20.1" hidden="false" customHeight="true" outlineLevel="0" collapsed="false">
      <c r="A792" s="100" t="s">
        <v>166</v>
      </c>
      <c r="B792" s="215" t="n">
        <f aca="false">SUMIFS(報告入力!$AU$7:$AU$696,報告入力!$A$7:$A$696,$S$782,報告入力!$B$7:$B$696,$A792)</f>
        <v>561810</v>
      </c>
      <c r="C792" s="368" t="n">
        <f aca="false">SUMIFS(報告入力!$AV$7:$AV$696,報告入力!$A$7:$A$696,$S$782,報告入力!$B$7:$B$696,$A792)</f>
        <v>46050</v>
      </c>
      <c r="D792" s="215" t="n">
        <f aca="false">SUMIFS(報告入力!$AW$7:$AW$696,報告入力!$A$7:$A$696,$S$782,報告入力!$B$7:$B$696,$A792)</f>
        <v>816620</v>
      </c>
      <c r="E792" s="213" t="n">
        <f aca="false">SUMIFS(報告入力!$AX$7:$AX$696,報告入力!$A$7:$A$696,$S$782,報告入力!$B$7:$B$696,$A792)</f>
        <v>46050</v>
      </c>
      <c r="F792" s="368" t="n">
        <f aca="false">SUMIFS(報告入力!$AY$7:$AY$696,報告入力!$A$7:$A$696,$S$782,報告入力!$B$7:$B$696,$A792)</f>
        <v>576</v>
      </c>
      <c r="G792" s="181" t="n">
        <f aca="false">SUM(B792:F792)</f>
        <v>1471106</v>
      </c>
      <c r="H792" s="182" t="n">
        <f aca="false">SUMIFS(報告入力!$AZ$7:$AZ$696,報告入力!$A$7:$A$696,$S$782,報告入力!$B$7:$B$696,$A792)</f>
        <v>343259</v>
      </c>
      <c r="I792" s="183" t="n">
        <f aca="false">SUMIFS(報告入力!$BA$7:$BA$696,報告入力!$A$7:$A$696,$S$782,報告入力!$B$7:$B$696,$A792)</f>
        <v>349315</v>
      </c>
      <c r="J792" s="135" t="n">
        <f aca="false">SUM(H792:I792)</f>
        <v>692574</v>
      </c>
      <c r="K792" s="182" t="n">
        <f aca="false">SUMIFS(報告入力!$BB$7:$BB$696,報告入力!$A$7:$A$696,$S$782,報告入力!$B$7:$B$696,$A792)</f>
        <v>32232</v>
      </c>
      <c r="L792" s="183" t="n">
        <f aca="false">SUMIFS(報告入力!$BC$7:$BC$696,報告入力!$A$7:$A$696,$S$782,報告入力!$B$7:$B$696,$A792)</f>
        <v>32232</v>
      </c>
      <c r="M792" s="135" t="n">
        <f aca="false">SUM(K792:L792)</f>
        <v>64464</v>
      </c>
      <c r="N792" s="182" t="n">
        <f aca="false">SUMIFS(報告入力!$BD$7:$BD$696,報告入力!$A$7:$A$696,$S$782,報告入力!$B$7:$B$696,$A792)</f>
        <v>1</v>
      </c>
      <c r="O792" s="183" t="n">
        <f aca="false">SUMIFS(報告入力!$BE$7:$BE$696,報告入力!$A$7:$A$696,$S$782,報告入力!$B$7:$B$696,$A792)</f>
        <v>1</v>
      </c>
      <c r="P792" s="135" t="n">
        <f aca="false">SUM(N792:O792)</f>
        <v>2</v>
      </c>
      <c r="Q792" s="110" t="str">
        <f aca="false">IF(P727=P792,"〇","×")</f>
        <v>〇</v>
      </c>
      <c r="R792" s="110" t="str">
        <f aca="false">IFERROR(INDEX(報告入力!$C$7:$C$696,MATCH($S$782&amp;"|"&amp;$A792,報告入力!$CG$7:$CG$696,0)),"")</f>
        <v>未受領</v>
      </c>
    </row>
    <row r="793" s="110" customFormat="true" ht="20.1" hidden="false" customHeight="true" outlineLevel="0" collapsed="false">
      <c r="A793" s="100" t="s">
        <v>167</v>
      </c>
      <c r="B793" s="178" t="n">
        <f aca="false">SUMIFS(報告入力!$AU$7:$AU$696,報告入力!$A$7:$A$696,$S$782,報告入力!$B$7:$B$696,$A793)</f>
        <v>1344135</v>
      </c>
      <c r="C793" s="179" t="n">
        <f aca="false">SUMIFS(報告入力!$AV$7:$AV$696,報告入力!$A$7:$A$696,$S$782,報告入力!$B$7:$B$696,$A793)</f>
        <v>110175</v>
      </c>
      <c r="D793" s="362" t="n">
        <f aca="false">SUMIFS(報告入力!$AW$7:$AW$696,報告入力!$A$7:$A$696,$S$782,報告入力!$B$7:$B$696,$A793)</f>
        <v>1965390</v>
      </c>
      <c r="E793" s="362" t="n">
        <f aca="false">SUMIFS(報告入力!$AX$7:$AX$696,報告入力!$A$7:$A$696,$S$782,報告入力!$B$7:$B$696,$A793)</f>
        <v>110175</v>
      </c>
      <c r="F793" s="212" t="n">
        <f aca="false">SUMIFS(報告入力!$AY$7:$AY$696,報告入力!$A$7:$A$696,$S$782,報告入力!$B$7:$B$696,$A793)</f>
        <v>1405</v>
      </c>
      <c r="G793" s="181" t="n">
        <f aca="false">SUM(B793:F793)</f>
        <v>3531280</v>
      </c>
      <c r="H793" s="182" t="n">
        <f aca="false">SUMIFS(報告入力!$AZ$7:$AZ$696,報告入力!$A$7:$A$696,$S$782,報告入力!$B$7:$B$696,$A793)</f>
        <v>836690</v>
      </c>
      <c r="I793" s="183" t="n">
        <f aca="false">SUMIFS(報告入力!$BA$7:$BA$696,報告入力!$A$7:$A$696,$S$782,報告入力!$B$7:$B$696,$A793)</f>
        <v>851727</v>
      </c>
      <c r="J793" s="135" t="n">
        <f aca="false">SUM(H793:I793)</f>
        <v>1688417</v>
      </c>
      <c r="K793" s="262" t="n">
        <f aca="false">SUMIFS(報告入力!$BB$7:$BB$696,報告入力!$A$7:$A$696,$S$782,報告入力!$B$7:$B$696,$A793)</f>
        <v>108309</v>
      </c>
      <c r="L793" s="183" t="n">
        <f aca="false">SUMIFS(報告入力!$BC$7:$BC$696,報告入力!$A$7:$A$696,$S$782,報告入力!$B$7:$B$696,$A793)</f>
        <v>108309</v>
      </c>
      <c r="M793" s="135" t="n">
        <f aca="false">SUM(K793:L793)</f>
        <v>216618</v>
      </c>
      <c r="N793" s="262" t="n">
        <f aca="false">SUMIFS(報告入力!$BD$7:$BD$696,報告入力!$A$7:$A$696,$S$782,報告入力!$B$7:$B$696,$A793)</f>
        <v>1</v>
      </c>
      <c r="O793" s="183" t="n">
        <f aca="false">SUMIFS(報告入力!$BE$7:$BE$696,報告入力!$A$7:$A$696,$S$782,報告入力!$B$7:$B$696,$A793)</f>
        <v>1</v>
      </c>
      <c r="P793" s="135" t="n">
        <f aca="false">SUM(N793:O793)</f>
        <v>2</v>
      </c>
      <c r="Q793" s="110" t="str">
        <f aca="false">IF(P728=P793,"〇","×")</f>
        <v>〇</v>
      </c>
      <c r="R793" s="110" t="str">
        <f aca="false">IFERROR(INDEX(報告入力!$C$7:$C$696,MATCH($S$782&amp;"|"&amp;$A793,報告入力!$CG$7:$CG$696,0)),"")</f>
        <v>未受領</v>
      </c>
    </row>
    <row r="794" s="110" customFormat="true" ht="20.1" hidden="false" customHeight="true" outlineLevel="0" collapsed="false">
      <c r="A794" s="100" t="s">
        <v>168</v>
      </c>
      <c r="B794" s="215" t="n">
        <f aca="false">SUMIFS(報告入力!$AU$7:$AU$696,報告入力!$A$7:$A$696,$S$782,報告入力!$B$7:$B$696,$A794)</f>
        <v>382470</v>
      </c>
      <c r="C794" s="368" t="n">
        <f aca="false">SUMIFS(報告入力!$AV$7:$AV$696,報告入力!$A$7:$A$696,$S$782,報告入力!$B$7:$B$696,$A794)</f>
        <v>31350</v>
      </c>
      <c r="D794" s="215" t="n">
        <f aca="false">SUMIFS(報告入力!$AW$7:$AW$696,報告入力!$A$7:$A$696,$S$782,報告入力!$B$7:$B$696,$A794)</f>
        <v>555940</v>
      </c>
      <c r="E794" s="213" t="n">
        <f aca="false">SUMIFS(報告入力!$AX$7:$AX$696,報告入力!$A$7:$A$696,$S$782,報告入力!$B$7:$B$696,$A794)</f>
        <v>31350</v>
      </c>
      <c r="F794" s="368" t="n">
        <f aca="false">SUMIFS(報告入力!$AY$7:$AY$696,報告入力!$A$7:$A$696,$S$782,報告入力!$B$7:$B$696,$A794)</f>
        <v>392</v>
      </c>
      <c r="G794" s="181" t="n">
        <f aca="false">SUM(B794:F794)</f>
        <v>1001502</v>
      </c>
      <c r="H794" s="182" t="n">
        <f aca="false">SUMIFS(報告入力!$AZ$7:$AZ$696,報告入力!$A$7:$A$696,$S$782,報告入力!$B$7:$B$696,$A794)</f>
        <v>308930</v>
      </c>
      <c r="I794" s="183" t="n">
        <f aca="false">SUMIFS(報告入力!$BA$7:$BA$696,報告入力!$A$7:$A$696,$S$782,報告入力!$B$7:$B$696,$A794)</f>
        <v>314382</v>
      </c>
      <c r="J794" s="135" t="n">
        <f aca="false">SUM(H794:I794)</f>
        <v>623312</v>
      </c>
      <c r="K794" s="182" t="n">
        <f aca="false">SUMIFS(報告入力!$BB$7:$BB$696,報告入力!$A$7:$A$696,$S$782,報告入力!$B$7:$B$696,$A794)</f>
        <v>32672</v>
      </c>
      <c r="L794" s="183" t="n">
        <f aca="false">SUMIFS(報告入力!$BC$7:$BC$696,報告入力!$A$7:$A$696,$S$782,報告入力!$B$7:$B$696,$A794)</f>
        <v>32674</v>
      </c>
      <c r="M794" s="135" t="n">
        <f aca="false">SUM(K794:L794)</f>
        <v>65346</v>
      </c>
      <c r="N794" s="182" t="n">
        <f aca="false">SUMIFS(報告入力!$BD$7:$BD$696,報告入力!$A$7:$A$696,$S$782,報告入力!$B$7:$B$696,$A794)</f>
        <v>1</v>
      </c>
      <c r="O794" s="183" t="n">
        <f aca="false">SUMIFS(報告入力!$BE$7:$BE$696,報告入力!$A$7:$A$696,$S$782,報告入力!$B$7:$B$696,$A794)</f>
        <v>1</v>
      </c>
      <c r="P794" s="135" t="n">
        <f aca="false">SUM(N794:O794)</f>
        <v>2</v>
      </c>
      <c r="Q794" s="110" t="str">
        <f aca="false">IF(P729=P794,"〇","×")</f>
        <v>〇</v>
      </c>
      <c r="R794" s="110" t="str">
        <f aca="false">IFERROR(INDEX(報告入力!$C$7:$C$696,MATCH($S$782&amp;"|"&amp;$A794,報告入力!$CG$7:$CG$696,0)),"")</f>
        <v>未受領</v>
      </c>
    </row>
    <row r="795" s="110" customFormat="true" ht="20.1" hidden="false" customHeight="true" outlineLevel="0" collapsed="false">
      <c r="A795" s="100" t="s">
        <v>169</v>
      </c>
      <c r="B795" s="215" t="n">
        <f aca="false">SUMIFS(報告入力!$AU$7:$AU$696,報告入力!$A$7:$A$696,$S$782,報告入力!$B$7:$B$696,$A795)</f>
        <v>22497105</v>
      </c>
      <c r="C795" s="368" t="n">
        <f aca="false">SUMIFS(報告入力!$AV$7:$AV$696,報告入力!$A$7:$A$696,$S$782,報告入力!$B$7:$B$696,$A795)</f>
        <v>1844025</v>
      </c>
      <c r="D795" s="215" t="n">
        <f aca="false">SUMIFS(報告入力!$AW$7:$AW$696,報告入力!$A$7:$A$696,$S$782,報告入力!$B$7:$B$696,$A795)</f>
        <v>32830605</v>
      </c>
      <c r="E795" s="213" t="n">
        <f aca="false">SUMIFS(報告入力!$AX$7:$AX$696,報告入力!$A$7:$A$696,$S$782,報告入力!$B$7:$B$696,$A795)</f>
        <v>1844025</v>
      </c>
      <c r="F795" s="368" t="n">
        <f aca="false">SUMIFS(報告入力!$AY$7:$AY$696,報告入力!$A$7:$A$696,$S$782,報告入力!$B$7:$B$696,$A795)</f>
        <v>23375</v>
      </c>
      <c r="G795" s="181" t="n">
        <f aca="false">SUM(B795:F795)</f>
        <v>59039135</v>
      </c>
      <c r="H795" s="182" t="n">
        <f aca="false">SUMIFS(報告入力!$AZ$7:$AZ$696,報告入力!$A$7:$A$696,$S$782,報告入力!$B$7:$B$696,$A795)</f>
        <v>14250081</v>
      </c>
      <c r="I795" s="183" t="n">
        <f aca="false">SUMIFS(報告入力!$BA$7:$BA$696,報告入力!$A$7:$A$696,$S$782,報告入力!$B$7:$B$696,$A795)</f>
        <v>14504654</v>
      </c>
      <c r="J795" s="135" t="n">
        <f aca="false">SUM(H795:I795)</f>
        <v>28754735</v>
      </c>
      <c r="K795" s="182" t="n">
        <f aca="false">SUMIFS(報告入力!$BB$7:$BB$696,報告入力!$A$7:$A$696,$S$782,報告入力!$B$7:$B$696,$A795)</f>
        <v>1332730</v>
      </c>
      <c r="L795" s="183" t="n">
        <f aca="false">SUMIFS(報告入力!$BC$7:$BC$696,報告入力!$A$7:$A$696,$S$782,報告入力!$B$7:$B$696,$A795)</f>
        <v>1332730</v>
      </c>
      <c r="M795" s="135" t="n">
        <f aca="false">SUM(K795:L795)</f>
        <v>2665460</v>
      </c>
      <c r="N795" s="182" t="n">
        <f aca="false">SUMIFS(報告入力!$BD$7:$BD$696,報告入力!$A$7:$A$696,$S$782,報告入力!$B$7:$B$696,$A795)</f>
        <v>1</v>
      </c>
      <c r="O795" s="183" t="n">
        <f aca="false">SUMIFS(報告入力!$BE$7:$BE$696,報告入力!$A$7:$A$696,$S$782,報告入力!$B$7:$B$696,$A795)</f>
        <v>1</v>
      </c>
      <c r="P795" s="135" t="n">
        <f aca="false">SUM(N795:O795)</f>
        <v>2</v>
      </c>
      <c r="Q795" s="110" t="str">
        <f aca="false">IF(P730=P795,"〇","×")</f>
        <v>〇</v>
      </c>
      <c r="R795" s="110" t="str">
        <f aca="false">IFERROR(INDEX(報告入力!$C$7:$C$696,MATCH($S$782&amp;"|"&amp;$A795,報告入力!$CG$7:$CG$696,0)),"")</f>
        <v>未受領</v>
      </c>
    </row>
    <row r="796" s="110" customFormat="true" ht="19.5" hidden="false" customHeight="true" outlineLevel="0" collapsed="false">
      <c r="A796" s="121" t="s">
        <v>381</v>
      </c>
      <c r="B796" s="215" t="n">
        <f aca="false">SUMIFS(報告入力!$AU$7:$AU$696,報告入力!$A$7:$A$696,$S$782,報告入力!$B$7:$B$696,$A796)</f>
        <v>48495</v>
      </c>
      <c r="C796" s="368" t="n">
        <f aca="false">SUMIFS(報告入力!$AV$7:$AV$696,報告入力!$A$7:$A$696,$S$782,報告入力!$B$7:$B$696,$A796)</f>
        <v>3975</v>
      </c>
      <c r="D796" s="215" t="n">
        <f aca="false">SUMIFS(報告入力!$AW$7:$AW$696,報告入力!$A$7:$A$696,$S$782,報告入力!$B$7:$B$696,$A796)</f>
        <v>70490</v>
      </c>
      <c r="E796" s="213" t="n">
        <f aca="false">SUMIFS(報告入力!$AX$7:$AX$696,報告入力!$A$7:$A$696,$S$782,報告入力!$B$7:$B$696,$A796)</f>
        <v>3975</v>
      </c>
      <c r="F796" s="368" t="n">
        <f aca="false">SUMIFS(報告入力!$AY$7:$AY$696,報告入力!$A$7:$A$696,$S$782,報告入力!$B$7:$B$696,$A796)</f>
        <v>49</v>
      </c>
      <c r="G796" s="181" t="n">
        <f aca="false">SUM(B796:F796)</f>
        <v>126984</v>
      </c>
      <c r="H796" s="182" t="n">
        <f aca="false">SUMIFS(報告入力!$AZ$7:$AZ$696,報告入力!$A$7:$A$696,$S$782,報告入力!$B$7:$B$696,$A796)</f>
        <v>29155</v>
      </c>
      <c r="I796" s="183" t="n">
        <f aca="false">SUMIFS(報告入力!$BA$7:$BA$696,報告入力!$A$7:$A$696,$S$782,報告入力!$B$7:$B$696,$A796)</f>
        <v>29669</v>
      </c>
      <c r="J796" s="135" t="n">
        <f aca="false">SUM(H796:I796)</f>
        <v>58824</v>
      </c>
      <c r="K796" s="182" t="n">
        <f aca="false">SUMIFS(報告入力!$BB$7:$BB$696,報告入力!$A$7:$A$696,$S$782,報告入力!$B$7:$B$696,$A796)</f>
        <v>4187</v>
      </c>
      <c r="L796" s="183" t="n">
        <f aca="false">SUMIFS(報告入力!$BC$7:$BC$696,報告入力!$A$7:$A$696,$S$782,報告入力!$B$7:$B$696,$A796)</f>
        <v>4187</v>
      </c>
      <c r="M796" s="135" t="n">
        <f aca="false">SUM(K796:L796)</f>
        <v>8374</v>
      </c>
      <c r="N796" s="182" t="n">
        <f aca="false">SUMIFS(報告入力!$BD$7:$BD$696,報告入力!$A$7:$A$696,$S$782,報告入力!$B$7:$B$696,$A796)</f>
        <v>1</v>
      </c>
      <c r="O796" s="183" t="n">
        <f aca="false">SUMIFS(報告入力!$BE$7:$BE$696,報告入力!$A$7:$A$696,$S$782,報告入力!$B$7:$B$696,$A796)</f>
        <v>1</v>
      </c>
      <c r="P796" s="135" t="n">
        <f aca="false">SUM(N796:O796)</f>
        <v>2</v>
      </c>
      <c r="Q796" s="110" t="str">
        <f aca="false">IF(P731=P796,"〇","×")</f>
        <v>〇</v>
      </c>
      <c r="R796" s="110" t="str">
        <f aca="false">IFERROR(INDEX(報告入力!$C$7:$C$696,MATCH($S$782&amp;"|"&amp;$A796,報告入力!$CG$7:$CG$696,0)),"")</f>
        <v>未受領</v>
      </c>
    </row>
    <row r="797" s="137" customFormat="true" ht="19.5" hidden="false" customHeight="true" outlineLevel="0" collapsed="false">
      <c r="A797" s="126" t="s">
        <v>171</v>
      </c>
      <c r="B797" s="127" t="n">
        <f aca="false">SUMIFS(報告入力!$AU$7:$AU$696,報告入力!$A$7:$A$696,$S$782,報告入力!$B$7:$B$696,$A797)</f>
        <v>0</v>
      </c>
      <c r="C797" s="128" t="n">
        <f aca="false">SUMIFS(報告入力!$AV$7:$AV$696,報告入力!$A$7:$A$696,$S$782,報告入力!$B$7:$B$696,$A797)</f>
        <v>0</v>
      </c>
      <c r="D797" s="129"/>
      <c r="E797" s="130"/>
      <c r="F797" s="131" t="n">
        <f aca="false">SUMIFS(報告入力!$AY$7:$AY$696,報告入力!$A$7:$A$696,$S$782,報告入力!$B$7:$B$696,$A797)</f>
        <v>0</v>
      </c>
      <c r="G797" s="132" t="n">
        <f aca="false">SUM(B797:F797)</f>
        <v>0</v>
      </c>
      <c r="H797" s="182" t="n">
        <f aca="false">SUMIFS(報告入力!$AZ$7:$AZ$696,報告入力!$A$7:$A$696,$S$782,報告入力!$B$7:$B$696,$A797)</f>
        <v>248959</v>
      </c>
      <c r="I797" s="183" t="n">
        <f aca="false">SUMIFS(報告入力!$BA$7:$BA$696,報告入力!$A$7:$A$696,$S$782,報告入力!$B$7:$B$696,$A797)</f>
        <v>253575</v>
      </c>
      <c r="J797" s="135" t="n">
        <f aca="false">SUM(H797:I797)</f>
        <v>502534</v>
      </c>
      <c r="K797" s="262" t="n">
        <f aca="false">SUMIFS(報告入力!$BB$7:$BB$696,報告入力!$A$7:$A$696,$S$782,報告入力!$B$7:$B$696,$A797)</f>
        <v>7441</v>
      </c>
      <c r="L797" s="183" t="n">
        <f aca="false">SUMIFS(報告入力!$BC$7:$BC$696,報告入力!$A$7:$A$696,$S$782,報告入力!$B$7:$B$696,$A797)</f>
        <v>7441</v>
      </c>
      <c r="M797" s="135" t="n">
        <f aca="false">SUM(K797:L797)</f>
        <v>14882</v>
      </c>
      <c r="N797" s="262" t="n">
        <f aca="false">SUMIFS(報告入力!$BD$7:$BD$696,報告入力!$A$7:$A$696,$S$782,報告入力!$B$7:$B$696,$A797)</f>
        <v>1</v>
      </c>
      <c r="O797" s="183" t="n">
        <f aca="false">SUMIFS(報告入力!$BE$7:$BE$696,報告入力!$A$7:$A$696,$S$782,報告入力!$B$7:$B$696,$A797)</f>
        <v>1</v>
      </c>
      <c r="P797" s="135" t="n">
        <f aca="false">SUM(N797:O797)</f>
        <v>2</v>
      </c>
      <c r="Q797" s="137" t="str">
        <f aca="false">IF(P732=P797,"〇","×")</f>
        <v>〇</v>
      </c>
      <c r="R797" s="137" t="str">
        <f aca="false">IFERROR(INDEX(報告入力!$C$7:$C$696,MATCH($S$782&amp;"|"&amp;$A797,報告入力!$CG$7:$CG$696,0)),"")</f>
        <v>未受領</v>
      </c>
    </row>
    <row r="798" s="137" customFormat="true" ht="19.5" hidden="false" customHeight="true" outlineLevel="0" collapsed="false">
      <c r="A798" s="138" t="s">
        <v>382</v>
      </c>
      <c r="B798" s="139"/>
      <c r="C798" s="140"/>
      <c r="D798" s="139"/>
      <c r="E798" s="141"/>
      <c r="F798" s="142"/>
      <c r="G798" s="143"/>
      <c r="H798" s="144"/>
      <c r="I798" s="145"/>
      <c r="J798" s="146"/>
      <c r="K798" s="147"/>
      <c r="L798" s="148"/>
      <c r="M798" s="148"/>
      <c r="N798" s="147"/>
      <c r="O798" s="148"/>
      <c r="P798" s="148"/>
      <c r="Q798" s="137" t="str">
        <f aca="false">IF(P733=P798,"〇","×")</f>
        <v>〇</v>
      </c>
    </row>
    <row r="799" s="137" customFormat="true" ht="19.5" hidden="false" customHeight="true" outlineLevel="0" collapsed="false">
      <c r="A799" s="149" t="s">
        <v>382</v>
      </c>
      <c r="B799" s="150"/>
      <c r="C799" s="151"/>
      <c r="D799" s="150"/>
      <c r="E799" s="152"/>
      <c r="F799" s="153"/>
      <c r="G799" s="154"/>
      <c r="H799" s="155"/>
      <c r="I799" s="152"/>
      <c r="J799" s="156"/>
      <c r="K799" s="157"/>
      <c r="L799" s="158"/>
      <c r="M799" s="158"/>
      <c r="N799" s="157"/>
      <c r="O799" s="158"/>
      <c r="P799" s="158"/>
      <c r="Q799" s="137" t="str">
        <f aca="false">IF(P734=P799,"〇","×")</f>
        <v>〇</v>
      </c>
    </row>
    <row r="800" s="137" customFormat="true" ht="19.5" hidden="false" customHeight="true" outlineLevel="0" collapsed="false">
      <c r="A800" s="149" t="s">
        <v>382</v>
      </c>
      <c r="B800" s="139"/>
      <c r="C800" s="140"/>
      <c r="D800" s="139"/>
      <c r="E800" s="141"/>
      <c r="F800" s="142"/>
      <c r="G800" s="143"/>
      <c r="H800" s="159"/>
      <c r="I800" s="141"/>
      <c r="J800" s="146"/>
      <c r="K800" s="160"/>
      <c r="L800" s="161"/>
      <c r="M800" s="161"/>
      <c r="N800" s="160"/>
      <c r="O800" s="161"/>
      <c r="P800" s="161"/>
      <c r="Q800" s="137" t="str">
        <f aca="false">IF(P735=P800,"〇","×")</f>
        <v>〇</v>
      </c>
    </row>
    <row r="801" s="137" customFormat="true" ht="19.5" hidden="false" customHeight="true" outlineLevel="0" collapsed="false">
      <c r="A801" s="162" t="s">
        <v>382</v>
      </c>
      <c r="B801" s="163"/>
      <c r="C801" s="164"/>
      <c r="D801" s="163"/>
      <c r="E801" s="165"/>
      <c r="F801" s="166"/>
      <c r="G801" s="167"/>
      <c r="H801" s="155"/>
      <c r="I801" s="168"/>
      <c r="J801" s="169"/>
      <c r="K801" s="157"/>
      <c r="L801" s="158"/>
      <c r="M801" s="170"/>
      <c r="N801" s="157"/>
      <c r="O801" s="158"/>
      <c r="P801" s="170"/>
      <c r="Q801" s="137" t="str">
        <f aca="false">IF(P736=P801,"〇","×")</f>
        <v>〇</v>
      </c>
    </row>
    <row r="802" s="137" customFormat="true" ht="19.5" hidden="false" customHeight="true" outlineLevel="0" collapsed="false">
      <c r="A802" s="171" t="s">
        <v>383</v>
      </c>
      <c r="B802" s="172" t="n">
        <f aca="false">SUM(B786:B801)</f>
        <v>354250762</v>
      </c>
      <c r="C802" s="173" t="n">
        <f aca="false">SUM(C786:C801)</f>
        <v>29041825</v>
      </c>
      <c r="D802" s="172" t="n">
        <f aca="false">SUM(D786:D801)</f>
        <v>516449080</v>
      </c>
      <c r="E802" s="174" t="n">
        <f aca="false">SUM(E786:E801)</f>
        <v>28537972</v>
      </c>
      <c r="F802" s="175" t="n">
        <f aca="false">SUM(F786:F801)</f>
        <v>371064</v>
      </c>
      <c r="G802" s="176" t="n">
        <f aca="false">SUM(B802:F802)</f>
        <v>928650703</v>
      </c>
      <c r="H802" s="173" t="n">
        <f aca="false">SUM(H786:H801)</f>
        <v>266411675</v>
      </c>
      <c r="I802" s="173" t="n">
        <f aca="false">SUM(I786:I801)</f>
        <v>267408345</v>
      </c>
      <c r="J802" s="175" t="n">
        <f aca="false">SUM(H802:I802)</f>
        <v>533820020</v>
      </c>
      <c r="K802" s="172" t="n">
        <f aca="false">SUM(K786:K801)</f>
        <v>23305722</v>
      </c>
      <c r="L802" s="173" t="n">
        <f aca="false">SUM(L786:L801)</f>
        <v>22848555</v>
      </c>
      <c r="M802" s="175" t="n">
        <f aca="false">SUM(K802:L802)</f>
        <v>46154277</v>
      </c>
      <c r="N802" s="172" t="n">
        <f aca="false">SUM(N786:N801)</f>
        <v>12</v>
      </c>
      <c r="O802" s="173" t="n">
        <f aca="false">SUM(O786:O801)</f>
        <v>12</v>
      </c>
      <c r="P802" s="175" t="n">
        <f aca="false">SUM(N802:O802)</f>
        <v>24</v>
      </c>
      <c r="Q802" s="137" t="str">
        <f aca="false">IF(P737=P802,"〇","×")</f>
        <v>〇</v>
      </c>
    </row>
    <row r="803" s="110" customFormat="true" ht="20.1" hidden="false" customHeight="true" outlineLevel="0" collapsed="false">
      <c r="A803" s="177" t="s">
        <v>172</v>
      </c>
      <c r="B803" s="299"/>
      <c r="C803" s="300"/>
      <c r="D803" s="425"/>
      <c r="E803" s="309"/>
      <c r="F803" s="308"/>
      <c r="G803" s="302" t="n">
        <f aca="false">SUM(B803:F803)</f>
        <v>0</v>
      </c>
      <c r="H803" s="303"/>
      <c r="I803" s="304"/>
      <c r="J803" s="305" t="n">
        <f aca="false">SUM(H803:I803)</f>
        <v>0</v>
      </c>
      <c r="K803" s="303"/>
      <c r="L803" s="304"/>
      <c r="M803" s="305" t="n">
        <f aca="false">SUM(K803:L803)</f>
        <v>0</v>
      </c>
      <c r="N803" s="303"/>
      <c r="O803" s="304"/>
      <c r="P803" s="305" t="n">
        <f aca="false">SUM(N803:O803)</f>
        <v>0</v>
      </c>
      <c r="Q803" s="110" t="str">
        <f aca="false">IF(P738=P803,"〇","×")</f>
        <v>〇</v>
      </c>
      <c r="R803" s="110" t="str">
        <f aca="false">IFERROR(INDEX(報告入力!$C$7:$C$696,MATCH($S$782&amp;"|"&amp;$A803,報告入力!$CG$7:$CG$696,0)),"")</f>
        <v>報告なし</v>
      </c>
    </row>
    <row r="804" s="110" customFormat="true" ht="20.1" hidden="false" customHeight="true" outlineLevel="0" collapsed="false">
      <c r="A804" s="100" t="s">
        <v>174</v>
      </c>
      <c r="B804" s="215" t="n">
        <f aca="false">SUMIFS(報告入力!$AU$7:$AU$696,報告入力!$A$7:$A$696,$S$782,報告入力!$B$7:$B$696,$A804)</f>
        <v>0</v>
      </c>
      <c r="C804" s="368" t="n">
        <f aca="false">SUMIFS(報告入力!$AV$7:$AV$696,報告入力!$A$7:$A$696,$S$782,報告入力!$B$7:$B$696,$A804)</f>
        <v>0</v>
      </c>
      <c r="D804" s="215" t="n">
        <f aca="false">SUMIFS(報告入力!$AW$7:$AW$696,報告入力!$A$7:$A$696,$S$782,報告入力!$B$7:$B$696,$A804)</f>
        <v>673440</v>
      </c>
      <c r="E804" s="213" t="n">
        <f aca="false">SUMIFS(報告入力!$AX$7:$AX$696,報告入力!$A$7:$A$696,$S$782,報告入力!$B$7:$B$696,$A804)</f>
        <v>55200</v>
      </c>
      <c r="F804" s="368" t="n">
        <f aca="false">SUMIFS(報告入力!$AY$7:$AY$696,報告入力!$A$7:$A$696,$S$782,報告入力!$B$7:$B$696,$A804)</f>
        <v>758</v>
      </c>
      <c r="G804" s="181" t="n">
        <f aca="false">SUM(B804:F804)</f>
        <v>729398</v>
      </c>
      <c r="H804" s="182" t="n">
        <f aca="false">SUMIFS(報告入力!$AZ$7:$AZ$696,報告入力!$A$7:$A$696,$S$782,報告入力!$B$7:$B$696,$A804)</f>
        <v>0</v>
      </c>
      <c r="I804" s="183" t="n">
        <f aca="false">SUMIFS(報告入力!$BA$7:$BA$696,報告入力!$A$7:$A$696,$S$782,報告入力!$B$7:$B$696,$A804)</f>
        <v>407262</v>
      </c>
      <c r="J804" s="135" t="n">
        <f aca="false">SUM(H804:I804)</f>
        <v>407262</v>
      </c>
      <c r="K804" s="182" t="n">
        <f aca="false">SUMIFS(報告入力!$BB$7:$BB$696,報告入力!$A$7:$A$696,$S$782,報告入力!$B$7:$B$696,$A804)</f>
        <v>0</v>
      </c>
      <c r="L804" s="183" t="n">
        <f aca="false">SUMIFS(報告入力!$BC$7:$BC$696,報告入力!$A$7:$A$696,$S$782,報告入力!$B$7:$B$696,$A804)</f>
        <v>52377</v>
      </c>
      <c r="M804" s="135" t="n">
        <f aca="false">SUM(K804:L804)</f>
        <v>52377</v>
      </c>
      <c r="N804" s="182" t="n">
        <f aca="false">SUMIFS(報告入力!$BD$7:$BD$696,報告入力!$A$7:$A$696,$S$782,報告入力!$B$7:$B$696,$A804)</f>
        <v>0</v>
      </c>
      <c r="O804" s="183" t="n">
        <f aca="false">SUMIFS(報告入力!$BE$7:$BE$696,報告入力!$A$7:$A$696,$S$782,報告入力!$B$7:$B$696,$A804)</f>
        <v>1</v>
      </c>
      <c r="P804" s="135" t="n">
        <f aca="false">SUM(N804:O804)</f>
        <v>1</v>
      </c>
      <c r="Q804" s="110" t="str">
        <f aca="false">IF(P739=P804,"〇","×")</f>
        <v>〇</v>
      </c>
      <c r="R804" s="110" t="str">
        <f aca="false">IFERROR(INDEX(報告入力!$C$7:$C$696,MATCH($S$782&amp;"|"&amp;$A804,報告入力!$CG$7:$CG$696,0)),"")</f>
        <v>未受領</v>
      </c>
    </row>
    <row r="805" s="110" customFormat="true" ht="20.1" hidden="false" customHeight="true" outlineLevel="0" collapsed="false">
      <c r="A805" s="100" t="s">
        <v>175</v>
      </c>
      <c r="B805" s="186"/>
      <c r="C805" s="187"/>
      <c r="D805" s="215" t="n">
        <f aca="false">SUMIFS(報告入力!$AW$7:$AW$696,報告入力!$A$7:$A$696,$S$782,報告入力!$B$7:$B$696,$A805)</f>
        <v>1886730</v>
      </c>
      <c r="E805" s="213" t="n">
        <f aca="false">SUMIFS(報告入力!$AX$7:$AX$696,報告入力!$A$7:$A$696,$S$782,報告入力!$B$7:$B$696,$A805)</f>
        <v>154650</v>
      </c>
      <c r="F805" s="368" t="n">
        <f aca="false">SUMIFS(報告入力!$AY$7:$AY$696,報告入力!$A$7:$A$696,$S$782,報告入力!$B$7:$B$696,$A805)</f>
        <v>1988</v>
      </c>
      <c r="G805" s="181" t="n">
        <f aca="false">SUM(B805:F805)</f>
        <v>2043368</v>
      </c>
      <c r="H805" s="188"/>
      <c r="I805" s="183" t="n">
        <f aca="false">SUMIFS(報告入力!$BA$7:$BA$696,報告入力!$A$7:$A$696,$S$782,報告入力!$B$7:$B$696,$A805)</f>
        <v>1275306</v>
      </c>
      <c r="J805" s="135" t="n">
        <f aca="false">SUM(H805:I805)</f>
        <v>1275306</v>
      </c>
      <c r="K805" s="188"/>
      <c r="L805" s="183" t="n">
        <f aca="false">SUMIFS(報告入力!$BC$7:$BC$696,報告入力!$A$7:$A$696,$S$782,報告入力!$B$7:$B$696,$A805)</f>
        <v>141252</v>
      </c>
      <c r="M805" s="135" t="n">
        <f aca="false">SUM(K805:L805)</f>
        <v>141252</v>
      </c>
      <c r="N805" s="188"/>
      <c r="O805" s="183" t="n">
        <f aca="false">SUMIFS(報告入力!$BE$7:$BE$696,報告入力!$A$7:$A$696,$S$782,報告入力!$B$7:$B$696,$A805)</f>
        <v>1</v>
      </c>
      <c r="P805" s="135" t="n">
        <f aca="false">SUM(N805:O805)</f>
        <v>1</v>
      </c>
      <c r="Q805" s="110" t="str">
        <f aca="false">IF(P740=P805,"〇","×")</f>
        <v>〇</v>
      </c>
      <c r="R805" s="110" t="str">
        <f aca="false">IFERROR(INDEX(報告入力!$C$7:$C$696,MATCH($S$782&amp;"|"&amp;$A805,報告入力!$CG$7:$CG$696,0)),"")</f>
        <v>未受領</v>
      </c>
    </row>
    <row r="806" s="110" customFormat="true" ht="20.1" hidden="false" customHeight="true" outlineLevel="0" collapsed="false">
      <c r="A806" s="100" t="s">
        <v>176</v>
      </c>
      <c r="B806" s="186"/>
      <c r="C806" s="187"/>
      <c r="D806" s="215" t="n">
        <f aca="false">SUMIFS(報告入力!$AW$7:$AW$696,報告入力!$A$7:$A$696,$S$782,報告入力!$B$7:$B$696,$A806)</f>
        <v>48495</v>
      </c>
      <c r="E806" s="213" t="n">
        <f aca="false">SUMIFS(報告入力!$AX$7:$AX$696,報告入力!$A$7:$A$696,$S$782,報告入力!$B$7:$B$696,$A806)</f>
        <v>3975</v>
      </c>
      <c r="F806" s="368" t="n">
        <f aca="false">SUMIFS(報告入力!$AY$7:$AY$696,報告入力!$A$7:$A$696,$S$782,報告入力!$B$7:$B$696,$A806)</f>
        <v>49</v>
      </c>
      <c r="G806" s="181" t="n">
        <f aca="false">SUM(B806:F806)</f>
        <v>52519</v>
      </c>
      <c r="H806" s="188"/>
      <c r="I806" s="183" t="n">
        <f aca="false">SUMIFS(報告入力!$BA$7:$BA$696,報告入力!$A$7:$A$696,$S$782,報告入力!$B$7:$B$696,$A806)</f>
        <v>29208</v>
      </c>
      <c r="J806" s="135" t="n">
        <f aca="false">SUM(H806:I806)</f>
        <v>29208</v>
      </c>
      <c r="K806" s="188"/>
      <c r="L806" s="183" t="n">
        <f aca="false">SUMIFS(報告入力!$BC$7:$BC$696,報告入力!$A$7:$A$696,$S$782,報告入力!$B$7:$B$696,$A806)</f>
        <v>4187</v>
      </c>
      <c r="M806" s="135" t="n">
        <f aca="false">SUM(K806:L806)</f>
        <v>4187</v>
      </c>
      <c r="N806" s="188"/>
      <c r="O806" s="183" t="n">
        <f aca="false">SUMIFS(報告入力!$BE$7:$BE$696,報告入力!$A$7:$A$696,$S$782,報告入力!$B$7:$B$696,$A806)</f>
        <v>1</v>
      </c>
      <c r="P806" s="135" t="n">
        <f aca="false">SUM(N806:O806)</f>
        <v>1</v>
      </c>
      <c r="Q806" s="110" t="str">
        <f aca="false">IF(P741=P806,"〇","×")</f>
        <v>〇</v>
      </c>
      <c r="R806" s="110" t="str">
        <f aca="false">IFERROR(INDEX(報告入力!$C$7:$C$696,MATCH($S$782&amp;"|"&amp;$A806,報告入力!$CG$7:$CG$696,0)),"")</f>
        <v>未受領</v>
      </c>
    </row>
    <row r="807" s="110" customFormat="true" ht="20.1" hidden="false" customHeight="true" outlineLevel="0" collapsed="false">
      <c r="A807" s="189" t="s">
        <v>177</v>
      </c>
      <c r="B807" s="186"/>
      <c r="C807" s="187"/>
      <c r="D807" s="215" t="n">
        <f aca="false">SUMIFS(報告入力!$AW$7:$AW$696,報告入力!$A$7:$A$696,$S$782,報告入力!$B$7:$B$696,$A807)</f>
        <v>425475</v>
      </c>
      <c r="E807" s="213" t="n">
        <f aca="false">SUMIFS(報告入力!$AX$7:$AX$696,報告入力!$A$7:$A$696,$S$782,報告入力!$B$7:$B$696,$A807)</f>
        <v>34875</v>
      </c>
      <c r="F807" s="368" t="n">
        <f aca="false">SUMIFS(報告入力!$AY$7:$AY$696,報告入力!$A$7:$A$696,$S$782,報告入力!$B$7:$B$696,$A807)</f>
        <v>435</v>
      </c>
      <c r="G807" s="181" t="n">
        <f aca="false">SUM(B807:F807)</f>
        <v>460785</v>
      </c>
      <c r="H807" s="188"/>
      <c r="I807" s="183" t="n">
        <f aca="false">SUMIFS(報告入力!$BA$7:$BA$696,報告入力!$A$7:$A$696,$S$782,報告入力!$B$7:$B$696,$A807)</f>
        <v>256260</v>
      </c>
      <c r="J807" s="135" t="n">
        <f aca="false">SUM(H807:I807)</f>
        <v>256260</v>
      </c>
      <c r="K807" s="188"/>
      <c r="L807" s="183" t="n">
        <f aca="false">SUMIFS(報告入力!$BC$7:$BC$696,報告入力!$A$7:$A$696,$S$782,報告入力!$B$7:$B$696,$A807)</f>
        <v>34207</v>
      </c>
      <c r="M807" s="135" t="n">
        <f aca="false">SUM(K807:L807)</f>
        <v>34207</v>
      </c>
      <c r="N807" s="188"/>
      <c r="O807" s="183" t="n">
        <f aca="false">SUMIFS(報告入力!$BE$7:$BE$696,報告入力!$A$7:$A$696,$S$782,報告入力!$B$7:$B$696,$A807)</f>
        <v>1</v>
      </c>
      <c r="P807" s="135" t="n">
        <f aca="false">SUM(N807:O807)</f>
        <v>1</v>
      </c>
      <c r="Q807" s="110" t="str">
        <f aca="false">IF(P742=P807,"〇","×")</f>
        <v>〇</v>
      </c>
      <c r="R807" s="110" t="str">
        <f aca="false">IFERROR(INDEX(報告入力!$C$7:$C$696,MATCH($S$782&amp;"|"&amp;$A807,報告入力!$CG$7:$CG$696,0)),"")</f>
        <v>未受領</v>
      </c>
    </row>
    <row r="808" s="110" customFormat="true" ht="20.1" hidden="false" customHeight="true" outlineLevel="0" collapsed="false">
      <c r="A808" s="121" t="s">
        <v>178</v>
      </c>
      <c r="B808" s="186"/>
      <c r="C808" s="191"/>
      <c r="D808" s="215" t="n">
        <f aca="false">SUMIFS(報告入力!$AW$7:$AW$696,報告入力!$A$7:$A$696,$S$782,報告入力!$B$7:$B$696,$A808)</f>
        <v>86010</v>
      </c>
      <c r="E808" s="213" t="n">
        <f aca="false">SUMIFS(報告入力!$AX$7:$AX$696,報告入力!$A$7:$A$696,$S$782,報告入力!$B$7:$B$696,$A808)</f>
        <v>7050</v>
      </c>
      <c r="F808" s="368" t="n">
        <f aca="false">SUMIFS(報告入力!$AY$7:$AY$696,報告入力!$A$7:$A$696,$S$782,報告入力!$B$7:$B$696,$A808)</f>
        <v>88</v>
      </c>
      <c r="G808" s="181" t="n">
        <f aca="false">SUM(B808:F808)</f>
        <v>93148</v>
      </c>
      <c r="H808" s="188"/>
      <c r="I808" s="183" t="n">
        <f aca="false">SUMIFS(報告入力!$BA$7:$BA$696,報告入力!$A$7:$A$696,$S$782,報告入力!$B$7:$B$696,$A808)</f>
        <v>51803</v>
      </c>
      <c r="J808" s="135" t="n">
        <f aca="false">SUM(H808:I808)</f>
        <v>51803</v>
      </c>
      <c r="K808" s="188"/>
      <c r="L808" s="183" t="n">
        <f aca="false">SUMIFS(報告入力!$BC$7:$BC$696,報告入力!$A$7:$A$696,$S$782,報告入力!$B$7:$B$696,$A808)</f>
        <v>7426</v>
      </c>
      <c r="M808" s="135" t="n">
        <f aca="false">SUM(K808:L808)</f>
        <v>7426</v>
      </c>
      <c r="N808" s="188"/>
      <c r="O808" s="183" t="n">
        <f aca="false">SUMIFS(報告入力!$BE$7:$BE$696,報告入力!$A$7:$A$696,$S$782,報告入力!$B$7:$B$696,$A808)</f>
        <v>1</v>
      </c>
      <c r="P808" s="135" t="n">
        <f aca="false">SUM(N808:O808)</f>
        <v>1</v>
      </c>
      <c r="Q808" s="110" t="str">
        <f aca="false">IF(P743=P808,"〇","×")</f>
        <v>〇</v>
      </c>
      <c r="R808" s="110" t="str">
        <f aca="false">IFERROR(INDEX(報告入力!$C$7:$C$696,MATCH($S$782&amp;"|"&amp;$A808,報告入力!$CG$7:$CG$696,0)),"")</f>
        <v>未受領</v>
      </c>
    </row>
    <row r="809" s="110" customFormat="true" ht="20.1" hidden="false" customHeight="true" outlineLevel="0" collapsed="false">
      <c r="A809" s="121" t="s">
        <v>179</v>
      </c>
      <c r="B809" s="186"/>
      <c r="C809" s="191"/>
      <c r="D809" s="215" t="n">
        <f aca="false">SUMIFS(報告入力!$AW$7:$AW$696,報告入力!$A$7:$A$696,$S$782,報告入力!$B$7:$B$696,$A809)</f>
        <v>48495</v>
      </c>
      <c r="E809" s="213" t="n">
        <f aca="false">SUMIFS(報告入力!$AX$7:$AX$696,報告入力!$A$7:$A$696,$S$782,報告入力!$B$7:$B$696,$A809)</f>
        <v>3975</v>
      </c>
      <c r="F809" s="368" t="n">
        <f aca="false">SUMIFS(報告入力!$AY$7:$AY$696,報告入力!$A$7:$A$696,$S$782,報告入力!$B$7:$B$696,$A809)</f>
        <v>49</v>
      </c>
      <c r="G809" s="181" t="n">
        <f aca="false">SUM(B809:F809)</f>
        <v>52519</v>
      </c>
      <c r="H809" s="188"/>
      <c r="I809" s="183" t="n">
        <f aca="false">SUMIFS(報告入力!$BA$7:$BA$696,報告入力!$A$7:$A$696,$S$782,報告入力!$B$7:$B$696,$A809)</f>
        <v>29208</v>
      </c>
      <c r="J809" s="135" t="n">
        <f aca="false">SUM(H809:I809)</f>
        <v>29208</v>
      </c>
      <c r="K809" s="188"/>
      <c r="L809" s="183" t="n">
        <f aca="false">SUMIFS(報告入力!$BC$7:$BC$696,報告入力!$A$7:$A$696,$S$782,報告入力!$B$7:$B$696,$A809)</f>
        <v>4187</v>
      </c>
      <c r="M809" s="135" t="n">
        <f aca="false">SUM(K809:L809)</f>
        <v>4187</v>
      </c>
      <c r="N809" s="188"/>
      <c r="O809" s="183" t="n">
        <f aca="false">SUMIFS(報告入力!$BE$7:$BE$696,報告入力!$A$7:$A$696,$S$782,報告入力!$B$7:$B$696,$A809)</f>
        <v>1</v>
      </c>
      <c r="P809" s="135" t="n">
        <f aca="false">SUM(N809:O809)</f>
        <v>1</v>
      </c>
      <c r="Q809" s="110" t="str">
        <f aca="false">IF(P744=P809,"〇","×")</f>
        <v>〇</v>
      </c>
      <c r="R809" s="110" t="str">
        <f aca="false">IFERROR(INDEX(報告入力!$C$7:$C$696,MATCH($S$782&amp;"|"&amp;$A809,報告入力!$CG$7:$CG$696,0)),"")</f>
        <v>未受領</v>
      </c>
    </row>
    <row r="810" s="110" customFormat="true" ht="20.1" hidden="false" customHeight="true" outlineLevel="0" collapsed="false">
      <c r="A810" s="192" t="s">
        <v>180</v>
      </c>
      <c r="B810" s="186"/>
      <c r="C810" s="193"/>
      <c r="D810" s="215" t="n">
        <f aca="false">SUMIFS(報告入力!$AW$7:$AW$696,報告入力!$A$7:$A$696,$S$782,報告入力!$B$7:$B$696,$A810)</f>
        <v>122428</v>
      </c>
      <c r="E810" s="213" t="n">
        <f aca="false">SUMIFS(報告入力!$AX$7:$AX$696,報告入力!$A$7:$A$696,$S$782,報告入力!$B$7:$B$696,$A810)</f>
        <v>10034</v>
      </c>
      <c r="F810" s="368" t="n">
        <f aca="false">SUMIFS(報告入力!$AY$7:$AY$696,報告入力!$A$7:$A$696,$S$782,報告入力!$B$7:$B$696,$A810)</f>
        <v>125</v>
      </c>
      <c r="G810" s="181" t="n">
        <f aca="false">SUM(B810:F810)</f>
        <v>132587</v>
      </c>
      <c r="H810" s="188"/>
      <c r="I810" s="183" t="n">
        <f aca="false">SUMIFS(報告入力!$BA$7:$BA$696,報告入力!$A$7:$A$696,$S$782,報告入力!$B$7:$B$696,$A810)</f>
        <v>73737</v>
      </c>
      <c r="J810" s="135" t="n">
        <f aca="false">SUM(H810:I810)</f>
        <v>73737</v>
      </c>
      <c r="K810" s="188"/>
      <c r="L810" s="183" t="n">
        <f aca="false">SUMIFS(報告入力!$BC$7:$BC$696,報告入力!$A$7:$A$696,$S$782,報告入力!$B$7:$B$696,$A810)</f>
        <v>7031</v>
      </c>
      <c r="M810" s="135" t="n">
        <f aca="false">SUM(K810:L810)</f>
        <v>7031</v>
      </c>
      <c r="N810" s="188"/>
      <c r="O810" s="183" t="n">
        <f aca="false">SUMIFS(報告入力!$BE$7:$BE$696,報告入力!$A$7:$A$696,$S$782,報告入力!$B$7:$B$696,$A810)</f>
        <v>1</v>
      </c>
      <c r="P810" s="135" t="n">
        <f aca="false">SUM(N810:O810)</f>
        <v>1</v>
      </c>
      <c r="Q810" s="110" t="str">
        <f aca="false">IF(P745=P810,"〇","×")</f>
        <v>〇</v>
      </c>
      <c r="R810" s="110" t="str">
        <f aca="false">IFERROR(INDEX(報告入力!$C$7:$C$696,MATCH($S$782&amp;"|"&amp;$A810,報告入力!$CG$7:$CG$696,0)),"")</f>
        <v>未受領</v>
      </c>
    </row>
    <row r="811" s="110" customFormat="true" ht="20.1" hidden="false" customHeight="true" outlineLevel="0" collapsed="false">
      <c r="A811" s="100" t="s">
        <v>181</v>
      </c>
      <c r="B811" s="215" t="n">
        <f aca="false">SUMIFS(報告入力!$AU$7:$AU$696,報告入力!$A$7:$A$696,$S$782,報告入力!$B$7:$B$696,$A811)</f>
        <v>245220</v>
      </c>
      <c r="C811" s="212" t="n">
        <f aca="false">SUMIFS(報告入力!$AV$7:$AV$696,報告入力!$A$7:$A$696,$S$782,報告入力!$B$7:$B$696,$A811)</f>
        <v>20100</v>
      </c>
      <c r="D811" s="178" t="n">
        <f aca="false">SUMIFS(報告入力!$AW$7:$AW$696,報告入力!$A$7:$A$696,$S$782,報告入力!$B$7:$B$696,$A811)</f>
        <v>245220</v>
      </c>
      <c r="E811" s="182" t="n">
        <f aca="false">SUMIFS(報告入力!$AX$7:$AX$696,報告入力!$A$7:$A$696,$S$782,報告入力!$B$7:$B$696,$A811)</f>
        <v>20100</v>
      </c>
      <c r="F811" s="212" t="n">
        <f aca="false">SUMIFS(報告入力!$AY$7:$AY$696,報告入力!$A$7:$A$696,$S$782,報告入力!$B$7:$B$696,$A811)</f>
        <v>251</v>
      </c>
      <c r="G811" s="181" t="n">
        <f aca="false">SUM(B811:F811)</f>
        <v>530891</v>
      </c>
      <c r="H811" s="215" t="n">
        <f aca="false">SUMIFS(報告入力!$AZ$7:$AZ$696,報告入力!$A$7:$A$696,$S$782,報告入力!$B$7:$B$696,$A811)</f>
        <v>147425</v>
      </c>
      <c r="I811" s="183" t="n">
        <f aca="false">SUMIFS(報告入力!$BA$7:$BA$696,報告入力!$A$7:$A$696,$S$782,報告入力!$B$7:$B$696,$A811)</f>
        <v>147694</v>
      </c>
      <c r="J811" s="135" t="n">
        <f aca="false">SUM(H811:I811)</f>
        <v>295119</v>
      </c>
      <c r="K811" s="215" t="n">
        <f aca="false">SUMIFS(報告入力!$BB$7:$BB$696,報告入力!$A$7:$A$696,$S$782,報告入力!$B$7:$B$696,$A811)</f>
        <v>9559</v>
      </c>
      <c r="L811" s="362" t="n">
        <f aca="false">SUMIFS(報告入力!$BC$7:$BC$696,報告入力!$A$7:$A$696,$S$782,報告入力!$B$7:$B$696,$A811)</f>
        <v>9559</v>
      </c>
      <c r="M811" s="135" t="n">
        <f aca="false">SUM(K811:L811)</f>
        <v>19118</v>
      </c>
      <c r="N811" s="215" t="n">
        <f aca="false">SUMIFS(報告入力!$BD$7:$BD$696,報告入力!$A$7:$A$696,$S$782,報告入力!$B$7:$B$696,$A811)</f>
        <v>1</v>
      </c>
      <c r="O811" s="362" t="n">
        <f aca="false">SUMIFS(報告入力!$BE$7:$BE$696,報告入力!$A$7:$A$696,$S$782,報告入力!$B$7:$B$696,$A811)</f>
        <v>1</v>
      </c>
      <c r="P811" s="135" t="n">
        <f aca="false">SUM(N811:O811)</f>
        <v>2</v>
      </c>
      <c r="Q811" s="110" t="str">
        <f aca="false">IF(P746=P811,"〇","×")</f>
        <v>〇</v>
      </c>
      <c r="R811" s="110" t="str">
        <f aca="false">IFERROR(INDEX(報告入力!$C$7:$C$696,MATCH($S$782&amp;"|"&amp;$A811,報告入力!$CG$7:$CG$696,0)),"")</f>
        <v>未受領</v>
      </c>
    </row>
    <row r="812" s="110" customFormat="true" ht="19.5" hidden="false" customHeight="true" outlineLevel="0" collapsed="false">
      <c r="A812" s="194" t="s">
        <v>182</v>
      </c>
      <c r="B812" s="178" t="n">
        <f aca="false">SUMIFS(報告入力!$AU$7:$AU$696,報告入力!$A$7:$A$696,$S$782,報告入力!$B$7:$B$696,$A812)</f>
        <v>40260</v>
      </c>
      <c r="C812" s="212" t="n">
        <f aca="false">SUMIFS(報告入力!$AV$7:$AV$696,報告入力!$A$7:$A$696,$S$782,報告入力!$B$7:$B$696,$A812)</f>
        <v>3300</v>
      </c>
      <c r="D812" s="215" t="n">
        <f aca="false">SUMIFS(報告入力!$AW$7:$AW$696,報告入力!$A$7:$A$696,$S$782,報告入力!$B$7:$B$696,$A812)</f>
        <v>40260</v>
      </c>
      <c r="E812" s="213" t="n">
        <f aca="false">SUMIFS(報告入力!$AX$7:$AX$696,報告入力!$A$7:$A$696,$S$782,報告入力!$B$7:$B$696,$A812)</f>
        <v>3300</v>
      </c>
      <c r="F812" s="368" t="n">
        <f aca="false">SUMIFS(報告入力!$AY$7:$AY$696,報告入力!$A$7:$A$696,$S$782,報告入力!$B$7:$B$696,$A812)</f>
        <v>41</v>
      </c>
      <c r="G812" s="181" t="n">
        <f aca="false">SUM(B812:F812)</f>
        <v>87161</v>
      </c>
      <c r="H812" s="182" t="n">
        <f aca="false">SUMIFS(報告入力!$AZ$7:$AZ$696,報告入力!$A$7:$A$696,$S$782,報告入力!$B$7:$B$696,$A812)</f>
        <v>24204</v>
      </c>
      <c r="I812" s="183" t="n">
        <f aca="false">SUMIFS(報告入力!$BA$7:$BA$696,報告入力!$A$7:$A$696,$S$782,報告入力!$B$7:$B$696,$A812)</f>
        <v>24248</v>
      </c>
      <c r="J812" s="135" t="n">
        <f aca="false">SUM(H812:I812)</f>
        <v>48452</v>
      </c>
      <c r="K812" s="182" t="n">
        <f aca="false">SUMIFS(報告入力!$BB$7:$BB$696,報告入力!$A$7:$A$696,$S$782,報告入力!$B$7:$B$696,$A812)</f>
        <v>0</v>
      </c>
      <c r="L812" s="183" t="n">
        <f aca="false">SUMIFS(報告入力!$BC$7:$BC$696,報告入力!$A$7:$A$696,$S$782,報告入力!$B$7:$B$696,$A812)</f>
        <v>0</v>
      </c>
      <c r="M812" s="135" t="n">
        <f aca="false">SUM(K812:L812)</f>
        <v>0</v>
      </c>
      <c r="N812" s="182" t="n">
        <f aca="false">SUMIFS(報告入力!$BD$7:$BD$696,報告入力!$A$7:$A$696,$S$782,報告入力!$B$7:$B$696,$A812)</f>
        <v>1</v>
      </c>
      <c r="O812" s="183" t="n">
        <f aca="false">SUMIFS(報告入力!$BE$7:$BE$696,報告入力!$A$7:$A$696,$S$782,報告入力!$B$7:$B$696,$A812)</f>
        <v>1</v>
      </c>
      <c r="P812" s="135" t="n">
        <f aca="false">SUM(N812:O812)</f>
        <v>2</v>
      </c>
      <c r="Q812" s="110" t="str">
        <f aca="false">IF(P747=P812,"〇","×")</f>
        <v>〇</v>
      </c>
      <c r="R812" s="110" t="str">
        <f aca="false">IFERROR(INDEX(報告入力!$C$7:$C$696,MATCH($S$782&amp;"|"&amp;$A812,報告入力!$CG$7:$CG$696,0)),"")</f>
        <v>未受領</v>
      </c>
    </row>
    <row r="813" s="110" customFormat="true" ht="20.1" hidden="false" customHeight="true" outlineLevel="0" collapsed="false">
      <c r="A813" s="197" t="s">
        <v>183</v>
      </c>
      <c r="B813" s="215" t="n">
        <f aca="false">SUMIFS(報告入力!$AU$7:$AU$696,報告入力!$A$7:$A$696,$S$782,報告入力!$B$7:$B$696,$A813)</f>
        <v>102480</v>
      </c>
      <c r="C813" s="368" t="n">
        <f aca="false">SUMIFS(報告入力!$AV$7:$AV$696,報告入力!$A$7:$A$696,$S$782,報告入力!$B$7:$B$696,$A813)</f>
        <v>8400</v>
      </c>
      <c r="D813" s="215" t="n">
        <f aca="false">SUMIFS(報告入力!$AW$7:$AW$696,報告入力!$A$7:$A$696,$S$782,報告入力!$B$7:$B$696,$A813)</f>
        <v>102480</v>
      </c>
      <c r="E813" s="213" t="n">
        <f aca="false">SUMIFS(報告入力!$AX$7:$AX$696,報告入力!$A$7:$A$696,$S$782,報告入力!$B$7:$B$696,$A813)</f>
        <v>8400</v>
      </c>
      <c r="F813" s="368" t="n">
        <f aca="false">SUMIFS(報告入力!$AY$7:$AY$696,報告入力!$A$7:$A$696,$S$782,報告入力!$B$7:$B$696,$A813)</f>
        <v>105</v>
      </c>
      <c r="G813" s="181" t="n">
        <f aca="false">SUM(B813:F813)</f>
        <v>221865</v>
      </c>
      <c r="H813" s="182" t="n">
        <f aca="false">SUMIFS(報告入力!$AZ$7:$AZ$696,報告入力!$A$7:$A$696,$S$782,報告入力!$B$7:$B$696,$A813)</f>
        <v>61610</v>
      </c>
      <c r="I813" s="183" t="n">
        <f aca="false">SUMIFS(報告入力!$BA$7:$BA$696,報告入力!$A$7:$A$696,$S$782,報告入力!$B$7:$B$696,$A813)</f>
        <v>61723</v>
      </c>
      <c r="J813" s="135" t="n">
        <f aca="false">SUM(H813:I813)</f>
        <v>123333</v>
      </c>
      <c r="K813" s="182" t="n">
        <f aca="false">SUMIFS(報告入力!$BB$7:$BB$696,報告入力!$A$7:$A$696,$S$782,報告入力!$B$7:$B$696,$A813)</f>
        <v>4661</v>
      </c>
      <c r="L813" s="183" t="n">
        <f aca="false">SUMIFS(報告入力!$BC$7:$BC$696,報告入力!$A$7:$A$696,$S$782,報告入力!$B$7:$B$696,$A813)</f>
        <v>4661</v>
      </c>
      <c r="M813" s="135" t="n">
        <f aca="false">SUM(K813:L813)</f>
        <v>9322</v>
      </c>
      <c r="N813" s="182" t="n">
        <f aca="false">SUMIFS(報告入力!$BD$7:$BD$696,報告入力!$A$7:$A$696,$S$782,報告入力!$B$7:$B$696,$A813)</f>
        <v>1</v>
      </c>
      <c r="O813" s="183" t="n">
        <f aca="false">SUMIFS(報告入力!$BE$7:$BE$696,報告入力!$A$7:$A$696,$S$782,報告入力!$B$7:$B$696,$A813)</f>
        <v>1</v>
      </c>
      <c r="P813" s="135" t="n">
        <f aca="false">SUM(N813:O813)</f>
        <v>2</v>
      </c>
      <c r="Q813" s="110" t="str">
        <f aca="false">IF(P748=P813,"〇","×")</f>
        <v>〇</v>
      </c>
      <c r="R813" s="110" t="str">
        <f aca="false">IFERROR(INDEX(報告入力!$C$7:$C$696,MATCH($S$782&amp;"|"&amp;$A813,報告入力!$CG$7:$CG$696,0)),"")</f>
        <v>未受領</v>
      </c>
    </row>
    <row r="814" s="110" customFormat="true" ht="20.1" hidden="false" customHeight="true" outlineLevel="0" collapsed="false">
      <c r="A814" s="100" t="s">
        <v>184</v>
      </c>
      <c r="B814" s="215" t="n">
        <f aca="false">SUMIFS(報告入力!$AU$7:$AU$696,報告入力!$A$7:$A$696,$S$782,報告入力!$B$7:$B$696,$A814)</f>
        <v>923235</v>
      </c>
      <c r="C814" s="368" t="n">
        <f aca="false">SUMIFS(報告入力!$AV$7:$AV$696,報告入力!$A$7:$A$696,$S$782,報告入力!$B$7:$B$696,$A814)</f>
        <v>75675</v>
      </c>
      <c r="D814" s="215" t="n">
        <f aca="false">SUMIFS(報告入力!$AW$7:$AW$696,報告入力!$A$7:$A$696,$S$782,報告入力!$B$7:$B$696,$A814)</f>
        <v>923235</v>
      </c>
      <c r="E814" s="213" t="n">
        <f aca="false">SUMIFS(報告入力!$AX$7:$AX$696,報告入力!$A$7:$A$696,$S$782,報告入力!$B$7:$B$696,$A814)</f>
        <v>75675</v>
      </c>
      <c r="F814" s="368" t="n">
        <f aca="false">SUMIFS(報告入力!$AY$7:$AY$696,報告入力!$A$7:$A$696,$S$782,報告入力!$B$7:$B$696,$A814)</f>
        <v>947</v>
      </c>
      <c r="G814" s="181" t="n">
        <f aca="false">SUM(B814:F814)</f>
        <v>1998767</v>
      </c>
      <c r="H814" s="182" t="n">
        <f aca="false">SUMIFS(報告入力!$AZ$7:$AZ$696,報告入力!$A$7:$A$696,$S$782,報告入力!$B$7:$B$696,$A814)</f>
        <v>556693</v>
      </c>
      <c r="I814" s="183" t="n">
        <f aca="false">SUMIFS(報告入力!$BA$7:$BA$696,報告入力!$A$7:$A$696,$S$782,報告入力!$B$7:$B$696,$A814)</f>
        <v>557713</v>
      </c>
      <c r="J814" s="393" t="n">
        <f aca="false">SUM(H814:I814)</f>
        <v>1114406</v>
      </c>
      <c r="K814" s="182" t="n">
        <f aca="false">SUMIFS(報告入力!$BB$7:$BB$696,報告入力!$A$7:$A$696,$S$782,報告入力!$B$7:$B$696,$A814)</f>
        <v>54747</v>
      </c>
      <c r="L814" s="183" t="n">
        <f aca="false">SUMIFS(報告入力!$BC$7:$BC$696,報告入力!$A$7:$A$696,$S$782,報告入力!$B$7:$B$696,$A814)</f>
        <v>54747</v>
      </c>
      <c r="M814" s="135" t="n">
        <f aca="false">SUM(K814:L814)</f>
        <v>109494</v>
      </c>
      <c r="N814" s="182" t="n">
        <f aca="false">SUMIFS(報告入力!$BD$7:$BD$696,報告入力!$A$7:$A$696,$S$782,報告入力!$B$7:$B$696,$A814)</f>
        <v>1</v>
      </c>
      <c r="O814" s="183" t="n">
        <f aca="false">SUMIFS(報告入力!$BE$7:$BE$696,報告入力!$A$7:$A$696,$S$782,報告入力!$B$7:$B$696,$A814)</f>
        <v>1</v>
      </c>
      <c r="P814" s="135" t="n">
        <f aca="false">SUM(N814:O814)</f>
        <v>2</v>
      </c>
      <c r="Q814" s="110" t="str">
        <f aca="false">IF(P749=P814,"〇","×")</f>
        <v>〇</v>
      </c>
      <c r="R814" s="110" t="str">
        <f aca="false">IFERROR(INDEX(報告入力!$C$7:$C$696,MATCH($S$782&amp;"|"&amp;$A814,報告入力!$CG$7:$CG$696,0)),"")</f>
        <v>未受領</v>
      </c>
    </row>
    <row r="815" s="110" customFormat="true" ht="20.1" hidden="false" customHeight="true" outlineLevel="0" collapsed="false">
      <c r="A815" s="100" t="s">
        <v>185</v>
      </c>
      <c r="B815" s="201"/>
      <c r="C815" s="191"/>
      <c r="D815" s="215" t="n">
        <f aca="false">SUMIFS(報告入力!$AW$7:$AW$696,報告入力!$A$7:$A$696,$S$782,報告入力!$B$7:$B$696,$A815)</f>
        <v>571875</v>
      </c>
      <c r="E815" s="213" t="n">
        <f aca="false">SUMIFS(報告入力!$AX$7:$AX$696,報告入力!$A$7:$A$696,$S$782,報告入力!$B$7:$B$696,$A815)</f>
        <v>46875</v>
      </c>
      <c r="F815" s="368" t="n">
        <f aca="false">SUMIFS(報告入力!$AY$7:$AY$696,報告入力!$A$7:$A$696,$S$782,報告入力!$B$7:$B$696,$A815)</f>
        <v>613</v>
      </c>
      <c r="G815" s="181" t="n">
        <f aca="false">SUM(B815:F815)</f>
        <v>619363</v>
      </c>
      <c r="H815" s="202"/>
      <c r="I815" s="183" t="n">
        <f aca="false">SUMIFS(報告入力!$BA$7:$BA$696,報告入力!$A$7:$A$696,$S$782,報告入力!$B$7:$B$696,$A815)</f>
        <v>344467</v>
      </c>
      <c r="J815" s="135" t="n">
        <f aca="false">SUM(H815:I815)</f>
        <v>344467</v>
      </c>
      <c r="K815" s="188"/>
      <c r="L815" s="183" t="n">
        <f aca="false">SUMIFS(報告入力!$BC$7:$BC$696,報告入力!$A$7:$A$696,$S$782,報告入力!$B$7:$B$696,$A815)</f>
        <v>27255</v>
      </c>
      <c r="M815" s="135" t="n">
        <f aca="false">SUM(K815:L815)</f>
        <v>27255</v>
      </c>
      <c r="N815" s="188"/>
      <c r="O815" s="183" t="n">
        <f aca="false">SUMIFS(報告入力!$BE$7:$BE$696,報告入力!$A$7:$A$696,$S$782,報告入力!$B$7:$B$696,$A815)</f>
        <v>1</v>
      </c>
      <c r="P815" s="135" t="n">
        <f aca="false">SUM(N815:O815)</f>
        <v>1</v>
      </c>
      <c r="Q815" s="110" t="str">
        <f aca="false">IF(P750=P815,"〇","×")</f>
        <v>〇</v>
      </c>
      <c r="R815" s="110" t="str">
        <f aca="false">IFERROR(INDEX(報告入力!$C$7:$C$696,MATCH($S$782&amp;"|"&amp;$A815,報告入力!$CG$7:$CG$696,0)),"")</f>
        <v>未受領</v>
      </c>
    </row>
    <row r="816" s="110" customFormat="true" ht="20.1" hidden="false" customHeight="true" outlineLevel="0" collapsed="false">
      <c r="A816" s="203" t="s">
        <v>186</v>
      </c>
      <c r="B816" s="186"/>
      <c r="C816" s="193"/>
      <c r="D816" s="215" t="n">
        <f aca="false">SUMIFS(報告入力!$AW$7:$AW$696,報告入力!$A$7:$A$696,$S$782,報告入力!$B$7:$B$696,$A816)</f>
        <v>1160220</v>
      </c>
      <c r="E816" s="213" t="n">
        <f aca="false">SUMIFS(報告入力!$AX$7:$AX$696,報告入力!$A$7:$A$696,$S$782,報告入力!$B$7:$B$696,$A816)</f>
        <v>95100</v>
      </c>
      <c r="F816" s="368" t="n">
        <f aca="false">SUMIFS(報告入力!$AY$7:$AY$696,報告入力!$A$7:$A$696,$S$782,報告入力!$B$7:$B$696,$A816)</f>
        <v>1185</v>
      </c>
      <c r="G816" s="181" t="n">
        <f aca="false">SUM(B816:F816)</f>
        <v>1256505</v>
      </c>
      <c r="H816" s="188"/>
      <c r="I816" s="183" t="n">
        <f aca="false">SUMIFS(報告入力!$BA$7:$BA$696,報告入力!$A$7:$A$696,$S$782,報告入力!$B$7:$B$696,$A816)</f>
        <v>698790</v>
      </c>
      <c r="J816" s="135" t="n">
        <f aca="false">SUM(H816:I816)</f>
        <v>698790</v>
      </c>
      <c r="K816" s="188"/>
      <c r="L816" s="183" t="n">
        <f aca="false">SUMIFS(報告入力!$BC$7:$BC$696,報告入力!$A$7:$A$696,$S$782,報告入力!$B$7:$B$696,$A816)</f>
        <v>94721</v>
      </c>
      <c r="M816" s="135" t="n">
        <f aca="false">SUM(K816:L816)</f>
        <v>94721</v>
      </c>
      <c r="N816" s="188"/>
      <c r="O816" s="183" t="n">
        <f aca="false">SUMIFS(報告入力!$BE$7:$BE$696,報告入力!$A$7:$A$696,$S$782,報告入力!$B$7:$B$696,$A816)</f>
        <v>1</v>
      </c>
      <c r="P816" s="135" t="n">
        <f aca="false">SUM(N816:O816)</f>
        <v>1</v>
      </c>
      <c r="Q816" s="110" t="str">
        <f aca="false">IF(P751=P816,"〇","×")</f>
        <v>〇</v>
      </c>
      <c r="R816" s="110" t="str">
        <f aca="false">IFERROR(INDEX(報告入力!$C$7:$C$696,MATCH($S$782&amp;"|"&amp;$A816,報告入力!$CG$7:$CG$696,0)),"")</f>
        <v>未受領</v>
      </c>
    </row>
    <row r="817" s="110" customFormat="true" ht="20.1" hidden="false" customHeight="true" outlineLevel="0" collapsed="false">
      <c r="A817" s="204" t="s">
        <v>187</v>
      </c>
      <c r="B817" s="186"/>
      <c r="C817" s="193"/>
      <c r="D817" s="215" t="n">
        <f aca="false">SUMIFS(報告入力!$AW$7:$AW$696,報告入力!$A$7:$A$696,$S$782,報告入力!$B$7:$B$696,$A817)</f>
        <v>0</v>
      </c>
      <c r="E817" s="213" t="n">
        <f aca="false">SUMIFS(報告入力!$AX$7:$AX$696,報告入力!$A$7:$A$696,$S$782,報告入力!$B$7:$B$696,$A817)</f>
        <v>0</v>
      </c>
      <c r="F817" s="368" t="n">
        <f aca="false">SUMIFS(報告入力!$AY$7:$AY$696,報告入力!$A$7:$A$696,$S$782,報告入力!$B$7:$B$696,$A817)</f>
        <v>0</v>
      </c>
      <c r="G817" s="181" t="n">
        <f aca="false">SUM(B817:F817)</f>
        <v>0</v>
      </c>
      <c r="H817" s="188"/>
      <c r="I817" s="183" t="n">
        <f aca="false">SUMIFS(報告入力!$BA$7:$BA$696,報告入力!$A$7:$A$696,$S$782,報告入力!$B$7:$B$696,$A817)</f>
        <v>0</v>
      </c>
      <c r="J817" s="135" t="n">
        <f aca="false">SUM(H817:I817)</f>
        <v>0</v>
      </c>
      <c r="K817" s="188"/>
      <c r="L817" s="183" t="n">
        <f aca="false">SUMIFS(報告入力!$BC$7:$BC$696,報告入力!$A$7:$A$696,$S$782,報告入力!$B$7:$B$696,$A817)</f>
        <v>0</v>
      </c>
      <c r="M817" s="135" t="n">
        <f aca="false">SUM(K817:L817)</f>
        <v>0</v>
      </c>
      <c r="N817" s="188"/>
      <c r="O817" s="183" t="n">
        <f aca="false">SUMIFS(報告入力!$BE$7:$BE$696,報告入力!$A$7:$A$696,$S$782,報告入力!$B$7:$B$696,$A817)</f>
        <v>0</v>
      </c>
      <c r="P817" s="135" t="n">
        <f aca="false">SUM(N817:O817)</f>
        <v>0</v>
      </c>
      <c r="Q817" s="110" t="str">
        <f aca="false">IF(P752=P817,"〇","×")</f>
        <v>〇</v>
      </c>
      <c r="R817" s="110" t="str">
        <f aca="false">IFERROR(INDEX(報告入力!$C$7:$C$696,MATCH($S$782&amp;"|"&amp;$A817,報告入力!$CG$7:$CG$696,0)),"")</f>
        <v>未受領</v>
      </c>
    </row>
    <row r="818" s="432" customFormat="true" ht="20.1" hidden="false" customHeight="true" outlineLevel="0" collapsed="false">
      <c r="A818" s="426" t="s">
        <v>188</v>
      </c>
      <c r="B818" s="427"/>
      <c r="C818" s="428"/>
      <c r="D818" s="215" t="n">
        <f aca="false">SUMIFS(報告入力!$AW$7:$AW$696,報告入力!$A$7:$A$696,$S$782,報告入力!$B$7:$B$696,$A818)</f>
        <v>402600</v>
      </c>
      <c r="E818" s="213" t="n">
        <f aca="false">SUMIFS(報告入力!$AX$7:$AX$696,報告入力!$A$7:$A$696,$S$782,報告入力!$B$7:$B$696,$A818)</f>
        <v>33000</v>
      </c>
      <c r="F818" s="368" t="n">
        <f aca="false">SUMIFS(報告入力!$AY$7:$AY$696,報告入力!$A$7:$A$696,$S$782,報告入力!$B$7:$B$696,$A818)</f>
        <v>412</v>
      </c>
      <c r="G818" s="429" t="n">
        <f aca="false">SUM(B818:F818)</f>
        <v>436012</v>
      </c>
      <c r="H818" s="430"/>
      <c r="I818" s="183" t="n">
        <f aca="false">SUMIFS(報告入力!$BA$7:$BA$696,報告入力!$A$7:$A$696,$S$782,報告入力!$B$7:$B$696,$A818)</f>
        <v>242482</v>
      </c>
      <c r="J818" s="135" t="n">
        <f aca="false">SUM(H818:I818)</f>
        <v>242482</v>
      </c>
      <c r="K818" s="430"/>
      <c r="L818" s="183" t="n">
        <f aca="false">SUMIFS(報告入力!$BC$7:$BC$696,報告入力!$A$7:$A$696,$S$782,報告入力!$B$7:$B$696,$A818)</f>
        <v>34760</v>
      </c>
      <c r="M818" s="135" t="n">
        <f aca="false">SUM(K818:L818)</f>
        <v>34760</v>
      </c>
      <c r="N818" s="430"/>
      <c r="O818" s="183" t="n">
        <f aca="false">SUMIFS(報告入力!$BE$7:$BE$696,報告入力!$A$7:$A$696,$S$782,報告入力!$B$7:$B$696,$A818)</f>
        <v>1</v>
      </c>
      <c r="P818" s="431" t="n">
        <f aca="false">SUM(N818:O818)</f>
        <v>1</v>
      </c>
      <c r="Q818" s="432" t="str">
        <f aca="false">IF(P753=P818,"〇","×")</f>
        <v>〇</v>
      </c>
      <c r="R818" s="432" t="str">
        <f aca="false">IFERROR(INDEX(報告入力!$C$7:$C$696,MATCH($S$782&amp;"|"&amp;$A818,報告入力!$CG$7:$CG$696,0)),"")</f>
        <v>未受領</v>
      </c>
    </row>
    <row r="819" s="110" customFormat="true" ht="20.1" hidden="false" customHeight="true" outlineLevel="0" collapsed="false">
      <c r="A819" s="121" t="s">
        <v>189</v>
      </c>
      <c r="B819" s="215" t="n">
        <f aca="false">SUMIFS(報告入力!$AU$7:$AU$696,報告入力!$A$7:$A$696,$S$782,報告入力!$B$7:$B$696,$A819)</f>
        <v>137250</v>
      </c>
      <c r="C819" s="368" t="n">
        <f aca="false">SUMIFS(報告入力!$AV$7:$AV$696,報告入力!$A$7:$A$696,$S$782,報告入力!$B$7:$B$696,$A819)</f>
        <v>11250</v>
      </c>
      <c r="D819" s="215" t="n">
        <f aca="false">SUMIFS(報告入力!$AW$7:$AW$696,報告入力!$A$7:$A$696,$S$782,報告入力!$B$7:$B$696,$A819)</f>
        <v>137250</v>
      </c>
      <c r="E819" s="213" t="n">
        <f aca="false">SUMIFS(報告入力!$AX$7:$AX$696,報告入力!$A$7:$A$696,$S$782,報告入力!$B$7:$B$696,$A819)</f>
        <v>11250</v>
      </c>
      <c r="F819" s="368" t="n">
        <f aca="false">SUMIFS(報告入力!$AY$7:$AY$696,報告入力!$A$7:$A$696,$S$782,報告入力!$B$7:$B$696,$A819)</f>
        <v>140</v>
      </c>
      <c r="G819" s="181" t="n">
        <f aca="false">SUM(B819:F819)</f>
        <v>297140</v>
      </c>
      <c r="H819" s="182" t="n">
        <f aca="false">SUMIFS(報告入力!$AZ$7:$AZ$696,報告入力!$A$7:$A$696,$S$782,報告入力!$B$7:$B$696,$A819)</f>
        <v>82514</v>
      </c>
      <c r="I819" s="370" t="n">
        <f aca="false">SUMIFS(報告入力!$BA$7:$BA$696,報告入力!$A$7:$A$696,$S$782,報告入力!$B$7:$B$696,$A819)</f>
        <v>82665</v>
      </c>
      <c r="J819" s="135" t="n">
        <f aca="false">SUM(H819:I819)</f>
        <v>165179</v>
      </c>
      <c r="K819" s="182" t="n">
        <f aca="false">SUMIFS(報告入力!$BB$7:$BB$696,報告入力!$A$7:$A$696,$S$782,報告入力!$B$7:$B$696,$A819)</f>
        <v>8611</v>
      </c>
      <c r="L819" s="370" t="n">
        <f aca="false">SUMIFS(報告入力!$BC$7:$BC$696,報告入力!$A$7:$A$696,$S$782,報告入力!$B$7:$B$696,$A819)</f>
        <v>8611</v>
      </c>
      <c r="M819" s="135" t="n">
        <f aca="false">SUM(K819:L819)</f>
        <v>17222</v>
      </c>
      <c r="N819" s="182" t="n">
        <f aca="false">SUMIFS(報告入力!$BD$7:$BD$696,報告入力!$A$7:$A$696,$S$782,報告入力!$B$7:$B$696,$A819)</f>
        <v>1</v>
      </c>
      <c r="O819" s="370" t="n">
        <f aca="false">SUMIFS(報告入力!$BE$7:$BE$696,報告入力!$A$7:$A$696,$S$782,報告入力!$B$7:$B$696,$A819)</f>
        <v>1</v>
      </c>
      <c r="P819" s="135" t="n">
        <f aca="false">SUM(N819:O819)</f>
        <v>2</v>
      </c>
      <c r="Q819" s="110" t="str">
        <f aca="false">IF(P754=P819,"〇","×")</f>
        <v>〇</v>
      </c>
      <c r="R819" s="110" t="str">
        <f aca="false">IFERROR(INDEX(報告入力!$C$7:$C$696,MATCH($S$782&amp;"|"&amp;$A819,報告入力!$CG$7:$CG$696,0)),"")</f>
        <v>未受領</v>
      </c>
    </row>
    <row r="820" s="110" customFormat="true" ht="20.1" hidden="false" customHeight="true" outlineLevel="0" collapsed="false">
      <c r="A820" s="206" t="s">
        <v>190</v>
      </c>
      <c r="B820" s="201"/>
      <c r="C820" s="191"/>
      <c r="D820" s="215" t="n">
        <f aca="false">SUMIFS(報告入力!$AW$7:$AW$696,報告入力!$A$7:$A$696,$S$782,報告入力!$B$7:$B$696,$A820)</f>
        <v>477630</v>
      </c>
      <c r="E820" s="369" t="n">
        <f aca="false">SUMIFS(報告入力!$AX$7:$AX$696,報告入力!$A$7:$A$696,$S$782,報告入力!$B$7:$B$696,$A820)</f>
        <v>39150</v>
      </c>
      <c r="F820" s="368" t="n">
        <f aca="false">SUMIFS(報告入力!$AY$7:$AY$696,報告入力!$A$7:$A$696,$S$782,報告入力!$B$7:$B$696,$A820)</f>
        <v>490</v>
      </c>
      <c r="G820" s="181" t="n">
        <f aca="false">SUM(B820:F820)</f>
        <v>517270</v>
      </c>
      <c r="H820" s="202"/>
      <c r="I820" s="183" t="n">
        <f aca="false">SUMIFS(報告入力!$BA$7:$BA$696,報告入力!$A$7:$A$696,$S$782,報告入力!$B$7:$B$696,$A820)</f>
        <v>293185</v>
      </c>
      <c r="J820" s="135" t="n">
        <f aca="false">SUM(H820:I820)</f>
        <v>293185</v>
      </c>
      <c r="K820" s="188"/>
      <c r="L820" s="134" t="n">
        <f aca="false">SUMIFS(報告入力!$BC$7:$BC$696,報告入力!$A$7:$A$696,$S$782,報告入力!$B$7:$B$696,$A820)</f>
        <v>25517</v>
      </c>
      <c r="M820" s="135" t="n">
        <f aca="false">SUM(K820:L820)</f>
        <v>25517</v>
      </c>
      <c r="N820" s="188"/>
      <c r="O820" s="183" t="n">
        <f aca="false">SUMIFS(報告入力!$BE$7:$BE$696,報告入力!$A$7:$A$696,$S$782,報告入力!$B$7:$B$696,$A820)</f>
        <v>1</v>
      </c>
      <c r="P820" s="135" t="n">
        <f aca="false">SUM(N820:O820)</f>
        <v>1</v>
      </c>
      <c r="Q820" s="110" t="str">
        <f aca="false">IF(P755=P820,"〇","×")</f>
        <v>〇</v>
      </c>
      <c r="R820" s="110" t="str">
        <f aca="false">IFERROR(INDEX(報告入力!$C$7:$C$696,MATCH($S$782&amp;"|"&amp;$A820,報告入力!$CG$7:$CG$696,0)),"")</f>
        <v>受領済</v>
      </c>
    </row>
    <row r="821" s="110" customFormat="true" ht="20.1" hidden="false" customHeight="true" outlineLevel="0" collapsed="false">
      <c r="A821" s="189" t="s">
        <v>191</v>
      </c>
      <c r="B821" s="215" t="n">
        <f aca="false">SUMIFS(報告入力!$AU$7:$AU$696,報告入力!$A$7:$A$696,$S$782,報告入力!$B$7:$B$696,$A821)</f>
        <v>56730</v>
      </c>
      <c r="C821" s="368" t="n">
        <f aca="false">SUMIFS(報告入力!$AV$7:$AV$696,報告入力!$A$7:$A$696,$S$782,報告入力!$B$7:$B$696,$A821)</f>
        <v>4650</v>
      </c>
      <c r="D821" s="215" t="n">
        <f aca="false">SUMIFS(報告入力!$AW$7:$AW$696,報告入力!$A$7:$A$696,$S$782,報告入力!$B$7:$B$696,$A821)</f>
        <v>56730</v>
      </c>
      <c r="E821" s="213" t="n">
        <f aca="false">SUMIFS(報告入力!$AX$7:$AX$696,報告入力!$A$7:$A$696,$S$782,報告入力!$B$7:$B$696,$A821)</f>
        <v>4650</v>
      </c>
      <c r="F821" s="368" t="n">
        <f aca="false">SUMIFS(報告入力!$AY$7:$AY$696,報告入力!$A$7:$A$696,$S$782,報告入力!$B$7:$B$696,$A821)</f>
        <v>58</v>
      </c>
      <c r="G821" s="181" t="n">
        <f aca="false">SUM(B821:F821)</f>
        <v>122818</v>
      </c>
      <c r="H821" s="182" t="n">
        <f aca="false">SUMIFS(報告入力!$AZ$7:$AZ$696,報告入力!$A$7:$A$696,$S$782,報告入力!$B$7:$B$696,$A821)</f>
        <v>34106</v>
      </c>
      <c r="I821" s="183" t="n">
        <f aca="false">SUMIFS(報告入力!$BA$7:$BA$696,報告入力!$A$7:$A$696,$S$782,報告入力!$B$7:$B$696,$A821)</f>
        <v>34168</v>
      </c>
      <c r="J821" s="135" t="n">
        <f aca="false">SUM(H821:I821)</f>
        <v>68274</v>
      </c>
      <c r="K821" s="182" t="n">
        <f aca="false">SUMIFS(報告入力!$BB$7:$BB$696,報告入力!$A$7:$A$696,$S$782,報告入力!$B$7:$B$696,$A821)</f>
        <v>4898</v>
      </c>
      <c r="L821" s="183" t="n">
        <f aca="false">SUMIFS(報告入力!$BC$7:$BC$696,報告入力!$A$7:$A$696,$S$782,報告入力!$B$7:$B$696,$A821)</f>
        <v>4898</v>
      </c>
      <c r="M821" s="135" t="n">
        <f aca="false">SUM(K821:L821)</f>
        <v>9796</v>
      </c>
      <c r="N821" s="182" t="n">
        <f aca="false">SUMIFS(報告入力!$BD$7:$BD$696,報告入力!$A$7:$A$696,$S$782,報告入力!$B$7:$B$696,$A821)</f>
        <v>1</v>
      </c>
      <c r="O821" s="183" t="n">
        <f aca="false">SUMIFS(報告入力!$BE$7:$BE$696,報告入力!$A$7:$A$696,$S$782,報告入力!$B$7:$B$696,$A821)</f>
        <v>1</v>
      </c>
      <c r="P821" s="135" t="n">
        <f aca="false">SUM(N821:O821)</f>
        <v>2</v>
      </c>
      <c r="Q821" s="110" t="str">
        <f aca="false">IF(P756=P821,"〇","×")</f>
        <v>〇</v>
      </c>
      <c r="R821" s="110" t="str">
        <f aca="false">IFERROR(INDEX(報告入力!$C$7:$C$696,MATCH($S$782&amp;"|"&amp;$A821,報告入力!$CG$7:$CG$696,0)),"")</f>
        <v>未受領</v>
      </c>
    </row>
    <row r="822" s="110" customFormat="true" ht="20.1" hidden="false" customHeight="true" outlineLevel="0" collapsed="false">
      <c r="A822" s="189" t="s">
        <v>192</v>
      </c>
      <c r="B822" s="215" t="n">
        <f aca="false">SUMIFS(報告入力!$AU$7:$AU$696,報告入力!$A$7:$A$696,$S$782,報告入力!$B$7:$B$696,$A822)</f>
        <v>59475</v>
      </c>
      <c r="C822" s="368" t="n">
        <f aca="false">SUMIFS(報告入力!$AV$7:$AV$696,報告入力!$A$7:$A$696,$S$782,報告入力!$B$7:$B$696,$A822)</f>
        <v>4875</v>
      </c>
      <c r="D822" s="215" t="n">
        <f aca="false">SUMIFS(報告入力!$AW$7:$AW$696,報告入力!$A$7:$A$696,$S$782,報告入力!$B$7:$B$696,$A822)</f>
        <v>59475</v>
      </c>
      <c r="E822" s="213" t="n">
        <f aca="false">SUMIFS(報告入力!$AX$7:$AX$696,報告入力!$A$7:$A$696,$S$782,報告入力!$B$7:$B$696,$A822)</f>
        <v>4875</v>
      </c>
      <c r="F822" s="368" t="n">
        <f aca="false">SUMIFS(報告入力!$AY$7:$AY$696,報告入力!$A$7:$A$696,$S$782,報告入力!$B$7:$B$696,$A822)</f>
        <v>61</v>
      </c>
      <c r="G822" s="181" t="n">
        <f aca="false">SUM(B822:F822)</f>
        <v>128761</v>
      </c>
      <c r="H822" s="182" t="n">
        <f aca="false">SUMIFS(報告入力!$AZ$7:$AZ$696,報告入力!$A$7:$A$696,$S$782,報告入力!$B$7:$B$696,$A822)</f>
        <v>41257</v>
      </c>
      <c r="I822" s="183" t="n">
        <f aca="false">SUMIFS(報告入力!$BA$7:$BA$696,報告入力!$A$7:$A$696,$S$782,報告入力!$B$7:$B$696,$A822)</f>
        <v>41332</v>
      </c>
      <c r="J822" s="135" t="n">
        <f aca="false">SUM(H822:I822)</f>
        <v>82589</v>
      </c>
      <c r="K822" s="182" t="n">
        <f aca="false">SUMIFS(報告入力!$BB$7:$BB$696,報告入力!$A$7:$A$696,$S$782,報告入力!$B$7:$B$696,$A822)</f>
        <v>5925</v>
      </c>
      <c r="L822" s="183" t="n">
        <f aca="false">SUMIFS(報告入力!$BC$7:$BC$696,報告入力!$A$7:$A$696,$S$782,報告入力!$B$7:$B$696,$A822)</f>
        <v>5925</v>
      </c>
      <c r="M822" s="135" t="n">
        <f aca="false">SUM(K822:L822)</f>
        <v>11850</v>
      </c>
      <c r="N822" s="182" t="n">
        <f aca="false">SUMIFS(報告入力!$BD$7:$BD$696,報告入力!$A$7:$A$696,$S$782,報告入力!$B$7:$B$696,$A822)</f>
        <v>1</v>
      </c>
      <c r="O822" s="183" t="n">
        <f aca="false">SUMIFS(報告入力!$BE$7:$BE$696,報告入力!$A$7:$A$696,$S$782,報告入力!$B$7:$B$696,$A822)</f>
        <v>1</v>
      </c>
      <c r="P822" s="135" t="n">
        <f aca="false">SUM(N822:O822)</f>
        <v>2</v>
      </c>
      <c r="Q822" s="110" t="str">
        <f aca="false">IF(P757=P822,"〇","×")</f>
        <v>〇</v>
      </c>
      <c r="R822" s="110" t="str">
        <f aca="false">IFERROR(INDEX(報告入力!$C$7:$C$696,MATCH($S$782&amp;"|"&amp;$A822,報告入力!$CG$7:$CG$696,0)),"")</f>
        <v>未受領</v>
      </c>
    </row>
    <row r="823" s="110" customFormat="true" ht="20.1" hidden="false" customHeight="true" outlineLevel="0" collapsed="false">
      <c r="A823" s="189" t="s">
        <v>193</v>
      </c>
      <c r="B823" s="215" t="n">
        <f aca="false">SUMIFS(報告入力!$AU$7:$AU$696,報告入力!$A$7:$A$696,$S$782,報告入力!$B$7:$B$696,$A823)</f>
        <v>53985</v>
      </c>
      <c r="C823" s="368" t="n">
        <f aca="false">SUMIFS(報告入力!$AV$7:$AV$696,報告入力!$A$7:$A$696,$S$782,報告入力!$B$7:$B$696,$A823)</f>
        <v>4425</v>
      </c>
      <c r="D823" s="215" t="n">
        <f aca="false">SUMIFS(報告入力!$AW$7:$AW$696,報告入力!$A$7:$A$696,$S$782,報告入力!$B$7:$B$696,$A823)</f>
        <v>53985</v>
      </c>
      <c r="E823" s="213" t="n">
        <f aca="false">SUMIFS(報告入力!$AX$7:$AX$696,報告入力!$A$7:$A$696,$S$782,報告入力!$B$7:$B$696,$A823)</f>
        <v>4425</v>
      </c>
      <c r="F823" s="368" t="n">
        <f aca="false">SUMIFS(報告入力!$AY$7:$AY$696,報告入力!$A$7:$A$696,$S$782,報告入力!$B$7:$B$696,$A823)</f>
        <v>55</v>
      </c>
      <c r="G823" s="181" t="n">
        <f aca="false">SUM(B823:F823)</f>
        <v>116875</v>
      </c>
      <c r="H823" s="182" t="n">
        <f aca="false">SUMIFS(報告入力!$AZ$7:$AZ$696,報告入力!$A$7:$A$696,$S$782,報告入力!$B$7:$B$696,$A823)</f>
        <v>32455</v>
      </c>
      <c r="I823" s="183" t="n">
        <f aca="false">SUMIFS(報告入力!$BA$7:$BA$696,報告入力!$A$7:$A$696,$S$782,報告入力!$B$7:$B$696,$A823)</f>
        <v>32514</v>
      </c>
      <c r="J823" s="135" t="n">
        <f aca="false">SUM(H823:I823)</f>
        <v>64969</v>
      </c>
      <c r="K823" s="182" t="n">
        <f aca="false">SUMIFS(報告入力!$BB$7:$BB$696,報告入力!$A$7:$A$696,$S$782,報告入力!$B$7:$B$696,$A823)</f>
        <v>0</v>
      </c>
      <c r="L823" s="183" t="n">
        <f aca="false">SUMIFS(報告入力!$BC$7:$BC$696,報告入力!$A$7:$A$696,$S$782,報告入力!$B$7:$B$696,$A823)</f>
        <v>0</v>
      </c>
      <c r="M823" s="135" t="n">
        <f aca="false">SUM(K823:L823)</f>
        <v>0</v>
      </c>
      <c r="N823" s="182" t="n">
        <f aca="false">SUMIFS(報告入力!$BD$7:$BD$696,報告入力!$A$7:$A$696,$S$782,報告入力!$B$7:$B$696,$A823)</f>
        <v>1</v>
      </c>
      <c r="O823" s="183" t="n">
        <f aca="false">SUMIFS(報告入力!$BE$7:$BE$696,報告入力!$A$7:$A$696,$S$782,報告入力!$B$7:$B$696,$A823)</f>
        <v>1</v>
      </c>
      <c r="P823" s="135" t="n">
        <f aca="false">SUM(N823:O823)</f>
        <v>2</v>
      </c>
      <c r="Q823" s="110" t="str">
        <f aca="false">IF(P758=P823,"〇","×")</f>
        <v>〇</v>
      </c>
      <c r="R823" s="110" t="str">
        <f aca="false">IFERROR(INDEX(報告入力!$C$7:$C$696,MATCH($S$782&amp;"|"&amp;$A823,報告入力!$CG$7:$CG$696,0)),"")</f>
        <v>未受領</v>
      </c>
    </row>
    <row r="824" s="110" customFormat="true" ht="20.1" hidden="false" customHeight="true" outlineLevel="0" collapsed="false">
      <c r="A824" s="121" t="s">
        <v>194</v>
      </c>
      <c r="B824" s="215" t="n">
        <f aca="false">SUMIFS(報告入力!$AU$7:$AU$696,報告入力!$A$7:$A$696,$S$782,報告入力!$B$7:$B$696,$A824)</f>
        <v>1197735</v>
      </c>
      <c r="C824" s="368" t="n">
        <f aca="false">SUMIFS(報告入力!$AV$7:$AV$696,報告入力!$A$7:$A$696,$S$782,報告入力!$B$7:$B$696,$A824)</f>
        <v>98175</v>
      </c>
      <c r="D824" s="215" t="n">
        <f aca="false">SUMIFS(報告入力!$AW$7:$AW$696,報告入力!$A$7:$A$696,$S$782,報告入力!$B$7:$B$696,$A824)</f>
        <v>1197735</v>
      </c>
      <c r="E824" s="213" t="n">
        <f aca="false">SUMIFS(報告入力!$AX$7:$AX$696,報告入力!$A$7:$A$696,$S$782,報告入力!$B$7:$B$696,$A824)</f>
        <v>98175</v>
      </c>
      <c r="F824" s="368" t="n">
        <f aca="false">SUMIFS(報告入力!$AY$7:$AY$696,報告入力!$A$7:$A$696,$S$782,報告入力!$B$7:$B$696,$A824)</f>
        <v>1340</v>
      </c>
      <c r="G824" s="181" t="n">
        <f aca="false">SUM(B824:F824)</f>
        <v>2593160</v>
      </c>
      <c r="H824" s="182" t="n">
        <f aca="false">SUMIFS(報告入力!$AZ$7:$AZ$696,報告入力!$A$7:$A$696,$S$782,報告入力!$B$7:$B$696,$A824)</f>
        <v>720070</v>
      </c>
      <c r="I824" s="183" t="n">
        <f aca="false">SUMIFS(報告入力!$BA$7:$BA$696,報告入力!$A$7:$A$696,$S$782,報告入力!$B$7:$B$696,$A824)</f>
        <v>721509</v>
      </c>
      <c r="J824" s="135" t="n">
        <f aca="false">SUM(H824:I824)</f>
        <v>1441579</v>
      </c>
      <c r="K824" s="182" t="n">
        <f aca="false">SUMIFS(報告入力!$BB$7:$BB$696,報告入力!$A$7:$A$696,$S$782,報告入力!$B$7:$B$696,$A824)</f>
        <v>67940</v>
      </c>
      <c r="L824" s="183" t="n">
        <f aca="false">SUMIFS(報告入力!$BC$7:$BC$696,報告入力!$A$7:$A$696,$S$782,報告入力!$B$7:$B$696,$A824)</f>
        <v>67940</v>
      </c>
      <c r="M824" s="135" t="n">
        <f aca="false">SUM(K824:L824)</f>
        <v>135880</v>
      </c>
      <c r="N824" s="182" t="n">
        <f aca="false">SUMIFS(報告入力!$BD$7:$BD$696,報告入力!$A$7:$A$696,$S$782,報告入力!$B$7:$B$696,$A824)</f>
        <v>1</v>
      </c>
      <c r="O824" s="183" t="n">
        <f aca="false">SUMIFS(報告入力!$BE$7:$BE$696,報告入力!$A$7:$A$696,$S$782,報告入力!$B$7:$B$696,$A824)</f>
        <v>1</v>
      </c>
      <c r="P824" s="135" t="n">
        <f aca="false">SUM(N824:O824)</f>
        <v>2</v>
      </c>
      <c r="Q824" s="110" t="str">
        <f aca="false">IF(P759=P824,"〇","×")</f>
        <v>〇</v>
      </c>
      <c r="R824" s="110" t="str">
        <f aca="false">IFERROR(INDEX(報告入力!$C$7:$C$696,MATCH($S$782&amp;"|"&amp;$A824,報告入力!$CG$7:$CG$696,0)),"")</f>
        <v>未受領</v>
      </c>
    </row>
    <row r="825" s="110" customFormat="true" ht="20.1" hidden="false" customHeight="true" outlineLevel="0" collapsed="false">
      <c r="A825" s="121" t="s">
        <v>195</v>
      </c>
      <c r="B825" s="201"/>
      <c r="C825" s="191"/>
      <c r="D825" s="215" t="n">
        <f aca="false">SUMIFS(報告入力!$AW$7:$AW$696,報告入力!$A$7:$A$696,$S$782,報告入力!$B$7:$B$696,$A825)</f>
        <v>245220</v>
      </c>
      <c r="E825" s="213" t="n">
        <f aca="false">SUMIFS(報告入力!$AX$7:$AX$696,報告入力!$A$7:$A$696,$S$782,報告入力!$B$7:$B$696,$A825)</f>
        <v>20100</v>
      </c>
      <c r="F825" s="368" t="n">
        <f aca="false">SUMIFS(報告入力!$AY$7:$AY$696,報告入力!$A$7:$A$696,$S$782,報告入力!$B$7:$B$696,$A825)</f>
        <v>251</v>
      </c>
      <c r="G825" s="181" t="n">
        <f aca="false">SUM(B825:F825)</f>
        <v>265571</v>
      </c>
      <c r="H825" s="202"/>
      <c r="I825" s="183" t="n">
        <f aca="false">SUMIFS(報告入力!$BA$7:$BA$696,報告入力!$A$7:$A$696,$S$782,報告入力!$B$7:$B$696,$A825)</f>
        <v>151001</v>
      </c>
      <c r="J825" s="135" t="n">
        <f aca="false">SUM(H825:I825)</f>
        <v>151001</v>
      </c>
      <c r="K825" s="202"/>
      <c r="L825" s="214" t="n">
        <f aca="false">SUMIFS(報告入力!$BC$7:$BC$696,報告入力!$A$7:$A$696,$S$782,報告入力!$B$7:$B$696,$A825)</f>
        <v>10744</v>
      </c>
      <c r="M825" s="135" t="n">
        <f aca="false">SUM(K825:L825)</f>
        <v>10744</v>
      </c>
      <c r="N825" s="202"/>
      <c r="O825" s="214" t="n">
        <f aca="false">SUMIFS(報告入力!$BE$7:$BE$696,報告入力!$A$7:$A$696,$S$782,報告入力!$B$7:$B$696,$A825)</f>
        <v>1</v>
      </c>
      <c r="P825" s="135" t="n">
        <f aca="false">SUM(N825:O825)</f>
        <v>1</v>
      </c>
      <c r="Q825" s="110" t="str">
        <f aca="false">IF(P760=P825,"〇","×")</f>
        <v>〇</v>
      </c>
      <c r="R825" s="110" t="str">
        <f aca="false">IFERROR(INDEX(報告入力!$C$7:$C$696,MATCH($S$782&amp;"|"&amp;$A825,報告入力!$CG$7:$CG$696,0)),"")</f>
        <v>未受領</v>
      </c>
    </row>
    <row r="826" s="110" customFormat="true" ht="19.5" hidden="false" customHeight="true" outlineLevel="0" collapsed="false">
      <c r="A826" s="207" t="s">
        <v>196</v>
      </c>
      <c r="B826" s="215" t="n">
        <f aca="false">SUMIFS(報告入力!$AU$7:$AU$696,報告入力!$A$7:$A$696,$S$782,報告入力!$B$7:$B$696,$A826)</f>
        <v>123538633</v>
      </c>
      <c r="C826" s="368" t="n">
        <f aca="false">SUMIFS(報告入力!$AV$7:$AV$696,報告入力!$A$7:$A$696,$S$782,報告入力!$B$7:$B$696,$A826)</f>
        <v>10126117</v>
      </c>
      <c r="D826" s="215" t="n">
        <f aca="false">SUMIFS(報告入力!$AW$7:$AW$696,報告入力!$A$7:$A$696,$S$782,報告入力!$B$7:$B$696,$A826)</f>
        <v>183046981</v>
      </c>
      <c r="E826" s="213" t="n">
        <f aca="false">SUMIFS(報告入力!$AX$7:$AX$696,報告入力!$A$7:$A$696,$S$782,報告入力!$B$7:$B$696,$A826)</f>
        <v>10126117</v>
      </c>
      <c r="F826" s="368" t="n">
        <f aca="false">SUMIFS(報告入力!$AY$7:$AY$696,報告入力!$A$7:$A$696,$S$782,報告入力!$B$7:$B$696,$A826)</f>
        <v>134539</v>
      </c>
      <c r="G826" s="181" t="n">
        <f aca="false">SUM(B826:F826)</f>
        <v>326972387</v>
      </c>
      <c r="H826" s="182" t="n">
        <f aca="false">SUMIFS(報告入力!$AZ$7:$AZ$696,報告入力!$A$7:$A$696,$S$782,報告入力!$B$7:$B$696,$A826)</f>
        <v>96329864</v>
      </c>
      <c r="I826" s="183" t="n">
        <f aca="false">SUMIFS(報告入力!$BA$7:$BA$696,報告入力!$A$7:$A$696,$S$782,報告入力!$B$7:$B$696,$A826)</f>
        <v>96517913</v>
      </c>
      <c r="J826" s="135" t="n">
        <f aca="false">SUM(H826:I826)</f>
        <v>192847777</v>
      </c>
      <c r="K826" s="182" t="n">
        <f aca="false">SUMIFS(報告入力!$BB$7:$BB$696,報告入力!$A$7:$A$696,$S$782,報告入力!$B$7:$B$696,$A826)</f>
        <v>7858664</v>
      </c>
      <c r="L826" s="183" t="n">
        <f aca="false">SUMIFS(報告入力!$BC$7:$BC$696,報告入力!$A$7:$A$696,$S$782,報告入力!$B$7:$B$696,$A826)</f>
        <v>7858664</v>
      </c>
      <c r="M826" s="135" t="n">
        <f aca="false">SUM(K826:L826)</f>
        <v>15717328</v>
      </c>
      <c r="N826" s="182" t="n">
        <f aca="false">SUMIFS(報告入力!$BD$7:$BD$696,報告入力!$A$7:$A$696,$S$782,報告入力!$B$7:$B$696,$A826)</f>
        <v>1</v>
      </c>
      <c r="O826" s="183" t="n">
        <f aca="false">SUMIFS(報告入力!$BE$7:$BE$696,報告入力!$A$7:$A$696,$S$782,報告入力!$B$7:$B$696,$A826)</f>
        <v>1</v>
      </c>
      <c r="P826" s="135" t="n">
        <f aca="false">SUM(N826:O826)</f>
        <v>2</v>
      </c>
      <c r="Q826" s="110" t="str">
        <f aca="false">IF(P761=P826,"〇","×")</f>
        <v>〇</v>
      </c>
      <c r="R826" s="110" t="str">
        <f aca="false">IFERROR(INDEX(報告入力!$C$7:$C$696,MATCH($S$782&amp;"|"&amp;$A826,報告入力!$CG$7:$CG$696,0)),"")</f>
        <v>未受領</v>
      </c>
    </row>
    <row r="827" s="137" customFormat="true" ht="21.75" hidden="false" customHeight="true" outlineLevel="0" collapsed="false">
      <c r="A827" s="374" t="s">
        <v>197</v>
      </c>
      <c r="B827" s="127"/>
      <c r="C827" s="131"/>
      <c r="D827" s="127"/>
      <c r="E827" s="209"/>
      <c r="F827" s="131"/>
      <c r="G827" s="210" t="n">
        <f aca="false">SUM(B827:F827)</f>
        <v>0</v>
      </c>
      <c r="H827" s="213" t="n">
        <f aca="false">SUMIFS(報告入力!$AZ$7:$AZ$696,報告入力!$A$7:$A$696,$S$782,報告入力!$B$7:$B$696,$A827)</f>
        <v>108364</v>
      </c>
      <c r="I827" s="370" t="n">
        <f aca="false">SUMIFS(報告入力!$BA$7:$BA$696,報告入力!$A$7:$A$696,$S$782,報告入力!$B$7:$B$696,$A827)</f>
        <v>108566</v>
      </c>
      <c r="J827" s="135" t="n">
        <f aca="false">SUM(H827:I827)</f>
        <v>216930</v>
      </c>
      <c r="K827" s="215" t="n">
        <f aca="false">SUMIFS(報告入力!$BB$7:$BB$696,報告入力!$A$7:$A$696,$S$782,報告入力!$B$7:$B$696,$A827)</f>
        <v>12245</v>
      </c>
      <c r="L827" s="370" t="n">
        <f aca="false">SUMIFS(報告入力!$BC$7:$BC$696,報告入力!$A$7:$A$696,$S$782,報告入力!$B$7:$B$696,$A827)</f>
        <v>12245</v>
      </c>
      <c r="M827" s="135" t="n">
        <f aca="false">SUM(K827:L827)</f>
        <v>24490</v>
      </c>
      <c r="N827" s="215" t="n">
        <f aca="false">SUMIFS(報告入力!$BD$7:$BD$696,報告入力!$A$7:$A$696,$S$782,報告入力!$B$7:$B$696,$A827)</f>
        <v>1</v>
      </c>
      <c r="O827" s="370" t="n">
        <f aca="false">SUMIFS(報告入力!$BE$7:$BE$696,報告入力!$A$7:$A$696,$S$782,報告入力!$B$7:$B$696,$A827)</f>
        <v>1</v>
      </c>
      <c r="P827" s="135" t="n">
        <f aca="false">SUM(N827:O827)</f>
        <v>2</v>
      </c>
      <c r="Q827" s="137" t="str">
        <f aca="false">IF(P762=P827,"〇","×")</f>
        <v>〇</v>
      </c>
      <c r="R827" s="137" t="str">
        <f aca="false">IFERROR(INDEX(報告入力!$C$7:$C$696,MATCH($S$782&amp;"|"&amp;$A827,報告入力!$CG$7:$CG$696,0)),"")</f>
        <v>未受領</v>
      </c>
    </row>
    <row r="828" s="137" customFormat="true" ht="21.75" hidden="false" customHeight="true" outlineLevel="0" collapsed="false">
      <c r="A828" s="211" t="s">
        <v>216</v>
      </c>
      <c r="B828" s="311"/>
      <c r="C828" s="330"/>
      <c r="D828" s="311"/>
      <c r="E828" s="309"/>
      <c r="F828" s="331"/>
      <c r="G828" s="302" t="n">
        <f aca="false">SUM(B828:F828)</f>
        <v>0</v>
      </c>
      <c r="H828" s="309"/>
      <c r="I828" s="310"/>
      <c r="J828" s="305" t="n">
        <f aca="false">SUM(H828:I828)</f>
        <v>0</v>
      </c>
      <c r="K828" s="309"/>
      <c r="L828" s="310"/>
      <c r="M828" s="305" t="n">
        <f aca="false">SUM(K828:L828)</f>
        <v>0</v>
      </c>
      <c r="N828" s="309"/>
      <c r="O828" s="310"/>
      <c r="P828" s="305" t="n">
        <f aca="false">SUM(N828:O828)</f>
        <v>0</v>
      </c>
      <c r="Q828" s="137" t="str">
        <f aca="false">IF(P763=P828,"〇","×")</f>
        <v>〇</v>
      </c>
      <c r="R828" s="137" t="str">
        <f aca="false">IFERROR(INDEX(報告入力!$C$7:$C$696,MATCH($S$782&amp;"|"&amp;$A828,報告入力!$CG$7:$CG$696,0)),"")</f>
        <v>報告なし</v>
      </c>
    </row>
    <row r="829" s="137" customFormat="true" ht="21.75" hidden="false" customHeight="true" outlineLevel="0" collapsed="false">
      <c r="A829" s="211" t="s">
        <v>199</v>
      </c>
      <c r="B829" s="215" t="n">
        <f aca="false">SUMIFS(報告入力!$AU$7:$AU$696,報告入力!$A$7:$A$696,$S$782,報告入力!$B$7:$B$696,$A829)</f>
        <v>59475</v>
      </c>
      <c r="C829" s="367" t="n">
        <f aca="false">SUMIFS(報告入力!$AV$7:$AV$696,報告入力!$A$7:$A$696,$S$782,報告入力!$B$7:$B$696,$A829)</f>
        <v>4875</v>
      </c>
      <c r="D829" s="215" t="n">
        <f aca="false">SUMIFS(報告入力!$AW$7:$AW$696,報告入力!$A$7:$A$696,$S$782,報告入力!$B$7:$B$696,$A829)</f>
        <v>59475</v>
      </c>
      <c r="E829" s="213" t="n">
        <f aca="false">SUMIFS(報告入力!$AX$7:$AX$696,報告入力!$A$7:$A$696,$S$782,報告入力!$B$7:$B$696,$A829)</f>
        <v>4875</v>
      </c>
      <c r="F829" s="368" t="n">
        <f aca="false">SUMIFS(報告入力!$AY$7:$AY$696,報告入力!$A$7:$A$696,$S$782,報告入力!$B$7:$B$696,$A829)</f>
        <v>61</v>
      </c>
      <c r="G829" s="181" t="n">
        <f aca="false">SUM(B829:F829)</f>
        <v>128761</v>
      </c>
      <c r="H829" s="215" t="n">
        <f aca="false">SUMIFS(報告入力!$AZ$7:$AZ$696,報告入力!$A$7:$A$696,$S$782,報告入力!$B$7:$B$696,$A829)</f>
        <v>41257</v>
      </c>
      <c r="I829" s="214" t="n">
        <f aca="false">SUMIFS(報告入力!$BA$7:$BA$696,報告入力!$A$7:$A$696,$S$782,報告入力!$B$7:$B$696,$A829)</f>
        <v>41332</v>
      </c>
      <c r="J829" s="135" t="n">
        <f aca="false">SUM(H829:I829)</f>
        <v>82589</v>
      </c>
      <c r="K829" s="215" t="n">
        <f aca="false">SUMIFS(報告入力!$BB$7:$BB$696,報告入力!$A$7:$A$696,$S$782,報告入力!$B$7:$B$696,$A829)</f>
        <v>5925</v>
      </c>
      <c r="L829" s="213" t="n">
        <f aca="false">SUMIFS(報告入力!$BC$7:$BC$696,報告入力!$A$7:$A$696,$S$782,報告入力!$B$7:$B$696,$A829)</f>
        <v>5925</v>
      </c>
      <c r="M829" s="135" t="n">
        <f aca="false">SUM(K829:L829)</f>
        <v>11850</v>
      </c>
      <c r="N829" s="215" t="n">
        <f aca="false">SUMIFS(報告入力!$BD$7:$BD$696,報告入力!$A$7:$A$696,$S$782,報告入力!$B$7:$B$696,$A829)</f>
        <v>1</v>
      </c>
      <c r="O829" s="213" t="n">
        <f aca="false">SUMIFS(報告入力!$BE$7:$BE$696,報告入力!$A$7:$A$696,$S$782,報告入力!$B$7:$B$696,$A829)</f>
        <v>1</v>
      </c>
      <c r="P829" s="135" t="n">
        <f aca="false">SUM(N829:O829)</f>
        <v>2</v>
      </c>
      <c r="Q829" s="137" t="str">
        <f aca="false">IF(P764=P829,"〇","×")</f>
        <v>〇</v>
      </c>
      <c r="R829" s="137" t="str">
        <f aca="false">IFERROR(INDEX(報告入力!$C$7:$C$696,MATCH($S$782&amp;"|"&amp;$A829,報告入力!$CG$7:$CG$696,0)),"")</f>
        <v>未受領</v>
      </c>
    </row>
    <row r="830" s="137" customFormat="true" ht="21.75" hidden="false" customHeight="true" outlineLevel="0" collapsed="false">
      <c r="A830" s="149"/>
      <c r="B830" s="328"/>
      <c r="C830" s="218"/>
      <c r="D830" s="376"/>
      <c r="E830" s="372"/>
      <c r="F830" s="218"/>
      <c r="G830" s="366" t="n">
        <f aca="false">SUM(B830:F830)</f>
        <v>0</v>
      </c>
      <c r="H830" s="222"/>
      <c r="I830" s="158"/>
      <c r="J830" s="223" t="n">
        <f aca="false">SUM(H830:I830)</f>
        <v>0</v>
      </c>
      <c r="K830" s="220"/>
      <c r="L830" s="158"/>
      <c r="M830" s="223" t="n">
        <f aca="false">SUM(K830:L830)</f>
        <v>0</v>
      </c>
      <c r="N830" s="220"/>
      <c r="O830" s="158"/>
      <c r="P830" s="223" t="n">
        <f aca="false">SUM(N830:O830)</f>
        <v>0</v>
      </c>
      <c r="Q830" s="137" t="str">
        <f aca="false">IF(P765=P830,"〇","×")</f>
        <v>〇</v>
      </c>
    </row>
    <row r="831" s="137" customFormat="true" ht="0.2" hidden="false" customHeight="true" outlineLevel="0" collapsed="false">
      <c r="A831" s="149"/>
      <c r="B831" s="157"/>
      <c r="C831" s="156"/>
      <c r="D831" s="220"/>
      <c r="E831" s="158"/>
      <c r="F831" s="156"/>
      <c r="G831" s="221" t="n">
        <f aca="false">SUM(B831:F831)</f>
        <v>0</v>
      </c>
      <c r="H831" s="222"/>
      <c r="I831" s="158"/>
      <c r="J831" s="223" t="n">
        <f aca="false">SUM(H831:I831)</f>
        <v>0</v>
      </c>
      <c r="K831" s="220"/>
      <c r="L831" s="158"/>
      <c r="M831" s="223" t="n">
        <f aca="false">SUM(K831:L831)</f>
        <v>0</v>
      </c>
      <c r="N831" s="220"/>
      <c r="O831" s="158"/>
      <c r="P831" s="223" t="n">
        <f aca="false">SUM(N831:O831)</f>
        <v>0</v>
      </c>
      <c r="Q831" s="137" t="str">
        <f aca="false">IF(P766=P831,"〇","×")</f>
        <v>〇</v>
      </c>
    </row>
    <row r="832" s="137" customFormat="true" ht="0.2" hidden="false" customHeight="true" outlineLevel="0" collapsed="false">
      <c r="A832" s="162"/>
      <c r="B832" s="224"/>
      <c r="C832" s="225"/>
      <c r="D832" s="226"/>
      <c r="E832" s="227"/>
      <c r="F832" s="225"/>
      <c r="G832" s="228"/>
      <c r="H832" s="229"/>
      <c r="I832" s="229"/>
      <c r="J832" s="230"/>
      <c r="K832" s="231"/>
      <c r="L832" s="229"/>
      <c r="M832" s="230"/>
      <c r="N832" s="231"/>
      <c r="O832" s="229"/>
      <c r="P832" s="230"/>
      <c r="Q832" s="137" t="str">
        <f aca="false">IF(P767=P832,"〇","×")</f>
        <v>〇</v>
      </c>
    </row>
    <row r="833" s="110" customFormat="true" ht="20.1" hidden="false" customHeight="true" outlineLevel="0" collapsed="false">
      <c r="A833" s="171" t="s">
        <v>383</v>
      </c>
      <c r="B833" s="172" t="n">
        <f aca="false">SUM(B803:B832)</f>
        <v>126414478</v>
      </c>
      <c r="C833" s="175" t="n">
        <f aca="false">SUM(C803:C832)</f>
        <v>10361842</v>
      </c>
      <c r="D833" s="173" t="n">
        <f aca="false">SUM(D803:D832)</f>
        <v>192071444</v>
      </c>
      <c r="E833" s="174" t="n">
        <f aca="false">SUM(E803:E832)</f>
        <v>10865826</v>
      </c>
      <c r="F833" s="175" t="n">
        <f aca="false">SUM(F803:F832)</f>
        <v>144041</v>
      </c>
      <c r="G833" s="176" t="n">
        <f aca="false">SUM(B833:F833)</f>
        <v>339857631</v>
      </c>
      <c r="H833" s="173" t="n">
        <f aca="false">SUM(H803:H831)</f>
        <v>98179819</v>
      </c>
      <c r="I833" s="173" t="n">
        <f aca="false">SUM(I803:I831)</f>
        <v>102224086</v>
      </c>
      <c r="J833" s="175" t="n">
        <f aca="false">SUM(H833:I833)</f>
        <v>200403905</v>
      </c>
      <c r="K833" s="172" t="n">
        <f aca="false">SUM(K803:K831)</f>
        <v>8033175</v>
      </c>
      <c r="L833" s="173" t="n">
        <f aca="false">SUM(L803:L831)</f>
        <v>8476839</v>
      </c>
      <c r="M833" s="175" t="n">
        <f aca="false">SUM(K833:L833)</f>
        <v>16510014</v>
      </c>
      <c r="N833" s="172" t="n">
        <f aca="false">SUM(N803:N831)</f>
        <v>12</v>
      </c>
      <c r="O833" s="173" t="n">
        <f aca="false">SUM(O803:O831)</f>
        <v>24</v>
      </c>
      <c r="P833" s="175" t="n">
        <f aca="false">SUM(N833:O833)</f>
        <v>36</v>
      </c>
      <c r="Q833" s="110" t="str">
        <f aca="false">IF(P768=P833,"〇","×")</f>
        <v>〇</v>
      </c>
    </row>
    <row r="834" s="137" customFormat="true" ht="0.2" hidden="false" customHeight="true" outlineLevel="0" collapsed="false">
      <c r="A834" s="149" t="s">
        <v>382</v>
      </c>
      <c r="B834" s="231"/>
      <c r="C834" s="232"/>
      <c r="D834" s="229"/>
      <c r="E834" s="233"/>
      <c r="F834" s="234"/>
      <c r="G834" s="235"/>
      <c r="H834" s="236"/>
      <c r="I834" s="236"/>
      <c r="J834" s="237"/>
      <c r="K834" s="238"/>
      <c r="L834" s="239"/>
      <c r="M834" s="240"/>
      <c r="N834" s="238"/>
      <c r="O834" s="239"/>
      <c r="P834" s="240"/>
      <c r="Q834" s="137" t="str">
        <f aca="false">IF(P769=P834,"〇","×")</f>
        <v>〇</v>
      </c>
    </row>
    <row r="835" s="137" customFormat="true" ht="0.2" hidden="false" customHeight="true" outlineLevel="0" collapsed="false">
      <c r="A835" s="241" t="s">
        <v>382</v>
      </c>
      <c r="B835" s="242"/>
      <c r="C835" s="243"/>
      <c r="D835" s="229"/>
      <c r="E835" s="233"/>
      <c r="F835" s="232"/>
      <c r="G835" s="228"/>
      <c r="H835" s="244"/>
      <c r="I835" s="244"/>
      <c r="J835" s="245"/>
      <c r="K835" s="246"/>
      <c r="L835" s="247"/>
      <c r="M835" s="248"/>
      <c r="N835" s="246"/>
      <c r="O835" s="247"/>
      <c r="P835" s="248"/>
      <c r="Q835" s="137" t="str">
        <f aca="false">IF(P770=P835,"〇","×")</f>
        <v>〇</v>
      </c>
    </row>
    <row r="836" s="110" customFormat="true" ht="20.1" hidden="false" customHeight="true" outlineLevel="0" collapsed="false">
      <c r="A836" s="189" t="s">
        <v>200</v>
      </c>
      <c r="B836" s="215" t="n">
        <f aca="false">SUMIFS(報告入力!$AU$7:$AU$696,報告入力!$A$7:$A$696,$S$782,報告入力!$B$7:$B$696,$A836)</f>
        <v>145485</v>
      </c>
      <c r="C836" s="368" t="n">
        <f aca="false">SUMIFS(報告入力!$AV$7:$AV$696,報告入力!$A$7:$A$696,$S$782,報告入力!$B$7:$B$696,$A836)</f>
        <v>11925</v>
      </c>
      <c r="D836" s="215" t="n">
        <f aca="false">SUMIFS(報告入力!$AW$7:$AW$696,報告入力!$A$7:$A$696,$S$782,報告入力!$B$7:$B$696,$A836)</f>
        <v>145485</v>
      </c>
      <c r="E836" s="213" t="n">
        <f aca="false">SUMIFS(報告入力!$AX$7:$AX$696,報告入力!$A$7:$A$696,$S$782,報告入力!$B$7:$B$696,$A836)</f>
        <v>11925</v>
      </c>
      <c r="F836" s="368" t="n">
        <f aca="false">SUMIFS(報告入力!$AY$7:$AY$696,報告入力!$A$7:$A$696,$S$782,報告入力!$B$7:$B$696,$A836)</f>
        <v>149</v>
      </c>
      <c r="G836" s="181" t="n">
        <f aca="false">SUM(B836:F836)</f>
        <v>314969</v>
      </c>
      <c r="H836" s="130"/>
      <c r="I836" s="130"/>
      <c r="J836" s="196" t="n">
        <f aca="false">SUM(H836:I836)</f>
        <v>0</v>
      </c>
      <c r="K836" s="130"/>
      <c r="L836" s="130"/>
      <c r="M836" s="196" t="n">
        <f aca="false">SUM(K836:L836)</f>
        <v>0</v>
      </c>
      <c r="N836" s="130"/>
      <c r="O836" s="130"/>
      <c r="P836" s="196" t="n">
        <f aca="false">SUM(N836:O836)</f>
        <v>0</v>
      </c>
      <c r="Q836" s="110" t="str">
        <f aca="false">IF(P771=P836,"〇","×")</f>
        <v>〇</v>
      </c>
      <c r="R836" s="110" t="str">
        <f aca="false">IFERROR(INDEX(報告入力!$C$7:$C$696,MATCH($S$782&amp;"|"&amp;$A836,報告入力!$CG$7:$CG$696,0)),"")</f>
        <v>未受領</v>
      </c>
    </row>
    <row r="837" s="110" customFormat="true" ht="21.75" hidden="false" customHeight="true" outlineLevel="0" collapsed="false">
      <c r="A837" s="189" t="s">
        <v>201</v>
      </c>
      <c r="B837" s="384" t="n">
        <f aca="false">SUMIFS(報告入力!$AU$7:$AU$696,報告入力!$A$7:$A$696,$S$782,報告入力!$B$7:$B$696,$A837)</f>
        <v>53985</v>
      </c>
      <c r="C837" s="385" t="n">
        <f aca="false">SUMIFS(報告入力!$AV$7:$AV$696,報告入力!$A$7:$A$696,$S$782,報告入力!$B$7:$B$696,$A837)</f>
        <v>4425</v>
      </c>
      <c r="D837" s="400" t="n">
        <f aca="false">SUMIFS(報告入力!$AW$7:$AW$696,報告入力!$A$7:$A$696,$S$782,報告入力!$B$7:$B$696,$A837)</f>
        <v>53985</v>
      </c>
      <c r="E837" s="401" t="n">
        <f aca="false">SUMIFS(報告入力!$AX$7:$AX$696,報告入力!$A$7:$A$696,$S$782,報告入力!$B$7:$B$696,$A837)</f>
        <v>4425</v>
      </c>
      <c r="F837" s="402" t="n">
        <f aca="false">SUMIFS(報告入力!$AY$7:$AY$696,報告入力!$A$7:$A$696,$S$782,報告入力!$B$7:$B$696,$A837)</f>
        <v>55</v>
      </c>
      <c r="G837" s="366" t="n">
        <f aca="false">SUM(B837:F837)</f>
        <v>116875</v>
      </c>
      <c r="H837" s="252"/>
      <c r="I837" s="252"/>
      <c r="J837" s="253" t="n">
        <f aca="false">SUM(H837:I837)</f>
        <v>0</v>
      </c>
      <c r="K837" s="252"/>
      <c r="L837" s="252"/>
      <c r="M837" s="253" t="n">
        <f aca="false">SUM(K837:L837)</f>
        <v>0</v>
      </c>
      <c r="N837" s="252"/>
      <c r="O837" s="252"/>
      <c r="P837" s="253" t="n">
        <f aca="false">SUM(N837:O837)</f>
        <v>0</v>
      </c>
      <c r="Q837" s="110" t="str">
        <f aca="false">IF(P772=P837,"〇","×")</f>
        <v>〇</v>
      </c>
      <c r="R837" s="110" t="str">
        <f aca="false">IFERROR(INDEX(報告入力!$C$7:$C$696,MATCH($S$782&amp;"|"&amp;$A837,報告入力!$CG$7:$CG$696,0)),"")</f>
        <v>未受領</v>
      </c>
    </row>
    <row r="838" s="110" customFormat="true" ht="19.5" hidden="false" customHeight="true" outlineLevel="0" collapsed="false">
      <c r="A838" s="171" t="s">
        <v>383</v>
      </c>
      <c r="B838" s="172" t="n">
        <f aca="false">SUM(B834:B837)</f>
        <v>199470</v>
      </c>
      <c r="C838" s="175" t="n">
        <f aca="false">SUM(C834:C837)</f>
        <v>16350</v>
      </c>
      <c r="D838" s="173" t="n">
        <f aca="false">SUM(D834:D837)</f>
        <v>199470</v>
      </c>
      <c r="E838" s="174" t="n">
        <f aca="false">SUM(E834:E837)</f>
        <v>16350</v>
      </c>
      <c r="F838" s="175" t="n">
        <f aca="false">SUM(F834:F837)</f>
        <v>204</v>
      </c>
      <c r="G838" s="176" t="n">
        <f aca="false">SUM(B838:F838)</f>
        <v>431844</v>
      </c>
      <c r="H838" s="256" t="n">
        <f aca="false">SUM(H834:H837)</f>
        <v>0</v>
      </c>
      <c r="I838" s="257" t="n">
        <f aca="false">SUM(I834:I837)</f>
        <v>0</v>
      </c>
      <c r="J838" s="258" t="n">
        <f aca="false">SUM(H838:I838)</f>
        <v>0</v>
      </c>
      <c r="K838" s="256" t="n">
        <f aca="false">SUM(K834:K837)</f>
        <v>0</v>
      </c>
      <c r="L838" s="257" t="n">
        <f aca="false">SUM(L834:L837)</f>
        <v>0</v>
      </c>
      <c r="M838" s="258" t="n">
        <f aca="false">SUM(K838:L838)</f>
        <v>0</v>
      </c>
      <c r="N838" s="256" t="n">
        <f aca="false">SUM(N834:N837)</f>
        <v>0</v>
      </c>
      <c r="O838" s="257" t="n">
        <f aca="false">SUM(O834:O837)</f>
        <v>0</v>
      </c>
      <c r="P838" s="258" t="n">
        <f aca="false">SUM(N838:O838)</f>
        <v>0</v>
      </c>
      <c r="Q838" s="110" t="str">
        <f aca="false">IF(P773=P838,"〇","×")</f>
        <v>〇</v>
      </c>
    </row>
    <row r="839" s="110" customFormat="true" ht="20.1" hidden="false" customHeight="true" outlineLevel="0" collapsed="false">
      <c r="A839" s="100" t="s">
        <v>202</v>
      </c>
      <c r="B839" s="215" t="n">
        <f aca="false">SUMIFS(報告入力!$AU$7:$AU$696,報告入力!$A$7:$A$696,$S$782,報告入力!$B$7:$B$696,$A839)</f>
        <v>29280</v>
      </c>
      <c r="C839" s="368" t="n">
        <f aca="false">SUMIFS(報告入力!$AV$7:$AV$696,報告入力!$A$7:$A$696,$S$782,報告入力!$B$7:$B$696,$A839)</f>
        <v>2400</v>
      </c>
      <c r="D839" s="215" t="n">
        <f aca="false">SUMIFS(報告入力!$AW$7:$AW$696,報告入力!$A$7:$A$696,$S$782,報告入力!$B$7:$B$696,$A839)</f>
        <v>29280</v>
      </c>
      <c r="E839" s="213" t="n">
        <f aca="false">SUMIFS(報告入力!$AX$7:$AX$696,報告入力!$A$7:$A$696,$S$782,報告入力!$B$7:$B$696,$A839)</f>
        <v>2400</v>
      </c>
      <c r="F839" s="312"/>
      <c r="G839" s="181" t="n">
        <f aca="false">SUM(B839:F839)</f>
        <v>63360</v>
      </c>
      <c r="H839" s="182" t="n">
        <f aca="false">SUMIFS(報告入力!$AZ$7:$AZ$696,報告入力!$A$7:$A$696,$S$782,報告入力!$B$7:$B$696,$A839)</f>
        <v>17603</v>
      </c>
      <c r="I839" s="183" t="n">
        <f aca="false">SUMIFS(報告入力!$BA$7:$BA$696,報告入力!$A$7:$A$696,$S$782,報告入力!$B$7:$B$696,$A839)</f>
        <v>17635</v>
      </c>
      <c r="J839" s="135" t="n">
        <f aca="false">SUM(H839:I839)</f>
        <v>35238</v>
      </c>
      <c r="K839" s="182" t="n">
        <f aca="false">SUMIFS(報告入力!$BB$7:$BB$696,報告入力!$A$7:$A$696,$S$782,報告入力!$B$7:$B$696,$A839)</f>
        <v>2528</v>
      </c>
      <c r="L839" s="183" t="n">
        <f aca="false">SUMIFS(報告入力!$BC$7:$BC$696,報告入力!$A$7:$A$696,$S$782,報告入力!$B$7:$B$696,$A839)</f>
        <v>2528</v>
      </c>
      <c r="M839" s="135" t="n">
        <f aca="false">SUM(K839:L839)</f>
        <v>5056</v>
      </c>
      <c r="N839" s="182" t="n">
        <f aca="false">SUMIFS(報告入力!$BD$7:$BD$696,報告入力!$A$7:$A$696,$S$782,報告入力!$B$7:$B$696,$A839)</f>
        <v>1</v>
      </c>
      <c r="O839" s="183" t="n">
        <f aca="false">SUMIFS(報告入力!$BE$7:$BE$696,報告入力!$A$7:$A$696,$S$782,報告入力!$B$7:$B$696,$A839)</f>
        <v>1</v>
      </c>
      <c r="P839" s="135" t="n">
        <f aca="false">SUM(N839:O839)</f>
        <v>2</v>
      </c>
      <c r="Q839" s="110" t="str">
        <f aca="false">IF(P774=P839,"〇","×")</f>
        <v>〇</v>
      </c>
      <c r="R839" s="110" t="str">
        <f aca="false">IFERROR(INDEX(報告入力!$C$7:$C$696,MATCH($S$782&amp;"|"&amp;$A839,報告入力!$CG$7:$CG$696,0)),"")</f>
        <v>未受領</v>
      </c>
    </row>
    <row r="840" s="110" customFormat="true" ht="20.1" hidden="false" customHeight="true" outlineLevel="0" collapsed="false">
      <c r="A840" s="100" t="s">
        <v>203</v>
      </c>
      <c r="B840" s="178"/>
      <c r="C840" s="179"/>
      <c r="D840" s="178"/>
      <c r="E840" s="415"/>
      <c r="F840" s="312"/>
      <c r="G840" s="181" t="n">
        <f aca="false">SUM(B840:F840)</f>
        <v>0</v>
      </c>
      <c r="H840" s="182"/>
      <c r="I840" s="183"/>
      <c r="J840" s="135" t="n">
        <f aca="false">SUM(H840:I840)</f>
        <v>0</v>
      </c>
      <c r="K840" s="262"/>
      <c r="L840" s="183"/>
      <c r="M840" s="135" t="n">
        <f aca="false">SUM(K840:L840)</f>
        <v>0</v>
      </c>
      <c r="N840" s="262"/>
      <c r="O840" s="183"/>
      <c r="P840" s="135" t="n">
        <f aca="false">SUM(N840:O840)</f>
        <v>0</v>
      </c>
      <c r="Q840" s="110" t="str">
        <f aca="false">IF(P775=P840,"〇","×")</f>
        <v>〇</v>
      </c>
      <c r="R840" s="110" t="str">
        <f aca="false">IFERROR(INDEX(報告入力!$C$7:$C$696,MATCH($S$782&amp;"|"&amp;$A840,報告入力!$CG$7:$CG$696,0)),"")</f>
        <v>報告なし</v>
      </c>
    </row>
    <row r="841" s="110" customFormat="true" ht="19.5" hidden="false" customHeight="true" outlineLevel="0" collapsed="false">
      <c r="A841" s="192" t="s">
        <v>204</v>
      </c>
      <c r="B841" s="178" t="n">
        <f aca="false">SUMIFS(報告入力!$AU$7:$AU$696,報告入力!$A$7:$A$696,$S$782,報告入力!$B$7:$B$696,$A841)</f>
        <v>27450</v>
      </c>
      <c r="C841" s="179" t="n">
        <f aca="false">SUMIFS(報告入力!$AV$7:$AV$696,報告入力!$A$7:$A$696,$S$782,報告入力!$B$7:$B$696,$A841)</f>
        <v>2250</v>
      </c>
      <c r="D841" s="178" t="n">
        <f aca="false">SUMIFS(報告入力!$AW$7:$AW$696,報告入力!$A$7:$A$696,$S$782,報告入力!$B$7:$B$696,$A841)</f>
        <v>27450</v>
      </c>
      <c r="E841" s="415" t="n">
        <f aca="false">SUMIFS(報告入力!$AX$7:$AX$696,報告入力!$A$7:$A$696,$S$782,報告入力!$B$7:$B$696,$A841)</f>
        <v>2250</v>
      </c>
      <c r="F841" s="312"/>
      <c r="G841" s="181" t="n">
        <f aca="false">SUM(B841:F841)</f>
        <v>59400</v>
      </c>
      <c r="H841" s="182" t="n">
        <f aca="false">SUMIFS(報告入力!$AZ$7:$AZ$696,報告入力!$A$7:$A$696,$S$782,報告入力!$B$7:$B$696,$A841)</f>
        <v>33006</v>
      </c>
      <c r="I841" s="183" t="n">
        <f aca="false">SUMIFS(報告入力!$BA$7:$BA$696,報告入力!$A$7:$A$696,$S$782,報告入力!$B$7:$B$696,$A841)</f>
        <v>33066</v>
      </c>
      <c r="J841" s="135" t="n">
        <f aca="false">SUM(H841:I841)</f>
        <v>66072</v>
      </c>
      <c r="K841" s="262" t="n">
        <f aca="false">SUMIFS(報告入力!$BB$7:$BB$696,報告入力!$A$7:$A$696,$S$782,報告入力!$B$7:$B$696,$A841)</f>
        <v>2370</v>
      </c>
      <c r="L841" s="183" t="n">
        <f aca="false">SUMIFS(報告入力!$BC$7:$BC$696,報告入力!$A$7:$A$696,$S$782,報告入力!$B$7:$B$696,$A841)</f>
        <v>2370</v>
      </c>
      <c r="M841" s="135" t="n">
        <f aca="false">SUM(K841:L841)</f>
        <v>4740</v>
      </c>
      <c r="N841" s="262" t="n">
        <f aca="false">SUMIFS(報告入力!$BD$7:$BD$696,報告入力!$A$7:$A$696,$S$782,報告入力!$B$7:$B$696,$A841)</f>
        <v>1</v>
      </c>
      <c r="O841" s="183" t="n">
        <f aca="false">SUMIFS(報告入力!$BE$7:$BE$696,報告入力!$A$7:$A$696,$S$782,報告入力!$B$7:$B$696,$A841)</f>
        <v>1</v>
      </c>
      <c r="P841" s="135" t="n">
        <f aca="false">SUM(N841:O841)</f>
        <v>2</v>
      </c>
      <c r="Q841" s="110" t="str">
        <f aca="false">IF(P776=P841,"〇","×")</f>
        <v>〇</v>
      </c>
      <c r="R841" s="110" t="str">
        <f aca="false">IFERROR(INDEX(報告入力!$C$7:$C$696,MATCH($S$782&amp;"|"&amp;$A841,報告入力!$CG$7:$CG$696,0)),"")</f>
        <v>未受領</v>
      </c>
    </row>
    <row r="842" s="110" customFormat="true" ht="20.1" hidden="false" customHeight="true" outlineLevel="0" collapsed="false">
      <c r="A842" s="192" t="s">
        <v>205</v>
      </c>
      <c r="B842" s="416"/>
      <c r="C842" s="417"/>
      <c r="D842" s="416"/>
      <c r="E842" s="418"/>
      <c r="F842" s="267"/>
      <c r="G842" s="419" t="n">
        <f aca="false">SUM(B842:F842)</f>
        <v>0</v>
      </c>
      <c r="H842" s="332"/>
      <c r="I842" s="333"/>
      <c r="J842" s="284" t="n">
        <f aca="false">SUM(H842:I842)</f>
        <v>0</v>
      </c>
      <c r="K842" s="334"/>
      <c r="L842" s="333"/>
      <c r="M842" s="284" t="n">
        <f aca="false">SUM(K842:L842)</f>
        <v>0</v>
      </c>
      <c r="N842" s="334"/>
      <c r="O842" s="333"/>
      <c r="P842" s="284" t="n">
        <f aca="false">SUM(N842:O842)</f>
        <v>0</v>
      </c>
      <c r="Q842" s="110" t="str">
        <f aca="false">IF(P777=P842,"〇","×")</f>
        <v>〇</v>
      </c>
      <c r="R842" s="110" t="str">
        <f aca="false">IFERROR(INDEX(報告入力!$C$7:$C$696,MATCH($S$782&amp;"|"&amp;$A842,報告入力!$CG$7:$CG$696,0)),"")</f>
        <v>報告なし</v>
      </c>
    </row>
    <row r="843" s="110" customFormat="true" ht="20.1" hidden="false" customHeight="true" outlineLevel="0" collapsed="false">
      <c r="A843" s="171" t="s">
        <v>383</v>
      </c>
      <c r="B843" s="172" t="n">
        <f aca="false">SUM(B839:B842)</f>
        <v>56730</v>
      </c>
      <c r="C843" s="176" t="n">
        <f aca="false">SUM(C839:C842)</f>
        <v>4650</v>
      </c>
      <c r="D843" s="172" t="n">
        <f aca="false">SUM(D839:D842)</f>
        <v>56730</v>
      </c>
      <c r="E843" s="174" t="n">
        <f aca="false">SUM(E839:E842)</f>
        <v>4650</v>
      </c>
      <c r="F843" s="175" t="n">
        <f aca="false">SUM(F839:F842)</f>
        <v>0</v>
      </c>
      <c r="G843" s="176" t="n">
        <f aca="false">SUM(B843:F843)</f>
        <v>122760</v>
      </c>
      <c r="H843" s="276" t="n">
        <f aca="false">SUM(H839:H842)</f>
        <v>50609</v>
      </c>
      <c r="I843" s="174" t="n">
        <f aca="false">SUM(I839:I842)</f>
        <v>50701</v>
      </c>
      <c r="J843" s="175" t="n">
        <f aca="false">SUM(H843:I843)</f>
        <v>101310</v>
      </c>
      <c r="K843" s="172" t="n">
        <f aca="false">SUM(K839:K842)</f>
        <v>4898</v>
      </c>
      <c r="L843" s="276" t="n">
        <f aca="false">SUM(L839:L842)</f>
        <v>4898</v>
      </c>
      <c r="M843" s="175" t="n">
        <f aca="false">SUM(K843:L843)</f>
        <v>9796</v>
      </c>
      <c r="N843" s="172" t="n">
        <f aca="false">SUM(N839:N842)</f>
        <v>2</v>
      </c>
      <c r="O843" s="276" t="n">
        <f aca="false">SUM(O839:O842)</f>
        <v>2</v>
      </c>
      <c r="P843" s="175" t="n">
        <f aca="false">SUM(N843:O843)</f>
        <v>4</v>
      </c>
      <c r="Q843" s="110" t="str">
        <f aca="false">IF(P778=P843,"〇","×")</f>
        <v>〇</v>
      </c>
    </row>
    <row r="844" s="110" customFormat="true" ht="20.1" hidden="false" customHeight="true" outlineLevel="0" collapsed="false">
      <c r="A844" s="277" t="s">
        <v>206</v>
      </c>
      <c r="B844" s="278"/>
      <c r="C844" s="279"/>
      <c r="D844" s="280"/>
      <c r="E844" s="281"/>
      <c r="F844" s="267"/>
      <c r="G844" s="268"/>
      <c r="H844" s="332" t="n">
        <f aca="false">SUMIFS(報告入力!$AZ$7:$AZ$696,報告入力!$A$7:$A$696,$S$782,報告入力!$B$7:$B$696,$A844)</f>
        <v>873541</v>
      </c>
      <c r="I844" s="314"/>
      <c r="J844" s="284" t="n">
        <f aca="false">SUM(H844:I844)</f>
        <v>873541</v>
      </c>
      <c r="K844" s="332" t="n">
        <f aca="false">SUMIFS(報告入力!$BB$7:$BB$696,報告入力!$A$7:$A$696,$S$782,報告入力!$B$7:$B$696,$A844)</f>
        <v>60734</v>
      </c>
      <c r="L844" s="314"/>
      <c r="M844" s="284" t="n">
        <f aca="false">SUM(K844:L844)</f>
        <v>60734</v>
      </c>
      <c r="N844" s="332" t="n">
        <f aca="false">SUMIFS(報告入力!$BD$7:$BD$696,報告入力!$A$7:$A$696,$S$782,報告入力!$B$7:$B$696,$A844)</f>
        <v>1</v>
      </c>
      <c r="O844" s="314"/>
      <c r="P844" s="284" t="n">
        <f aca="false">SUM(N844:O844)</f>
        <v>1</v>
      </c>
      <c r="Q844" s="110" t="str">
        <f aca="false">IF(P779=P844,"〇","×")</f>
        <v>〇</v>
      </c>
      <c r="R844" s="110" t="str">
        <f aca="false">IFERROR(INDEX(報告入力!$C$7:$C$696,MATCH($S$782&amp;"|"&amp;$A844,報告入力!$CG$7:$CG$696,0)),"")</f>
        <v>未受領</v>
      </c>
    </row>
    <row r="845" s="110" customFormat="true" ht="30" hidden="false" customHeight="true" outlineLevel="0" collapsed="false">
      <c r="A845" s="285" t="s">
        <v>385</v>
      </c>
      <c r="B845" s="286" t="n">
        <f aca="false">SUM(+B802+B833+B838+B843+B844)</f>
        <v>480921440</v>
      </c>
      <c r="C845" s="287" t="n">
        <f aca="false">SUM(+C802+C833+C838+C843+C844)</f>
        <v>39424667</v>
      </c>
      <c r="D845" s="286" t="n">
        <f aca="false">SUM(+D802+D833+D838+D843+D844)</f>
        <v>708776724</v>
      </c>
      <c r="E845" s="288" t="n">
        <f aca="false">SUM(+E802+E833+E838+E843+E844)</f>
        <v>39424798</v>
      </c>
      <c r="F845" s="287" t="n">
        <f aca="false">SUM(+F802+F833+F838+F843+F844)</f>
        <v>515309</v>
      </c>
      <c r="G845" s="289" t="n">
        <f aca="false">SUM(B845:F845)</f>
        <v>1269062938</v>
      </c>
      <c r="H845" s="290" t="n">
        <f aca="false">SUM(+H802+H833+H838+H843+H844)</f>
        <v>365515644</v>
      </c>
      <c r="I845" s="290" t="n">
        <f aca="false">SUM(+I802+I833+I838+I843+I844)</f>
        <v>369683132</v>
      </c>
      <c r="J845" s="291" t="n">
        <f aca="false">SUM(H845:I845)</f>
        <v>735198776</v>
      </c>
      <c r="K845" s="292" t="n">
        <f aca="false">SUM(+K802+K833+K838+K843+K844)</f>
        <v>31404529</v>
      </c>
      <c r="L845" s="290" t="n">
        <f aca="false">SUM(+L802+L833+L838+L843+L844)</f>
        <v>31330292</v>
      </c>
      <c r="M845" s="291" t="n">
        <f aca="false">SUM(K845:L845)</f>
        <v>62734821</v>
      </c>
      <c r="N845" s="292" t="n">
        <f aca="false">SUM(+N802+N833+N838+N843+N844)</f>
        <v>27</v>
      </c>
      <c r="O845" s="290" t="n">
        <f aca="false">SUM(+O802+O833+O838+O843+O844)</f>
        <v>38</v>
      </c>
      <c r="P845" s="291" t="n">
        <f aca="false">SUM(N845:O845)</f>
        <v>65</v>
      </c>
      <c r="Q845" s="110" t="str">
        <f aca="false">IF(P780=P845,"〇","×")</f>
        <v>〇</v>
      </c>
    </row>
    <row r="846" s="316" customFormat="true" ht="39" hidden="false" customHeight="true" outlineLevel="0" collapsed="false">
      <c r="A846" s="315"/>
      <c r="G846" s="84"/>
      <c r="Q846" s="316" t="str">
        <f aca="false">IF(P781=P846,"〇","×")</f>
        <v>〇</v>
      </c>
    </row>
    <row r="847" s="297" customFormat="true" ht="30" hidden="false" customHeight="true" outlineLevel="0" collapsed="false">
      <c r="A847" s="335"/>
      <c r="B847" s="405" t="n">
        <f aca="false">B912</f>
        <v>46477</v>
      </c>
      <c r="C847" s="405"/>
      <c r="D847" s="405"/>
      <c r="E847" s="405"/>
      <c r="F847" s="405"/>
      <c r="G847" s="405"/>
      <c r="H847" s="336" t="n">
        <f aca="false">B847</f>
        <v>46477</v>
      </c>
      <c r="I847" s="336"/>
      <c r="J847" s="336"/>
      <c r="K847" s="336" t="n">
        <f aca="false">H847</f>
        <v>46477</v>
      </c>
      <c r="L847" s="336"/>
      <c r="M847" s="336"/>
      <c r="N847" s="336" t="n">
        <f aca="false">K847</f>
        <v>46477</v>
      </c>
      <c r="O847" s="336"/>
      <c r="P847" s="336"/>
      <c r="Q847" s="297" t="str">
        <f aca="false">IF(P782=P847,"〇","×")</f>
        <v>〇</v>
      </c>
      <c r="S847" s="297" t="s">
        <v>401</v>
      </c>
    </row>
    <row r="848" customFormat="false" ht="22.5" hidden="false" customHeight="true" outlineLevel="0" collapsed="false">
      <c r="A848" s="89" t="s">
        <v>369</v>
      </c>
      <c r="B848" s="89" t="s">
        <v>370</v>
      </c>
      <c r="C848" s="89"/>
      <c r="D848" s="89"/>
      <c r="E848" s="89"/>
      <c r="F848" s="89"/>
      <c r="G848" s="89"/>
      <c r="H848" s="91" t="s">
        <v>371</v>
      </c>
      <c r="I848" s="91"/>
      <c r="J848" s="91"/>
      <c r="K848" s="91" t="s">
        <v>372</v>
      </c>
      <c r="L848" s="91"/>
      <c r="M848" s="91"/>
      <c r="N848" s="91" t="str">
        <f aca="false">$N$3</f>
        <v>子ども・子育て支援納付金</v>
      </c>
      <c r="O848" s="91"/>
      <c r="P848" s="91"/>
      <c r="Q848" s="80" t="str">
        <f aca="false">IF(P783=P848,"〇","×")</f>
        <v>〇</v>
      </c>
    </row>
    <row r="849" customFormat="false" ht="22.5" hidden="false" customHeight="true" outlineLevel="0" collapsed="false">
      <c r="A849" s="89"/>
      <c r="B849" s="92" t="s">
        <v>373</v>
      </c>
      <c r="C849" s="92"/>
      <c r="D849" s="92" t="s">
        <v>374</v>
      </c>
      <c r="E849" s="92"/>
      <c r="F849" s="92"/>
      <c r="G849" s="92" t="s">
        <v>375</v>
      </c>
      <c r="H849" s="96" t="s">
        <v>376</v>
      </c>
      <c r="I849" s="94" t="s">
        <v>377</v>
      </c>
      <c r="J849" s="95" t="s">
        <v>375</v>
      </c>
      <c r="K849" s="96" t="s">
        <v>376</v>
      </c>
      <c r="L849" s="94" t="s">
        <v>377</v>
      </c>
      <c r="M849" s="95" t="s">
        <v>375</v>
      </c>
      <c r="N849" s="96" t="s">
        <v>376</v>
      </c>
      <c r="O849" s="94" t="s">
        <v>377</v>
      </c>
      <c r="P849" s="95" t="s">
        <v>375</v>
      </c>
      <c r="Q849" s="80" t="str">
        <f aca="false">IF(P784=P849,"〇","×")</f>
        <v>〇</v>
      </c>
    </row>
    <row r="850" customFormat="false" ht="22.5" hidden="false" customHeight="true" outlineLevel="0" collapsed="false">
      <c r="A850" s="89"/>
      <c r="B850" s="97" t="s">
        <v>378</v>
      </c>
      <c r="C850" s="98" t="s">
        <v>379</v>
      </c>
      <c r="D850" s="99" t="s">
        <v>378</v>
      </c>
      <c r="E850" s="99" t="s">
        <v>380</v>
      </c>
      <c r="F850" s="98" t="s">
        <v>85</v>
      </c>
      <c r="G850" s="92"/>
      <c r="H850" s="96"/>
      <c r="I850" s="94"/>
      <c r="J850" s="95"/>
      <c r="K850" s="96"/>
      <c r="L850" s="94"/>
      <c r="M850" s="95"/>
      <c r="N850" s="96"/>
      <c r="O850" s="94"/>
      <c r="P850" s="95"/>
      <c r="Q850" s="80" t="str">
        <f aca="false">IF(P785=P850,"〇","×")</f>
        <v>〇</v>
      </c>
    </row>
    <row r="851" s="110" customFormat="true" ht="20.1" hidden="false" customHeight="true" outlineLevel="0" collapsed="false">
      <c r="A851" s="100" t="s">
        <v>158</v>
      </c>
      <c r="B851" s="360" t="n">
        <f aca="false">SUMIFS(報告入力!$AU$7:$AU$696,報告入力!$A$7:$A$696,$S$847,報告入力!$B$7:$B$696,$A851)</f>
        <v>96770566</v>
      </c>
      <c r="C851" s="361" t="n">
        <f aca="false">SUMIFS(報告入力!$AV$7:$AV$696,報告入力!$A$7:$A$696,$S$847,報告入力!$B$7:$B$696,$A851)</f>
        <v>7936030</v>
      </c>
      <c r="D851" s="362" t="n">
        <f aca="false">SUMIFS(報告入力!$AW$7:$AW$696,報告入力!$A$7:$A$696,$S$847,報告入力!$B$7:$B$696,$A851)</f>
        <v>139664515</v>
      </c>
      <c r="E851" s="362" t="n">
        <f aca="false">SUMIFS(報告入力!$AX$7:$AX$696,報告入力!$A$7:$A$696,$S$847,報告入力!$B$7:$B$696,$A851)</f>
        <v>8271054</v>
      </c>
      <c r="F851" s="363" t="n">
        <f aca="false">SUMIFS(報告入力!$AY$7:$AY$696,報告入力!$A$7:$A$696,$S$847,報告入力!$B$7:$B$696,$A851)</f>
        <v>106358</v>
      </c>
      <c r="G851" s="364" t="n">
        <f aca="false">SUM(B851:F851)</f>
        <v>252748523</v>
      </c>
      <c r="H851" s="365" t="n">
        <f aca="false">SUMIFS(報告入力!$AZ$7:$AZ$696,報告入力!$A$7:$A$696,$S$847,報告入力!$B$7:$B$696,$A851)</f>
        <v>74532442</v>
      </c>
      <c r="I851" s="180" t="n">
        <f aca="false">SUMIFS(報告入力!$BA$7:$BA$696,報告入力!$A$7:$A$696,$S$847,報告入力!$B$7:$B$696,$A851)</f>
        <v>78429253</v>
      </c>
      <c r="J851" s="181" t="n">
        <f aca="false">SUM(H851:I851)</f>
        <v>152961695</v>
      </c>
      <c r="K851" s="262" t="n">
        <f aca="false">SUMIFS(報告入力!$BB$7:$BB$696,報告入力!$A$7:$A$696,$S$847,報告入力!$B$7:$B$696,$A851)</f>
        <v>6766104</v>
      </c>
      <c r="L851" s="180" t="n">
        <f aca="false">SUMIFS(報告入力!$BC$7:$BC$696,報告入力!$A$7:$A$696,$S$847,報告入力!$B$7:$B$696,$A851)</f>
        <v>7394555</v>
      </c>
      <c r="M851" s="181" t="n">
        <f aca="false">SUM(K851:L851)</f>
        <v>14160659</v>
      </c>
      <c r="N851" s="262" t="n">
        <f aca="false">SUMIFS(報告入力!$BD$7:$BD$696,報告入力!$A$7:$A$696,$S$847,報告入力!$B$7:$B$696,$A851)</f>
        <v>1</v>
      </c>
      <c r="O851" s="180" t="n">
        <f aca="false">SUMIFS(報告入力!$BE$7:$BE$696,報告入力!$A$7:$A$696,$S$847,報告入力!$B$7:$B$696,$A851)</f>
        <v>1</v>
      </c>
      <c r="P851" s="181" t="n">
        <f aca="false">SUM(N851:O851)</f>
        <v>2</v>
      </c>
      <c r="Q851" s="110" t="str">
        <f aca="false">IF(P786=P851,"〇","×")</f>
        <v>〇</v>
      </c>
      <c r="R851" s="110" t="str">
        <f aca="false">IFERROR(INDEX(報告入力!$C$7:$C$696,MATCH($S$847&amp;"|"&amp;$A851,報告入力!$CG$7:$CG$696,0)),"")</f>
        <v>未受領</v>
      </c>
    </row>
    <row r="852" s="110" customFormat="true" ht="20.1" hidden="false" customHeight="true" outlineLevel="0" collapsed="false">
      <c r="A852" s="100" t="s">
        <v>161</v>
      </c>
      <c r="B852" s="178" t="n">
        <f aca="false">SUMIFS(報告入力!$AU$7:$AU$696,報告入力!$A$7:$A$696,$S$847,報告入力!$B$7:$B$696,$A852)</f>
        <v>6933043</v>
      </c>
      <c r="C852" s="179" t="n">
        <f aca="false">SUMIFS(報告入力!$AV$7:$AV$696,報告入力!$A$7:$A$696,$S$847,報告入力!$B$7:$B$696,$A852)</f>
        <v>568195</v>
      </c>
      <c r="D852" s="362" t="n">
        <f aca="false">SUMIFS(報告入力!$AW$7:$AW$696,報告入力!$A$7:$A$696,$S$847,報告入力!$B$7:$B$696,$A852)</f>
        <v>9468725</v>
      </c>
      <c r="E852" s="362" t="n">
        <f aca="false">SUMIFS(報告入力!$AX$7:$AX$696,報告入力!$A$7:$A$696,$S$847,報告入力!$B$7:$B$696,$A852)</f>
        <v>568286</v>
      </c>
      <c r="F852" s="212" t="n">
        <f aca="false">SUMIFS(報告入力!$AY$7:$AY$696,報告入力!$A$7:$A$696,$S$847,報告入力!$B$7:$B$696,$A852)</f>
        <v>7229</v>
      </c>
      <c r="G852" s="181" t="n">
        <f aca="false">SUM(B852:F852)</f>
        <v>17545478</v>
      </c>
      <c r="H852" s="182" t="n">
        <f aca="false">SUMIFS(報告入力!$AZ$7:$AZ$696,報告入力!$A$7:$A$696,$S$847,報告入力!$B$7:$B$696,$A852)</f>
        <v>4320014</v>
      </c>
      <c r="I852" s="183" t="n">
        <f aca="false">SUMIFS(報告入力!$BA$7:$BA$696,報告入力!$A$7:$A$696,$S$847,報告入力!$B$7:$B$696,$A852)</f>
        <v>4386292</v>
      </c>
      <c r="J852" s="135" t="n">
        <f aca="false">SUM(H852:I852)</f>
        <v>8706306</v>
      </c>
      <c r="K852" s="215" t="n">
        <f aca="false">SUMIFS(報告入力!$BB$7:$BB$696,報告入力!$A$7:$A$696,$S$847,報告入力!$B$7:$B$696,$A852)</f>
        <v>473681</v>
      </c>
      <c r="L852" s="213" t="n">
        <f aca="false">SUMIFS(報告入力!$BC$7:$BC$696,報告入力!$A$7:$A$696,$S$847,報告入力!$B$7:$B$696,$A852)</f>
        <v>473771</v>
      </c>
      <c r="M852" s="135" t="n">
        <f aca="false">SUM(K852:L852)</f>
        <v>947452</v>
      </c>
      <c r="N852" s="215" t="n">
        <f aca="false">SUMIFS(報告入力!$BD$7:$BD$696,報告入力!$A$7:$A$696,$S$847,報告入力!$B$7:$B$696,$A852)</f>
        <v>1</v>
      </c>
      <c r="O852" s="213" t="n">
        <f aca="false">SUMIFS(報告入力!$BE$7:$BE$696,報告入力!$A$7:$A$696,$S$847,報告入力!$B$7:$B$696,$A852)</f>
        <v>1</v>
      </c>
      <c r="P852" s="135" t="n">
        <f aca="false">SUM(N852:O852)</f>
        <v>2</v>
      </c>
      <c r="Q852" s="110" t="str">
        <f aca="false">IF(P787=P852,"〇","×")</f>
        <v>〇</v>
      </c>
      <c r="R852" s="110" t="str">
        <f aca="false">IFERROR(INDEX(報告入力!$C$7:$C$696,MATCH($S$847&amp;"|"&amp;$A852,報告入力!$CG$7:$CG$696,0)),"")</f>
        <v>未受領</v>
      </c>
    </row>
    <row r="853" s="110" customFormat="true" ht="20.1" hidden="false" customHeight="true" outlineLevel="0" collapsed="false">
      <c r="A853" s="100" t="s">
        <v>162</v>
      </c>
      <c r="B853" s="178" t="n">
        <f aca="false">SUMIFS(報告入力!$AU$7:$AU$696,報告入力!$A$7:$A$696,$S$847,報告入力!$B$7:$B$696,$A853)</f>
        <v>21949718</v>
      </c>
      <c r="C853" s="179" t="n">
        <f aca="false">SUMIFS(報告入力!$AV$7:$AV$696,報告入力!$A$7:$A$696,$S$847,報告入力!$B$7:$B$696,$A853)</f>
        <v>1798874</v>
      </c>
      <c r="D853" s="362" t="n">
        <f aca="false">SUMIFS(報告入力!$AW$7:$AW$696,報告入力!$A$7:$A$696,$S$847,報告入力!$B$7:$B$696,$A853)</f>
        <v>29915317</v>
      </c>
      <c r="E853" s="362" t="n">
        <f aca="false">SUMIFS(報告入力!$AX$7:$AX$696,報告入力!$A$7:$A$696,$S$847,報告入力!$B$7:$B$696,$A853)</f>
        <v>1794195</v>
      </c>
      <c r="F853" s="212" t="n">
        <f aca="false">SUMIFS(報告入力!$AY$7:$AY$696,報告入力!$A$7:$A$696,$S$847,報告入力!$B$7:$B$696,$A853)</f>
        <v>22793</v>
      </c>
      <c r="G853" s="181" t="n">
        <f aca="false">SUM(B853:F853)</f>
        <v>55480897</v>
      </c>
      <c r="H853" s="213" t="n">
        <f aca="false">SUMIFS(報告入力!$AZ$7:$AZ$696,報告入力!$A$7:$A$696,$S$847,報告入力!$B$7:$B$696,$A853)</f>
        <v>13500499</v>
      </c>
      <c r="I853" s="182" t="n">
        <f aca="false">SUMIFS(報告入力!$BA$7:$BA$696,報告入力!$A$7:$A$696,$S$847,報告入力!$B$7:$B$696,$A853)</f>
        <v>13670336</v>
      </c>
      <c r="J853" s="135" t="n">
        <f aca="false">SUM(H853:I853)</f>
        <v>27170835</v>
      </c>
      <c r="K853" s="215" t="n">
        <f aca="false">SUMIFS(報告入力!$BB$7:$BB$696,報告入力!$A$7:$A$696,$S$847,報告入力!$B$7:$B$696,$A853)</f>
        <v>942529</v>
      </c>
      <c r="L853" s="182" t="n">
        <f aca="false">SUMIFS(報告入力!$BC$7:$BC$696,報告入力!$A$7:$A$696,$S$847,報告入力!$B$7:$B$696,$A853)</f>
        <v>938989</v>
      </c>
      <c r="M853" s="135" t="n">
        <f aca="false">SUM(K853:L853)</f>
        <v>1881518</v>
      </c>
      <c r="N853" s="215" t="n">
        <f aca="false">SUMIFS(報告入力!$BD$7:$BD$696,報告入力!$A$7:$A$696,$S$847,報告入力!$B$7:$B$696,$A853)</f>
        <v>1</v>
      </c>
      <c r="O853" s="182" t="n">
        <f aca="false">SUMIFS(報告入力!$BE$7:$BE$696,報告入力!$A$7:$A$696,$S$847,報告入力!$B$7:$B$696,$A853)</f>
        <v>1</v>
      </c>
      <c r="P853" s="135" t="n">
        <f aca="false">SUM(N853:O853)</f>
        <v>2</v>
      </c>
      <c r="Q853" s="110" t="str">
        <f aca="false">IF(P788=P853,"〇","×")</f>
        <v>〇</v>
      </c>
      <c r="R853" s="110" t="str">
        <f aca="false">IFERROR(INDEX(報告入力!$C$7:$C$696,MATCH($S$847&amp;"|"&amp;$A853,報告入力!$CG$7:$CG$696,0)),"")</f>
        <v>未受領</v>
      </c>
    </row>
    <row r="854" s="110" customFormat="true" ht="20.1" hidden="false" customHeight="true" outlineLevel="0" collapsed="false">
      <c r="A854" s="100" t="s">
        <v>163</v>
      </c>
      <c r="B854" s="178" t="n">
        <f aca="false">SUMIFS(報告入力!$AU$7:$AU$696,報告入力!$A$7:$A$696,$S$847,報告入力!$B$7:$B$696,$A854)</f>
        <v>762004</v>
      </c>
      <c r="C854" s="179" t="n">
        <f aca="false">SUMIFS(報告入力!$AV$7:$AV$696,報告入力!$A$7:$A$696,$S$847,報告入力!$B$7:$B$696,$A854)</f>
        <v>62452</v>
      </c>
      <c r="D854" s="362" t="n">
        <f aca="false">SUMIFS(報告入力!$AW$7:$AW$696,報告入力!$A$7:$A$696,$S$847,報告入力!$B$7:$B$696,$A854)</f>
        <v>1112729</v>
      </c>
      <c r="E854" s="362" t="n">
        <f aca="false">SUMIFS(報告入力!$AX$7:$AX$696,報告入力!$A$7:$A$696,$S$847,報告入力!$B$7:$B$696,$A854)</f>
        <v>62460</v>
      </c>
      <c r="F854" s="212" t="n">
        <f aca="false">SUMIFS(報告入力!$AY$7:$AY$696,報告入力!$A$7:$A$696,$S$847,報告入力!$B$7:$B$696,$A854)</f>
        <v>793</v>
      </c>
      <c r="G854" s="181" t="n">
        <f aca="false">SUM(B854:F854)</f>
        <v>2000438</v>
      </c>
      <c r="H854" s="362" t="n">
        <f aca="false">SUMIFS(報告入力!$AZ$7:$AZ$696,報告入力!$A$7:$A$696,$S$847,報告入力!$B$7:$B$696,$A854)</f>
        <v>458103</v>
      </c>
      <c r="I854" s="182" t="n">
        <f aca="false">SUMIFS(報告入力!$BA$7:$BA$696,報告入力!$A$7:$A$696,$S$847,報告入力!$B$7:$B$696,$A854)</f>
        <v>466320</v>
      </c>
      <c r="J854" s="135" t="n">
        <f aca="false">SUM(H854:I854)</f>
        <v>924423</v>
      </c>
      <c r="K854" s="178" t="n">
        <f aca="false">SUMIFS(報告入力!$BB$7:$BB$696,報告入力!$A$7:$A$696,$S$847,報告入力!$B$7:$B$696,$A854)</f>
        <v>46480</v>
      </c>
      <c r="L854" s="182" t="n">
        <f aca="false">SUMIFS(報告入力!$BC$7:$BC$696,報告入力!$A$7:$A$696,$S$847,報告入力!$B$7:$B$696,$A854)</f>
        <v>46491</v>
      </c>
      <c r="M854" s="135" t="n">
        <f aca="false">SUM(K854:L854)</f>
        <v>92971</v>
      </c>
      <c r="N854" s="178" t="n">
        <f aca="false">SUMIFS(報告入力!$BD$7:$BD$696,報告入力!$A$7:$A$696,$S$847,報告入力!$B$7:$B$696,$A854)</f>
        <v>1</v>
      </c>
      <c r="O854" s="182" t="n">
        <f aca="false">SUMIFS(報告入力!$BE$7:$BE$696,報告入力!$A$7:$A$696,$S$847,報告入力!$B$7:$B$696,$A854)</f>
        <v>1</v>
      </c>
      <c r="P854" s="135" t="n">
        <f aca="false">SUM(N854:O854)</f>
        <v>2</v>
      </c>
      <c r="Q854" s="110" t="str">
        <f aca="false">IF(P789=P854,"〇","×")</f>
        <v>〇</v>
      </c>
      <c r="R854" s="110" t="str">
        <f aca="false">IFERROR(INDEX(報告入力!$C$7:$C$696,MATCH($S$847&amp;"|"&amp;$A854,報告入力!$CG$7:$CG$696,0)),"")</f>
        <v>未受領</v>
      </c>
    </row>
    <row r="855" s="110" customFormat="true" ht="20.1" hidden="false" customHeight="true" outlineLevel="0" collapsed="false">
      <c r="A855" s="100" t="s">
        <v>164</v>
      </c>
      <c r="B855" s="178" t="n">
        <f aca="false">SUMIFS(報告入力!$AU$7:$AU$696,報告入力!$A$7:$A$696,$S$847,報告入力!$B$7:$B$696,$A855)</f>
        <v>11288669</v>
      </c>
      <c r="C855" s="179" t="n">
        <f aca="false">SUMIFS(報告入力!$AV$7:$AV$696,報告入力!$A$7:$A$696,$S$847,報告入力!$B$7:$B$696,$A855)</f>
        <v>925169</v>
      </c>
      <c r="D855" s="362" t="n">
        <f aca="false">SUMIFS(報告入力!$AW$7:$AW$696,報告入力!$A$7:$A$696,$S$847,報告入力!$B$7:$B$696,$A855)</f>
        <v>15428472</v>
      </c>
      <c r="E855" s="362" t="n">
        <f aca="false">SUMIFS(報告入力!$AX$7:$AX$696,報告入力!$A$7:$A$696,$S$847,報告入力!$B$7:$B$696,$A855)</f>
        <v>925311</v>
      </c>
      <c r="F855" s="212" t="n">
        <f aca="false">SUMIFS(報告入力!$AY$7:$AY$696,報告入力!$A$7:$A$696,$S$847,報告入力!$B$7:$B$696,$A855)</f>
        <v>11806</v>
      </c>
      <c r="G855" s="181" t="n">
        <f aca="false">SUM(B855:F855)</f>
        <v>28579427</v>
      </c>
      <c r="H855" s="362" t="n">
        <f aca="false">SUMIFS(報告入力!$AZ$7:$AZ$696,報告入力!$A$7:$A$696,$S$847,報告入力!$B$7:$B$696,$A855)</f>
        <v>10970321</v>
      </c>
      <c r="I855" s="182" t="n">
        <f aca="false">SUMIFS(報告入力!$BA$7:$BA$696,報告入力!$A$7:$A$696,$S$847,報告入力!$B$7:$B$696,$A855)</f>
        <v>11131787</v>
      </c>
      <c r="J855" s="424" t="n">
        <f aca="false">SUM(H855:I855)</f>
        <v>22102108</v>
      </c>
      <c r="K855" s="214" t="n">
        <f aca="false">SUMIFS(報告入力!$BB$7:$BB$696,報告入力!$A$7:$A$696,$S$847,報告入力!$B$7:$B$696,$A855)</f>
        <v>1291130</v>
      </c>
      <c r="L855" s="214" t="n">
        <f aca="false">SUMIFS(報告入力!$BC$7:$BC$696,報告入力!$A$7:$A$696,$S$847,報告入力!$B$7:$B$696,$A855)</f>
        <v>1290783</v>
      </c>
      <c r="M855" s="135" t="n">
        <f aca="false">SUM(K855:L855)</f>
        <v>2581913</v>
      </c>
      <c r="N855" s="214" t="n">
        <f aca="false">SUMIFS(報告入力!$BD$7:$BD$696,報告入力!$A$7:$A$696,$S$847,報告入力!$B$7:$B$696,$A855)</f>
        <v>1</v>
      </c>
      <c r="O855" s="214" t="n">
        <f aca="false">SUMIFS(報告入力!$BE$7:$BE$696,報告入力!$A$7:$A$696,$S$847,報告入力!$B$7:$B$696,$A855)</f>
        <v>1</v>
      </c>
      <c r="P855" s="135" t="n">
        <f aca="false">SUM(N855:O855)</f>
        <v>2</v>
      </c>
      <c r="Q855" s="110" t="str">
        <f aca="false">IF(P790=P855,"〇","×")</f>
        <v>〇</v>
      </c>
      <c r="R855" s="110" t="str">
        <f aca="false">IFERROR(INDEX(報告入力!$C$7:$C$696,MATCH($S$847&amp;"|"&amp;$A855,報告入力!$CG$7:$CG$696,0)),"")</f>
        <v>未受領</v>
      </c>
    </row>
    <row r="856" s="110" customFormat="true" ht="20.1" hidden="false" customHeight="true" outlineLevel="0" collapsed="false">
      <c r="A856" s="100" t="s">
        <v>165</v>
      </c>
      <c r="B856" s="178" t="n">
        <f aca="false">SUMIFS(報告入力!$AU$7:$AU$696,報告入力!$A$7:$A$696,$S$847,報告入力!$B$7:$B$696,$A856)</f>
        <v>107327</v>
      </c>
      <c r="C856" s="179" t="n">
        <f aca="false">SUMIFS(報告入力!$AV$7:$AV$696,報告入力!$A$7:$A$696,$S$847,報告入力!$B$7:$B$696,$A856)</f>
        <v>8795</v>
      </c>
      <c r="D856" s="362" t="n">
        <f aca="false">SUMIFS(報告入力!$AW$7:$AW$696,報告入力!$A$7:$A$696,$S$847,報告入力!$B$7:$B$696,$A856)</f>
        <v>156008</v>
      </c>
      <c r="E856" s="362" t="n">
        <f aca="false">SUMIFS(報告入力!$AX$7:$AX$696,報告入力!$A$7:$A$696,$S$847,報告入力!$B$7:$B$696,$A856)</f>
        <v>8797</v>
      </c>
      <c r="F856" s="212" t="n">
        <f aca="false">SUMIFS(報告入力!$AY$7:$AY$696,報告入力!$A$7:$A$696,$S$847,報告入力!$B$7:$B$696,$A856)</f>
        <v>110</v>
      </c>
      <c r="G856" s="181" t="n">
        <f aca="false">SUM(B856:F856)</f>
        <v>281037</v>
      </c>
      <c r="H856" s="182" t="n">
        <f aca="false">SUMIFS(報告入力!$AZ$7:$AZ$696,報告入力!$A$7:$A$696,$S$847,報告入力!$B$7:$B$696,$A856)</f>
        <v>72939</v>
      </c>
      <c r="I856" s="183" t="n">
        <f aca="false">SUMIFS(報告入力!$BA$7:$BA$696,報告入力!$A$7:$A$696,$S$847,報告入力!$B$7:$B$696,$A856)</f>
        <v>74228</v>
      </c>
      <c r="J856" s="135" t="n">
        <f aca="false">SUM(H856:I856)</f>
        <v>147167</v>
      </c>
      <c r="K856" s="178" t="n">
        <f aca="false">SUMIFS(報告入力!$BB$7:$BB$696,報告入力!$A$7:$A$696,$S$847,報告入力!$B$7:$B$696,$A856)</f>
        <v>7085</v>
      </c>
      <c r="L856" s="182" t="n">
        <f aca="false">SUMIFS(報告入力!$BC$7:$BC$696,報告入力!$A$7:$A$696,$S$847,報告入力!$B$7:$B$696,$A856)</f>
        <v>7085</v>
      </c>
      <c r="M856" s="135" t="n">
        <f aca="false">SUM(K856:L856)</f>
        <v>14170</v>
      </c>
      <c r="N856" s="178" t="n">
        <f aca="false">SUMIFS(報告入力!$BD$7:$BD$696,報告入力!$A$7:$A$696,$S$847,報告入力!$B$7:$B$696,$A856)</f>
        <v>1</v>
      </c>
      <c r="O856" s="182" t="n">
        <f aca="false">SUMIFS(報告入力!$BE$7:$BE$696,報告入力!$A$7:$A$696,$S$847,報告入力!$B$7:$B$696,$A856)</f>
        <v>1</v>
      </c>
      <c r="P856" s="135" t="n">
        <f aca="false">SUM(N856:O856)</f>
        <v>2</v>
      </c>
      <c r="Q856" s="110" t="str">
        <f aca="false">IF(P791=P856,"〇","×")</f>
        <v>〇</v>
      </c>
      <c r="R856" s="110" t="str">
        <f aca="false">IFERROR(INDEX(報告入力!$C$7:$C$696,MATCH($S$847&amp;"|"&amp;$A856,報告入力!$CG$7:$CG$696,0)),"")</f>
        <v>未受領</v>
      </c>
    </row>
    <row r="857" s="110" customFormat="true" ht="20.1" hidden="false" customHeight="true" outlineLevel="0" collapsed="false">
      <c r="A857" s="100" t="s">
        <v>166</v>
      </c>
      <c r="B857" s="178" t="n">
        <f aca="false">SUMIFS(報告入力!$AU$7:$AU$696,報告入力!$A$7:$A$696,$S$847,報告入力!$B$7:$B$696,$A857)</f>
        <v>248785</v>
      </c>
      <c r="C857" s="179" t="n">
        <f aca="false">SUMIFS(報告入力!$AV$7:$AV$696,報告入力!$A$7:$A$696,$S$847,報告入力!$B$7:$B$696,$A857)</f>
        <v>20389</v>
      </c>
      <c r="D857" s="362" t="n">
        <f aca="false">SUMIFS(報告入力!$AW$7:$AW$696,報告入力!$A$7:$A$696,$S$847,報告入力!$B$7:$B$696,$A857)</f>
        <v>361626</v>
      </c>
      <c r="E857" s="362" t="n">
        <f aca="false">SUMIFS(報告入力!$AX$7:$AX$696,報告入力!$A$7:$A$696,$S$847,報告入力!$B$7:$B$696,$A857)</f>
        <v>20392</v>
      </c>
      <c r="F857" s="212" t="n">
        <f aca="false">SUMIFS(報告入力!$AY$7:$AY$696,報告入力!$A$7:$A$696,$S$847,報告入力!$B$7:$B$696,$A857)</f>
        <v>255</v>
      </c>
      <c r="G857" s="366" t="n">
        <f aca="false">SUM(B857:F857)</f>
        <v>651447</v>
      </c>
      <c r="H857" s="182" t="n">
        <f aca="false">SUMIFS(報告入力!$AZ$7:$AZ$696,報告入力!$A$7:$A$696,$S$847,報告入力!$B$7:$B$696,$A857)</f>
        <v>149566</v>
      </c>
      <c r="I857" s="183" t="n">
        <f aca="false">SUMIFS(報告入力!$BA$7:$BA$696,報告入力!$A$7:$A$696,$S$847,報告入力!$B$7:$B$696,$A857)</f>
        <v>152209</v>
      </c>
      <c r="J857" s="135" t="n">
        <f aca="false">SUM(H857:I857)</f>
        <v>301775</v>
      </c>
      <c r="K857" s="262" t="n">
        <f aca="false">SUMIFS(報告入力!$BB$7:$BB$696,報告入力!$A$7:$A$696,$S$847,報告入力!$B$7:$B$696,$A857)</f>
        <v>14517</v>
      </c>
      <c r="L857" s="183" t="n">
        <f aca="false">SUMIFS(報告入力!$BC$7:$BC$696,報告入力!$A$7:$A$696,$S$847,報告入力!$B$7:$B$696,$A857)</f>
        <v>14520</v>
      </c>
      <c r="M857" s="135" t="n">
        <f aca="false">SUM(K857:L857)</f>
        <v>29037</v>
      </c>
      <c r="N857" s="262" t="n">
        <f aca="false">SUMIFS(報告入力!$BD$7:$BD$696,報告入力!$A$7:$A$696,$S$847,報告入力!$B$7:$B$696,$A857)</f>
        <v>1</v>
      </c>
      <c r="O857" s="183" t="n">
        <f aca="false">SUMIFS(報告入力!$BE$7:$BE$696,報告入力!$A$7:$A$696,$S$847,報告入力!$B$7:$B$696,$A857)</f>
        <v>1</v>
      </c>
      <c r="P857" s="135" t="n">
        <f aca="false">SUM(N857:O857)</f>
        <v>2</v>
      </c>
      <c r="Q857" s="110" t="str">
        <f aca="false">IF(P792=P857,"〇","×")</f>
        <v>〇</v>
      </c>
      <c r="R857" s="110" t="str">
        <f aca="false">IFERROR(INDEX(報告入力!$C$7:$C$696,MATCH($S$847&amp;"|"&amp;$A857,報告入力!$CG$7:$CG$696,0)),"")</f>
        <v>未受領</v>
      </c>
    </row>
    <row r="858" s="110" customFormat="true" ht="20.1" hidden="false" customHeight="true" outlineLevel="0" collapsed="false">
      <c r="A858" s="100" t="s">
        <v>167</v>
      </c>
      <c r="B858" s="178" t="n">
        <f aca="false">SUMIFS(報告入力!$AU$7:$AU$696,報告入力!$A$7:$A$696,$S$847,報告入力!$B$7:$B$696,$A858)</f>
        <v>646257</v>
      </c>
      <c r="C858" s="179" t="n">
        <f aca="false">SUMIFS(報告入力!$AV$7:$AV$696,報告入力!$A$7:$A$696,$S$847,報告入力!$B$7:$B$696,$A858)</f>
        <v>52965</v>
      </c>
      <c r="D858" s="362" t="n">
        <f aca="false">SUMIFS(報告入力!$AW$7:$AW$696,報告入力!$A$7:$A$696,$S$847,報告入力!$B$7:$B$696,$A858)</f>
        <v>882168</v>
      </c>
      <c r="E858" s="362" t="n">
        <f aca="false">SUMIFS(報告入力!$AX$7:$AX$696,報告入力!$A$7:$A$696,$S$847,報告入力!$B$7:$B$696,$A858)</f>
        <v>52972</v>
      </c>
      <c r="F858" s="212" t="n">
        <f aca="false">SUMIFS(報告入力!$AY$7:$AY$696,報告入力!$A$7:$A$696,$S$847,報告入力!$B$7:$B$696,$A858)</f>
        <v>672</v>
      </c>
      <c r="G858" s="181" t="n">
        <f aca="false">SUM(B858:F858)</f>
        <v>1635034</v>
      </c>
      <c r="H858" s="182" t="n">
        <f aca="false">SUMIFS(報告入力!$AZ$7:$AZ$696,報告入力!$A$7:$A$696,$S$847,報告入力!$B$7:$B$696,$A858)</f>
        <v>392206</v>
      </c>
      <c r="I858" s="183" t="n">
        <f aca="false">SUMIFS(報告入力!$BA$7:$BA$696,報告入力!$A$7:$A$696,$S$847,報告入力!$B$7:$B$696,$A858)</f>
        <v>398208</v>
      </c>
      <c r="J858" s="135" t="n">
        <f aca="false">SUM(H858:I858)</f>
        <v>790414</v>
      </c>
      <c r="K858" s="262" t="n">
        <f aca="false">SUMIFS(報告入力!$BB$7:$BB$696,報告入力!$A$7:$A$696,$S$847,報告入力!$B$7:$B$696,$A858)</f>
        <v>55774</v>
      </c>
      <c r="L858" s="183" t="n">
        <f aca="false">SUMIFS(報告入力!$BC$7:$BC$696,報告入力!$A$7:$A$696,$S$847,報告入力!$B$7:$B$696,$A858)</f>
        <v>55783</v>
      </c>
      <c r="M858" s="135" t="n">
        <f aca="false">SUM(K858:L858)</f>
        <v>111557</v>
      </c>
      <c r="N858" s="262" t="n">
        <f aca="false">SUMIFS(報告入力!$BD$7:$BD$696,報告入力!$A$7:$A$696,$S$847,報告入力!$B$7:$B$696,$A858)</f>
        <v>1</v>
      </c>
      <c r="O858" s="183" t="n">
        <f aca="false">SUMIFS(報告入力!$BE$7:$BE$696,報告入力!$A$7:$A$696,$S$847,報告入力!$B$7:$B$696,$A858)</f>
        <v>1</v>
      </c>
      <c r="P858" s="135" t="n">
        <f aca="false">SUM(N858:O858)</f>
        <v>2</v>
      </c>
      <c r="Q858" s="110" t="str">
        <f aca="false">IF(P793=P858,"〇","×")</f>
        <v>〇</v>
      </c>
      <c r="R858" s="110" t="str">
        <f aca="false">IFERROR(INDEX(報告入力!$C$7:$C$696,MATCH($S$847&amp;"|"&amp;$A858,報告入力!$CG$7:$CG$696,0)),"")</f>
        <v>未受領</v>
      </c>
    </row>
    <row r="859" s="110" customFormat="true" ht="20.1" hidden="false" customHeight="true" outlineLevel="0" collapsed="false">
      <c r="A859" s="100" t="s">
        <v>168</v>
      </c>
      <c r="B859" s="178" t="n">
        <f aca="false">SUMIFS(報告入力!$AU$7:$AU$696,報告入力!$A$7:$A$696,$S$847,報告入力!$B$7:$B$696,$A859)</f>
        <v>168175</v>
      </c>
      <c r="C859" s="179" t="n">
        <f aca="false">SUMIFS(報告入力!$AV$7:$AV$696,報告入力!$A$7:$A$696,$S$847,報告入力!$B$7:$B$696,$A859)</f>
        <v>13783</v>
      </c>
      <c r="D859" s="362" t="n">
        <f aca="false">SUMIFS(報告入力!$AW$7:$AW$696,報告入力!$A$7:$A$696,$S$847,報告入力!$B$7:$B$696,$A859)</f>
        <v>244454</v>
      </c>
      <c r="E859" s="362" t="n">
        <f aca="false">SUMIFS(報告入力!$AX$7:$AX$696,報告入力!$A$7:$A$696,$S$847,報告入力!$B$7:$B$696,$A859)</f>
        <v>13785</v>
      </c>
      <c r="F859" s="212" t="n">
        <f aca="false">SUMIFS(報告入力!$AY$7:$AY$696,報告入力!$A$7:$A$696,$S$847,報告入力!$B$7:$B$696,$A859)</f>
        <v>172</v>
      </c>
      <c r="G859" s="181" t="n">
        <f aca="false">SUM(B859:F859)</f>
        <v>440369</v>
      </c>
      <c r="H859" s="182" t="n">
        <f aca="false">SUMIFS(報告入力!$AZ$7:$AZ$696,報告入力!$A$7:$A$696,$S$847,報告入力!$B$7:$B$696,$A859)</f>
        <v>135039</v>
      </c>
      <c r="I859" s="183" t="n">
        <f aca="false">SUMIFS(報告入力!$BA$7:$BA$696,報告入力!$A$7:$A$696,$S$847,報告入力!$B$7:$B$696,$A859)</f>
        <v>137430</v>
      </c>
      <c r="J859" s="135" t="n">
        <f aca="false">SUM(H859:I859)</f>
        <v>272469</v>
      </c>
      <c r="K859" s="262" t="n">
        <f aca="false">SUMIFS(報告入力!$BB$7:$BB$696,報告入力!$A$7:$A$696,$S$847,報告入力!$B$7:$B$696,$A859)</f>
        <v>14721</v>
      </c>
      <c r="L859" s="183" t="n">
        <f aca="false">SUMIFS(報告入力!$BC$7:$BC$696,報告入力!$A$7:$A$696,$S$847,報告入力!$B$7:$B$696,$A859)</f>
        <v>14724</v>
      </c>
      <c r="M859" s="135" t="n">
        <f aca="false">SUM(K859:L859)</f>
        <v>29445</v>
      </c>
      <c r="N859" s="262" t="n">
        <f aca="false">SUMIFS(報告入力!$BD$7:$BD$696,報告入力!$A$7:$A$696,$S$847,報告入力!$B$7:$B$696,$A859)</f>
        <v>1</v>
      </c>
      <c r="O859" s="183" t="n">
        <f aca="false">SUMIFS(報告入力!$BE$7:$BE$696,報告入力!$A$7:$A$696,$S$847,報告入力!$B$7:$B$696,$A859)</f>
        <v>1</v>
      </c>
      <c r="P859" s="135" t="n">
        <f aca="false">SUM(N859:O859)</f>
        <v>2</v>
      </c>
      <c r="Q859" s="110" t="str">
        <f aca="false">IF(P794=P859,"〇","×")</f>
        <v>〇</v>
      </c>
      <c r="R859" s="110" t="str">
        <f aca="false">IFERROR(INDEX(報告入力!$C$7:$C$696,MATCH($S$847&amp;"|"&amp;$A859,報告入力!$CG$7:$CG$696,0)),"")</f>
        <v>未受領</v>
      </c>
    </row>
    <row r="860" s="110" customFormat="true" ht="20.1" hidden="false" customHeight="true" outlineLevel="0" collapsed="false">
      <c r="A860" s="100" t="s">
        <v>169</v>
      </c>
      <c r="B860" s="178" t="n">
        <f aca="false">SUMIFS(報告入力!$AU$7:$AU$696,報告入力!$A$7:$A$696,$S$847,報告入力!$B$7:$B$696,$A860)</f>
        <v>10777442</v>
      </c>
      <c r="C860" s="179" t="n">
        <f aca="false">SUMIFS(報告入力!$AV$7:$AV$696,報告入力!$A$7:$A$696,$S$847,報告入力!$B$7:$B$696,$A860)</f>
        <v>883250</v>
      </c>
      <c r="D860" s="362" t="n">
        <f aca="false">SUMIFS(報告入力!$AW$7:$AW$696,報告入力!$A$7:$A$696,$S$847,報告入力!$B$7:$B$696,$A860)</f>
        <v>14724336</v>
      </c>
      <c r="E860" s="362" t="n">
        <f aca="false">SUMIFS(報告入力!$AX$7:$AX$696,報告入力!$A$7:$A$696,$S$847,報告入力!$B$7:$B$696,$A860)</f>
        <v>883408</v>
      </c>
      <c r="F860" s="212" t="n">
        <f aca="false">SUMIFS(報告入力!$AY$7:$AY$696,報告入力!$A$7:$A$696,$S$847,報告入力!$B$7:$B$696,$A860)</f>
        <v>11254</v>
      </c>
      <c r="G860" s="181" t="n">
        <f aca="false">SUM(B860:F860)</f>
        <v>27279690</v>
      </c>
      <c r="H860" s="182" t="n">
        <f aca="false">SUMIFS(報告入力!$AZ$7:$AZ$696,報告入力!$A$7:$A$696,$S$847,報告入力!$B$7:$B$696,$A860)</f>
        <v>6732257</v>
      </c>
      <c r="I860" s="183" t="n">
        <f aca="false">SUMIFS(報告入力!$BA$7:$BA$696,報告入力!$A$7:$A$696,$S$847,報告入力!$B$7:$B$696,$A860)</f>
        <v>6835679</v>
      </c>
      <c r="J860" s="135" t="n">
        <f aca="false">SUM(H860:I860)</f>
        <v>13567936</v>
      </c>
      <c r="K860" s="262" t="n">
        <f aca="false">SUMIFS(報告入力!$BB$7:$BB$696,報告入力!$A$7:$A$696,$S$847,報告入力!$B$7:$B$696,$A860)</f>
        <v>716904</v>
      </c>
      <c r="L860" s="183" t="n">
        <f aca="false">SUMIFS(報告入力!$BC$7:$BC$696,報告入力!$A$7:$A$696,$S$847,報告入力!$B$7:$B$696,$A860)</f>
        <v>717036</v>
      </c>
      <c r="M860" s="135" t="n">
        <f aca="false">SUM(K860:L860)</f>
        <v>1433940</v>
      </c>
      <c r="N860" s="262" t="n">
        <f aca="false">SUMIFS(報告入力!$BD$7:$BD$696,報告入力!$A$7:$A$696,$S$847,報告入力!$B$7:$B$696,$A860)</f>
        <v>1</v>
      </c>
      <c r="O860" s="183" t="n">
        <f aca="false">SUMIFS(報告入力!$BE$7:$BE$696,報告入力!$A$7:$A$696,$S$847,報告入力!$B$7:$B$696,$A860)</f>
        <v>1</v>
      </c>
      <c r="P860" s="135" t="n">
        <f aca="false">SUM(N860:O860)</f>
        <v>2</v>
      </c>
      <c r="Q860" s="110" t="str">
        <f aca="false">IF(P795=P860,"〇","×")</f>
        <v>〇</v>
      </c>
      <c r="R860" s="110" t="str">
        <f aca="false">IFERROR(INDEX(報告入力!$C$7:$C$696,MATCH($S$847&amp;"|"&amp;$A860,報告入力!$CG$7:$CG$696,0)),"")</f>
        <v>未受領</v>
      </c>
    </row>
    <row r="861" s="110" customFormat="true" ht="19.5" hidden="false" customHeight="true" outlineLevel="0" collapsed="false">
      <c r="A861" s="121" t="s">
        <v>381</v>
      </c>
      <c r="B861" s="215" t="n">
        <f aca="false">SUMIFS(報告入力!$AU$7:$AU$696,報告入力!$A$7:$A$696,$S$847,報告入力!$B$7:$B$696,$A861)</f>
        <v>22783</v>
      </c>
      <c r="C861" s="367" t="n">
        <f aca="false">SUMIFS(報告入力!$AV$7:$AV$696,報告入力!$A$7:$A$696,$S$847,報告入力!$B$7:$B$696,$A861)</f>
        <v>1867</v>
      </c>
      <c r="D861" s="215" t="n">
        <f aca="false">SUMIFS(報告入力!$AW$7:$AW$696,報告入力!$A$7:$A$696,$S$847,報告入力!$B$7:$B$696,$A861)</f>
        <v>31101</v>
      </c>
      <c r="E861" s="213" t="n">
        <f aca="false">SUMIFS(報告入力!$AX$7:$AX$696,報告入力!$A$7:$A$696,$S$847,報告入力!$B$7:$B$696,$A861)</f>
        <v>1867</v>
      </c>
      <c r="F861" s="368" t="n">
        <f aca="false">SUMIFS(報告入力!$AY$7:$AY$696,報告入力!$A$7:$A$696,$S$847,報告入力!$B$7:$B$696,$A861)</f>
        <v>23</v>
      </c>
      <c r="G861" s="366" t="n">
        <f aca="false">SUM(B861:F861)</f>
        <v>57641</v>
      </c>
      <c r="H861" s="369" t="n">
        <f aca="false">SUMIFS(報告入力!$AZ$7:$AZ$696,報告入力!$A$7:$A$696,$S$847,報告入力!$B$7:$B$696,$A861)</f>
        <v>13697</v>
      </c>
      <c r="I861" s="370" t="n">
        <f aca="false">SUMIFS(報告入力!$BA$7:$BA$696,報告入力!$A$7:$A$696,$S$847,報告入力!$B$7:$B$696,$A861)</f>
        <v>13906</v>
      </c>
      <c r="J861" s="135" t="n">
        <f aca="false">SUM(H861:I861)</f>
        <v>27603</v>
      </c>
      <c r="K861" s="262" t="n">
        <f aca="false">SUMIFS(報告入力!$BB$7:$BB$696,報告入力!$A$7:$A$696,$S$847,報告入力!$B$7:$B$696,$A861)</f>
        <v>2091</v>
      </c>
      <c r="L861" s="183" t="n">
        <f aca="false">SUMIFS(報告入力!$BC$7:$BC$696,報告入力!$A$7:$A$696,$S$847,報告入力!$B$7:$B$696,$A861)</f>
        <v>2091</v>
      </c>
      <c r="M861" s="135" t="n">
        <f aca="false">SUM(K861:L861)</f>
        <v>4182</v>
      </c>
      <c r="N861" s="262" t="n">
        <f aca="false">SUMIFS(報告入力!$BD$7:$BD$696,報告入力!$A$7:$A$696,$S$847,報告入力!$B$7:$B$696,$A861)</f>
        <v>1</v>
      </c>
      <c r="O861" s="183" t="n">
        <f aca="false">SUMIFS(報告入力!$BE$7:$BE$696,報告入力!$A$7:$A$696,$S$847,報告入力!$B$7:$B$696,$A861)</f>
        <v>1</v>
      </c>
      <c r="P861" s="135" t="n">
        <f aca="false">SUM(N861:O861)</f>
        <v>2</v>
      </c>
      <c r="Q861" s="110" t="str">
        <f aca="false">IF(P796=P861,"〇","×")</f>
        <v>〇</v>
      </c>
      <c r="R861" s="110" t="str">
        <f aca="false">IFERROR(INDEX(報告入力!$C$7:$C$696,MATCH($S$847&amp;"|"&amp;$A861,報告入力!$CG$7:$CG$696,0)),"")</f>
        <v>未受領</v>
      </c>
    </row>
    <row r="862" s="137" customFormat="true" ht="19.5" hidden="false" customHeight="true" outlineLevel="0" collapsed="false">
      <c r="A862" s="126" t="s">
        <v>171</v>
      </c>
      <c r="B862" s="127" t="n">
        <f aca="false">SUMIFS(報告入力!$AU$7:$AU$696,報告入力!$A$7:$A$696,$S$847,報告入力!$B$7:$B$696,$A862)</f>
        <v>0</v>
      </c>
      <c r="C862" s="128" t="n">
        <f aca="false">SUMIFS(報告入力!$AV$7:$AV$696,報告入力!$A$7:$A$696,$S$847,報告入力!$B$7:$B$696,$A862)</f>
        <v>0</v>
      </c>
      <c r="D862" s="129"/>
      <c r="E862" s="130"/>
      <c r="F862" s="131" t="n">
        <f aca="false">SUMIFS(報告入力!$AY$7:$AY$696,報告入力!$A$7:$A$696,$S$847,報告入力!$B$7:$B$696,$A862)</f>
        <v>0</v>
      </c>
      <c r="G862" s="132" t="n">
        <f aca="false">SUM(B862:F862)</f>
        <v>0</v>
      </c>
      <c r="H862" s="182" t="n">
        <f aca="false">SUMIFS(報告入力!$AZ$7:$AZ$696,報告入力!$A$7:$A$696,$S$847,報告入力!$B$7:$B$696,$A862)</f>
        <v>40150</v>
      </c>
      <c r="I862" s="183" t="n">
        <f aca="false">SUMIFS(報告入力!$BA$7:$BA$696,報告入力!$A$7:$A$696,$S$847,報告入力!$B$7:$B$696,$A862)</f>
        <v>40770</v>
      </c>
      <c r="J862" s="135" t="n">
        <f aca="false">SUM(H862:I862)</f>
        <v>80920</v>
      </c>
      <c r="K862" s="262" t="n">
        <f aca="false">SUMIFS(報告入力!$BB$7:$BB$696,報告入力!$A$7:$A$696,$S$847,報告入力!$B$7:$B$696,$A862)</f>
        <v>2922</v>
      </c>
      <c r="L862" s="183" t="n">
        <f aca="false">SUMIFS(報告入力!$BC$7:$BC$696,報告入力!$A$7:$A$696,$S$847,報告入力!$B$7:$B$696,$A862)</f>
        <v>2923</v>
      </c>
      <c r="M862" s="135" t="n">
        <f aca="false">SUM(K862:L862)</f>
        <v>5845</v>
      </c>
      <c r="N862" s="262" t="n">
        <f aca="false">SUMIFS(報告入力!$BD$7:$BD$696,報告入力!$A$7:$A$696,$S$847,報告入力!$B$7:$B$696,$A862)</f>
        <v>1</v>
      </c>
      <c r="O862" s="183" t="n">
        <f aca="false">SUMIFS(報告入力!$BE$7:$BE$696,報告入力!$A$7:$A$696,$S$847,報告入力!$B$7:$B$696,$A862)</f>
        <v>1</v>
      </c>
      <c r="P862" s="135" t="n">
        <f aca="false">SUM(N862:O862)</f>
        <v>2</v>
      </c>
      <c r="Q862" s="137" t="str">
        <f aca="false">IF(P797=P862,"〇","×")</f>
        <v>〇</v>
      </c>
      <c r="R862" s="137" t="str">
        <f aca="false">IFERROR(INDEX(報告入力!$C$7:$C$696,MATCH($S$847&amp;"|"&amp;$A862,報告入力!$CG$7:$CG$696,0)),"")</f>
        <v>未受領</v>
      </c>
    </row>
    <row r="863" s="137" customFormat="true" ht="19.5" hidden="false" customHeight="true" outlineLevel="0" collapsed="false">
      <c r="A863" s="138" t="s">
        <v>382</v>
      </c>
      <c r="B863" s="139"/>
      <c r="C863" s="140"/>
      <c r="D863" s="139"/>
      <c r="E863" s="141"/>
      <c r="F863" s="142"/>
      <c r="G863" s="143"/>
      <c r="H863" s="144"/>
      <c r="I863" s="145"/>
      <c r="J863" s="146"/>
      <c r="K863" s="147"/>
      <c r="L863" s="148"/>
      <c r="M863" s="148"/>
      <c r="N863" s="147"/>
      <c r="O863" s="148"/>
      <c r="P863" s="148"/>
      <c r="Q863" s="137" t="str">
        <f aca="false">IF(P798=P863,"〇","×")</f>
        <v>〇</v>
      </c>
    </row>
    <row r="864" s="137" customFormat="true" ht="19.5" hidden="false" customHeight="true" outlineLevel="0" collapsed="false">
      <c r="A864" s="149" t="s">
        <v>382</v>
      </c>
      <c r="B864" s="150"/>
      <c r="C864" s="151"/>
      <c r="D864" s="150"/>
      <c r="E864" s="152"/>
      <c r="F864" s="153"/>
      <c r="G864" s="154"/>
      <c r="H864" s="155"/>
      <c r="I864" s="152"/>
      <c r="J864" s="156"/>
      <c r="K864" s="157"/>
      <c r="L864" s="158"/>
      <c r="M864" s="158"/>
      <c r="N864" s="157"/>
      <c r="O864" s="158"/>
      <c r="P864" s="158"/>
      <c r="Q864" s="137" t="str">
        <f aca="false">IF(P799=P864,"〇","×")</f>
        <v>〇</v>
      </c>
    </row>
    <row r="865" s="137" customFormat="true" ht="19.5" hidden="false" customHeight="true" outlineLevel="0" collapsed="false">
      <c r="A865" s="149" t="s">
        <v>382</v>
      </c>
      <c r="B865" s="139"/>
      <c r="C865" s="140"/>
      <c r="D865" s="139"/>
      <c r="E865" s="141"/>
      <c r="F865" s="142"/>
      <c r="G865" s="143"/>
      <c r="H865" s="159"/>
      <c r="I865" s="141"/>
      <c r="J865" s="146"/>
      <c r="K865" s="160"/>
      <c r="L865" s="161"/>
      <c r="M865" s="161"/>
      <c r="N865" s="160"/>
      <c r="O865" s="161"/>
      <c r="P865" s="161"/>
      <c r="Q865" s="137" t="str">
        <f aca="false">IF(P800=P865,"〇","×")</f>
        <v>〇</v>
      </c>
    </row>
    <row r="866" s="137" customFormat="true" ht="19.5" hidden="false" customHeight="true" outlineLevel="0" collapsed="false">
      <c r="A866" s="162" t="s">
        <v>382</v>
      </c>
      <c r="B866" s="163"/>
      <c r="C866" s="164"/>
      <c r="D866" s="163"/>
      <c r="E866" s="165"/>
      <c r="F866" s="166"/>
      <c r="G866" s="167"/>
      <c r="H866" s="155"/>
      <c r="I866" s="168"/>
      <c r="J866" s="169"/>
      <c r="K866" s="157"/>
      <c r="L866" s="158"/>
      <c r="M866" s="170"/>
      <c r="N866" s="157"/>
      <c r="O866" s="158"/>
      <c r="P866" s="170"/>
      <c r="Q866" s="137" t="str">
        <f aca="false">IF(P801=P866,"〇","×")</f>
        <v>〇</v>
      </c>
    </row>
    <row r="867" s="137" customFormat="true" ht="19.5" hidden="false" customHeight="true" outlineLevel="0" collapsed="false">
      <c r="A867" s="171" t="s">
        <v>383</v>
      </c>
      <c r="B867" s="172" t="n">
        <f aca="false">SUM(B851:B866)</f>
        <v>149674769</v>
      </c>
      <c r="C867" s="173" t="n">
        <f aca="false">SUM(C851:C866)</f>
        <v>12271769</v>
      </c>
      <c r="D867" s="172" t="n">
        <f aca="false">SUM(D851:D866)</f>
        <v>211989451</v>
      </c>
      <c r="E867" s="174" t="n">
        <f aca="false">SUM(E851:E866)</f>
        <v>12602527</v>
      </c>
      <c r="F867" s="175" t="n">
        <f aca="false">SUM(F851:F866)</f>
        <v>161465</v>
      </c>
      <c r="G867" s="176" t="n">
        <f aca="false">SUM(B867:F867)</f>
        <v>386699981</v>
      </c>
      <c r="H867" s="173" t="n">
        <f aca="false">SUM(H851:H866)</f>
        <v>111317233</v>
      </c>
      <c r="I867" s="173" t="n">
        <f aca="false">SUM(I851:I866)</f>
        <v>115736418</v>
      </c>
      <c r="J867" s="175" t="n">
        <f aca="false">SUM(H867:I867)</f>
        <v>227053651</v>
      </c>
      <c r="K867" s="172" t="n">
        <f aca="false">SUM(K851:K866)</f>
        <v>10333938</v>
      </c>
      <c r="L867" s="173" t="n">
        <f aca="false">SUM(L851:L866)</f>
        <v>10958751</v>
      </c>
      <c r="M867" s="175" t="n">
        <f aca="false">SUM(K867:L867)</f>
        <v>21292689</v>
      </c>
      <c r="N867" s="172" t="n">
        <f aca="false">SUM(N851:N866)</f>
        <v>12</v>
      </c>
      <c r="O867" s="173" t="n">
        <f aca="false">SUM(O851:O866)</f>
        <v>12</v>
      </c>
      <c r="P867" s="175" t="n">
        <f aca="false">SUM(N867:O867)</f>
        <v>24</v>
      </c>
      <c r="Q867" s="137" t="str">
        <f aca="false">IF(P802=P867,"〇","×")</f>
        <v>〇</v>
      </c>
    </row>
    <row r="868" s="110" customFormat="true" ht="20.1" hidden="false" customHeight="true" outlineLevel="0" collapsed="false">
      <c r="A868" s="177" t="s">
        <v>172</v>
      </c>
      <c r="B868" s="299"/>
      <c r="C868" s="300"/>
      <c r="D868" s="433"/>
      <c r="E868" s="434"/>
      <c r="F868" s="308"/>
      <c r="G868" s="302" t="n">
        <f aca="false">SUM(B868:F868)</f>
        <v>0</v>
      </c>
      <c r="H868" s="303"/>
      <c r="I868" s="304"/>
      <c r="J868" s="305" t="n">
        <f aca="false">SUM(H868:I868)</f>
        <v>0</v>
      </c>
      <c r="K868" s="303"/>
      <c r="L868" s="304"/>
      <c r="M868" s="306" t="n">
        <f aca="false">SUM(K868:L868)</f>
        <v>0</v>
      </c>
      <c r="N868" s="303"/>
      <c r="O868" s="304"/>
      <c r="P868" s="306" t="n">
        <f aca="false">SUM(N868:O868)</f>
        <v>0</v>
      </c>
      <c r="Q868" s="110" t="str">
        <f aca="false">IF(P803=P868,"〇","×")</f>
        <v>〇</v>
      </c>
      <c r="R868" s="110" t="str">
        <f aca="false">IFERROR(INDEX(報告入力!$C$7:$C$696,MATCH($S$847&amp;"|"&amp;$A868,報告入力!$CG$7:$CG$696,0)),"")</f>
        <v>報告なし</v>
      </c>
    </row>
    <row r="869" s="110" customFormat="true" ht="20.1" hidden="false" customHeight="true" outlineLevel="0" collapsed="false">
      <c r="A869" s="100" t="s">
        <v>174</v>
      </c>
      <c r="B869" s="215" t="n">
        <f aca="false">SUMIFS(報告入力!$AU$7:$AU$696,報告入力!$A$7:$A$696,$S$847,報告入力!$B$7:$B$696,$A869)</f>
        <v>0</v>
      </c>
      <c r="C869" s="368" t="n">
        <f aca="false">SUMIFS(報告入力!$AV$7:$AV$696,報告入力!$A$7:$A$696,$S$847,報告入力!$B$7:$B$696,$A869)</f>
        <v>0</v>
      </c>
      <c r="D869" s="215" t="n">
        <f aca="false">SUMIFS(報告入力!$AW$7:$AW$696,報告入力!$A$7:$A$696,$S$847,報告入力!$B$7:$B$696,$A869)</f>
        <v>266723</v>
      </c>
      <c r="E869" s="213" t="n">
        <f aca="false">SUMIFS(報告入力!$AX$7:$AX$696,報告入力!$A$7:$A$696,$S$847,報告入力!$B$7:$B$696,$A869)</f>
        <v>21863</v>
      </c>
      <c r="F869" s="368" t="n">
        <f aca="false">SUMIFS(報告入力!$AY$7:$AY$696,報告入力!$A$7:$A$696,$S$847,報告入力!$B$7:$B$696,$A869)</f>
        <v>284</v>
      </c>
      <c r="G869" s="181" t="n">
        <f aca="false">SUM(B869:F869)</f>
        <v>288870</v>
      </c>
      <c r="H869" s="182" t="n">
        <f aca="false">SUMIFS(報告入力!$AZ$7:$AZ$696,報告入力!$A$7:$A$696,$S$847,報告入力!$B$7:$B$696,$A869)</f>
        <v>0</v>
      </c>
      <c r="I869" s="183" t="n">
        <f aca="false">SUMIFS(報告入力!$BA$7:$BA$696,報告入力!$A$7:$A$696,$S$847,報告入力!$B$7:$B$696,$A869)</f>
        <v>160646</v>
      </c>
      <c r="J869" s="135" t="n">
        <f aca="false">SUM(H869:I869)</f>
        <v>160646</v>
      </c>
      <c r="K869" s="182" t="n">
        <f aca="false">SUMIFS(報告入力!$BB$7:$BB$696,報告入力!$A$7:$A$696,$S$847,報告入力!$B$7:$B$696,$A869)</f>
        <v>0</v>
      </c>
      <c r="L869" s="183" t="n">
        <f aca="false">SUMIFS(報告入力!$BC$7:$BC$696,報告入力!$A$7:$A$696,$S$847,報告入力!$B$7:$B$696,$A869)</f>
        <v>20879</v>
      </c>
      <c r="M869" s="135" t="n">
        <f aca="false">SUM(K869:L869)</f>
        <v>20879</v>
      </c>
      <c r="N869" s="182" t="n">
        <f aca="false">SUMIFS(報告入力!$BD$7:$BD$696,報告入力!$A$7:$A$696,$S$847,報告入力!$B$7:$B$696,$A869)</f>
        <v>0</v>
      </c>
      <c r="O869" s="183" t="n">
        <f aca="false">SUMIFS(報告入力!$BE$7:$BE$696,報告入力!$A$7:$A$696,$S$847,報告入力!$B$7:$B$696,$A869)</f>
        <v>1</v>
      </c>
      <c r="P869" s="135" t="n">
        <f aca="false">SUM(N869:O869)</f>
        <v>1</v>
      </c>
      <c r="Q869" s="110" t="str">
        <f aca="false">IF(P804=P869,"〇","×")</f>
        <v>〇</v>
      </c>
      <c r="R869" s="110" t="str">
        <f aca="false">IFERROR(INDEX(報告入力!$C$7:$C$696,MATCH($S$847&amp;"|"&amp;$A869,報告入力!$CG$7:$CG$696,0)),"")</f>
        <v>未受領</v>
      </c>
    </row>
    <row r="870" s="110" customFormat="true" ht="20.1" hidden="false" customHeight="true" outlineLevel="0" collapsed="false">
      <c r="A870" s="100" t="s">
        <v>175</v>
      </c>
      <c r="B870" s="186"/>
      <c r="C870" s="187"/>
      <c r="D870" s="215" t="n">
        <f aca="false">SUMIFS(報告入力!$AW$7:$AW$696,報告入力!$A$7:$A$696,$S$847,報告入力!$B$7:$B$696,$A870)</f>
        <v>842818</v>
      </c>
      <c r="E870" s="213" t="n">
        <f aca="false">SUMIFS(報告入力!$AX$7:$AX$696,報告入力!$A$7:$A$696,$S$847,報告入力!$B$7:$B$696,$A870)</f>
        <v>69079</v>
      </c>
      <c r="F870" s="368" t="n">
        <f aca="false">SUMIFS(報告入力!$AY$7:$AY$696,報告入力!$A$7:$A$696,$S$847,報告入力!$B$7:$B$696,$A870)</f>
        <v>884</v>
      </c>
      <c r="G870" s="181" t="n">
        <f aca="false">SUM(B870:F870)</f>
        <v>912781</v>
      </c>
      <c r="H870" s="188"/>
      <c r="I870" s="183" t="n">
        <f aca="false">SUMIFS(報告入力!$BA$7:$BA$696,報告入力!$A$7:$A$696,$S$847,報告入力!$B$7:$B$696,$A870)</f>
        <v>507639</v>
      </c>
      <c r="J870" s="135" t="n">
        <f aca="false">SUM(H870:I870)</f>
        <v>507639</v>
      </c>
      <c r="K870" s="188"/>
      <c r="L870" s="183" t="n">
        <f aca="false">SUMIFS(報告入力!$BC$7:$BC$696,報告入力!$A$7:$A$696,$S$847,報告入力!$B$7:$B$696,$A870)</f>
        <v>56123</v>
      </c>
      <c r="M870" s="135" t="n">
        <f aca="false">SUM(K870:L870)</f>
        <v>56123</v>
      </c>
      <c r="N870" s="188"/>
      <c r="O870" s="183" t="n">
        <f aca="false">SUMIFS(報告入力!$BE$7:$BE$696,報告入力!$A$7:$A$696,$S$847,報告入力!$B$7:$B$696,$A870)</f>
        <v>1</v>
      </c>
      <c r="P870" s="135" t="n">
        <f aca="false">SUM(N870:O870)</f>
        <v>1</v>
      </c>
      <c r="Q870" s="110" t="str">
        <f aca="false">IF(P805=P870,"〇","×")</f>
        <v>〇</v>
      </c>
      <c r="R870" s="110" t="str">
        <f aca="false">IFERROR(INDEX(報告入力!$C$7:$C$696,MATCH($S$847&amp;"|"&amp;$A870,報告入力!$CG$7:$CG$696,0)),"")</f>
        <v>未受領</v>
      </c>
    </row>
    <row r="871" s="110" customFormat="true" ht="20.1" hidden="false" customHeight="true" outlineLevel="0" collapsed="false">
      <c r="A871" s="100" t="s">
        <v>176</v>
      </c>
      <c r="B871" s="186"/>
      <c r="C871" s="187"/>
      <c r="D871" s="215" t="n">
        <f aca="false">SUMIFS(報告入力!$AW$7:$AW$696,報告入力!$A$7:$A$696,$S$847,報告入力!$B$7:$B$696,$A871)</f>
        <v>22509</v>
      </c>
      <c r="E871" s="213" t="n">
        <f aca="false">SUMIFS(報告入力!$AX$7:$AX$696,報告入力!$A$7:$A$696,$S$847,報告入力!$B$7:$B$696,$A871)</f>
        <v>1845</v>
      </c>
      <c r="F871" s="368" t="n">
        <f aca="false">SUMIFS(報告入力!$AY$7:$AY$696,報告入力!$A$7:$A$696,$S$847,報告入力!$B$7:$B$696,$A871)</f>
        <v>23</v>
      </c>
      <c r="G871" s="181" t="n">
        <f aca="false">SUM(B871:F871)</f>
        <v>24377</v>
      </c>
      <c r="H871" s="188"/>
      <c r="I871" s="183" t="n">
        <f aca="false">SUMIFS(報告入力!$BA$7:$BA$696,報告入力!$A$7:$A$696,$S$847,報告入力!$B$7:$B$696,$A871)</f>
        <v>13557</v>
      </c>
      <c r="J871" s="135" t="n">
        <f aca="false">SUM(H871:I871)</f>
        <v>13557</v>
      </c>
      <c r="K871" s="188"/>
      <c r="L871" s="183" t="n">
        <f aca="false">SUMIFS(報告入力!$BC$7:$BC$696,報告入力!$A$7:$A$696,$S$847,報告入力!$B$7:$B$696,$A871)</f>
        <v>1943</v>
      </c>
      <c r="M871" s="135" t="n">
        <f aca="false">SUM(K871:L871)</f>
        <v>1943</v>
      </c>
      <c r="N871" s="188"/>
      <c r="O871" s="183" t="n">
        <f aca="false">SUMIFS(報告入力!$BE$7:$BE$696,報告入力!$A$7:$A$696,$S$847,報告入力!$B$7:$B$696,$A871)</f>
        <v>1</v>
      </c>
      <c r="P871" s="135" t="n">
        <f aca="false">SUM(N871:O871)</f>
        <v>1</v>
      </c>
      <c r="Q871" s="110" t="str">
        <f aca="false">IF(P806=P871,"〇","×")</f>
        <v>〇</v>
      </c>
      <c r="R871" s="110" t="str">
        <f aca="false">IFERROR(INDEX(報告入力!$C$7:$C$696,MATCH($S$847&amp;"|"&amp;$A871,報告入力!$CG$7:$CG$696,0)),"")</f>
        <v>未受領</v>
      </c>
    </row>
    <row r="872" s="110" customFormat="true" ht="20.1" hidden="false" customHeight="true" outlineLevel="0" collapsed="false">
      <c r="A872" s="189" t="s">
        <v>177</v>
      </c>
      <c r="B872" s="186"/>
      <c r="C872" s="187"/>
      <c r="D872" s="215" t="n">
        <f aca="false">SUMIFS(報告入力!$AW$7:$AW$696,報告入力!$A$7:$A$696,$S$847,報告入力!$B$7:$B$696,$A872)</f>
        <v>185656</v>
      </c>
      <c r="E872" s="213" t="n">
        <f aca="false">SUMIFS(報告入力!$AX$7:$AX$696,報告入力!$A$7:$A$696,$S$847,報告入力!$B$7:$B$696,$A872)</f>
        <v>15217</v>
      </c>
      <c r="F872" s="368" t="n">
        <f aca="false">SUMIFS(報告入力!$AY$7:$AY$696,報告入力!$A$7:$A$696,$S$847,報告入力!$B$7:$B$696,$A872)</f>
        <v>190</v>
      </c>
      <c r="G872" s="181" t="n">
        <f aca="false">SUM(B872:F872)</f>
        <v>201063</v>
      </c>
      <c r="H872" s="188"/>
      <c r="I872" s="183" t="n">
        <f aca="false">SUMIFS(報告入力!$BA$7:$BA$696,報告入力!$A$7:$A$696,$S$847,報告入力!$B$7:$B$696,$A872)</f>
        <v>111817</v>
      </c>
      <c r="J872" s="135" t="n">
        <f aca="false">SUM(H872:I872)</f>
        <v>111817</v>
      </c>
      <c r="K872" s="188"/>
      <c r="L872" s="183" t="n">
        <f aca="false">SUMIFS(報告入力!$BC$7:$BC$696,報告入力!$A$7:$A$696,$S$847,報告入力!$B$7:$B$696,$A872)</f>
        <v>15064</v>
      </c>
      <c r="M872" s="135" t="n">
        <f aca="false">SUM(K872:L872)</f>
        <v>15064</v>
      </c>
      <c r="N872" s="188"/>
      <c r="O872" s="183" t="n">
        <f aca="false">SUMIFS(報告入力!$BE$7:$BE$696,報告入力!$A$7:$A$696,$S$847,報告入力!$B$7:$B$696,$A872)</f>
        <v>1</v>
      </c>
      <c r="P872" s="135" t="n">
        <f aca="false">SUM(N872:O872)</f>
        <v>1</v>
      </c>
      <c r="Q872" s="110" t="str">
        <f aca="false">IF(P807=P872,"〇","×")</f>
        <v>〇</v>
      </c>
      <c r="R872" s="110" t="str">
        <f aca="false">IFERROR(INDEX(報告入力!$C$7:$C$696,MATCH($S$847&amp;"|"&amp;$A872,報告入力!$CG$7:$CG$696,0)),"")</f>
        <v>未受領</v>
      </c>
    </row>
    <row r="873" s="110" customFormat="true" ht="20.1" hidden="false" customHeight="true" outlineLevel="0" collapsed="false">
      <c r="A873" s="121" t="s">
        <v>178</v>
      </c>
      <c r="B873" s="186"/>
      <c r="C873" s="191"/>
      <c r="D873" s="215" t="n">
        <f aca="false">SUMIFS(報告入力!$AW$7:$AW$696,報告入力!$A$7:$A$696,$S$847,報告入力!$B$7:$B$696,$A873)</f>
        <v>40352</v>
      </c>
      <c r="E873" s="213" t="n">
        <f aca="false">SUMIFS(報告入力!$AX$7:$AX$696,報告入力!$A$7:$A$696,$S$847,報告入力!$B$7:$B$696,$A873)</f>
        <v>3307</v>
      </c>
      <c r="F873" s="368" t="n">
        <f aca="false">SUMIFS(報告入力!$AY$7:$AY$696,報告入力!$A$7:$A$696,$S$847,報告入力!$B$7:$B$696,$A873)</f>
        <v>41</v>
      </c>
      <c r="G873" s="181" t="n">
        <f aca="false">SUM(B873:F873)</f>
        <v>43700</v>
      </c>
      <c r="H873" s="188"/>
      <c r="I873" s="183" t="n">
        <f aca="false">SUMIFS(報告入力!$BA$7:$BA$696,報告入力!$A$7:$A$696,$S$847,報告入力!$B$7:$B$696,$A873)</f>
        <v>24303</v>
      </c>
      <c r="J873" s="135" t="n">
        <f aca="false">SUM(H873:I873)</f>
        <v>24303</v>
      </c>
      <c r="K873" s="188"/>
      <c r="L873" s="183" t="n">
        <f aca="false">SUMIFS(報告入力!$BC$7:$BC$696,報告入力!$A$7:$A$696,$S$847,報告入力!$B$7:$B$696,$A873)</f>
        <v>3483</v>
      </c>
      <c r="M873" s="135" t="n">
        <f aca="false">SUM(K873:L873)</f>
        <v>3483</v>
      </c>
      <c r="N873" s="188"/>
      <c r="O873" s="183" t="n">
        <f aca="false">SUMIFS(報告入力!$BE$7:$BE$696,報告入力!$A$7:$A$696,$S$847,報告入力!$B$7:$B$696,$A873)</f>
        <v>1</v>
      </c>
      <c r="P873" s="135" t="n">
        <f aca="false">SUM(N873:O873)</f>
        <v>1</v>
      </c>
      <c r="Q873" s="110" t="str">
        <f aca="false">IF(P808=P873,"〇","×")</f>
        <v>〇</v>
      </c>
      <c r="R873" s="110" t="str">
        <f aca="false">IFERROR(INDEX(報告入力!$C$7:$C$696,MATCH($S$847&amp;"|"&amp;$A873,報告入力!$CG$7:$CG$696,0)),"")</f>
        <v>未受領</v>
      </c>
    </row>
    <row r="874" s="110" customFormat="true" ht="20.1" hidden="false" customHeight="true" outlineLevel="0" collapsed="false">
      <c r="A874" s="121" t="s">
        <v>179</v>
      </c>
      <c r="B874" s="186"/>
      <c r="C874" s="191"/>
      <c r="D874" s="215" t="n">
        <f aca="false">SUMIFS(報告入力!$AW$7:$AW$696,報告入力!$A$7:$A$696,$S$847,報告入力!$B$7:$B$696,$A874)</f>
        <v>22143</v>
      </c>
      <c r="E874" s="182" t="n">
        <f aca="false">SUMIFS(報告入力!$AX$7:$AX$696,報告入力!$A$7:$A$696,$S$847,報告入力!$B$7:$B$696,$A874)</f>
        <v>1815</v>
      </c>
      <c r="F874" s="212" t="n">
        <f aca="false">SUMIFS(報告入力!$AY$7:$AY$696,報告入力!$A$7:$A$696,$S$847,報告入力!$B$7:$B$696,$A874)</f>
        <v>22</v>
      </c>
      <c r="G874" s="181" t="n">
        <f aca="false">SUM(B874:F874)</f>
        <v>23980</v>
      </c>
      <c r="H874" s="188"/>
      <c r="I874" s="183" t="n">
        <f aca="false">SUMIFS(報告入力!$BA$7:$BA$696,報告入力!$A$7:$A$696,$S$847,報告入力!$B$7:$B$696,$A874)</f>
        <v>13336</v>
      </c>
      <c r="J874" s="135" t="n">
        <f aca="false">SUM(H874:I874)</f>
        <v>13336</v>
      </c>
      <c r="K874" s="188"/>
      <c r="L874" s="183" t="n">
        <f aca="false">SUMIFS(報告入力!$BC$7:$BC$696,報告入力!$A$7:$A$696,$S$847,報告入力!$B$7:$B$696,$A874)</f>
        <v>1911</v>
      </c>
      <c r="M874" s="135" t="n">
        <f aca="false">SUM(K874:L874)</f>
        <v>1911</v>
      </c>
      <c r="N874" s="188"/>
      <c r="O874" s="183" t="n">
        <f aca="false">SUMIFS(報告入力!$BE$7:$BE$696,報告入力!$A$7:$A$696,$S$847,報告入力!$B$7:$B$696,$A874)</f>
        <v>1</v>
      </c>
      <c r="P874" s="135" t="n">
        <f aca="false">SUM(N874:O874)</f>
        <v>1</v>
      </c>
      <c r="Q874" s="110" t="str">
        <f aca="false">IF(P809=P874,"〇","×")</f>
        <v>〇</v>
      </c>
      <c r="R874" s="110" t="str">
        <f aca="false">IFERROR(INDEX(報告入力!$C$7:$C$696,MATCH($S$847&amp;"|"&amp;$A874,報告入力!$CG$7:$CG$696,0)),"")</f>
        <v>未受領</v>
      </c>
    </row>
    <row r="875" s="110" customFormat="true" ht="20.1" hidden="false" customHeight="true" outlineLevel="0" collapsed="false">
      <c r="A875" s="192" t="s">
        <v>180</v>
      </c>
      <c r="B875" s="186"/>
      <c r="C875" s="193"/>
      <c r="D875" s="178" t="n">
        <f aca="false">SUMIFS(報告入力!$AW$7:$AW$696,報告入力!$A$7:$A$696,$S$847,報告入力!$B$7:$B$696,$A875)</f>
        <v>55175</v>
      </c>
      <c r="E875" s="182" t="n">
        <f aca="false">SUMIFS(報告入力!$AX$7:$AX$696,報告入力!$A$7:$A$696,$S$847,報告入力!$B$7:$B$696,$A875)</f>
        <v>4522</v>
      </c>
      <c r="F875" s="212" t="n">
        <f aca="false">SUMIFS(報告入力!$AY$7:$AY$696,報告入力!$A$7:$A$696,$S$847,報告入力!$B$7:$B$696,$A875)</f>
        <v>56</v>
      </c>
      <c r="G875" s="181" t="n">
        <f aca="false">SUM(B875:F875)</f>
        <v>59753</v>
      </c>
      <c r="H875" s="188"/>
      <c r="I875" s="183" t="n">
        <f aca="false">SUMIFS(報告入力!$BA$7:$BA$696,報告入力!$A$7:$A$696,$S$847,報告入力!$B$7:$B$696,$A875)</f>
        <v>33231</v>
      </c>
      <c r="J875" s="135" t="n">
        <f aca="false">SUM(H875:I875)</f>
        <v>33231</v>
      </c>
      <c r="K875" s="188"/>
      <c r="L875" s="183" t="n">
        <f aca="false">SUMIFS(報告入力!$BC$7:$BC$696,報告入力!$A$7:$A$696,$S$847,報告入力!$B$7:$B$696,$A875)</f>
        <v>3246</v>
      </c>
      <c r="M875" s="135" t="n">
        <f aca="false">SUM(K875:L875)</f>
        <v>3246</v>
      </c>
      <c r="N875" s="188"/>
      <c r="O875" s="183" t="n">
        <f aca="false">SUMIFS(報告入力!$BE$7:$BE$696,報告入力!$A$7:$A$696,$S$847,報告入力!$B$7:$B$696,$A875)</f>
        <v>1</v>
      </c>
      <c r="P875" s="135" t="n">
        <f aca="false">SUM(N875:O875)</f>
        <v>1</v>
      </c>
      <c r="Q875" s="110" t="str">
        <f aca="false">IF(P810=P875,"〇","×")</f>
        <v>〇</v>
      </c>
      <c r="R875" s="110" t="str">
        <f aca="false">IFERROR(INDEX(報告入力!$C$7:$C$696,MATCH($S$847&amp;"|"&amp;$A875,報告入力!$CG$7:$CG$696,0)),"")</f>
        <v>未受領</v>
      </c>
    </row>
    <row r="876" s="110" customFormat="true" ht="20.1" hidden="false" customHeight="true" outlineLevel="0" collapsed="false">
      <c r="A876" s="100" t="s">
        <v>181</v>
      </c>
      <c r="B876" s="215" t="n">
        <f aca="false">SUMIFS(報告入力!$AU$7:$AU$696,報告入力!$A$7:$A$696,$S$847,報告入力!$B$7:$B$696,$A876)</f>
        <v>3204</v>
      </c>
      <c r="C876" s="212" t="n">
        <f aca="false">SUMIFS(報告入力!$AV$7:$AV$696,報告入力!$A$7:$A$696,$S$847,報告入力!$B$7:$B$696,$A876)</f>
        <v>264</v>
      </c>
      <c r="D876" s="178" t="n">
        <f aca="false">SUMIFS(報告入力!$AW$7:$AW$696,報告入力!$A$7:$A$696,$S$847,報告入力!$B$7:$B$696,$A876)</f>
        <v>3201</v>
      </c>
      <c r="E876" s="182" t="n">
        <f aca="false">SUMIFS(報告入力!$AX$7:$AX$696,報告入力!$A$7:$A$696,$S$847,報告入力!$B$7:$B$696,$A876)</f>
        <v>262</v>
      </c>
      <c r="F876" s="212" t="n">
        <f aca="false">SUMIFS(報告入力!$AY$7:$AY$696,報告入力!$A$7:$A$696,$S$847,報告入力!$B$7:$B$696,$A876)</f>
        <v>4</v>
      </c>
      <c r="G876" s="181" t="n">
        <f aca="false">SUM(B876:F876)</f>
        <v>6935</v>
      </c>
      <c r="H876" s="182" t="n">
        <f aca="false">SUMIFS(報告入力!$AZ$7:$AZ$696,報告入力!$A$7:$A$696,$S$847,報告入力!$B$7:$B$696,$A876)</f>
        <v>1926</v>
      </c>
      <c r="I876" s="183" t="n">
        <f aca="false">SUMIFS(報告入力!$BA$7:$BA$696,報告入力!$A$7:$A$696,$S$847,報告入力!$B$7:$B$696,$A876)</f>
        <v>1929</v>
      </c>
      <c r="J876" s="135" t="n">
        <f aca="false">SUM(H876:I876)</f>
        <v>3855</v>
      </c>
      <c r="K876" s="182" t="n">
        <f aca="false">SUMIFS(報告入力!$BB$7:$BB$696,報告入力!$A$7:$A$696,$S$847,報告入力!$B$7:$B$696,$A876)</f>
        <v>47</v>
      </c>
      <c r="L876" s="183" t="n">
        <f aca="false">SUMIFS(報告入力!$BC$7:$BC$696,報告入力!$A$7:$A$696,$S$847,報告入力!$B$7:$B$696,$A876)</f>
        <v>47</v>
      </c>
      <c r="M876" s="135" t="n">
        <f aca="false">SUM(K876:L876)</f>
        <v>94</v>
      </c>
      <c r="N876" s="182" t="n">
        <f aca="false">SUMIFS(報告入力!$BD$7:$BD$696,報告入力!$A$7:$A$696,$S$847,報告入力!$B$7:$B$696,$A876)</f>
        <v>1</v>
      </c>
      <c r="O876" s="183" t="n">
        <f aca="false">SUMIFS(報告入力!$BE$7:$BE$696,報告入力!$A$7:$A$696,$S$847,報告入力!$B$7:$B$696,$A876)</f>
        <v>1</v>
      </c>
      <c r="P876" s="135" t="n">
        <f aca="false">SUM(N876:O876)</f>
        <v>2</v>
      </c>
      <c r="Q876" s="110" t="str">
        <f aca="false">IF(P811=P876,"〇","×")</f>
        <v>〇</v>
      </c>
      <c r="R876" s="110" t="str">
        <f aca="false">IFERROR(INDEX(報告入力!$C$7:$C$696,MATCH($S$847&amp;"|"&amp;$A876,報告入力!$CG$7:$CG$696,0)),"")</f>
        <v>未受領</v>
      </c>
    </row>
    <row r="877" s="110" customFormat="true" ht="20.1" hidden="false" customHeight="true" outlineLevel="0" collapsed="false">
      <c r="A877" s="194" t="s">
        <v>182</v>
      </c>
      <c r="B877" s="178"/>
      <c r="C877" s="212"/>
      <c r="D877" s="215" t="n">
        <f aca="false">SUMIFS(報告入力!$AW$7:$AW$696,報告入力!$A$7:$A$696,$S$847,報告入力!$B$7:$B$696,$A877)</f>
        <v>0</v>
      </c>
      <c r="E877" s="213" t="n">
        <f aca="false">SUMIFS(報告入力!$AX$7:$AX$696,報告入力!$A$7:$A$696,$S$847,報告入力!$B$7:$B$696,$A877)</f>
        <v>0</v>
      </c>
      <c r="F877" s="368" t="n">
        <f aca="false">SUMIFS(報告入力!$AY$7:$AY$696,報告入力!$A$7:$A$696,$S$847,報告入力!$B$7:$B$696,$A877)</f>
        <v>0</v>
      </c>
      <c r="G877" s="181" t="n">
        <f aca="false">SUM(B877:F877)</f>
        <v>0</v>
      </c>
      <c r="H877" s="182"/>
      <c r="I877" s="183" t="n">
        <f aca="false">SUMIFS(報告入力!$BA$7:$BA$696,報告入力!$A$7:$A$696,$S$847,報告入力!$B$7:$B$696,$A877)</f>
        <v>0</v>
      </c>
      <c r="J877" s="135" t="n">
        <f aca="false">SUM(H877:I877)</f>
        <v>0</v>
      </c>
      <c r="K877" s="182"/>
      <c r="L877" s="183" t="n">
        <f aca="false">SUMIFS(報告入力!$BC$7:$BC$696,報告入力!$A$7:$A$696,$S$847,報告入力!$B$7:$B$696,$A877)</f>
        <v>0</v>
      </c>
      <c r="M877" s="135" t="n">
        <f aca="false">SUM(K877:L877)</f>
        <v>0</v>
      </c>
      <c r="N877" s="182"/>
      <c r="O877" s="183" t="n">
        <f aca="false">SUMIFS(報告入力!$BE$7:$BE$696,報告入力!$A$7:$A$696,$S$847,報告入力!$B$7:$B$696,$A877)</f>
        <v>0</v>
      </c>
      <c r="P877" s="135" t="n">
        <f aca="false">SUM(N877:O877)</f>
        <v>0</v>
      </c>
      <c r="Q877" s="110" t="str">
        <f aca="false">IF(P812=P877,"〇","×")</f>
        <v>×</v>
      </c>
      <c r="R877" s="110" t="str">
        <f aca="false">IFERROR(INDEX(報告入力!$C$7:$C$696,MATCH($S$847&amp;"|"&amp;$A877,報告入力!$CG$7:$CG$696,0)),"")</f>
        <v>未受領</v>
      </c>
    </row>
    <row r="878" s="110" customFormat="true" ht="20.1" hidden="false" customHeight="true" outlineLevel="0" collapsed="false">
      <c r="A878" s="197" t="s">
        <v>183</v>
      </c>
      <c r="B878" s="186"/>
      <c r="C878" s="193"/>
      <c r="D878" s="178"/>
      <c r="E878" s="182"/>
      <c r="F878" s="212"/>
      <c r="G878" s="181" t="n">
        <f aca="false">SUM(B878:F878)</f>
        <v>0</v>
      </c>
      <c r="H878" s="188"/>
      <c r="I878" s="261"/>
      <c r="J878" s="196" t="n">
        <f aca="false">SUM(H878:I878)</f>
        <v>0</v>
      </c>
      <c r="K878" s="188"/>
      <c r="L878" s="261"/>
      <c r="M878" s="196" t="n">
        <f aca="false">SUM(K878:L878)</f>
        <v>0</v>
      </c>
      <c r="N878" s="188"/>
      <c r="O878" s="261"/>
      <c r="P878" s="196" t="n">
        <f aca="false">SUM(N878:O878)</f>
        <v>0</v>
      </c>
      <c r="Q878" s="110" t="str">
        <f aca="false">IF(P813=P878,"〇","×")</f>
        <v>×</v>
      </c>
      <c r="R878" s="110" t="str">
        <f aca="false">IFERROR(INDEX(報告入力!$C$7:$C$696,MATCH($S$847&amp;"|"&amp;$A878,報告入力!$CG$7:$CG$696,0)),"")</f>
        <v>報告なし</v>
      </c>
    </row>
    <row r="879" s="110" customFormat="true" ht="20.1" hidden="false" customHeight="true" outlineLevel="0" collapsed="false">
      <c r="A879" s="100" t="s">
        <v>184</v>
      </c>
      <c r="B879" s="215" t="n">
        <f aca="false">SUMIFS(報告入力!$AU$7:$AU$696,報告入力!$A$7:$A$696,$S$847,報告入力!$B$7:$B$696,$A879)</f>
        <v>394542</v>
      </c>
      <c r="C879" s="368" t="n">
        <f aca="false">SUMIFS(報告入力!$AV$7:$AV$696,報告入力!$A$7:$A$696,$S$847,報告入力!$B$7:$B$696,$A879)</f>
        <v>32334</v>
      </c>
      <c r="D879" s="215" t="n">
        <f aca="false">SUMIFS(報告入力!$AW$7:$AW$696,報告入力!$A$7:$A$696,$S$847,報告入力!$B$7:$B$696,$A879)</f>
        <v>394548</v>
      </c>
      <c r="E879" s="213" t="n">
        <f aca="false">SUMIFS(報告入力!$AX$7:$AX$696,報告入力!$A$7:$A$696,$S$847,報告入力!$B$7:$B$696,$A879)</f>
        <v>32340</v>
      </c>
      <c r="F879" s="368" t="n">
        <f aca="false">SUMIFS(報告入力!$AY$7:$AY$696,報告入力!$A$7:$A$696,$S$847,報告入力!$B$7:$B$696,$A879)</f>
        <v>404</v>
      </c>
      <c r="G879" s="181" t="n">
        <f aca="false">SUM(B879:F879)</f>
        <v>854168</v>
      </c>
      <c r="H879" s="182" t="n">
        <f aca="false">SUMIFS(報告入力!$AZ$7:$AZ$696,報告入力!$A$7:$A$696,$S$847,報告入力!$B$7:$B$696,$A879)</f>
        <v>237194</v>
      </c>
      <c r="I879" s="183" t="n">
        <f aca="false">SUMIFS(報告入力!$BA$7:$BA$696,報告入力!$A$7:$A$696,$S$847,報告入力!$B$7:$B$696,$A879)</f>
        <v>237634</v>
      </c>
      <c r="J879" s="135" t="n">
        <f aca="false">SUM(H879:I879)</f>
        <v>474828</v>
      </c>
      <c r="K879" s="182" t="n">
        <f aca="false">SUMIFS(報告入力!$BB$7:$BB$696,報告入力!$A$7:$A$696,$S$847,報告入力!$B$7:$B$696,$A879)</f>
        <v>24334</v>
      </c>
      <c r="L879" s="183" t="n">
        <f aca="false">SUMIFS(報告入力!$BC$7:$BC$696,報告入力!$A$7:$A$696,$S$847,報告入力!$B$7:$B$696,$A879)</f>
        <v>24339</v>
      </c>
      <c r="M879" s="135" t="n">
        <f aca="false">SUM(K879:L879)</f>
        <v>48673</v>
      </c>
      <c r="N879" s="182" t="n">
        <f aca="false">SUMIFS(報告入力!$BD$7:$BD$696,報告入力!$A$7:$A$696,$S$847,報告入力!$B$7:$B$696,$A879)</f>
        <v>1</v>
      </c>
      <c r="O879" s="183" t="n">
        <f aca="false">SUMIFS(報告入力!$BE$7:$BE$696,報告入力!$A$7:$A$696,$S$847,報告入力!$B$7:$B$696,$A879)</f>
        <v>1</v>
      </c>
      <c r="P879" s="135" t="n">
        <f aca="false">SUM(N879:O879)</f>
        <v>2</v>
      </c>
      <c r="Q879" s="110" t="str">
        <f aca="false">IF(P814=P879,"〇","×")</f>
        <v>〇</v>
      </c>
      <c r="R879" s="110" t="str">
        <f aca="false">IFERROR(INDEX(報告入力!$C$7:$C$696,MATCH($S$847&amp;"|"&amp;$A879,報告入力!$CG$7:$CG$696,0)),"")</f>
        <v>未受領</v>
      </c>
    </row>
    <row r="880" s="110" customFormat="true" ht="20.1" hidden="false" customHeight="true" outlineLevel="0" collapsed="false">
      <c r="A880" s="100" t="s">
        <v>185</v>
      </c>
      <c r="B880" s="201"/>
      <c r="C880" s="191"/>
      <c r="D880" s="215" t="n">
        <f aca="false">SUMIFS(報告入力!$AW$7:$AW$696,報告入力!$A$7:$A$696,$S$847,報告入力!$B$7:$B$696,$A880)</f>
        <v>293989</v>
      </c>
      <c r="E880" s="369" t="n">
        <f aca="false">SUMIFS(報告入力!$AX$7:$AX$696,報告入力!$A$7:$A$696,$S$847,報告入力!$B$7:$B$696,$A880)</f>
        <v>24097</v>
      </c>
      <c r="F880" s="368" t="n">
        <f aca="false">SUMIFS(報告入力!$AY$7:$AY$696,報告入力!$A$7:$A$696,$S$847,報告入力!$B$7:$B$696,$A880)</f>
        <v>303</v>
      </c>
      <c r="G880" s="181" t="n">
        <f aca="false">SUM(B880:F880)</f>
        <v>318389</v>
      </c>
      <c r="H880" s="202"/>
      <c r="I880" s="370" t="n">
        <f aca="false">SUMIFS(報告入力!$BA$7:$BA$696,報告入力!$A$7:$A$696,$S$847,報告入力!$B$7:$B$696,$A880)</f>
        <v>177065</v>
      </c>
      <c r="J880" s="135" t="n">
        <f aca="false">SUM(H880:I880)</f>
        <v>177065</v>
      </c>
      <c r="K880" s="202"/>
      <c r="L880" s="370" t="n">
        <f aca="false">SUMIFS(報告入力!$BC$7:$BC$696,報告入力!$A$7:$A$696,$S$847,報告入力!$B$7:$B$696,$A880)</f>
        <v>17681</v>
      </c>
      <c r="M880" s="135" t="n">
        <f aca="false">SUM(K880:L880)</f>
        <v>17681</v>
      </c>
      <c r="N880" s="202"/>
      <c r="O880" s="370" t="n">
        <f aca="false">SUMIFS(報告入力!$BE$7:$BE$696,報告入力!$A$7:$A$696,$S$847,報告入力!$B$7:$B$696,$A880)</f>
        <v>1</v>
      </c>
      <c r="P880" s="135" t="n">
        <f aca="false">SUM(N880:O880)</f>
        <v>1</v>
      </c>
      <c r="Q880" s="110" t="str">
        <f aca="false">IF(P815=P880,"〇","×")</f>
        <v>〇</v>
      </c>
      <c r="R880" s="110" t="str">
        <f aca="false">IFERROR(INDEX(報告入力!$C$7:$C$696,MATCH($S$847&amp;"|"&amp;$A880,報告入力!$CG$7:$CG$696,0)),"")</f>
        <v>未受領</v>
      </c>
    </row>
    <row r="881" s="110" customFormat="true" ht="20.1" hidden="false" customHeight="true" outlineLevel="0" collapsed="false">
      <c r="A881" s="203" t="s">
        <v>186</v>
      </c>
      <c r="B881" s="186"/>
      <c r="C881" s="193"/>
      <c r="D881" s="215" t="n">
        <f aca="false">SUMIFS(報告入力!$AW$7:$AW$696,報告入力!$A$7:$A$696,$S$847,報告入力!$B$7:$B$696,$A881)</f>
        <v>535372</v>
      </c>
      <c r="E881" s="213" t="n">
        <f aca="false">SUMIFS(報告入力!$AX$7:$AX$696,報告入力!$A$7:$A$696,$S$847,報告入力!$B$7:$B$696,$A881)</f>
        <v>43880</v>
      </c>
      <c r="F881" s="368" t="n">
        <f aca="false">SUMIFS(報告入力!$AY$7:$AY$696,報告入力!$A$7:$A$696,$S$847,報告入力!$B$7:$B$696,$A881)</f>
        <v>546</v>
      </c>
      <c r="G881" s="181" t="n">
        <f aca="false">SUM(B881:F881)</f>
        <v>579798</v>
      </c>
      <c r="H881" s="188"/>
      <c r="I881" s="183" t="n">
        <f aca="false">SUMIFS(報告入力!$BA$7:$BA$696,報告入力!$A$7:$A$696,$S$847,報告入力!$B$7:$B$696,$A881)</f>
        <v>322445</v>
      </c>
      <c r="J881" s="135" t="n">
        <f aca="false">SUM(H881:I881)</f>
        <v>322445</v>
      </c>
      <c r="K881" s="188"/>
      <c r="L881" s="183" t="n">
        <f aca="false">SUMIFS(報告入力!$BC$7:$BC$696,報告入力!$A$7:$A$696,$S$847,報告入力!$B$7:$B$696,$A881)</f>
        <v>43832</v>
      </c>
      <c r="M881" s="135" t="n">
        <f aca="false">SUM(K881:L881)</f>
        <v>43832</v>
      </c>
      <c r="N881" s="188"/>
      <c r="O881" s="183" t="n">
        <f aca="false">SUMIFS(報告入力!$BE$7:$BE$696,報告入力!$A$7:$A$696,$S$847,報告入力!$B$7:$B$696,$A881)</f>
        <v>1</v>
      </c>
      <c r="P881" s="135" t="n">
        <f aca="false">SUM(N881:O881)</f>
        <v>1</v>
      </c>
      <c r="Q881" s="110" t="str">
        <f aca="false">IF(P816=P881,"〇","×")</f>
        <v>〇</v>
      </c>
      <c r="R881" s="110" t="str">
        <f aca="false">IFERROR(INDEX(報告入力!$C$7:$C$696,MATCH($S$847&amp;"|"&amp;$A881,報告入力!$CG$7:$CG$696,0)),"")</f>
        <v>未受領</v>
      </c>
    </row>
    <row r="882" s="110" customFormat="true" ht="20.1" hidden="false" customHeight="true" outlineLevel="0" collapsed="false">
      <c r="A882" s="204" t="s">
        <v>187</v>
      </c>
      <c r="B882" s="186"/>
      <c r="C882" s="193"/>
      <c r="D882" s="215" t="n">
        <f aca="false">SUMIFS(報告入力!$AW$7:$AW$696,報告入力!$A$7:$A$696,$S$847,報告入力!$B$7:$B$696,$A882)</f>
        <v>0</v>
      </c>
      <c r="E882" s="213" t="n">
        <f aca="false">SUMIFS(報告入力!$AX$7:$AX$696,報告入力!$A$7:$A$696,$S$847,報告入力!$B$7:$B$696,$A882)</f>
        <v>0</v>
      </c>
      <c r="F882" s="368" t="n">
        <f aca="false">SUMIFS(報告入力!$AY$7:$AY$696,報告入力!$A$7:$A$696,$S$847,報告入力!$B$7:$B$696,$A882)</f>
        <v>0</v>
      </c>
      <c r="G882" s="181" t="n">
        <f aca="false">SUM(B882:F882)</f>
        <v>0</v>
      </c>
      <c r="H882" s="188"/>
      <c r="I882" s="183" t="n">
        <f aca="false">SUMIFS(報告入力!$BA$7:$BA$696,報告入力!$A$7:$A$696,$S$847,報告入力!$B$7:$B$696,$A882)</f>
        <v>0</v>
      </c>
      <c r="J882" s="135" t="n">
        <f aca="false">SUM(H882:I882)</f>
        <v>0</v>
      </c>
      <c r="K882" s="188"/>
      <c r="L882" s="183" t="n">
        <f aca="false">SUMIFS(報告入力!$BC$7:$BC$696,報告入力!$A$7:$A$696,$S$847,報告入力!$B$7:$B$696,$A882)</f>
        <v>0</v>
      </c>
      <c r="M882" s="135" t="n">
        <f aca="false">SUM(K882:L882)</f>
        <v>0</v>
      </c>
      <c r="N882" s="188"/>
      <c r="O882" s="183" t="n">
        <f aca="false">SUMIFS(報告入力!$BE$7:$BE$696,報告入力!$A$7:$A$696,$S$847,報告入力!$B$7:$B$696,$A882)</f>
        <v>0</v>
      </c>
      <c r="P882" s="135" t="n">
        <f aca="false">SUM(N882:O882)</f>
        <v>0</v>
      </c>
      <c r="Q882" s="110" t="str">
        <f aca="false">IF(P817=P882,"〇","×")</f>
        <v>〇</v>
      </c>
      <c r="R882" s="110" t="str">
        <f aca="false">IFERROR(INDEX(報告入力!$C$7:$C$696,MATCH($S$847&amp;"|"&amp;$A882,報告入力!$CG$7:$CG$696,0)),"")</f>
        <v>未受領</v>
      </c>
    </row>
    <row r="883" s="110" customFormat="true" ht="20.1" hidden="false" customHeight="true" outlineLevel="0" collapsed="false">
      <c r="A883" s="100" t="s">
        <v>188</v>
      </c>
      <c r="B883" s="186"/>
      <c r="C883" s="193"/>
      <c r="D883" s="178" t="n">
        <f aca="false">SUMIFS(報告入力!$AW$7:$AW$696,報告入力!$A$7:$A$696,$S$847,報告入力!$B$7:$B$696,$A883)</f>
        <v>185565</v>
      </c>
      <c r="E883" s="182" t="n">
        <f aca="false">SUMIFS(報告入力!$AX$7:$AX$696,報告入力!$A$7:$A$696,$S$847,報告入力!$B$7:$B$696,$A883)</f>
        <v>15210</v>
      </c>
      <c r="F883" s="368" t="n">
        <f aca="false">SUMIFS(報告入力!$AY$7:$AY$696,報告入力!$A$7:$A$696,$S$847,報告入力!$B$7:$B$696,$A883)</f>
        <v>188</v>
      </c>
      <c r="G883" s="181" t="n">
        <f aca="false">SUM(B883:F883)</f>
        <v>200963</v>
      </c>
      <c r="H883" s="188"/>
      <c r="I883" s="370" t="n">
        <f aca="false">SUMIFS(報告入力!$BA$7:$BA$696,報告入力!$A$7:$A$696,$S$847,報告入力!$B$7:$B$696,$A883)</f>
        <v>111760</v>
      </c>
      <c r="J883" s="135" t="n">
        <f aca="false">SUM(H883:I883)</f>
        <v>111760</v>
      </c>
      <c r="K883" s="188"/>
      <c r="L883" s="370" t="n">
        <f aca="false">SUMIFS(報告入力!$BC$7:$BC$696,報告入力!$A$7:$A$696,$S$847,報告入力!$B$7:$B$696,$A883)</f>
        <v>16020</v>
      </c>
      <c r="M883" s="135" t="n">
        <f aca="false">SUM(K883:L883)</f>
        <v>16020</v>
      </c>
      <c r="N883" s="188"/>
      <c r="O883" s="370" t="n">
        <f aca="false">SUMIFS(報告入力!$BE$7:$BE$696,報告入力!$A$7:$A$696,$S$847,報告入力!$B$7:$B$696,$A883)</f>
        <v>1</v>
      </c>
      <c r="P883" s="135" t="n">
        <f aca="false">SUM(N883:O883)</f>
        <v>1</v>
      </c>
      <c r="Q883" s="110" t="str">
        <f aca="false">IF(P818=P883,"〇","×")</f>
        <v>〇</v>
      </c>
      <c r="R883" s="110" t="str">
        <f aca="false">IFERROR(INDEX(報告入力!$C$7:$C$696,MATCH($S$847&amp;"|"&amp;$A883,報告入力!$CG$7:$CG$696,0)),"")</f>
        <v>未受領</v>
      </c>
    </row>
    <row r="884" s="110" customFormat="true" ht="20.1" hidden="false" customHeight="true" outlineLevel="0" collapsed="false">
      <c r="A884" s="121" t="s">
        <v>189</v>
      </c>
      <c r="B884" s="215" t="n">
        <f aca="false">SUMIFS(報告入力!$AU$7:$AU$696,報告入力!$A$7:$A$696,$S$847,報告入力!$B$7:$B$696,$A884)</f>
        <v>62127</v>
      </c>
      <c r="C884" s="368" t="n">
        <f aca="false">SUMIFS(報告入力!$AV$7:$AV$696,報告入力!$A$7:$A$696,$S$847,報告入力!$B$7:$B$696,$A884)</f>
        <v>5091</v>
      </c>
      <c r="D884" s="215" t="n">
        <f aca="false">SUMIFS(報告入力!$AW$7:$AW$696,報告入力!$A$7:$A$696,$S$847,報告入力!$B$7:$B$696,$A884)</f>
        <v>62130</v>
      </c>
      <c r="E884" s="213" t="n">
        <f aca="false">SUMIFS(報告入力!$AX$7:$AX$696,報告入力!$A$7:$A$696,$S$847,報告入力!$B$7:$B$696,$A884)</f>
        <v>5092</v>
      </c>
      <c r="F884" s="368" t="n">
        <f aca="false">SUMIFS(報告入力!$AY$7:$AY$696,報告入力!$A$7:$A$696,$S$847,報告入力!$B$7:$B$696,$A884)</f>
        <v>63</v>
      </c>
      <c r="G884" s="181" t="n">
        <f aca="false">SUM(B884:F884)</f>
        <v>134503</v>
      </c>
      <c r="H884" s="182" t="n">
        <f aca="false">SUMIFS(報告入力!$AZ$7:$AZ$696,報告入力!$A$7:$A$696,$S$847,報告入力!$B$7:$B$696,$A884)</f>
        <v>37350</v>
      </c>
      <c r="I884" s="183" t="n">
        <f aca="false">SUMIFS(報告入力!$BA$7:$BA$696,報告入力!$A$7:$A$696,$S$847,報告入力!$B$7:$B$696,$A884)</f>
        <v>37419</v>
      </c>
      <c r="J884" s="135" t="n">
        <f aca="false">SUM(H884:I884)</f>
        <v>74769</v>
      </c>
      <c r="K884" s="182" t="n">
        <f aca="false">SUMIFS(報告入力!$BB$7:$BB$696,報告入力!$A$7:$A$696,$S$847,報告入力!$B$7:$B$696,$A884)</f>
        <v>4012</v>
      </c>
      <c r="L884" s="183" t="n">
        <f aca="false">SUMIFS(報告入力!$BC$7:$BC$696,報告入力!$A$7:$A$696,$S$847,報告入力!$B$7:$B$696,$A884)</f>
        <v>4013</v>
      </c>
      <c r="M884" s="135" t="n">
        <f aca="false">SUM(K884:L884)</f>
        <v>8025</v>
      </c>
      <c r="N884" s="182" t="n">
        <f aca="false">SUMIFS(報告入力!$BD$7:$BD$696,報告入力!$A$7:$A$696,$S$847,報告入力!$B$7:$B$696,$A884)</f>
        <v>1</v>
      </c>
      <c r="O884" s="183" t="n">
        <f aca="false">SUMIFS(報告入力!$BE$7:$BE$696,報告入力!$A$7:$A$696,$S$847,報告入力!$B$7:$B$696,$A884)</f>
        <v>1</v>
      </c>
      <c r="P884" s="135" t="n">
        <f aca="false">SUM(N884:O884)</f>
        <v>2</v>
      </c>
      <c r="Q884" s="110" t="str">
        <f aca="false">IF(P819=P884,"〇","×")</f>
        <v>〇</v>
      </c>
      <c r="R884" s="110" t="str">
        <f aca="false">IFERROR(INDEX(報告入力!$C$7:$C$696,MATCH($S$847&amp;"|"&amp;$A884,報告入力!$CG$7:$CG$696,0)),"")</f>
        <v>未受領</v>
      </c>
    </row>
    <row r="885" s="110" customFormat="true" ht="20.1" hidden="false" customHeight="true" outlineLevel="0" collapsed="false">
      <c r="A885" s="206" t="s">
        <v>190</v>
      </c>
      <c r="B885" s="201"/>
      <c r="C885" s="191"/>
      <c r="D885" s="215" t="n">
        <f aca="false">SUMIFS(報告入力!$AW$7:$AW$696,報告入力!$A$7:$A$696,$S$847,報告入力!$B$7:$B$696,$A885)</f>
        <v>0</v>
      </c>
      <c r="E885" s="213" t="n">
        <f aca="false">SUMIFS(報告入力!$AX$7:$AX$696,報告入力!$A$7:$A$696,$S$847,報告入力!$B$7:$B$696,$A885)</f>
        <v>0</v>
      </c>
      <c r="F885" s="368" t="n">
        <f aca="false">SUMIFS(報告入力!$AY$7:$AY$696,報告入力!$A$7:$A$696,$S$847,報告入力!$B$7:$B$696,$A885)</f>
        <v>0</v>
      </c>
      <c r="G885" s="181" t="n">
        <f aca="false">SUM(B885:F885)</f>
        <v>0</v>
      </c>
      <c r="H885" s="202"/>
      <c r="I885" s="183" t="n">
        <f aca="false">SUMIFS(報告入力!$BA$7:$BA$696,報告入力!$A$7:$A$696,$S$847,報告入力!$B$7:$B$696,$A885)</f>
        <v>0</v>
      </c>
      <c r="J885" s="135" t="n">
        <f aca="false">SUM(H885:I885)</f>
        <v>0</v>
      </c>
      <c r="K885" s="188"/>
      <c r="L885" s="183" t="n">
        <f aca="false">SUMIFS(報告入力!$BC$7:$BC$696,報告入力!$A$7:$A$696,$S$847,報告入力!$B$7:$B$696,$A885)</f>
        <v>0</v>
      </c>
      <c r="M885" s="135" t="n">
        <f aca="false">SUM(K885:L885)</f>
        <v>0</v>
      </c>
      <c r="N885" s="188"/>
      <c r="O885" s="183" t="n">
        <f aca="false">SUMIFS(報告入力!$BE$7:$BE$696,報告入力!$A$7:$A$696,$S$847,報告入力!$B$7:$B$696,$A885)</f>
        <v>0</v>
      </c>
      <c r="P885" s="135" t="n">
        <f aca="false">SUM(N885:O885)</f>
        <v>0</v>
      </c>
      <c r="Q885" s="110" t="str">
        <f aca="false">IF(P820=P885,"〇","×")</f>
        <v>×</v>
      </c>
      <c r="R885" s="110" t="str">
        <f aca="false">IFERROR(INDEX(報告入力!$C$7:$C$696,MATCH($S$847&amp;"|"&amp;$A885,報告入力!$CG$7:$CG$696,0)),"")</f>
        <v>未受領</v>
      </c>
    </row>
    <row r="886" s="110" customFormat="true" ht="20.1" hidden="false" customHeight="true" outlineLevel="0" collapsed="false">
      <c r="A886" s="189" t="s">
        <v>191</v>
      </c>
      <c r="B886" s="215" t="n">
        <f aca="false">SUMIFS(報告入力!$AU$7:$AU$696,報告入力!$A$7:$A$696,$S$847,報告入力!$B$7:$B$696,$A886)</f>
        <v>25803</v>
      </c>
      <c r="C886" s="368" t="n">
        <f aca="false">SUMIFS(報告入力!$AV$7:$AV$696,報告入力!$A$7:$A$696,$S$847,報告入力!$B$7:$B$696,$A886)</f>
        <v>2115</v>
      </c>
      <c r="D886" s="215" t="n">
        <f aca="false">SUMIFS(報告入力!$AW$7:$AW$696,報告入力!$A$7:$A$696,$S$847,報告入力!$B$7:$B$696,$A886)</f>
        <v>25803</v>
      </c>
      <c r="E886" s="213" t="n">
        <f aca="false">SUMIFS(報告入力!$AX$7:$AX$696,報告入力!$A$7:$A$696,$S$847,報告入力!$B$7:$B$696,$A886)</f>
        <v>2115</v>
      </c>
      <c r="F886" s="368" t="n">
        <f aca="false">SUMIFS(報告入力!$AY$7:$AY$696,報告入力!$A$7:$A$696,$S$847,報告入力!$B$7:$B$696,$A886)</f>
        <v>26</v>
      </c>
      <c r="G886" s="181" t="n">
        <f aca="false">SUM(B886:F886)</f>
        <v>55862</v>
      </c>
      <c r="H886" s="182" t="n">
        <f aca="false">SUMIFS(報告入力!$AZ$7:$AZ$696,報告入力!$A$7:$A$696,$S$847,報告入力!$B$7:$B$696,$A886)</f>
        <v>15512</v>
      </c>
      <c r="I886" s="183" t="n">
        <f aca="false">SUMIFS(報告入力!$BA$7:$BA$696,報告入力!$A$7:$A$696,$S$847,報告入力!$B$7:$B$696,$A886)</f>
        <v>15541</v>
      </c>
      <c r="J886" s="135" t="n">
        <f aca="false">SUM(H886:I886)</f>
        <v>31053</v>
      </c>
      <c r="K886" s="182" t="n">
        <f aca="false">SUMIFS(報告入力!$BB$7:$BB$696,報告入力!$A$7:$A$696,$S$847,報告入力!$B$7:$B$696,$A886)</f>
        <v>2227</v>
      </c>
      <c r="L886" s="183" t="n">
        <f aca="false">SUMIFS(報告入力!$BC$7:$BC$696,報告入力!$A$7:$A$696,$S$847,報告入力!$B$7:$B$696,$A886)</f>
        <v>2227</v>
      </c>
      <c r="M886" s="135" t="n">
        <f aca="false">SUM(K886:L886)</f>
        <v>4454</v>
      </c>
      <c r="N886" s="182" t="n">
        <f aca="false">SUMIFS(報告入力!$BD$7:$BD$696,報告入力!$A$7:$A$696,$S$847,報告入力!$B$7:$B$696,$A886)</f>
        <v>1</v>
      </c>
      <c r="O886" s="183" t="n">
        <f aca="false">SUMIFS(報告入力!$BE$7:$BE$696,報告入力!$A$7:$A$696,$S$847,報告入力!$B$7:$B$696,$A886)</f>
        <v>1</v>
      </c>
      <c r="P886" s="135" t="n">
        <f aca="false">SUM(N886:O886)</f>
        <v>2</v>
      </c>
      <c r="Q886" s="110" t="str">
        <f aca="false">IF(P821=P886,"〇","×")</f>
        <v>〇</v>
      </c>
      <c r="R886" s="110" t="str">
        <f aca="false">IFERROR(INDEX(報告入力!$C$7:$C$696,MATCH($S$847&amp;"|"&amp;$A886,報告入力!$CG$7:$CG$696,0)),"")</f>
        <v>未受領</v>
      </c>
    </row>
    <row r="887" s="110" customFormat="true" ht="20.1" hidden="false" customHeight="true" outlineLevel="0" collapsed="false">
      <c r="A887" s="189" t="s">
        <v>192</v>
      </c>
      <c r="B887" s="201"/>
      <c r="C887" s="193"/>
      <c r="D887" s="186"/>
      <c r="E887" s="188"/>
      <c r="F887" s="193"/>
      <c r="G887" s="210" t="n">
        <f aca="false">SUM(B887:F887)</f>
        <v>0</v>
      </c>
      <c r="H887" s="188"/>
      <c r="I887" s="261"/>
      <c r="J887" s="196" t="n">
        <f aca="false">SUM(H887:I887)</f>
        <v>0</v>
      </c>
      <c r="K887" s="188"/>
      <c r="L887" s="261"/>
      <c r="M887" s="196" t="n">
        <f aca="false">SUM(K887:L887)</f>
        <v>0</v>
      </c>
      <c r="N887" s="188"/>
      <c r="O887" s="261"/>
      <c r="P887" s="196" t="n">
        <f aca="false">SUM(N887:O887)</f>
        <v>0</v>
      </c>
      <c r="Q887" s="110" t="str">
        <f aca="false">IF(P822=P887,"〇","×")</f>
        <v>×</v>
      </c>
      <c r="R887" s="110" t="str">
        <f aca="false">IFERROR(INDEX(報告入力!$C$7:$C$696,MATCH($S$847&amp;"|"&amp;$A887,報告入力!$CG$7:$CG$696,0)),"")</f>
        <v>報告なし</v>
      </c>
    </row>
    <row r="888" s="110" customFormat="true" ht="20.1" hidden="false" customHeight="true" outlineLevel="0" collapsed="false">
      <c r="A888" s="189" t="s">
        <v>193</v>
      </c>
      <c r="B888" s="186"/>
      <c r="C888" s="193"/>
      <c r="D888" s="186"/>
      <c r="E888" s="188"/>
      <c r="F888" s="193"/>
      <c r="G888" s="210" t="n">
        <f aca="false">SUM(B888:F888)</f>
        <v>0</v>
      </c>
      <c r="H888" s="188"/>
      <c r="I888" s="261"/>
      <c r="J888" s="196" t="n">
        <f aca="false">SUM(H888:I888)</f>
        <v>0</v>
      </c>
      <c r="K888" s="188"/>
      <c r="L888" s="261"/>
      <c r="M888" s="196" t="n">
        <f aca="false">SUM(K888:L888)</f>
        <v>0</v>
      </c>
      <c r="N888" s="188"/>
      <c r="O888" s="261"/>
      <c r="P888" s="196" t="n">
        <f aca="false">SUM(N888:O888)</f>
        <v>0</v>
      </c>
      <c r="Q888" s="110" t="str">
        <f aca="false">IF(P823=P888,"〇","×")</f>
        <v>×</v>
      </c>
      <c r="R888" s="110" t="str">
        <f aca="false">IFERROR(INDEX(報告入力!$C$7:$C$696,MATCH($S$847&amp;"|"&amp;$A888,報告入力!$CG$7:$CG$696,0)),"")</f>
        <v>報告なし</v>
      </c>
    </row>
    <row r="889" s="110" customFormat="true" ht="20.1" hidden="false" customHeight="true" outlineLevel="0" collapsed="false">
      <c r="A889" s="121" t="s">
        <v>194</v>
      </c>
      <c r="B889" s="178" t="n">
        <f aca="false">SUMIFS(報告入力!$AU$7:$AU$696,報告入力!$A$7:$A$696,$S$847,報告入力!$B$7:$B$696,$A889)</f>
        <v>489886</v>
      </c>
      <c r="C889" s="212" t="n">
        <f aca="false">SUMIFS(報告入力!$AV$7:$AV$696,報告入力!$A$7:$A$696,$S$847,報告入力!$B$7:$B$696,$A889)</f>
        <v>40150</v>
      </c>
      <c r="D889" s="178" t="n">
        <f aca="false">SUMIFS(報告入力!$AW$7:$AW$696,報告入力!$A$7:$A$696,$S$847,報告入力!$B$7:$B$696,$A889)</f>
        <v>489896</v>
      </c>
      <c r="E889" s="182" t="n">
        <f aca="false">SUMIFS(報告入力!$AX$7:$AX$696,報告入力!$A$7:$A$696,$S$847,報告入力!$B$7:$B$696,$A889)</f>
        <v>40155</v>
      </c>
      <c r="F889" s="212" t="n">
        <f aca="false">SUMIFS(報告入力!$AY$7:$AY$696,報告入力!$A$7:$A$696,$S$847,報告入力!$B$7:$B$696,$A889)</f>
        <v>502</v>
      </c>
      <c r="G889" s="181" t="n">
        <f aca="false">SUM(B889:F889)</f>
        <v>1060589</v>
      </c>
      <c r="H889" s="182" t="n">
        <f aca="false">SUMIFS(報告入力!$AZ$7:$AZ$696,報告入力!$A$7:$A$696,$S$847,報告入力!$B$7:$B$696,$A889)</f>
        <v>294509</v>
      </c>
      <c r="I889" s="183" t="n">
        <f aca="false">SUMIFS(報告入力!$BA$7:$BA$696,報告入力!$A$7:$A$696,$S$847,報告入力!$B$7:$B$696,$A889)</f>
        <v>295058</v>
      </c>
      <c r="J889" s="135" t="n">
        <f aca="false">SUM(H889:I889)</f>
        <v>589567</v>
      </c>
      <c r="K889" s="182" t="n">
        <f aca="false">SUMIFS(報告入力!$BB$7:$BB$696,報告入力!$A$7:$A$696,$S$847,報告入力!$B$7:$B$696,$A889)</f>
        <v>29009</v>
      </c>
      <c r="L889" s="183" t="n">
        <f aca="false">SUMIFS(報告入力!$BC$7:$BC$696,報告入力!$A$7:$A$696,$S$847,報告入力!$B$7:$B$696,$A889)</f>
        <v>29016</v>
      </c>
      <c r="M889" s="135" t="n">
        <f aca="false">SUM(K889:L889)</f>
        <v>58025</v>
      </c>
      <c r="N889" s="182" t="n">
        <f aca="false">SUMIFS(報告入力!$BD$7:$BD$696,報告入力!$A$7:$A$696,$S$847,報告入力!$B$7:$B$696,$A889)</f>
        <v>1</v>
      </c>
      <c r="O889" s="183" t="n">
        <f aca="false">SUMIFS(報告入力!$BE$7:$BE$696,報告入力!$A$7:$A$696,$S$847,報告入力!$B$7:$B$696,$A889)</f>
        <v>1</v>
      </c>
      <c r="P889" s="135" t="n">
        <f aca="false">SUM(N889:O889)</f>
        <v>2</v>
      </c>
      <c r="Q889" s="110" t="str">
        <f aca="false">IF(P824=P889,"〇","×")</f>
        <v>〇</v>
      </c>
      <c r="R889" s="110" t="str">
        <f aca="false">IFERROR(INDEX(報告入力!$C$7:$C$696,MATCH($S$847&amp;"|"&amp;$A889,報告入力!$CG$7:$CG$696,0)),"")</f>
        <v>未受領</v>
      </c>
    </row>
    <row r="890" s="110" customFormat="true" ht="20.1" hidden="false" customHeight="true" outlineLevel="0" collapsed="false">
      <c r="A890" s="121" t="s">
        <v>195</v>
      </c>
      <c r="B890" s="201"/>
      <c r="C890" s="191"/>
      <c r="D890" s="215" t="n">
        <f aca="false">SUMIFS(報告入力!$AW$7:$AW$696,報告入力!$A$7:$A$696,$S$847,報告入力!$B$7:$B$696,$A890)</f>
        <v>100743</v>
      </c>
      <c r="E890" s="213" t="n">
        <f aca="false">SUMIFS(報告入力!$AX$7:$AX$696,報告入力!$A$7:$A$696,$S$847,報告入力!$B$7:$B$696,$A890)</f>
        <v>8257</v>
      </c>
      <c r="F890" s="368" t="n">
        <f aca="false">SUMIFS(報告入力!$AY$7:$AY$696,報告入力!$A$7:$A$696,$S$847,報告入力!$B$7:$B$696,$A890)</f>
        <v>103</v>
      </c>
      <c r="G890" s="181" t="n">
        <f aca="false">SUM(B890:F890)</f>
        <v>109103</v>
      </c>
      <c r="H890" s="435"/>
      <c r="I890" s="214" t="n">
        <f aca="false">SUMIFS(報告入力!$BA$7:$BA$696,報告入力!$A$7:$A$696,$S$847,報告入力!$B$7:$B$696,$A890)</f>
        <v>60676</v>
      </c>
      <c r="J890" s="135" t="n">
        <f aca="false">SUM(H890:I890)</f>
        <v>60676</v>
      </c>
      <c r="K890" s="201"/>
      <c r="L890" s="214" t="n">
        <f aca="false">SUMIFS(報告入力!$BC$7:$BC$696,報告入力!$A$7:$A$696,$S$847,報告入力!$B$7:$B$696,$A890)</f>
        <v>4732</v>
      </c>
      <c r="M890" s="135" t="n">
        <f aca="false">SUM(K890:L890)</f>
        <v>4732</v>
      </c>
      <c r="N890" s="201"/>
      <c r="O890" s="214" t="n">
        <f aca="false">SUMIFS(報告入力!$BE$7:$BE$696,報告入力!$A$7:$A$696,$S$847,報告入力!$B$7:$B$696,$A890)</f>
        <v>1</v>
      </c>
      <c r="P890" s="135" t="n">
        <f aca="false">SUM(N890:O890)</f>
        <v>1</v>
      </c>
      <c r="Q890" s="110" t="str">
        <f aca="false">IF(P825=P890,"〇","×")</f>
        <v>〇</v>
      </c>
      <c r="R890" s="110" t="str">
        <f aca="false">IFERROR(INDEX(報告入力!$C$7:$C$696,MATCH($S$847&amp;"|"&amp;$A890,報告入力!$CG$7:$CG$696,0)),"")</f>
        <v>未受領</v>
      </c>
    </row>
    <row r="891" s="110" customFormat="true" ht="19.5" hidden="false" customHeight="true" outlineLevel="0" collapsed="false">
      <c r="A891" s="207" t="s">
        <v>196</v>
      </c>
      <c r="B891" s="215" t="n">
        <f aca="false">SUMIFS(報告入力!$AU$7:$AU$696,報告入力!$A$7:$A$696,$S$847,報告入力!$B$7:$B$696,$A891)</f>
        <v>46167702</v>
      </c>
      <c r="C891" s="368" t="n">
        <f aca="false">SUMIFS(報告入力!$AV$7:$AV$696,報告入力!$A$7:$A$696,$S$847,報告入力!$B$7:$B$696,$A891)</f>
        <v>3788385</v>
      </c>
      <c r="D891" s="215" t="n">
        <f aca="false">SUMIFS(報告入力!$AW$7:$AW$696,報告入力!$A$7:$A$696,$S$847,報告入力!$B$7:$B$696,$A891)</f>
        <v>63388806</v>
      </c>
      <c r="E891" s="369" t="n">
        <f aca="false">SUMIFS(報告入力!$AX$7:$AX$696,報告入力!$A$7:$A$696,$S$847,報告入力!$B$7:$B$696,$A891)</f>
        <v>3788385</v>
      </c>
      <c r="F891" s="368" t="n">
        <f aca="false">SUMIFS(報告入力!$AY$7:$AY$696,報告入力!$A$7:$A$696,$S$847,報告入力!$B$7:$B$696,$A891)</f>
        <v>49128</v>
      </c>
      <c r="G891" s="181" t="n">
        <f aca="false">SUM(B891:F891)</f>
        <v>117182406</v>
      </c>
      <c r="H891" s="213" t="n">
        <f aca="false">SUMIFS(報告入力!$AZ$7:$AZ$696,報告入力!$A$7:$A$696,$S$847,報告入力!$B$7:$B$696,$A891)</f>
        <v>27900090</v>
      </c>
      <c r="I891" s="370" t="n">
        <f aca="false">SUMIFS(報告入力!$BA$7:$BA$696,報告入力!$A$7:$A$696,$S$847,報告入力!$B$7:$B$696,$A891)</f>
        <v>27950807</v>
      </c>
      <c r="J891" s="135" t="n">
        <f aca="false">SUM(H891:I891)</f>
        <v>55850897</v>
      </c>
      <c r="K891" s="215" t="n">
        <f aca="false">SUMIFS(報告入力!$BB$7:$BB$696,報告入力!$A$7:$A$696,$S$847,報告入力!$B$7:$B$696,$A891)</f>
        <v>2515257</v>
      </c>
      <c r="L891" s="370" t="n">
        <f aca="false">SUMIFS(報告入力!$BC$7:$BC$696,報告入力!$A$7:$A$696,$S$847,報告入力!$B$7:$B$696,$A891)</f>
        <v>2515257</v>
      </c>
      <c r="M891" s="135" t="n">
        <f aca="false">SUM(K891:L891)</f>
        <v>5030514</v>
      </c>
      <c r="N891" s="215" t="n">
        <f aca="false">SUMIFS(報告入力!$BD$7:$BD$696,報告入力!$A$7:$A$696,$S$847,報告入力!$B$7:$B$696,$A891)</f>
        <v>1</v>
      </c>
      <c r="O891" s="370" t="n">
        <f aca="false">SUMIFS(報告入力!$BE$7:$BE$696,報告入力!$A$7:$A$696,$S$847,報告入力!$B$7:$B$696,$A891)</f>
        <v>1</v>
      </c>
      <c r="P891" s="135" t="n">
        <f aca="false">SUM(N891:O891)</f>
        <v>2</v>
      </c>
      <c r="Q891" s="110" t="str">
        <f aca="false">IF(P826=P891,"〇","×")</f>
        <v>〇</v>
      </c>
      <c r="R891" s="110" t="str">
        <f aca="false">IFERROR(INDEX(報告入力!$C$7:$C$696,MATCH($S$847&amp;"|"&amp;$A891,報告入力!$CG$7:$CG$696,0)),"")</f>
        <v>未受領</v>
      </c>
    </row>
    <row r="892" s="137" customFormat="true" ht="21.75" hidden="false" customHeight="true" outlineLevel="0" collapsed="false">
      <c r="A892" s="374" t="s">
        <v>197</v>
      </c>
      <c r="B892" s="127"/>
      <c r="C892" s="131"/>
      <c r="D892" s="127"/>
      <c r="E892" s="209"/>
      <c r="F892" s="131"/>
      <c r="G892" s="210" t="n">
        <f aca="false">SUM(B892:F892)</f>
        <v>0</v>
      </c>
      <c r="H892" s="213" t="n">
        <f aca="false">SUMIFS(報告入力!$AZ$7:$AZ$696,報告入力!$A$7:$A$696,$S$847,報告入力!$B$7:$B$696,$A892)</f>
        <v>3465</v>
      </c>
      <c r="I892" s="370" t="n">
        <f aca="false">SUMIFS(報告入力!$BA$7:$BA$696,報告入力!$A$7:$A$696,$S$847,報告入力!$B$7:$B$696,$A892)</f>
        <v>3471</v>
      </c>
      <c r="J892" s="135" t="n">
        <f aca="false">SUM(H892:I892)</f>
        <v>6936</v>
      </c>
      <c r="K892" s="215" t="n">
        <f aca="false">SUMIFS(報告入力!$BB$7:$BB$696,報告入力!$A$7:$A$696,$S$847,報告入力!$B$7:$B$696,$A892)</f>
        <v>529</v>
      </c>
      <c r="L892" s="370" t="n">
        <f aca="false">SUMIFS(報告入力!$BC$7:$BC$696,報告入力!$A$7:$A$696,$S$847,報告入力!$B$7:$B$696,$A892)</f>
        <v>529</v>
      </c>
      <c r="M892" s="135" t="n">
        <f aca="false">SUM(K892:L892)</f>
        <v>1058</v>
      </c>
      <c r="N892" s="215" t="n">
        <f aca="false">SUMIFS(報告入力!$BD$7:$BD$696,報告入力!$A$7:$A$696,$S$847,報告入力!$B$7:$B$696,$A892)</f>
        <v>1</v>
      </c>
      <c r="O892" s="370" t="n">
        <f aca="false">SUMIFS(報告入力!$BE$7:$BE$696,報告入力!$A$7:$A$696,$S$847,報告入力!$B$7:$B$696,$A892)</f>
        <v>1</v>
      </c>
      <c r="P892" s="135" t="n">
        <f aca="false">SUM(N892:O892)</f>
        <v>2</v>
      </c>
      <c r="Q892" s="137" t="str">
        <f aca="false">IF(P827=P892,"〇","×")</f>
        <v>〇</v>
      </c>
      <c r="R892" s="137" t="str">
        <f aca="false">IFERROR(INDEX(報告入力!$C$7:$C$696,MATCH($S$847&amp;"|"&amp;$A892,報告入力!$CG$7:$CG$696,0)),"")</f>
        <v>未受領</v>
      </c>
    </row>
    <row r="893" s="137" customFormat="true" ht="21.75" hidden="false" customHeight="true" outlineLevel="0" collapsed="false">
      <c r="A893" s="211" t="s">
        <v>216</v>
      </c>
      <c r="B893" s="311" t="n">
        <f aca="false">SUMIFS(報告入力!$AU$7:$AU$696,報告入力!$A$7:$A$696,$S$847,報告入力!$B$7:$B$696,$A893)</f>
        <v>0</v>
      </c>
      <c r="C893" s="331" t="n">
        <f aca="false">SUMIFS(報告入力!$AV$7:$AV$696,報告入力!$A$7:$A$696,$S$847,報告入力!$B$7:$B$696,$A893)</f>
        <v>0</v>
      </c>
      <c r="D893" s="311" t="n">
        <f aca="false">SUMIFS(報告入力!$AW$7:$AW$696,報告入力!$A$7:$A$696,$S$847,報告入力!$B$7:$B$696,$A893)</f>
        <v>0</v>
      </c>
      <c r="E893" s="309" t="n">
        <f aca="false">SUMIFS(報告入力!$AX$7:$AX$696,報告入力!$A$7:$A$696,$S$847,報告入力!$B$7:$B$696,$A893)</f>
        <v>0</v>
      </c>
      <c r="F893" s="331" t="n">
        <f aca="false">SUMIFS(報告入力!$AY$7:$AY$696,報告入力!$A$7:$A$696,$S$847,報告入力!$B$7:$B$696,$A893)</f>
        <v>0</v>
      </c>
      <c r="G893" s="302" t="n">
        <f aca="false">SUM(B893:F893)</f>
        <v>0</v>
      </c>
      <c r="H893" s="436"/>
      <c r="I893" s="437"/>
      <c r="J893" s="305" t="n">
        <f aca="false">SUM(H893:I893)</f>
        <v>0</v>
      </c>
      <c r="K893" s="436"/>
      <c r="L893" s="437"/>
      <c r="M893" s="305" t="n">
        <f aca="false">SUM(K893:L893)</f>
        <v>0</v>
      </c>
      <c r="N893" s="436"/>
      <c r="O893" s="437"/>
      <c r="P893" s="305" t="n">
        <f aca="false">SUM(N893:O893)</f>
        <v>0</v>
      </c>
      <c r="Q893" s="137" t="str">
        <f aca="false">IF(P828=P893,"〇","×")</f>
        <v>〇</v>
      </c>
      <c r="R893" s="137" t="str">
        <f aca="false">IFERROR(INDEX(報告入力!$C$7:$C$696,MATCH($S$847&amp;"|"&amp;$A893,報告入力!$CG$7:$CG$696,0)),"")</f>
        <v>未受領</v>
      </c>
    </row>
    <row r="894" s="137" customFormat="true" ht="21.75" hidden="false" customHeight="true" outlineLevel="0" collapsed="false">
      <c r="A894" s="211" t="s">
        <v>199</v>
      </c>
      <c r="B894" s="215" t="n">
        <f aca="false">SUMIFS(報告入力!$AU$7:$AU$696,報告入力!$A$7:$A$696,$S$847,報告入力!$B$7:$B$696,$A894)</f>
        <v>0</v>
      </c>
      <c r="C894" s="368" t="n">
        <f aca="false">SUMIFS(報告入力!$AV$7:$AV$696,報告入力!$A$7:$A$696,$S$847,報告入力!$B$7:$B$696,$A894)</f>
        <v>0</v>
      </c>
      <c r="D894" s="215" t="n">
        <f aca="false">SUMIFS(報告入力!$AW$7:$AW$696,報告入力!$A$7:$A$696,$S$847,報告入力!$B$7:$B$696,$A894)</f>
        <v>0</v>
      </c>
      <c r="E894" s="213" t="n">
        <f aca="false">SUMIFS(報告入力!$AX$7:$AX$696,報告入力!$A$7:$A$696,$S$847,報告入力!$B$7:$B$696,$A894)</f>
        <v>0</v>
      </c>
      <c r="F894" s="368" t="n">
        <f aca="false">SUMIFS(報告入力!$AY$7:$AY$696,報告入力!$A$7:$A$696,$S$847,報告入力!$B$7:$B$696,$A894)</f>
        <v>0</v>
      </c>
      <c r="G894" s="377" t="n">
        <f aca="false">SUM(B894:F894)</f>
        <v>0</v>
      </c>
      <c r="H894" s="220"/>
      <c r="I894" s="158"/>
      <c r="J894" s="223" t="n">
        <f aca="false">SUM(H894:I894)</f>
        <v>0</v>
      </c>
      <c r="K894" s="220"/>
      <c r="L894" s="158"/>
      <c r="M894" s="223" t="n">
        <f aca="false">SUM(K894:L894)</f>
        <v>0</v>
      </c>
      <c r="N894" s="220"/>
      <c r="O894" s="158"/>
      <c r="P894" s="223" t="n">
        <f aca="false">SUM(N894:O894)</f>
        <v>0</v>
      </c>
      <c r="Q894" s="137" t="str">
        <f aca="false">IF(P829=P894,"〇","×")</f>
        <v>×</v>
      </c>
      <c r="R894" s="137" t="str">
        <f aca="false">IFERROR(INDEX(報告入力!$C$7:$C$696,MATCH($S$847&amp;"|"&amp;$A894,報告入力!$CG$7:$CG$696,0)),"")</f>
        <v>未受領</v>
      </c>
    </row>
    <row r="895" s="137" customFormat="true" ht="21.75" hidden="false" customHeight="true" outlineLevel="0" collapsed="false">
      <c r="A895" s="149"/>
      <c r="B895" s="157"/>
      <c r="C895" s="156"/>
      <c r="D895" s="220"/>
      <c r="E895" s="158"/>
      <c r="F895" s="156"/>
      <c r="G895" s="221" t="n">
        <f aca="false">SUM(B895:F895)</f>
        <v>0</v>
      </c>
      <c r="H895" s="222"/>
      <c r="I895" s="158"/>
      <c r="J895" s="223" t="n">
        <f aca="false">SUM(H895:I895)</f>
        <v>0</v>
      </c>
      <c r="K895" s="220"/>
      <c r="L895" s="158"/>
      <c r="M895" s="223" t="n">
        <f aca="false">SUM(K895:L895)</f>
        <v>0</v>
      </c>
      <c r="N895" s="220"/>
      <c r="O895" s="158"/>
      <c r="P895" s="223" t="n">
        <f aca="false">SUM(N895:O895)</f>
        <v>0</v>
      </c>
      <c r="Q895" s="137" t="str">
        <f aca="false">IF(P830=P895,"〇","×")</f>
        <v>〇</v>
      </c>
    </row>
    <row r="896" s="137" customFormat="true" ht="0.2" hidden="false" customHeight="true" outlineLevel="0" collapsed="false">
      <c r="A896" s="149"/>
      <c r="B896" s="157"/>
      <c r="C896" s="156"/>
      <c r="D896" s="220"/>
      <c r="E896" s="158"/>
      <c r="F896" s="156"/>
      <c r="G896" s="221" t="n">
        <f aca="false">SUM(B896:F896)</f>
        <v>0</v>
      </c>
      <c r="H896" s="222"/>
      <c r="I896" s="158"/>
      <c r="J896" s="223" t="n">
        <f aca="false">SUM(H896:I896)</f>
        <v>0</v>
      </c>
      <c r="K896" s="220"/>
      <c r="L896" s="158"/>
      <c r="M896" s="223" t="n">
        <f aca="false">SUM(K896:L896)</f>
        <v>0</v>
      </c>
      <c r="N896" s="220"/>
      <c r="O896" s="158"/>
      <c r="P896" s="223" t="n">
        <f aca="false">SUM(N896:O896)</f>
        <v>0</v>
      </c>
      <c r="Q896" s="137" t="str">
        <f aca="false">IF(P831=P896,"〇","×")</f>
        <v>〇</v>
      </c>
    </row>
    <row r="897" s="137" customFormat="true" ht="0.2" hidden="false" customHeight="true" outlineLevel="0" collapsed="false">
      <c r="A897" s="162"/>
      <c r="B897" s="224"/>
      <c r="C897" s="225"/>
      <c r="D897" s="226"/>
      <c r="E897" s="227"/>
      <c r="F897" s="225"/>
      <c r="G897" s="228"/>
      <c r="H897" s="229"/>
      <c r="I897" s="229"/>
      <c r="J897" s="230"/>
      <c r="K897" s="231"/>
      <c r="L897" s="229"/>
      <c r="M897" s="230"/>
      <c r="N897" s="231"/>
      <c r="O897" s="229"/>
      <c r="P897" s="230"/>
      <c r="Q897" s="137" t="str">
        <f aca="false">IF(P832=P897,"〇","×")</f>
        <v>〇</v>
      </c>
    </row>
    <row r="898" s="110" customFormat="true" ht="20.1" hidden="false" customHeight="true" outlineLevel="0" collapsed="false">
      <c r="A898" s="171" t="s">
        <v>383</v>
      </c>
      <c r="B898" s="172" t="n">
        <f aca="false">SUM(B868:B897)</f>
        <v>47143264</v>
      </c>
      <c r="C898" s="175" t="n">
        <f aca="false">SUM(C868:C897)</f>
        <v>3868339</v>
      </c>
      <c r="D898" s="173" t="n">
        <f aca="false">SUM(D868:D897)</f>
        <v>66915429</v>
      </c>
      <c r="E898" s="174" t="n">
        <f aca="false">SUM(E868:E897)</f>
        <v>4077441</v>
      </c>
      <c r="F898" s="175" t="n">
        <f aca="false">SUM(F868:F897)</f>
        <v>52767</v>
      </c>
      <c r="G898" s="176" t="n">
        <f aca="false">SUM(B898:F898)</f>
        <v>122057240</v>
      </c>
      <c r="H898" s="173" t="n">
        <f aca="false">SUM(H868:H896)</f>
        <v>28490046</v>
      </c>
      <c r="I898" s="173" t="n">
        <f aca="false">SUM(I868:I896)</f>
        <v>30078334</v>
      </c>
      <c r="J898" s="175" t="n">
        <f aca="false">SUM(H898:I898)</f>
        <v>58568380</v>
      </c>
      <c r="K898" s="172" t="n">
        <f aca="false">SUM(K868:K896)</f>
        <v>2575415</v>
      </c>
      <c r="L898" s="173" t="n">
        <f aca="false">SUM(L868:L896)</f>
        <v>2760342</v>
      </c>
      <c r="M898" s="175" t="n">
        <f aca="false">SUM(K898:L898)</f>
        <v>5335757</v>
      </c>
      <c r="N898" s="172" t="n">
        <f aca="false">SUM(N868:N896)</f>
        <v>7</v>
      </c>
      <c r="O898" s="173" t="n">
        <f aca="false">SUM(O868:O896)</f>
        <v>18</v>
      </c>
      <c r="P898" s="175" t="n">
        <f aca="false">SUM(N898:O898)</f>
        <v>25</v>
      </c>
      <c r="Q898" s="110" t="str">
        <f aca="false">IF(P833=P898,"〇","×")</f>
        <v>×</v>
      </c>
    </row>
    <row r="899" s="137" customFormat="true" ht="0.2" hidden="false" customHeight="true" outlineLevel="0" collapsed="false">
      <c r="A899" s="149" t="s">
        <v>382</v>
      </c>
      <c r="B899" s="231"/>
      <c r="C899" s="232"/>
      <c r="D899" s="229"/>
      <c r="E899" s="233"/>
      <c r="F899" s="234"/>
      <c r="G899" s="235"/>
      <c r="H899" s="236"/>
      <c r="I899" s="236"/>
      <c r="J899" s="237"/>
      <c r="K899" s="238"/>
      <c r="L899" s="239"/>
      <c r="M899" s="240"/>
      <c r="N899" s="238"/>
      <c r="O899" s="239"/>
      <c r="P899" s="240"/>
      <c r="Q899" s="137" t="str">
        <f aca="false">IF(P834=P899,"〇","×")</f>
        <v>〇</v>
      </c>
    </row>
    <row r="900" s="137" customFormat="true" ht="0.2" hidden="false" customHeight="true" outlineLevel="0" collapsed="false">
      <c r="A900" s="241" t="s">
        <v>382</v>
      </c>
      <c r="B900" s="242"/>
      <c r="C900" s="243"/>
      <c r="D900" s="229"/>
      <c r="E900" s="233"/>
      <c r="F900" s="232"/>
      <c r="G900" s="228"/>
      <c r="H900" s="244"/>
      <c r="I900" s="244"/>
      <c r="J900" s="245"/>
      <c r="K900" s="246"/>
      <c r="L900" s="247"/>
      <c r="M900" s="248"/>
      <c r="N900" s="246"/>
      <c r="O900" s="247"/>
      <c r="P900" s="248"/>
      <c r="Q900" s="137" t="str">
        <f aca="false">IF(P835=P900,"〇","×")</f>
        <v>〇</v>
      </c>
    </row>
    <row r="901" s="110" customFormat="true" ht="20.1" hidden="false" customHeight="true" outlineLevel="0" collapsed="false">
      <c r="A901" s="189" t="s">
        <v>200</v>
      </c>
      <c r="B901" s="215" t="n">
        <f aca="false">SUMIFS(報告入力!$AU$7:$AU$696,報告入力!$A$7:$A$696,$S$847,報告入力!$B$7:$B$696,$A901)</f>
        <v>63867</v>
      </c>
      <c r="C901" s="368" t="n">
        <f aca="false">SUMIFS(報告入力!$AV$7:$AV$696,報告入力!$A$7:$A$696,$S$847,報告入力!$B$7:$B$696,$A901)</f>
        <v>5235</v>
      </c>
      <c r="D901" s="215" t="n">
        <f aca="false">SUMIFS(報告入力!$AW$7:$AW$696,報告入力!$A$7:$A$696,$S$847,報告入力!$B$7:$B$696,$A901)</f>
        <v>63867</v>
      </c>
      <c r="E901" s="213" t="n">
        <f aca="false">SUMIFS(報告入力!$AX$7:$AX$696,報告入力!$A$7:$A$696,$S$847,報告入力!$B$7:$B$696,$A901)</f>
        <v>5235</v>
      </c>
      <c r="F901" s="368" t="n">
        <f aca="false">SUMIFS(報告入力!$AY$7:$AY$696,報告入力!$A$7:$A$696,$S$847,報告入力!$B$7:$B$696,$A901)</f>
        <v>65</v>
      </c>
      <c r="G901" s="181" t="n">
        <f aca="false">SUM(B901:F901)</f>
        <v>138269</v>
      </c>
      <c r="H901" s="214" t="n">
        <f aca="false">SUMIFS(報告入力!$AZ$7:$AZ$696,報告入力!$A$7:$A$696,$S$847,報告入力!$B$7:$B$696,$A901)</f>
        <v>0</v>
      </c>
      <c r="I901" s="130"/>
      <c r="J901" s="135" t="n">
        <f aca="false">SUM(H901:I901)</f>
        <v>0</v>
      </c>
      <c r="K901" s="214" t="n">
        <f aca="false">SUMIFS(報告入力!$BB$7:$BB$696,報告入力!$A$7:$A$696,$S$847,報告入力!$B$7:$B$696,$A901)</f>
        <v>0</v>
      </c>
      <c r="L901" s="130"/>
      <c r="M901" s="135" t="n">
        <f aca="false">SUM(K901:L901)</f>
        <v>0</v>
      </c>
      <c r="N901" s="214" t="n">
        <f aca="false">SUMIFS(報告入力!$BD$7:$BD$696,報告入力!$A$7:$A$696,$S$847,報告入力!$B$7:$B$696,$A901)</f>
        <v>0</v>
      </c>
      <c r="O901" s="130"/>
      <c r="P901" s="135" t="n">
        <f aca="false">SUM(N901:O901)</f>
        <v>0</v>
      </c>
      <c r="Q901" s="110" t="str">
        <f aca="false">IF(P836=P901,"〇","×")</f>
        <v>〇</v>
      </c>
      <c r="R901" s="110" t="str">
        <f aca="false">IFERROR(INDEX(報告入力!$C$7:$C$696,MATCH($S$847&amp;"|"&amp;$A901,報告入力!$CG$7:$CG$696,0)),"")</f>
        <v>未受領</v>
      </c>
    </row>
    <row r="902" s="110" customFormat="true" ht="21.75" hidden="false" customHeight="true" outlineLevel="0" collapsed="false">
      <c r="A902" s="189" t="s">
        <v>201</v>
      </c>
      <c r="B902" s="215" t="n">
        <f aca="false">SUMIFS(報告入力!$AU$7:$AU$696,報告入力!$A$7:$A$696,$S$847,報告入力!$B$7:$B$696,$A902)</f>
        <v>26352</v>
      </c>
      <c r="C902" s="368" t="n">
        <f aca="false">SUMIFS(報告入力!$AV$7:$AV$696,報告入力!$A$7:$A$696,$S$847,報告入力!$B$7:$B$696,$A902)</f>
        <v>2160</v>
      </c>
      <c r="D902" s="215" t="n">
        <f aca="false">SUMIFS(報告入力!$AW$7:$AW$696,報告入力!$A$7:$A$696,$S$847,報告入力!$B$7:$B$696,$A902)</f>
        <v>26352</v>
      </c>
      <c r="E902" s="213" t="n">
        <f aca="false">SUMIFS(報告入力!$AX$7:$AX$696,報告入力!$A$7:$A$696,$S$847,報告入力!$B$7:$B$696,$A902)</f>
        <v>2160</v>
      </c>
      <c r="F902" s="368" t="n">
        <f aca="false">SUMIFS(報告入力!$AY$7:$AY$696,報告入力!$A$7:$A$696,$S$847,報告入力!$B$7:$B$696,$A902)</f>
        <v>27</v>
      </c>
      <c r="G902" s="366" t="n">
        <f aca="false">SUM(B902:F902)</f>
        <v>57051</v>
      </c>
      <c r="H902" s="252"/>
      <c r="I902" s="252"/>
      <c r="J902" s="253" t="n">
        <f aca="false">SUM(H902:I902)</f>
        <v>0</v>
      </c>
      <c r="K902" s="252"/>
      <c r="L902" s="252"/>
      <c r="M902" s="253" t="n">
        <f aca="false">SUM(K902:L902)</f>
        <v>0</v>
      </c>
      <c r="N902" s="252"/>
      <c r="O902" s="252"/>
      <c r="P902" s="253" t="n">
        <f aca="false">SUM(N902:O902)</f>
        <v>0</v>
      </c>
      <c r="Q902" s="110" t="str">
        <f aca="false">IF(P837=P902,"〇","×")</f>
        <v>〇</v>
      </c>
      <c r="R902" s="110" t="str">
        <f aca="false">IFERROR(INDEX(報告入力!$C$7:$C$696,MATCH($S$847&amp;"|"&amp;$A902,報告入力!$CG$7:$CG$696,0)),"")</f>
        <v>未受領</v>
      </c>
    </row>
    <row r="903" s="110" customFormat="true" ht="19.5" hidden="false" customHeight="true" outlineLevel="0" collapsed="false">
      <c r="A903" s="171" t="s">
        <v>383</v>
      </c>
      <c r="B903" s="172" t="n">
        <f aca="false">SUM(B899:B902)</f>
        <v>90219</v>
      </c>
      <c r="C903" s="175" t="n">
        <f aca="false">SUM(C899:C902)</f>
        <v>7395</v>
      </c>
      <c r="D903" s="173" t="n">
        <f aca="false">SUM(D899:D902)</f>
        <v>90219</v>
      </c>
      <c r="E903" s="174" t="n">
        <f aca="false">SUM(E899:E902)</f>
        <v>7395</v>
      </c>
      <c r="F903" s="175" t="n">
        <f aca="false">SUM(F899:F902)</f>
        <v>92</v>
      </c>
      <c r="G903" s="176" t="n">
        <f aca="false">SUM(B903:F903)</f>
        <v>195320</v>
      </c>
      <c r="H903" s="256" t="n">
        <f aca="false">SUM(H899:H902)</f>
        <v>0</v>
      </c>
      <c r="I903" s="257" t="n">
        <f aca="false">SUM(I899:I902)</f>
        <v>0</v>
      </c>
      <c r="J903" s="258" t="n">
        <f aca="false">SUM(H903:I903)</f>
        <v>0</v>
      </c>
      <c r="K903" s="256" t="n">
        <f aca="false">SUM(K899:K902)</f>
        <v>0</v>
      </c>
      <c r="L903" s="257" t="n">
        <f aca="false">SUM(L899:L902)</f>
        <v>0</v>
      </c>
      <c r="M903" s="258" t="n">
        <f aca="false">SUM(K903:L903)</f>
        <v>0</v>
      </c>
      <c r="N903" s="256" t="n">
        <f aca="false">SUM(N899:N902)</f>
        <v>0</v>
      </c>
      <c r="O903" s="257" t="n">
        <f aca="false">SUM(O899:O902)</f>
        <v>0</v>
      </c>
      <c r="P903" s="258" t="n">
        <f aca="false">SUM(N903:O903)</f>
        <v>0</v>
      </c>
      <c r="Q903" s="110" t="str">
        <f aca="false">IF(P838=P903,"〇","×")</f>
        <v>〇</v>
      </c>
    </row>
    <row r="904" s="110" customFormat="true" ht="20.1" hidden="false" customHeight="true" outlineLevel="0" collapsed="false">
      <c r="A904" s="100" t="s">
        <v>202</v>
      </c>
      <c r="B904" s="215" t="n">
        <f aca="false">SUMIFS(報告入力!$AU$7:$AU$696,報告入力!$A$7:$A$696,$S$847,報告入力!$B$7:$B$696,$A904)</f>
        <v>8509</v>
      </c>
      <c r="C904" s="368" t="n">
        <f aca="false">SUMIFS(報告入力!$AV$7:$AV$696,報告入力!$A$7:$A$696,$S$847,報告入力!$B$7:$B$696,$A904)</f>
        <v>697</v>
      </c>
      <c r="D904" s="215" t="n">
        <f aca="false">SUMIFS(報告入力!$AW$7:$AW$696,報告入力!$A$7:$A$696,$S$847,報告入力!$B$7:$B$696,$A904)</f>
        <v>8510</v>
      </c>
      <c r="E904" s="213" t="n">
        <f aca="false">SUMIFS(報告入力!$AX$7:$AX$696,報告入力!$A$7:$A$696,$S$847,報告入力!$B$7:$B$696,$A904)</f>
        <v>697</v>
      </c>
      <c r="F904" s="312"/>
      <c r="G904" s="181" t="n">
        <f aca="false">SUM(B904:F904)</f>
        <v>18413</v>
      </c>
      <c r="H904" s="182" t="n">
        <f aca="false">SUMIFS(報告入力!$AZ$7:$AZ$696,報告入力!$A$7:$A$696,$S$847,報告入力!$B$7:$B$696,$A904)</f>
        <v>5115</v>
      </c>
      <c r="I904" s="183" t="n">
        <f aca="false">SUMIFS(報告入力!$BA$7:$BA$696,報告入力!$A$7:$A$696,$S$847,報告入力!$B$7:$B$696,$A904)</f>
        <v>5125</v>
      </c>
      <c r="J904" s="135" t="n">
        <f aca="false">SUM(H904:I904)</f>
        <v>10240</v>
      </c>
      <c r="K904" s="182" t="n">
        <f aca="false">SUMIFS(報告入力!$BB$7:$BB$696,報告入力!$A$7:$A$696,$S$847,報告入力!$B$7:$B$696,$A904)</f>
        <v>734</v>
      </c>
      <c r="L904" s="183" t="n">
        <f aca="false">SUMIFS(報告入力!$BC$7:$BC$696,報告入力!$A$7:$A$696,$S$847,報告入力!$B$7:$B$696,$A904)</f>
        <v>734</v>
      </c>
      <c r="M904" s="135" t="n">
        <f aca="false">SUM(K904:L904)</f>
        <v>1468</v>
      </c>
      <c r="N904" s="182" t="n">
        <f aca="false">SUMIFS(報告入力!$BD$7:$BD$696,報告入力!$A$7:$A$696,$S$847,報告入力!$B$7:$B$696,$A904)</f>
        <v>1</v>
      </c>
      <c r="O904" s="183" t="n">
        <f aca="false">SUMIFS(報告入力!$BE$7:$BE$696,報告入力!$A$7:$A$696,$S$847,報告入力!$B$7:$B$696,$A904)</f>
        <v>1</v>
      </c>
      <c r="P904" s="135" t="n">
        <f aca="false">SUM(N904:O904)</f>
        <v>2</v>
      </c>
      <c r="Q904" s="110" t="str">
        <f aca="false">IF(P839=P904,"〇","×")</f>
        <v>〇</v>
      </c>
      <c r="R904" s="110" t="str">
        <f aca="false">IFERROR(INDEX(報告入力!$C$7:$C$696,MATCH($S$847&amp;"|"&amp;$A904,報告入力!$CG$7:$CG$696,0)),"")</f>
        <v>未受領</v>
      </c>
    </row>
    <row r="905" s="110" customFormat="true" ht="20.1" hidden="false" customHeight="true" outlineLevel="0" collapsed="false">
      <c r="A905" s="100" t="s">
        <v>203</v>
      </c>
      <c r="B905" s="215"/>
      <c r="C905" s="368"/>
      <c r="D905" s="215"/>
      <c r="E905" s="213"/>
      <c r="F905" s="312"/>
      <c r="G905" s="181" t="n">
        <f aca="false">SUM(B905:F905)</f>
        <v>0</v>
      </c>
      <c r="H905" s="182"/>
      <c r="I905" s="183"/>
      <c r="J905" s="135" t="n">
        <f aca="false">SUM(H905:I905)</f>
        <v>0</v>
      </c>
      <c r="K905" s="262"/>
      <c r="L905" s="183"/>
      <c r="M905" s="135" t="n">
        <f aca="false">SUM(K905:L905)</f>
        <v>0</v>
      </c>
      <c r="N905" s="262"/>
      <c r="O905" s="183"/>
      <c r="P905" s="135" t="n">
        <f aca="false">SUM(N905:O905)</f>
        <v>0</v>
      </c>
      <c r="Q905" s="110" t="str">
        <f aca="false">IF(P840=P905,"〇","×")</f>
        <v>〇</v>
      </c>
      <c r="R905" s="110" t="str">
        <f aca="false">IFERROR(INDEX(報告入力!$C$7:$C$696,MATCH($S$847&amp;"|"&amp;$A905,報告入力!$CG$7:$CG$696,0)),"")</f>
        <v>報告なし</v>
      </c>
    </row>
    <row r="906" s="110" customFormat="true" ht="20.1" hidden="false" customHeight="true" outlineLevel="0" collapsed="false">
      <c r="A906" s="192" t="s">
        <v>204</v>
      </c>
      <c r="B906" s="178" t="n">
        <f aca="false">SUMIFS(報告入力!$AU$7:$AU$696,報告入力!$A$7:$A$696,$S$847,報告入力!$B$7:$B$696,$A906)</f>
        <v>9516</v>
      </c>
      <c r="C906" s="179" t="n">
        <f aca="false">SUMIFS(報告入力!$AV$7:$AV$696,報告入力!$A$7:$A$696,$S$847,報告入力!$B$7:$B$696,$A906)</f>
        <v>780</v>
      </c>
      <c r="D906" s="178" t="n">
        <f aca="false">SUMIFS(報告入力!$AW$7:$AW$696,報告入力!$A$7:$A$696,$S$847,報告入力!$B$7:$B$696,$A906)</f>
        <v>9516</v>
      </c>
      <c r="E906" s="415" t="n">
        <f aca="false">SUMIFS(報告入力!$AX$7:$AX$696,報告入力!$A$7:$A$696,$S$847,報告入力!$B$7:$B$696,$A906)</f>
        <v>780</v>
      </c>
      <c r="F906" s="312"/>
      <c r="G906" s="181" t="n">
        <f aca="false">SUM(B906:F906)</f>
        <v>20592</v>
      </c>
      <c r="H906" s="182" t="n">
        <f aca="false">SUMIFS(報告入力!$AZ$7:$AZ$696,報告入力!$A$7:$A$696,$S$847,報告入力!$B$7:$B$696,$A906)</f>
        <v>9791</v>
      </c>
      <c r="I906" s="183" t="n">
        <f aca="false">SUMIFS(報告入力!$BA$7:$BA$696,報告入力!$A$7:$A$696,$S$847,報告入力!$B$7:$B$696,$A906)</f>
        <v>9809</v>
      </c>
      <c r="J906" s="135" t="n">
        <f aca="false">SUM(H906:I906)</f>
        <v>19600</v>
      </c>
      <c r="K906" s="262" t="n">
        <f aca="false">SUMIFS(報告入力!$BB$7:$BB$696,報告入力!$A$7:$A$696,$S$847,報告入力!$B$7:$B$696,$A906)</f>
        <v>584</v>
      </c>
      <c r="L906" s="183" t="n">
        <f aca="false">SUMIFS(報告入力!$BC$7:$BC$696,報告入力!$A$7:$A$696,$S$847,報告入力!$B$7:$B$696,$A906)</f>
        <v>584</v>
      </c>
      <c r="M906" s="135" t="n">
        <f aca="false">SUM(K906:L906)</f>
        <v>1168</v>
      </c>
      <c r="N906" s="262" t="n">
        <f aca="false">SUMIFS(報告入力!$BD$7:$BD$696,報告入力!$A$7:$A$696,$S$847,報告入力!$B$7:$B$696,$A906)</f>
        <v>1</v>
      </c>
      <c r="O906" s="183" t="n">
        <f aca="false">SUMIFS(報告入力!$BE$7:$BE$696,報告入力!$A$7:$A$696,$S$847,報告入力!$B$7:$B$696,$A906)</f>
        <v>1</v>
      </c>
      <c r="P906" s="135" t="n">
        <f aca="false">SUM(N906:O906)</f>
        <v>2</v>
      </c>
      <c r="Q906" s="110" t="str">
        <f aca="false">IF(P841=P906,"〇","×")</f>
        <v>〇</v>
      </c>
      <c r="R906" s="110" t="str">
        <f aca="false">IFERROR(INDEX(報告入力!$C$7:$C$696,MATCH($S$847&amp;"|"&amp;$A906,報告入力!$CG$7:$CG$696,0)),"")</f>
        <v>未受領</v>
      </c>
    </row>
    <row r="907" s="110" customFormat="true" ht="20.1" hidden="false" customHeight="true" outlineLevel="0" collapsed="false">
      <c r="A907" s="192" t="s">
        <v>205</v>
      </c>
      <c r="B907" s="215"/>
      <c r="C907" s="368"/>
      <c r="D907" s="215"/>
      <c r="E907" s="213"/>
      <c r="F907" s="312"/>
      <c r="G907" s="181" t="n">
        <f aca="false">SUM(B907:F907)</f>
        <v>0</v>
      </c>
      <c r="H907" s="332"/>
      <c r="I907" s="333"/>
      <c r="J907" s="284" t="n">
        <f aca="false">SUM(H907:I907)</f>
        <v>0</v>
      </c>
      <c r="K907" s="334"/>
      <c r="L907" s="333"/>
      <c r="M907" s="284" t="n">
        <f aca="false">SUM(K907:L907)</f>
        <v>0</v>
      </c>
      <c r="N907" s="334"/>
      <c r="O907" s="333"/>
      <c r="P907" s="284" t="n">
        <f aca="false">SUM(N907:O907)</f>
        <v>0</v>
      </c>
      <c r="Q907" s="110" t="str">
        <f aca="false">IF(P842=P907,"〇","×")</f>
        <v>〇</v>
      </c>
      <c r="R907" s="110" t="str">
        <f aca="false">IFERROR(INDEX(報告入力!$C$7:$C$696,MATCH($S$847&amp;"|"&amp;$A907,報告入力!$CG$7:$CG$696,0)),"")</f>
        <v>報告なし</v>
      </c>
    </row>
    <row r="908" s="110" customFormat="true" ht="20.1" hidden="false" customHeight="true" outlineLevel="0" collapsed="false">
      <c r="A908" s="171" t="s">
        <v>383</v>
      </c>
      <c r="B908" s="172" t="n">
        <f aca="false">SUM(B904:B907)</f>
        <v>18025</v>
      </c>
      <c r="C908" s="176" t="n">
        <f aca="false">SUM(C904:C907)</f>
        <v>1477</v>
      </c>
      <c r="D908" s="172" t="n">
        <f aca="false">SUM(D904:D907)</f>
        <v>18026</v>
      </c>
      <c r="E908" s="174" t="n">
        <f aca="false">SUM(E904:E907)</f>
        <v>1477</v>
      </c>
      <c r="F908" s="175" t="n">
        <f aca="false">SUM(F904:F907)</f>
        <v>0</v>
      </c>
      <c r="G908" s="176" t="n">
        <f aca="false">SUM(B908:F908)</f>
        <v>39005</v>
      </c>
      <c r="H908" s="276" t="n">
        <f aca="false">SUM(H904:H907)</f>
        <v>14906</v>
      </c>
      <c r="I908" s="174" t="n">
        <f aca="false">SUM(I904:I907)</f>
        <v>14934</v>
      </c>
      <c r="J908" s="175" t="n">
        <f aca="false">SUM(H908:I908)</f>
        <v>29840</v>
      </c>
      <c r="K908" s="172" t="n">
        <f aca="false">SUM(K904:K907)</f>
        <v>1318</v>
      </c>
      <c r="L908" s="276" t="n">
        <f aca="false">SUM(L904:L907)</f>
        <v>1318</v>
      </c>
      <c r="M908" s="175" t="n">
        <f aca="false">SUM(K908:L908)</f>
        <v>2636</v>
      </c>
      <c r="N908" s="172" t="n">
        <f aca="false">SUM(N904:N907)</f>
        <v>2</v>
      </c>
      <c r="O908" s="276" t="n">
        <f aca="false">SUM(O904:O907)</f>
        <v>2</v>
      </c>
      <c r="P908" s="175" t="n">
        <f aca="false">SUM(N908:O908)</f>
        <v>4</v>
      </c>
      <c r="Q908" s="110" t="str">
        <f aca="false">IF(P843=P908,"〇","×")</f>
        <v>〇</v>
      </c>
    </row>
    <row r="909" s="110" customFormat="true" ht="20.1" hidden="false" customHeight="true" outlineLevel="0" collapsed="false">
      <c r="A909" s="277" t="s">
        <v>206</v>
      </c>
      <c r="B909" s="278"/>
      <c r="C909" s="279"/>
      <c r="D909" s="280"/>
      <c r="E909" s="281"/>
      <c r="F909" s="267"/>
      <c r="G909" s="268"/>
      <c r="H909" s="313"/>
      <c r="I909" s="314"/>
      <c r="J909" s="271" t="n">
        <f aca="false">SUM(H909:I909)</f>
        <v>0</v>
      </c>
      <c r="K909" s="313"/>
      <c r="L909" s="314"/>
      <c r="M909" s="271" t="n">
        <f aca="false">SUM(K909:L909)</f>
        <v>0</v>
      </c>
      <c r="N909" s="313"/>
      <c r="O909" s="314"/>
      <c r="P909" s="271" t="n">
        <f aca="false">SUM(N909:O909)</f>
        <v>0</v>
      </c>
      <c r="Q909" s="110" t="str">
        <f aca="false">IF(P844=P909,"〇","×")</f>
        <v>×</v>
      </c>
      <c r="R909" s="110" t="str">
        <f aca="false">IFERROR(INDEX(報告入力!$C$7:$C$696,MATCH($S$847&amp;"|"&amp;$A909,報告入力!$CG$7:$CG$696,0)),"")</f>
        <v>報告なし</v>
      </c>
    </row>
    <row r="910" s="110" customFormat="true" ht="30" hidden="false" customHeight="true" outlineLevel="0" collapsed="false">
      <c r="A910" s="285" t="s">
        <v>385</v>
      </c>
      <c r="B910" s="286" t="n">
        <f aca="false">SUM(+B867+B898+B903+B908+B909)</f>
        <v>196926277</v>
      </c>
      <c r="C910" s="287" t="n">
        <f aca="false">SUM(+C867+C898+C903+C908+C909)</f>
        <v>16148980</v>
      </c>
      <c r="D910" s="286" t="n">
        <f aca="false">SUM(+D867+D898+D903+D908+D909)</f>
        <v>279013125</v>
      </c>
      <c r="E910" s="288" t="n">
        <f aca="false">SUM(+E867+E898+E903+E908+E909)</f>
        <v>16688840</v>
      </c>
      <c r="F910" s="287" t="n">
        <f aca="false">SUM(+F867+F898+F903+F908+F909)</f>
        <v>214324</v>
      </c>
      <c r="G910" s="289" t="n">
        <f aca="false">SUM(B910:F910)</f>
        <v>508991546</v>
      </c>
      <c r="H910" s="290" t="n">
        <f aca="false">SUM(+H867+H898+H903+H908+H909)</f>
        <v>139822185</v>
      </c>
      <c r="I910" s="290" t="n">
        <f aca="false">SUM(+I867+I898+I903+I908+I909)</f>
        <v>145829686</v>
      </c>
      <c r="J910" s="291" t="n">
        <f aca="false">SUM(H910:I910)</f>
        <v>285651871</v>
      </c>
      <c r="K910" s="292" t="n">
        <f aca="false">SUM(+K867+K898+K903+K908+K909)</f>
        <v>12910671</v>
      </c>
      <c r="L910" s="290" t="n">
        <f aca="false">SUM(+L867+L898+L903+L908+L909)</f>
        <v>13720411</v>
      </c>
      <c r="M910" s="291" t="n">
        <f aca="false">SUM(K910:L910)</f>
        <v>26631082</v>
      </c>
      <c r="N910" s="292" t="n">
        <f aca="false">SUM(+N867+N898+N903+N908+N909)</f>
        <v>21</v>
      </c>
      <c r="O910" s="290" t="n">
        <f aca="false">SUM(+O867+O898+O903+O908+O909)</f>
        <v>32</v>
      </c>
      <c r="P910" s="291" t="n">
        <f aca="false">SUM(N910:O910)</f>
        <v>53</v>
      </c>
      <c r="Q910" s="110" t="str">
        <f aca="false">IF(P845=P910,"〇","×")</f>
        <v>×</v>
      </c>
    </row>
    <row r="911" s="316" customFormat="true" ht="39" hidden="false" customHeight="true" outlineLevel="0" collapsed="false">
      <c r="A911" s="315"/>
      <c r="G911" s="84"/>
      <c r="Q911" s="316" t="str">
        <f aca="false">IF(P846=P911,"〇","×")</f>
        <v>〇</v>
      </c>
    </row>
    <row r="912" s="297" customFormat="true" ht="30" hidden="false" customHeight="true" outlineLevel="0" collapsed="false">
      <c r="A912" s="295"/>
      <c r="B912" s="391" t="n">
        <f aca="false">EOMONTH(B782,1)</f>
        <v>46477</v>
      </c>
      <c r="C912" s="391"/>
      <c r="D912" s="391"/>
      <c r="E912" s="391"/>
      <c r="F912" s="391"/>
      <c r="G912" s="391"/>
      <c r="H912" s="87" t="n">
        <f aca="false">B912</f>
        <v>46477</v>
      </c>
      <c r="I912" s="87"/>
      <c r="J912" s="87"/>
      <c r="K912" s="87" t="n">
        <f aca="false">B912</f>
        <v>46477</v>
      </c>
      <c r="L912" s="87"/>
      <c r="M912" s="87"/>
      <c r="N912" s="87" t="n">
        <f aca="false">B912</f>
        <v>46477</v>
      </c>
      <c r="O912" s="87"/>
      <c r="P912" s="87"/>
      <c r="Q912" s="297" t="str">
        <f aca="false">IF(P847=P912,"〇","×")</f>
        <v>〇</v>
      </c>
      <c r="S912" s="297" t="s">
        <v>402</v>
      </c>
    </row>
    <row r="913" customFormat="false" ht="22.5" hidden="false" customHeight="true" outlineLevel="0" collapsed="false">
      <c r="A913" s="89" t="s">
        <v>369</v>
      </c>
      <c r="B913" s="89" t="s">
        <v>370</v>
      </c>
      <c r="C913" s="89"/>
      <c r="D913" s="89"/>
      <c r="E913" s="89"/>
      <c r="F913" s="89"/>
      <c r="G913" s="89"/>
      <c r="H913" s="91" t="s">
        <v>371</v>
      </c>
      <c r="I913" s="91"/>
      <c r="J913" s="91"/>
      <c r="K913" s="91" t="s">
        <v>372</v>
      </c>
      <c r="L913" s="91"/>
      <c r="M913" s="91"/>
      <c r="N913" s="91" t="str">
        <f aca="false">$N$3</f>
        <v>子ども・子育て支援納付金</v>
      </c>
      <c r="O913" s="91"/>
      <c r="P913" s="91"/>
      <c r="Q913" s="80" t="str">
        <f aca="false">IF(P848=P913,"〇","×")</f>
        <v>〇</v>
      </c>
    </row>
    <row r="914" customFormat="false" ht="22.5" hidden="false" customHeight="true" outlineLevel="0" collapsed="false">
      <c r="A914" s="89"/>
      <c r="B914" s="92" t="s">
        <v>373</v>
      </c>
      <c r="C914" s="92"/>
      <c r="D914" s="92" t="s">
        <v>374</v>
      </c>
      <c r="E914" s="92"/>
      <c r="F914" s="92"/>
      <c r="G914" s="92" t="s">
        <v>375</v>
      </c>
      <c r="H914" s="96" t="s">
        <v>376</v>
      </c>
      <c r="I914" s="94" t="s">
        <v>377</v>
      </c>
      <c r="J914" s="95" t="s">
        <v>375</v>
      </c>
      <c r="K914" s="96" t="s">
        <v>376</v>
      </c>
      <c r="L914" s="94" t="s">
        <v>377</v>
      </c>
      <c r="M914" s="95" t="s">
        <v>375</v>
      </c>
      <c r="N914" s="96" t="s">
        <v>376</v>
      </c>
      <c r="O914" s="94" t="s">
        <v>377</v>
      </c>
      <c r="P914" s="95" t="s">
        <v>375</v>
      </c>
      <c r="Q914" s="80" t="str">
        <f aca="false">IF(P849=P914,"〇","×")</f>
        <v>〇</v>
      </c>
    </row>
    <row r="915" customFormat="false" ht="23.25" hidden="false" customHeight="true" outlineLevel="0" collapsed="false">
      <c r="A915" s="89"/>
      <c r="B915" s="97" t="s">
        <v>378</v>
      </c>
      <c r="C915" s="98" t="s">
        <v>379</v>
      </c>
      <c r="D915" s="99" t="s">
        <v>378</v>
      </c>
      <c r="E915" s="99" t="s">
        <v>380</v>
      </c>
      <c r="F915" s="98" t="s">
        <v>85</v>
      </c>
      <c r="G915" s="92"/>
      <c r="H915" s="96"/>
      <c r="I915" s="94"/>
      <c r="J915" s="95"/>
      <c r="K915" s="96"/>
      <c r="L915" s="94"/>
      <c r="M915" s="95"/>
      <c r="N915" s="96"/>
      <c r="O915" s="94"/>
      <c r="P915" s="95"/>
      <c r="Q915" s="80" t="str">
        <f aca="false">IF(P850=P915,"〇","×")</f>
        <v>〇</v>
      </c>
    </row>
    <row r="916" s="110" customFormat="true" ht="20.1" hidden="false" customHeight="true" outlineLevel="0" collapsed="false">
      <c r="A916" s="100" t="s">
        <v>158</v>
      </c>
      <c r="B916" s="360" t="n">
        <f aca="false">SUMIFS(報告入力!$AU$7:$AU$696,報告入力!$A$7:$A$696,$S$912,報告入力!$B$7:$B$696,$A916)</f>
        <v>229019009</v>
      </c>
      <c r="C916" s="361" t="n">
        <f aca="false">SUMIFS(報告入力!$AV$7:$AV$696,報告入力!$A$7:$A$696,$S$912,報告入力!$B$7:$B$696,$A916)</f>
        <v>18776924</v>
      </c>
      <c r="D916" s="362" t="n">
        <f aca="false">SUMIFS(報告入力!$AW$7:$AW$696,報告入力!$A$7:$A$696,$S$912,報告入力!$B$7:$B$696,$A916)</f>
        <v>312323915</v>
      </c>
      <c r="E916" s="362" t="n">
        <f aca="false">SUMIFS(報告入力!$AX$7:$AX$696,報告入力!$A$7:$A$696,$S$912,報告入力!$B$7:$B$696,$A916)</f>
        <v>18303600</v>
      </c>
      <c r="F916" s="363" t="n">
        <f aca="false">SUMIFS(報告入力!$AY$7:$AY$696,報告入力!$A$7:$A$696,$S$912,報告入力!$B$7:$B$696,$A916)</f>
        <v>244502</v>
      </c>
      <c r="G916" s="364" t="n">
        <f aca="false">SUM(B916:F916)</f>
        <v>578667950</v>
      </c>
      <c r="H916" s="365" t="n">
        <f aca="false">SUMIFS(報告入力!$AZ$7:$AZ$696,報告入力!$A$7:$A$696,$S$912,報告入力!$B$7:$B$696,$A916)</f>
        <v>174436457</v>
      </c>
      <c r="I916" s="180" t="n">
        <f aca="false">SUMIFS(報告入力!$BA$7:$BA$696,報告入力!$A$7:$A$696,$S$912,報告入力!$B$7:$B$696,$A916)</f>
        <v>173567692</v>
      </c>
      <c r="J916" s="181" t="n">
        <f aca="false">SUM(H916:I916)</f>
        <v>348004149</v>
      </c>
      <c r="K916" s="262" t="n">
        <f aca="false">SUMIFS(報告入力!$BB$7:$BB$696,報告入力!$A$7:$A$696,$S$912,報告入力!$B$7:$B$696,$A916)</f>
        <v>16256938</v>
      </c>
      <c r="L916" s="180" t="n">
        <f aca="false">SUMIFS(報告入力!$BC$7:$BC$696,報告入力!$A$7:$A$696,$S$912,報告入力!$B$7:$B$696,$A916)</f>
        <v>15821519</v>
      </c>
      <c r="M916" s="181" t="n">
        <f aca="false">SUM(K916:L916)</f>
        <v>32078457</v>
      </c>
      <c r="N916" s="262" t="n">
        <f aca="false">SUMIFS(報告入力!$BD$7:$BD$696,報告入力!$A$7:$A$696,$S$912,報告入力!$B$7:$B$696,$A916)</f>
        <v>1</v>
      </c>
      <c r="O916" s="180" t="n">
        <f aca="false">SUMIFS(報告入力!$BE$7:$BE$696,報告入力!$A$7:$A$696,$S$912,報告入力!$B$7:$B$696,$A916)</f>
        <v>1</v>
      </c>
      <c r="P916" s="181" t="n">
        <f aca="false">SUM(N916:O916)</f>
        <v>2</v>
      </c>
      <c r="Q916" s="110" t="str">
        <f aca="false">IF(P851=P916,"〇","×")</f>
        <v>〇</v>
      </c>
      <c r="R916" s="110" t="str">
        <f aca="false">IFERROR(INDEX(報告入力!$C$7:$C$696,MATCH($S$912&amp;"|"&amp;$A916,報告入力!$CG$7:$CG$696,0)),"")</f>
        <v>未受領</v>
      </c>
    </row>
    <row r="917" s="110" customFormat="true" ht="20.1" hidden="false" customHeight="true" outlineLevel="0" collapsed="false">
      <c r="A917" s="100" t="s">
        <v>161</v>
      </c>
      <c r="B917" s="178" t="n">
        <f aca="false">SUMIFS(報告入力!$AU$7:$AU$696,報告入力!$A$7:$A$696,$S$912,報告入力!$B$7:$B$696,$A917)</f>
        <v>16431570</v>
      </c>
      <c r="C917" s="179" t="n">
        <f aca="false">SUMIFS(報告入力!$AV$7:$AV$696,報告入力!$A$7:$A$696,$S$912,報告入力!$B$7:$B$696,$A917)</f>
        <v>1346850</v>
      </c>
      <c r="D917" s="362" t="n">
        <f aca="false">SUMIFS(報告入力!$AW$7:$AW$696,報告入力!$A$7:$A$696,$S$912,報告入力!$B$7:$B$696,$A917)</f>
        <v>22525841</v>
      </c>
      <c r="E917" s="362" t="n">
        <f aca="false">SUMIFS(報告入力!$AX$7:$AX$696,報告入力!$A$7:$A$696,$S$912,報告入力!$B$7:$B$696,$A917)</f>
        <v>1349925</v>
      </c>
      <c r="F917" s="212" t="n">
        <f aca="false">SUMIFS(報告入力!$AY$7:$AY$696,報告入力!$A$7:$A$696,$S$912,報告入力!$B$7:$B$696,$A917)</f>
        <v>17275</v>
      </c>
      <c r="G917" s="181" t="n">
        <f aca="false">SUM(B917:F917)</f>
        <v>41671461</v>
      </c>
      <c r="H917" s="182" t="n">
        <f aca="false">SUMIFS(報告入力!$AZ$7:$AZ$696,報告入力!$A$7:$A$696,$S$912,報告入力!$B$7:$B$696,$A917)</f>
        <v>10306925</v>
      </c>
      <c r="I917" s="183" t="n">
        <f aca="false">SUMIFS(報告入力!$BA$7:$BA$696,報告入力!$A$7:$A$696,$S$912,報告入力!$B$7:$B$696,$A917)</f>
        <v>10465632</v>
      </c>
      <c r="J917" s="135" t="n">
        <f aca="false">SUM(H917:I917)</f>
        <v>20772557</v>
      </c>
      <c r="K917" s="215" t="n">
        <f aca="false">SUMIFS(報告入力!$BB$7:$BB$696,報告入力!$A$7:$A$696,$S$912,報告入力!$B$7:$B$696,$A917)</f>
        <v>1094702</v>
      </c>
      <c r="L917" s="213" t="n">
        <f aca="false">SUMIFS(報告入力!$BC$7:$BC$696,報告入力!$A$7:$A$696,$S$912,報告入力!$B$7:$B$696,$A917)</f>
        <v>1094703</v>
      </c>
      <c r="M917" s="135" t="n">
        <f aca="false">SUM(K917:L917)</f>
        <v>2189405</v>
      </c>
      <c r="N917" s="215" t="n">
        <f aca="false">SUMIFS(報告入力!$BD$7:$BD$696,報告入力!$A$7:$A$696,$S$912,報告入力!$B$7:$B$696,$A917)</f>
        <v>1</v>
      </c>
      <c r="O917" s="213" t="n">
        <f aca="false">SUMIFS(報告入力!$BE$7:$BE$696,報告入力!$A$7:$A$696,$S$912,報告入力!$B$7:$B$696,$A917)</f>
        <v>1</v>
      </c>
      <c r="P917" s="135" t="n">
        <f aca="false">SUM(N917:O917)</f>
        <v>2</v>
      </c>
      <c r="Q917" s="110" t="str">
        <f aca="false">IF(P852=P917,"〇","×")</f>
        <v>〇</v>
      </c>
      <c r="R917" s="110" t="str">
        <f aca="false">IFERROR(INDEX(報告入力!$C$7:$C$696,MATCH($S$912&amp;"|"&amp;$A917,報告入力!$CG$7:$CG$696,0)),"")</f>
        <v>未受領</v>
      </c>
    </row>
    <row r="918" s="110" customFormat="true" ht="20.1" hidden="false" customHeight="true" outlineLevel="0" collapsed="false">
      <c r="A918" s="100" t="s">
        <v>162</v>
      </c>
      <c r="B918" s="178" t="n">
        <f aca="false">SUMIFS(報告入力!$AU$7:$AU$696,報告入力!$A$7:$A$696,$S$912,報告入力!$B$7:$B$696,$A918)</f>
        <v>53656515</v>
      </c>
      <c r="C918" s="179" t="n">
        <f aca="false">SUMIFS(報告入力!$AV$7:$AV$696,報告入力!$A$7:$A$696,$S$912,報告入力!$B$7:$B$696,$A918)</f>
        <v>4398075</v>
      </c>
      <c r="D918" s="362" t="n">
        <f aca="false">SUMIFS(報告入力!$AW$7:$AW$696,報告入力!$A$7:$A$696,$S$912,報告入力!$B$7:$B$696,$A918)</f>
        <v>73333111</v>
      </c>
      <c r="E918" s="362" t="n">
        <f aca="false">SUMIFS(報告入力!$AX$7:$AX$696,報告入力!$A$7:$A$696,$S$912,報告入力!$B$7:$B$696,$A918)</f>
        <v>4391175</v>
      </c>
      <c r="F918" s="212" t="n">
        <f aca="false">SUMIFS(報告入力!$AY$7:$AY$696,報告入力!$A$7:$A$696,$S$912,報告入力!$B$7:$B$696,$A918)</f>
        <v>56160</v>
      </c>
      <c r="G918" s="181" t="n">
        <f aca="false">SUM(B918:F918)</f>
        <v>135835036</v>
      </c>
      <c r="H918" s="213" t="n">
        <f aca="false">SUMIFS(報告入力!$AZ$7:$AZ$696,報告入力!$A$7:$A$696,$S$912,報告入力!$B$7:$B$696,$A918)</f>
        <v>32948502</v>
      </c>
      <c r="I918" s="182" t="n">
        <f aca="false">SUMIFS(報告入力!$BA$7:$BA$696,報告入力!$A$7:$A$696,$S$912,報告入力!$B$7:$B$696,$A918)</f>
        <v>33405805</v>
      </c>
      <c r="J918" s="135" t="n">
        <f aca="false">SUM(H918:I918)</f>
        <v>66354307</v>
      </c>
      <c r="K918" s="215" t="n">
        <f aca="false">SUMIFS(報告入力!$BB$7:$BB$696,報告入力!$A$7:$A$696,$S$912,報告入力!$B$7:$B$696,$A918)</f>
        <v>2138433</v>
      </c>
      <c r="L918" s="182" t="n">
        <f aca="false">SUMIFS(報告入力!$BC$7:$BC$696,報告入力!$A$7:$A$696,$S$912,報告入力!$B$7:$B$696,$A918)</f>
        <v>2131382</v>
      </c>
      <c r="M918" s="135" t="n">
        <f aca="false">SUM(K918:L918)</f>
        <v>4269815</v>
      </c>
      <c r="N918" s="215" t="n">
        <f aca="false">SUMIFS(報告入力!$BD$7:$BD$696,報告入力!$A$7:$A$696,$S$912,報告入力!$B$7:$B$696,$A918)</f>
        <v>1</v>
      </c>
      <c r="O918" s="182" t="n">
        <f aca="false">SUMIFS(報告入力!$BE$7:$BE$696,報告入力!$A$7:$A$696,$S$912,報告入力!$B$7:$B$696,$A918)</f>
        <v>1</v>
      </c>
      <c r="P918" s="135" t="n">
        <f aca="false">SUM(N918:O918)</f>
        <v>2</v>
      </c>
      <c r="Q918" s="110" t="str">
        <f aca="false">IF(P853=P918,"〇","×")</f>
        <v>〇</v>
      </c>
      <c r="R918" s="110" t="str">
        <f aca="false">IFERROR(INDEX(報告入力!$C$7:$C$696,MATCH($S$912&amp;"|"&amp;$A918,報告入力!$CG$7:$CG$696,0)),"")</f>
        <v>未受領</v>
      </c>
    </row>
    <row r="919" s="110" customFormat="true" ht="20.1" hidden="false" customHeight="true" outlineLevel="0" collapsed="false">
      <c r="A919" s="100" t="s">
        <v>163</v>
      </c>
      <c r="B919" s="178" t="n">
        <f aca="false">SUMIFS(報告入力!$AU$7:$AU$696,報告入力!$A$7:$A$696,$S$912,報告入力!$B$7:$B$696,$A919)</f>
        <v>1737585</v>
      </c>
      <c r="C919" s="179" t="n">
        <f aca="false">SUMIFS(報告入力!$AV$7:$AV$696,報告入力!$A$7:$A$696,$S$912,報告入力!$B$7:$B$696,$A919)</f>
        <v>142425</v>
      </c>
      <c r="D919" s="362" t="n">
        <f aca="false">SUMIFS(報告入力!$AW$7:$AW$696,報告入力!$A$7:$A$696,$S$912,報告入力!$B$7:$B$696,$A919)</f>
        <v>2379867</v>
      </c>
      <c r="E919" s="362" t="n">
        <f aca="false">SUMIFS(報告入力!$AX$7:$AX$696,報告入力!$A$7:$A$696,$S$912,報告入力!$B$7:$B$696,$A919)</f>
        <v>142425</v>
      </c>
      <c r="F919" s="212" t="n">
        <f aca="false">SUMIFS(報告入力!$AY$7:$AY$696,報告入力!$A$7:$A$696,$S$912,報告入力!$B$7:$B$696,$A919)</f>
        <v>1832</v>
      </c>
      <c r="G919" s="181" t="n">
        <f aca="false">SUM(B919:F919)</f>
        <v>4404134</v>
      </c>
      <c r="H919" s="362" t="n">
        <f aca="false">SUMIFS(報告入力!$AZ$7:$AZ$696,報告入力!$A$7:$A$696,$S$912,報告入力!$B$7:$B$696,$A919)</f>
        <v>1054526</v>
      </c>
      <c r="I919" s="182" t="n">
        <f aca="false">SUMIFS(報告入力!$BA$7:$BA$696,報告入力!$A$7:$A$696,$S$912,報告入力!$B$7:$B$696,$A919)</f>
        <v>1078329</v>
      </c>
      <c r="J919" s="135" t="n">
        <f aca="false">SUM(H919:I919)</f>
        <v>2132855</v>
      </c>
      <c r="K919" s="178" t="n">
        <f aca="false">SUMIFS(報告入力!$BB$7:$BB$696,報告入力!$A$7:$A$696,$S$912,報告入力!$B$7:$B$696,$A919)</f>
        <v>107940</v>
      </c>
      <c r="L919" s="182" t="n">
        <f aca="false">SUMIFS(報告入力!$BC$7:$BC$696,報告入力!$A$7:$A$696,$S$912,報告入力!$B$7:$B$696,$A919)</f>
        <v>109065</v>
      </c>
      <c r="M919" s="135" t="n">
        <f aca="false">SUM(K919:L919)</f>
        <v>217005</v>
      </c>
      <c r="N919" s="178" t="n">
        <f aca="false">SUMIFS(報告入力!$BD$7:$BD$696,報告入力!$A$7:$A$696,$S$912,報告入力!$B$7:$B$696,$A919)</f>
        <v>1</v>
      </c>
      <c r="O919" s="182" t="n">
        <f aca="false">SUMIFS(報告入力!$BE$7:$BE$696,報告入力!$A$7:$A$696,$S$912,報告入力!$B$7:$B$696,$A919)</f>
        <v>1</v>
      </c>
      <c r="P919" s="135" t="n">
        <f aca="false">SUM(N919:O919)</f>
        <v>2</v>
      </c>
      <c r="Q919" s="110" t="str">
        <f aca="false">IF(P854=P919,"〇","×")</f>
        <v>〇</v>
      </c>
      <c r="R919" s="110" t="str">
        <f aca="false">IFERROR(INDEX(報告入力!$C$7:$C$696,MATCH($S$912&amp;"|"&amp;$A919,報告入力!$CG$7:$CG$696,0)),"")</f>
        <v>未受領</v>
      </c>
    </row>
    <row r="920" s="110" customFormat="true" ht="20.1" hidden="false" customHeight="true" outlineLevel="0" collapsed="false">
      <c r="A920" s="100" t="s">
        <v>164</v>
      </c>
      <c r="B920" s="178" t="n">
        <f aca="false">SUMIFS(報告入力!$AU$7:$AU$696,報告入力!$A$7:$A$696,$S$912,報告入力!$B$7:$B$696,$A920)</f>
        <v>24148223</v>
      </c>
      <c r="C920" s="179" t="n">
        <f aca="false">SUMIFS(報告入力!$AV$7:$AV$696,報告入力!$A$7:$A$696,$S$912,報告入力!$B$7:$B$696,$A920)</f>
        <v>1979363</v>
      </c>
      <c r="D920" s="362" t="n">
        <f aca="false">SUMIFS(報告入力!$AW$7:$AW$696,報告入力!$A$7:$A$696,$S$912,報告入力!$B$7:$B$696,$A920)</f>
        <v>33143343</v>
      </c>
      <c r="E920" s="362" t="n">
        <f aca="false">SUMIFS(報告入力!$AX$7:$AX$696,報告入力!$A$7:$A$696,$S$912,報告入力!$B$7:$B$696,$A920)</f>
        <v>1979362</v>
      </c>
      <c r="F920" s="212" t="n">
        <f aca="false">SUMIFS(報告入力!$AY$7:$AY$696,報告入力!$A$7:$A$696,$S$912,報告入力!$B$7:$B$696,$A920)</f>
        <v>25661</v>
      </c>
      <c r="G920" s="181" t="n">
        <f aca="false">SUM(B920:F920)</f>
        <v>61275952</v>
      </c>
      <c r="H920" s="362" t="n">
        <f aca="false">SUMIFS(報告入力!$AZ$7:$AZ$696,報告入力!$A$7:$A$696,$S$912,報告入力!$B$7:$B$696,$A920)</f>
        <v>23803207</v>
      </c>
      <c r="I920" s="182" t="n">
        <f aca="false">SUMIFS(報告入力!$BA$7:$BA$696,報告入力!$A$7:$A$696,$S$912,報告入力!$B$7:$B$696,$A920)</f>
        <v>24156609</v>
      </c>
      <c r="J920" s="424" t="n">
        <f aca="false">SUM(H920:I920)</f>
        <v>47959816</v>
      </c>
      <c r="K920" s="214" t="n">
        <f aca="false">SUMIFS(報告入力!$BB$7:$BB$696,報告入力!$A$7:$A$696,$S$912,報告入力!$B$7:$B$696,$A920)</f>
        <v>2770706</v>
      </c>
      <c r="L920" s="214" t="n">
        <f aca="false">SUMIFS(報告入力!$BC$7:$BC$696,報告入力!$A$7:$A$696,$S$912,報告入力!$B$7:$B$696,$A920)</f>
        <v>2768555</v>
      </c>
      <c r="M920" s="135" t="n">
        <f aca="false">SUM(K920:L920)</f>
        <v>5539261</v>
      </c>
      <c r="N920" s="214" t="n">
        <f aca="false">SUMIFS(報告入力!$BD$7:$BD$696,報告入力!$A$7:$A$696,$S$912,報告入力!$B$7:$B$696,$A920)</f>
        <v>1</v>
      </c>
      <c r="O920" s="214" t="n">
        <f aca="false">SUMIFS(報告入力!$BE$7:$BE$696,報告入力!$A$7:$A$696,$S$912,報告入力!$B$7:$B$696,$A920)</f>
        <v>1</v>
      </c>
      <c r="P920" s="135" t="n">
        <f aca="false">SUM(N920:O920)</f>
        <v>2</v>
      </c>
      <c r="Q920" s="110" t="str">
        <f aca="false">IF(P855=P920,"〇","×")</f>
        <v>〇</v>
      </c>
      <c r="R920" s="110" t="str">
        <f aca="false">IFERROR(INDEX(報告入力!$C$7:$C$696,MATCH($S$912&amp;"|"&amp;$A920,報告入力!$CG$7:$CG$696,0)),"")</f>
        <v>未受領</v>
      </c>
    </row>
    <row r="921" s="110" customFormat="true" ht="20.1" hidden="false" customHeight="true" outlineLevel="0" collapsed="false">
      <c r="A921" s="100" t="s">
        <v>165</v>
      </c>
      <c r="B921" s="215" t="n">
        <f aca="false">SUMIFS(報告入力!$AU$7:$AU$696,報告入力!$A$7:$A$696,$S$912,報告入力!$B$7:$B$696,$A921)</f>
        <v>285480</v>
      </c>
      <c r="C921" s="368" t="n">
        <f aca="false">SUMIFS(報告入力!$AV$7:$AV$696,報告入力!$A$7:$A$696,$S$912,報告入力!$B$7:$B$696,$A921)</f>
        <v>23400</v>
      </c>
      <c r="D921" s="215" t="n">
        <f aca="false">SUMIFS(報告入力!$AW$7:$AW$696,報告入力!$A$7:$A$696,$S$912,報告入力!$B$7:$B$696,$A921)</f>
        <v>389688</v>
      </c>
      <c r="E921" s="213" t="n">
        <f aca="false">SUMIFS(報告入力!$AX$7:$AX$696,報告入力!$A$7:$A$696,$S$912,報告入力!$B$7:$B$696,$A921)</f>
        <v>23400</v>
      </c>
      <c r="F921" s="368" t="n">
        <f aca="false">SUMIFS(報告入力!$AY$7:$AY$696,報告入力!$A$7:$A$696,$S$912,報告入力!$B$7:$B$696,$A921)</f>
        <v>297</v>
      </c>
      <c r="G921" s="181" t="n">
        <f aca="false">SUM(B921:F921)</f>
        <v>722265</v>
      </c>
      <c r="H921" s="182" t="n">
        <f aca="false">SUMIFS(報告入力!$AZ$7:$AZ$696,報告入力!$A$7:$A$696,$S$912,報告入力!$B$7:$B$696,$A921)</f>
        <v>179879</v>
      </c>
      <c r="I921" s="183" t="n">
        <f aca="false">SUMIFS(報告入力!$BA$7:$BA$696,報告入力!$A$7:$A$696,$S$912,報告入力!$B$7:$B$696,$A921)</f>
        <v>182629</v>
      </c>
      <c r="J921" s="135" t="n">
        <f aca="false">SUM(H921:I921)</f>
        <v>362508</v>
      </c>
      <c r="K921" s="182" t="n">
        <f aca="false">SUMIFS(報告入力!$BB$7:$BB$696,報告入力!$A$7:$A$696,$S$912,報告入力!$B$7:$B$696,$A921)</f>
        <v>20580</v>
      </c>
      <c r="L921" s="183" t="n">
        <f aca="false">SUMIFS(報告入力!$BC$7:$BC$696,報告入力!$A$7:$A$696,$S$912,報告入力!$B$7:$B$696,$A921)</f>
        <v>20580</v>
      </c>
      <c r="M921" s="135" t="n">
        <f aca="false">SUM(K921:L921)</f>
        <v>41160</v>
      </c>
      <c r="N921" s="182" t="n">
        <f aca="false">SUMIFS(報告入力!$BD$7:$BD$696,報告入力!$A$7:$A$696,$S$912,報告入力!$B$7:$B$696,$A921)</f>
        <v>1</v>
      </c>
      <c r="O921" s="183" t="n">
        <f aca="false">SUMIFS(報告入力!$BE$7:$BE$696,報告入力!$A$7:$A$696,$S$912,報告入力!$B$7:$B$696,$A921)</f>
        <v>1</v>
      </c>
      <c r="P921" s="135" t="n">
        <f aca="false">SUM(N921:O921)</f>
        <v>2</v>
      </c>
      <c r="Q921" s="110" t="str">
        <f aca="false">IF(P856=P921,"〇","×")</f>
        <v>〇</v>
      </c>
      <c r="R921" s="110" t="str">
        <f aca="false">IFERROR(INDEX(報告入力!$C$7:$C$696,MATCH($S$912&amp;"|"&amp;$A921,報告入力!$CG$7:$CG$696,0)),"")</f>
        <v>未受領</v>
      </c>
    </row>
    <row r="922" s="110" customFormat="true" ht="20.1" hidden="false" customHeight="true" outlineLevel="0" collapsed="false">
      <c r="A922" s="100" t="s">
        <v>166</v>
      </c>
      <c r="B922" s="178" t="n">
        <f aca="false">SUMIFS(報告入力!$AU$7:$AU$696,報告入力!$A$7:$A$696,$S$912,報告入力!$B$7:$B$696,$A922)</f>
        <v>581025</v>
      </c>
      <c r="C922" s="179" t="n">
        <f aca="false">SUMIFS(報告入力!$AV$7:$AV$696,報告入力!$A$7:$A$696,$S$912,報告入力!$B$7:$B$696,$A922)</f>
        <v>47625</v>
      </c>
      <c r="D922" s="362" t="n">
        <f aca="false">SUMIFS(報告入力!$AW$7:$AW$696,報告入力!$A$7:$A$696,$S$912,報告入力!$B$7:$B$696,$A922)</f>
        <v>844550</v>
      </c>
      <c r="E922" s="362" t="n">
        <f aca="false">SUMIFS(報告入力!$AX$7:$AX$696,報告入力!$A$7:$A$696,$S$912,報告入力!$B$7:$B$696,$A922)</f>
        <v>47625</v>
      </c>
      <c r="F922" s="212" t="n">
        <f aca="false">SUMIFS(報告入力!$AY$7:$AY$696,報告入力!$A$7:$A$696,$S$912,報告入力!$B$7:$B$696,$A922)</f>
        <v>596</v>
      </c>
      <c r="G922" s="366" t="n">
        <f aca="false">SUM(B922:F922)</f>
        <v>1521421</v>
      </c>
      <c r="H922" s="182" t="n">
        <f aca="false">SUMIFS(報告入力!$AZ$7:$AZ$696,報告入力!$A$7:$A$696,$S$912,報告入力!$B$7:$B$696,$A922)</f>
        <v>354809</v>
      </c>
      <c r="I922" s="183" t="n">
        <f aca="false">SUMIFS(報告入力!$BA$7:$BA$696,報告入力!$A$7:$A$696,$S$912,報告入力!$B$7:$B$696,$A922)</f>
        <v>361071</v>
      </c>
      <c r="J922" s="135" t="n">
        <f aca="false">SUM(H922:I922)</f>
        <v>715880</v>
      </c>
      <c r="K922" s="262" t="n">
        <f aca="false">SUMIFS(報告入力!$BB$7:$BB$696,報告入力!$A$7:$A$696,$S$912,報告入力!$B$7:$B$696,$A922)</f>
        <v>32943</v>
      </c>
      <c r="L922" s="183" t="n">
        <f aca="false">SUMIFS(報告入力!$BC$7:$BC$696,報告入力!$A$7:$A$696,$S$912,報告入力!$B$7:$B$696,$A922)</f>
        <v>32943</v>
      </c>
      <c r="M922" s="135" t="n">
        <f aca="false">SUM(K922:L922)</f>
        <v>65886</v>
      </c>
      <c r="N922" s="262" t="n">
        <f aca="false">SUMIFS(報告入力!$BD$7:$BD$696,報告入力!$A$7:$A$696,$S$912,報告入力!$B$7:$B$696,$A922)</f>
        <v>1</v>
      </c>
      <c r="O922" s="183" t="n">
        <f aca="false">SUMIFS(報告入力!$BE$7:$BE$696,報告入力!$A$7:$A$696,$S$912,報告入力!$B$7:$B$696,$A922)</f>
        <v>1</v>
      </c>
      <c r="P922" s="135" t="n">
        <f aca="false">SUM(N922:O922)</f>
        <v>2</v>
      </c>
      <c r="Q922" s="110" t="str">
        <f aca="false">IF(P857=P922,"〇","×")</f>
        <v>〇</v>
      </c>
      <c r="R922" s="110" t="str">
        <f aca="false">IFERROR(INDEX(報告入力!$C$7:$C$696,MATCH($S$912&amp;"|"&amp;$A922,報告入力!$CG$7:$CG$696,0)),"")</f>
        <v>未受領</v>
      </c>
    </row>
    <row r="923" s="110" customFormat="true" ht="20.1" hidden="false" customHeight="true" outlineLevel="0" collapsed="false">
      <c r="A923" s="100" t="s">
        <v>167</v>
      </c>
      <c r="B923" s="178" t="n">
        <f aca="false">SUMIFS(報告入力!$AU$7:$AU$696,報告入力!$A$7:$A$696,$S$912,報告入力!$B$7:$B$696,$A923)</f>
        <v>1271850</v>
      </c>
      <c r="C923" s="179" t="n">
        <f aca="false">SUMIFS(報告入力!$AV$7:$AV$696,報告入力!$A$7:$A$696,$S$912,報告入力!$B$7:$B$696,$A923)</f>
        <v>104250</v>
      </c>
      <c r="D923" s="362" t="n">
        <f aca="false">SUMIFS(報告入力!$AW$7:$AW$696,報告入力!$A$7:$A$696,$S$912,報告入力!$B$7:$B$696,$A923)</f>
        <v>1745462</v>
      </c>
      <c r="E923" s="362" t="n">
        <f aca="false">SUMIFS(報告入力!$AX$7:$AX$696,報告入力!$A$7:$A$696,$S$912,報告入力!$B$7:$B$696,$A923)</f>
        <v>104250</v>
      </c>
      <c r="F923" s="212" t="n">
        <f aca="false">SUMIFS(報告入力!$AY$7:$AY$696,報告入力!$A$7:$A$696,$S$912,報告入力!$B$7:$B$696,$A923)</f>
        <v>1350</v>
      </c>
      <c r="G923" s="181" t="n">
        <f aca="false">SUM(B923:F923)</f>
        <v>3227162</v>
      </c>
      <c r="H923" s="182" t="n">
        <f aca="false">SUMIFS(報告入力!$AZ$7:$AZ$696,報告入力!$A$7:$A$696,$S$912,報告入力!$B$7:$B$696,$A923)</f>
        <v>785639</v>
      </c>
      <c r="I923" s="183" t="n">
        <f aca="false">SUMIFS(報告入力!$BA$7:$BA$696,報告入力!$A$7:$A$696,$S$912,報告入力!$B$7:$B$696,$A923)</f>
        <v>797884</v>
      </c>
      <c r="J923" s="135" t="n">
        <f aca="false">SUM(H923:I923)</f>
        <v>1583523</v>
      </c>
      <c r="K923" s="262" t="n">
        <f aca="false">SUMIFS(報告入力!$BB$7:$BB$696,報告入力!$A$7:$A$696,$S$912,報告入力!$B$7:$B$696,$A923)</f>
        <v>110812</v>
      </c>
      <c r="L923" s="183" t="n">
        <f aca="false">SUMIFS(報告入力!$BC$7:$BC$696,報告入力!$A$7:$A$696,$S$912,報告入力!$B$7:$B$696,$A923)</f>
        <v>110812</v>
      </c>
      <c r="M923" s="135" t="n">
        <f aca="false">SUM(K923:L923)</f>
        <v>221624</v>
      </c>
      <c r="N923" s="262" t="n">
        <f aca="false">SUMIFS(報告入力!$BD$7:$BD$696,報告入力!$A$7:$A$696,$S$912,報告入力!$B$7:$B$696,$A923)</f>
        <v>1</v>
      </c>
      <c r="O923" s="183" t="n">
        <f aca="false">SUMIFS(報告入力!$BE$7:$BE$696,報告入力!$A$7:$A$696,$S$912,報告入力!$B$7:$B$696,$A923)</f>
        <v>1</v>
      </c>
      <c r="P923" s="135" t="n">
        <f aca="false">SUM(N923:O923)</f>
        <v>2</v>
      </c>
      <c r="Q923" s="110" t="str">
        <f aca="false">IF(P858=P923,"〇","×")</f>
        <v>〇</v>
      </c>
      <c r="R923" s="110" t="str">
        <f aca="false">IFERROR(INDEX(報告入力!$C$7:$C$696,MATCH($S$912&amp;"|"&amp;$A923,報告入力!$CG$7:$CG$696,0)),"")</f>
        <v>未受領</v>
      </c>
    </row>
    <row r="924" s="110" customFormat="true" ht="20.1" hidden="false" customHeight="true" outlineLevel="0" collapsed="false">
      <c r="A924" s="100" t="s">
        <v>168</v>
      </c>
      <c r="B924" s="215" t="n">
        <f aca="false">SUMIFS(報告入力!$AU$7:$AU$696,報告入力!$A$7:$A$696,$S$912,報告入力!$B$7:$B$696,$A924)</f>
        <v>409920</v>
      </c>
      <c r="C924" s="368" t="n">
        <f aca="false">SUMIFS(報告入力!$AV$7:$AV$696,報告入力!$A$7:$A$696,$S$912,報告入力!$B$7:$B$696,$A924)</f>
        <v>33600</v>
      </c>
      <c r="D924" s="215" t="n">
        <f aca="false">SUMIFS(報告入力!$AW$7:$AW$696,報告入力!$A$7:$A$696,$S$912,報告入力!$B$7:$B$696,$A924)</f>
        <v>595840</v>
      </c>
      <c r="E924" s="213" t="n">
        <f aca="false">SUMIFS(報告入力!$AX$7:$AX$696,報告入力!$A$7:$A$696,$S$912,報告入力!$B$7:$B$696,$A924)</f>
        <v>33600</v>
      </c>
      <c r="F924" s="368" t="n">
        <f aca="false">SUMIFS(報告入力!$AY$7:$AY$696,報告入力!$A$7:$A$696,$S$912,報告入力!$B$7:$B$696,$A924)</f>
        <v>420</v>
      </c>
      <c r="G924" s="181" t="n">
        <f aca="false">SUM(B924:F924)</f>
        <v>1073380</v>
      </c>
      <c r="H924" s="182" t="n">
        <f aca="false">SUMIFS(報告入力!$AZ$7:$AZ$696,報告入力!$A$7:$A$696,$S$912,報告入力!$B$7:$B$696,$A924)</f>
        <v>325433</v>
      </c>
      <c r="I924" s="183" t="n">
        <f aca="false">SUMIFS(報告入力!$BA$7:$BA$696,報告入力!$A$7:$A$696,$S$912,報告入力!$B$7:$B$696,$A924)</f>
        <v>331176</v>
      </c>
      <c r="J924" s="135" t="n">
        <f aca="false">SUM(H924:I924)</f>
        <v>656609</v>
      </c>
      <c r="K924" s="182" t="n">
        <f aca="false">SUMIFS(報告入力!$BB$7:$BB$696,報告入力!$A$7:$A$696,$S$912,報告入力!$B$7:$B$696,$A924)</f>
        <v>35042</v>
      </c>
      <c r="L924" s="183" t="n">
        <f aca="false">SUMIFS(報告入力!$BC$7:$BC$696,報告入力!$A$7:$A$696,$S$912,報告入力!$B$7:$B$696,$A924)</f>
        <v>35044</v>
      </c>
      <c r="M924" s="135" t="n">
        <f aca="false">SUM(K924:L924)</f>
        <v>70086</v>
      </c>
      <c r="N924" s="182" t="n">
        <f aca="false">SUMIFS(報告入力!$BD$7:$BD$696,報告入力!$A$7:$A$696,$S$912,報告入力!$B$7:$B$696,$A924)</f>
        <v>1</v>
      </c>
      <c r="O924" s="183" t="n">
        <f aca="false">SUMIFS(報告入力!$BE$7:$BE$696,報告入力!$A$7:$A$696,$S$912,報告入力!$B$7:$B$696,$A924)</f>
        <v>1</v>
      </c>
      <c r="P924" s="135" t="n">
        <f aca="false">SUM(N924:O924)</f>
        <v>2</v>
      </c>
      <c r="Q924" s="110" t="str">
        <f aca="false">IF(P859=P924,"〇","×")</f>
        <v>〇</v>
      </c>
      <c r="R924" s="110" t="str">
        <f aca="false">IFERROR(INDEX(報告入力!$C$7:$C$696,MATCH($S$912&amp;"|"&amp;$A924,報告入力!$CG$7:$CG$696,0)),"")</f>
        <v>未受領</v>
      </c>
    </row>
    <row r="925" s="110" customFormat="true" ht="20.1" hidden="false" customHeight="true" outlineLevel="0" collapsed="false">
      <c r="A925" s="100" t="s">
        <v>169</v>
      </c>
      <c r="B925" s="178" t="n">
        <f aca="false">SUMIFS(報告入力!$AU$7:$AU$696,報告入力!$A$7:$A$696,$S$912,報告入力!$B$7:$B$696,$A925)</f>
        <v>22444035</v>
      </c>
      <c r="C925" s="179" t="n">
        <f aca="false">SUMIFS(報告入力!$AV$7:$AV$696,報告入力!$A$7:$A$696,$S$912,報告入力!$B$7:$B$696,$A925)</f>
        <v>1839675</v>
      </c>
      <c r="D925" s="362" t="n">
        <f aca="false">SUMIFS(報告入力!$AW$7:$AW$696,報告入力!$A$7:$A$696,$S$912,報告入力!$B$7:$B$696,$A925)</f>
        <v>30701851</v>
      </c>
      <c r="E925" s="362" t="n">
        <f aca="false">SUMIFS(報告入力!$AX$7:$AX$696,報告入力!$A$7:$A$696,$S$912,報告入力!$B$7:$B$696,$A925)</f>
        <v>1839675</v>
      </c>
      <c r="F925" s="212" t="n">
        <f aca="false">SUMIFS(報告入力!$AY$7:$AY$696,報告入力!$A$7:$A$696,$S$912,報告入力!$B$7:$B$696,$A925)</f>
        <v>23557</v>
      </c>
      <c r="G925" s="181" t="n">
        <f aca="false">SUM(B925:F925)</f>
        <v>56848793</v>
      </c>
      <c r="H925" s="182" t="n">
        <f aca="false">SUMIFS(報告入力!$AZ$7:$AZ$696,報告入力!$A$7:$A$696,$S$912,報告入力!$B$7:$B$696,$A925)</f>
        <v>14184190</v>
      </c>
      <c r="I925" s="183" t="n">
        <f aca="false">SUMIFS(報告入力!$BA$7:$BA$696,報告入力!$A$7:$A$696,$S$912,報告入力!$B$7:$B$696,$A925)</f>
        <v>14402671</v>
      </c>
      <c r="J925" s="135" t="n">
        <f aca="false">SUM(H925:I925)</f>
        <v>28586861</v>
      </c>
      <c r="K925" s="262" t="n">
        <f aca="false">SUMIFS(報告入力!$BB$7:$BB$696,報告入力!$A$7:$A$696,$S$912,報告入力!$B$7:$B$696,$A925)</f>
        <v>1454376</v>
      </c>
      <c r="L925" s="183" t="n">
        <f aca="false">SUMIFS(報告入力!$BC$7:$BC$696,報告入力!$A$7:$A$696,$S$912,報告入力!$B$7:$B$696,$A925)</f>
        <v>1454376</v>
      </c>
      <c r="M925" s="135" t="n">
        <f aca="false">SUM(K925:L925)</f>
        <v>2908752</v>
      </c>
      <c r="N925" s="262" t="n">
        <f aca="false">SUMIFS(報告入力!$BD$7:$BD$696,報告入力!$A$7:$A$696,$S$912,報告入力!$B$7:$B$696,$A925)</f>
        <v>1</v>
      </c>
      <c r="O925" s="183" t="n">
        <f aca="false">SUMIFS(報告入力!$BE$7:$BE$696,報告入力!$A$7:$A$696,$S$912,報告入力!$B$7:$B$696,$A925)</f>
        <v>1</v>
      </c>
      <c r="P925" s="135" t="n">
        <f aca="false">SUM(N925:O925)</f>
        <v>2</v>
      </c>
      <c r="Q925" s="110" t="str">
        <f aca="false">IF(P860=P925,"〇","×")</f>
        <v>〇</v>
      </c>
      <c r="R925" s="110" t="str">
        <f aca="false">IFERROR(INDEX(報告入力!$C$7:$C$696,MATCH($S$912&amp;"|"&amp;$A925,報告入力!$CG$7:$CG$696,0)),"")</f>
        <v>未受領</v>
      </c>
    </row>
    <row r="926" s="110" customFormat="true" ht="19.5" hidden="false" customHeight="true" outlineLevel="0" collapsed="false">
      <c r="A926" s="121" t="s">
        <v>381</v>
      </c>
      <c r="B926" s="215" t="n">
        <f aca="false">SUMIFS(報告入力!$AU$7:$AU$696,報告入力!$A$7:$A$696,$S$912,報告入力!$B$7:$B$696,$A926)</f>
        <v>48495</v>
      </c>
      <c r="C926" s="368" t="n">
        <f aca="false">SUMIFS(報告入力!$AV$7:$AV$696,報告入力!$A$7:$A$696,$S$912,報告入力!$B$7:$B$696,$A926)</f>
        <v>3975</v>
      </c>
      <c r="D926" s="215" t="n">
        <f aca="false">SUMIFS(報告入力!$AW$7:$AW$696,報告入力!$A$7:$A$696,$S$912,報告入力!$B$7:$B$696,$A926)</f>
        <v>70490</v>
      </c>
      <c r="E926" s="213" t="n">
        <f aca="false">SUMIFS(報告入力!$AX$7:$AX$696,報告入力!$A$7:$A$696,$S$912,報告入力!$B$7:$B$696,$A926)</f>
        <v>3975</v>
      </c>
      <c r="F926" s="368" t="n">
        <f aca="false">SUMIFS(報告入力!$AY$7:$AY$696,報告入力!$A$7:$A$696,$S$912,報告入力!$B$7:$B$696,$A926)</f>
        <v>49</v>
      </c>
      <c r="G926" s="366" t="n">
        <f aca="false">SUM(B926:F926)</f>
        <v>126984</v>
      </c>
      <c r="H926" s="369" t="n">
        <f aca="false">SUMIFS(報告入力!$AZ$7:$AZ$696,報告入力!$A$7:$A$696,$S$912,報告入力!$B$7:$B$696,$A926)</f>
        <v>29155</v>
      </c>
      <c r="I926" s="370" t="n">
        <f aca="false">SUMIFS(報告入力!$BA$7:$BA$696,報告入力!$A$7:$A$696,$S$912,報告入力!$B$7:$B$696,$A926)</f>
        <v>29669</v>
      </c>
      <c r="J926" s="135" t="n">
        <f aca="false">SUM(H926:I926)</f>
        <v>58824</v>
      </c>
      <c r="K926" s="262" t="n">
        <f aca="false">SUMIFS(報告入力!$BB$7:$BB$696,報告入力!$A$7:$A$696,$S$912,報告入力!$B$7:$B$696,$A926)</f>
        <v>4187</v>
      </c>
      <c r="L926" s="183" t="n">
        <f aca="false">SUMIFS(報告入力!$BC$7:$BC$696,報告入力!$A$7:$A$696,$S$912,報告入力!$B$7:$B$696,$A926)</f>
        <v>4187</v>
      </c>
      <c r="M926" s="135" t="n">
        <f aca="false">SUM(K926:L926)</f>
        <v>8374</v>
      </c>
      <c r="N926" s="262" t="n">
        <f aca="false">SUMIFS(報告入力!$BD$7:$BD$696,報告入力!$A$7:$A$696,$S$912,報告入力!$B$7:$B$696,$A926)</f>
        <v>1</v>
      </c>
      <c r="O926" s="183" t="n">
        <f aca="false">SUMIFS(報告入力!$BE$7:$BE$696,報告入力!$A$7:$A$696,$S$912,報告入力!$B$7:$B$696,$A926)</f>
        <v>1</v>
      </c>
      <c r="P926" s="135" t="n">
        <f aca="false">SUM(N926:O926)</f>
        <v>2</v>
      </c>
      <c r="Q926" s="110" t="str">
        <f aca="false">IF(P861=P926,"〇","×")</f>
        <v>〇</v>
      </c>
      <c r="R926" s="110" t="str">
        <f aca="false">IFERROR(INDEX(報告入力!$C$7:$C$696,MATCH($S$912&amp;"|"&amp;$A926,報告入力!$CG$7:$CG$696,0)),"")</f>
        <v>未受領</v>
      </c>
    </row>
    <row r="927" s="137" customFormat="true" ht="19.5" hidden="false" customHeight="true" outlineLevel="0" collapsed="false">
      <c r="A927" s="126" t="s">
        <v>171</v>
      </c>
      <c r="B927" s="127" t="n">
        <f aca="false">SUMIFS(報告入力!$AU$7:$AU$696,報告入力!$A$7:$A$696,$S$912,報告入力!$B$7:$B$696,$A927)</f>
        <v>0</v>
      </c>
      <c r="C927" s="128" t="n">
        <f aca="false">SUMIFS(報告入力!$AV$7:$AV$696,報告入力!$A$7:$A$696,$S$912,報告入力!$B$7:$B$696,$A927)</f>
        <v>0</v>
      </c>
      <c r="D927" s="129"/>
      <c r="E927" s="130"/>
      <c r="F927" s="131" t="n">
        <f aca="false">SUMIFS(報告入力!$AY$7:$AY$696,報告入力!$A$7:$A$696,$S$912,報告入力!$B$7:$B$696,$A927)</f>
        <v>0</v>
      </c>
      <c r="G927" s="132" t="n">
        <f aca="false">SUM(B927:F927)</f>
        <v>0</v>
      </c>
      <c r="H927" s="182" t="n">
        <f aca="false">SUMIFS(報告入力!$AZ$7:$AZ$696,報告入力!$A$7:$A$696,$S$912,報告入力!$B$7:$B$696,$A927)</f>
        <v>132568</v>
      </c>
      <c r="I927" s="183" t="n">
        <f aca="false">SUMIFS(報告入力!$BA$7:$BA$696,報告入力!$A$7:$A$696,$S$912,報告入力!$B$7:$B$696,$A927)</f>
        <v>134598</v>
      </c>
      <c r="J927" s="135" t="n">
        <f aca="false">SUM(H927:I927)</f>
        <v>267166</v>
      </c>
      <c r="K927" s="262" t="n">
        <f aca="false">SUMIFS(報告入力!$BB$7:$BB$696,報告入力!$A$7:$A$696,$S$912,報告入力!$B$7:$B$696,$A927)</f>
        <v>9156</v>
      </c>
      <c r="L927" s="183" t="n">
        <f aca="false">SUMIFS(報告入力!$BC$7:$BC$696,報告入力!$A$7:$A$696,$S$912,報告入力!$B$7:$B$696,$A927)</f>
        <v>9156</v>
      </c>
      <c r="M927" s="135" t="n">
        <f aca="false">SUM(K927:L927)</f>
        <v>18312</v>
      </c>
      <c r="N927" s="262" t="n">
        <f aca="false">SUMIFS(報告入力!$BD$7:$BD$696,報告入力!$A$7:$A$696,$S$912,報告入力!$B$7:$B$696,$A927)</f>
        <v>1</v>
      </c>
      <c r="O927" s="183" t="n">
        <f aca="false">SUMIFS(報告入力!$BE$7:$BE$696,報告入力!$A$7:$A$696,$S$912,報告入力!$B$7:$B$696,$A927)</f>
        <v>1</v>
      </c>
      <c r="P927" s="135" t="n">
        <f aca="false">SUM(N927:O927)</f>
        <v>2</v>
      </c>
      <c r="Q927" s="137" t="str">
        <f aca="false">IF(P862=P927,"〇","×")</f>
        <v>〇</v>
      </c>
      <c r="R927" s="137" t="str">
        <f aca="false">IFERROR(INDEX(報告入力!$C$7:$C$696,MATCH($S$912&amp;"|"&amp;$A927,報告入力!$CG$7:$CG$696,0)),"")</f>
        <v>未受領</v>
      </c>
    </row>
    <row r="928" s="137" customFormat="true" ht="19.5" hidden="false" customHeight="true" outlineLevel="0" collapsed="false">
      <c r="A928" s="138" t="s">
        <v>382</v>
      </c>
      <c r="B928" s="139"/>
      <c r="C928" s="140"/>
      <c r="D928" s="139"/>
      <c r="E928" s="141"/>
      <c r="F928" s="142"/>
      <c r="G928" s="143"/>
      <c r="H928" s="144"/>
      <c r="I928" s="145"/>
      <c r="J928" s="146"/>
      <c r="K928" s="147"/>
      <c r="L928" s="148"/>
      <c r="M928" s="148"/>
      <c r="N928" s="147"/>
      <c r="O928" s="148"/>
      <c r="P928" s="148"/>
      <c r="Q928" s="137" t="str">
        <f aca="false">IF(P863=P928,"〇","×")</f>
        <v>〇</v>
      </c>
    </row>
    <row r="929" s="137" customFormat="true" ht="19.5" hidden="false" customHeight="true" outlineLevel="0" collapsed="false">
      <c r="A929" s="149" t="s">
        <v>382</v>
      </c>
      <c r="B929" s="150"/>
      <c r="C929" s="151"/>
      <c r="D929" s="150"/>
      <c r="E929" s="152"/>
      <c r="F929" s="153"/>
      <c r="G929" s="154"/>
      <c r="H929" s="155"/>
      <c r="I929" s="152"/>
      <c r="J929" s="156"/>
      <c r="K929" s="157"/>
      <c r="L929" s="158"/>
      <c r="M929" s="158"/>
      <c r="N929" s="157"/>
      <c r="O929" s="158"/>
      <c r="P929" s="158"/>
      <c r="Q929" s="137" t="str">
        <f aca="false">IF(P864=P929,"〇","×")</f>
        <v>〇</v>
      </c>
    </row>
    <row r="930" s="137" customFormat="true" ht="19.5" hidden="false" customHeight="true" outlineLevel="0" collapsed="false">
      <c r="A930" s="149" t="s">
        <v>382</v>
      </c>
      <c r="B930" s="139"/>
      <c r="C930" s="140"/>
      <c r="D930" s="139"/>
      <c r="E930" s="141"/>
      <c r="F930" s="142"/>
      <c r="G930" s="143"/>
      <c r="H930" s="159"/>
      <c r="I930" s="141"/>
      <c r="J930" s="146"/>
      <c r="K930" s="160"/>
      <c r="L930" s="161"/>
      <c r="M930" s="161"/>
      <c r="N930" s="160"/>
      <c r="O930" s="161"/>
      <c r="P930" s="161"/>
      <c r="Q930" s="137" t="str">
        <f aca="false">IF(P865=P930,"〇","×")</f>
        <v>〇</v>
      </c>
    </row>
    <row r="931" s="137" customFormat="true" ht="19.5" hidden="false" customHeight="true" outlineLevel="0" collapsed="false">
      <c r="A931" s="162" t="s">
        <v>382</v>
      </c>
      <c r="B931" s="163"/>
      <c r="C931" s="164"/>
      <c r="D931" s="163"/>
      <c r="E931" s="165"/>
      <c r="F931" s="166"/>
      <c r="G931" s="167"/>
      <c r="H931" s="155"/>
      <c r="I931" s="168"/>
      <c r="J931" s="169"/>
      <c r="K931" s="157"/>
      <c r="L931" s="158"/>
      <c r="M931" s="170"/>
      <c r="N931" s="157"/>
      <c r="O931" s="158"/>
      <c r="P931" s="170"/>
      <c r="Q931" s="137" t="str">
        <f aca="false">IF(P866=P931,"〇","×")</f>
        <v>〇</v>
      </c>
    </row>
    <row r="932" s="137" customFormat="true" ht="19.5" hidden="false" customHeight="true" outlineLevel="0" collapsed="false">
      <c r="A932" s="171" t="s">
        <v>383</v>
      </c>
      <c r="B932" s="172" t="n">
        <f aca="false">SUM(B916:B931)</f>
        <v>350033707</v>
      </c>
      <c r="C932" s="173" t="n">
        <f aca="false">SUM(C916:C931)</f>
        <v>28696162</v>
      </c>
      <c r="D932" s="172" t="n">
        <f aca="false">SUM(D916:D931)</f>
        <v>478053958</v>
      </c>
      <c r="E932" s="174" t="n">
        <f aca="false">SUM(E916:E931)</f>
        <v>28219012</v>
      </c>
      <c r="F932" s="175" t="n">
        <f aca="false">SUM(F916:F931)</f>
        <v>371699</v>
      </c>
      <c r="G932" s="176" t="n">
        <f aca="false">SUM(B932:F932)</f>
        <v>885374538</v>
      </c>
      <c r="H932" s="173" t="n">
        <f aca="false">SUM(H916:H931)</f>
        <v>258541290</v>
      </c>
      <c r="I932" s="173" t="n">
        <f aca="false">SUM(I916:I931)</f>
        <v>258913765</v>
      </c>
      <c r="J932" s="175" t="n">
        <f aca="false">SUM(H932:I932)</f>
        <v>517455055</v>
      </c>
      <c r="K932" s="172" t="n">
        <f aca="false">SUM(K916:K931)</f>
        <v>24035815</v>
      </c>
      <c r="L932" s="173" t="n">
        <f aca="false">SUM(L916:L931)</f>
        <v>23592322</v>
      </c>
      <c r="M932" s="175" t="n">
        <f aca="false">SUM(K932:L932)</f>
        <v>47628137</v>
      </c>
      <c r="N932" s="172" t="n">
        <f aca="false">SUM(N916:N931)</f>
        <v>12</v>
      </c>
      <c r="O932" s="173" t="n">
        <f aca="false">SUM(O916:O931)</f>
        <v>12</v>
      </c>
      <c r="P932" s="175" t="n">
        <f aca="false">SUM(N932:O932)</f>
        <v>24</v>
      </c>
      <c r="Q932" s="137" t="str">
        <f aca="false">IF(P867=P932,"〇","×")</f>
        <v>〇</v>
      </c>
    </row>
    <row r="933" s="110" customFormat="true" ht="20.1" hidden="false" customHeight="true" outlineLevel="0" collapsed="false">
      <c r="A933" s="177" t="s">
        <v>172</v>
      </c>
      <c r="B933" s="311"/>
      <c r="C933" s="331"/>
      <c r="D933" s="311"/>
      <c r="E933" s="309"/>
      <c r="F933" s="331"/>
      <c r="G933" s="302" t="n">
        <f aca="false">SUM(B933:F933)</f>
        <v>0</v>
      </c>
      <c r="H933" s="303"/>
      <c r="I933" s="304"/>
      <c r="J933" s="305" t="n">
        <f aca="false">SUM(H933:I933)</f>
        <v>0</v>
      </c>
      <c r="K933" s="303"/>
      <c r="L933" s="304"/>
      <c r="M933" s="305" t="n">
        <f aca="false">SUM(K933:L933)</f>
        <v>0</v>
      </c>
      <c r="N933" s="303"/>
      <c r="O933" s="304"/>
      <c r="P933" s="305" t="n">
        <v>2</v>
      </c>
      <c r="Q933" s="110" t="str">
        <f aca="false">IF(P868=P933,"〇","×")</f>
        <v>×</v>
      </c>
      <c r="R933" s="110" t="str">
        <f aca="false">IFERROR(INDEX(報告入力!$C$7:$C$696,MATCH($S$912&amp;"|"&amp;$A933,報告入力!$CG$7:$CG$696,0)),"")</f>
        <v>報告なし</v>
      </c>
    </row>
    <row r="934" s="110" customFormat="true" ht="20.1" hidden="false" customHeight="true" outlineLevel="0" collapsed="false">
      <c r="A934" s="100" t="s">
        <v>174</v>
      </c>
      <c r="B934" s="178" t="n">
        <f aca="false">SUMIFS(報告入力!$AU$7:$AU$696,報告入力!$A$7:$A$696,$S$912,報告入力!$B$7:$B$696,$A934)</f>
        <v>45750</v>
      </c>
      <c r="C934" s="179" t="n">
        <f aca="false">SUMIFS(報告入力!$AV$7:$AV$696,報告入力!$A$7:$A$696,$S$912,報告入力!$B$7:$B$696,$A934)</f>
        <v>3750</v>
      </c>
      <c r="D934" s="384" t="n">
        <f aca="false">SUMIFS(報告入力!$AW$7:$AW$696,報告入力!$A$7:$A$696,$S$912,報告入力!$B$7:$B$696,$A934)</f>
        <v>494100</v>
      </c>
      <c r="E934" s="213" t="n">
        <f aca="false">SUMIFS(報告入力!$AX$7:$AX$696,報告入力!$A$7:$A$696,$S$912,報告入力!$B$7:$B$696,$A934)</f>
        <v>40500</v>
      </c>
      <c r="F934" s="212" t="n">
        <f aca="false">SUMIFS(報告入力!$AY$7:$AY$696,報告入力!$A$7:$A$696,$S$912,報告入力!$B$7:$B$696,$A934)</f>
        <v>545</v>
      </c>
      <c r="G934" s="181" t="n">
        <f aca="false">SUM(B934:F934)</f>
        <v>584645</v>
      </c>
      <c r="H934" s="182" t="n">
        <f aca="false">SUMIFS(報告入力!$AZ$7:$AZ$696,報告入力!$A$7:$A$696,$S$912,報告入力!$B$7:$B$696,$A934)</f>
        <v>27505</v>
      </c>
      <c r="I934" s="183" t="n">
        <f aca="false">SUMIFS(報告入力!$BA$7:$BA$696,報告入力!$A$7:$A$696,$S$912,報告入力!$B$7:$B$696,$A934)</f>
        <v>297625</v>
      </c>
      <c r="J934" s="135" t="n">
        <f aca="false">SUM(H934:I934)</f>
        <v>325130</v>
      </c>
      <c r="K934" s="182" t="n">
        <f aca="false">SUMIFS(報告入力!$BB$7:$BB$696,報告入力!$A$7:$A$696,$S$912,報告入力!$B$7:$B$696,$A934)</f>
        <v>4200</v>
      </c>
      <c r="L934" s="183" t="n">
        <f aca="false">SUMIFS(報告入力!$BC$7:$BC$696,報告入力!$A$7:$A$696,$S$912,報告入力!$B$7:$B$696,$A934)</f>
        <v>35112</v>
      </c>
      <c r="M934" s="135" t="n">
        <f aca="false">SUM(K934:L934)</f>
        <v>39312</v>
      </c>
      <c r="N934" s="182" t="n">
        <f aca="false">SUMIFS(報告入力!$BD$7:$BD$696,報告入力!$A$7:$A$696,$S$912,報告入力!$B$7:$B$696,$A934)</f>
        <v>0</v>
      </c>
      <c r="O934" s="183" t="n">
        <f aca="false">SUMIFS(報告入力!$BE$7:$BE$696,報告入力!$A$7:$A$696,$S$912,報告入力!$B$7:$B$696,$A934)</f>
        <v>1</v>
      </c>
      <c r="P934" s="135" t="n">
        <f aca="false">SUM(N934:O934)</f>
        <v>1</v>
      </c>
      <c r="Q934" s="110" t="str">
        <f aca="false">IF(P869=P934,"〇","×")</f>
        <v>〇</v>
      </c>
      <c r="R934" s="110" t="str">
        <f aca="false">IFERROR(INDEX(報告入力!$C$7:$C$696,MATCH($S$912&amp;"|"&amp;$A934,報告入力!$CG$7:$CG$696,0)),"")</f>
        <v>未受領</v>
      </c>
    </row>
    <row r="935" s="110" customFormat="true" ht="20.1" hidden="false" customHeight="true" outlineLevel="0" collapsed="false">
      <c r="A935" s="100" t="s">
        <v>175</v>
      </c>
      <c r="B935" s="186"/>
      <c r="C935" s="187"/>
      <c r="D935" s="215" t="n">
        <f aca="false">SUMIFS(報告入力!$AW$7:$AW$696,報告入力!$A$7:$A$696,$S$912,報告入力!$B$7:$B$696,$A935)</f>
        <v>1895880</v>
      </c>
      <c r="E935" s="182" t="n">
        <f aca="false">SUMIFS(報告入力!$AX$7:$AX$696,報告入力!$A$7:$A$696,$S$912,報告入力!$B$7:$B$696,$A935)</f>
        <v>155400</v>
      </c>
      <c r="F935" s="212" t="n">
        <f aca="false">SUMIFS(報告入力!$AY$7:$AY$696,報告入力!$A$7:$A$696,$S$912,報告入力!$B$7:$B$696,$A935)</f>
        <v>1997</v>
      </c>
      <c r="G935" s="181" t="n">
        <f aca="false">SUM(B935:F935)</f>
        <v>2053277</v>
      </c>
      <c r="H935" s="188"/>
      <c r="I935" s="183" t="n">
        <f aca="false">SUMIFS(報告入力!$BA$7:$BA$696,報告入力!$A$7:$A$696,$S$912,報告入力!$B$7:$B$696,$A935)</f>
        <v>1280817</v>
      </c>
      <c r="J935" s="135" t="n">
        <f aca="false">SUM(H935:I935)</f>
        <v>1280817</v>
      </c>
      <c r="K935" s="188"/>
      <c r="L935" s="183" t="n">
        <f aca="false">SUMIFS(報告入力!$BC$7:$BC$696,報告入力!$A$7:$A$696,$S$912,報告入力!$B$7:$B$696,$A935)</f>
        <v>141726</v>
      </c>
      <c r="M935" s="135" t="n">
        <f aca="false">SUM(K935:L935)</f>
        <v>141726</v>
      </c>
      <c r="N935" s="188"/>
      <c r="O935" s="183" t="n">
        <f aca="false">SUMIFS(報告入力!$BE$7:$BE$696,報告入力!$A$7:$A$696,$S$912,報告入力!$B$7:$B$696,$A935)</f>
        <v>1</v>
      </c>
      <c r="P935" s="135" t="n">
        <f aca="false">SUM(N935:O935)</f>
        <v>1</v>
      </c>
      <c r="Q935" s="110" t="str">
        <f aca="false">IF(P870=P935,"〇","×")</f>
        <v>〇</v>
      </c>
      <c r="R935" s="110" t="str">
        <f aca="false">IFERROR(INDEX(報告入力!$C$7:$C$696,MATCH($S$912&amp;"|"&amp;$A935,報告入力!$CG$7:$CG$696,0)),"")</f>
        <v>未受領</v>
      </c>
    </row>
    <row r="936" s="110" customFormat="true" ht="20.1" hidden="false" customHeight="true" outlineLevel="0" collapsed="false">
      <c r="A936" s="100" t="s">
        <v>176</v>
      </c>
      <c r="B936" s="186"/>
      <c r="C936" s="187"/>
      <c r="D936" s="215" t="n">
        <f aca="false">SUMIFS(報告入力!$AW$7:$AW$696,報告入力!$A$7:$A$696,$S$912,報告入力!$B$7:$B$696,$A936)</f>
        <v>48495</v>
      </c>
      <c r="E936" s="213" t="n">
        <f aca="false">SUMIFS(報告入力!$AX$7:$AX$696,報告入力!$A$7:$A$696,$S$912,報告入力!$B$7:$B$696,$A936)</f>
        <v>3975</v>
      </c>
      <c r="F936" s="368" t="n">
        <f aca="false">SUMIFS(報告入力!$AY$7:$AY$696,報告入力!$A$7:$A$696,$S$912,報告入力!$B$7:$B$696,$A936)</f>
        <v>50</v>
      </c>
      <c r="G936" s="181" t="n">
        <f aca="false">SUM(B936:F936)</f>
        <v>52520</v>
      </c>
      <c r="H936" s="188"/>
      <c r="I936" s="183" t="n">
        <f aca="false">SUMIFS(報告入力!$BA$7:$BA$696,報告入力!$A$7:$A$696,$S$912,報告入力!$B$7:$B$696,$A936)</f>
        <v>29208</v>
      </c>
      <c r="J936" s="135" t="n">
        <f aca="false">SUM(H936:I936)</f>
        <v>29208</v>
      </c>
      <c r="K936" s="188"/>
      <c r="L936" s="183" t="n">
        <f aca="false">SUMIFS(報告入力!$BC$7:$BC$696,報告入力!$A$7:$A$696,$S$912,報告入力!$B$7:$B$696,$A936)</f>
        <v>4452</v>
      </c>
      <c r="M936" s="135" t="n">
        <f aca="false">SUM(K936:L936)</f>
        <v>4452</v>
      </c>
      <c r="N936" s="188"/>
      <c r="O936" s="183" t="n">
        <f aca="false">SUMIFS(報告入力!$BE$7:$BE$696,報告入力!$A$7:$A$696,$S$912,報告入力!$B$7:$B$696,$A936)</f>
        <v>1</v>
      </c>
      <c r="P936" s="135" t="n">
        <f aca="false">SUM(N936:O936)</f>
        <v>1</v>
      </c>
      <c r="Q936" s="110" t="str">
        <f aca="false">IF(P871=P936,"〇","×")</f>
        <v>〇</v>
      </c>
      <c r="R936" s="110" t="str">
        <f aca="false">IFERROR(INDEX(報告入力!$C$7:$C$696,MATCH($S$912&amp;"|"&amp;$A936,報告入力!$CG$7:$CG$696,0)),"")</f>
        <v>未受領</v>
      </c>
    </row>
    <row r="937" s="110" customFormat="true" ht="19.5" hidden="false" customHeight="true" outlineLevel="0" collapsed="false">
      <c r="A937" s="189" t="s">
        <v>177</v>
      </c>
      <c r="B937" s="186"/>
      <c r="C937" s="187"/>
      <c r="D937" s="215" t="n">
        <f aca="false">SUMIFS(報告入力!$AW$7:$AW$696,報告入力!$A$7:$A$696,$S$912,報告入力!$B$7:$B$696,$A937)</f>
        <v>425475</v>
      </c>
      <c r="E937" s="213" t="n">
        <f aca="false">SUMIFS(報告入力!$AX$7:$AX$696,報告入力!$A$7:$A$696,$S$912,報告入力!$B$7:$B$696,$A937)</f>
        <v>34875</v>
      </c>
      <c r="F937" s="368" t="n">
        <f aca="false">SUMIFS(報告入力!$AY$7:$AY$696,報告入力!$A$7:$A$696,$S$912,報告入力!$B$7:$B$696,$A937)</f>
        <v>435</v>
      </c>
      <c r="G937" s="181" t="n">
        <f aca="false">SUM(B937:F937)</f>
        <v>460785</v>
      </c>
      <c r="H937" s="188"/>
      <c r="I937" s="183" t="n">
        <f aca="false">SUMIFS(報告入力!$BA$7:$BA$696,報告入力!$A$7:$A$696,$S$912,報告入力!$B$7:$B$696,$A937)</f>
        <v>256260</v>
      </c>
      <c r="J937" s="135" t="n">
        <f aca="false">SUM(H937:I937)</f>
        <v>256260</v>
      </c>
      <c r="K937" s="188"/>
      <c r="L937" s="183" t="n">
        <f aca="false">SUMIFS(報告入力!$BC$7:$BC$696,報告入力!$A$7:$A$696,$S$912,報告入力!$B$7:$B$696,$A937)</f>
        <v>34207</v>
      </c>
      <c r="M937" s="135" t="n">
        <f aca="false">SUM(K937:L937)</f>
        <v>34207</v>
      </c>
      <c r="N937" s="188"/>
      <c r="O937" s="183" t="n">
        <f aca="false">SUMIFS(報告入力!$BE$7:$BE$696,報告入力!$A$7:$A$696,$S$912,報告入力!$B$7:$B$696,$A937)</f>
        <v>1</v>
      </c>
      <c r="P937" s="135" t="n">
        <f aca="false">SUM(N937:O937)</f>
        <v>1</v>
      </c>
      <c r="Q937" s="110" t="str">
        <f aca="false">IF(P872=P937,"〇","×")</f>
        <v>〇</v>
      </c>
      <c r="R937" s="110" t="str">
        <f aca="false">IFERROR(INDEX(報告入力!$C$7:$C$696,MATCH($S$912&amp;"|"&amp;$A937,報告入力!$CG$7:$CG$696,0)),"")</f>
        <v>未受領</v>
      </c>
    </row>
    <row r="938" s="110" customFormat="true" ht="20.1" hidden="false" customHeight="true" outlineLevel="0" collapsed="false">
      <c r="A938" s="121" t="s">
        <v>178</v>
      </c>
      <c r="B938" s="186"/>
      <c r="C938" s="191"/>
      <c r="D938" s="215" t="n">
        <f aca="false">SUMIFS(報告入力!$AW$7:$AW$696,報告入力!$A$7:$A$696,$S$912,報告入力!$B$7:$B$696,$A938)</f>
        <v>86010</v>
      </c>
      <c r="E938" s="213" t="n">
        <f aca="false">SUMIFS(報告入力!$AX$7:$AX$696,報告入力!$A$7:$A$696,$S$912,報告入力!$B$7:$B$696,$A938)</f>
        <v>7050</v>
      </c>
      <c r="F938" s="368" t="n">
        <f aca="false">SUMIFS(報告入力!$AY$7:$AY$696,報告入力!$A$7:$A$696,$S$912,報告入力!$B$7:$B$696,$A938)</f>
        <v>88</v>
      </c>
      <c r="G938" s="181" t="n">
        <f aca="false">SUM(B938:F938)</f>
        <v>93148</v>
      </c>
      <c r="H938" s="188"/>
      <c r="I938" s="370" t="n">
        <f aca="false">SUMIFS(報告入力!$BA$7:$BA$696,報告入力!$A$7:$A$696,$S$912,報告入力!$B$7:$B$696,$A938)</f>
        <v>51803</v>
      </c>
      <c r="J938" s="135" t="n">
        <f aca="false">SUM(H938:I938)</f>
        <v>51803</v>
      </c>
      <c r="K938" s="188"/>
      <c r="L938" s="370" t="n">
        <f aca="false">SUMIFS(報告入力!$BC$7:$BC$696,報告入力!$A$7:$A$696,$S$912,報告入力!$B$7:$B$696,$A938)</f>
        <v>7426</v>
      </c>
      <c r="M938" s="135" t="n">
        <f aca="false">SUM(K938:L938)</f>
        <v>7426</v>
      </c>
      <c r="N938" s="188"/>
      <c r="O938" s="370" t="n">
        <f aca="false">SUMIFS(報告入力!$BE$7:$BE$696,報告入力!$A$7:$A$696,$S$912,報告入力!$B$7:$B$696,$A938)</f>
        <v>1</v>
      </c>
      <c r="P938" s="135" t="n">
        <f aca="false">SUM(N938:O938)</f>
        <v>1</v>
      </c>
      <c r="Q938" s="110" t="str">
        <f aca="false">IF(P873=P938,"〇","×")</f>
        <v>〇</v>
      </c>
      <c r="R938" s="110" t="str">
        <f aca="false">IFERROR(INDEX(報告入力!$C$7:$C$696,MATCH($S$912&amp;"|"&amp;$A938,報告入力!$CG$7:$CG$696,0)),"")</f>
        <v>未受領</v>
      </c>
    </row>
    <row r="939" s="110" customFormat="true" ht="20.1" hidden="false" customHeight="true" outlineLevel="0" collapsed="false">
      <c r="A939" s="121" t="s">
        <v>179</v>
      </c>
      <c r="B939" s="186"/>
      <c r="C939" s="191"/>
      <c r="D939" s="215" t="n">
        <f aca="false">SUMIFS(報告入力!$AW$7:$AW$696,報告入力!$A$7:$A$696,$S$912,報告入力!$B$7:$B$696,$A939)</f>
        <v>48495</v>
      </c>
      <c r="E939" s="213" t="n">
        <f aca="false">SUMIFS(報告入力!$AX$7:$AX$696,報告入力!$A$7:$A$696,$S$912,報告入力!$B$7:$B$696,$A939)</f>
        <v>3975</v>
      </c>
      <c r="F939" s="368" t="n">
        <f aca="false">SUMIFS(報告入力!$AY$7:$AY$696,報告入力!$A$7:$A$696,$S$912,報告入力!$B$7:$B$696,$A939)</f>
        <v>49</v>
      </c>
      <c r="G939" s="181" t="n">
        <f aca="false">SUM(B939:F939)</f>
        <v>52519</v>
      </c>
      <c r="H939" s="188"/>
      <c r="I939" s="183" t="n">
        <f aca="false">SUMIFS(報告入力!$BA$7:$BA$696,報告入力!$A$7:$A$696,$S$912,報告入力!$B$7:$B$696,$A939)</f>
        <v>29208</v>
      </c>
      <c r="J939" s="135" t="n">
        <f aca="false">SUM(H939:I939)</f>
        <v>29208</v>
      </c>
      <c r="K939" s="188"/>
      <c r="L939" s="183" t="n">
        <f aca="false">SUMIFS(報告入力!$BC$7:$BC$696,報告入力!$A$7:$A$696,$S$912,報告入力!$B$7:$B$696,$A939)</f>
        <v>4187</v>
      </c>
      <c r="M939" s="135" t="n">
        <f aca="false">SUM(K939:L939)</f>
        <v>4187</v>
      </c>
      <c r="N939" s="188"/>
      <c r="O939" s="183" t="n">
        <f aca="false">SUMIFS(報告入力!$BE$7:$BE$696,報告入力!$A$7:$A$696,$S$912,報告入力!$B$7:$B$696,$A939)</f>
        <v>1</v>
      </c>
      <c r="P939" s="135" t="n">
        <f aca="false">SUM(N939:O939)</f>
        <v>1</v>
      </c>
      <c r="Q939" s="110" t="str">
        <f aca="false">IF(P874=P939,"〇","×")</f>
        <v>〇</v>
      </c>
      <c r="R939" s="110" t="str">
        <f aca="false">IFERROR(INDEX(報告入力!$C$7:$C$696,MATCH($S$912&amp;"|"&amp;$A939,報告入力!$CG$7:$CG$696,0)),"")</f>
        <v>未受領</v>
      </c>
    </row>
    <row r="940" s="110" customFormat="true" ht="20.1" hidden="false" customHeight="true" outlineLevel="0" collapsed="false">
      <c r="A940" s="192" t="s">
        <v>180</v>
      </c>
      <c r="B940" s="186"/>
      <c r="C940" s="193"/>
      <c r="D940" s="215" t="n">
        <f aca="false">SUMIFS(報告入力!$AW$7:$AW$696,報告入力!$A$7:$A$696,$S$912,報告入力!$B$7:$B$696,$A940)</f>
        <v>124440</v>
      </c>
      <c r="E940" s="213" t="n">
        <f aca="false">SUMIFS(報告入力!$AX$7:$AX$696,報告入力!$A$7:$A$696,$S$912,報告入力!$B$7:$B$696,$A940)</f>
        <v>10200</v>
      </c>
      <c r="F940" s="368" t="n">
        <f aca="false">SUMIFS(報告入力!$AY$7:$AY$696,報告入力!$A$7:$A$696,$S$912,報告入力!$B$7:$B$696,$A940)</f>
        <v>127</v>
      </c>
      <c r="G940" s="181" t="n">
        <f aca="false">SUM(B940:F940)</f>
        <v>134767</v>
      </c>
      <c r="H940" s="188"/>
      <c r="I940" s="183" t="n">
        <f aca="false">SUMIFS(報告入力!$BA$7:$BA$696,報告入力!$A$7:$A$696,$S$912,報告入力!$B$7:$B$696,$A940)</f>
        <v>74949</v>
      </c>
      <c r="J940" s="135" t="n">
        <f aca="false">SUM(H940:I940)</f>
        <v>74949</v>
      </c>
      <c r="K940" s="188"/>
      <c r="L940" s="183" t="n">
        <f aca="false">SUMIFS(報告入力!$BC$7:$BC$696,報告入力!$A$7:$A$696,$S$912,報告入力!$B$7:$B$696,$A940)</f>
        <v>7031</v>
      </c>
      <c r="M940" s="135" t="n">
        <f aca="false">SUM(K940:L940)</f>
        <v>7031</v>
      </c>
      <c r="N940" s="188"/>
      <c r="O940" s="183" t="n">
        <f aca="false">SUMIFS(報告入力!$BE$7:$BE$696,報告入力!$A$7:$A$696,$S$912,報告入力!$B$7:$B$696,$A940)</f>
        <v>1</v>
      </c>
      <c r="P940" s="135" t="n">
        <f aca="false">SUM(N940:O940)</f>
        <v>1</v>
      </c>
      <c r="Q940" s="110" t="str">
        <f aca="false">IF(P875=P940,"〇","×")</f>
        <v>〇</v>
      </c>
      <c r="R940" s="110" t="str">
        <f aca="false">IFERROR(INDEX(報告入力!$C$7:$C$696,MATCH($S$912&amp;"|"&amp;$A940,報告入力!$CG$7:$CG$696,0)),"")</f>
        <v>未受領</v>
      </c>
    </row>
    <row r="941" s="110" customFormat="true" ht="20.1" hidden="false" customHeight="true" outlineLevel="0" collapsed="false">
      <c r="A941" s="100" t="s">
        <v>181</v>
      </c>
      <c r="B941" s="215" t="n">
        <f aca="false">SUMIFS(報告入力!$AU$7:$AU$696,報告入力!$A$7:$A$696,$S$912,報告入力!$B$7:$B$696,$A941)</f>
        <v>245220</v>
      </c>
      <c r="C941" s="212" t="n">
        <f aca="false">SUMIFS(報告入力!$AV$7:$AV$696,報告入力!$A$7:$A$696,$S$912,報告入力!$B$7:$B$696,$A941)</f>
        <v>20100</v>
      </c>
      <c r="D941" s="178" t="n">
        <f aca="false">SUMIFS(報告入力!$AW$7:$AW$696,報告入力!$A$7:$A$696,$S$912,報告入力!$B$7:$B$696,$A941)</f>
        <v>245220</v>
      </c>
      <c r="E941" s="182" t="n">
        <f aca="false">SUMIFS(報告入力!$AX$7:$AX$696,報告入力!$A$7:$A$696,$S$912,報告入力!$B$7:$B$696,$A941)</f>
        <v>20100</v>
      </c>
      <c r="F941" s="212" t="n">
        <f aca="false">SUMIFS(報告入力!$AY$7:$AY$696,報告入力!$A$7:$A$696,$S$912,報告入力!$B$7:$B$696,$A941)</f>
        <v>251</v>
      </c>
      <c r="G941" s="181" t="n">
        <f aca="false">SUM(B941:F941)</f>
        <v>530891</v>
      </c>
      <c r="H941" s="215" t="n">
        <f aca="false">SUMIFS(報告入力!$AZ$7:$AZ$696,報告入力!$A$7:$A$696,$S$912,報告入力!$B$7:$B$696,$A941)</f>
        <v>147425</v>
      </c>
      <c r="I941" s="183" t="n">
        <f aca="false">SUMIFS(報告入力!$BA$7:$BA$696,報告入力!$A$7:$A$696,$S$912,報告入力!$B$7:$B$696,$A941)</f>
        <v>147694</v>
      </c>
      <c r="J941" s="135" t="n">
        <f aca="false">SUM(H941:I941)</f>
        <v>295119</v>
      </c>
      <c r="K941" s="215" t="n">
        <f aca="false">SUMIFS(報告入力!$BB$7:$BB$696,報告入力!$A$7:$A$696,$S$912,報告入力!$B$7:$B$696,$A941)</f>
        <v>9559</v>
      </c>
      <c r="L941" s="362" t="n">
        <f aca="false">SUMIFS(報告入力!$BC$7:$BC$696,報告入力!$A$7:$A$696,$S$912,報告入力!$B$7:$B$696,$A941)</f>
        <v>9559</v>
      </c>
      <c r="M941" s="135" t="n">
        <f aca="false">SUM(K941:L941)</f>
        <v>19118</v>
      </c>
      <c r="N941" s="215" t="n">
        <f aca="false">SUMIFS(報告入力!$BD$7:$BD$696,報告入力!$A$7:$A$696,$S$912,報告入力!$B$7:$B$696,$A941)</f>
        <v>1</v>
      </c>
      <c r="O941" s="362" t="n">
        <f aca="false">SUMIFS(報告入力!$BE$7:$BE$696,報告入力!$A$7:$A$696,$S$912,報告入力!$B$7:$B$696,$A941)</f>
        <v>1</v>
      </c>
      <c r="P941" s="135" t="n">
        <f aca="false">SUM(N941:O941)</f>
        <v>2</v>
      </c>
      <c r="Q941" s="110" t="str">
        <f aca="false">IF(P876=P941,"〇","×")</f>
        <v>〇</v>
      </c>
      <c r="R941" s="110" t="str">
        <f aca="false">IFERROR(INDEX(報告入力!$C$7:$C$696,MATCH($S$912&amp;"|"&amp;$A941,報告入力!$CG$7:$CG$696,0)),"")</f>
        <v>未受領</v>
      </c>
    </row>
    <row r="942" s="110" customFormat="true" ht="20.1" hidden="false" customHeight="true" outlineLevel="0" collapsed="false">
      <c r="A942" s="194" t="s">
        <v>182</v>
      </c>
      <c r="B942" s="178" t="n">
        <f aca="false">SUMIFS(報告入力!$AU$7:$AU$696,報告入力!$A$7:$A$696,$S$912,報告入力!$B$7:$B$696,$A942)</f>
        <v>40260</v>
      </c>
      <c r="C942" s="212" t="n">
        <f aca="false">SUMIFS(報告入力!$AV$7:$AV$696,報告入力!$A$7:$A$696,$S$912,報告入力!$B$7:$B$696,$A942)</f>
        <v>3300</v>
      </c>
      <c r="D942" s="215" t="n">
        <f aca="false">SUMIFS(報告入力!$AW$7:$AW$696,報告入力!$A$7:$A$696,$S$912,報告入力!$B$7:$B$696,$A942)</f>
        <v>40260</v>
      </c>
      <c r="E942" s="213" t="n">
        <f aca="false">SUMIFS(報告入力!$AX$7:$AX$696,報告入力!$A$7:$A$696,$S$912,報告入力!$B$7:$B$696,$A942)</f>
        <v>3300</v>
      </c>
      <c r="F942" s="368" t="n">
        <f aca="false">SUMIFS(報告入力!$AY$7:$AY$696,報告入力!$A$7:$A$696,$S$912,報告入力!$B$7:$B$696,$A942)</f>
        <v>41</v>
      </c>
      <c r="G942" s="366" t="n">
        <f aca="false">SUM(B942:F942)</f>
        <v>87161</v>
      </c>
      <c r="H942" s="182" t="n">
        <f aca="false">SUMIFS(報告入力!$AZ$7:$AZ$696,報告入力!$A$7:$A$696,$S$912,報告入力!$B$7:$B$696,$A942)</f>
        <v>24204</v>
      </c>
      <c r="I942" s="183" t="n">
        <f aca="false">SUMIFS(報告入力!$BA$7:$BA$696,報告入力!$A$7:$A$696,$S$912,報告入力!$B$7:$B$696,$A942)</f>
        <v>24248</v>
      </c>
      <c r="J942" s="135" t="n">
        <f aca="false">SUM(H942:I942)</f>
        <v>48452</v>
      </c>
      <c r="K942" s="182" t="n">
        <f aca="false">SUMIFS(報告入力!$BB$7:$BB$696,報告入力!$A$7:$A$696,$S$912,報告入力!$B$7:$B$696,$A942)</f>
        <v>0</v>
      </c>
      <c r="L942" s="183" t="n">
        <f aca="false">SUMIFS(報告入力!$BC$7:$BC$696,報告入力!$A$7:$A$696,$S$912,報告入力!$B$7:$B$696,$A942)</f>
        <v>0</v>
      </c>
      <c r="M942" s="135" t="n">
        <f aca="false">SUM(K942:L942)</f>
        <v>0</v>
      </c>
      <c r="N942" s="182" t="n">
        <f aca="false">SUMIFS(報告入力!$BD$7:$BD$696,報告入力!$A$7:$A$696,$S$912,報告入力!$B$7:$B$696,$A942)</f>
        <v>1</v>
      </c>
      <c r="O942" s="183" t="n">
        <f aca="false">SUMIFS(報告入力!$BE$7:$BE$696,報告入力!$A$7:$A$696,$S$912,報告入力!$B$7:$B$696,$A942)</f>
        <v>1</v>
      </c>
      <c r="P942" s="135" t="n">
        <f aca="false">SUM(N942:O942)</f>
        <v>2</v>
      </c>
      <c r="Q942" s="110" t="str">
        <f aca="false">IF(P877=P942,"〇","×")</f>
        <v>×</v>
      </c>
      <c r="R942" s="110" t="str">
        <f aca="false">IFERROR(INDEX(報告入力!$C$7:$C$696,MATCH($S$912&amp;"|"&amp;$A942,報告入力!$CG$7:$CG$696,0)),"")</f>
        <v>未受領</v>
      </c>
    </row>
    <row r="943" s="110" customFormat="true" ht="20.1" hidden="false" customHeight="true" outlineLevel="0" collapsed="false">
      <c r="A943" s="197" t="s">
        <v>183</v>
      </c>
      <c r="B943" s="215" t="n">
        <f aca="false">SUMIFS(報告入力!$AU$7:$AU$696,報告入力!$A$7:$A$696,$S$912,報告入力!$B$7:$B$696,$A943)</f>
        <v>102480</v>
      </c>
      <c r="C943" s="368" t="n">
        <f aca="false">SUMIFS(報告入力!$AV$7:$AV$696,報告入力!$A$7:$A$696,$S$912,報告入力!$B$7:$B$696,$A943)</f>
        <v>8400</v>
      </c>
      <c r="D943" s="215" t="n">
        <f aca="false">SUMIFS(報告入力!$AW$7:$AW$696,報告入力!$A$7:$A$696,$S$912,報告入力!$B$7:$B$696,$A943)</f>
        <v>102480</v>
      </c>
      <c r="E943" s="213" t="n">
        <f aca="false">SUMIFS(報告入力!$AX$7:$AX$696,報告入力!$A$7:$A$696,$S$912,報告入力!$B$7:$B$696,$A943)</f>
        <v>8400</v>
      </c>
      <c r="F943" s="368" t="n">
        <f aca="false">SUMIFS(報告入力!$AY$7:$AY$696,報告入力!$A$7:$A$696,$S$912,報告入力!$B$7:$B$696,$A943)</f>
        <v>105</v>
      </c>
      <c r="G943" s="181" t="n">
        <f aca="false">SUM(B943:F943)</f>
        <v>221865</v>
      </c>
      <c r="H943" s="182" t="n">
        <f aca="false">SUMIFS(報告入力!$AZ$7:$AZ$696,報告入力!$A$7:$A$696,$S$912,報告入力!$B$7:$B$696,$A943)</f>
        <v>61610</v>
      </c>
      <c r="I943" s="183" t="n">
        <f aca="false">SUMIFS(報告入力!$BA$7:$BA$696,報告入力!$A$7:$A$696,$S$912,報告入力!$B$7:$B$696,$A943)</f>
        <v>61723</v>
      </c>
      <c r="J943" s="135" t="n">
        <f aca="false">SUM(H943:I943)</f>
        <v>123333</v>
      </c>
      <c r="K943" s="182" t="n">
        <f aca="false">SUMIFS(報告入力!$BB$7:$BB$696,報告入力!$A$7:$A$696,$S$912,報告入力!$B$7:$B$696,$A943)</f>
        <v>4661</v>
      </c>
      <c r="L943" s="183" t="n">
        <f aca="false">SUMIFS(報告入力!$BC$7:$BC$696,報告入力!$A$7:$A$696,$S$912,報告入力!$B$7:$B$696,$A943)</f>
        <v>4661</v>
      </c>
      <c r="M943" s="135" t="n">
        <f aca="false">SUM(K943:L943)</f>
        <v>9322</v>
      </c>
      <c r="N943" s="182" t="n">
        <f aca="false">SUMIFS(報告入力!$BD$7:$BD$696,報告入力!$A$7:$A$696,$S$912,報告入力!$B$7:$B$696,$A943)</f>
        <v>1</v>
      </c>
      <c r="O943" s="183" t="n">
        <f aca="false">SUMIFS(報告入力!$BE$7:$BE$696,報告入力!$A$7:$A$696,$S$912,報告入力!$B$7:$B$696,$A943)</f>
        <v>1</v>
      </c>
      <c r="P943" s="135" t="n">
        <f aca="false">SUM(N943:O943)</f>
        <v>2</v>
      </c>
      <c r="Q943" s="110" t="str">
        <f aca="false">IF(P878=P943,"〇","×")</f>
        <v>×</v>
      </c>
      <c r="R943" s="110" t="str">
        <f aca="false">IFERROR(INDEX(報告入力!$C$7:$C$696,MATCH($S$912&amp;"|"&amp;$A943,報告入力!$CG$7:$CG$696,0)),"")</f>
        <v>未受領</v>
      </c>
    </row>
    <row r="944" s="110" customFormat="true" ht="20.1" hidden="false" customHeight="true" outlineLevel="0" collapsed="false">
      <c r="A944" s="100" t="s">
        <v>184</v>
      </c>
      <c r="B944" s="384" t="n">
        <f aca="false">SUMIFS(報告入力!$AU$7:$AU$696,報告入力!$A$7:$A$696,$S$912,報告入力!$B$7:$B$696,$A944)</f>
        <v>987285</v>
      </c>
      <c r="C944" s="368" t="n">
        <f aca="false">SUMIFS(報告入力!$AV$7:$AV$696,報告入力!$A$7:$A$696,$S$912,報告入力!$B$7:$B$696,$A944)</f>
        <v>80925</v>
      </c>
      <c r="D944" s="384" t="n">
        <f aca="false">SUMIFS(報告入力!$AW$7:$AW$696,報告入力!$A$7:$A$696,$S$912,報告入力!$B$7:$B$696,$A944)</f>
        <v>987285</v>
      </c>
      <c r="E944" s="438" t="n">
        <f aca="false">SUMIFS(報告入力!$AX$7:$AX$696,報告入力!$A$7:$A$696,$S$912,報告入力!$B$7:$B$696,$A944)</f>
        <v>80925</v>
      </c>
      <c r="F944" s="385" t="n">
        <f aca="false">SUMIFS(報告入力!$AY$7:$AY$696,報告入力!$A$7:$A$696,$S$912,報告入力!$B$7:$B$696,$A944)</f>
        <v>1028</v>
      </c>
      <c r="G944" s="439" t="n">
        <f aca="false">SUM(B944:F944)</f>
        <v>2137448</v>
      </c>
      <c r="H944" s="214" t="n">
        <f aca="false">SUMIFS(報告入力!$AZ$7:$AZ$696,報告入力!$A$7:$A$696,$S$912,報告入力!$B$7:$B$696,$A944)</f>
        <v>593546</v>
      </c>
      <c r="I944" s="214" t="n">
        <f aca="false">SUMIFS(報告入力!$BA$7:$BA$696,報告入力!$A$7:$A$696,$S$912,報告入力!$B$7:$B$696,$A944)</f>
        <v>594636</v>
      </c>
      <c r="J944" s="440" t="n">
        <f aca="false">SUM(H944:I944)</f>
        <v>1188182</v>
      </c>
      <c r="K944" s="214" t="n">
        <f aca="false">SUMIFS(報告入力!$BB$7:$BB$696,報告入力!$A$7:$A$696,$S$912,報告入力!$B$7:$B$696,$A944)</f>
        <v>68124</v>
      </c>
      <c r="L944" s="214" t="n">
        <f aca="false">SUMIFS(報告入力!$BC$7:$BC$696,報告入力!$A$7:$A$696,$S$912,報告入力!$B$7:$B$696,$A944)</f>
        <v>68124</v>
      </c>
      <c r="M944" s="135" t="n">
        <f aca="false">SUM(K944:L944)</f>
        <v>136248</v>
      </c>
      <c r="N944" s="214" t="n">
        <f aca="false">SUMIFS(報告入力!$BD$7:$BD$696,報告入力!$A$7:$A$696,$S$912,報告入力!$B$7:$B$696,$A944)</f>
        <v>1</v>
      </c>
      <c r="O944" s="214" t="n">
        <f aca="false">SUMIFS(報告入力!$BE$7:$BE$696,報告入力!$A$7:$A$696,$S$912,報告入力!$B$7:$B$696,$A944)</f>
        <v>1</v>
      </c>
      <c r="P944" s="135" t="n">
        <f aca="false">SUM(N944:O944)</f>
        <v>2</v>
      </c>
      <c r="Q944" s="110" t="str">
        <f aca="false">IF(P879=P944,"〇","×")</f>
        <v>〇</v>
      </c>
      <c r="R944" s="110" t="str">
        <f aca="false">IFERROR(INDEX(報告入力!$C$7:$C$696,MATCH($S$912&amp;"|"&amp;$A944,報告入力!$CG$7:$CG$696,0)),"")</f>
        <v>未受領</v>
      </c>
    </row>
    <row r="945" s="110" customFormat="true" ht="20.1" hidden="false" customHeight="true" outlineLevel="0" collapsed="false">
      <c r="A945" s="100" t="s">
        <v>185</v>
      </c>
      <c r="B945" s="201"/>
      <c r="C945" s="191"/>
      <c r="D945" s="215" t="n">
        <f aca="false">SUMIFS(報告入力!$AW$7:$AW$696,報告入力!$A$7:$A$696,$S$912,報告入力!$B$7:$B$696,$A945)</f>
        <v>634095</v>
      </c>
      <c r="E945" s="213" t="n">
        <f aca="false">SUMIFS(報告入力!$AX$7:$AX$696,報告入力!$A$7:$A$696,$S$912,報告入力!$B$7:$B$696,$A945)</f>
        <v>51975</v>
      </c>
      <c r="F945" s="368" t="n">
        <f aca="false">SUMIFS(報告入力!$AY$7:$AY$696,報告入力!$A$7:$A$696,$S$912,報告入力!$B$7:$B$696,$A945)</f>
        <v>689</v>
      </c>
      <c r="G945" s="439" t="n">
        <f aca="false">SUM(B945:F945)</f>
        <v>686759</v>
      </c>
      <c r="H945" s="441"/>
      <c r="I945" s="214" t="n">
        <f aca="false">SUMIFS(報告入力!$BA$7:$BA$696,報告入力!$A$7:$A$696,$S$912,報告入力!$B$7:$B$696,$A945)</f>
        <v>381942</v>
      </c>
      <c r="J945" s="440" t="n">
        <f aca="false">SUM(H945:I945)</f>
        <v>381942</v>
      </c>
      <c r="K945" s="441"/>
      <c r="L945" s="214" t="n">
        <f aca="false">SUMIFS(報告入力!$BC$7:$BC$696,報告入力!$A$7:$A$696,$S$912,報告入力!$B$7:$B$696,$A945)</f>
        <v>36120</v>
      </c>
      <c r="M945" s="135" t="n">
        <f aca="false">SUM(K945:L945)</f>
        <v>36120</v>
      </c>
      <c r="N945" s="441"/>
      <c r="O945" s="214" t="n">
        <f aca="false">SUMIFS(報告入力!$BE$7:$BE$696,報告入力!$A$7:$A$696,$S$912,報告入力!$B$7:$B$696,$A945)</f>
        <v>1</v>
      </c>
      <c r="P945" s="135" t="n">
        <f aca="false">SUM(N945:O945)</f>
        <v>1</v>
      </c>
      <c r="Q945" s="110" t="str">
        <f aca="false">IF(P880=P945,"〇","×")</f>
        <v>〇</v>
      </c>
      <c r="R945" s="110" t="str">
        <f aca="false">IFERROR(INDEX(報告入力!$C$7:$C$696,MATCH($S$912&amp;"|"&amp;$A945,報告入力!$CG$7:$CG$696,0)),"")</f>
        <v>未受領</v>
      </c>
    </row>
    <row r="946" s="110" customFormat="true" ht="20.1" hidden="false" customHeight="true" outlineLevel="0" collapsed="false">
      <c r="A946" s="203" t="s">
        <v>186</v>
      </c>
      <c r="B946" s="186"/>
      <c r="C946" s="193"/>
      <c r="D946" s="215" t="n">
        <f aca="false">SUMIFS(報告入力!$AW$7:$AW$696,報告入力!$A$7:$A$696,$S$912,報告入力!$B$7:$B$696,$A946)</f>
        <v>1196820</v>
      </c>
      <c r="E946" s="213" t="n">
        <f aca="false">SUMIFS(報告入力!$AX$7:$AX$696,報告入力!$A$7:$A$696,$S$912,報告入力!$B$7:$B$696,$A946)</f>
        <v>98100</v>
      </c>
      <c r="F946" s="368" t="n">
        <f aca="false">SUMIFS(報告入力!$AY$7:$AY$696,報告入力!$A$7:$A$696,$S$912,報告入力!$B$7:$B$696,$A946)</f>
        <v>1224</v>
      </c>
      <c r="G946" s="181" t="n">
        <f aca="false">SUM(B946:F946)</f>
        <v>1296144</v>
      </c>
      <c r="H946" s="188"/>
      <c r="I946" s="370" t="n">
        <f aca="false">SUMIFS(報告入力!$BA$7:$BA$696,報告入力!$A$7:$A$696,$S$912,報告入力!$B$7:$B$696,$A946)</f>
        <v>722488</v>
      </c>
      <c r="J946" s="135" t="n">
        <f aca="false">SUM(H946:I946)</f>
        <v>722488</v>
      </c>
      <c r="K946" s="188"/>
      <c r="L946" s="370" t="n">
        <f aca="false">SUMIFS(報告入力!$BC$7:$BC$696,報告入力!$A$7:$A$696,$S$912,報告入力!$B$7:$B$696,$A946)</f>
        <v>97012</v>
      </c>
      <c r="M946" s="135" t="n">
        <f aca="false">SUM(K946:L946)</f>
        <v>97012</v>
      </c>
      <c r="N946" s="188"/>
      <c r="O946" s="370" t="n">
        <f aca="false">SUMIFS(報告入力!$BE$7:$BE$696,報告入力!$A$7:$A$696,$S$912,報告入力!$B$7:$B$696,$A946)</f>
        <v>1</v>
      </c>
      <c r="P946" s="135" t="n">
        <f aca="false">SUM(N946:O946)</f>
        <v>1</v>
      </c>
      <c r="Q946" s="110" t="str">
        <f aca="false">IF(P881=P946,"〇","×")</f>
        <v>〇</v>
      </c>
      <c r="R946" s="110" t="str">
        <f aca="false">IFERROR(INDEX(報告入力!$C$7:$C$696,MATCH($S$912&amp;"|"&amp;$A946,報告入力!$CG$7:$CG$696,0)),"")</f>
        <v>未受領</v>
      </c>
    </row>
    <row r="947" s="110" customFormat="true" ht="20.1" hidden="false" customHeight="true" outlineLevel="0" collapsed="false">
      <c r="A947" s="204" t="s">
        <v>187</v>
      </c>
      <c r="B947" s="186"/>
      <c r="C947" s="193"/>
      <c r="D947" s="215" t="n">
        <f aca="false">SUMIFS(報告入力!$AW$7:$AW$696,報告入力!$A$7:$A$696,$S$912,報告入力!$B$7:$B$696,$A947)</f>
        <v>0</v>
      </c>
      <c r="E947" s="213" t="n">
        <f aca="false">SUMIFS(報告入力!$AX$7:$AX$696,報告入力!$A$7:$A$696,$S$912,報告入力!$B$7:$B$696,$A947)</f>
        <v>0</v>
      </c>
      <c r="F947" s="368" t="n">
        <f aca="false">SUMIFS(報告入力!$AY$7:$AY$696,報告入力!$A$7:$A$696,$S$912,報告入力!$B$7:$B$696,$A947)</f>
        <v>0</v>
      </c>
      <c r="G947" s="181" t="n">
        <f aca="false">SUM(B947:F947)</f>
        <v>0</v>
      </c>
      <c r="H947" s="188"/>
      <c r="I947" s="370" t="n">
        <f aca="false">SUMIFS(報告入力!$BA$7:$BA$696,報告入力!$A$7:$A$696,$S$912,報告入力!$B$7:$B$696,$A947)</f>
        <v>0</v>
      </c>
      <c r="J947" s="135" t="n">
        <f aca="false">SUM(H947:I947)</f>
        <v>0</v>
      </c>
      <c r="K947" s="188"/>
      <c r="L947" s="370" t="n">
        <f aca="false">SUMIFS(報告入力!$BC$7:$BC$696,報告入力!$A$7:$A$696,$S$912,報告入力!$B$7:$B$696,$A947)</f>
        <v>0</v>
      </c>
      <c r="M947" s="135" t="n">
        <f aca="false">SUM(K947:L947)</f>
        <v>0</v>
      </c>
      <c r="N947" s="188"/>
      <c r="O947" s="370" t="n">
        <f aca="false">SUMIFS(報告入力!$BE$7:$BE$696,報告入力!$A$7:$A$696,$S$912,報告入力!$B$7:$B$696,$A947)</f>
        <v>0</v>
      </c>
      <c r="P947" s="135" t="n">
        <f aca="false">SUM(N947:O947)</f>
        <v>0</v>
      </c>
      <c r="Q947" s="110" t="str">
        <f aca="false">IF(P882=P947,"〇","×")</f>
        <v>〇</v>
      </c>
      <c r="R947" s="110" t="str">
        <f aca="false">IFERROR(INDEX(報告入力!$C$7:$C$696,MATCH($S$912&amp;"|"&amp;$A947,報告入力!$CG$7:$CG$696,0)),"")</f>
        <v>未受領</v>
      </c>
    </row>
    <row r="948" s="110" customFormat="true" ht="20.1" hidden="false" customHeight="true" outlineLevel="0" collapsed="false">
      <c r="A948" s="100" t="s">
        <v>188</v>
      </c>
      <c r="B948" s="186"/>
      <c r="C948" s="193"/>
      <c r="D948" s="178" t="n">
        <f aca="false">SUMIFS(報告入力!$AW$7:$AW$696,報告入力!$A$7:$A$696,$S$912,報告入力!$B$7:$B$696,$A948)</f>
        <v>402600</v>
      </c>
      <c r="E948" s="182" t="n">
        <f aca="false">SUMIFS(報告入力!$AX$7:$AX$696,報告入力!$A$7:$A$696,$S$912,報告入力!$B$7:$B$696,$A948)</f>
        <v>33000</v>
      </c>
      <c r="F948" s="368" t="n">
        <f aca="false">SUMIFS(報告入力!$AY$7:$AY$696,報告入力!$A$7:$A$696,$S$912,報告入力!$B$7:$B$696,$A948)</f>
        <v>412</v>
      </c>
      <c r="G948" s="181" t="n">
        <f aca="false">SUM(B948:F948)</f>
        <v>436012</v>
      </c>
      <c r="H948" s="188"/>
      <c r="I948" s="370" t="n">
        <f aca="false">SUMIFS(報告入力!$BA$7:$BA$696,報告入力!$A$7:$A$696,$S$912,報告入力!$B$7:$B$696,$A948)</f>
        <v>242482</v>
      </c>
      <c r="J948" s="135" t="n">
        <f aca="false">SUM(H948:I948)</f>
        <v>242482</v>
      </c>
      <c r="K948" s="188"/>
      <c r="L948" s="370" t="n">
        <f aca="false">SUMIFS(報告入力!$BC$7:$BC$696,報告入力!$A$7:$A$696,$S$912,報告入力!$B$7:$B$696,$A948)</f>
        <v>34760</v>
      </c>
      <c r="M948" s="135" t="n">
        <f aca="false">SUM(K948:L948)</f>
        <v>34760</v>
      </c>
      <c r="N948" s="188"/>
      <c r="O948" s="370" t="n">
        <f aca="false">SUMIFS(報告入力!$BE$7:$BE$696,報告入力!$A$7:$A$696,$S$912,報告入力!$B$7:$B$696,$A948)</f>
        <v>1</v>
      </c>
      <c r="P948" s="135" t="n">
        <f aca="false">SUM(N948:O948)</f>
        <v>1</v>
      </c>
      <c r="Q948" s="110" t="str">
        <f aca="false">IF(P883=P948,"〇","×")</f>
        <v>〇</v>
      </c>
      <c r="R948" s="110" t="str">
        <f aca="false">IFERROR(INDEX(報告入力!$C$7:$C$696,MATCH($S$912&amp;"|"&amp;$A948,報告入力!$CG$7:$CG$696,0)),"")</f>
        <v>未受領</v>
      </c>
    </row>
    <row r="949" s="110" customFormat="true" ht="20.1" hidden="false" customHeight="true" outlineLevel="0" collapsed="false">
      <c r="A949" s="121" t="s">
        <v>189</v>
      </c>
      <c r="B949" s="215" t="n">
        <f aca="false">SUMIFS(報告入力!$AU$7:$AU$696,報告入力!$A$7:$A$696,$S$912,報告入力!$B$7:$B$696,$A949)</f>
        <v>137250</v>
      </c>
      <c r="C949" s="368" t="n">
        <f aca="false">SUMIFS(報告入力!$AV$7:$AV$696,報告入力!$A$7:$A$696,$S$912,報告入力!$B$7:$B$696,$A949)</f>
        <v>11250</v>
      </c>
      <c r="D949" s="215" t="n">
        <f aca="false">SUMIFS(報告入力!$AW$7:$AW$696,報告入力!$A$7:$A$696,$S$912,報告入力!$B$7:$B$696,$A949)</f>
        <v>137250</v>
      </c>
      <c r="E949" s="213" t="n">
        <f aca="false">SUMIFS(報告入力!$AX$7:$AX$696,報告入力!$A$7:$A$696,$S$912,報告入力!$B$7:$B$696,$A949)</f>
        <v>11250</v>
      </c>
      <c r="F949" s="368" t="n">
        <f aca="false">SUMIFS(報告入力!$AY$7:$AY$696,報告入力!$A$7:$A$696,$S$912,報告入力!$B$7:$B$696,$A949)</f>
        <v>140</v>
      </c>
      <c r="G949" s="181" t="n">
        <f aca="false">SUM(B949:F949)</f>
        <v>297140</v>
      </c>
      <c r="H949" s="182" t="n">
        <f aca="false">SUMIFS(報告入力!$AZ$7:$AZ$696,報告入力!$A$7:$A$696,$S$912,報告入力!$B$7:$B$696,$A949)</f>
        <v>82514</v>
      </c>
      <c r="I949" s="370" t="n">
        <f aca="false">SUMIFS(報告入力!$BA$7:$BA$696,報告入力!$A$7:$A$696,$S$912,報告入力!$B$7:$B$696,$A949)</f>
        <v>82665</v>
      </c>
      <c r="J949" s="135" t="n">
        <f aca="false">SUM(H949:I949)</f>
        <v>165179</v>
      </c>
      <c r="K949" s="182" t="n">
        <f aca="false">SUMIFS(報告入力!$BB$7:$BB$696,報告入力!$A$7:$A$696,$S$912,報告入力!$B$7:$B$696,$A949)</f>
        <v>8611</v>
      </c>
      <c r="L949" s="370" t="n">
        <f aca="false">SUMIFS(報告入力!$BC$7:$BC$696,報告入力!$A$7:$A$696,$S$912,報告入力!$B$7:$B$696,$A949)</f>
        <v>8611</v>
      </c>
      <c r="M949" s="135" t="n">
        <f aca="false">SUM(K949:L949)</f>
        <v>17222</v>
      </c>
      <c r="N949" s="182" t="n">
        <f aca="false">SUMIFS(報告入力!$BD$7:$BD$696,報告入力!$A$7:$A$696,$S$912,報告入力!$B$7:$B$696,$A949)</f>
        <v>1</v>
      </c>
      <c r="O949" s="370" t="n">
        <f aca="false">SUMIFS(報告入力!$BE$7:$BE$696,報告入力!$A$7:$A$696,$S$912,報告入力!$B$7:$B$696,$A949)</f>
        <v>1</v>
      </c>
      <c r="P949" s="135" t="n">
        <f aca="false">SUM(N949:O949)</f>
        <v>2</v>
      </c>
      <c r="Q949" s="110" t="str">
        <f aca="false">IF(P884=P949,"〇","×")</f>
        <v>〇</v>
      </c>
      <c r="R949" s="110" t="str">
        <f aca="false">IFERROR(INDEX(報告入力!$C$7:$C$696,MATCH($S$912&amp;"|"&amp;$A949,報告入力!$CG$7:$CG$696,0)),"")</f>
        <v>未受領</v>
      </c>
    </row>
    <row r="950" s="110" customFormat="true" ht="20.1" hidden="false" customHeight="true" outlineLevel="0" collapsed="false">
      <c r="A950" s="206" t="s">
        <v>190</v>
      </c>
      <c r="B950" s="201"/>
      <c r="C950" s="191"/>
      <c r="D950" s="215" t="n">
        <f aca="false">SUMIFS(報告入力!$AW$7:$AW$696,報告入力!$A$7:$A$696,$S$912,報告入力!$B$7:$B$696,$A950)</f>
        <v>48495</v>
      </c>
      <c r="E950" s="369" t="n">
        <f aca="false">SUMIFS(報告入力!$AX$7:$AX$696,報告入力!$A$7:$A$696,$S$912,報告入力!$B$7:$B$696,$A950)</f>
        <v>3975</v>
      </c>
      <c r="F950" s="368" t="n">
        <f aca="false">SUMIFS(報告入力!$AY$7:$AY$696,報告入力!$A$7:$A$696,$S$912,報告入力!$B$7:$B$696,$A950)</f>
        <v>50</v>
      </c>
      <c r="G950" s="181" t="n">
        <f aca="false">SUM(B950:F950)</f>
        <v>52520</v>
      </c>
      <c r="H950" s="202"/>
      <c r="I950" s="370" t="n">
        <f aca="false">SUMIFS(報告入力!$BA$7:$BA$696,報告入力!$A$7:$A$696,$S$912,報告入力!$B$7:$B$696,$A950)</f>
        <v>29208</v>
      </c>
      <c r="J950" s="135" t="n">
        <f aca="false">SUM(H950:I950)</f>
        <v>29208</v>
      </c>
      <c r="K950" s="202"/>
      <c r="L950" s="370" t="n">
        <f aca="false">SUMIFS(報告入力!$BC$7:$BC$696,報告入力!$A$7:$A$696,$S$912,報告入力!$B$7:$B$696,$A950)</f>
        <v>4452</v>
      </c>
      <c r="M950" s="135" t="n">
        <f aca="false">SUM(K950:L950)</f>
        <v>4452</v>
      </c>
      <c r="N950" s="202"/>
      <c r="O950" s="370" t="n">
        <f aca="false">SUMIFS(報告入力!$BE$7:$BE$696,報告入力!$A$7:$A$696,$S$912,報告入力!$B$7:$B$696,$A950)</f>
        <v>1</v>
      </c>
      <c r="P950" s="135" t="n">
        <f aca="false">SUM(N950:O950)</f>
        <v>1</v>
      </c>
      <c r="Q950" s="110" t="str">
        <f aca="false">IF(P885=P950,"〇","×")</f>
        <v>×</v>
      </c>
      <c r="R950" s="110" t="str">
        <f aca="false">IFERROR(INDEX(報告入力!$C$7:$C$696,MATCH($S$912&amp;"|"&amp;$A950,報告入力!$CG$7:$CG$696,0)),"")</f>
        <v>未受領</v>
      </c>
    </row>
    <row r="951" s="110" customFormat="true" ht="20.1" hidden="false" customHeight="true" outlineLevel="0" collapsed="false">
      <c r="A951" s="189" t="s">
        <v>191</v>
      </c>
      <c r="B951" s="215" t="n">
        <f aca="false">SUMIFS(報告入力!$AU$7:$AU$696,報告入力!$A$7:$A$696,$S$912,報告入力!$B$7:$B$696,$A951)</f>
        <v>56730</v>
      </c>
      <c r="C951" s="368" t="n">
        <f aca="false">SUMIFS(報告入力!$AV$7:$AV$696,報告入力!$A$7:$A$696,$S$912,報告入力!$B$7:$B$696,$A951)</f>
        <v>4650</v>
      </c>
      <c r="D951" s="215" t="n">
        <f aca="false">SUMIFS(報告入力!$AW$7:$AW$696,報告入力!$A$7:$A$696,$S$912,報告入力!$B$7:$B$696,$A951)</f>
        <v>56730</v>
      </c>
      <c r="E951" s="213" t="n">
        <f aca="false">SUMIFS(報告入力!$AX$7:$AX$696,報告入力!$A$7:$A$696,$S$912,報告入力!$B$7:$B$696,$A951)</f>
        <v>4650</v>
      </c>
      <c r="F951" s="368" t="n">
        <f aca="false">SUMIFS(報告入力!$AY$7:$AY$696,報告入力!$A$7:$A$696,$S$912,報告入力!$B$7:$B$696,$A951)</f>
        <v>58</v>
      </c>
      <c r="G951" s="181" t="n">
        <f aca="false">SUM(B951:F951)</f>
        <v>122818</v>
      </c>
      <c r="H951" s="182" t="n">
        <f aca="false">SUMIFS(報告入力!$AZ$7:$AZ$696,報告入力!$A$7:$A$696,$S$912,報告入力!$B$7:$B$696,$A951)</f>
        <v>34106</v>
      </c>
      <c r="I951" s="183" t="n">
        <f aca="false">SUMIFS(報告入力!$BA$7:$BA$696,報告入力!$A$7:$A$696,$S$912,報告入力!$B$7:$B$696,$A951)</f>
        <v>34168</v>
      </c>
      <c r="J951" s="135" t="n">
        <f aca="false">SUM(H951:I951)</f>
        <v>68274</v>
      </c>
      <c r="K951" s="182" t="n">
        <f aca="false">SUMIFS(報告入力!$BB$7:$BB$696,報告入力!$A$7:$A$696,$S$912,報告入力!$B$7:$B$696,$A951)</f>
        <v>4898</v>
      </c>
      <c r="L951" s="183" t="n">
        <f aca="false">SUMIFS(報告入力!$BC$7:$BC$696,報告入力!$A$7:$A$696,$S$912,報告入力!$B$7:$B$696,$A951)</f>
        <v>4898</v>
      </c>
      <c r="M951" s="135" t="n">
        <f aca="false">SUM(K951:L951)</f>
        <v>9796</v>
      </c>
      <c r="N951" s="182" t="n">
        <f aca="false">SUMIFS(報告入力!$BD$7:$BD$696,報告入力!$A$7:$A$696,$S$912,報告入力!$B$7:$B$696,$A951)</f>
        <v>1</v>
      </c>
      <c r="O951" s="183" t="n">
        <f aca="false">SUMIFS(報告入力!$BE$7:$BE$696,報告入力!$A$7:$A$696,$S$912,報告入力!$B$7:$B$696,$A951)</f>
        <v>1</v>
      </c>
      <c r="P951" s="135" t="n">
        <f aca="false">SUM(N951:O951)</f>
        <v>2</v>
      </c>
      <c r="Q951" s="110" t="str">
        <f aca="false">IF(P886=P951,"〇","×")</f>
        <v>〇</v>
      </c>
      <c r="R951" s="110" t="str">
        <f aca="false">IFERROR(INDEX(報告入力!$C$7:$C$696,MATCH($S$912&amp;"|"&amp;$A951,報告入力!$CG$7:$CG$696,0)),"")</f>
        <v>未受領</v>
      </c>
    </row>
    <row r="952" s="110" customFormat="true" ht="20.1" hidden="false" customHeight="true" outlineLevel="0" collapsed="false">
      <c r="A952" s="189" t="s">
        <v>192</v>
      </c>
      <c r="B952" s="215" t="n">
        <f aca="false">SUMIFS(報告入力!$AU$7:$AU$696,報告入力!$A$7:$A$696,$S$912,報告入力!$B$7:$B$696,$A952)</f>
        <v>59475</v>
      </c>
      <c r="C952" s="368" t="n">
        <f aca="false">SUMIFS(報告入力!$AV$7:$AV$696,報告入力!$A$7:$A$696,$S$912,報告入力!$B$7:$B$696,$A952)</f>
        <v>4875</v>
      </c>
      <c r="D952" s="215" t="n">
        <f aca="false">SUMIFS(報告入力!$AW$7:$AW$696,報告入力!$A$7:$A$696,$S$912,報告入力!$B$7:$B$696,$A952)</f>
        <v>59475</v>
      </c>
      <c r="E952" s="213" t="n">
        <f aca="false">SUMIFS(報告入力!$AX$7:$AX$696,報告入力!$A$7:$A$696,$S$912,報告入力!$B$7:$B$696,$A952)</f>
        <v>4875</v>
      </c>
      <c r="F952" s="368" t="n">
        <f aca="false">SUMIFS(報告入力!$AY$7:$AY$696,報告入力!$A$7:$A$696,$S$912,報告入力!$B$7:$B$696,$A952)</f>
        <v>61</v>
      </c>
      <c r="G952" s="181" t="n">
        <f aca="false">SUM(B952:F952)</f>
        <v>128761</v>
      </c>
      <c r="H952" s="182" t="n">
        <f aca="false">SUMIFS(報告入力!$AZ$7:$AZ$696,報告入力!$A$7:$A$696,$S$912,報告入力!$B$7:$B$696,$A952)</f>
        <v>41257</v>
      </c>
      <c r="I952" s="183" t="n">
        <f aca="false">SUMIFS(報告入力!$BA$7:$BA$696,報告入力!$A$7:$A$696,$S$912,報告入力!$B$7:$B$696,$A952)</f>
        <v>41332</v>
      </c>
      <c r="J952" s="135" t="n">
        <f aca="false">SUM(H952:I952)</f>
        <v>82589</v>
      </c>
      <c r="K952" s="182" t="n">
        <f aca="false">SUMIFS(報告入力!$BB$7:$BB$696,報告入力!$A$7:$A$696,$S$912,報告入力!$B$7:$B$696,$A952)</f>
        <v>5925</v>
      </c>
      <c r="L952" s="183" t="n">
        <f aca="false">SUMIFS(報告入力!$BC$7:$BC$696,報告入力!$A$7:$A$696,$S$912,報告入力!$B$7:$B$696,$A952)</f>
        <v>5925</v>
      </c>
      <c r="M952" s="135" t="n">
        <f aca="false">SUM(K952:L952)</f>
        <v>11850</v>
      </c>
      <c r="N952" s="182" t="n">
        <f aca="false">SUMIFS(報告入力!$BD$7:$BD$696,報告入力!$A$7:$A$696,$S$912,報告入力!$B$7:$B$696,$A952)</f>
        <v>1</v>
      </c>
      <c r="O952" s="183" t="n">
        <f aca="false">SUMIFS(報告入力!$BE$7:$BE$696,報告入力!$A$7:$A$696,$S$912,報告入力!$B$7:$B$696,$A952)</f>
        <v>1</v>
      </c>
      <c r="P952" s="135" t="n">
        <f aca="false">SUM(N952:O952)</f>
        <v>2</v>
      </c>
      <c r="Q952" s="110" t="str">
        <f aca="false">IF(P887=P952,"〇","×")</f>
        <v>×</v>
      </c>
      <c r="R952" s="110" t="str">
        <f aca="false">IFERROR(INDEX(報告入力!$C$7:$C$696,MATCH($S$912&amp;"|"&amp;$A952,報告入力!$CG$7:$CG$696,0)),"")</f>
        <v>未受領</v>
      </c>
    </row>
    <row r="953" s="110" customFormat="true" ht="20.1" hidden="false" customHeight="true" outlineLevel="0" collapsed="false">
      <c r="A953" s="189" t="s">
        <v>193</v>
      </c>
      <c r="B953" s="215" t="n">
        <f aca="false">SUMIFS(報告入力!$AU$7:$AU$696,報告入力!$A$7:$A$696,$S$912,報告入力!$B$7:$B$696,$A953)</f>
        <v>53985</v>
      </c>
      <c r="C953" s="368" t="n">
        <f aca="false">SUMIFS(報告入力!$AV$7:$AV$696,報告入力!$A$7:$A$696,$S$912,報告入力!$B$7:$B$696,$A953)</f>
        <v>4425</v>
      </c>
      <c r="D953" s="215" t="n">
        <f aca="false">SUMIFS(報告入力!$AW$7:$AW$696,報告入力!$A$7:$A$696,$S$912,報告入力!$B$7:$B$696,$A953)</f>
        <v>53985</v>
      </c>
      <c r="E953" s="213" t="n">
        <f aca="false">SUMIFS(報告入力!$AX$7:$AX$696,報告入力!$A$7:$A$696,$S$912,報告入力!$B$7:$B$696,$A953)</f>
        <v>4425</v>
      </c>
      <c r="F953" s="368" t="n">
        <f aca="false">SUMIFS(報告入力!$AY$7:$AY$696,報告入力!$A$7:$A$696,$S$912,報告入力!$B$7:$B$696,$A953)</f>
        <v>55</v>
      </c>
      <c r="G953" s="181" t="n">
        <f aca="false">SUM(B953:F953)</f>
        <v>116875</v>
      </c>
      <c r="H953" s="182" t="n">
        <f aca="false">SUMIFS(報告入力!$AZ$7:$AZ$696,報告入力!$A$7:$A$696,$S$912,報告入力!$B$7:$B$696,$A953)</f>
        <v>32455</v>
      </c>
      <c r="I953" s="183" t="n">
        <f aca="false">SUMIFS(報告入力!$BA$7:$BA$696,報告入力!$A$7:$A$696,$S$912,報告入力!$B$7:$B$696,$A953)</f>
        <v>32514</v>
      </c>
      <c r="J953" s="135" t="n">
        <f aca="false">SUM(H953:I953)</f>
        <v>64969</v>
      </c>
      <c r="K953" s="182" t="n">
        <f aca="false">SUMIFS(報告入力!$BB$7:$BB$696,報告入力!$A$7:$A$696,$S$912,報告入力!$B$7:$B$696,$A953)</f>
        <v>0</v>
      </c>
      <c r="L953" s="183" t="n">
        <f aca="false">SUMIFS(報告入力!$BC$7:$BC$696,報告入力!$A$7:$A$696,$S$912,報告入力!$B$7:$B$696,$A953)</f>
        <v>0</v>
      </c>
      <c r="M953" s="135" t="n">
        <f aca="false">SUM(K953:L953)</f>
        <v>0</v>
      </c>
      <c r="N953" s="182" t="n">
        <f aca="false">SUMIFS(報告入力!$BD$7:$BD$696,報告入力!$A$7:$A$696,$S$912,報告入力!$B$7:$B$696,$A953)</f>
        <v>1</v>
      </c>
      <c r="O953" s="183" t="n">
        <f aca="false">SUMIFS(報告入力!$BE$7:$BE$696,報告入力!$A$7:$A$696,$S$912,報告入力!$B$7:$B$696,$A953)</f>
        <v>1</v>
      </c>
      <c r="P953" s="135" t="n">
        <f aca="false">SUM(N953:O953)</f>
        <v>2</v>
      </c>
      <c r="Q953" s="110" t="str">
        <f aca="false">IF(P888=P953,"〇","×")</f>
        <v>×</v>
      </c>
      <c r="R953" s="110" t="str">
        <f aca="false">IFERROR(INDEX(報告入力!$C$7:$C$696,MATCH($S$912&amp;"|"&amp;$A953,報告入力!$CG$7:$CG$696,0)),"")</f>
        <v>未受領</v>
      </c>
    </row>
    <row r="954" s="110" customFormat="true" ht="20.1" hidden="false" customHeight="true" outlineLevel="0" collapsed="false">
      <c r="A954" s="121" t="s">
        <v>194</v>
      </c>
      <c r="B954" s="178" t="n">
        <f aca="false">SUMIFS(報告入力!$AU$7:$AU$696,報告入力!$A$7:$A$696,$S$912,報告入力!$B$7:$B$696,$A954)</f>
        <v>1216950</v>
      </c>
      <c r="C954" s="212" t="n">
        <f aca="false">SUMIFS(報告入力!$AV$7:$AV$696,報告入力!$A$7:$A$696,$S$912,報告入力!$B$7:$B$696,$A954)</f>
        <v>99750</v>
      </c>
      <c r="D954" s="178" t="n">
        <f aca="false">SUMIFS(報告入力!$AW$7:$AW$696,報告入力!$A$7:$A$696,$S$912,報告入力!$B$7:$B$696,$A954)</f>
        <v>1216950</v>
      </c>
      <c r="E954" s="182" t="n">
        <f aca="false">SUMIFS(報告入力!$AX$7:$AX$696,報告入力!$A$7:$A$696,$S$912,報告入力!$B$7:$B$696,$A954)</f>
        <v>99750</v>
      </c>
      <c r="F954" s="212" t="n">
        <f aca="false">SUMIFS(報告入力!$AY$7:$AY$696,報告入力!$A$7:$A$696,$S$912,報告入力!$B$7:$B$696,$A954)</f>
        <v>1360</v>
      </c>
      <c r="G954" s="181" t="n">
        <f aca="false">SUM(B954:F954)</f>
        <v>2634760</v>
      </c>
      <c r="H954" s="182" t="n">
        <f aca="false">SUMIFS(報告入力!$AZ$7:$AZ$696,報告入力!$A$7:$A$696,$S$912,報告入力!$B$7:$B$696,$A954)</f>
        <v>731621</v>
      </c>
      <c r="I954" s="183" t="n">
        <f aca="false">SUMIFS(報告入力!$BA$7:$BA$696,報告入力!$A$7:$A$696,$S$912,報告入力!$B$7:$B$696,$A954)</f>
        <v>733082</v>
      </c>
      <c r="J954" s="135" t="n">
        <f aca="false">SUM(H954:I954)</f>
        <v>1464703</v>
      </c>
      <c r="K954" s="182" t="n">
        <f aca="false">SUMIFS(報告入力!$BB$7:$BB$696,報告入力!$A$7:$A$696,$S$912,報告入力!$B$7:$B$696,$A954)</f>
        <v>69599</v>
      </c>
      <c r="L954" s="183" t="n">
        <f aca="false">SUMIFS(報告入力!$BC$7:$BC$696,報告入力!$A$7:$A$696,$S$912,報告入力!$B$7:$B$696,$A954)</f>
        <v>69599</v>
      </c>
      <c r="M954" s="135" t="n">
        <f aca="false">SUM(K954:L954)</f>
        <v>139198</v>
      </c>
      <c r="N954" s="182" t="n">
        <f aca="false">SUMIFS(報告入力!$BD$7:$BD$696,報告入力!$A$7:$A$696,$S$912,報告入力!$B$7:$B$696,$A954)</f>
        <v>1</v>
      </c>
      <c r="O954" s="183" t="n">
        <f aca="false">SUMIFS(報告入力!$BE$7:$BE$696,報告入力!$A$7:$A$696,$S$912,報告入力!$B$7:$B$696,$A954)</f>
        <v>1</v>
      </c>
      <c r="P954" s="135" t="n">
        <f aca="false">SUM(N954:O954)</f>
        <v>2</v>
      </c>
      <c r="Q954" s="110" t="str">
        <f aca="false">IF(P889=P954,"〇","×")</f>
        <v>〇</v>
      </c>
      <c r="R954" s="110" t="str">
        <f aca="false">IFERROR(INDEX(報告入力!$C$7:$C$696,MATCH($S$912&amp;"|"&amp;$A954,報告入力!$CG$7:$CG$696,0)),"")</f>
        <v>未受領</v>
      </c>
    </row>
    <row r="955" s="110" customFormat="true" ht="20.1" hidden="false" customHeight="true" outlineLevel="0" collapsed="false">
      <c r="A955" s="121" t="s">
        <v>195</v>
      </c>
      <c r="B955" s="201"/>
      <c r="C955" s="191"/>
      <c r="D955" s="215" t="n">
        <f aca="false">SUMIFS(報告入力!$AW$7:$AW$696,報告入力!$A$7:$A$696,$S$912,報告入力!$B$7:$B$696,$A955)</f>
        <v>245220</v>
      </c>
      <c r="E955" s="213" t="n">
        <f aca="false">SUMIFS(報告入力!$AX$7:$AX$696,報告入力!$A$7:$A$696,$S$912,報告入力!$B$7:$B$696,$A955)</f>
        <v>20100</v>
      </c>
      <c r="F955" s="368" t="n">
        <f aca="false">SUMIFS(報告入力!$AY$7:$AY$696,報告入力!$A$7:$A$696,$S$912,報告入力!$B$7:$B$696,$A955)</f>
        <v>251</v>
      </c>
      <c r="G955" s="181" t="n">
        <f aca="false">SUM(B955:F955)</f>
        <v>265571</v>
      </c>
      <c r="H955" s="202"/>
      <c r="I955" s="214" t="n">
        <f aca="false">SUMIFS(報告入力!$BA$7:$BA$696,報告入力!$A$7:$A$696,$S$912,報告入力!$B$7:$B$696,$A955)</f>
        <v>151001</v>
      </c>
      <c r="J955" s="135" t="n">
        <f aca="false">SUM(H955:I955)</f>
        <v>151001</v>
      </c>
      <c r="K955" s="201"/>
      <c r="L955" s="214" t="n">
        <f aca="false">SUMIFS(報告入力!$BC$7:$BC$696,報告入力!$A$7:$A$696,$S$912,報告入力!$B$7:$B$696,$A955)</f>
        <v>10744</v>
      </c>
      <c r="M955" s="135" t="n">
        <f aca="false">SUM(K955:L955)</f>
        <v>10744</v>
      </c>
      <c r="N955" s="201"/>
      <c r="O955" s="214" t="n">
        <f aca="false">SUMIFS(報告入力!$BE$7:$BE$696,報告入力!$A$7:$A$696,$S$912,報告入力!$B$7:$B$696,$A955)</f>
        <v>1</v>
      </c>
      <c r="P955" s="135" t="n">
        <f aca="false">SUM(N955:O955)</f>
        <v>1</v>
      </c>
      <c r="Q955" s="110" t="str">
        <f aca="false">IF(P890=P955,"〇","×")</f>
        <v>〇</v>
      </c>
      <c r="R955" s="110" t="str">
        <f aca="false">IFERROR(INDEX(報告入力!$C$7:$C$696,MATCH($S$912&amp;"|"&amp;$A955,報告入力!$CG$7:$CG$696,0)),"")</f>
        <v>未受領</v>
      </c>
    </row>
    <row r="956" s="110" customFormat="true" ht="19.5" hidden="false" customHeight="true" outlineLevel="0" collapsed="false">
      <c r="A956" s="207" t="s">
        <v>196</v>
      </c>
      <c r="B956" s="215" t="n">
        <f aca="false">SUMIFS(報告入力!$AU$7:$AU$696,報告入力!$A$7:$A$696,$S$912,報告入力!$B$7:$B$696,$A956)</f>
        <v>122457286</v>
      </c>
      <c r="C956" s="368" t="n">
        <f aca="false">SUMIFS(報告入力!$AV$7:$AV$696,報告入力!$A$7:$A$696,$S$912,報告入力!$B$7:$B$696,$A956)</f>
        <v>10042357</v>
      </c>
      <c r="D956" s="215" t="n">
        <f aca="false">SUMIFS(報告入力!$AW$7:$AW$696,報告入力!$A$7:$A$696,$S$912,報告入力!$B$7:$B$696,$A956)</f>
        <v>169847748</v>
      </c>
      <c r="E956" s="369" t="n">
        <f aca="false">SUMIFS(報告入力!$AX$7:$AX$696,報告入力!$A$7:$A$696,$S$912,報告入力!$B$7:$B$696,$A956)</f>
        <v>10042357</v>
      </c>
      <c r="F956" s="368" t="n">
        <f aca="false">SUMIFS(報告入力!$AY$7:$AY$696,報告入力!$A$7:$A$696,$S$912,報告入力!$B$7:$B$696,$A956)</f>
        <v>134868</v>
      </c>
      <c r="G956" s="181" t="n">
        <f aca="false">SUM(B956:F956)</f>
        <v>312524616</v>
      </c>
      <c r="H956" s="213" t="n">
        <f aca="false">SUMIFS(報告入力!$AZ$7:$AZ$696,報告入力!$A$7:$A$696,$S$912,報告入力!$B$7:$B$696,$A956)</f>
        <v>95166395</v>
      </c>
      <c r="I956" s="370" t="n">
        <f aca="false">SUMIFS(報告入力!$BA$7:$BA$696,報告入力!$A$7:$A$696,$S$912,報告入力!$B$7:$B$696,$A956)</f>
        <v>95340690</v>
      </c>
      <c r="J956" s="135" t="n">
        <f aca="false">SUM(H956:I956)</f>
        <v>190507085</v>
      </c>
      <c r="K956" s="215" t="n">
        <f aca="false">SUMIFS(報告入力!$BB$7:$BB$696,報告入力!$A$7:$A$696,$S$912,報告入力!$B$7:$B$696,$A956)</f>
        <v>8029163</v>
      </c>
      <c r="L956" s="370" t="n">
        <f aca="false">SUMIFS(報告入力!$BC$7:$BC$696,報告入力!$A$7:$A$696,$S$912,報告入力!$B$7:$B$696,$A956)</f>
        <v>8029163</v>
      </c>
      <c r="M956" s="135" t="n">
        <f aca="false">SUM(K956:L956)</f>
        <v>16058326</v>
      </c>
      <c r="N956" s="215" t="n">
        <f aca="false">SUMIFS(報告入力!$BD$7:$BD$696,報告入力!$A$7:$A$696,$S$912,報告入力!$B$7:$B$696,$A956)</f>
        <v>1</v>
      </c>
      <c r="O956" s="370" t="n">
        <f aca="false">SUMIFS(報告入力!$BE$7:$BE$696,報告入力!$A$7:$A$696,$S$912,報告入力!$B$7:$B$696,$A956)</f>
        <v>1</v>
      </c>
      <c r="P956" s="135" t="n">
        <f aca="false">SUM(N956:O956)</f>
        <v>2</v>
      </c>
      <c r="Q956" s="110" t="str">
        <f aca="false">IF(P891=P956,"〇","×")</f>
        <v>〇</v>
      </c>
      <c r="R956" s="110" t="str">
        <f aca="false">IFERROR(INDEX(報告入力!$C$7:$C$696,MATCH($S$912&amp;"|"&amp;$A956,報告入力!$CG$7:$CG$696,0)),"")</f>
        <v>未受領</v>
      </c>
    </row>
    <row r="957" s="137" customFormat="true" ht="21.75" hidden="false" customHeight="true" outlineLevel="0" collapsed="false">
      <c r="A957" s="374" t="s">
        <v>197</v>
      </c>
      <c r="B957" s="127"/>
      <c r="C957" s="131"/>
      <c r="D957" s="127"/>
      <c r="E957" s="209"/>
      <c r="F957" s="131"/>
      <c r="G957" s="210" t="n">
        <f aca="false">SUM(B957:F957)</f>
        <v>0</v>
      </c>
      <c r="H957" s="213" t="n">
        <f aca="false">SUMIFS(報告入力!$AZ$7:$AZ$696,報告入力!$A$7:$A$696,$S$912,報告入力!$B$7:$B$696,$A957)</f>
        <v>99012</v>
      </c>
      <c r="I957" s="370" t="n">
        <f aca="false">SUMIFS(報告入力!$BA$7:$BA$696,報告入力!$A$7:$A$696,$S$912,報告入力!$B$7:$B$696,$A957)</f>
        <v>99196</v>
      </c>
      <c r="J957" s="135" t="n">
        <f aca="false">SUM(H957:I957)</f>
        <v>198208</v>
      </c>
      <c r="K957" s="215" t="n">
        <f aca="false">SUMIFS(報告入力!$BB$7:$BB$696,報告入力!$A$7:$A$696,$S$912,報告入力!$B$7:$B$696,$A957)</f>
        <v>13524</v>
      </c>
      <c r="L957" s="370" t="n">
        <f aca="false">SUMIFS(報告入力!$BC$7:$BC$696,報告入力!$A$7:$A$696,$S$912,報告入力!$B$7:$B$696,$A957)</f>
        <v>13524</v>
      </c>
      <c r="M957" s="135" t="n">
        <f aca="false">SUM(K957:L957)</f>
        <v>27048</v>
      </c>
      <c r="N957" s="215" t="n">
        <f aca="false">SUMIFS(報告入力!$BD$7:$BD$696,報告入力!$A$7:$A$696,$S$912,報告入力!$B$7:$B$696,$A957)</f>
        <v>1</v>
      </c>
      <c r="O957" s="370" t="n">
        <f aca="false">SUMIFS(報告入力!$BE$7:$BE$696,報告入力!$A$7:$A$696,$S$912,報告入力!$B$7:$B$696,$A957)</f>
        <v>1</v>
      </c>
      <c r="P957" s="135" t="n">
        <f aca="false">SUM(N957:O957)</f>
        <v>2</v>
      </c>
      <c r="Q957" s="137" t="str">
        <f aca="false">IF(P892=P957,"〇","×")</f>
        <v>〇</v>
      </c>
      <c r="R957" s="137" t="str">
        <f aca="false">IFERROR(INDEX(報告入力!$C$7:$C$696,MATCH($S$912&amp;"|"&amp;$A957,報告入力!$CG$7:$CG$696,0)),"")</f>
        <v>未受領</v>
      </c>
    </row>
    <row r="958" s="137" customFormat="true" ht="21.75" hidden="false" customHeight="true" outlineLevel="0" collapsed="false">
      <c r="A958" s="211" t="s">
        <v>216</v>
      </c>
      <c r="B958" s="311"/>
      <c r="C958" s="330"/>
      <c r="D958" s="311"/>
      <c r="E958" s="309"/>
      <c r="F958" s="331"/>
      <c r="G958" s="302" t="n">
        <f aca="false">SUM(B958:F958)</f>
        <v>0</v>
      </c>
      <c r="H958" s="309"/>
      <c r="I958" s="310"/>
      <c r="J958" s="305" t="n">
        <f aca="false">SUM(H958:I958)</f>
        <v>0</v>
      </c>
      <c r="K958" s="309"/>
      <c r="L958" s="310"/>
      <c r="M958" s="305" t="n">
        <f aca="false">SUM(K958:L958)</f>
        <v>0</v>
      </c>
      <c r="N958" s="309"/>
      <c r="O958" s="310"/>
      <c r="P958" s="305" t="n">
        <f aca="false">SUM(N958:O958)</f>
        <v>0</v>
      </c>
      <c r="Q958" s="137" t="str">
        <f aca="false">IF(P893=P958,"〇","×")</f>
        <v>〇</v>
      </c>
      <c r="R958" s="137" t="str">
        <f aca="false">IFERROR(INDEX(報告入力!$C$7:$C$696,MATCH($S$912&amp;"|"&amp;$A958,報告入力!$CG$7:$CG$696,0)),"")</f>
        <v>報告なし</v>
      </c>
    </row>
    <row r="959" s="137" customFormat="true" ht="21.75" hidden="false" customHeight="true" outlineLevel="0" collapsed="false">
      <c r="A959" s="211" t="s">
        <v>199</v>
      </c>
      <c r="B959" s="215" t="n">
        <f aca="false">SUMIFS(報告入力!$AU$7:$AU$696,報告入力!$A$7:$A$696,$S$912,報告入力!$B$7:$B$696,$A959)</f>
        <v>59475</v>
      </c>
      <c r="C959" s="367" t="n">
        <f aca="false">SUMIFS(報告入力!$AV$7:$AV$696,報告入力!$A$7:$A$696,$S$912,報告入力!$B$7:$B$696,$A959)</f>
        <v>4875</v>
      </c>
      <c r="D959" s="215" t="n">
        <f aca="false">SUMIFS(報告入力!$AW$7:$AW$696,報告入力!$A$7:$A$696,$S$912,報告入力!$B$7:$B$696,$A959)</f>
        <v>59475</v>
      </c>
      <c r="E959" s="213" t="n">
        <f aca="false">SUMIFS(報告入力!$AX$7:$AX$696,報告入力!$A$7:$A$696,$S$912,報告入力!$B$7:$B$696,$A959)</f>
        <v>4875</v>
      </c>
      <c r="F959" s="368" t="n">
        <f aca="false">SUMIFS(報告入力!$AY$7:$AY$696,報告入力!$A$7:$A$696,$S$912,報告入力!$B$7:$B$696,$A959)</f>
        <v>61</v>
      </c>
      <c r="G959" s="181" t="n">
        <f aca="false">SUM(B959:F959)</f>
        <v>128761</v>
      </c>
      <c r="H959" s="215" t="n">
        <f aca="false">SUMIFS(報告入力!$AZ$7:$AZ$696,報告入力!$A$7:$A$696,$S$912,報告入力!$B$7:$B$696,$A959)</f>
        <v>41257</v>
      </c>
      <c r="I959" s="214" t="n">
        <f aca="false">SUMIFS(報告入力!$BA$7:$BA$696,報告入力!$A$7:$A$696,$S$912,報告入力!$B$7:$B$696,$A959)</f>
        <v>41332</v>
      </c>
      <c r="J959" s="135" t="n">
        <f aca="false">SUM(H959:I959)</f>
        <v>82589</v>
      </c>
      <c r="K959" s="215" t="n">
        <f aca="false">SUMIFS(報告入力!$BB$7:$BB$696,報告入力!$A$7:$A$696,$S$912,報告入力!$B$7:$B$696,$A959)</f>
        <v>5925</v>
      </c>
      <c r="L959" s="213" t="n">
        <f aca="false">SUMIFS(報告入力!$BC$7:$BC$696,報告入力!$A$7:$A$696,$S$912,報告入力!$B$7:$B$696,$A959)</f>
        <v>5925</v>
      </c>
      <c r="M959" s="135" t="n">
        <f aca="false">SUM(K959:L959)</f>
        <v>11850</v>
      </c>
      <c r="N959" s="215" t="n">
        <f aca="false">SUMIFS(報告入力!$BD$7:$BD$696,報告入力!$A$7:$A$696,$S$912,報告入力!$B$7:$B$696,$A959)</f>
        <v>1</v>
      </c>
      <c r="O959" s="213" t="n">
        <f aca="false">SUMIFS(報告入力!$BE$7:$BE$696,報告入力!$A$7:$A$696,$S$912,報告入力!$B$7:$B$696,$A959)</f>
        <v>1</v>
      </c>
      <c r="P959" s="135" t="n">
        <f aca="false">SUM(N959:O959)</f>
        <v>2</v>
      </c>
      <c r="Q959" s="137" t="str">
        <f aca="false">IF(P894=P959,"〇","×")</f>
        <v>×</v>
      </c>
      <c r="R959" s="137" t="str">
        <f aca="false">IFERROR(INDEX(報告入力!$C$7:$C$696,MATCH($S$912&amp;"|"&amp;$A959,報告入力!$CG$7:$CG$696,0)),"")</f>
        <v>未受領</v>
      </c>
    </row>
    <row r="960" s="137" customFormat="true" ht="21.75" hidden="false" customHeight="true" outlineLevel="0" collapsed="false">
      <c r="A960" s="149"/>
      <c r="B960" s="157"/>
      <c r="C960" s="156"/>
      <c r="D960" s="220"/>
      <c r="E960" s="158"/>
      <c r="F960" s="156"/>
      <c r="G960" s="221" t="n">
        <f aca="false">SUM(B960:F960)</f>
        <v>0</v>
      </c>
      <c r="H960" s="222"/>
      <c r="I960" s="158"/>
      <c r="J960" s="223" t="n">
        <f aca="false">SUM(H960:I960)</f>
        <v>0</v>
      </c>
      <c r="K960" s="220"/>
      <c r="L960" s="158"/>
      <c r="M960" s="223" t="n">
        <f aca="false">SUM(K960:L960)</f>
        <v>0</v>
      </c>
      <c r="N960" s="220"/>
      <c r="O960" s="158"/>
      <c r="P960" s="135" t="n">
        <f aca="false">SUM(N960:O960)</f>
        <v>0</v>
      </c>
      <c r="Q960" s="137" t="str">
        <f aca="false">IF(P895=P960,"〇","×")</f>
        <v>〇</v>
      </c>
    </row>
    <row r="961" s="137" customFormat="true" ht="0.2" hidden="false" customHeight="true" outlineLevel="0" collapsed="false">
      <c r="A961" s="149"/>
      <c r="B961" s="157"/>
      <c r="C961" s="156"/>
      <c r="D961" s="220"/>
      <c r="E961" s="158"/>
      <c r="F961" s="156"/>
      <c r="G961" s="221" t="n">
        <f aca="false">SUM(B961:F961)</f>
        <v>0</v>
      </c>
      <c r="H961" s="222"/>
      <c r="I961" s="158"/>
      <c r="J961" s="223" t="n">
        <f aca="false">SUM(H961:I961)</f>
        <v>0</v>
      </c>
      <c r="K961" s="220"/>
      <c r="L961" s="158"/>
      <c r="M961" s="223" t="n">
        <f aca="false">SUM(K961:L961)</f>
        <v>0</v>
      </c>
      <c r="N961" s="220"/>
      <c r="O961" s="158"/>
      <c r="P961" s="223" t="n">
        <f aca="false">SUM(N961:O961)</f>
        <v>0</v>
      </c>
      <c r="Q961" s="137" t="str">
        <f aca="false">IF(P896=P961,"〇","×")</f>
        <v>〇</v>
      </c>
    </row>
    <row r="962" s="137" customFormat="true" ht="0.2" hidden="false" customHeight="true" outlineLevel="0" collapsed="false">
      <c r="A962" s="162"/>
      <c r="B962" s="224"/>
      <c r="C962" s="225"/>
      <c r="D962" s="226"/>
      <c r="E962" s="227"/>
      <c r="F962" s="225"/>
      <c r="G962" s="228"/>
      <c r="H962" s="229"/>
      <c r="I962" s="229"/>
      <c r="J962" s="230"/>
      <c r="K962" s="231"/>
      <c r="L962" s="229"/>
      <c r="M962" s="230"/>
      <c r="N962" s="231"/>
      <c r="O962" s="229"/>
      <c r="P962" s="230"/>
      <c r="Q962" s="137" t="str">
        <f aca="false">IF(P897=P962,"〇","×")</f>
        <v>〇</v>
      </c>
    </row>
    <row r="963" s="110" customFormat="true" ht="20.1" hidden="false" customHeight="true" outlineLevel="0" collapsed="false">
      <c r="A963" s="171" t="s">
        <v>383</v>
      </c>
      <c r="B963" s="172" t="n">
        <f aca="false">SUM(B933:B962)</f>
        <v>125462146</v>
      </c>
      <c r="C963" s="175" t="n">
        <f aca="false">SUM(C933:C962)</f>
        <v>10288657</v>
      </c>
      <c r="D963" s="173" t="n">
        <f aca="false">SUM(D933:D962)</f>
        <v>178456983</v>
      </c>
      <c r="E963" s="174" t="n">
        <f aca="false">SUM(E933:E962)</f>
        <v>10748032</v>
      </c>
      <c r="F963" s="175" t="n">
        <f aca="false">SUM(F933:F962)</f>
        <v>143945</v>
      </c>
      <c r="G963" s="176" t="n">
        <f aca="false">SUM(B963:F963)</f>
        <v>325099763</v>
      </c>
      <c r="H963" s="173" t="n">
        <f aca="false">SUM(H933:H961)</f>
        <v>97082907</v>
      </c>
      <c r="I963" s="173" t="n">
        <f aca="false">SUM(I933:I961)</f>
        <v>100780271</v>
      </c>
      <c r="J963" s="175" t="n">
        <f aca="false">SUM(H963:I963)</f>
        <v>197863178</v>
      </c>
      <c r="K963" s="172" t="n">
        <f aca="false">SUM(K933:K961)</f>
        <v>8224189</v>
      </c>
      <c r="L963" s="173" t="n">
        <f aca="false">SUM(L933:L961)</f>
        <v>8637218</v>
      </c>
      <c r="M963" s="175" t="n">
        <f aca="false">SUM(K963:L963)</f>
        <v>16861407</v>
      </c>
      <c r="N963" s="172" t="n">
        <f aca="false">SUM(N933:N961)</f>
        <v>12</v>
      </c>
      <c r="O963" s="173" t="n">
        <f aca="false">SUM(O933:O961)</f>
        <v>24</v>
      </c>
      <c r="P963" s="175" t="n">
        <f aca="false">SUM(N963:O963)</f>
        <v>36</v>
      </c>
      <c r="Q963" s="110" t="str">
        <f aca="false">IF(P898=P963,"〇","×")</f>
        <v>×</v>
      </c>
    </row>
    <row r="964" s="137" customFormat="true" ht="0.2" hidden="false" customHeight="true" outlineLevel="0" collapsed="false">
      <c r="A964" s="149" t="s">
        <v>382</v>
      </c>
      <c r="B964" s="231"/>
      <c r="C964" s="232"/>
      <c r="D964" s="229"/>
      <c r="E964" s="233"/>
      <c r="F964" s="234"/>
      <c r="G964" s="235"/>
      <c r="H964" s="236"/>
      <c r="I964" s="236"/>
      <c r="J964" s="237"/>
      <c r="K964" s="238"/>
      <c r="L964" s="239"/>
      <c r="M964" s="240"/>
      <c r="N964" s="238"/>
      <c r="O964" s="239"/>
      <c r="P964" s="240"/>
      <c r="Q964" s="137" t="str">
        <f aca="false">IF(P899=P964,"〇","×")</f>
        <v>〇</v>
      </c>
    </row>
    <row r="965" s="137" customFormat="true" ht="0.2" hidden="false" customHeight="true" outlineLevel="0" collapsed="false">
      <c r="A965" s="241" t="s">
        <v>382</v>
      </c>
      <c r="B965" s="242"/>
      <c r="C965" s="243"/>
      <c r="D965" s="229"/>
      <c r="E965" s="233"/>
      <c r="F965" s="232"/>
      <c r="G965" s="228"/>
      <c r="H965" s="244"/>
      <c r="I965" s="244"/>
      <c r="J965" s="245"/>
      <c r="K965" s="246"/>
      <c r="L965" s="247"/>
      <c r="M965" s="248"/>
      <c r="N965" s="246"/>
      <c r="O965" s="247"/>
      <c r="P965" s="248"/>
      <c r="Q965" s="137" t="str">
        <f aca="false">IF(P900=P965,"〇","×")</f>
        <v>〇</v>
      </c>
    </row>
    <row r="966" s="110" customFormat="true" ht="20.1" hidden="false" customHeight="true" outlineLevel="0" collapsed="false">
      <c r="A966" s="189" t="s">
        <v>200</v>
      </c>
      <c r="B966" s="215" t="n">
        <f aca="false">SUMIFS(報告入力!$AU$7:$AU$696,報告入力!$A$7:$A$696,$S$912,報告入力!$B$7:$B$696,$A966)</f>
        <v>185745</v>
      </c>
      <c r="C966" s="368" t="n">
        <f aca="false">SUMIFS(報告入力!$AV$7:$AV$696,報告入力!$A$7:$A$696,$S$912,報告入力!$B$7:$B$696,$A966)</f>
        <v>15225</v>
      </c>
      <c r="D966" s="215" t="n">
        <f aca="false">SUMIFS(報告入力!$AW$7:$AW$696,報告入力!$A$7:$A$696,$S$912,報告入力!$B$7:$B$696,$A966)</f>
        <v>185745</v>
      </c>
      <c r="E966" s="213" t="n">
        <f aca="false">SUMIFS(報告入力!$AX$7:$AX$696,報告入力!$A$7:$A$696,$S$912,報告入力!$B$7:$B$696,$A966)</f>
        <v>15225</v>
      </c>
      <c r="F966" s="368" t="n">
        <f aca="false">SUMIFS(報告入力!$AY$7:$AY$696,報告入力!$A$7:$A$696,$S$912,報告入力!$B$7:$B$696,$A966)</f>
        <v>193</v>
      </c>
      <c r="G966" s="181" t="n">
        <f aca="false">SUM(B966:F966)</f>
        <v>402133</v>
      </c>
      <c r="H966" s="214" t="n">
        <f aca="false">SUMIFS(報告入力!$AZ$7:$AZ$696,報告入力!$A$7:$A$696,$S$912,報告入力!$B$7:$B$696,$A966)</f>
        <v>0</v>
      </c>
      <c r="I966" s="130"/>
      <c r="J966" s="135" t="n">
        <f aca="false">SUM(H966:I966)</f>
        <v>0</v>
      </c>
      <c r="K966" s="214" t="n">
        <f aca="false">SUMIFS(報告入力!$BB$7:$BB$696,報告入力!$A$7:$A$696,$S$912,報告入力!$B$7:$B$696,$A966)</f>
        <v>0</v>
      </c>
      <c r="L966" s="130"/>
      <c r="M966" s="135" t="n">
        <f aca="false">SUM(K966:L966)</f>
        <v>0</v>
      </c>
      <c r="N966" s="214" t="n">
        <f aca="false">SUMIFS(報告入力!$BD$7:$BD$696,報告入力!$A$7:$A$696,$S$912,報告入力!$B$7:$B$696,$A966)</f>
        <v>0</v>
      </c>
      <c r="O966" s="130"/>
      <c r="P966" s="135" t="n">
        <f aca="false">SUM(N966:O966)</f>
        <v>0</v>
      </c>
      <c r="Q966" s="110" t="str">
        <f aca="false">IF(P901=P966,"〇","×")</f>
        <v>〇</v>
      </c>
      <c r="R966" s="110" t="str">
        <f aca="false">IFERROR(INDEX(報告入力!$C$7:$C$696,MATCH($S$912&amp;"|"&amp;$A966,報告入力!$CG$7:$CG$696,0)),"")</f>
        <v>未受領</v>
      </c>
    </row>
    <row r="967" s="110" customFormat="true" ht="21.75" hidden="false" customHeight="true" outlineLevel="0" collapsed="false">
      <c r="A967" s="189" t="s">
        <v>201</v>
      </c>
      <c r="B967" s="384" t="n">
        <f aca="false">SUMIFS(報告入力!$AU$7:$AU$696,報告入力!$A$7:$A$696,$S$912,報告入力!$B$7:$B$696,$A967)</f>
        <v>53985</v>
      </c>
      <c r="C967" s="385" t="n">
        <f aca="false">SUMIFS(報告入力!$AV$7:$AV$696,報告入力!$A$7:$A$696,$S$912,報告入力!$B$7:$B$696,$A967)</f>
        <v>4425</v>
      </c>
      <c r="D967" s="400" t="n">
        <f aca="false">SUMIFS(報告入力!$AW$7:$AW$696,報告入力!$A$7:$A$696,$S$912,報告入力!$B$7:$B$696,$A967)</f>
        <v>53985</v>
      </c>
      <c r="E967" s="401" t="n">
        <f aca="false">SUMIFS(報告入力!$AX$7:$AX$696,報告入力!$A$7:$A$696,$S$912,報告入力!$B$7:$B$696,$A967)</f>
        <v>4425</v>
      </c>
      <c r="F967" s="402" t="n">
        <f aca="false">SUMIFS(報告入力!$AY$7:$AY$696,報告入力!$A$7:$A$696,$S$912,報告入力!$B$7:$B$696,$A967)</f>
        <v>55</v>
      </c>
      <c r="G967" s="366" t="n">
        <f aca="false">SUM(B967:F967)</f>
        <v>116875</v>
      </c>
      <c r="H967" s="252"/>
      <c r="I967" s="252"/>
      <c r="J967" s="253" t="n">
        <f aca="false">SUM(H967:I967)</f>
        <v>0</v>
      </c>
      <c r="K967" s="252"/>
      <c r="L967" s="252"/>
      <c r="M967" s="253" t="n">
        <f aca="false">SUM(K967:L967)</f>
        <v>0</v>
      </c>
      <c r="N967" s="252"/>
      <c r="O967" s="252"/>
      <c r="P967" s="253" t="n">
        <f aca="false">SUM(N967:O967)</f>
        <v>0</v>
      </c>
      <c r="Q967" s="110" t="str">
        <f aca="false">IF(P902=P967,"〇","×")</f>
        <v>〇</v>
      </c>
      <c r="R967" s="110" t="str">
        <f aca="false">IFERROR(INDEX(報告入力!$C$7:$C$696,MATCH($S$912&amp;"|"&amp;$A967,報告入力!$CG$7:$CG$696,0)),"")</f>
        <v>未受領</v>
      </c>
    </row>
    <row r="968" s="110" customFormat="true" ht="19.5" hidden="false" customHeight="true" outlineLevel="0" collapsed="false">
      <c r="A968" s="171" t="s">
        <v>383</v>
      </c>
      <c r="B968" s="172" t="n">
        <f aca="false">SUM(B964:B967)</f>
        <v>239730</v>
      </c>
      <c r="C968" s="175" t="n">
        <f aca="false">SUM(C964:C967)</f>
        <v>19650</v>
      </c>
      <c r="D968" s="173" t="n">
        <f aca="false">SUM(D964:D967)</f>
        <v>239730</v>
      </c>
      <c r="E968" s="174" t="n">
        <f aca="false">SUM(E964:E967)</f>
        <v>19650</v>
      </c>
      <c r="F968" s="175" t="n">
        <f aca="false">SUM(F964:F967)</f>
        <v>248</v>
      </c>
      <c r="G968" s="176" t="n">
        <f aca="false">SUM(B968:F968)</f>
        <v>519008</v>
      </c>
      <c r="H968" s="256" t="n">
        <f aca="false">SUM(H964:H967)</f>
        <v>0</v>
      </c>
      <c r="I968" s="257" t="n">
        <f aca="false">SUM(I964:I967)</f>
        <v>0</v>
      </c>
      <c r="J968" s="258" t="n">
        <f aca="false">SUM(H968:I968)</f>
        <v>0</v>
      </c>
      <c r="K968" s="256" t="n">
        <f aca="false">SUM(K964:K967)</f>
        <v>0</v>
      </c>
      <c r="L968" s="257" t="n">
        <f aca="false">SUM(L964:L967)</f>
        <v>0</v>
      </c>
      <c r="M968" s="258" t="n">
        <f aca="false">SUM(K968:L968)</f>
        <v>0</v>
      </c>
      <c r="N968" s="256" t="n">
        <f aca="false">SUM(N964:N967)</f>
        <v>0</v>
      </c>
      <c r="O968" s="257" t="n">
        <f aca="false">SUM(O964:O967)</f>
        <v>0</v>
      </c>
      <c r="P968" s="258" t="n">
        <f aca="false">SUM(N968:O968)</f>
        <v>0</v>
      </c>
      <c r="Q968" s="110" t="str">
        <f aca="false">IF(P903=P968,"〇","×")</f>
        <v>〇</v>
      </c>
    </row>
    <row r="969" s="110" customFormat="true" ht="20.1" hidden="false" customHeight="true" outlineLevel="0" collapsed="false">
      <c r="A969" s="100" t="s">
        <v>202</v>
      </c>
      <c r="B969" s="178" t="n">
        <f aca="false">SUMIFS(報告入力!$AU$7:$AU$696,報告入力!$A$7:$A$696,$S$912,報告入力!$B$7:$B$696,$A969)</f>
        <v>29280</v>
      </c>
      <c r="C969" s="212" t="n">
        <f aca="false">SUMIFS(報告入力!$AV$7:$AV$696,報告入力!$A$7:$A$696,$S$912,報告入力!$B$7:$B$696,$A969)</f>
        <v>2400</v>
      </c>
      <c r="D969" s="362" t="n">
        <f aca="false">SUMIFS(報告入力!$AW$7:$AW$696,報告入力!$A$7:$A$696,$S$912,報告入力!$B$7:$B$696,$A969)</f>
        <v>29280</v>
      </c>
      <c r="E969" s="415" t="n">
        <f aca="false">SUMIFS(報告入力!$AX$7:$AX$696,報告入力!$A$7:$A$696,$S$912,報告入力!$B$7:$B$696,$A969)</f>
        <v>2400</v>
      </c>
      <c r="F969" s="312"/>
      <c r="G969" s="181" t="n">
        <f aca="false">SUM(B969:F969)</f>
        <v>63360</v>
      </c>
      <c r="H969" s="182" t="n">
        <f aca="false">SUMIFS(報告入力!$AZ$7:$AZ$696,報告入力!$A$7:$A$696,$S$912,報告入力!$B$7:$B$696,$A969)</f>
        <v>17603</v>
      </c>
      <c r="I969" s="183" t="n">
        <f aca="false">SUMIFS(報告入力!$BA$7:$BA$696,報告入力!$A$7:$A$696,$S$912,報告入力!$B$7:$B$696,$A969)</f>
        <v>17635</v>
      </c>
      <c r="J969" s="135" t="n">
        <f aca="false">SUM(H969:I969)</f>
        <v>35238</v>
      </c>
      <c r="K969" s="182" t="n">
        <f aca="false">SUMIFS(報告入力!$BB$7:$BB$696,報告入力!$A$7:$A$696,$S$912,報告入力!$B$7:$B$696,$A969)</f>
        <v>2528</v>
      </c>
      <c r="L969" s="183" t="n">
        <f aca="false">SUMIFS(報告入力!$BC$7:$BC$696,報告入力!$A$7:$A$696,$S$912,報告入力!$B$7:$B$696,$A969)</f>
        <v>2528</v>
      </c>
      <c r="M969" s="135" t="n">
        <f aca="false">SUM(K969:L969)</f>
        <v>5056</v>
      </c>
      <c r="N969" s="182" t="n">
        <f aca="false">SUMIFS(報告入力!$BD$7:$BD$696,報告入力!$A$7:$A$696,$S$912,報告入力!$B$7:$B$696,$A969)</f>
        <v>1</v>
      </c>
      <c r="O969" s="183" t="n">
        <f aca="false">SUMIFS(報告入力!$BE$7:$BE$696,報告入力!$A$7:$A$696,$S$912,報告入力!$B$7:$B$696,$A969)</f>
        <v>1</v>
      </c>
      <c r="P969" s="135" t="n">
        <f aca="false">SUM(N969:O969)</f>
        <v>2</v>
      </c>
      <c r="Q969" s="110" t="str">
        <f aca="false">IF(P904=P969,"〇","×")</f>
        <v>〇</v>
      </c>
      <c r="R969" s="110" t="str">
        <f aca="false">IFERROR(INDEX(報告入力!$C$7:$C$696,MATCH($S$912&amp;"|"&amp;$A969,報告入力!$CG$7:$CG$696,0)),"")</f>
        <v>未受領</v>
      </c>
    </row>
    <row r="970" s="110" customFormat="true" ht="20.1" hidden="false" customHeight="true" outlineLevel="0" collapsed="false">
      <c r="A970" s="100" t="s">
        <v>203</v>
      </c>
      <c r="B970" s="178"/>
      <c r="C970" s="179"/>
      <c r="D970" s="178"/>
      <c r="E970" s="415"/>
      <c r="F970" s="312"/>
      <c r="G970" s="181" t="n">
        <f aca="false">SUM(B970:F970)</f>
        <v>0</v>
      </c>
      <c r="H970" s="182"/>
      <c r="I970" s="183"/>
      <c r="J970" s="135" t="n">
        <f aca="false">SUM(H970:I970)</f>
        <v>0</v>
      </c>
      <c r="K970" s="262"/>
      <c r="L970" s="183"/>
      <c r="M970" s="135" t="n">
        <f aca="false">SUM(K970:L970)</f>
        <v>0</v>
      </c>
      <c r="N970" s="262"/>
      <c r="O970" s="183"/>
      <c r="P970" s="135" t="n">
        <f aca="false">SUM(N970:O970)</f>
        <v>0</v>
      </c>
      <c r="Q970" s="110" t="str">
        <f aca="false">IF(P905=P970,"〇","×")</f>
        <v>〇</v>
      </c>
      <c r="R970" s="110" t="str">
        <f aca="false">IFERROR(INDEX(報告入力!$C$7:$C$696,MATCH($S$912&amp;"|"&amp;$A970,報告入力!$CG$7:$CG$696,0)),"")</f>
        <v>報告なし</v>
      </c>
    </row>
    <row r="971" s="110" customFormat="true" ht="20.1" hidden="false" customHeight="true" outlineLevel="0" collapsed="false">
      <c r="A971" s="192" t="s">
        <v>204</v>
      </c>
      <c r="B971" s="178" t="n">
        <f aca="false">SUMIFS(報告入力!$AU$7:$AU$696,報告入力!$A$7:$A$696,$S$912,報告入力!$B$7:$B$696,$A971)</f>
        <v>27450</v>
      </c>
      <c r="C971" s="179" t="n">
        <f aca="false">SUMIFS(報告入力!$AV$7:$AV$696,報告入力!$A$7:$A$696,$S$912,報告入力!$B$7:$B$696,$A971)</f>
        <v>2250</v>
      </c>
      <c r="D971" s="178" t="n">
        <f aca="false">SUMIFS(報告入力!$AW$7:$AW$696,報告入力!$A$7:$A$696,$S$912,報告入力!$B$7:$B$696,$A971)</f>
        <v>27450</v>
      </c>
      <c r="E971" s="415" t="n">
        <f aca="false">SUMIFS(報告入力!$AX$7:$AX$696,報告入力!$A$7:$A$696,$S$912,報告入力!$B$7:$B$696,$A971)</f>
        <v>2250</v>
      </c>
      <c r="F971" s="312"/>
      <c r="G971" s="181" t="n">
        <f aca="false">SUM(B971:F971)</f>
        <v>59400</v>
      </c>
      <c r="H971" s="182" t="n">
        <f aca="false">SUMIFS(報告入力!$AZ$7:$AZ$696,報告入力!$A$7:$A$696,$S$912,報告入力!$B$7:$B$696,$A971)</f>
        <v>33006</v>
      </c>
      <c r="I971" s="183" t="n">
        <f aca="false">SUMIFS(報告入力!$BA$7:$BA$696,報告入力!$A$7:$A$696,$S$912,報告入力!$B$7:$B$696,$A971)</f>
        <v>33066</v>
      </c>
      <c r="J971" s="135" t="n">
        <f aca="false">SUM(H971:I971)</f>
        <v>66072</v>
      </c>
      <c r="K971" s="262" t="n">
        <f aca="false">SUMIFS(報告入力!$BB$7:$BB$696,報告入力!$A$7:$A$696,$S$912,報告入力!$B$7:$B$696,$A971)</f>
        <v>2370</v>
      </c>
      <c r="L971" s="183" t="n">
        <f aca="false">SUMIFS(報告入力!$BC$7:$BC$696,報告入力!$A$7:$A$696,$S$912,報告入力!$B$7:$B$696,$A971)</f>
        <v>2370</v>
      </c>
      <c r="M971" s="135" t="n">
        <f aca="false">SUM(K971:L971)</f>
        <v>4740</v>
      </c>
      <c r="N971" s="262" t="n">
        <f aca="false">SUMIFS(報告入力!$BD$7:$BD$696,報告入力!$A$7:$A$696,$S$912,報告入力!$B$7:$B$696,$A971)</f>
        <v>1</v>
      </c>
      <c r="O971" s="183" t="n">
        <f aca="false">SUMIFS(報告入力!$BE$7:$BE$696,報告入力!$A$7:$A$696,$S$912,報告入力!$B$7:$B$696,$A971)</f>
        <v>1</v>
      </c>
      <c r="P971" s="135" t="n">
        <f aca="false">SUM(N971:O971)</f>
        <v>2</v>
      </c>
      <c r="Q971" s="110" t="str">
        <f aca="false">IF(P906=P971,"〇","×")</f>
        <v>〇</v>
      </c>
      <c r="R971" s="110" t="str">
        <f aca="false">IFERROR(INDEX(報告入力!$C$7:$C$696,MATCH($S$912&amp;"|"&amp;$A971,報告入力!$CG$7:$CG$696,0)),"")</f>
        <v>未受領</v>
      </c>
    </row>
    <row r="972" s="110" customFormat="true" ht="20.1" hidden="false" customHeight="true" outlineLevel="0" collapsed="false">
      <c r="A972" s="192" t="s">
        <v>205</v>
      </c>
      <c r="B972" s="416"/>
      <c r="C972" s="417"/>
      <c r="D972" s="416"/>
      <c r="E972" s="418"/>
      <c r="F972" s="267"/>
      <c r="G972" s="419" t="n">
        <f aca="false">SUM(B972:F972)</f>
        <v>0</v>
      </c>
      <c r="H972" s="332"/>
      <c r="I972" s="333"/>
      <c r="J972" s="284" t="n">
        <f aca="false">SUM(H972:I972)</f>
        <v>0</v>
      </c>
      <c r="K972" s="334"/>
      <c r="L972" s="333"/>
      <c r="M972" s="284" t="n">
        <f aca="false">SUM(K972:L972)</f>
        <v>0</v>
      </c>
      <c r="N972" s="334"/>
      <c r="O972" s="333"/>
      <c r="P972" s="284" t="n">
        <f aca="false">SUM(N972:O972)</f>
        <v>0</v>
      </c>
      <c r="Q972" s="110" t="str">
        <f aca="false">IF(P907=P972,"〇","×")</f>
        <v>〇</v>
      </c>
      <c r="R972" s="110" t="str">
        <f aca="false">IFERROR(INDEX(報告入力!$C$7:$C$696,MATCH($S$912&amp;"|"&amp;$A972,報告入力!$CG$7:$CG$696,0)),"")</f>
        <v>報告なし</v>
      </c>
    </row>
    <row r="973" s="110" customFormat="true" ht="20.1" hidden="false" customHeight="true" outlineLevel="0" collapsed="false">
      <c r="A973" s="171" t="s">
        <v>383</v>
      </c>
      <c r="B973" s="172" t="n">
        <f aca="false">SUM(B969:B972)</f>
        <v>56730</v>
      </c>
      <c r="C973" s="176" t="n">
        <f aca="false">SUM(C969:C972)</f>
        <v>4650</v>
      </c>
      <c r="D973" s="172" t="n">
        <f aca="false">SUM(D969:D972)</f>
        <v>56730</v>
      </c>
      <c r="E973" s="174" t="n">
        <f aca="false">SUM(E969:E972)</f>
        <v>4650</v>
      </c>
      <c r="F973" s="175" t="n">
        <f aca="false">SUM(F969:F972)</f>
        <v>0</v>
      </c>
      <c r="G973" s="176" t="n">
        <f aca="false">SUM(B973:F973)</f>
        <v>122760</v>
      </c>
      <c r="H973" s="276" t="n">
        <f aca="false">SUM(H969:H972)</f>
        <v>50609</v>
      </c>
      <c r="I973" s="174" t="n">
        <f aca="false">SUM(I969:I972)</f>
        <v>50701</v>
      </c>
      <c r="J973" s="175" t="n">
        <f aca="false">SUM(H973:I973)</f>
        <v>101310</v>
      </c>
      <c r="K973" s="172" t="n">
        <f aca="false">SUM(K969:K972)</f>
        <v>4898</v>
      </c>
      <c r="L973" s="276" t="n">
        <f aca="false">SUM(L969:L972)</f>
        <v>4898</v>
      </c>
      <c r="M973" s="175" t="n">
        <f aca="false">SUM(K973:L973)</f>
        <v>9796</v>
      </c>
      <c r="N973" s="172" t="n">
        <f aca="false">SUM(N969:N972)</f>
        <v>2</v>
      </c>
      <c r="O973" s="276" t="n">
        <f aca="false">SUM(O969:O972)</f>
        <v>2</v>
      </c>
      <c r="P973" s="175" t="n">
        <f aca="false">SUM(N973:O973)</f>
        <v>4</v>
      </c>
      <c r="Q973" s="110" t="str">
        <f aca="false">IF(P908=P973,"〇","×")</f>
        <v>〇</v>
      </c>
    </row>
    <row r="974" s="110" customFormat="true" ht="20.1" hidden="false" customHeight="true" outlineLevel="0" collapsed="false">
      <c r="A974" s="277" t="s">
        <v>206</v>
      </c>
      <c r="B974" s="278"/>
      <c r="C974" s="279"/>
      <c r="D974" s="280"/>
      <c r="E974" s="281"/>
      <c r="F974" s="267"/>
      <c r="G974" s="268"/>
      <c r="H974" s="332" t="n">
        <f aca="false">SUMIFS(報告入力!$AZ$7:$AZ$696,報告入力!$A$7:$A$696,$S$912,報告入力!$B$7:$B$696,$A974)</f>
        <v>112219</v>
      </c>
      <c r="I974" s="314"/>
      <c r="J974" s="284" t="n">
        <f aca="false">SUM(H974:I974)</f>
        <v>112219</v>
      </c>
      <c r="K974" s="332" t="n">
        <f aca="false">SUMIFS(報告入力!$BB$7:$BB$696,報告入力!$A$7:$A$696,$S$912,報告入力!$B$7:$B$696,$A974)</f>
        <v>17136</v>
      </c>
      <c r="L974" s="314"/>
      <c r="M974" s="284" t="n">
        <f aca="false">SUM(K974:L974)</f>
        <v>17136</v>
      </c>
      <c r="N974" s="332" t="n">
        <f aca="false">SUMIFS(報告入力!$BD$7:$BD$696,報告入力!$A$7:$A$696,$S$912,報告入力!$B$7:$B$696,$A974)</f>
        <v>1</v>
      </c>
      <c r="O974" s="314"/>
      <c r="P974" s="284" t="n">
        <f aca="false">SUM(N974:O974)</f>
        <v>1</v>
      </c>
      <c r="Q974" s="110" t="str">
        <f aca="false">IF(P909=P974,"〇","×")</f>
        <v>×</v>
      </c>
      <c r="R974" s="110" t="str">
        <f aca="false">IFERROR(INDEX(報告入力!$C$7:$C$696,MATCH($S$912&amp;"|"&amp;$A974,報告入力!$CG$7:$CG$696,0)),"")</f>
        <v>未受領</v>
      </c>
    </row>
    <row r="975" s="110" customFormat="true" ht="30" hidden="false" customHeight="true" outlineLevel="0" collapsed="false">
      <c r="A975" s="285" t="s">
        <v>385</v>
      </c>
      <c r="B975" s="286" t="n">
        <f aca="false">SUM(+B932+B963+B968+B973+B974)</f>
        <v>475792313</v>
      </c>
      <c r="C975" s="287" t="n">
        <f aca="false">SUM(+C932+C963+C968+C973+C974)</f>
        <v>39009119</v>
      </c>
      <c r="D975" s="286" t="n">
        <f aca="false">SUM(+D932+D963+D968+D973+D974)</f>
        <v>656807401</v>
      </c>
      <c r="E975" s="288" t="n">
        <f aca="false">SUM(+E932+E963+E968+E973+E974)</f>
        <v>38991344</v>
      </c>
      <c r="F975" s="287" t="n">
        <f aca="false">SUM(+F932+F963+F968+F973+F974)</f>
        <v>515892</v>
      </c>
      <c r="G975" s="289" t="n">
        <f aca="false">SUM(B975:F975)</f>
        <v>1211116069</v>
      </c>
      <c r="H975" s="290" t="n">
        <f aca="false">SUM(+H932+H963+H968+H973+H974)</f>
        <v>355787025</v>
      </c>
      <c r="I975" s="290" t="n">
        <f aca="false">SUM(+I932+I963+I968+I973+I974)</f>
        <v>359744737</v>
      </c>
      <c r="J975" s="291" t="n">
        <f aca="false">SUM(H975:I975)</f>
        <v>715531762</v>
      </c>
      <c r="K975" s="292" t="n">
        <f aca="false">SUM(+K932+K963+K968+K973+K974)</f>
        <v>32282038</v>
      </c>
      <c r="L975" s="290" t="n">
        <f aca="false">SUM(+L932+L963+L968+L973+L974)</f>
        <v>32234438</v>
      </c>
      <c r="M975" s="291" t="n">
        <f aca="false">SUM(K975:L975)</f>
        <v>64516476</v>
      </c>
      <c r="N975" s="292" t="n">
        <f aca="false">SUM(+N932+N963+N968+N973+N974)</f>
        <v>27</v>
      </c>
      <c r="O975" s="290" t="n">
        <f aca="false">SUM(+O932+O963+O968+O973+O974)</f>
        <v>38</v>
      </c>
      <c r="P975" s="291" t="n">
        <f aca="false">SUM(N975:O975)</f>
        <v>65</v>
      </c>
      <c r="Q975" s="110" t="str">
        <f aca="false">IF(P910=P975,"〇","×")</f>
        <v>×</v>
      </c>
    </row>
    <row r="976" s="316" customFormat="true" ht="39" hidden="false" customHeight="true" outlineLevel="0" collapsed="false">
      <c r="A976" s="315"/>
      <c r="G976" s="84"/>
      <c r="Q976" s="316" t="str">
        <f aca="false">IF(P911=P976,"〇","×")</f>
        <v>〇</v>
      </c>
    </row>
    <row r="977" s="297" customFormat="true" ht="30" hidden="false" customHeight="true" outlineLevel="0" collapsed="false">
      <c r="A977" s="295"/>
      <c r="B977" s="442" t="str">
        <f aca="false">A2</f>
        <v>令和8年度</v>
      </c>
      <c r="C977" s="442"/>
      <c r="D977" s="443" t="s">
        <v>403</v>
      </c>
      <c r="E977" s="443"/>
      <c r="F977" s="443"/>
      <c r="G977" s="443"/>
      <c r="H977" s="442" t="str">
        <f aca="false">B977</f>
        <v>令和8年度</v>
      </c>
      <c r="I977" s="443" t="s">
        <v>403</v>
      </c>
      <c r="J977" s="443"/>
      <c r="K977" s="442" t="str">
        <f aca="false">B977</f>
        <v>令和8年度</v>
      </c>
      <c r="L977" s="443" t="s">
        <v>403</v>
      </c>
      <c r="M977" s="443"/>
      <c r="N977" s="442" t="str">
        <f aca="false">K977</f>
        <v>令和8年度</v>
      </c>
      <c r="O977" s="443" t="s">
        <v>403</v>
      </c>
      <c r="P977" s="443"/>
      <c r="Q977" s="297" t="str">
        <f aca="false">IF(P912=P977,"〇","×")</f>
        <v>〇</v>
      </c>
    </row>
    <row r="978" customFormat="false" ht="45" hidden="false" customHeight="true" outlineLevel="0" collapsed="false">
      <c r="A978" s="89" t="s">
        <v>369</v>
      </c>
      <c r="B978" s="89" t="s">
        <v>370</v>
      </c>
      <c r="C978" s="89"/>
      <c r="D978" s="89"/>
      <c r="E978" s="89"/>
      <c r="F978" s="89"/>
      <c r="G978" s="89"/>
      <c r="H978" s="91" t="s">
        <v>371</v>
      </c>
      <c r="I978" s="91"/>
      <c r="J978" s="91"/>
      <c r="K978" s="91" t="s">
        <v>372</v>
      </c>
      <c r="L978" s="91"/>
      <c r="M978" s="91"/>
      <c r="N978" s="91" t="str">
        <f aca="false">$N$3</f>
        <v>子ども・子育て支援納付金</v>
      </c>
      <c r="O978" s="91"/>
      <c r="P978" s="91"/>
      <c r="Q978" s="80" t="str">
        <f aca="false">IF(P913=P978,"〇","×")</f>
        <v>〇</v>
      </c>
    </row>
    <row r="979" customFormat="false" ht="22.5" hidden="false" customHeight="true" outlineLevel="0" collapsed="false">
      <c r="A979" s="89"/>
      <c r="B979" s="92" t="s">
        <v>373</v>
      </c>
      <c r="C979" s="92"/>
      <c r="D979" s="92" t="s">
        <v>374</v>
      </c>
      <c r="E979" s="92"/>
      <c r="F979" s="92"/>
      <c r="G979" s="92" t="s">
        <v>375</v>
      </c>
      <c r="H979" s="96" t="s">
        <v>376</v>
      </c>
      <c r="I979" s="94" t="s">
        <v>377</v>
      </c>
      <c r="J979" s="95" t="s">
        <v>375</v>
      </c>
      <c r="K979" s="96" t="s">
        <v>376</v>
      </c>
      <c r="L979" s="94" t="s">
        <v>377</v>
      </c>
      <c r="M979" s="95" t="s">
        <v>375</v>
      </c>
      <c r="N979" s="96" t="s">
        <v>376</v>
      </c>
      <c r="O979" s="94" t="s">
        <v>377</v>
      </c>
      <c r="P979" s="95" t="s">
        <v>375</v>
      </c>
      <c r="Q979" s="80" t="str">
        <f aca="false">IF(P914=P979,"〇","×")</f>
        <v>〇</v>
      </c>
    </row>
    <row r="980" customFormat="false" ht="22.5" hidden="false" customHeight="true" outlineLevel="0" collapsed="false">
      <c r="A980" s="89"/>
      <c r="B980" s="97" t="s">
        <v>378</v>
      </c>
      <c r="C980" s="98" t="s">
        <v>379</v>
      </c>
      <c r="D980" s="99" t="s">
        <v>378</v>
      </c>
      <c r="E980" s="99" t="s">
        <v>380</v>
      </c>
      <c r="F980" s="98" t="s">
        <v>85</v>
      </c>
      <c r="G980" s="92"/>
      <c r="H980" s="96"/>
      <c r="I980" s="94"/>
      <c r="J980" s="95"/>
      <c r="K980" s="96"/>
      <c r="L980" s="94"/>
      <c r="M980" s="95"/>
      <c r="N980" s="96"/>
      <c r="O980" s="94"/>
      <c r="P980" s="95"/>
      <c r="Q980" s="80" t="str">
        <f aca="false">IF(P915=P980,"〇","×")</f>
        <v>〇</v>
      </c>
    </row>
    <row r="981" s="110" customFormat="true" ht="20.1" hidden="false" customHeight="true" outlineLevel="0" collapsed="false">
      <c r="A981" s="100" t="s">
        <v>158</v>
      </c>
      <c r="B981" s="444" t="n">
        <f aca="false">ROUNDDOWN(B1133*$C$1194/($C$1194+$E$1194),0)</f>
        <v>12788486</v>
      </c>
      <c r="C981" s="235" t="n">
        <f aca="false">ROUNDDOWN(C1133*$C$1194/($C$1194+$E$1194),0)</f>
        <v>1048184</v>
      </c>
      <c r="D981" s="445" t="n">
        <f aca="false">ROUNDDOWN(D1133*$C$1194/($C$1194+$E$1194),0)</f>
        <v>18153472</v>
      </c>
      <c r="E981" s="445" t="n">
        <f aca="false">ROUNDDOWN(E1133*$C$1194/($C$1194+$E$1194),0)</f>
        <v>998835</v>
      </c>
      <c r="F981" s="446" t="n">
        <f aca="false">ROUNDDOWN(F1133*$C$1194/($C$1194+$E$1194),0)</f>
        <v>13040</v>
      </c>
      <c r="G981" s="235" t="n">
        <f aca="false">SUM(B981:F981)</f>
        <v>33002017</v>
      </c>
      <c r="H981" s="444" t="n">
        <f aca="false">ROUNDDOWN(H1133*$C$1194/($C$1194+$E$1194),0)</f>
        <v>9934249</v>
      </c>
      <c r="I981" s="447" t="n">
        <f aca="false">ROUNDDOWN(I1133*$C$1194/($C$1194+$E$1194),0)</f>
        <v>9715832</v>
      </c>
      <c r="J981" s="377" t="n">
        <f aca="false">SUM(H981:I981)</f>
        <v>19650081</v>
      </c>
      <c r="K981" s="448" t="n">
        <f aca="false">ROUNDDOWN(K1133*$C$1194/($C$1194+$E$1194),0)</f>
        <v>830651</v>
      </c>
      <c r="L981" s="447" t="n">
        <f aca="false">ROUNDDOWN(L1133*$C$1194/($C$1194+$E$1194),0)</f>
        <v>807649</v>
      </c>
      <c r="M981" s="377" t="n">
        <f aca="false">SUM(K981:L981)</f>
        <v>1638300</v>
      </c>
      <c r="N981" s="444" t="n">
        <f aca="false">ROUNDDOWN(N1133*$C$1194/($C$1194+$E$1194),0)</f>
        <v>1</v>
      </c>
      <c r="O981" s="447" t="n">
        <f aca="false">ROUNDDOWN(O1133*$C$1194/($C$1194+$E$1194),0)</f>
        <v>1</v>
      </c>
      <c r="P981" s="377" t="n">
        <f aca="false">SUM(N981:O981)</f>
        <v>2</v>
      </c>
      <c r="Q981" s="110" t="str">
        <f aca="false">IF(P201=P981,"〇","×")</f>
        <v>×</v>
      </c>
    </row>
    <row r="982" s="110" customFormat="true" ht="20.1" hidden="false" customHeight="true" outlineLevel="0" collapsed="false">
      <c r="A982" s="100" t="s">
        <v>161</v>
      </c>
      <c r="B982" s="449" t="n">
        <f aca="false">ROUNDDOWN(B1134*$C$1194/($C$1194+$E$1194),0)</f>
        <v>827102</v>
      </c>
      <c r="C982" s="377" t="n">
        <f aca="false">ROUNDDOWN(C1134*$C$1194/($C$1194+$E$1194),0)</f>
        <v>67784</v>
      </c>
      <c r="D982" s="445" t="n">
        <f aca="false">ROUNDDOWN(D1134*$C$1194/($C$1194+$E$1194),0)</f>
        <v>1201647</v>
      </c>
      <c r="E982" s="445" t="n">
        <f aca="false">ROUNDDOWN(E1134*$C$1194/($C$1194+$E$1194),0)</f>
        <v>67646</v>
      </c>
      <c r="F982" s="223" t="n">
        <f aca="false">ROUNDDOWN(F1134*$C$1194/($C$1194+$E$1194),0)</f>
        <v>850</v>
      </c>
      <c r="G982" s="377" t="n">
        <f aca="false">SUM(B982:F982)</f>
        <v>2165029</v>
      </c>
      <c r="H982" s="448" t="n">
        <f aca="false">ROUNDDOWN(H1134*$C$1194/($C$1194+$E$1194),0)</f>
        <v>529193</v>
      </c>
      <c r="I982" s="450" t="n">
        <f aca="false">ROUNDDOWN(I1134*$C$1194/($C$1194+$E$1194),0)</f>
        <v>537149</v>
      </c>
      <c r="J982" s="223" t="n">
        <f aca="false">SUM(H982:I982)</f>
        <v>1066342</v>
      </c>
      <c r="K982" s="451" t="n">
        <f aca="false">ROUNDDOWN(K1134*$C$1194/($C$1194+$E$1194),0)</f>
        <v>50792</v>
      </c>
      <c r="L982" s="452" t="n">
        <f aca="false">ROUNDDOWN(L1134*$C$1194/($C$1194+$E$1194),0)</f>
        <v>50519</v>
      </c>
      <c r="M982" s="223" t="n">
        <f aca="false">SUM(K982:L982)</f>
        <v>101311</v>
      </c>
      <c r="N982" s="448" t="n">
        <f aca="false">ROUNDDOWN(N1134*$C$1194/($C$1194+$E$1194),0)</f>
        <v>1</v>
      </c>
      <c r="O982" s="450" t="n">
        <f aca="false">ROUNDDOWN(O1134*$C$1194/($C$1194+$E$1194),0)</f>
        <v>1</v>
      </c>
      <c r="P982" s="223" t="n">
        <f aca="false">SUM(N982:O982)</f>
        <v>2</v>
      </c>
      <c r="Q982" s="110" t="str">
        <f aca="false">IF(P202=P982,"〇","×")</f>
        <v>×</v>
      </c>
    </row>
    <row r="983" s="110" customFormat="true" ht="20.1" hidden="false" customHeight="true" outlineLevel="0" collapsed="false">
      <c r="A983" s="100" t="s">
        <v>162</v>
      </c>
      <c r="B983" s="449" t="n">
        <f aca="false">ROUNDDOWN(B1135*$C$1194/($C$1194+$E$1194),0)</f>
        <v>2737312</v>
      </c>
      <c r="C983" s="377" t="n">
        <f aca="false">ROUNDDOWN(C1135*$C$1194/($C$1194+$E$1194),0)</f>
        <v>222371</v>
      </c>
      <c r="D983" s="445" t="n">
        <f aca="false">ROUNDDOWN(D1135*$C$1194/($C$1194+$E$1194),0)</f>
        <v>3874237</v>
      </c>
      <c r="E983" s="445" t="n">
        <f aca="false">ROUNDDOWN(E1135*$C$1194/($C$1194+$E$1194),0)</f>
        <v>215314</v>
      </c>
      <c r="F983" s="223" t="n">
        <f aca="false">ROUNDDOWN(F1135*$C$1194/($C$1194+$E$1194),0)</f>
        <v>2810</v>
      </c>
      <c r="G983" s="377" t="n">
        <f aca="false">SUM(B983:F983)</f>
        <v>7052044</v>
      </c>
      <c r="H983" s="451" t="n">
        <f aca="false">ROUNDDOWN(H1135*$C$1194/($C$1194+$E$1194),0)</f>
        <v>1696842</v>
      </c>
      <c r="I983" s="453" t="n">
        <f aca="false">ROUNDDOWN(I1135*$C$1194/($C$1194+$E$1194),0)</f>
        <v>1667794</v>
      </c>
      <c r="J983" s="223" t="n">
        <f aca="false">SUM(H983:I983)</f>
        <v>3364636</v>
      </c>
      <c r="K983" s="451" t="n">
        <f aca="false">ROUNDDOWN(K1135*$C$1194/($C$1194+$E$1194),0)</f>
        <v>100475</v>
      </c>
      <c r="L983" s="453" t="n">
        <f aca="false">ROUNDDOWN(L1135*$C$1194/($C$1194+$E$1194),0)</f>
        <v>100966</v>
      </c>
      <c r="M983" s="223" t="n">
        <f aca="false">SUM(K983:L983)</f>
        <v>201441</v>
      </c>
      <c r="N983" s="451" t="n">
        <f aca="false">ROUNDDOWN(N1135*$C$1194/($C$1194+$E$1194),0)</f>
        <v>1</v>
      </c>
      <c r="O983" s="453" t="n">
        <f aca="false">ROUNDDOWN(O1135*$C$1194/($C$1194+$E$1194),0)</f>
        <v>1</v>
      </c>
      <c r="P983" s="223" t="n">
        <f aca="false">SUM(N983:O983)</f>
        <v>2</v>
      </c>
      <c r="Q983" s="110" t="str">
        <f aca="false">IF(P203=P983,"〇","×")</f>
        <v>×</v>
      </c>
    </row>
    <row r="984" s="110" customFormat="true" ht="20.1" hidden="false" customHeight="true" outlineLevel="0" collapsed="false">
      <c r="A984" s="100" t="s">
        <v>163</v>
      </c>
      <c r="B984" s="449" t="n">
        <f aca="false">ROUNDDOWN(B1136*$C$1194/($C$1194+$E$1194),0)</f>
        <v>93101</v>
      </c>
      <c r="C984" s="377" t="n">
        <f aca="false">ROUNDDOWN(C1136*$C$1194/($C$1194+$E$1194),0)</f>
        <v>7631</v>
      </c>
      <c r="D984" s="445" t="n">
        <f aca="false">ROUNDDOWN(D1136*$C$1194/($C$1194+$E$1194),0)</f>
        <v>135328</v>
      </c>
      <c r="E984" s="445" t="n">
        <f aca="false">ROUNDDOWN(E1136*$C$1194/($C$1194+$E$1194),0)</f>
        <v>7631</v>
      </c>
      <c r="F984" s="223" t="n">
        <f aca="false">ROUNDDOWN(F1136*$C$1194/($C$1194+$E$1194),0)</f>
        <v>95</v>
      </c>
      <c r="G984" s="377" t="n">
        <f aca="false">SUM(B984:F984)</f>
        <v>243786</v>
      </c>
      <c r="H984" s="449" t="n">
        <f aca="false">ROUNDDOWN(H1136*$C$1194/($C$1194+$E$1194),0)</f>
        <v>59444</v>
      </c>
      <c r="I984" s="453" t="n">
        <f aca="false">ROUNDDOWN(I1136*$C$1194/($C$1194+$E$1194),0)</f>
        <v>60486</v>
      </c>
      <c r="J984" s="223" t="n">
        <f aca="false">SUM(H984:I984)</f>
        <v>119930</v>
      </c>
      <c r="K984" s="449" t="n">
        <f aca="false">ROUNDDOWN(K1136*$C$1194/($C$1194+$E$1194),0)</f>
        <v>5215</v>
      </c>
      <c r="L984" s="453" t="n">
        <f aca="false">ROUNDDOWN(L1136*$C$1194/($C$1194+$E$1194),0)</f>
        <v>5218</v>
      </c>
      <c r="M984" s="223" t="n">
        <f aca="false">SUM(K984:L984)</f>
        <v>10433</v>
      </c>
      <c r="N984" s="449" t="n">
        <f aca="false">ROUNDDOWN(N1136*$C$1194/($C$1194+$E$1194),0)</f>
        <v>1</v>
      </c>
      <c r="O984" s="453" t="n">
        <f aca="false">ROUNDDOWN(O1136*$C$1194/($C$1194+$E$1194),0)</f>
        <v>1</v>
      </c>
      <c r="P984" s="223" t="n">
        <f aca="false">SUM(N984:O984)</f>
        <v>2</v>
      </c>
      <c r="Q984" s="110" t="str">
        <f aca="false">IF(P204=P984,"〇","×")</f>
        <v>×</v>
      </c>
    </row>
    <row r="985" s="110" customFormat="true" ht="20.1" hidden="false" customHeight="true" outlineLevel="0" collapsed="false">
      <c r="A985" s="100" t="s">
        <v>164</v>
      </c>
      <c r="B985" s="449" t="n">
        <f aca="false">ROUNDDOWN(B1137*$C$1194/($C$1194+$E$1194),0)</f>
        <v>1342083</v>
      </c>
      <c r="C985" s="377" t="n">
        <f aca="false">ROUNDDOWN(C1137*$C$1194/($C$1194+$E$1194),0)</f>
        <v>110013</v>
      </c>
      <c r="D985" s="445" t="n">
        <f aca="false">ROUNDDOWN(D1137*$C$1194/($C$1194+$E$1194),0)</f>
        <v>1914789</v>
      </c>
      <c r="E985" s="445" t="n">
        <f aca="false">ROUNDDOWN(E1137*$C$1194/($C$1194+$E$1194),0)</f>
        <v>106665</v>
      </c>
      <c r="F985" s="223" t="n">
        <f aca="false">ROUNDDOWN(F1137*$C$1194/($C$1194+$E$1194),0)</f>
        <v>1389</v>
      </c>
      <c r="G985" s="377" t="n">
        <f aca="false">SUM(B985:F985)</f>
        <v>3474939</v>
      </c>
      <c r="H985" s="449" t="n">
        <f aca="false">ROUNDDOWN(H1137*$C$1194/($C$1194+$E$1194),0)</f>
        <v>1226602</v>
      </c>
      <c r="I985" s="453" t="n">
        <f aca="false">ROUNDDOWN(I1137*$C$1194/($C$1194+$E$1194),0)</f>
        <v>1224505</v>
      </c>
      <c r="J985" s="223" t="n">
        <f aca="false">SUM(H985:I985)</f>
        <v>2451107</v>
      </c>
      <c r="K985" s="449" t="n">
        <f aca="false">ROUNDDOWN(K1137*$C$1194/($C$1194+$E$1194),0)</f>
        <v>131803</v>
      </c>
      <c r="L985" s="453" t="n">
        <f aca="false">ROUNDDOWN(L1137*$C$1194/($C$1194+$E$1194),0)</f>
        <v>131873</v>
      </c>
      <c r="M985" s="223" t="n">
        <f aca="false">SUM(K985:L985)</f>
        <v>263676</v>
      </c>
      <c r="N985" s="449" t="n">
        <f aca="false">ROUNDDOWN(N1137*$C$1194/($C$1194+$E$1194),0)</f>
        <v>1</v>
      </c>
      <c r="O985" s="453" t="n">
        <f aca="false">ROUNDDOWN(O1137*$C$1194/($C$1194+$E$1194),0)</f>
        <v>1</v>
      </c>
      <c r="P985" s="223" t="n">
        <f aca="false">SUM(N985:O985)</f>
        <v>2</v>
      </c>
      <c r="Q985" s="110" t="str">
        <f aca="false">IF(P205=P985,"〇","×")</f>
        <v>×</v>
      </c>
    </row>
    <row r="986" s="110" customFormat="true" ht="20.1" hidden="false" customHeight="true" outlineLevel="0" collapsed="false">
      <c r="A986" s="100" t="s">
        <v>165</v>
      </c>
      <c r="B986" s="449" t="n">
        <f aca="false">ROUNDDOWN(B1138*$C$1194/($C$1194+$E$1194),0)</f>
        <v>15646</v>
      </c>
      <c r="C986" s="377" t="n">
        <f aca="false">ROUNDDOWN(C1138*$C$1194/($C$1194+$E$1194),0)</f>
        <v>1282</v>
      </c>
      <c r="D986" s="445" t="n">
        <f aca="false">ROUNDDOWN(D1138*$C$1194/($C$1194+$E$1194),0)</f>
        <v>22742</v>
      </c>
      <c r="E986" s="445" t="n">
        <f aca="false">ROUNDDOWN(E1138*$C$1194/($C$1194+$E$1194),0)</f>
        <v>1282</v>
      </c>
      <c r="F986" s="223" t="n">
        <f aca="false">ROUNDDOWN(F1138*$C$1194/($C$1194+$E$1194),0)</f>
        <v>16</v>
      </c>
      <c r="G986" s="377" t="n">
        <f aca="false">SUM(B986:F986)</f>
        <v>40968</v>
      </c>
      <c r="H986" s="448" t="n">
        <f aca="false">ROUNDDOWN(H1138*$C$1194/($C$1194+$E$1194),0)</f>
        <v>10564</v>
      </c>
      <c r="I986" s="450" t="n">
        <f aca="false">ROUNDDOWN(I1138*$C$1194/($C$1194+$E$1194),0)</f>
        <v>10748</v>
      </c>
      <c r="J986" s="223" t="n">
        <f aca="false">SUM(H986:I986)</f>
        <v>21312</v>
      </c>
      <c r="K986" s="449" t="n">
        <f aca="false">ROUNDDOWN(K1138*$C$1194/($C$1194+$E$1194),0)</f>
        <v>806</v>
      </c>
      <c r="L986" s="453" t="n">
        <f aca="false">ROUNDDOWN(L1138*$C$1194/($C$1194+$E$1194),0)</f>
        <v>806</v>
      </c>
      <c r="M986" s="223" t="n">
        <f aca="false">SUM(K986:L986)</f>
        <v>1612</v>
      </c>
      <c r="N986" s="448" t="n">
        <f aca="false">ROUNDDOWN(N1138*$C$1194/($C$1194+$E$1194),0)</f>
        <v>1</v>
      </c>
      <c r="O986" s="450" t="n">
        <f aca="false">ROUNDDOWN(O1138*$C$1194/($C$1194+$E$1194),0)</f>
        <v>1</v>
      </c>
      <c r="P986" s="223" t="n">
        <f aca="false">SUM(N986:O986)</f>
        <v>2</v>
      </c>
      <c r="Q986" s="110" t="str">
        <f aca="false">IF(P206=P986,"〇","×")</f>
        <v>×</v>
      </c>
    </row>
    <row r="987" s="110" customFormat="true" ht="20.1" hidden="false" customHeight="true" outlineLevel="0" collapsed="false">
      <c r="A987" s="100" t="s">
        <v>166</v>
      </c>
      <c r="B987" s="449" t="n">
        <f aca="false">ROUNDDOWN(B1139*$C$1194/($C$1194+$E$1194),0)</f>
        <v>28960</v>
      </c>
      <c r="C987" s="377" t="n">
        <f aca="false">ROUNDDOWN(C1139*$C$1194/($C$1194+$E$1194),0)</f>
        <v>2374</v>
      </c>
      <c r="D987" s="445" t="n">
        <f aca="false">ROUNDDOWN(D1139*$C$1194/($C$1194+$E$1194),0)</f>
        <v>42094</v>
      </c>
      <c r="E987" s="445" t="n">
        <f aca="false">ROUNDDOWN(E1139*$C$1194/($C$1194+$E$1194),0)</f>
        <v>2373</v>
      </c>
      <c r="F987" s="223" t="n">
        <f aca="false">ROUNDDOWN(F1139*$C$1194/($C$1194+$E$1194),0)</f>
        <v>29</v>
      </c>
      <c r="G987" s="221" t="n">
        <f aca="false">SUM(B987:F987)</f>
        <v>75830</v>
      </c>
      <c r="H987" s="448" t="n">
        <f aca="false">ROUNDDOWN(H1139*$C$1194/($C$1194+$E$1194),0)</f>
        <v>19418</v>
      </c>
      <c r="I987" s="450" t="n">
        <f aca="false">ROUNDDOWN(I1139*$C$1194/($C$1194+$E$1194),0)</f>
        <v>19760</v>
      </c>
      <c r="J987" s="223" t="n">
        <f aca="false">SUM(H987:I987)</f>
        <v>39178</v>
      </c>
      <c r="K987" s="448" t="n">
        <f aca="false">ROUNDDOWN(K1139*$C$1194/($C$1194+$E$1194),0)</f>
        <v>1546</v>
      </c>
      <c r="L987" s="450" t="n">
        <f aca="false">ROUNDDOWN(L1139*$C$1194/($C$1194+$E$1194),0)</f>
        <v>1544</v>
      </c>
      <c r="M987" s="223" t="n">
        <f aca="false">SUM(K987:L987)</f>
        <v>3090</v>
      </c>
      <c r="N987" s="448" t="n">
        <f aca="false">ROUNDDOWN(N1139*$C$1194/($C$1194+$E$1194),0)</f>
        <v>1</v>
      </c>
      <c r="O987" s="450" t="n">
        <f aca="false">ROUNDDOWN(O1139*$C$1194/($C$1194+$E$1194),0)</f>
        <v>1</v>
      </c>
      <c r="P987" s="223" t="n">
        <f aca="false">SUM(N987:O987)</f>
        <v>2</v>
      </c>
      <c r="Q987" s="110" t="str">
        <f aca="false">IF(P207=P987,"〇","×")</f>
        <v>×</v>
      </c>
    </row>
    <row r="988" s="110" customFormat="true" ht="20.1" hidden="false" customHeight="true" outlineLevel="0" collapsed="false">
      <c r="A988" s="100" t="s">
        <v>167</v>
      </c>
      <c r="B988" s="449" t="n">
        <f aca="false">ROUNDDOWN(B1140*$C$1194/($C$1194+$E$1194),0)</f>
        <v>67434</v>
      </c>
      <c r="C988" s="377" t="n">
        <f aca="false">ROUNDDOWN(C1140*$C$1194/($C$1194+$E$1194),0)</f>
        <v>5526</v>
      </c>
      <c r="D988" s="445" t="n">
        <f aca="false">ROUNDDOWN(D1140*$C$1194/($C$1194+$E$1194),0)</f>
        <v>98021</v>
      </c>
      <c r="E988" s="445" t="n">
        <f aca="false">ROUNDDOWN(E1140*$C$1194/($C$1194+$E$1194),0)</f>
        <v>5527</v>
      </c>
      <c r="F988" s="223" t="n">
        <f aca="false">ROUNDDOWN(F1140*$C$1194/($C$1194+$E$1194),0)</f>
        <v>69</v>
      </c>
      <c r="G988" s="377" t="n">
        <f aca="false">SUM(B988:F988)</f>
        <v>176577</v>
      </c>
      <c r="H988" s="448" t="n">
        <f aca="false">ROUNDDOWN(H1140*$C$1194/($C$1194+$E$1194),0)</f>
        <v>42961</v>
      </c>
      <c r="I988" s="450" t="n">
        <f aca="false">ROUNDDOWN(I1140*$C$1194/($C$1194+$E$1194),0)</f>
        <v>43719</v>
      </c>
      <c r="J988" s="223" t="n">
        <f aca="false">SUM(H988:I988)</f>
        <v>86680</v>
      </c>
      <c r="K988" s="448" t="n">
        <f aca="false">ROUNDDOWN(K1140*$C$1194/($C$1194+$E$1194),0)</f>
        <v>5397</v>
      </c>
      <c r="L988" s="450" t="n">
        <f aca="false">ROUNDDOWN(L1140*$C$1194/($C$1194+$E$1194),0)</f>
        <v>5395</v>
      </c>
      <c r="M988" s="223" t="n">
        <f aca="false">SUM(K988:L988)</f>
        <v>10792</v>
      </c>
      <c r="N988" s="448" t="n">
        <f aca="false">ROUNDDOWN(N1140*$C$1194/($C$1194+$E$1194),0)</f>
        <v>1</v>
      </c>
      <c r="O988" s="450" t="n">
        <f aca="false">ROUNDDOWN(O1140*$C$1194/($C$1194+$E$1194),0)</f>
        <v>1</v>
      </c>
      <c r="P988" s="223" t="n">
        <f aca="false">SUM(N988:O988)</f>
        <v>2</v>
      </c>
      <c r="Q988" s="110" t="str">
        <f aca="false">IF(P208=P988,"〇","×")</f>
        <v>×</v>
      </c>
    </row>
    <row r="989" s="110" customFormat="true" ht="20.1" hidden="false" customHeight="true" outlineLevel="0" collapsed="false">
      <c r="A989" s="100" t="s">
        <v>168</v>
      </c>
      <c r="B989" s="449" t="n">
        <f aca="false">ROUNDDOWN(B1141*$C$1194/($C$1194+$E$1194),0)</f>
        <v>18116</v>
      </c>
      <c r="C989" s="377" t="n">
        <f aca="false">ROUNDDOWN(C1141*$C$1194/($C$1194+$E$1194),0)</f>
        <v>1484</v>
      </c>
      <c r="D989" s="445" t="n">
        <f aca="false">ROUNDDOWN(D1141*$C$1194/($C$1194+$E$1194),0)</f>
        <v>26335</v>
      </c>
      <c r="E989" s="445" t="n">
        <f aca="false">ROUNDDOWN(E1141*$C$1194/($C$1194+$E$1194),0)</f>
        <v>1485</v>
      </c>
      <c r="F989" s="223" t="n">
        <f aca="false">ROUNDDOWN(F1141*$C$1194/($C$1194+$E$1194),0)</f>
        <v>18</v>
      </c>
      <c r="G989" s="377" t="n">
        <f aca="false">SUM(B989:F989)</f>
        <v>47438</v>
      </c>
      <c r="H989" s="448" t="n">
        <f aca="false">ROUNDDOWN(H1141*$C$1194/($C$1194+$E$1194),0)</f>
        <v>17002</v>
      </c>
      <c r="I989" s="450" t="n">
        <f aca="false">ROUNDDOWN(I1141*$C$1194/($C$1194+$E$1194),0)</f>
        <v>17297</v>
      </c>
      <c r="J989" s="223" t="n">
        <f aca="false">SUM(H989:I989)</f>
        <v>34299</v>
      </c>
      <c r="K989" s="448" t="n">
        <f aca="false">ROUNDDOWN(K1141*$C$1194/($C$1194+$E$1194),0)</f>
        <v>1785</v>
      </c>
      <c r="L989" s="450" t="n">
        <f aca="false">ROUNDDOWN(L1141*$C$1194/($C$1194+$E$1194),0)</f>
        <v>1785</v>
      </c>
      <c r="M989" s="223" t="n">
        <f aca="false">SUM(K989:L989)</f>
        <v>3570</v>
      </c>
      <c r="N989" s="448" t="n">
        <f aca="false">ROUNDDOWN(N1141*$C$1194/($C$1194+$E$1194),0)</f>
        <v>1</v>
      </c>
      <c r="O989" s="450" t="n">
        <f aca="false">ROUNDDOWN(O1141*$C$1194/($C$1194+$E$1194),0)</f>
        <v>1</v>
      </c>
      <c r="P989" s="223" t="n">
        <f aca="false">SUM(N989:O989)</f>
        <v>2</v>
      </c>
      <c r="Q989" s="110" t="str">
        <f aca="false">IF(P209=P989,"〇","×")</f>
        <v>×</v>
      </c>
    </row>
    <row r="990" s="110" customFormat="true" ht="20.1" hidden="false" customHeight="true" outlineLevel="0" collapsed="false">
      <c r="A990" s="100" t="s">
        <v>169</v>
      </c>
      <c r="B990" s="449" t="n">
        <f aca="false">ROUNDDOWN(B1142*$C$1194/($C$1194+$E$1194),0)</f>
        <v>1294336</v>
      </c>
      <c r="C990" s="377" t="n">
        <f aca="false">ROUNDDOWN(C1142*$C$1194/($C$1194+$E$1194),0)</f>
        <v>106072</v>
      </c>
      <c r="D990" s="445" t="n">
        <f aca="false">ROUNDDOWN(D1142*$C$1194/($C$1194+$E$1194),0)</f>
        <v>1888287</v>
      </c>
      <c r="E990" s="445" t="n">
        <f aca="false">ROUNDDOWN(E1142*$C$1194/($C$1194+$E$1194),0)</f>
        <v>106094</v>
      </c>
      <c r="F990" s="223" t="n">
        <f aca="false">ROUNDDOWN(F1142*$C$1194/($C$1194+$E$1194),0)</f>
        <v>1342</v>
      </c>
      <c r="G990" s="377" t="n">
        <f aca="false">SUM(B990:F990)</f>
        <v>3396131</v>
      </c>
      <c r="H990" s="448" t="n">
        <f aca="false">ROUNDDOWN(H1142*$C$1194/($C$1194+$E$1194),0)</f>
        <v>823070</v>
      </c>
      <c r="I990" s="450" t="n">
        <f aca="false">ROUNDDOWN(I1142*$C$1194/($C$1194+$E$1194),0)</f>
        <v>837731</v>
      </c>
      <c r="J990" s="223" t="n">
        <f aca="false">SUM(H990:I990)</f>
        <v>1660801</v>
      </c>
      <c r="K990" s="448" t="n">
        <f aca="false">ROUNDDOWN(K1142*$C$1194/($C$1194+$E$1194),0)</f>
        <v>74129</v>
      </c>
      <c r="L990" s="450" t="n">
        <f aca="false">ROUNDDOWN(L1142*$C$1194/($C$1194+$E$1194),0)</f>
        <v>74122</v>
      </c>
      <c r="M990" s="223" t="n">
        <f aca="false">SUM(K990:L990)</f>
        <v>148251</v>
      </c>
      <c r="N990" s="448" t="n">
        <f aca="false">ROUNDDOWN(N1142*$C$1194/($C$1194+$E$1194),0)</f>
        <v>1</v>
      </c>
      <c r="O990" s="450" t="n">
        <f aca="false">ROUNDDOWN(O1142*$C$1194/($C$1194+$E$1194),0)</f>
        <v>1</v>
      </c>
      <c r="P990" s="223" t="n">
        <f aca="false">SUM(N990:O990)</f>
        <v>2</v>
      </c>
      <c r="Q990" s="110" t="str">
        <f aca="false">IF(P210=P990,"〇","×")</f>
        <v>×</v>
      </c>
    </row>
    <row r="991" s="110" customFormat="true" ht="19.5" hidden="false" customHeight="true" outlineLevel="0" collapsed="false">
      <c r="A991" s="121" t="s">
        <v>381</v>
      </c>
      <c r="B991" s="451" t="n">
        <f aca="false">ROUNDDOWN(B1143*$C$1194/($C$1194+$E$1194),0)</f>
        <v>2287</v>
      </c>
      <c r="C991" s="221" t="n">
        <f aca="false">ROUNDDOWN(C1143*$C$1194/($C$1194+$E$1194),0)</f>
        <v>187</v>
      </c>
      <c r="D991" s="451" t="n">
        <f aca="false">ROUNDDOWN(D1143*$C$1194/($C$1194+$E$1194),0)</f>
        <v>3325</v>
      </c>
      <c r="E991" s="452" t="n">
        <f aca="false">ROUNDDOWN(E1143*$C$1194/($C$1194+$E$1194),0)</f>
        <v>187</v>
      </c>
      <c r="F991" s="454" t="n">
        <f aca="false">ROUNDDOWN(F1143*$C$1194/($C$1194+$E$1194),0)</f>
        <v>2</v>
      </c>
      <c r="G991" s="221" t="n">
        <f aca="false">SUM(B991:F991)</f>
        <v>5988</v>
      </c>
      <c r="H991" s="455" t="n">
        <f aca="false">ROUNDDOWN(H1143*$C$1194/($C$1194+$E$1194),0)</f>
        <v>1375</v>
      </c>
      <c r="I991" s="456" t="n">
        <f aca="false">ROUNDDOWN(I1143*$C$1194/($C$1194+$E$1194),0)</f>
        <v>1399</v>
      </c>
      <c r="J991" s="223" t="n">
        <f aca="false">SUM(H991:I991)</f>
        <v>2774</v>
      </c>
      <c r="K991" s="457" t="n">
        <f aca="false">ROUNDDOWN(K1143*$C$1194/($C$1194+$E$1194),0)</f>
        <v>198</v>
      </c>
      <c r="L991" s="458" t="n">
        <f aca="false">ROUNDDOWN(L1143*$C$1194/($C$1194+$E$1194),0)</f>
        <v>198</v>
      </c>
      <c r="M991" s="459" t="n">
        <f aca="false">SUM(K991:L991)</f>
        <v>396</v>
      </c>
      <c r="N991" s="455" t="n">
        <f aca="false">ROUNDDOWN(N1143*$C$1194/($C$1194+$E$1194),0)</f>
        <v>1</v>
      </c>
      <c r="O991" s="456" t="n">
        <f aca="false">ROUNDDOWN(O1143*$C$1194/($C$1194+$E$1194),0)</f>
        <v>1</v>
      </c>
      <c r="P991" s="223" t="n">
        <f aca="false">SUM(N991:O991)</f>
        <v>2</v>
      </c>
      <c r="Q991" s="110" t="str">
        <f aca="false">IF(P211=P991,"〇","×")</f>
        <v>×</v>
      </c>
    </row>
    <row r="992" s="137" customFormat="true" ht="19.5" hidden="false" customHeight="true" outlineLevel="0" collapsed="false">
      <c r="A992" s="126" t="s">
        <v>171</v>
      </c>
      <c r="B992" s="451" t="n">
        <f aca="false">ROUNDDOWN(B1144*$C$1194/($C$1194+$E$1194),0)</f>
        <v>0</v>
      </c>
      <c r="C992" s="377" t="n">
        <f aca="false">ROUNDDOWN(C1144*$C$1194/($C$1194+$E$1194),0)</f>
        <v>0</v>
      </c>
      <c r="D992" s="449" t="n">
        <f aca="false">ROUNDDOWN(D1144*$C$1194/($C$1194+$E$1194),0)</f>
        <v>0</v>
      </c>
      <c r="E992" s="460" t="n">
        <f aca="false">ROUNDDOWN(E1144*$C$1194/($C$1194+$E$1194),0)</f>
        <v>0</v>
      </c>
      <c r="F992" s="454" t="n">
        <f aca="false">ROUNDDOWN(F1144*$C$1194/($C$1194+$E$1194),0)</f>
        <v>0</v>
      </c>
      <c r="G992" s="461" t="n">
        <f aca="false">SUM(B992:F992)</f>
        <v>0</v>
      </c>
      <c r="H992" s="448" t="n">
        <f aca="false">ROUNDDOWN(H1144*$C$1194/($C$1194+$E$1194),0)</f>
        <v>0</v>
      </c>
      <c r="I992" s="450" t="n">
        <f aca="false">ROUNDDOWN(I1144*$C$1194/($C$1194+$E$1194),0)</f>
        <v>0</v>
      </c>
      <c r="J992" s="223" t="n">
        <f aca="false">SUM(H992:I992)</f>
        <v>0</v>
      </c>
      <c r="K992" s="448" t="n">
        <f aca="false">ROUNDDOWN(K1144*$C$1194/($C$1194+$E$1194),0)</f>
        <v>0</v>
      </c>
      <c r="L992" s="450" t="n">
        <f aca="false">ROUNDDOWN(L1144*$C$1194/($C$1194+$E$1194),0)</f>
        <v>0</v>
      </c>
      <c r="M992" s="223" t="n">
        <f aca="false">SUM(K992:L992)</f>
        <v>0</v>
      </c>
      <c r="N992" s="448" t="n">
        <f aca="false">ROUNDDOWN(N1144*$C$1194/($C$1194+$E$1194),0)</f>
        <v>0</v>
      </c>
      <c r="O992" s="450" t="n">
        <f aca="false">ROUNDDOWN(O1144*$C$1194/($C$1194+$E$1194),0)</f>
        <v>0</v>
      </c>
      <c r="P992" s="223" t="n">
        <f aca="false">SUM(N992:O992)</f>
        <v>0</v>
      </c>
      <c r="Q992" s="110" t="str">
        <f aca="false">IF(P212=P992,"〇","×")</f>
        <v>×</v>
      </c>
    </row>
    <row r="993" s="137" customFormat="true" ht="19.5" hidden="false" customHeight="true" outlineLevel="0" collapsed="false">
      <c r="A993" s="138" t="s">
        <v>382</v>
      </c>
      <c r="B993" s="449" t="n">
        <f aca="false">ROUNDDOWN(B1145*$C$1194/($C$1194+$E$1194),0)</f>
        <v>0</v>
      </c>
      <c r="C993" s="377" t="n">
        <f aca="false">ROUNDDOWN(C1145*$C$1194/($C$1194+$E$1194),0)</f>
        <v>0</v>
      </c>
      <c r="D993" s="449" t="n">
        <f aca="false">ROUNDDOWN(D1145*$C$1194/($C$1194+$E$1194),0)</f>
        <v>0</v>
      </c>
      <c r="E993" s="462" t="n">
        <f aca="false">ROUNDDOWN(E1145*$C$1194/($C$1194+$E$1194),0)</f>
        <v>0</v>
      </c>
      <c r="F993" s="223" t="n">
        <f aca="false">ROUNDDOWN(F1145*$C$1194/($C$1194+$E$1194),0)</f>
        <v>0</v>
      </c>
      <c r="G993" s="377" t="n">
        <f aca="false">SUM(B993:F993)</f>
        <v>0</v>
      </c>
      <c r="H993" s="448" t="n">
        <f aca="false">ROUNDDOWN(H1145*$C$1194/($C$1194+$E$1194),0)</f>
        <v>0</v>
      </c>
      <c r="I993" s="450" t="n">
        <f aca="false">ROUNDDOWN(I1145*$C$1194/($C$1194+$E$1194),0)</f>
        <v>0</v>
      </c>
      <c r="J993" s="223" t="n">
        <f aca="false">SUM(H993:I993)</f>
        <v>0</v>
      </c>
      <c r="K993" s="448" t="n">
        <f aca="false">ROUNDDOWN(K1145*$C$1194/($C$1194+$E$1194),0)</f>
        <v>0</v>
      </c>
      <c r="L993" s="450" t="n">
        <f aca="false">ROUNDDOWN(L1145*$C$1194/($C$1194+$E$1194),0)</f>
        <v>0</v>
      </c>
      <c r="M993" s="450" t="n">
        <f aca="false">SUM(K993:L993)</f>
        <v>0</v>
      </c>
      <c r="N993" s="448" t="n">
        <f aca="false">ROUNDDOWN(N1145*$C$1194/($C$1194+$E$1194),0)</f>
        <v>0</v>
      </c>
      <c r="O993" s="450" t="n">
        <f aca="false">ROUNDDOWN(O1145*$C$1194/($C$1194+$E$1194),0)</f>
        <v>0</v>
      </c>
      <c r="P993" s="223" t="n">
        <f aca="false">SUM(N993:O993)</f>
        <v>0</v>
      </c>
      <c r="Q993" s="110" t="str">
        <f aca="false">IF(P213=P993,"〇","×")</f>
        <v>〇</v>
      </c>
    </row>
    <row r="994" s="137" customFormat="true" ht="19.5" hidden="false" customHeight="true" outlineLevel="0" collapsed="false">
      <c r="A994" s="149" t="s">
        <v>382</v>
      </c>
      <c r="B994" s="451" t="n">
        <f aca="false">ROUNDDOWN(B1146*$C$1194/($C$1194+$E$1194),0)</f>
        <v>0</v>
      </c>
      <c r="C994" s="221" t="n">
        <f aca="false">ROUNDDOWN(C1146*$C$1194/($C$1194+$E$1194),0)</f>
        <v>0</v>
      </c>
      <c r="D994" s="451" t="n">
        <f aca="false">ROUNDDOWN(D1146*$C$1194/($C$1194+$E$1194),0)</f>
        <v>0</v>
      </c>
      <c r="E994" s="462" t="n">
        <f aca="false">ROUNDDOWN(E1146*$C$1194/($C$1194+$E$1194),0)</f>
        <v>0</v>
      </c>
      <c r="F994" s="454" t="n">
        <f aca="false">ROUNDDOWN(F1146*$C$1194/($C$1194+$E$1194),0)</f>
        <v>0</v>
      </c>
      <c r="G994" s="221" t="n">
        <f aca="false">SUM(B994:F994)</f>
        <v>0</v>
      </c>
      <c r="H994" s="451" t="n">
        <f aca="false">ROUNDDOWN(H1146*$C$1194/($C$1194+$E$1194),0)</f>
        <v>0</v>
      </c>
      <c r="I994" s="462" t="n">
        <f aca="false">ROUNDDOWN(I1146*$C$1194/($C$1194+$E$1194),0)</f>
        <v>0</v>
      </c>
      <c r="J994" s="454" t="n">
        <f aca="false">SUM(H994:I994)</f>
        <v>0</v>
      </c>
      <c r="K994" s="451" t="n">
        <f aca="false">ROUNDDOWN(K1146*$C$1194/($C$1194+$E$1194),0)</f>
        <v>0</v>
      </c>
      <c r="L994" s="462" t="n">
        <f aca="false">ROUNDDOWN(L1146*$C$1194/($C$1194+$E$1194),0)</f>
        <v>0</v>
      </c>
      <c r="M994" s="462" t="n">
        <f aca="false">SUM(K994:L994)</f>
        <v>0</v>
      </c>
      <c r="N994" s="451" t="n">
        <f aca="false">ROUNDDOWN(N1146*$C$1194/($C$1194+$E$1194),0)</f>
        <v>0</v>
      </c>
      <c r="O994" s="462" t="n">
        <f aca="false">ROUNDDOWN(O1146*$C$1194/($C$1194+$E$1194),0)</f>
        <v>0</v>
      </c>
      <c r="P994" s="454" t="n">
        <f aca="false">SUM(N994:O994)</f>
        <v>0</v>
      </c>
      <c r="Q994" s="110" t="str">
        <f aca="false">IF(P214=P994,"〇","×")</f>
        <v>〇</v>
      </c>
    </row>
    <row r="995" s="137" customFormat="true" ht="19.5" hidden="false" customHeight="true" outlineLevel="0" collapsed="false">
      <c r="A995" s="149" t="s">
        <v>382</v>
      </c>
      <c r="B995" s="449" t="n">
        <f aca="false">ROUNDDOWN(B1147*$C$1194/($C$1194+$E$1194),0)</f>
        <v>0</v>
      </c>
      <c r="C995" s="377" t="n">
        <f aca="false">ROUNDDOWN(C1147*$C$1194/($C$1194+$E$1194),0)</f>
        <v>0</v>
      </c>
      <c r="D995" s="449" t="n">
        <f aca="false">ROUNDDOWN(D1147*$C$1194/($C$1194+$E$1194),0)</f>
        <v>0</v>
      </c>
      <c r="E995" s="463" t="n">
        <f aca="false">ROUNDDOWN(E1147*$C$1194/($C$1194+$E$1194),0)</f>
        <v>0</v>
      </c>
      <c r="F995" s="223" t="n">
        <f aca="false">ROUNDDOWN(F1147*$C$1194/($C$1194+$E$1194),0)</f>
        <v>0</v>
      </c>
      <c r="G995" s="377" t="n">
        <f aca="false">SUM(B995:F995)</f>
        <v>0</v>
      </c>
      <c r="H995" s="449" t="n">
        <f aca="false">ROUNDDOWN(H1147*$C$1194/($C$1194+$E$1194),0)</f>
        <v>0</v>
      </c>
      <c r="I995" s="463" t="n">
        <f aca="false">ROUNDDOWN(I1147*$C$1194/($C$1194+$E$1194),0)</f>
        <v>0</v>
      </c>
      <c r="J995" s="223" t="n">
        <f aca="false">SUM(H995:I995)</f>
        <v>0</v>
      </c>
      <c r="K995" s="449" t="n">
        <f aca="false">ROUNDDOWN(K1147*$C$1194/($C$1194+$E$1194),0)</f>
        <v>0</v>
      </c>
      <c r="L995" s="463" t="n">
        <f aca="false">ROUNDDOWN(L1147*$C$1194/($C$1194+$E$1194),0)</f>
        <v>0</v>
      </c>
      <c r="M995" s="463" t="n">
        <f aca="false">SUM(K995:L995)</f>
        <v>0</v>
      </c>
      <c r="N995" s="449" t="n">
        <f aca="false">ROUNDDOWN(N1147*$C$1194/($C$1194+$E$1194),0)</f>
        <v>0</v>
      </c>
      <c r="O995" s="463" t="n">
        <f aca="false">ROUNDDOWN(O1147*$C$1194/($C$1194+$E$1194),0)</f>
        <v>0</v>
      </c>
      <c r="P995" s="223" t="n">
        <f aca="false">SUM(N995:O995)</f>
        <v>0</v>
      </c>
      <c r="Q995" s="110" t="str">
        <f aca="false">IF(P215=P995,"〇","×")</f>
        <v>〇</v>
      </c>
    </row>
    <row r="996" s="137" customFormat="true" ht="19.5" hidden="false" customHeight="true" outlineLevel="0" collapsed="false">
      <c r="A996" s="162" t="s">
        <v>382</v>
      </c>
      <c r="B996" s="464" t="n">
        <f aca="false">ROUNDDOWN(B1148*$C$1194/($C$1194+$E$1194),0)</f>
        <v>0</v>
      </c>
      <c r="C996" s="465" t="n">
        <f aca="false">ROUNDDOWN(C1148*$C$1194/($C$1194+$E$1194),0)</f>
        <v>0</v>
      </c>
      <c r="D996" s="464" t="n">
        <f aca="false">ROUNDDOWN(D1148*$C$1194/($C$1194+$E$1194),0)</f>
        <v>0</v>
      </c>
      <c r="E996" s="460" t="n">
        <f aca="false">ROUNDDOWN(E1148*$C$1194/($C$1194+$E$1194),0)</f>
        <v>0</v>
      </c>
      <c r="F996" s="466" t="n">
        <f aca="false">ROUNDDOWN(F1148*$C$1194/($C$1194+$E$1194),0)</f>
        <v>0</v>
      </c>
      <c r="G996" s="465" t="n">
        <f aca="false">SUM(B996:F996)</f>
        <v>0</v>
      </c>
      <c r="H996" s="451" t="n">
        <f aca="false">ROUNDDOWN(H1148*$C$1194/($C$1194+$E$1194),0)</f>
        <v>0</v>
      </c>
      <c r="I996" s="467" t="n">
        <f aca="false">ROUNDDOWN(I1148*$C$1194/($C$1194+$E$1194),0)</f>
        <v>0</v>
      </c>
      <c r="J996" s="468" t="n">
        <f aca="false">SUM(H996:I996)</f>
        <v>0</v>
      </c>
      <c r="K996" s="451" t="n">
        <f aca="false">ROUNDDOWN(K1148*$C$1194/($C$1194+$E$1194),0)</f>
        <v>0</v>
      </c>
      <c r="L996" s="462" t="n">
        <f aca="false">ROUNDDOWN(L1148*$C$1194/($C$1194+$E$1194),0)</f>
        <v>0</v>
      </c>
      <c r="M996" s="467" t="n">
        <f aca="false">SUM(K996:L996)</f>
        <v>0</v>
      </c>
      <c r="N996" s="451" t="n">
        <f aca="false">ROUNDDOWN(N1148*$C$1194/($C$1194+$E$1194),0)</f>
        <v>0</v>
      </c>
      <c r="O996" s="467" t="n">
        <f aca="false">ROUNDDOWN(O1148*$C$1194/($C$1194+$E$1194),0)</f>
        <v>0</v>
      </c>
      <c r="P996" s="468" t="n">
        <f aca="false">SUM(N996:O996)</f>
        <v>0</v>
      </c>
      <c r="Q996" s="110" t="str">
        <f aca="false">IF(P216=P996,"〇","×")</f>
        <v>〇</v>
      </c>
    </row>
    <row r="997" s="137" customFormat="true" ht="19.5" hidden="false" customHeight="true" outlineLevel="0" collapsed="false">
      <c r="A997" s="171" t="s">
        <v>404</v>
      </c>
      <c r="B997" s="172" t="n">
        <f aca="false">SUM(B981:B996)</f>
        <v>19214863</v>
      </c>
      <c r="C997" s="173" t="n">
        <f aca="false">SUM(C981:C996)</f>
        <v>1572908</v>
      </c>
      <c r="D997" s="172" t="n">
        <f aca="false">SUM(D981:D996)</f>
        <v>27360277</v>
      </c>
      <c r="E997" s="174" t="n">
        <f aca="false">SUM(E981:E996)</f>
        <v>1513039</v>
      </c>
      <c r="F997" s="175" t="n">
        <f aca="false">SUM(F981:F996)</f>
        <v>19660</v>
      </c>
      <c r="G997" s="176" t="n">
        <f aca="false">SUM(B997:F997)</f>
        <v>49680747</v>
      </c>
      <c r="H997" s="172" t="n">
        <f aca="false">SUM(H981:H996)</f>
        <v>14360720</v>
      </c>
      <c r="I997" s="173" t="n">
        <f aca="false">SUM(I981:I996)</f>
        <v>14136420</v>
      </c>
      <c r="J997" s="175" t="n">
        <f aca="false">SUM(H997:I997)</f>
        <v>28497140</v>
      </c>
      <c r="K997" s="172" t="n">
        <f aca="false">SUM(K981:K996)</f>
        <v>1202797</v>
      </c>
      <c r="L997" s="173" t="n">
        <f aca="false">SUM(L981:L996)</f>
        <v>1180075</v>
      </c>
      <c r="M997" s="175" t="n">
        <f aca="false">SUM(K997:L997)</f>
        <v>2382872</v>
      </c>
      <c r="N997" s="172" t="n">
        <f aca="false">SUM(N981:N996)</f>
        <v>11</v>
      </c>
      <c r="O997" s="173" t="n">
        <f aca="false">SUM(O981:O996)</f>
        <v>11</v>
      </c>
      <c r="P997" s="175" t="n">
        <f aca="false">SUM(N997:O997)</f>
        <v>22</v>
      </c>
      <c r="Q997" s="110" t="str">
        <f aca="false">IF(P217=P997,"〇","×")</f>
        <v>×</v>
      </c>
    </row>
    <row r="998" s="110" customFormat="true" ht="20.1" hidden="false" customHeight="true" outlineLevel="0" collapsed="false">
      <c r="A998" s="177" t="s">
        <v>172</v>
      </c>
      <c r="B998" s="449" t="n">
        <f aca="false">ROUNDDOWN(B1150*$C$1194/($C$1194+$E$1194),0)</f>
        <v>0</v>
      </c>
      <c r="C998" s="377" t="n">
        <f aca="false">ROUNDDOWN(C1150*$C$1194/($C$1194+$E$1194),0)</f>
        <v>0</v>
      </c>
      <c r="D998" s="469" t="n">
        <f aca="false">ROUNDDOWN(D1150*$C$1194/($C$1194+$E$1194),0)</f>
        <v>0</v>
      </c>
      <c r="E998" s="463" t="n">
        <f aca="false">ROUNDDOWN(E1150*$C$1194/($C$1194+$E$1194),0)</f>
        <v>0</v>
      </c>
      <c r="F998" s="223" t="n">
        <f aca="false">ROUNDDOWN(F1150*$C$1194/($C$1194+$E$1194),0)</f>
        <v>0</v>
      </c>
      <c r="G998" s="377" t="n">
        <f aca="false">SUM(B998:F998)</f>
        <v>0</v>
      </c>
      <c r="H998" s="448" t="n">
        <f aca="false">ROUNDDOWN(H1150*$C$1194/($C$1194+$E$1194),0)</f>
        <v>0</v>
      </c>
      <c r="I998" s="450" t="n">
        <f aca="false">ROUNDDOWN(I1150*$C$1194/($C$1194+$E$1194),0)</f>
        <v>0</v>
      </c>
      <c r="J998" s="223" t="n">
        <f aca="false">SUM(H998:I998)</f>
        <v>0</v>
      </c>
      <c r="K998" s="453" t="n">
        <f aca="false">ROUNDDOWN(K1150*$C$1194/($C$1194+$E$1194),0)</f>
        <v>0</v>
      </c>
      <c r="L998" s="450" t="n">
        <f aca="false">ROUNDDOWN(L1150*$C$1194/($C$1194+$E$1194),0)</f>
        <v>0</v>
      </c>
      <c r="M998" s="446" t="n">
        <f aca="false">SUM(K998:L998)</f>
        <v>0</v>
      </c>
      <c r="N998" s="448" t="n">
        <f aca="false">ROUNDDOWN(N1150*$C$1194/($C$1194+$E$1194),0)</f>
        <v>0</v>
      </c>
      <c r="O998" s="450" t="n">
        <f aca="false">ROUNDDOWN(O1150*$C$1194/($C$1194+$E$1194),0)</f>
        <v>0</v>
      </c>
      <c r="P998" s="223" t="n">
        <f aca="false">SUM(N998:O998)</f>
        <v>0</v>
      </c>
      <c r="Q998" s="110" t="str">
        <f aca="false">IF(P218=P998,"〇","×")</f>
        <v>〇</v>
      </c>
    </row>
    <row r="999" s="110" customFormat="true" ht="20.1" hidden="false" customHeight="true" outlineLevel="0" collapsed="false">
      <c r="A999" s="138" t="s">
        <v>174</v>
      </c>
      <c r="B999" s="449" t="n">
        <f aca="false">ROUNDDOWN(B1151*$C$1194/($C$1194+$E$1194),0)</f>
        <v>0</v>
      </c>
      <c r="C999" s="377" t="n">
        <f aca="false">ROUNDDOWN(C1151*$C$1194/($C$1194+$E$1194),0)</f>
        <v>0</v>
      </c>
      <c r="D999" s="464" t="n">
        <f aca="false">ROUNDDOWN(D1151*$C$1194/($C$1194+$E$1194),0)</f>
        <v>35318</v>
      </c>
      <c r="E999" s="452" t="n">
        <f aca="false">ROUNDDOWN(E1151*$C$1194/($C$1194+$E$1194),0)</f>
        <v>2894</v>
      </c>
      <c r="F999" s="223" t="n">
        <f aca="false">ROUNDDOWN(F1151*$C$1194/($C$1194+$E$1194),0)</f>
        <v>39</v>
      </c>
      <c r="G999" s="377" t="n">
        <f aca="false">SUM(B999:F999)</f>
        <v>38251</v>
      </c>
      <c r="H999" s="448" t="n">
        <f aca="false">ROUNDDOWN(H1151*$C$1194/($C$1194+$E$1194),0)</f>
        <v>0</v>
      </c>
      <c r="I999" s="450" t="n">
        <f aca="false">ROUNDDOWN(I1151*$C$1194/($C$1194+$E$1194),0)</f>
        <v>23174</v>
      </c>
      <c r="J999" s="223" t="n">
        <f aca="false">SUM(H999:I999)</f>
        <v>23174</v>
      </c>
      <c r="K999" s="453" t="n">
        <f aca="false">ROUNDDOWN(K1151*$C$1194/($C$1194+$E$1194),0)</f>
        <v>0</v>
      </c>
      <c r="L999" s="450" t="n">
        <f aca="false">ROUNDDOWN(L1151*$C$1194/($C$1194+$E$1194),0)</f>
        <v>2583</v>
      </c>
      <c r="M999" s="223" t="n">
        <f aca="false">SUM(K999:L999)</f>
        <v>2583</v>
      </c>
      <c r="N999" s="448" t="n">
        <f aca="false">ROUNDDOWN(N1151*$C$1194/($C$1194+$E$1194),0)</f>
        <v>0</v>
      </c>
      <c r="O999" s="450" t="n">
        <f aca="false">ROUNDDOWN(O1151*$C$1194/($C$1194+$E$1194),0)</f>
        <v>1</v>
      </c>
      <c r="P999" s="223" t="n">
        <f aca="false">SUM(N999:O999)</f>
        <v>1</v>
      </c>
      <c r="Q999" s="110" t="str">
        <f aca="false">IF(P219=P999,"〇","×")</f>
        <v>×</v>
      </c>
    </row>
    <row r="1000" s="110" customFormat="true" ht="20.1" hidden="false" customHeight="true" outlineLevel="0" collapsed="false">
      <c r="A1000" s="138" t="s">
        <v>175</v>
      </c>
      <c r="B1000" s="449" t="n">
        <f aca="false">ROUNDDOWN(B1152*$C$1194/($C$1194+$E$1194),0)</f>
        <v>0</v>
      </c>
      <c r="C1000" s="377" t="n">
        <f aca="false">ROUNDDOWN(C1152*$C$1194/($C$1194+$E$1194),0)</f>
        <v>0</v>
      </c>
      <c r="D1000" s="451" t="n">
        <f aca="false">ROUNDDOWN(D1152*$C$1194/($C$1194+$E$1194),0)</f>
        <v>98681</v>
      </c>
      <c r="E1000" s="453" t="n">
        <f aca="false">ROUNDDOWN(E1152*$C$1194/($C$1194+$E$1194),0)</f>
        <v>8089</v>
      </c>
      <c r="F1000" s="223" t="n">
        <f aca="false">ROUNDDOWN(F1152*$C$1194/($C$1194+$E$1194),0)</f>
        <v>100</v>
      </c>
      <c r="G1000" s="377" t="n">
        <f aca="false">SUM(B1000:F1000)</f>
        <v>106870</v>
      </c>
      <c r="H1000" s="448" t="n">
        <f aca="false">ROUNDDOWN(H1152*$C$1194/($C$1194+$E$1194),0)</f>
        <v>0</v>
      </c>
      <c r="I1000" s="450" t="n">
        <f aca="false">ROUNDDOWN(I1152*$C$1194/($C$1194+$E$1194),0)</f>
        <v>66823</v>
      </c>
      <c r="J1000" s="223" t="n">
        <f aca="false">SUM(H1000:I1000)</f>
        <v>66823</v>
      </c>
      <c r="K1000" s="453" t="n">
        <f aca="false">ROUNDDOWN(K1152*$C$1194/($C$1194+$E$1194),0)</f>
        <v>0</v>
      </c>
      <c r="L1000" s="450" t="n">
        <f aca="false">ROUNDDOWN(L1152*$C$1194/($C$1194+$E$1194),0)</f>
        <v>6660</v>
      </c>
      <c r="M1000" s="223" t="n">
        <f aca="false">SUM(K1000:L1000)</f>
        <v>6660</v>
      </c>
      <c r="N1000" s="448" t="n">
        <f aca="false">ROUNDDOWN(N1152*$C$1194/($C$1194+$E$1194),0)</f>
        <v>0</v>
      </c>
      <c r="O1000" s="450" t="n">
        <f aca="false">ROUNDDOWN(O1152*$C$1194/($C$1194+$E$1194),0)</f>
        <v>1</v>
      </c>
      <c r="P1000" s="223" t="n">
        <f aca="false">SUM(N1000:O1000)</f>
        <v>1</v>
      </c>
      <c r="Q1000" s="110" t="str">
        <f aca="false">IF(P220=P1000,"〇","×")</f>
        <v>×</v>
      </c>
    </row>
    <row r="1001" s="110" customFormat="true" ht="20.1" hidden="false" customHeight="true" outlineLevel="0" collapsed="false">
      <c r="A1001" s="138" t="s">
        <v>176</v>
      </c>
      <c r="B1001" s="449" t="n">
        <f aca="false">ROUNDDOWN(B1153*$C$1194/($C$1194+$E$1194),0)</f>
        <v>0</v>
      </c>
      <c r="C1001" s="377" t="n">
        <f aca="false">ROUNDDOWN(C1153*$C$1194/($C$1194+$E$1194),0)</f>
        <v>0</v>
      </c>
      <c r="D1001" s="445" t="n">
        <f aca="false">ROUNDDOWN(D1153*$C$1194/($C$1194+$E$1194),0)</f>
        <v>2562</v>
      </c>
      <c r="E1001" s="453" t="n">
        <f aca="false">ROUNDDOWN(E1153*$C$1194/($C$1194+$E$1194),0)</f>
        <v>210</v>
      </c>
      <c r="F1001" s="223" t="n">
        <f aca="false">ROUNDDOWN(F1153*$C$1194/($C$1194+$E$1194),0)</f>
        <v>3</v>
      </c>
      <c r="G1001" s="377" t="n">
        <f aca="false">SUM(B1001:F1001)</f>
        <v>2775</v>
      </c>
      <c r="H1001" s="448" t="n">
        <f aca="false">ROUNDDOWN(H1153*$C$1194/($C$1194+$E$1194),0)</f>
        <v>0</v>
      </c>
      <c r="I1001" s="450" t="n">
        <f aca="false">ROUNDDOWN(I1153*$C$1194/($C$1194+$E$1194),0)</f>
        <v>1543</v>
      </c>
      <c r="J1001" s="223" t="n">
        <f aca="false">SUM(H1001:I1001)</f>
        <v>1543</v>
      </c>
      <c r="K1001" s="453" t="n">
        <f aca="false">ROUNDDOWN(K1153*$C$1194/($C$1194+$E$1194),0)</f>
        <v>0</v>
      </c>
      <c r="L1001" s="450" t="n">
        <f aca="false">ROUNDDOWN(L1153*$C$1194/($C$1194+$E$1194),0)</f>
        <v>221</v>
      </c>
      <c r="M1001" s="223" t="n">
        <f aca="false">SUM(K1001:L1001)</f>
        <v>221</v>
      </c>
      <c r="N1001" s="448" t="n">
        <f aca="false">ROUNDDOWN(N1153*$C$1194/($C$1194+$E$1194),0)</f>
        <v>0</v>
      </c>
      <c r="O1001" s="450" t="n">
        <f aca="false">ROUNDDOWN(O1153*$C$1194/($C$1194+$E$1194),0)</f>
        <v>1</v>
      </c>
      <c r="P1001" s="223" t="n">
        <f aca="false">SUM(N1001:O1001)</f>
        <v>1</v>
      </c>
      <c r="Q1001" s="110" t="str">
        <f aca="false">IF(P221=P1001,"〇","×")</f>
        <v>×</v>
      </c>
    </row>
    <row r="1002" s="110" customFormat="true" ht="20.1" hidden="false" customHeight="true" outlineLevel="0" collapsed="false">
      <c r="A1002" s="241" t="s">
        <v>177</v>
      </c>
      <c r="B1002" s="449" t="n">
        <f aca="false">ROUNDDOWN(B1154*$C$1194/($C$1194+$E$1194),0)</f>
        <v>0</v>
      </c>
      <c r="C1002" s="377" t="n">
        <f aca="false">ROUNDDOWN(C1154*$C$1194/($C$1194+$E$1194),0)</f>
        <v>0</v>
      </c>
      <c r="D1002" s="445" t="n">
        <f aca="false">ROUNDDOWN(D1154*$C$1194/($C$1194+$E$1194),0)</f>
        <v>21914</v>
      </c>
      <c r="E1002" s="453" t="n">
        <f aca="false">ROUNDDOWN(E1154*$C$1194/($C$1194+$E$1194),0)</f>
        <v>1796</v>
      </c>
      <c r="F1002" s="223" t="n">
        <f aca="false">ROUNDDOWN(F1154*$C$1194/($C$1194+$E$1194),0)</f>
        <v>21</v>
      </c>
      <c r="G1002" s="377" t="n">
        <f aca="false">SUM(B1002:F1002)</f>
        <v>23731</v>
      </c>
      <c r="H1002" s="448" t="n">
        <f aca="false">ROUNDDOWN(H1154*$C$1194/($C$1194+$E$1194),0)</f>
        <v>0</v>
      </c>
      <c r="I1002" s="450" t="n">
        <f aca="false">ROUNDDOWN(I1154*$C$1194/($C$1194+$E$1194),0)</f>
        <v>13199</v>
      </c>
      <c r="J1002" s="223" t="n">
        <f aca="false">SUM(H1002:I1002)</f>
        <v>13199</v>
      </c>
      <c r="K1002" s="453" t="n">
        <f aca="false">ROUNDDOWN(K1154*$C$1194/($C$1194+$E$1194),0)</f>
        <v>0</v>
      </c>
      <c r="L1002" s="450" t="n">
        <f aca="false">ROUNDDOWN(L1154*$C$1194/($C$1194+$E$1194),0)</f>
        <v>1749</v>
      </c>
      <c r="M1002" s="223" t="n">
        <f aca="false">SUM(K1002:L1002)</f>
        <v>1749</v>
      </c>
      <c r="N1002" s="448" t="n">
        <f aca="false">ROUNDDOWN(N1154*$C$1194/($C$1194+$E$1194),0)</f>
        <v>0</v>
      </c>
      <c r="O1002" s="450" t="n">
        <f aca="false">ROUNDDOWN(O1154*$C$1194/($C$1194+$E$1194),0)</f>
        <v>1</v>
      </c>
      <c r="P1002" s="223" t="n">
        <f aca="false">SUM(N1002:O1002)</f>
        <v>1</v>
      </c>
      <c r="Q1002" s="110" t="str">
        <f aca="false">IF(P222=P1002,"〇","×")</f>
        <v>×</v>
      </c>
    </row>
    <row r="1003" s="110" customFormat="true" ht="20.1" hidden="false" customHeight="true" outlineLevel="0" collapsed="false">
      <c r="A1003" s="149" t="s">
        <v>178</v>
      </c>
      <c r="B1003" s="449" t="n">
        <f aca="false">ROUNDDOWN(B1155*$C$1194/($C$1194+$E$1194),0)</f>
        <v>0</v>
      </c>
      <c r="C1003" s="454" t="n">
        <f aca="false">ROUNDDOWN(C1155*$C$1194/($C$1194+$E$1194),0)</f>
        <v>0</v>
      </c>
      <c r="D1003" s="445" t="n">
        <f aca="false">ROUNDDOWN(D1155*$C$1194/($C$1194+$E$1194),0)</f>
        <v>4941</v>
      </c>
      <c r="E1003" s="453" t="n">
        <f aca="false">ROUNDDOWN(E1155*$C$1194/($C$1194+$E$1194),0)</f>
        <v>405</v>
      </c>
      <c r="F1003" s="454" t="n">
        <f aca="false">ROUNDDOWN(F1155*$C$1194/($C$1194+$E$1194),0)</f>
        <v>5</v>
      </c>
      <c r="G1003" s="377" t="n">
        <f aca="false">SUM(B1003:F1003)</f>
        <v>5351</v>
      </c>
      <c r="H1003" s="448" t="n">
        <f aca="false">ROUNDDOWN(H1155*$C$1194/($C$1194+$E$1194),0)</f>
        <v>0</v>
      </c>
      <c r="I1003" s="456" t="n">
        <f aca="false">ROUNDDOWN(I1155*$C$1194/($C$1194+$E$1194),0)</f>
        <v>2976</v>
      </c>
      <c r="J1003" s="223" t="n">
        <f aca="false">SUM(H1003:I1003)</f>
        <v>2976</v>
      </c>
      <c r="K1003" s="453" t="n">
        <f aca="false">ROUNDDOWN(K1155*$C$1194/($C$1194+$E$1194),0)</f>
        <v>0</v>
      </c>
      <c r="L1003" s="456" t="n">
        <f aca="false">ROUNDDOWN(L1155*$C$1194/($C$1194+$E$1194),0)</f>
        <v>426</v>
      </c>
      <c r="M1003" s="223" t="n">
        <f aca="false">SUM(K1003:L1003)</f>
        <v>426</v>
      </c>
      <c r="N1003" s="448" t="n">
        <f aca="false">ROUNDDOWN(N1155*$C$1194/($C$1194+$E$1194),0)</f>
        <v>0</v>
      </c>
      <c r="O1003" s="456" t="n">
        <f aca="false">ROUNDDOWN(O1155*$C$1194/($C$1194+$E$1194),0)</f>
        <v>1</v>
      </c>
      <c r="P1003" s="223" t="n">
        <f aca="false">SUM(N1003:O1003)</f>
        <v>1</v>
      </c>
      <c r="Q1003" s="110" t="str">
        <f aca="false">IF(P223=P1003,"〇","×")</f>
        <v>×</v>
      </c>
    </row>
    <row r="1004" s="110" customFormat="true" ht="20.1" hidden="false" customHeight="true" outlineLevel="0" collapsed="false">
      <c r="A1004" s="149" t="s">
        <v>179</v>
      </c>
      <c r="B1004" s="449" t="n">
        <f aca="false">ROUNDDOWN(B1156*$C$1194/($C$1194+$E$1194),0)</f>
        <v>0</v>
      </c>
      <c r="C1004" s="454" t="n">
        <f aca="false">ROUNDDOWN(C1156*$C$1194/($C$1194+$E$1194),0)</f>
        <v>0</v>
      </c>
      <c r="D1004" s="451" t="n">
        <f aca="false">ROUNDDOWN(D1156*$C$1194/($C$1194+$E$1194),0)</f>
        <v>2608</v>
      </c>
      <c r="E1004" s="453" t="n">
        <f aca="false">ROUNDDOWN(E1156*$C$1194/($C$1194+$E$1194),0)</f>
        <v>213</v>
      </c>
      <c r="F1004" s="223" t="n">
        <f aca="false">ROUNDDOWN(F1156*$C$1194/($C$1194+$E$1194),0)</f>
        <v>3</v>
      </c>
      <c r="G1004" s="377" t="n">
        <f aca="false">SUM(B1004:F1004)</f>
        <v>2824</v>
      </c>
      <c r="H1004" s="448" t="n">
        <f aca="false">ROUNDDOWN(H1156*$C$1194/($C$1194+$E$1194),0)</f>
        <v>0</v>
      </c>
      <c r="I1004" s="450" t="n">
        <f aca="false">ROUNDDOWN(I1156*$C$1194/($C$1194+$E$1194),0)</f>
        <v>1571</v>
      </c>
      <c r="J1004" s="223" t="n">
        <f aca="false">SUM(H1004:I1004)</f>
        <v>1571</v>
      </c>
      <c r="K1004" s="453" t="n">
        <f aca="false">ROUNDDOWN(K1156*$C$1194/($C$1194+$E$1194),0)</f>
        <v>0</v>
      </c>
      <c r="L1004" s="450" t="n">
        <f aca="false">ROUNDDOWN(L1156*$C$1194/($C$1194+$E$1194),0)</f>
        <v>225</v>
      </c>
      <c r="M1004" s="223" t="n">
        <f aca="false">SUM(K1004:L1004)</f>
        <v>225</v>
      </c>
      <c r="N1004" s="448" t="n">
        <f aca="false">ROUNDDOWN(N1156*$C$1194/($C$1194+$E$1194),0)</f>
        <v>0</v>
      </c>
      <c r="O1004" s="450" t="n">
        <f aca="false">ROUNDDOWN(O1156*$C$1194/($C$1194+$E$1194),0)</f>
        <v>1</v>
      </c>
      <c r="P1004" s="223" t="n">
        <f aca="false">SUM(N1004:O1004)</f>
        <v>1</v>
      </c>
      <c r="Q1004" s="110" t="str">
        <f aca="false">IF(P224=P1004,"〇","×")</f>
        <v>×</v>
      </c>
    </row>
    <row r="1005" s="110" customFormat="true" ht="20.1" hidden="false" customHeight="true" outlineLevel="0" collapsed="false">
      <c r="A1005" s="149" t="s">
        <v>180</v>
      </c>
      <c r="B1005" s="449" t="n">
        <f aca="false">ROUNDDOWN(B1157*$C$1194/($C$1194+$E$1194),0)</f>
        <v>0</v>
      </c>
      <c r="C1005" s="223" t="n">
        <f aca="false">ROUNDDOWN(C1157*$C$1194/($C$1194+$E$1194),0)</f>
        <v>0</v>
      </c>
      <c r="D1005" s="449" t="n">
        <f aca="false">ROUNDDOWN(D1157*$C$1194/($C$1194+$E$1194),0)</f>
        <v>6861</v>
      </c>
      <c r="E1005" s="453" t="n">
        <f aca="false">ROUNDDOWN(E1157*$C$1194/($C$1194+$E$1194),0)</f>
        <v>563</v>
      </c>
      <c r="F1005" s="223" t="n">
        <f aca="false">ROUNDDOWN(F1157*$C$1194/($C$1194+$E$1194),0)</f>
        <v>7</v>
      </c>
      <c r="G1005" s="377" t="n">
        <f aca="false">SUM(B1005:F1005)</f>
        <v>7431</v>
      </c>
      <c r="H1005" s="448" t="n">
        <f aca="false">ROUNDDOWN(H1157*$C$1194/($C$1194+$E$1194),0)</f>
        <v>0</v>
      </c>
      <c r="I1005" s="450" t="n">
        <f aca="false">ROUNDDOWN(I1157*$C$1194/($C$1194+$E$1194),0)</f>
        <v>4133</v>
      </c>
      <c r="J1005" s="223" t="n">
        <f aca="false">SUM(H1005:I1005)</f>
        <v>4133</v>
      </c>
      <c r="K1005" s="453" t="n">
        <f aca="false">ROUNDDOWN(K1157*$C$1194/($C$1194+$E$1194),0)</f>
        <v>0</v>
      </c>
      <c r="L1005" s="450" t="n">
        <f aca="false">ROUNDDOWN(L1157*$C$1194/($C$1194+$E$1194),0)</f>
        <v>380</v>
      </c>
      <c r="M1005" s="223" t="n">
        <f aca="false">SUM(K1005:L1005)</f>
        <v>380</v>
      </c>
      <c r="N1005" s="448" t="n">
        <f aca="false">ROUNDDOWN(N1157*$C$1194/($C$1194+$E$1194),0)</f>
        <v>0</v>
      </c>
      <c r="O1005" s="450" t="n">
        <f aca="false">ROUNDDOWN(O1157*$C$1194/($C$1194+$E$1194),0)</f>
        <v>1</v>
      </c>
      <c r="P1005" s="223" t="n">
        <f aca="false">SUM(N1005:O1005)</f>
        <v>1</v>
      </c>
      <c r="Q1005" s="110" t="str">
        <f aca="false">IF(P225=P1005,"〇","×")</f>
        <v>×</v>
      </c>
    </row>
    <row r="1006" s="110" customFormat="true" ht="20.1" hidden="false" customHeight="true" outlineLevel="0" collapsed="false">
      <c r="A1006" s="149" t="s">
        <v>181</v>
      </c>
      <c r="B1006" s="451" t="n">
        <f aca="false">ROUNDDOWN(B1158*$C$1194/($C$1194+$E$1194),0)</f>
        <v>20541</v>
      </c>
      <c r="C1006" s="223" t="n">
        <f aca="false">ROUNDDOWN(C1158*$C$1194/($C$1194+$E$1194),0)</f>
        <v>1683</v>
      </c>
      <c r="D1006" s="449" t="n">
        <f aca="false">ROUNDDOWN(D1158*$C$1194/($C$1194+$E$1194),0)</f>
        <v>20542</v>
      </c>
      <c r="E1006" s="453" t="n">
        <f aca="false">ROUNDDOWN(E1158*$C$1194/($C$1194+$E$1194),0)</f>
        <v>1683</v>
      </c>
      <c r="F1006" s="223" t="n">
        <f aca="false">ROUNDDOWN(F1158*$C$1194/($C$1194+$E$1194),0)</f>
        <v>20</v>
      </c>
      <c r="G1006" s="377" t="n">
        <f aca="false">SUM(B1006:F1006)</f>
        <v>44469</v>
      </c>
      <c r="H1006" s="448" t="n">
        <f aca="false">ROUNDDOWN(H1158*$C$1194/($C$1194+$E$1194),0)</f>
        <v>12350</v>
      </c>
      <c r="I1006" s="450" t="n">
        <f aca="false">ROUNDDOWN(I1158*$C$1194/($C$1194+$E$1194),0)</f>
        <v>12372</v>
      </c>
      <c r="J1006" s="223" t="n">
        <f aca="false">SUM(H1006:I1006)</f>
        <v>24722</v>
      </c>
      <c r="K1006" s="453" t="n">
        <f aca="false">ROUNDDOWN(K1158*$C$1194/($C$1194+$E$1194),0)</f>
        <v>668</v>
      </c>
      <c r="L1006" s="450" t="n">
        <f aca="false">ROUNDDOWN(L1158*$C$1194/($C$1194+$E$1194),0)</f>
        <v>667</v>
      </c>
      <c r="M1006" s="223" t="n">
        <f aca="false">SUM(K1006:L1006)</f>
        <v>1335</v>
      </c>
      <c r="N1006" s="448" t="n">
        <f aca="false">ROUNDDOWN(N1158*$C$1194/($C$1194+$E$1194),0)</f>
        <v>1</v>
      </c>
      <c r="O1006" s="450" t="n">
        <f aca="false">ROUNDDOWN(O1158*$C$1194/($C$1194+$E$1194),0)</f>
        <v>1</v>
      </c>
      <c r="P1006" s="223" t="n">
        <f aca="false">SUM(N1006:O1006)</f>
        <v>2</v>
      </c>
      <c r="Q1006" s="110" t="str">
        <f aca="false">IF(P226=P1006,"〇","×")</f>
        <v>×</v>
      </c>
    </row>
    <row r="1007" s="110" customFormat="true" ht="20.1" hidden="false" customHeight="true" outlineLevel="0" collapsed="false">
      <c r="A1007" s="194" t="s">
        <v>182</v>
      </c>
      <c r="B1007" s="449" t="n">
        <f aca="false">ROUNDDOWN(B1159*$C$1194/($C$1194+$E$1194),0)</f>
        <v>3156</v>
      </c>
      <c r="C1007" s="223" t="n">
        <f aca="false">ROUNDDOWN(C1159*$C$1194/($C$1194+$E$1194),0)</f>
        <v>258</v>
      </c>
      <c r="D1007" s="449" t="n">
        <f aca="false">ROUNDDOWN(D1159*$C$1194/($C$1194+$E$1194),0)</f>
        <v>3157</v>
      </c>
      <c r="E1007" s="453" t="n">
        <f aca="false">ROUNDDOWN(E1159*$C$1194/($C$1194+$E$1194),0)</f>
        <v>258</v>
      </c>
      <c r="F1007" s="223" t="n">
        <f aca="false">ROUNDDOWN(F1159*$C$1194/($C$1194+$E$1194),0)</f>
        <v>3</v>
      </c>
      <c r="G1007" s="221" t="n">
        <f aca="false">SUM(B1007:F1007)</f>
        <v>6832</v>
      </c>
      <c r="H1007" s="448" t="n">
        <f aca="false">ROUNDDOWN(H1159*$C$1194/($C$1194+$E$1194),0)</f>
        <v>1897</v>
      </c>
      <c r="I1007" s="450" t="n">
        <f aca="false">ROUNDDOWN(I1159*$C$1194/($C$1194+$E$1194),0)</f>
        <v>1901</v>
      </c>
      <c r="J1007" s="223" t="n">
        <f aca="false">SUM(H1007:I1007)</f>
        <v>3798</v>
      </c>
      <c r="K1007" s="453" t="n">
        <f aca="false">ROUNDDOWN(K1159*$C$1194/($C$1194+$E$1194),0)</f>
        <v>0</v>
      </c>
      <c r="L1007" s="450" t="n">
        <f aca="false">ROUNDDOWN(L1159*$C$1194/($C$1194+$E$1194),0)</f>
        <v>0</v>
      </c>
      <c r="M1007" s="223" t="n">
        <f aca="false">SUM(K1007:L1007)</f>
        <v>0</v>
      </c>
      <c r="N1007" s="448" t="n">
        <f aca="false">ROUNDDOWN(N1159*$C$1194/($C$1194+$E$1194),0)</f>
        <v>1</v>
      </c>
      <c r="O1007" s="450" t="n">
        <f aca="false">ROUNDDOWN(O1159*$C$1194/($C$1194+$E$1194),0)</f>
        <v>1</v>
      </c>
      <c r="P1007" s="223" t="n">
        <f aca="false">SUM(N1007:O1007)</f>
        <v>2</v>
      </c>
      <c r="Q1007" s="110" t="str">
        <f aca="false">IF(P227=P1007,"〇","×")</f>
        <v>×</v>
      </c>
    </row>
    <row r="1008" s="110" customFormat="true" ht="20.1" hidden="false" customHeight="true" outlineLevel="0" collapsed="false">
      <c r="A1008" s="138" t="s">
        <v>183</v>
      </c>
      <c r="B1008" s="449" t="n">
        <f aca="false">ROUNDDOWN(B1160*$C$1194/($C$1194+$E$1194),0)</f>
        <v>7319</v>
      </c>
      <c r="C1008" s="223" t="n">
        <f aca="false">ROUNDDOWN(C1160*$C$1194/($C$1194+$E$1194),0)</f>
        <v>599</v>
      </c>
      <c r="D1008" s="449" t="n">
        <f aca="false">ROUNDDOWN(D1160*$C$1194/($C$1194+$E$1194),0)</f>
        <v>7320</v>
      </c>
      <c r="E1008" s="453" t="n">
        <f aca="false">ROUNDDOWN(E1160*$C$1194/($C$1194+$E$1194),0)</f>
        <v>600</v>
      </c>
      <c r="F1008" s="223" t="n">
        <f aca="false">ROUNDDOWN(F1160*$C$1194/($C$1194+$E$1194),0)</f>
        <v>7</v>
      </c>
      <c r="G1008" s="377" t="n">
        <f aca="false">SUM(B1008:F1008)</f>
        <v>15845</v>
      </c>
      <c r="H1008" s="448" t="n">
        <f aca="false">ROUNDDOWN(H1160*$C$1194/($C$1194+$E$1194),0)</f>
        <v>4402</v>
      </c>
      <c r="I1008" s="450" t="n">
        <f aca="false">ROUNDDOWN(I1160*$C$1194/($C$1194+$E$1194),0)</f>
        <v>4408</v>
      </c>
      <c r="J1008" s="223" t="n">
        <f aca="false">SUM(H1008:I1008)</f>
        <v>8810</v>
      </c>
      <c r="K1008" s="453" t="n">
        <f aca="false">ROUNDDOWN(K1160*$C$1194/($C$1194+$E$1194),0)</f>
        <v>324</v>
      </c>
      <c r="L1008" s="450" t="n">
        <f aca="false">ROUNDDOWN(L1160*$C$1194/($C$1194+$E$1194),0)</f>
        <v>324</v>
      </c>
      <c r="M1008" s="223" t="n">
        <f aca="false">SUM(K1008:L1008)</f>
        <v>648</v>
      </c>
      <c r="N1008" s="448" t="n">
        <f aca="false">ROUNDDOWN(N1160*$C$1194/($C$1194+$E$1194),0)</f>
        <v>1</v>
      </c>
      <c r="O1008" s="450" t="n">
        <f aca="false">ROUNDDOWN(O1160*$C$1194/($C$1194+$E$1194),0)</f>
        <v>1</v>
      </c>
      <c r="P1008" s="223" t="n">
        <f aca="false">SUM(N1008:O1008)</f>
        <v>2</v>
      </c>
      <c r="Q1008" s="110" t="str">
        <f aca="false">IF(P228=P1008,"〇","×")</f>
        <v>×</v>
      </c>
    </row>
    <row r="1009" s="110" customFormat="true" ht="20.1" hidden="false" customHeight="true" outlineLevel="0" collapsed="false">
      <c r="A1009" s="138" t="s">
        <v>184</v>
      </c>
      <c r="B1009" s="464" t="n">
        <f aca="false">ROUNDDOWN(B1161*$C$1194/($C$1194+$E$1194),0)</f>
        <v>47211</v>
      </c>
      <c r="C1009" s="454" t="n">
        <f aca="false">ROUNDDOWN(C1161*$C$1194/($C$1194+$E$1194),0)</f>
        <v>3867</v>
      </c>
      <c r="D1009" s="464" t="n">
        <f aca="false">ROUNDDOWN(D1161*$C$1194/($C$1194+$E$1194),0)</f>
        <v>47214</v>
      </c>
      <c r="E1009" s="470" t="n">
        <f aca="false">ROUNDDOWN(E1161*$C$1194/($C$1194+$E$1194),0)</f>
        <v>3869</v>
      </c>
      <c r="F1009" s="466" t="n">
        <f aca="false">ROUNDDOWN(F1161*$C$1194/($C$1194+$E$1194),0)</f>
        <v>49</v>
      </c>
      <c r="G1009" s="377" t="n">
        <f aca="false">SUM(B1009:F1009)</f>
        <v>102210</v>
      </c>
      <c r="H1009" s="471" t="n">
        <f aca="false">ROUNDDOWN(H1161*$C$1194/($C$1194+$E$1194),0)</f>
        <v>29266</v>
      </c>
      <c r="I1009" s="472" t="n">
        <f aca="false">ROUNDDOWN(I1161*$C$1194/($C$1194+$E$1194),0)</f>
        <v>29319</v>
      </c>
      <c r="J1009" s="223" t="n">
        <f aca="false">SUM(H1009:I1009)</f>
        <v>58585</v>
      </c>
      <c r="K1009" s="470" t="n">
        <f aca="false">ROUNDDOWN(K1161*$C$1194/($C$1194+$E$1194),0)</f>
        <v>2587</v>
      </c>
      <c r="L1009" s="472" t="n">
        <f aca="false">ROUNDDOWN(L1161*$C$1194/($C$1194+$E$1194),0)</f>
        <v>2587</v>
      </c>
      <c r="M1009" s="223" t="n">
        <f aca="false">SUM(K1009:L1009)</f>
        <v>5174</v>
      </c>
      <c r="N1009" s="471" t="n">
        <f aca="false">ROUNDDOWN(N1161*$C$1194/($C$1194+$E$1194),0)</f>
        <v>1</v>
      </c>
      <c r="O1009" s="472" t="n">
        <f aca="false">ROUNDDOWN(O1161*$C$1194/($C$1194+$E$1194),0)</f>
        <v>1</v>
      </c>
      <c r="P1009" s="223" t="n">
        <f aca="false">SUM(N1009:O1009)</f>
        <v>2</v>
      </c>
      <c r="Q1009" s="110" t="str">
        <f aca="false">IF(P229=P1009,"〇","×")</f>
        <v>×</v>
      </c>
    </row>
    <row r="1010" s="110" customFormat="true" ht="20.1" hidden="false" customHeight="true" outlineLevel="0" collapsed="false">
      <c r="A1010" s="138" t="s">
        <v>185</v>
      </c>
      <c r="B1010" s="451" t="n">
        <f aca="false">ROUNDDOWN(B1162*$C$1194/($C$1194+$E$1194),0)</f>
        <v>0</v>
      </c>
      <c r="C1010" s="454" t="n">
        <f aca="false">ROUNDDOWN(C1162*$C$1194/($C$1194+$E$1194),0)</f>
        <v>0</v>
      </c>
      <c r="D1010" s="451" t="n">
        <f aca="false">ROUNDDOWN(D1162*$C$1194/($C$1194+$E$1194),0)</f>
        <v>31613</v>
      </c>
      <c r="E1010" s="473" t="n">
        <f aca="false">ROUNDDOWN(E1162*$C$1194/($C$1194+$E$1194),0)</f>
        <v>2591</v>
      </c>
      <c r="F1010" s="454" t="n">
        <f aca="false">ROUNDDOWN(F1162*$C$1194/($C$1194+$E$1194),0)</f>
        <v>34</v>
      </c>
      <c r="G1010" s="377" t="n">
        <f aca="false">SUM(B1010:F1010)</f>
        <v>34238</v>
      </c>
      <c r="H1010" s="455" t="n">
        <f aca="false">ROUNDDOWN(H1162*$C$1194/($C$1194+$E$1194),0)</f>
        <v>0</v>
      </c>
      <c r="I1010" s="456" t="n">
        <f aca="false">ROUNDDOWN(I1162*$C$1194/($C$1194+$E$1194),0)</f>
        <v>19041</v>
      </c>
      <c r="J1010" s="223" t="n">
        <f aca="false">SUM(H1010:I1010)</f>
        <v>19041</v>
      </c>
      <c r="K1010" s="473" t="n">
        <f aca="false">ROUNDDOWN(K1162*$C$1194/($C$1194+$E$1194),0)</f>
        <v>0</v>
      </c>
      <c r="L1010" s="456" t="n">
        <f aca="false">ROUNDDOWN(L1162*$C$1194/($C$1194+$E$1194),0)</f>
        <v>1434</v>
      </c>
      <c r="M1010" s="223" t="n">
        <f aca="false">SUM(K1010:L1010)</f>
        <v>1434</v>
      </c>
      <c r="N1010" s="455" t="n">
        <f aca="false">ROUNDDOWN(N1162*$C$1194/($C$1194+$E$1194),0)</f>
        <v>0</v>
      </c>
      <c r="O1010" s="456" t="n">
        <f aca="false">ROUNDDOWN(O1162*$C$1194/($C$1194+$E$1194),0)</f>
        <v>1</v>
      </c>
      <c r="P1010" s="223" t="n">
        <f aca="false">SUM(N1010:O1010)</f>
        <v>1</v>
      </c>
      <c r="Q1010" s="110" t="str">
        <f aca="false">IF(P230=P1010,"〇","×")</f>
        <v>×</v>
      </c>
    </row>
    <row r="1011" s="110" customFormat="true" ht="20.1" hidden="false" customHeight="true" outlineLevel="0" collapsed="false">
      <c r="A1011" s="474" t="s">
        <v>186</v>
      </c>
      <c r="B1011" s="449" t="n">
        <f aca="false">ROUNDDOWN(B1163*$C$1194/($C$1194+$E$1194),0)</f>
        <v>0</v>
      </c>
      <c r="C1011" s="223" t="n">
        <f aca="false">ROUNDDOWN(C1163*$C$1194/($C$1194+$E$1194),0)</f>
        <v>0</v>
      </c>
      <c r="D1011" s="449" t="n">
        <f aca="false">ROUNDDOWN(D1163*$C$1194/($C$1194+$E$1194),0)</f>
        <v>64508</v>
      </c>
      <c r="E1011" s="453" t="n">
        <f aca="false">ROUNDDOWN(E1163*$C$1194/($C$1194+$E$1194),0)</f>
        <v>5287</v>
      </c>
      <c r="F1011" s="454" t="n">
        <f aca="false">ROUNDDOWN(F1163*$C$1194/($C$1194+$E$1194),0)</f>
        <v>67</v>
      </c>
      <c r="G1011" s="377" t="n">
        <f aca="false">SUM(B1011:F1011)</f>
        <v>69862</v>
      </c>
      <c r="H1011" s="448" t="n">
        <f aca="false">ROUNDDOWN(H1163*$C$1194/($C$1194+$E$1194),0)</f>
        <v>0</v>
      </c>
      <c r="I1011" s="456" t="n">
        <f aca="false">ROUNDDOWN(I1163*$C$1194/($C$1194+$E$1194),0)</f>
        <v>38852</v>
      </c>
      <c r="J1011" s="223" t="n">
        <f aca="false">SUM(H1011:I1011)</f>
        <v>38852</v>
      </c>
      <c r="K1011" s="453" t="n">
        <f aca="false">ROUNDDOWN(K1163*$C$1194/($C$1194+$E$1194),0)</f>
        <v>0</v>
      </c>
      <c r="L1011" s="456" t="n">
        <f aca="false">ROUNDDOWN(L1163*$C$1194/($C$1194+$E$1194),0)</f>
        <v>5218</v>
      </c>
      <c r="M1011" s="223" t="n">
        <f aca="false">SUM(K1011:L1011)</f>
        <v>5218</v>
      </c>
      <c r="N1011" s="448" t="n">
        <f aca="false">ROUNDDOWN(N1163*$C$1194/($C$1194+$E$1194),0)</f>
        <v>0</v>
      </c>
      <c r="O1011" s="456" t="n">
        <f aca="false">ROUNDDOWN(O1163*$C$1194/($C$1194+$E$1194),0)</f>
        <v>1</v>
      </c>
      <c r="P1011" s="223" t="n">
        <f aca="false">SUM(N1011:O1011)</f>
        <v>1</v>
      </c>
      <c r="Q1011" s="110" t="str">
        <f aca="false">IF(P231=P1011,"〇","×")</f>
        <v>×</v>
      </c>
    </row>
    <row r="1012" s="110" customFormat="true" ht="20.1" hidden="false" customHeight="true" outlineLevel="0" collapsed="false">
      <c r="A1012" s="474" t="s">
        <v>187</v>
      </c>
      <c r="B1012" s="449" t="n">
        <f aca="false">ROUNDDOWN(B1164*$C$1194/($C$1194+$E$1194),0)</f>
        <v>0</v>
      </c>
      <c r="C1012" s="223" t="n">
        <f aca="false">ROUNDDOWN(C1164*$C$1194/($C$1194+$E$1194),0)</f>
        <v>0</v>
      </c>
      <c r="D1012" s="449" t="n">
        <f aca="false">ROUNDDOWN(D1164*$C$1194/($C$1194+$E$1194),0)</f>
        <v>0</v>
      </c>
      <c r="E1012" s="453" t="n">
        <f aca="false">ROUNDDOWN(E1164*$C$1194/($C$1194+$E$1194),0)</f>
        <v>0</v>
      </c>
      <c r="F1012" s="454" t="n">
        <f aca="false">ROUNDDOWN(F1164*$C$1194/($C$1194+$E$1194),0)</f>
        <v>0</v>
      </c>
      <c r="G1012" s="377" t="n">
        <f aca="false">SUM(B1012:F1012)</f>
        <v>0</v>
      </c>
      <c r="H1012" s="448" t="n">
        <f aca="false">ROUNDDOWN(H1164*$C$1194/($C$1194+$E$1194),0)</f>
        <v>0</v>
      </c>
      <c r="I1012" s="456" t="n">
        <f aca="false">ROUNDDOWN(I1164*$C$1194/($C$1194+$E$1194),0)</f>
        <v>0</v>
      </c>
      <c r="J1012" s="223" t="n">
        <f aca="false">SUM(H1012:I1012)</f>
        <v>0</v>
      </c>
      <c r="K1012" s="453" t="n">
        <f aca="false">ROUNDDOWN(K1164*$C$1194/($C$1194+$E$1194),0)</f>
        <v>0</v>
      </c>
      <c r="L1012" s="456" t="n">
        <f aca="false">ROUNDDOWN(L1164*$C$1194/($C$1194+$E$1194),0)</f>
        <v>0</v>
      </c>
      <c r="M1012" s="223" t="n">
        <f aca="false">SUM(K1012:L1012)</f>
        <v>0</v>
      </c>
      <c r="N1012" s="448" t="n">
        <f aca="false">ROUNDDOWN(N1164*$C$1194/($C$1194+$E$1194),0)</f>
        <v>0</v>
      </c>
      <c r="O1012" s="456" t="n">
        <f aca="false">ROUNDDOWN(O1164*$C$1194/($C$1194+$E$1194),0)</f>
        <v>0</v>
      </c>
      <c r="P1012" s="223" t="n">
        <f aca="false">SUM(N1012:O1012)</f>
        <v>0</v>
      </c>
      <c r="Q1012" s="110" t="str">
        <f aca="false">IF(P232=P1012,"〇","×")</f>
        <v>〇</v>
      </c>
    </row>
    <row r="1013" s="110" customFormat="true" ht="20.1" hidden="false" customHeight="true" outlineLevel="0" collapsed="false">
      <c r="A1013" s="138" t="s">
        <v>188</v>
      </c>
      <c r="B1013" s="449" t="n">
        <f aca="false">ROUNDDOWN(B1165*$C$1194/($C$1194+$E$1194),0)</f>
        <v>0</v>
      </c>
      <c r="C1013" s="223" t="n">
        <f aca="false">ROUNDDOWN(C1165*$C$1194/($C$1194+$E$1194),0)</f>
        <v>0</v>
      </c>
      <c r="D1013" s="449" t="n">
        <f aca="false">ROUNDDOWN(D1165*$C$1194/($C$1194+$E$1194),0)</f>
        <v>22739</v>
      </c>
      <c r="E1013" s="453" t="n">
        <f aca="false">ROUNDDOWN(E1165*$C$1194/($C$1194+$E$1194),0)</f>
        <v>1864</v>
      </c>
      <c r="F1013" s="454" t="n">
        <f aca="false">ROUNDDOWN(F1165*$C$1194/($C$1194+$E$1194),0)</f>
        <v>23</v>
      </c>
      <c r="G1013" s="377" t="n">
        <f aca="false">SUM(B1013:F1013)</f>
        <v>24626</v>
      </c>
      <c r="H1013" s="448" t="n">
        <f aca="false">ROUNDDOWN(H1165*$C$1194/($C$1194+$E$1194),0)</f>
        <v>0</v>
      </c>
      <c r="I1013" s="456" t="n">
        <f aca="false">ROUNDDOWN(I1165*$C$1194/($C$1194+$E$1194),0)</f>
        <v>13694</v>
      </c>
      <c r="J1013" s="223" t="n">
        <f aca="false">SUM(H1013:I1013)</f>
        <v>13694</v>
      </c>
      <c r="K1013" s="453" t="n">
        <f aca="false">ROUNDDOWN(K1165*$C$1194/($C$1194+$E$1194),0)</f>
        <v>0</v>
      </c>
      <c r="L1013" s="456" t="n">
        <f aca="false">ROUNDDOWN(L1165*$C$1194/($C$1194+$E$1194),0)</f>
        <v>1964</v>
      </c>
      <c r="M1013" s="223" t="n">
        <f aca="false">SUM(K1013:L1013)</f>
        <v>1964</v>
      </c>
      <c r="N1013" s="448" t="n">
        <f aca="false">ROUNDDOWN(N1165*$C$1194/($C$1194+$E$1194),0)</f>
        <v>0</v>
      </c>
      <c r="O1013" s="456" t="n">
        <f aca="false">ROUNDDOWN(O1165*$C$1194/($C$1194+$E$1194),0)</f>
        <v>1</v>
      </c>
      <c r="P1013" s="223" t="n">
        <f aca="false">SUM(N1013:O1013)</f>
        <v>1</v>
      </c>
      <c r="Q1013" s="110" t="str">
        <f aca="false">IF(P233=P1013,"〇","×")</f>
        <v>×</v>
      </c>
    </row>
    <row r="1014" s="110" customFormat="true" ht="20.1" hidden="false" customHeight="true" outlineLevel="0" collapsed="false">
      <c r="A1014" s="149" t="s">
        <v>189</v>
      </c>
      <c r="B1014" s="449" t="n">
        <f aca="false">ROUNDDOWN(B1166*$C$1194/($C$1194+$E$1194),0)</f>
        <v>7778</v>
      </c>
      <c r="C1014" s="223" t="n">
        <f aca="false">ROUNDDOWN(C1166*$C$1194/($C$1194+$E$1194),0)</f>
        <v>638</v>
      </c>
      <c r="D1014" s="449" t="n">
        <f aca="false">ROUNDDOWN(D1166*$C$1194/($C$1194+$E$1194),0)</f>
        <v>7777</v>
      </c>
      <c r="E1014" s="453" t="n">
        <f aca="false">ROUNDDOWN(E1166*$C$1194/($C$1194+$E$1194),0)</f>
        <v>638</v>
      </c>
      <c r="F1014" s="454" t="n">
        <f aca="false">ROUNDDOWN(F1166*$C$1194/($C$1194+$E$1194),0)</f>
        <v>8</v>
      </c>
      <c r="G1014" s="377" t="n">
        <f aca="false">SUM(B1014:F1014)</f>
        <v>16839</v>
      </c>
      <c r="H1014" s="448" t="n">
        <f aca="false">ROUNDDOWN(H1166*$C$1194/($C$1194+$E$1194),0)</f>
        <v>4675</v>
      </c>
      <c r="I1014" s="456" t="n">
        <f aca="false">ROUNDDOWN(I1166*$C$1194/($C$1194+$E$1194),0)</f>
        <v>4685</v>
      </c>
      <c r="J1014" s="223" t="n">
        <f aca="false">SUM(H1014:I1014)</f>
        <v>9360</v>
      </c>
      <c r="K1014" s="453" t="n">
        <f aca="false">ROUNDDOWN(K1166*$C$1194/($C$1194+$E$1194),0)</f>
        <v>466</v>
      </c>
      <c r="L1014" s="456" t="n">
        <f aca="false">ROUNDDOWN(L1166*$C$1194/($C$1194+$E$1194),0)</f>
        <v>466</v>
      </c>
      <c r="M1014" s="223" t="n">
        <f aca="false">SUM(K1014:L1014)</f>
        <v>932</v>
      </c>
      <c r="N1014" s="448" t="n">
        <f aca="false">ROUNDDOWN(N1166*$C$1194/($C$1194+$E$1194),0)</f>
        <v>1</v>
      </c>
      <c r="O1014" s="456" t="n">
        <f aca="false">ROUNDDOWN(O1166*$C$1194/($C$1194+$E$1194),0)</f>
        <v>1</v>
      </c>
      <c r="P1014" s="223" t="n">
        <f aca="false">SUM(N1014:O1014)</f>
        <v>2</v>
      </c>
      <c r="Q1014" s="110" t="str">
        <f aca="false">IF(P234=P1014,"〇","×")</f>
        <v>×</v>
      </c>
    </row>
    <row r="1015" s="110" customFormat="true" ht="20.1" hidden="false" customHeight="true" outlineLevel="0" collapsed="false">
      <c r="A1015" s="206" t="s">
        <v>190</v>
      </c>
      <c r="B1015" s="451" t="n">
        <f aca="false">ROUNDDOWN(B1167*$C$1194/($C$1194+$E$1194),0)</f>
        <v>0</v>
      </c>
      <c r="C1015" s="454" t="n">
        <f aca="false">ROUNDDOWN(C1167*$C$1194/($C$1194+$E$1194),0)</f>
        <v>0</v>
      </c>
      <c r="D1015" s="451" t="n">
        <f aca="false">ROUNDDOWN(D1167*$C$1194/($C$1194+$E$1194),0)</f>
        <v>21640</v>
      </c>
      <c r="E1015" s="473" t="n">
        <f aca="false">ROUNDDOWN(E1167*$C$1194/($C$1194+$E$1194),0)</f>
        <v>1773</v>
      </c>
      <c r="F1015" s="454" t="n">
        <f aca="false">ROUNDDOWN(F1167*$C$1194/($C$1194+$E$1194),0)</f>
        <v>22</v>
      </c>
      <c r="G1015" s="377" t="n">
        <f aca="false">SUM(B1015:F1015)</f>
        <v>23435</v>
      </c>
      <c r="H1015" s="455" t="n">
        <f aca="false">ROUNDDOWN(H1167*$C$1194/($C$1194+$E$1194),0)</f>
        <v>0</v>
      </c>
      <c r="I1015" s="456" t="n">
        <f aca="false">ROUNDDOWN(I1167*$C$1194/($C$1194+$E$1194),0)</f>
        <v>14191</v>
      </c>
      <c r="J1015" s="223" t="n">
        <f aca="false">SUM(H1015:I1015)</f>
        <v>14191</v>
      </c>
      <c r="K1015" s="473" t="n">
        <f aca="false">ROUNDDOWN(K1167*$C$1194/($C$1194+$E$1194),0)</f>
        <v>0</v>
      </c>
      <c r="L1015" s="456" t="n">
        <f aca="false">ROUNDDOWN(L1167*$C$1194/($C$1194+$E$1194),0)</f>
        <v>1220</v>
      </c>
      <c r="M1015" s="223" t="n">
        <f aca="false">SUM(K1015:L1015)</f>
        <v>1220</v>
      </c>
      <c r="N1015" s="455" t="n">
        <f aca="false">ROUNDDOWN(N1167*$C$1194/($C$1194+$E$1194),0)</f>
        <v>0</v>
      </c>
      <c r="O1015" s="456" t="n">
        <f aca="false">ROUNDDOWN(O1167*$C$1194/($C$1194+$E$1194),0)</f>
        <v>1</v>
      </c>
      <c r="P1015" s="223" t="n">
        <f aca="false">SUM(N1015:O1015)</f>
        <v>1</v>
      </c>
      <c r="Q1015" s="110" t="str">
        <f aca="false">IF(P235=P1015,"〇","×")</f>
        <v>×</v>
      </c>
    </row>
    <row r="1016" s="110" customFormat="true" ht="20.1" hidden="false" customHeight="true" outlineLevel="0" collapsed="false">
      <c r="A1016" s="149" t="s">
        <v>191</v>
      </c>
      <c r="B1016" s="449" t="n">
        <f aca="false">ROUNDDOWN(B1168*$C$1194/($C$1194+$E$1194),0)</f>
        <v>2837</v>
      </c>
      <c r="C1016" s="223" t="n">
        <f aca="false">ROUNDDOWN(C1168*$C$1194/($C$1194+$E$1194),0)</f>
        <v>233</v>
      </c>
      <c r="D1016" s="449" t="n">
        <f aca="false">ROUNDDOWN(D1168*$C$1194/($C$1194+$E$1194),0)</f>
        <v>2836</v>
      </c>
      <c r="E1016" s="453" t="n">
        <f aca="false">ROUNDDOWN(E1168*$C$1194/($C$1194+$E$1194),0)</f>
        <v>233</v>
      </c>
      <c r="F1016" s="223" t="n">
        <f aca="false">ROUNDDOWN(F1168*$C$1194/($C$1194+$E$1194),0)</f>
        <v>3</v>
      </c>
      <c r="G1016" s="377" t="n">
        <f aca="false">SUM(B1016:F1016)</f>
        <v>6142</v>
      </c>
      <c r="H1016" s="448" t="n">
        <f aca="false">ROUNDDOWN(H1168*$C$1194/($C$1194+$E$1194),0)</f>
        <v>1706</v>
      </c>
      <c r="I1016" s="450" t="n">
        <f aca="false">ROUNDDOWN(I1168*$C$1194/($C$1194+$E$1194),0)</f>
        <v>1709</v>
      </c>
      <c r="J1016" s="223" t="n">
        <f aca="false">SUM(H1016:I1016)</f>
        <v>3415</v>
      </c>
      <c r="K1016" s="453" t="n">
        <f aca="false">ROUNDDOWN(K1168*$C$1194/($C$1194+$E$1194),0)</f>
        <v>245</v>
      </c>
      <c r="L1016" s="450" t="n">
        <f aca="false">ROUNDDOWN(L1168*$C$1194/($C$1194+$E$1194),0)</f>
        <v>245</v>
      </c>
      <c r="M1016" s="223" t="n">
        <f aca="false">SUM(K1016:L1016)</f>
        <v>490</v>
      </c>
      <c r="N1016" s="448" t="n">
        <f aca="false">ROUNDDOWN(N1168*$C$1194/($C$1194+$E$1194),0)</f>
        <v>1</v>
      </c>
      <c r="O1016" s="450" t="n">
        <f aca="false">ROUNDDOWN(O1168*$C$1194/($C$1194+$E$1194),0)</f>
        <v>1</v>
      </c>
      <c r="P1016" s="223" t="n">
        <f aca="false">SUM(N1016:O1016)</f>
        <v>2</v>
      </c>
      <c r="Q1016" s="110" t="str">
        <f aca="false">IF(P236=P1016,"〇","×")</f>
        <v>×</v>
      </c>
    </row>
    <row r="1017" s="110" customFormat="true" ht="20.1" hidden="false" customHeight="true" outlineLevel="0" collapsed="false">
      <c r="A1017" s="241" t="s">
        <v>192</v>
      </c>
      <c r="B1017" s="451" t="n">
        <f aca="false">ROUNDDOWN(B1169*$C$1194/($C$1194+$E$1194),0)</f>
        <v>1052</v>
      </c>
      <c r="C1017" s="223" t="n">
        <f aca="false">ROUNDDOWN(C1169*$C$1194/($C$1194+$E$1194),0)</f>
        <v>86</v>
      </c>
      <c r="D1017" s="449" t="n">
        <f aca="false">ROUNDDOWN(D1169*$C$1194/($C$1194+$E$1194),0)</f>
        <v>1052</v>
      </c>
      <c r="E1017" s="453" t="n">
        <f aca="false">ROUNDDOWN(E1169*$C$1194/($C$1194+$E$1194),0)</f>
        <v>86</v>
      </c>
      <c r="F1017" s="223" t="n">
        <f aca="false">ROUNDDOWN(F1169*$C$1194/($C$1194+$E$1194),0)</f>
        <v>1</v>
      </c>
      <c r="G1017" s="377" t="n">
        <f aca="false">SUM(B1017:F1017)</f>
        <v>2277</v>
      </c>
      <c r="H1017" s="448" t="n">
        <f aca="false">ROUNDDOWN(H1169*$C$1194/($C$1194+$E$1194),0)</f>
        <v>3026</v>
      </c>
      <c r="I1017" s="450" t="n">
        <f aca="false">ROUNDDOWN(I1169*$C$1194/($C$1194+$E$1194),0)</f>
        <v>3031</v>
      </c>
      <c r="J1017" s="223" t="n">
        <f aca="false">SUM(H1017:I1017)</f>
        <v>6057</v>
      </c>
      <c r="K1017" s="453" t="n">
        <f aca="false">ROUNDDOWN(K1169*$C$1194/($C$1194+$E$1194),0)</f>
        <v>434</v>
      </c>
      <c r="L1017" s="450" t="n">
        <f aca="false">ROUNDDOWN(L1169*$C$1194/($C$1194+$E$1194),0)</f>
        <v>434</v>
      </c>
      <c r="M1017" s="223" t="n">
        <f aca="false">SUM(K1017:L1017)</f>
        <v>868</v>
      </c>
      <c r="N1017" s="448" t="n">
        <f aca="false">ROUNDDOWN(N1169*$C$1194/($C$1194+$E$1194),0)</f>
        <v>1</v>
      </c>
      <c r="O1017" s="450" t="n">
        <f aca="false">ROUNDDOWN(O1169*$C$1194/($C$1194+$E$1194),0)</f>
        <v>1</v>
      </c>
      <c r="P1017" s="223" t="n">
        <f aca="false">SUM(N1017:O1017)</f>
        <v>2</v>
      </c>
      <c r="Q1017" s="110" t="str">
        <f aca="false">IF(P237=P1017,"〇","×")</f>
        <v>×</v>
      </c>
    </row>
    <row r="1018" s="110" customFormat="true" ht="20.1" hidden="false" customHeight="true" outlineLevel="0" collapsed="false">
      <c r="A1018" s="241" t="s">
        <v>193</v>
      </c>
      <c r="B1018" s="449" t="n">
        <f aca="false">ROUNDDOWN(B1170*$C$1194/($C$1194+$E$1194),0)</f>
        <v>1875</v>
      </c>
      <c r="C1018" s="223" t="n">
        <f aca="false">ROUNDDOWN(C1170*$C$1194/($C$1194+$E$1194),0)</f>
        <v>153</v>
      </c>
      <c r="D1018" s="449" t="n">
        <f aca="false">ROUNDDOWN(D1170*$C$1194/($C$1194+$E$1194),0)</f>
        <v>1876</v>
      </c>
      <c r="E1018" s="453" t="n">
        <f aca="false">ROUNDDOWN(E1170*$C$1194/($C$1194+$E$1194),0)</f>
        <v>153</v>
      </c>
      <c r="F1018" s="223" t="n">
        <f aca="false">ROUNDDOWN(F1170*$C$1194/($C$1194+$E$1194),0)</f>
        <v>2</v>
      </c>
      <c r="G1018" s="377" t="n">
        <f aca="false">SUM(B1018:F1018)</f>
        <v>4059</v>
      </c>
      <c r="H1018" s="448" t="n">
        <f aca="false">ROUNDDOWN(H1170*$C$1194/($C$1194+$E$1194),0)</f>
        <v>1128</v>
      </c>
      <c r="I1018" s="450" t="n">
        <f aca="false">ROUNDDOWN(I1170*$C$1194/($C$1194+$E$1194),0)</f>
        <v>1130</v>
      </c>
      <c r="J1018" s="223" t="n">
        <f aca="false">SUM(H1018:I1018)</f>
        <v>2258</v>
      </c>
      <c r="K1018" s="453" t="n">
        <f aca="false">ROUNDDOWN(K1170*$C$1194/($C$1194+$E$1194),0)</f>
        <v>0</v>
      </c>
      <c r="L1018" s="450" t="n">
        <f aca="false">ROUNDDOWN(L1170*$C$1194/($C$1194+$E$1194),0)</f>
        <v>0</v>
      </c>
      <c r="M1018" s="223" t="n">
        <f aca="false">SUM(K1018:L1018)</f>
        <v>0</v>
      </c>
      <c r="N1018" s="448" t="n">
        <f aca="false">ROUNDDOWN(N1170*$C$1194/($C$1194+$E$1194),0)</f>
        <v>1</v>
      </c>
      <c r="O1018" s="450" t="n">
        <f aca="false">ROUNDDOWN(O1170*$C$1194/($C$1194+$E$1194),0)</f>
        <v>1</v>
      </c>
      <c r="P1018" s="223" t="n">
        <f aca="false">SUM(N1018:O1018)</f>
        <v>2</v>
      </c>
      <c r="Q1018" s="110" t="str">
        <f aca="false">IF(P238=P1018,"〇","×")</f>
        <v>×</v>
      </c>
    </row>
    <row r="1019" s="110" customFormat="true" ht="20.1" hidden="false" customHeight="true" outlineLevel="0" collapsed="false">
      <c r="A1019" s="149" t="s">
        <v>194</v>
      </c>
      <c r="B1019" s="449" t="n">
        <f aca="false">ROUNDDOWN(B1171*$C$1194/($C$1194+$E$1194),0)</f>
        <v>66200</v>
      </c>
      <c r="C1019" s="223" t="n">
        <f aca="false">ROUNDDOWN(C1171*$C$1194/($C$1194+$E$1194),0)</f>
        <v>5426</v>
      </c>
      <c r="D1019" s="449" t="n">
        <f aca="false">ROUNDDOWN(D1171*$C$1194/($C$1194+$E$1194),0)</f>
        <v>66200</v>
      </c>
      <c r="E1019" s="453" t="n">
        <f aca="false">ROUNDDOWN(E1171*$C$1194/($C$1194+$E$1194),0)</f>
        <v>5426</v>
      </c>
      <c r="F1019" s="223" t="n">
        <f aca="false">ROUNDDOWN(F1171*$C$1194/($C$1194+$E$1194),0)</f>
        <v>71</v>
      </c>
      <c r="G1019" s="377" t="n">
        <f aca="false">SUM(B1019:F1019)</f>
        <v>143323</v>
      </c>
      <c r="H1019" s="448" t="n">
        <f aca="false">ROUNDDOWN(H1171*$C$1194/($C$1194+$E$1194),0)</f>
        <v>39799</v>
      </c>
      <c r="I1019" s="450" t="n">
        <f aca="false">ROUNDDOWN(I1171*$C$1194/($C$1194+$E$1194),0)</f>
        <v>39874</v>
      </c>
      <c r="J1019" s="223" t="n">
        <f aca="false">SUM(H1019:I1019)</f>
        <v>79673</v>
      </c>
      <c r="K1019" s="453" t="n">
        <f aca="false">ROUNDDOWN(K1171*$C$1194/($C$1194+$E$1194),0)</f>
        <v>3368</v>
      </c>
      <c r="L1019" s="450" t="n">
        <f aca="false">ROUNDDOWN(L1171*$C$1194/($C$1194+$E$1194),0)</f>
        <v>3369</v>
      </c>
      <c r="M1019" s="223" t="n">
        <f aca="false">SUM(K1019:L1019)</f>
        <v>6737</v>
      </c>
      <c r="N1019" s="448" t="n">
        <f aca="false">ROUNDDOWN(N1171*$C$1194/($C$1194+$E$1194),0)</f>
        <v>1</v>
      </c>
      <c r="O1019" s="450" t="n">
        <f aca="false">ROUNDDOWN(O1171*$C$1194/($C$1194+$E$1194),0)</f>
        <v>1</v>
      </c>
      <c r="P1019" s="223" t="n">
        <f aca="false">SUM(N1019:O1019)</f>
        <v>2</v>
      </c>
      <c r="Q1019" s="110" t="str">
        <f aca="false">IF(P239=P1019,"〇","×")</f>
        <v>×</v>
      </c>
    </row>
    <row r="1020" s="110" customFormat="true" ht="20.1" hidden="false" customHeight="true" outlineLevel="0" collapsed="false">
      <c r="A1020" s="149" t="s">
        <v>195</v>
      </c>
      <c r="B1020" s="451" t="n">
        <f aca="false">ROUNDDOWN(B1172*$C$1194/($C$1194+$E$1194),0)</f>
        <v>0</v>
      </c>
      <c r="C1020" s="454" t="n">
        <f aca="false">ROUNDDOWN(C1172*$C$1194/($C$1194+$E$1194),0)</f>
        <v>0</v>
      </c>
      <c r="D1020" s="451" t="n">
        <f aca="false">ROUNDDOWN(D1172*$C$1194/($C$1194+$E$1194),0)</f>
        <v>9652</v>
      </c>
      <c r="E1020" s="452" t="n">
        <f aca="false">ROUNDDOWN(E1172*$C$1194/($C$1194+$E$1194),0)</f>
        <v>791</v>
      </c>
      <c r="F1020" s="454" t="n">
        <f aca="false">ROUNDDOWN(F1172*$C$1194/($C$1194+$E$1194),0)</f>
        <v>10</v>
      </c>
      <c r="G1020" s="377" t="n">
        <f aca="false">SUM(B1020:F1020)</f>
        <v>10453</v>
      </c>
      <c r="H1020" s="451" t="n">
        <f aca="false">ROUNDDOWN(H1172*$C$1194/($C$1194+$E$1194),0)</f>
        <v>0</v>
      </c>
      <c r="I1020" s="462" t="n">
        <f aca="false">ROUNDDOWN(I1172*$C$1194/($C$1194+$E$1194),0)</f>
        <v>7853</v>
      </c>
      <c r="J1020" s="223" t="n">
        <f aca="false">SUM(H1020:I1020)</f>
        <v>7853</v>
      </c>
      <c r="K1020" s="451" t="n">
        <f aca="false">ROUNDDOWN(K1172*$C$1194/($C$1194+$E$1194),0)</f>
        <v>0</v>
      </c>
      <c r="L1020" s="462" t="n">
        <f aca="false">ROUNDDOWN(L1172*$C$1194/($C$1194+$E$1194),0)</f>
        <v>513</v>
      </c>
      <c r="M1020" s="223"/>
      <c r="N1020" s="451" t="n">
        <f aca="false">ROUNDDOWN(N1172*$C$1194/($C$1194+$E$1194),0)</f>
        <v>0</v>
      </c>
      <c r="O1020" s="462" t="n">
        <f aca="false">ROUNDDOWN(O1172*$C$1194/($C$1194+$E$1194),0)</f>
        <v>1</v>
      </c>
      <c r="P1020" s="223" t="n">
        <f aca="false">SUM(N1020:O1020)</f>
        <v>1</v>
      </c>
      <c r="Q1020" s="110" t="str">
        <f aca="false">IF(P240=P1020,"〇","×")</f>
        <v>×</v>
      </c>
    </row>
    <row r="1021" s="110" customFormat="true" ht="20.1" hidden="false" customHeight="true" outlineLevel="0" collapsed="false">
      <c r="A1021" s="475" t="s">
        <v>196</v>
      </c>
      <c r="B1021" s="451" t="n">
        <f aca="false">ROUNDDOWN(B1173*$C$1194/($C$1194+$E$1194),0)</f>
        <v>4948410</v>
      </c>
      <c r="C1021" s="454" t="n">
        <f aca="false">ROUNDDOWN(C1173*$C$1194/($C$1194+$E$1194),0)</f>
        <v>405480</v>
      </c>
      <c r="D1021" s="451" t="n">
        <f aca="false">ROUNDDOWN(D1173*$C$1194/($C$1194+$E$1194),0)</f>
        <v>7427028</v>
      </c>
      <c r="E1021" s="473" t="n">
        <f aca="false">ROUNDDOWN(E1173*$C$1194/($C$1194+$E$1194),0)</f>
        <v>405479</v>
      </c>
      <c r="F1021" s="454" t="n">
        <f aca="false">ROUNDDOWN(F1173*$C$1194/($C$1194+$E$1194),0)</f>
        <v>5605</v>
      </c>
      <c r="G1021" s="377" t="n">
        <f aca="false">SUM(B1021:F1021)</f>
        <v>13192002</v>
      </c>
      <c r="H1021" s="451" t="n">
        <f aca="false">ROUNDDOWN(H1173*$C$1194/($C$1194+$E$1194),0)</f>
        <v>3319939</v>
      </c>
      <c r="I1021" s="456" t="n">
        <f aca="false">ROUNDDOWN(I1173*$C$1194/($C$1194+$E$1194),0)</f>
        <v>3326580</v>
      </c>
      <c r="J1021" s="223" t="n">
        <f aca="false">SUM(H1021:I1021)</f>
        <v>6646519</v>
      </c>
      <c r="K1021" s="451" t="n">
        <f aca="false">ROUNDDOWN(K1173*$C$1194/($C$1194+$E$1194),0)</f>
        <v>263743</v>
      </c>
      <c r="L1021" s="456" t="n">
        <f aca="false">ROUNDDOWN(L1173*$C$1194/($C$1194+$E$1194),0)</f>
        <v>263743</v>
      </c>
      <c r="M1021" s="223" t="n">
        <f aca="false">SUM(K1021:L1021)</f>
        <v>527486</v>
      </c>
      <c r="N1021" s="451" t="n">
        <f aca="false">ROUNDDOWN(N1173*$C$1194/($C$1194+$E$1194),0)</f>
        <v>1</v>
      </c>
      <c r="O1021" s="456" t="n">
        <f aca="false">ROUNDDOWN(O1173*$C$1194/($C$1194+$E$1194),0)</f>
        <v>1</v>
      </c>
      <c r="P1021" s="223" t="n">
        <f aca="false">SUM(N1021:O1021)</f>
        <v>2</v>
      </c>
      <c r="Q1021" s="110" t="str">
        <f aca="false">IF(P241=P1021,"〇","×")</f>
        <v>×</v>
      </c>
    </row>
    <row r="1022" s="110" customFormat="true" ht="20.1" hidden="false" customHeight="true" outlineLevel="0" collapsed="false">
      <c r="A1022" s="352" t="s">
        <v>197</v>
      </c>
      <c r="B1022" s="449" t="n">
        <f aca="false">ROUNDDOWN(B1174*$C$1194/($C$1194+$E$1194),0)</f>
        <v>0</v>
      </c>
      <c r="C1022" s="454" t="n">
        <f aca="false">ROUNDDOWN(C1174*$C$1194/($C$1194+$E$1194),0)</f>
        <v>0</v>
      </c>
      <c r="D1022" s="449" t="n">
        <f aca="false">ROUNDDOWN(D1174*$C$1194/($C$1194+$E$1194),0)</f>
        <v>0</v>
      </c>
      <c r="E1022" s="453" t="n">
        <f aca="false">ROUNDDOWN(E1174*$C$1194/($C$1194+$E$1194),0)</f>
        <v>0</v>
      </c>
      <c r="F1022" s="223" t="n">
        <f aca="false">ROUNDDOWN(F1174*$C$1194/($C$1194+$E$1194),0)</f>
        <v>0</v>
      </c>
      <c r="G1022" s="377" t="n">
        <f aca="false">SUM(B1022:F1022)</f>
        <v>0</v>
      </c>
      <c r="H1022" s="448" t="n">
        <f aca="false">ROUNDDOWN(H1174*$C$1194/($C$1194+$E$1194),0)</f>
        <v>3740</v>
      </c>
      <c r="I1022" s="450" t="n">
        <f aca="false">ROUNDDOWN(I1174*$C$1194/($C$1194+$E$1194),0)</f>
        <v>3749</v>
      </c>
      <c r="J1022" s="223" t="n">
        <f aca="false">SUM(H1022:I1022)</f>
        <v>7489</v>
      </c>
      <c r="K1022" s="453" t="n">
        <f aca="false">ROUNDDOWN(K1174*$C$1194/($C$1194+$E$1194),0)</f>
        <v>391</v>
      </c>
      <c r="L1022" s="450" t="n">
        <f aca="false">ROUNDDOWN(L1174*$C$1194/($C$1194+$E$1194),0)</f>
        <v>391</v>
      </c>
      <c r="M1022" s="223" t="n">
        <f aca="false">SUM(K1022:L1022)</f>
        <v>782</v>
      </c>
      <c r="N1022" s="448" t="n">
        <f aca="false">ROUNDDOWN(N1174*$C$1194/($C$1194+$E$1194),0)</f>
        <v>1</v>
      </c>
      <c r="O1022" s="450" t="n">
        <f aca="false">ROUNDDOWN(O1174*$C$1194/($C$1194+$E$1194),0)</f>
        <v>1</v>
      </c>
      <c r="P1022" s="223" t="n">
        <f aca="false">SUM(N1022:O1022)</f>
        <v>2</v>
      </c>
      <c r="Q1022" s="110" t="str">
        <f aca="false">IF(P242=P1022,"〇","×")</f>
        <v>×</v>
      </c>
    </row>
    <row r="1023" s="110" customFormat="true" ht="20.1" hidden="false" customHeight="true" outlineLevel="0" collapsed="false">
      <c r="A1023" s="211" t="s">
        <v>216</v>
      </c>
      <c r="B1023" s="451" t="n">
        <f aca="false">ROUNDDOWN(B1175*$C$1194/($C$1194+$E$1194),0)</f>
        <v>0</v>
      </c>
      <c r="C1023" s="221" t="n">
        <f aca="false">ROUNDDOWN(C1175*$C$1194/($C$1194+$E$1194),0)</f>
        <v>0</v>
      </c>
      <c r="D1023" s="451" t="n">
        <f aca="false">ROUNDDOWN(D1175*$C$1194/($C$1194+$E$1194),0)</f>
        <v>0</v>
      </c>
      <c r="E1023" s="452" t="n">
        <f aca="false">ROUNDDOWN(E1175*$C$1194/($C$1194+$E$1194),0)</f>
        <v>0</v>
      </c>
      <c r="F1023" s="454" t="n">
        <f aca="false">ROUNDDOWN(F1175*$C$1194/($C$1194+$E$1194),0)</f>
        <v>0</v>
      </c>
      <c r="G1023" s="377" t="n">
        <f aca="false">SUM(B1023:F1023)</f>
        <v>0</v>
      </c>
      <c r="H1023" s="451" t="n">
        <f aca="false">ROUNDDOWN(H1175*$C$1194/($C$1194+$E$1194),0)</f>
        <v>0</v>
      </c>
      <c r="I1023" s="462" t="n">
        <f aca="false">ROUNDDOWN(I1175*$C$1194/($C$1194+$E$1194),0)</f>
        <v>0</v>
      </c>
      <c r="J1023" s="223" t="n">
        <f aca="false">SUM(H1023:I1023)</f>
        <v>0</v>
      </c>
      <c r="K1023" s="452" t="n">
        <f aca="false">ROUNDDOWN(K1175*$C$1194/($C$1194+$E$1194),0)</f>
        <v>0</v>
      </c>
      <c r="L1023" s="462" t="n">
        <f aca="false">ROUNDDOWN(L1175*$C$1194/($C$1194+$E$1194),0)</f>
        <v>0</v>
      </c>
      <c r="M1023" s="223" t="n">
        <f aca="false">SUM(K1023:L1023)</f>
        <v>0</v>
      </c>
      <c r="N1023" s="451" t="n">
        <f aca="false">ROUNDDOWN(N1175*$C$1194/($C$1194+$E$1194),0)</f>
        <v>0</v>
      </c>
      <c r="O1023" s="462" t="n">
        <f aca="false">ROUNDDOWN(O1175*$C$1194/($C$1194+$E$1194),0)</f>
        <v>0</v>
      </c>
      <c r="P1023" s="223" t="n">
        <f aca="false">SUM(N1023:O1023)</f>
        <v>0</v>
      </c>
      <c r="Q1023" s="110" t="str">
        <f aca="false">IF(P243=P1023,"〇","×")</f>
        <v>〇</v>
      </c>
    </row>
    <row r="1024" s="110" customFormat="true" ht="20.1" hidden="false" customHeight="true" outlineLevel="0" collapsed="false">
      <c r="A1024" s="211" t="s">
        <v>199</v>
      </c>
      <c r="B1024" s="451" t="n">
        <f aca="false">ROUNDDOWN(B1176*$C$1194/($C$1194+$E$1194),0)</f>
        <v>0</v>
      </c>
      <c r="C1024" s="221" t="n">
        <f aca="false">ROUNDDOWN(C1176*$C$1194/($C$1194+$E$1194),0)</f>
        <v>0</v>
      </c>
      <c r="D1024" s="451" t="n">
        <f aca="false">ROUNDDOWN(D1176*$C$1194/($C$1194+$E$1194),0)</f>
        <v>0</v>
      </c>
      <c r="E1024" s="452" t="n">
        <f aca="false">ROUNDDOWN(E1176*$C$1194/($C$1194+$E$1194),0)</f>
        <v>0</v>
      </c>
      <c r="F1024" s="454" t="n">
        <f aca="false">ROUNDDOWN(F1176*$C$1194/($C$1194+$E$1194),0)</f>
        <v>0</v>
      </c>
      <c r="G1024" s="377" t="n">
        <f aca="false">SUM(B1024:F1024)</f>
        <v>0</v>
      </c>
      <c r="H1024" s="451" t="n">
        <f aca="false">ROUNDDOWN(H1176*$C$1194/($C$1194+$E$1194),0)</f>
        <v>3906</v>
      </c>
      <c r="I1024" s="462" t="n">
        <f aca="false">ROUNDDOWN(I1176*$C$1194/($C$1194+$E$1194),0)</f>
        <v>3912</v>
      </c>
      <c r="J1024" s="223" t="n">
        <f aca="false">SUM(H1024:I1024)</f>
        <v>7818</v>
      </c>
      <c r="K1024" s="452" t="n">
        <f aca="false">ROUNDDOWN(K1176*$C$1194/($C$1194+$E$1194),0)</f>
        <v>561</v>
      </c>
      <c r="L1024" s="462" t="n">
        <f aca="false">ROUNDDOWN(L1176*$C$1194/($C$1194+$E$1194),0)</f>
        <v>561</v>
      </c>
      <c r="M1024" s="223" t="n">
        <f aca="false">SUM(K1024:L1024)</f>
        <v>1122</v>
      </c>
      <c r="N1024" s="451" t="n">
        <f aca="false">ROUNDDOWN(N1176*$C$1194/($C$1194+$E$1194),0)</f>
        <v>1</v>
      </c>
      <c r="O1024" s="462" t="n">
        <f aca="false">ROUNDDOWN(O1176*$C$1194/($C$1194+$E$1194),0)</f>
        <v>1</v>
      </c>
      <c r="P1024" s="223" t="n">
        <f aca="false">SUM(N1024:O1024)</f>
        <v>2</v>
      </c>
      <c r="Q1024" s="110" t="str">
        <f aca="false">IF(P244=P1024,"〇","×")</f>
        <v>×</v>
      </c>
    </row>
    <row r="1025" s="110" customFormat="true" ht="20.1" hidden="false" customHeight="true" outlineLevel="0" collapsed="false">
      <c r="A1025" s="149"/>
      <c r="B1025" s="451" t="n">
        <f aca="false">ROUNDDOWN(B1177*$C$1194/($C$1194+$E$1194),0)</f>
        <v>0</v>
      </c>
      <c r="C1025" s="454" t="n">
        <f aca="false">ROUNDDOWN(C1177*$C$1194/($C$1194+$E$1194),0)</f>
        <v>0</v>
      </c>
      <c r="D1025" s="452" t="n">
        <f aca="false">ROUNDDOWN(D1177*$C$1194/($C$1194+$E$1194),0)</f>
        <v>0</v>
      </c>
      <c r="E1025" s="462" t="n">
        <f aca="false">ROUNDDOWN(E1177*$C$1194/($C$1194+$E$1194),0)</f>
        <v>0</v>
      </c>
      <c r="F1025" s="454" t="n">
        <f aca="false">ROUNDDOWN(F1177*$C$1194/($C$1194+$E$1194),0)</f>
        <v>0</v>
      </c>
      <c r="G1025" s="221" t="n">
        <f aca="false">SUM(B1025:F1025)</f>
        <v>0</v>
      </c>
      <c r="H1025" s="449" t="n">
        <f aca="false">ROUNDDOWN(H1177*$C$1194/($C$1194+$E$1194),0)</f>
        <v>0</v>
      </c>
      <c r="I1025" s="462" t="n">
        <f aca="false">ROUNDDOWN(I1177*$C$1194/($C$1194+$E$1194),0)</f>
        <v>0</v>
      </c>
      <c r="J1025" s="223" t="n">
        <f aca="false">SUM(H1025:I1025)</f>
        <v>0</v>
      </c>
      <c r="K1025" s="452" t="n">
        <f aca="false">ROUNDDOWN(K1177*$C$1194/($C$1194+$E$1194),0)</f>
        <v>0</v>
      </c>
      <c r="L1025" s="462" t="n">
        <f aca="false">ROUNDDOWN(L1177*$C$1194/($C$1194+$E$1194),0)</f>
        <v>0</v>
      </c>
      <c r="M1025" s="223" t="n">
        <f aca="false">SUM(K1025:L1025)</f>
        <v>0</v>
      </c>
      <c r="N1025" s="449" t="n">
        <f aca="false">ROUNDDOWN(N1177*$C$1194/($C$1194+$E$1194),0)</f>
        <v>0</v>
      </c>
      <c r="O1025" s="462" t="n">
        <f aca="false">ROUNDDOWN(O1177*$C$1194/($C$1194+$E$1194),0)</f>
        <v>0</v>
      </c>
      <c r="P1025" s="223" t="n">
        <f aca="false">SUM(N1025:O1025)</f>
        <v>0</v>
      </c>
      <c r="Q1025" s="110" t="str">
        <f aca="false">IF(P245=P1025,"〇","×")</f>
        <v>〇</v>
      </c>
    </row>
    <row r="1026" s="137" customFormat="true" ht="0.2" hidden="false" customHeight="true" outlineLevel="0" collapsed="false">
      <c r="A1026" s="149"/>
      <c r="B1026" s="157"/>
      <c r="C1026" s="156"/>
      <c r="D1026" s="220"/>
      <c r="E1026" s="158"/>
      <c r="F1026" s="156"/>
      <c r="G1026" s="221" t="n">
        <f aca="false">SUM(B1026:F1026)</f>
        <v>0</v>
      </c>
      <c r="H1026" s="160"/>
      <c r="I1026" s="158"/>
      <c r="J1026" s="223" t="n">
        <f aca="false">SUM(H1026:I1026)</f>
        <v>0</v>
      </c>
      <c r="K1026" s="220"/>
      <c r="L1026" s="158"/>
      <c r="M1026" s="223" t="n">
        <f aca="false">SUM(K1026:L1026)</f>
        <v>0</v>
      </c>
      <c r="N1026" s="160"/>
      <c r="O1026" s="158"/>
      <c r="P1026" s="223" t="n">
        <f aca="false">SUM(N1026:O1026)</f>
        <v>0</v>
      </c>
      <c r="Q1026" s="110" t="str">
        <f aca="false">IF(P246=P1026,"〇","×")</f>
        <v>〇</v>
      </c>
    </row>
    <row r="1027" s="137" customFormat="true" ht="0.2" hidden="false" customHeight="true" outlineLevel="0" collapsed="false">
      <c r="A1027" s="162"/>
      <c r="B1027" s="224"/>
      <c r="C1027" s="225"/>
      <c r="D1027" s="226"/>
      <c r="E1027" s="227"/>
      <c r="F1027" s="225"/>
      <c r="G1027" s="228"/>
      <c r="H1027" s="231"/>
      <c r="I1027" s="229"/>
      <c r="J1027" s="230"/>
      <c r="K1027" s="231"/>
      <c r="L1027" s="229"/>
      <c r="M1027" s="230"/>
      <c r="N1027" s="231"/>
      <c r="O1027" s="229"/>
      <c r="P1027" s="230"/>
      <c r="Q1027" s="110" t="str">
        <f aca="false">IF(P247=P1027,"〇","×")</f>
        <v>〇</v>
      </c>
    </row>
    <row r="1028" s="110" customFormat="true" ht="20.1" hidden="false" customHeight="true" outlineLevel="0" collapsed="false">
      <c r="A1028" s="171" t="s">
        <v>405</v>
      </c>
      <c r="B1028" s="172" t="n">
        <f aca="false">SUM(B998:B1027)</f>
        <v>5106379</v>
      </c>
      <c r="C1028" s="175" t="n">
        <f aca="false">SUM(C998:C1027)</f>
        <v>418423</v>
      </c>
      <c r="D1028" s="173" t="n">
        <f aca="false">SUM(D998:D1027)</f>
        <v>7908039</v>
      </c>
      <c r="E1028" s="174" t="n">
        <f aca="false">SUM(E998:E1027)</f>
        <v>444901</v>
      </c>
      <c r="F1028" s="175" t="n">
        <f aca="false">SUM(F998:F1027)</f>
        <v>6103</v>
      </c>
      <c r="G1028" s="176" t="n">
        <f aca="false">SUM(B1028:F1028)</f>
        <v>13883845</v>
      </c>
      <c r="H1028" s="172" t="n">
        <f aca="false">SUM(H998:H1027)</f>
        <v>3425834</v>
      </c>
      <c r="I1028" s="173" t="n">
        <f aca="false">SUM(I998:I1027)</f>
        <v>3639720</v>
      </c>
      <c r="J1028" s="175" t="n">
        <f aca="false">SUM(H1028:I1028)</f>
        <v>7065554</v>
      </c>
      <c r="K1028" s="172" t="n">
        <f aca="false">SUM(K998:K1027)</f>
        <v>272787</v>
      </c>
      <c r="L1028" s="173" t="n">
        <f aca="false">SUM(L998:L1027)</f>
        <v>295380</v>
      </c>
      <c r="M1028" s="175" t="n">
        <f aca="false">SUM(K1028:L1028)</f>
        <v>568167</v>
      </c>
      <c r="N1028" s="172" t="n">
        <f aca="false">SUM(N998:N1027)</f>
        <v>12</v>
      </c>
      <c r="O1028" s="173" t="n">
        <f aca="false">SUM(O998:O1027)</f>
        <v>24</v>
      </c>
      <c r="P1028" s="175" t="n">
        <f aca="false">SUM(N1028:O1028)</f>
        <v>36</v>
      </c>
      <c r="Q1028" s="110" t="str">
        <f aca="false">IF(P248=P1028,"〇","×")</f>
        <v>×</v>
      </c>
    </row>
    <row r="1029" s="110" customFormat="true" ht="0.2" hidden="false" customHeight="true" outlineLevel="0" collapsed="false">
      <c r="A1029" s="149" t="s">
        <v>382</v>
      </c>
      <c r="B1029" s="469" t="n">
        <f aca="false">ROUNDDOWN(B1181*$C$1194/($C$1194+$E$1194),0)</f>
        <v>0</v>
      </c>
      <c r="C1029" s="230" t="n">
        <f aca="false">ROUNDDOWN(C1181*$C$1194/($C$1194+$E$1194),0)</f>
        <v>0</v>
      </c>
      <c r="D1029" s="476" t="n">
        <f aca="false">ROUNDDOWN(D1181*$C$1194/($C$1194+$E$1194),0)</f>
        <v>0</v>
      </c>
      <c r="E1029" s="477" t="n">
        <f aca="false">ROUNDDOWN(E1181*$C$1194/($C$1194+$E$1194),0)</f>
        <v>0</v>
      </c>
      <c r="F1029" s="446" t="n">
        <f aca="false">ROUNDDOWN(F1181*$C$1194/($C$1194+$E$1194),0)</f>
        <v>0</v>
      </c>
      <c r="G1029" s="235" t="n">
        <f aca="false">SUM(B1029:F1029)</f>
        <v>0</v>
      </c>
      <c r="H1029" s="478"/>
      <c r="I1029" s="479"/>
      <c r="J1029" s="480"/>
      <c r="K1029" s="481"/>
      <c r="L1029" s="482"/>
      <c r="M1029" s="483"/>
      <c r="N1029" s="478"/>
      <c r="O1029" s="479"/>
      <c r="P1029" s="480"/>
      <c r="Q1029" s="110" t="str">
        <f aca="false">IF(P249=P1029,"〇","×")</f>
        <v>〇</v>
      </c>
    </row>
    <row r="1030" s="110" customFormat="true" ht="0.2" hidden="false" customHeight="true" outlineLevel="0" collapsed="false">
      <c r="A1030" s="241" t="s">
        <v>382</v>
      </c>
      <c r="B1030" s="464" t="n">
        <f aca="false">ROUNDDOWN(B1182*$C$1194/($C$1194+$E$1194),0)</f>
        <v>0</v>
      </c>
      <c r="C1030" s="466" t="n">
        <f aca="false">ROUNDDOWN(C1182*$C$1194/($C$1194+$E$1194),0)</f>
        <v>0</v>
      </c>
      <c r="D1030" s="476" t="n">
        <f aca="false">ROUNDDOWN(D1182*$C$1194/($C$1194+$E$1194),0)</f>
        <v>0</v>
      </c>
      <c r="E1030" s="477" t="n">
        <f aca="false">ROUNDDOWN(E1182*$C$1194/($C$1194+$E$1194),0)</f>
        <v>0</v>
      </c>
      <c r="F1030" s="230" t="n">
        <f aca="false">ROUNDDOWN(F1182*$C$1194/($C$1194+$E$1194),0)</f>
        <v>0</v>
      </c>
      <c r="G1030" s="228" t="n">
        <f aca="false">SUM(B1030:F1030)</f>
        <v>0</v>
      </c>
      <c r="H1030" s="484"/>
      <c r="I1030" s="485"/>
      <c r="J1030" s="486"/>
      <c r="K1030" s="487"/>
      <c r="L1030" s="488"/>
      <c r="M1030" s="489"/>
      <c r="N1030" s="484"/>
      <c r="O1030" s="485"/>
      <c r="P1030" s="486"/>
      <c r="Q1030" s="110" t="str">
        <f aca="false">IF(P250=P1030,"〇","×")</f>
        <v>〇</v>
      </c>
    </row>
    <row r="1031" s="110" customFormat="true" ht="20.1" hidden="false" customHeight="true" outlineLevel="0" collapsed="false">
      <c r="A1031" s="241" t="s">
        <v>200</v>
      </c>
      <c r="B1031" s="464" t="n">
        <f aca="false">ROUNDDOWN(B1183*$C$1194/($C$1194+$E$1194),0)</f>
        <v>4941</v>
      </c>
      <c r="C1031" s="466" t="n">
        <f aca="false">ROUNDDOWN(C1183*$C$1194/($C$1194+$E$1194),0)</f>
        <v>405</v>
      </c>
      <c r="D1031" s="452" t="n">
        <f aca="false">ROUNDDOWN(D1183*$C$1194/($C$1194+$E$1194),0)</f>
        <v>4941</v>
      </c>
      <c r="E1031" s="462" t="n">
        <f aca="false">ROUNDDOWN(E1183*$C$1194/($C$1194+$E$1194),0)</f>
        <v>405</v>
      </c>
      <c r="F1031" s="454" t="n">
        <f aca="false">ROUNDDOWN(F1183*$C$1194/($C$1194+$E$1194),0)</f>
        <v>5</v>
      </c>
      <c r="G1031" s="221" t="n">
        <f aca="false">SUM(B1031:F1031)</f>
        <v>10697</v>
      </c>
      <c r="H1031" s="458" t="n">
        <f aca="false">ROUNDDOWN(H1183*$C$1194/($C$1194+$E$1194),0)</f>
        <v>0</v>
      </c>
      <c r="I1031" s="458" t="n">
        <f aca="false">ROUNDDOWN(I1183*$C$1194/($C$1194+$E$1194),0)</f>
        <v>0</v>
      </c>
      <c r="J1031" s="196" t="n">
        <f aca="false">SUM(H1031:I1031)</f>
        <v>0</v>
      </c>
      <c r="K1031" s="458" t="n">
        <f aca="false">ROUNDDOWN(K1183*$C$1194/($C$1194+$E$1194),0)</f>
        <v>0</v>
      </c>
      <c r="L1031" s="458" t="n">
        <f aca="false">ROUNDDOWN(L1183*$C$1194/($C$1194+$E$1194),0)</f>
        <v>0</v>
      </c>
      <c r="M1031" s="196" t="n">
        <f aca="false">SUM(K1031:L1031)</f>
        <v>0</v>
      </c>
      <c r="N1031" s="458" t="n">
        <f aca="false">ROUNDDOWN(N1183*$C$1194/($C$1194+$E$1194),0)</f>
        <v>0</v>
      </c>
      <c r="O1031" s="458" t="n">
        <f aca="false">ROUNDDOWN(O1183*$C$1194/($C$1194+$E$1194),0)</f>
        <v>0</v>
      </c>
      <c r="P1031" s="196" t="n">
        <f aca="false">SUM(N1031:O1031)</f>
        <v>0</v>
      </c>
      <c r="Q1031" s="110" t="str">
        <f aca="false">IF(P251=P1031,"〇","×")</f>
        <v>〇</v>
      </c>
    </row>
    <row r="1032" s="110" customFormat="true" ht="20.1" hidden="false" customHeight="true" outlineLevel="0" collapsed="false">
      <c r="A1032" s="189" t="s">
        <v>201</v>
      </c>
      <c r="B1032" s="464" t="n">
        <f aca="false">ROUNDDOWN(B1184*$C$1194/($C$1194+$E$1194),0)</f>
        <v>3019</v>
      </c>
      <c r="C1032" s="466" t="n">
        <f aca="false">ROUNDDOWN(C1184*$C$1194/($C$1194+$E$1194),0)</f>
        <v>247</v>
      </c>
      <c r="D1032" s="476" t="n">
        <f aca="false">ROUNDDOWN(D1184*$C$1194/($C$1194+$E$1194),0)</f>
        <v>3019</v>
      </c>
      <c r="E1032" s="477" t="n">
        <f aca="false">ROUNDDOWN(E1184*$C$1194/($C$1194+$E$1194),0)</f>
        <v>247</v>
      </c>
      <c r="F1032" s="230" t="n">
        <f aca="false">ROUNDDOWN(F1184*$C$1194/($C$1194+$E$1194),0)</f>
        <v>3</v>
      </c>
      <c r="G1032" s="221" t="n">
        <f aca="false">SUM(B1032:F1032)</f>
        <v>6535</v>
      </c>
      <c r="H1032" s="490" t="n">
        <f aca="false">ROUNDDOWN(H1184*$C$1194/($C$1194+$E$1194),0)</f>
        <v>0</v>
      </c>
      <c r="I1032" s="490" t="n">
        <f aca="false">ROUNDDOWN(I1184*$C$1194/($C$1194+$E$1194),0)</f>
        <v>0</v>
      </c>
      <c r="J1032" s="253" t="n">
        <f aca="false">SUM(H1032:I1032)</f>
        <v>0</v>
      </c>
      <c r="K1032" s="490" t="n">
        <f aca="false">ROUNDDOWN(K1184*$C$1194/($C$1194+$E$1194),0)</f>
        <v>0</v>
      </c>
      <c r="L1032" s="490" t="n">
        <f aca="false">ROUNDDOWN(L1184*$C$1194/($C$1194+$E$1194),0)</f>
        <v>0</v>
      </c>
      <c r="M1032" s="253" t="n">
        <f aca="false">SUM(K1032:L1032)</f>
        <v>0</v>
      </c>
      <c r="N1032" s="490" t="n">
        <f aca="false">ROUNDDOWN(N1184*$C$1194/($C$1194+$E$1194),0)</f>
        <v>0</v>
      </c>
      <c r="O1032" s="490" t="n">
        <f aca="false">ROUNDDOWN(O1184*$C$1194/($C$1194+$E$1194),0)</f>
        <v>0</v>
      </c>
      <c r="P1032" s="253" t="n">
        <f aca="false">SUM(N1032:O1032)</f>
        <v>0</v>
      </c>
      <c r="Q1032" s="110" t="str">
        <f aca="false">IF(P252=P1032,"〇","×")</f>
        <v>〇</v>
      </c>
    </row>
    <row r="1033" s="110" customFormat="true" ht="20.1" hidden="false" customHeight="true" outlineLevel="0" collapsed="false">
      <c r="A1033" s="171" t="s">
        <v>406</v>
      </c>
      <c r="B1033" s="172" t="n">
        <f aca="false">SUM(B1029:B1032)</f>
        <v>7960</v>
      </c>
      <c r="C1033" s="175" t="n">
        <f aca="false">SUM(C1029:C1032)</f>
        <v>652</v>
      </c>
      <c r="D1033" s="173" t="n">
        <f aca="false">SUM(D1029:D1032)</f>
        <v>7960</v>
      </c>
      <c r="E1033" s="174" t="n">
        <f aca="false">SUM(E1029:E1032)</f>
        <v>652</v>
      </c>
      <c r="F1033" s="175" t="n">
        <f aca="false">SUM(F1029:F1032)</f>
        <v>8</v>
      </c>
      <c r="G1033" s="176" t="n">
        <f aca="false">SUM(B1033:F1033)</f>
        <v>17232</v>
      </c>
      <c r="H1033" s="256" t="n">
        <f aca="false">SUM(H1029:H1032)</f>
        <v>0</v>
      </c>
      <c r="I1033" s="257" t="n">
        <f aca="false">SUM(I1029:I1032)</f>
        <v>0</v>
      </c>
      <c r="J1033" s="258" t="n">
        <f aca="false">SUM(H1033:I1033)</f>
        <v>0</v>
      </c>
      <c r="K1033" s="256" t="n">
        <f aca="false">SUM(K1029:K1032)</f>
        <v>0</v>
      </c>
      <c r="L1033" s="257" t="n">
        <f aca="false">SUM(L1029:L1032)</f>
        <v>0</v>
      </c>
      <c r="M1033" s="258" t="n">
        <f aca="false">SUM(K1033:L1033)</f>
        <v>0</v>
      </c>
      <c r="N1033" s="256" t="n">
        <f aca="false">SUM(N1029:N1032)</f>
        <v>0</v>
      </c>
      <c r="O1033" s="257" t="n">
        <f aca="false">SUM(O1029:O1032)</f>
        <v>0</v>
      </c>
      <c r="P1033" s="258" t="n">
        <f aca="false">SUM(N1033:O1033)</f>
        <v>0</v>
      </c>
      <c r="Q1033" s="110" t="str">
        <f aca="false">IF(P253=P1033,"〇","×")</f>
        <v>〇</v>
      </c>
    </row>
    <row r="1034" s="110" customFormat="true" ht="20.1" hidden="false" customHeight="true" outlineLevel="0" collapsed="false">
      <c r="A1034" s="138" t="s">
        <v>202</v>
      </c>
      <c r="B1034" s="449" t="n">
        <f aca="false">ROUNDDOWN(B1186*$C$1194/($C$1194+$E$1194),0)</f>
        <v>3385</v>
      </c>
      <c r="C1034" s="223" t="n">
        <f aca="false">ROUNDDOWN(C1186*$C$1194/($C$1194+$E$1194),0)</f>
        <v>277</v>
      </c>
      <c r="D1034" s="445" t="n">
        <f aca="false">ROUNDDOWN(D1186*$C$1194/($C$1194+$E$1194),0)</f>
        <v>3385</v>
      </c>
      <c r="E1034" s="463" t="n">
        <f aca="false">ROUNDDOWN(E1186*$C$1194/($C$1194+$E$1194),0)</f>
        <v>277</v>
      </c>
      <c r="F1034" s="196" t="n">
        <f aca="false">ROUNDDOWN(F1186*$C$1194/($C$1194+$E$1194),0)</f>
        <v>0</v>
      </c>
      <c r="G1034" s="377" t="n">
        <f aca="false">SUM(B1034:F1034)</f>
        <v>7324</v>
      </c>
      <c r="H1034" s="453" t="n">
        <f aca="false">ROUNDDOWN(H1186*$C$1194/($C$1194+$E$1194),0)</f>
        <v>2035</v>
      </c>
      <c r="I1034" s="450" t="n">
        <f aca="false">ROUNDDOWN(I1186*$C$1194/($C$1194+$E$1194),0)</f>
        <v>2039</v>
      </c>
      <c r="J1034" s="223" t="n">
        <f aca="false">SUM(H1034:I1034)</f>
        <v>4074</v>
      </c>
      <c r="K1034" s="453" t="n">
        <f aca="false">ROUNDDOWN(K1186*$C$1194/($C$1194+$E$1194),0)</f>
        <v>292</v>
      </c>
      <c r="L1034" s="450" t="n">
        <f aca="false">ROUNDDOWN(L1186*$C$1194/($C$1194+$E$1194),0)</f>
        <v>292</v>
      </c>
      <c r="M1034" s="223" t="n">
        <f aca="false">SUM(K1034:L1034)</f>
        <v>584</v>
      </c>
      <c r="N1034" s="453" t="n">
        <f aca="false">ROUNDDOWN(N1186*$C$1194/($C$1194+$E$1194),0)</f>
        <v>1</v>
      </c>
      <c r="O1034" s="450" t="n">
        <f aca="false">ROUNDDOWN(O1186*$C$1194/($C$1194+$E$1194),0)</f>
        <v>1</v>
      </c>
      <c r="P1034" s="223" t="n">
        <f aca="false">SUM(N1034:O1034)</f>
        <v>2</v>
      </c>
      <c r="Q1034" s="110" t="str">
        <f aca="false">IF(P254=P1034,"〇","×")</f>
        <v>×</v>
      </c>
    </row>
    <row r="1035" s="110" customFormat="true" ht="20.1" hidden="false" customHeight="true" outlineLevel="0" collapsed="false">
      <c r="A1035" s="138" t="s">
        <v>203</v>
      </c>
      <c r="B1035" s="449" t="n">
        <f aca="false">ROUNDDOWN(B1187*$C$1194/($C$1194+$E$1194),0)</f>
        <v>0</v>
      </c>
      <c r="C1035" s="377" t="n">
        <f aca="false">ROUNDDOWN(C1187*$C$1194/($C$1194+$E$1194),0)</f>
        <v>0</v>
      </c>
      <c r="D1035" s="449" t="n">
        <f aca="false">ROUNDDOWN(D1187*$C$1194/($C$1194+$E$1194),0)</f>
        <v>0</v>
      </c>
      <c r="E1035" s="463" t="n">
        <f aca="false">ROUNDDOWN(E1187*$C$1194/($C$1194+$E$1194),0)</f>
        <v>0</v>
      </c>
      <c r="F1035" s="196" t="n">
        <f aca="false">ROUNDDOWN(F1187*$C$1194/($C$1194+$E$1194),0)</f>
        <v>0</v>
      </c>
      <c r="G1035" s="377" t="n">
        <f aca="false">SUM(B1035:F1035)</f>
        <v>0</v>
      </c>
      <c r="H1035" s="453" t="n">
        <f aca="false">ROUNDDOWN(H1187*$C$1194/($C$1194+$E$1194),0)</f>
        <v>0</v>
      </c>
      <c r="I1035" s="450" t="n">
        <f aca="false">ROUNDDOWN(I1187*$C$1194/($C$1194+$E$1194),0)</f>
        <v>0</v>
      </c>
      <c r="J1035" s="223" t="n">
        <f aca="false">SUM(H1035:I1035)</f>
        <v>0</v>
      </c>
      <c r="K1035" s="448" t="n">
        <f aca="false">ROUNDDOWN(K1187*$C$1194/($C$1194+$E$1194),0)</f>
        <v>0</v>
      </c>
      <c r="L1035" s="450" t="n">
        <f aca="false">ROUNDDOWN(L1187*$C$1194/($C$1194+$E$1194),0)</f>
        <v>0</v>
      </c>
      <c r="M1035" s="223" t="n">
        <f aca="false">SUM(K1035:L1035)</f>
        <v>0</v>
      </c>
      <c r="N1035" s="453" t="n">
        <f aca="false">ROUNDDOWN(N1187*$C$1194/($C$1194+$E$1194),0)</f>
        <v>0</v>
      </c>
      <c r="O1035" s="450" t="n">
        <f aca="false">ROUNDDOWN(O1187*$C$1194/($C$1194+$E$1194),0)</f>
        <v>0</v>
      </c>
      <c r="P1035" s="223" t="n">
        <f aca="false">SUM(N1035:O1035)</f>
        <v>0</v>
      </c>
      <c r="Q1035" s="110" t="str">
        <f aca="false">IF(P255=P1035,"〇","×")</f>
        <v>〇</v>
      </c>
    </row>
    <row r="1036" s="110" customFormat="true" ht="20.1" hidden="false" customHeight="true" outlineLevel="0" collapsed="false">
      <c r="A1036" s="149" t="s">
        <v>204</v>
      </c>
      <c r="B1036" s="449" t="n">
        <f aca="false">ROUNDDOWN(B1188*$C$1194/($C$1194+$E$1194),0)</f>
        <v>39299</v>
      </c>
      <c r="C1036" s="377" t="n">
        <f aca="false">ROUNDDOWN(C1188*$C$1194/($C$1194+$E$1194),0)</f>
        <v>3221</v>
      </c>
      <c r="D1036" s="449" t="n">
        <f aca="false">ROUNDDOWN(D1188*$C$1194/($C$1194+$E$1194),0)</f>
        <v>39299</v>
      </c>
      <c r="E1036" s="463" t="n">
        <f aca="false">ROUNDDOWN(E1188*$C$1194/($C$1194+$E$1194),0)</f>
        <v>3221</v>
      </c>
      <c r="F1036" s="196" t="n">
        <f aca="false">ROUNDDOWN(F1188*$C$1194/($C$1194+$E$1194),0)</f>
        <v>0</v>
      </c>
      <c r="G1036" s="377" t="n">
        <f aca="false">SUM(B1036:F1036)</f>
        <v>85040</v>
      </c>
      <c r="H1036" s="453" t="n">
        <f aca="false">ROUNDDOWN(H1188*$C$1194/($C$1194+$E$1194),0)</f>
        <v>24287</v>
      </c>
      <c r="I1036" s="450" t="n">
        <f aca="false">ROUNDDOWN(I1188*$C$1194/($C$1194+$E$1194),0)</f>
        <v>24331</v>
      </c>
      <c r="J1036" s="223" t="n">
        <f aca="false">SUM(H1036:I1036)</f>
        <v>48618</v>
      </c>
      <c r="K1036" s="448" t="n">
        <f aca="false">ROUNDDOWN(K1188*$C$1194/($C$1194+$E$1194),0)</f>
        <v>3425</v>
      </c>
      <c r="L1036" s="450" t="n">
        <f aca="false">ROUNDDOWN(L1188*$C$1194/($C$1194+$E$1194),0)</f>
        <v>3424</v>
      </c>
      <c r="M1036" s="223" t="n">
        <f aca="false">SUM(K1036:L1036)</f>
        <v>6849</v>
      </c>
      <c r="N1036" s="453" t="n">
        <f aca="false">ROUNDDOWN(N1188*$C$1194/($C$1194+$E$1194),0)</f>
        <v>1</v>
      </c>
      <c r="O1036" s="450" t="n">
        <f aca="false">ROUNDDOWN(O1188*$C$1194/($C$1194+$E$1194),0)</f>
        <v>1</v>
      </c>
      <c r="P1036" s="223" t="n">
        <f aca="false">SUM(N1036:O1036)</f>
        <v>2</v>
      </c>
      <c r="Q1036" s="110" t="str">
        <f aca="false">IF(P256=P1036,"〇","×")</f>
        <v>×</v>
      </c>
    </row>
    <row r="1037" s="110" customFormat="true" ht="20.1" hidden="false" customHeight="true" outlineLevel="0" collapsed="false">
      <c r="A1037" s="149" t="s">
        <v>205</v>
      </c>
      <c r="B1037" s="491" t="n">
        <f aca="false">ROUNDDOWN(B1189*$C$1194/($C$1194+$E$1194),0)</f>
        <v>0</v>
      </c>
      <c r="C1037" s="492" t="n">
        <f aca="false">ROUNDDOWN(C1189*$C$1194/($C$1194+$E$1194),0)</f>
        <v>0</v>
      </c>
      <c r="D1037" s="491" t="n">
        <f aca="false">ROUNDDOWN(D1189*$C$1194/($C$1194+$E$1194),0)</f>
        <v>0</v>
      </c>
      <c r="E1037" s="467" t="n">
        <f aca="false">ROUNDDOWN(E1189*$C$1194/($C$1194+$E$1194),0)</f>
        <v>0</v>
      </c>
      <c r="F1037" s="271" t="n">
        <f aca="false">ROUNDDOWN(F1189*$C$1194/($C$1194+$E$1194),0)</f>
        <v>0</v>
      </c>
      <c r="G1037" s="492" t="n">
        <f aca="false">SUM(B1037:F1037)</f>
        <v>0</v>
      </c>
      <c r="H1037" s="493" t="n">
        <f aca="false">ROUNDDOWN(H1189*$C$1194/($C$1194+$E$1194),0)</f>
        <v>0</v>
      </c>
      <c r="I1037" s="494" t="n">
        <f aca="false">ROUNDDOWN(I1189*$C$1194/($C$1194+$E$1194),0)</f>
        <v>0</v>
      </c>
      <c r="J1037" s="495" t="n">
        <f aca="false">SUM(H1037:I1037)</f>
        <v>0</v>
      </c>
      <c r="K1037" s="496" t="n">
        <f aca="false">ROUNDDOWN(K1189*$C$1194/($C$1194+$E$1194),0)</f>
        <v>0</v>
      </c>
      <c r="L1037" s="494" t="n">
        <f aca="false">ROUNDDOWN(L1189*$C$1194/($C$1194+$E$1194),0)</f>
        <v>0</v>
      </c>
      <c r="M1037" s="495" t="n">
        <f aca="false">SUM(K1037:L1037)</f>
        <v>0</v>
      </c>
      <c r="N1037" s="493" t="n">
        <f aca="false">ROUNDDOWN(N1189*$C$1194/($C$1194+$E$1194),0)</f>
        <v>0</v>
      </c>
      <c r="O1037" s="494" t="n">
        <f aca="false">ROUNDDOWN(O1189*$C$1194/($C$1194+$E$1194),0)</f>
        <v>0</v>
      </c>
      <c r="P1037" s="495" t="n">
        <f aca="false">SUM(N1037:O1037)</f>
        <v>0</v>
      </c>
      <c r="Q1037" s="110" t="str">
        <f aca="false">IF(P257=P1037,"〇","×")</f>
        <v>〇</v>
      </c>
    </row>
    <row r="1038" s="110" customFormat="true" ht="20.1" hidden="false" customHeight="true" outlineLevel="0" collapsed="false">
      <c r="A1038" s="171" t="s">
        <v>407</v>
      </c>
      <c r="B1038" s="172" t="n">
        <f aca="false">SUM(B1034:B1037)</f>
        <v>42684</v>
      </c>
      <c r="C1038" s="176" t="n">
        <f aca="false">SUM(C1034:C1037)</f>
        <v>3498</v>
      </c>
      <c r="D1038" s="172" t="n">
        <f aca="false">SUM(D1034:D1037)</f>
        <v>42684</v>
      </c>
      <c r="E1038" s="174" t="n">
        <f aca="false">SUM(E1034:E1037)</f>
        <v>3498</v>
      </c>
      <c r="F1038" s="258"/>
      <c r="G1038" s="176" t="n">
        <f aca="false">SUM(B1038:F1038)</f>
        <v>92364</v>
      </c>
      <c r="H1038" s="276" t="n">
        <f aca="false">SUM(H1034:H1037)</f>
        <v>26322</v>
      </c>
      <c r="I1038" s="174" t="n">
        <f aca="false">SUM(I1034:I1037)</f>
        <v>26370</v>
      </c>
      <c r="J1038" s="175" t="n">
        <f aca="false">SUM(H1038:I1038)</f>
        <v>52692</v>
      </c>
      <c r="K1038" s="172" t="n">
        <f aca="false">SUM(K1034:K1037)</f>
        <v>3717</v>
      </c>
      <c r="L1038" s="276" t="n">
        <f aca="false">SUM(L1034:L1037)</f>
        <v>3716</v>
      </c>
      <c r="M1038" s="175" t="n">
        <f aca="false">SUM(K1038:L1038)</f>
        <v>7433</v>
      </c>
      <c r="N1038" s="276" t="n">
        <f aca="false">SUM(N1034:N1037)</f>
        <v>2</v>
      </c>
      <c r="O1038" s="174" t="n">
        <f aca="false">SUM(O1034:O1037)</f>
        <v>2</v>
      </c>
      <c r="P1038" s="175" t="n">
        <f aca="false">SUM(N1038:O1038)</f>
        <v>4</v>
      </c>
      <c r="Q1038" s="110" t="str">
        <f aca="false">IF(P258=P1038,"〇","×")</f>
        <v>×</v>
      </c>
    </row>
    <row r="1039" s="110" customFormat="true" ht="20.1" hidden="false" customHeight="true" outlineLevel="0" collapsed="false">
      <c r="A1039" s="497" t="s">
        <v>206</v>
      </c>
      <c r="B1039" s="256"/>
      <c r="C1039" s="498"/>
      <c r="D1039" s="499"/>
      <c r="E1039" s="500"/>
      <c r="F1039" s="271"/>
      <c r="G1039" s="268" t="n">
        <f aca="false">SUM(B1039:F1039)</f>
        <v>0</v>
      </c>
      <c r="H1039" s="501" t="n">
        <f aca="false">ROUNDDOWN(H1191*$C$1194/($C$1194+$E$1194),0)</f>
        <v>0</v>
      </c>
      <c r="I1039" s="502" t="n">
        <f aca="false">ROUNDDOWN(I1191*$C$1194/($C$1194+$E$1194),0)</f>
        <v>0</v>
      </c>
      <c r="J1039" s="271" t="n">
        <f aca="false">SUM(H1039:I1039)</f>
        <v>0</v>
      </c>
      <c r="K1039" s="501" t="n">
        <f aca="false">ROUNDDOWN(K1191*$C$1194/($C$1194+$E$1194),0)</f>
        <v>0</v>
      </c>
      <c r="L1039" s="502" t="n">
        <f aca="false">ROUNDDOWN(L1191*$C$1194/($C$1194+$E$1194),0)</f>
        <v>0</v>
      </c>
      <c r="M1039" s="271" t="n">
        <f aca="false">SUM(K1039:L1039)</f>
        <v>0</v>
      </c>
      <c r="N1039" s="501" t="n">
        <f aca="false">ROUNDDOWN(N1191*$C$1194/($C$1194+$E$1194),0)</f>
        <v>0</v>
      </c>
      <c r="O1039" s="502" t="n">
        <f aca="false">ROUNDDOWN(O1191*$C$1194/($C$1194+$E$1194),0)</f>
        <v>0</v>
      </c>
      <c r="P1039" s="271" t="n">
        <f aca="false">SUM(N1039:O1039)</f>
        <v>0</v>
      </c>
      <c r="Q1039" s="110" t="str">
        <f aca="false">IF(P259=P1039,"〇","×")</f>
        <v>〇</v>
      </c>
    </row>
    <row r="1040" s="110" customFormat="true" ht="30" hidden="false" customHeight="true" outlineLevel="0" collapsed="false">
      <c r="A1040" s="285" t="s">
        <v>385</v>
      </c>
      <c r="B1040" s="286" t="n">
        <f aca="false">SUM(+B997+B1028+B1033+B1038+B1039)</f>
        <v>24371886</v>
      </c>
      <c r="C1040" s="503" t="n">
        <f aca="false">SUM(+C997+C1028+C1033+C1038+C1039)</f>
        <v>1995481</v>
      </c>
      <c r="D1040" s="286" t="n">
        <f aca="false">SUM(+D997+D1028+D1033+D1038+D1039)</f>
        <v>35318960</v>
      </c>
      <c r="E1040" s="288" t="n">
        <f aca="false">SUM(+E997+E1028+E1033+E1038+E1039)</f>
        <v>1962090</v>
      </c>
      <c r="F1040" s="287" t="n">
        <f aca="false">SUM(+F997+F1028+F1033+F1038+F1039)</f>
        <v>25771</v>
      </c>
      <c r="G1040" s="504" t="n">
        <f aca="false">SUM(B1040:F1040)</f>
        <v>63674188</v>
      </c>
      <c r="H1040" s="290" t="n">
        <f aca="false">SUM(+H997+H1028+H1033+H1038+H1039)</f>
        <v>17812876</v>
      </c>
      <c r="I1040" s="290" t="n">
        <f aca="false">SUM(+I997+I1028+I1033+I1038+I1039)</f>
        <v>17802510</v>
      </c>
      <c r="J1040" s="291" t="n">
        <f aca="false">SUM(H1040:I1040)</f>
        <v>35615386</v>
      </c>
      <c r="K1040" s="292" t="n">
        <f aca="false">SUM(+K997+K1028+K1033+K1038+K1039)</f>
        <v>1479301</v>
      </c>
      <c r="L1040" s="290" t="n">
        <f aca="false">SUM(+L997+L1028+L1033+L1038+L1039)</f>
        <v>1479171</v>
      </c>
      <c r="M1040" s="291" t="n">
        <f aca="false">SUM(K1040:L1040)</f>
        <v>2958472</v>
      </c>
      <c r="N1040" s="290" t="n">
        <f aca="false">SUM(+N997+N1028+N1033+N1038+N1039)</f>
        <v>25</v>
      </c>
      <c r="O1040" s="290" t="n">
        <f aca="false">SUM(+O997+O1028+O1033+O1038+O1039)</f>
        <v>37</v>
      </c>
      <c r="P1040" s="291" t="n">
        <f aca="false">SUM(N1040:O1040)</f>
        <v>62</v>
      </c>
      <c r="Q1040" s="110" t="str">
        <f aca="false">IF(P260=P1040,"〇","×")</f>
        <v>×</v>
      </c>
    </row>
    <row r="1041" s="316" customFormat="true" ht="39" hidden="false" customHeight="true" outlineLevel="0" collapsed="false">
      <c r="A1041" s="315"/>
      <c r="G1041" s="84"/>
      <c r="Q1041" s="316" t="str">
        <f aca="false">IF(P976=P1041,"〇","×")</f>
        <v>〇</v>
      </c>
    </row>
    <row r="1042" s="297" customFormat="true" ht="30" hidden="false" customHeight="true" outlineLevel="0" collapsed="false">
      <c r="A1042" s="295"/>
      <c r="B1042" s="442" t="str">
        <f aca="false">B977</f>
        <v>令和8年度</v>
      </c>
      <c r="C1042" s="442"/>
      <c r="D1042" s="443" t="s">
        <v>408</v>
      </c>
      <c r="E1042" s="443"/>
      <c r="F1042" s="443"/>
      <c r="G1042" s="443"/>
      <c r="H1042" s="442" t="str">
        <f aca="false">B1042</f>
        <v>令和8年度</v>
      </c>
      <c r="I1042" s="443" t="s">
        <v>408</v>
      </c>
      <c r="J1042" s="443"/>
      <c r="K1042" s="442" t="str">
        <f aca="false">B1042</f>
        <v>令和8年度</v>
      </c>
      <c r="L1042" s="443" t="s">
        <v>408</v>
      </c>
      <c r="M1042" s="443"/>
      <c r="N1042" s="442" t="str">
        <f aca="false">K1042</f>
        <v>令和8年度</v>
      </c>
      <c r="O1042" s="443" t="s">
        <v>408</v>
      </c>
      <c r="P1042" s="443"/>
      <c r="Q1042" s="297" t="str">
        <f aca="false">IF(P977=P1042,"〇","×")</f>
        <v>〇</v>
      </c>
    </row>
    <row r="1043" customFormat="false" ht="45" hidden="false" customHeight="true" outlineLevel="0" collapsed="false">
      <c r="A1043" s="89" t="s">
        <v>369</v>
      </c>
      <c r="B1043" s="89" t="s">
        <v>370</v>
      </c>
      <c r="C1043" s="89"/>
      <c r="D1043" s="89"/>
      <c r="E1043" s="89"/>
      <c r="F1043" s="89"/>
      <c r="G1043" s="89"/>
      <c r="H1043" s="91" t="s">
        <v>371</v>
      </c>
      <c r="I1043" s="91"/>
      <c r="J1043" s="91"/>
      <c r="K1043" s="91" t="s">
        <v>372</v>
      </c>
      <c r="L1043" s="91"/>
      <c r="M1043" s="91"/>
      <c r="N1043" s="91" t="str">
        <f aca="false">$N$3</f>
        <v>子ども・子育て支援納付金</v>
      </c>
      <c r="O1043" s="91"/>
      <c r="P1043" s="91"/>
      <c r="Q1043" s="80" t="str">
        <f aca="false">IF(P978=P1043,"〇","×")</f>
        <v>〇</v>
      </c>
    </row>
    <row r="1044" customFormat="false" ht="22.5" hidden="false" customHeight="true" outlineLevel="0" collapsed="false">
      <c r="A1044" s="89"/>
      <c r="B1044" s="92" t="s">
        <v>373</v>
      </c>
      <c r="C1044" s="92"/>
      <c r="D1044" s="92" t="s">
        <v>374</v>
      </c>
      <c r="E1044" s="92"/>
      <c r="F1044" s="92"/>
      <c r="G1044" s="92" t="s">
        <v>375</v>
      </c>
      <c r="H1044" s="96" t="s">
        <v>376</v>
      </c>
      <c r="I1044" s="94" t="s">
        <v>377</v>
      </c>
      <c r="J1044" s="95" t="s">
        <v>375</v>
      </c>
      <c r="K1044" s="96" t="s">
        <v>376</v>
      </c>
      <c r="L1044" s="94" t="s">
        <v>377</v>
      </c>
      <c r="M1044" s="95" t="s">
        <v>375</v>
      </c>
      <c r="N1044" s="96" t="s">
        <v>376</v>
      </c>
      <c r="O1044" s="94" t="s">
        <v>377</v>
      </c>
      <c r="P1044" s="95" t="s">
        <v>375</v>
      </c>
      <c r="Q1044" s="80" t="str">
        <f aca="false">IF(P979=P1044,"〇","×")</f>
        <v>〇</v>
      </c>
    </row>
    <row r="1045" customFormat="false" ht="22.5" hidden="false" customHeight="true" outlineLevel="0" collapsed="false">
      <c r="A1045" s="89"/>
      <c r="B1045" s="97" t="s">
        <v>378</v>
      </c>
      <c r="C1045" s="98" t="s">
        <v>379</v>
      </c>
      <c r="D1045" s="99" t="s">
        <v>378</v>
      </c>
      <c r="E1045" s="99" t="s">
        <v>380</v>
      </c>
      <c r="F1045" s="98" t="s">
        <v>85</v>
      </c>
      <c r="G1045" s="92"/>
      <c r="H1045" s="96"/>
      <c r="I1045" s="94"/>
      <c r="J1045" s="95"/>
      <c r="K1045" s="96"/>
      <c r="L1045" s="94"/>
      <c r="M1045" s="95"/>
      <c r="N1045" s="96"/>
      <c r="O1045" s="94"/>
      <c r="P1045" s="95"/>
      <c r="Q1045" s="80" t="str">
        <f aca="false">IF(P980=P1045,"〇","×")</f>
        <v>〇</v>
      </c>
    </row>
    <row r="1046" s="110" customFormat="true" ht="20.1" hidden="false" customHeight="true" outlineLevel="0" collapsed="false">
      <c r="A1046" s="100" t="s">
        <v>158</v>
      </c>
      <c r="B1046" s="444" t="n">
        <f aca="false">B1133-B981</f>
        <v>12788487</v>
      </c>
      <c r="C1046" s="235" t="n">
        <f aca="false">C1133-C981</f>
        <v>1048185</v>
      </c>
      <c r="D1046" s="445" t="n">
        <f aca="false">D1133-D981</f>
        <v>18153472</v>
      </c>
      <c r="E1046" s="445" t="n">
        <f aca="false">E1133-E981</f>
        <v>998835</v>
      </c>
      <c r="F1046" s="446" t="n">
        <f aca="false">F1133-F981</f>
        <v>13040</v>
      </c>
      <c r="G1046" s="235" t="n">
        <f aca="false">SUM(B1046:F1046)</f>
        <v>33002019</v>
      </c>
      <c r="H1046" s="444" t="n">
        <f aca="false">H1133-H981</f>
        <v>9934250</v>
      </c>
      <c r="I1046" s="447" t="n">
        <f aca="false">I1133-I981</f>
        <v>9715832</v>
      </c>
      <c r="J1046" s="377" t="n">
        <f aca="false">SUM(H1046:I1046)</f>
        <v>19650082</v>
      </c>
      <c r="K1046" s="448" t="n">
        <f aca="false">K1133-K981</f>
        <v>830651</v>
      </c>
      <c r="L1046" s="447" t="n">
        <f aca="false">L1133-L981</f>
        <v>807650</v>
      </c>
      <c r="M1046" s="377" t="n">
        <f aca="false">SUM(K1046:L1046)</f>
        <v>1638301</v>
      </c>
      <c r="N1046" s="444" t="n">
        <f aca="false">N1133-N981</f>
        <v>1</v>
      </c>
      <c r="O1046" s="447" t="n">
        <f aca="false">O1133-O981</f>
        <v>1</v>
      </c>
      <c r="P1046" s="377" t="n">
        <f aca="false">SUM(N1046:O1046)</f>
        <v>2</v>
      </c>
      <c r="Q1046" s="110" t="str">
        <f aca="false">IF(P591=P1046,"〇","×")</f>
        <v>〇</v>
      </c>
    </row>
    <row r="1047" s="110" customFormat="true" ht="20.1" hidden="false" customHeight="true" outlineLevel="0" collapsed="false">
      <c r="A1047" s="100" t="s">
        <v>161</v>
      </c>
      <c r="B1047" s="449" t="n">
        <f aca="false">B1134-B982</f>
        <v>827103</v>
      </c>
      <c r="C1047" s="377" t="n">
        <f aca="false">C1134-C982</f>
        <v>67785</v>
      </c>
      <c r="D1047" s="445" t="n">
        <f aca="false">D1134-D982</f>
        <v>1201647</v>
      </c>
      <c r="E1047" s="445" t="n">
        <f aca="false">E1134-E982</f>
        <v>67646</v>
      </c>
      <c r="F1047" s="223" t="n">
        <f aca="false">F1134-F982</f>
        <v>850</v>
      </c>
      <c r="G1047" s="377" t="n">
        <f aca="false">SUM(B1047:F1047)</f>
        <v>2165031</v>
      </c>
      <c r="H1047" s="448" t="n">
        <f aca="false">H1134-H982</f>
        <v>529193</v>
      </c>
      <c r="I1047" s="450" t="n">
        <f aca="false">I1134-I982</f>
        <v>537149</v>
      </c>
      <c r="J1047" s="223" t="n">
        <f aca="false">SUM(H1047:I1047)</f>
        <v>1066342</v>
      </c>
      <c r="K1047" s="451" t="n">
        <f aca="false">K1134-K982</f>
        <v>50793</v>
      </c>
      <c r="L1047" s="452" t="n">
        <f aca="false">L1134-L982</f>
        <v>50519</v>
      </c>
      <c r="M1047" s="223" t="n">
        <f aca="false">SUM(K1047:L1047)</f>
        <v>101312</v>
      </c>
      <c r="N1047" s="448" t="n">
        <f aca="false">N1134-N982</f>
        <v>1</v>
      </c>
      <c r="O1047" s="450" t="n">
        <f aca="false">O1134-O982</f>
        <v>1</v>
      </c>
      <c r="P1047" s="223" t="n">
        <f aca="false">SUM(N1047:O1047)</f>
        <v>2</v>
      </c>
      <c r="Q1047" s="110" t="str">
        <f aca="false">IF(P592=P1047,"〇","×")</f>
        <v>〇</v>
      </c>
    </row>
    <row r="1048" s="110" customFormat="true" ht="20.1" hidden="false" customHeight="true" outlineLevel="0" collapsed="false">
      <c r="A1048" s="100" t="s">
        <v>162</v>
      </c>
      <c r="B1048" s="449" t="n">
        <f aca="false">B1135-B983</f>
        <v>2737312</v>
      </c>
      <c r="C1048" s="377" t="n">
        <f aca="false">C1135-C983</f>
        <v>222371</v>
      </c>
      <c r="D1048" s="445" t="n">
        <f aca="false">D1135-D983</f>
        <v>3874237</v>
      </c>
      <c r="E1048" s="445" t="n">
        <f aca="false">E1135-E983</f>
        <v>215315</v>
      </c>
      <c r="F1048" s="223" t="n">
        <f aca="false">F1135-F983</f>
        <v>2810</v>
      </c>
      <c r="G1048" s="377" t="n">
        <f aca="false">SUM(B1048:F1048)</f>
        <v>7052045</v>
      </c>
      <c r="H1048" s="451" t="n">
        <f aca="false">H1135-H983</f>
        <v>1696843</v>
      </c>
      <c r="I1048" s="453" t="n">
        <f aca="false">I1135-I983</f>
        <v>1667794</v>
      </c>
      <c r="J1048" s="223" t="n">
        <f aca="false">SUM(H1048:I1048)</f>
        <v>3364637</v>
      </c>
      <c r="K1048" s="451" t="n">
        <f aca="false">K1135-K983</f>
        <v>100476</v>
      </c>
      <c r="L1048" s="453" t="n">
        <f aca="false">L1135-L983</f>
        <v>100967</v>
      </c>
      <c r="M1048" s="223" t="n">
        <f aca="false">SUM(K1048:L1048)</f>
        <v>201443</v>
      </c>
      <c r="N1048" s="451" t="n">
        <f aca="false">N1135-N983</f>
        <v>1</v>
      </c>
      <c r="O1048" s="453" t="n">
        <f aca="false">O1135-O983</f>
        <v>1</v>
      </c>
      <c r="P1048" s="223" t="n">
        <f aca="false">SUM(N1048:O1048)</f>
        <v>2</v>
      </c>
      <c r="Q1048" s="110" t="str">
        <f aca="false">IF(P593=P1048,"〇","×")</f>
        <v>〇</v>
      </c>
    </row>
    <row r="1049" s="110" customFormat="true" ht="20.1" hidden="false" customHeight="true" outlineLevel="0" collapsed="false">
      <c r="A1049" s="100" t="s">
        <v>163</v>
      </c>
      <c r="B1049" s="449" t="n">
        <f aca="false">B1136-B984</f>
        <v>93102</v>
      </c>
      <c r="C1049" s="377" t="n">
        <f aca="false">C1136-C984</f>
        <v>7632</v>
      </c>
      <c r="D1049" s="445" t="n">
        <f aca="false">D1136-D984</f>
        <v>135328</v>
      </c>
      <c r="E1049" s="445" t="n">
        <f aca="false">E1136-E984</f>
        <v>7632</v>
      </c>
      <c r="F1049" s="223" t="n">
        <f aca="false">F1136-F984</f>
        <v>96</v>
      </c>
      <c r="G1049" s="377" t="n">
        <f aca="false">SUM(B1049:F1049)</f>
        <v>243790</v>
      </c>
      <c r="H1049" s="449" t="n">
        <f aca="false">H1136-H984</f>
        <v>59445</v>
      </c>
      <c r="I1049" s="453" t="n">
        <f aca="false">I1136-I984</f>
        <v>60487</v>
      </c>
      <c r="J1049" s="223" t="n">
        <f aca="false">SUM(H1049:I1049)</f>
        <v>119932</v>
      </c>
      <c r="K1049" s="449" t="n">
        <f aca="false">K1136-K984</f>
        <v>5216</v>
      </c>
      <c r="L1049" s="453" t="n">
        <f aca="false">L1136-L984</f>
        <v>5218</v>
      </c>
      <c r="M1049" s="223" t="n">
        <f aca="false">SUM(K1049:L1049)</f>
        <v>10434</v>
      </c>
      <c r="N1049" s="449" t="n">
        <f aca="false">N1136-N984</f>
        <v>1</v>
      </c>
      <c r="O1049" s="453" t="n">
        <f aca="false">O1136-O984</f>
        <v>1</v>
      </c>
      <c r="P1049" s="223" t="n">
        <f aca="false">SUM(N1049:O1049)</f>
        <v>2</v>
      </c>
      <c r="Q1049" s="110" t="str">
        <f aca="false">IF(P594=P1049,"〇","×")</f>
        <v>〇</v>
      </c>
    </row>
    <row r="1050" s="110" customFormat="true" ht="20.1" hidden="false" customHeight="true" outlineLevel="0" collapsed="false">
      <c r="A1050" s="100" t="s">
        <v>164</v>
      </c>
      <c r="B1050" s="449" t="n">
        <f aca="false">B1137-B985</f>
        <v>1342083</v>
      </c>
      <c r="C1050" s="377" t="n">
        <f aca="false">C1137-C985</f>
        <v>110013</v>
      </c>
      <c r="D1050" s="445" t="n">
        <f aca="false">D1137-D985</f>
        <v>1914789</v>
      </c>
      <c r="E1050" s="445" t="n">
        <f aca="false">E1137-E985</f>
        <v>106666</v>
      </c>
      <c r="F1050" s="223" t="n">
        <f aca="false">F1137-F985</f>
        <v>1389</v>
      </c>
      <c r="G1050" s="377" t="n">
        <f aca="false">SUM(B1050:F1050)</f>
        <v>3474940</v>
      </c>
      <c r="H1050" s="448" t="n">
        <f aca="false">H1137-H985</f>
        <v>1226602</v>
      </c>
      <c r="I1050" s="450" t="n">
        <f aca="false">I1137-I985</f>
        <v>1224506</v>
      </c>
      <c r="J1050" s="223" t="n">
        <f aca="false">SUM(H1050:I1050)</f>
        <v>2451108</v>
      </c>
      <c r="K1050" s="449" t="n">
        <f aca="false">K1137-K985</f>
        <v>131803</v>
      </c>
      <c r="L1050" s="453" t="n">
        <f aca="false">L1137-L985</f>
        <v>131873</v>
      </c>
      <c r="M1050" s="223" t="n">
        <f aca="false">SUM(K1050:L1050)</f>
        <v>263676</v>
      </c>
      <c r="N1050" s="448" t="n">
        <f aca="false">N1137-N985</f>
        <v>1</v>
      </c>
      <c r="O1050" s="450" t="n">
        <f aca="false">O1137-O985</f>
        <v>1</v>
      </c>
      <c r="P1050" s="223" t="n">
        <f aca="false">SUM(N1050:O1050)</f>
        <v>2</v>
      </c>
      <c r="Q1050" s="110" t="str">
        <f aca="false">IF(P595=P1050,"〇","×")</f>
        <v>〇</v>
      </c>
    </row>
    <row r="1051" s="110" customFormat="true" ht="20.1" hidden="false" customHeight="true" outlineLevel="0" collapsed="false">
      <c r="A1051" s="100" t="s">
        <v>165</v>
      </c>
      <c r="B1051" s="449" t="n">
        <f aca="false">B1138-B986</f>
        <v>15646</v>
      </c>
      <c r="C1051" s="377" t="n">
        <f aca="false">C1138-C986</f>
        <v>1282</v>
      </c>
      <c r="D1051" s="445" t="n">
        <f aca="false">D1138-D986</f>
        <v>22742</v>
      </c>
      <c r="E1051" s="445" t="n">
        <f aca="false">E1138-E986</f>
        <v>1282</v>
      </c>
      <c r="F1051" s="223" t="n">
        <f aca="false">F1138-F986</f>
        <v>16</v>
      </c>
      <c r="G1051" s="377" t="n">
        <f aca="false">SUM(B1051:F1051)</f>
        <v>40968</v>
      </c>
      <c r="H1051" s="448" t="n">
        <f aca="false">H1138-H986</f>
        <v>10564</v>
      </c>
      <c r="I1051" s="450" t="n">
        <f aca="false">I1138-I986</f>
        <v>10748</v>
      </c>
      <c r="J1051" s="223" t="n">
        <f aca="false">SUM(H1051:I1051)</f>
        <v>21312</v>
      </c>
      <c r="K1051" s="449" t="n">
        <f aca="false">K1138-K986</f>
        <v>806</v>
      </c>
      <c r="L1051" s="453" t="n">
        <f aca="false">L1138-L986</f>
        <v>806</v>
      </c>
      <c r="M1051" s="223" t="n">
        <f aca="false">SUM(K1051:L1051)</f>
        <v>1612</v>
      </c>
      <c r="N1051" s="448" t="n">
        <f aca="false">N1138-N986</f>
        <v>1</v>
      </c>
      <c r="O1051" s="450" t="n">
        <f aca="false">O1138-O986</f>
        <v>1</v>
      </c>
      <c r="P1051" s="223" t="n">
        <f aca="false">SUM(N1051:O1051)</f>
        <v>2</v>
      </c>
      <c r="Q1051" s="110" t="str">
        <f aca="false">IF(P596=P1051,"〇","×")</f>
        <v>〇</v>
      </c>
    </row>
    <row r="1052" s="110" customFormat="true" ht="20.1" hidden="false" customHeight="true" outlineLevel="0" collapsed="false">
      <c r="A1052" s="100" t="s">
        <v>166</v>
      </c>
      <c r="B1052" s="449" t="n">
        <f aca="false">B1139-B987</f>
        <v>28961</v>
      </c>
      <c r="C1052" s="377" t="n">
        <f aca="false">C1139-C987</f>
        <v>2375</v>
      </c>
      <c r="D1052" s="445" t="n">
        <f aca="false">D1139-D987</f>
        <v>42094</v>
      </c>
      <c r="E1052" s="445" t="n">
        <f aca="false">E1139-E987</f>
        <v>2374</v>
      </c>
      <c r="F1052" s="223" t="n">
        <f aca="false">F1139-F987</f>
        <v>30</v>
      </c>
      <c r="G1052" s="221" t="n">
        <f aca="false">SUM(B1052:F1052)</f>
        <v>75834</v>
      </c>
      <c r="H1052" s="448" t="n">
        <f aca="false">H1139-H987</f>
        <v>19419</v>
      </c>
      <c r="I1052" s="450" t="n">
        <f aca="false">I1139-I987</f>
        <v>19761</v>
      </c>
      <c r="J1052" s="223" t="n">
        <f aca="false">SUM(H1052:I1052)</f>
        <v>39180</v>
      </c>
      <c r="K1052" s="448" t="n">
        <f aca="false">K1139-K987</f>
        <v>1546</v>
      </c>
      <c r="L1052" s="450" t="n">
        <f aca="false">L1139-L987</f>
        <v>1545</v>
      </c>
      <c r="M1052" s="223" t="n">
        <f aca="false">SUM(K1052:L1052)</f>
        <v>3091</v>
      </c>
      <c r="N1052" s="448" t="n">
        <f aca="false">N1139-N987</f>
        <v>1</v>
      </c>
      <c r="O1052" s="450" t="n">
        <f aca="false">O1139-O987</f>
        <v>1</v>
      </c>
      <c r="P1052" s="223" t="n">
        <f aca="false">SUM(N1052:O1052)</f>
        <v>2</v>
      </c>
      <c r="Q1052" s="110" t="str">
        <f aca="false">IF(P597=P1052,"〇","×")</f>
        <v>〇</v>
      </c>
    </row>
    <row r="1053" s="110" customFormat="true" ht="20.1" hidden="false" customHeight="true" outlineLevel="0" collapsed="false">
      <c r="A1053" s="100" t="s">
        <v>167</v>
      </c>
      <c r="B1053" s="449" t="n">
        <f aca="false">B1140-B988</f>
        <v>67435</v>
      </c>
      <c r="C1053" s="377" t="n">
        <f aca="false">C1140-C988</f>
        <v>5527</v>
      </c>
      <c r="D1053" s="445" t="n">
        <f aca="false">D1140-D988</f>
        <v>98021</v>
      </c>
      <c r="E1053" s="445" t="n">
        <f aca="false">E1140-E988</f>
        <v>5528</v>
      </c>
      <c r="F1053" s="223" t="n">
        <f aca="false">F1140-F988</f>
        <v>69</v>
      </c>
      <c r="G1053" s="377" t="n">
        <f aca="false">SUM(B1053:F1053)</f>
        <v>176580</v>
      </c>
      <c r="H1053" s="448" t="n">
        <f aca="false">H1140-H988</f>
        <v>42962</v>
      </c>
      <c r="I1053" s="450" t="n">
        <f aca="false">I1140-I988</f>
        <v>43720</v>
      </c>
      <c r="J1053" s="223" t="n">
        <f aca="false">SUM(H1053:I1053)</f>
        <v>86682</v>
      </c>
      <c r="K1053" s="448" t="n">
        <f aca="false">K1140-K988</f>
        <v>5397</v>
      </c>
      <c r="L1053" s="450" t="n">
        <f aca="false">L1140-L988</f>
        <v>5396</v>
      </c>
      <c r="M1053" s="223" t="n">
        <f aca="false">SUM(K1053:L1053)</f>
        <v>10793</v>
      </c>
      <c r="N1053" s="448" t="n">
        <f aca="false">N1140-N988</f>
        <v>1</v>
      </c>
      <c r="O1053" s="450" t="n">
        <f aca="false">O1140-O988</f>
        <v>1</v>
      </c>
      <c r="P1053" s="223" t="n">
        <f aca="false">SUM(N1053:O1053)</f>
        <v>2</v>
      </c>
      <c r="Q1053" s="110" t="str">
        <f aca="false">IF(P598=P1053,"〇","×")</f>
        <v>〇</v>
      </c>
    </row>
    <row r="1054" s="110" customFormat="true" ht="20.1" hidden="false" customHeight="true" outlineLevel="0" collapsed="false">
      <c r="A1054" s="100" t="s">
        <v>168</v>
      </c>
      <c r="B1054" s="449" t="n">
        <f aca="false">B1141-B989</f>
        <v>18116</v>
      </c>
      <c r="C1054" s="377" t="n">
        <f aca="false">C1141-C989</f>
        <v>1484</v>
      </c>
      <c r="D1054" s="445" t="n">
        <f aca="false">D1141-D989</f>
        <v>26335</v>
      </c>
      <c r="E1054" s="445" t="n">
        <f aca="false">E1141-E989</f>
        <v>1486</v>
      </c>
      <c r="F1054" s="223" t="n">
        <f aca="false">F1141-F989</f>
        <v>19</v>
      </c>
      <c r="G1054" s="377" t="n">
        <f aca="false">SUM(B1054:F1054)</f>
        <v>47440</v>
      </c>
      <c r="H1054" s="448" t="n">
        <f aca="false">H1141-H989</f>
        <v>17003</v>
      </c>
      <c r="I1054" s="450" t="n">
        <f aca="false">I1141-I989</f>
        <v>17298</v>
      </c>
      <c r="J1054" s="223" t="n">
        <f aca="false">SUM(H1054:I1054)</f>
        <v>34301</v>
      </c>
      <c r="K1054" s="448" t="n">
        <f aca="false">K1141-K989</f>
        <v>1786</v>
      </c>
      <c r="L1054" s="450" t="n">
        <f aca="false">L1141-L989</f>
        <v>1786</v>
      </c>
      <c r="M1054" s="223" t="n">
        <f aca="false">SUM(K1054:L1054)</f>
        <v>3572</v>
      </c>
      <c r="N1054" s="448" t="n">
        <f aca="false">N1141-N989</f>
        <v>1</v>
      </c>
      <c r="O1054" s="450" t="n">
        <f aca="false">O1141-O989</f>
        <v>1</v>
      </c>
      <c r="P1054" s="223" t="n">
        <f aca="false">SUM(N1054:O1054)</f>
        <v>2</v>
      </c>
      <c r="Q1054" s="110" t="str">
        <f aca="false">IF(P599=P1054,"〇","×")</f>
        <v>〇</v>
      </c>
    </row>
    <row r="1055" s="110" customFormat="true" ht="20.1" hidden="false" customHeight="true" outlineLevel="0" collapsed="false">
      <c r="A1055" s="100" t="s">
        <v>169</v>
      </c>
      <c r="B1055" s="449" t="n">
        <f aca="false">B1142-B990</f>
        <v>1294337</v>
      </c>
      <c r="C1055" s="377" t="n">
        <f aca="false">C1142-C990</f>
        <v>106073</v>
      </c>
      <c r="D1055" s="445" t="n">
        <f aca="false">D1142-D990</f>
        <v>1888287</v>
      </c>
      <c r="E1055" s="445" t="n">
        <f aca="false">E1142-E990</f>
        <v>106094</v>
      </c>
      <c r="F1055" s="223" t="n">
        <f aca="false">F1142-F990</f>
        <v>1342</v>
      </c>
      <c r="G1055" s="377" t="n">
        <f aca="false">SUM(B1055:F1055)</f>
        <v>3396133</v>
      </c>
      <c r="H1055" s="448" t="n">
        <f aca="false">H1142-H990</f>
        <v>823071</v>
      </c>
      <c r="I1055" s="450" t="n">
        <f aca="false">I1142-I990</f>
        <v>837732</v>
      </c>
      <c r="J1055" s="223" t="n">
        <f aca="false">SUM(H1055:I1055)</f>
        <v>1660803</v>
      </c>
      <c r="K1055" s="448" t="n">
        <f aca="false">K1142-K990</f>
        <v>74130</v>
      </c>
      <c r="L1055" s="450" t="n">
        <f aca="false">L1142-L990</f>
        <v>74122</v>
      </c>
      <c r="M1055" s="223" t="n">
        <f aca="false">SUM(K1055:L1055)</f>
        <v>148252</v>
      </c>
      <c r="N1055" s="448" t="n">
        <f aca="false">N1142-N990</f>
        <v>1</v>
      </c>
      <c r="O1055" s="450" t="n">
        <f aca="false">O1142-O990</f>
        <v>1</v>
      </c>
      <c r="P1055" s="223" t="n">
        <f aca="false">SUM(N1055:O1055)</f>
        <v>2</v>
      </c>
      <c r="Q1055" s="110" t="str">
        <f aca="false">IF(P600=P1055,"〇","×")</f>
        <v>〇</v>
      </c>
    </row>
    <row r="1056" s="110" customFormat="true" ht="19.5" hidden="false" customHeight="true" outlineLevel="0" collapsed="false">
      <c r="A1056" s="121" t="s">
        <v>381</v>
      </c>
      <c r="B1056" s="451" t="n">
        <f aca="false">B1143-B991</f>
        <v>2288</v>
      </c>
      <c r="C1056" s="221" t="n">
        <f aca="false">C1143-C991</f>
        <v>188</v>
      </c>
      <c r="D1056" s="451" t="n">
        <f aca="false">D1143-D991</f>
        <v>3325</v>
      </c>
      <c r="E1056" s="452" t="n">
        <f aca="false">E1143-E991</f>
        <v>188</v>
      </c>
      <c r="F1056" s="454" t="n">
        <f aca="false">F1143-F991</f>
        <v>3</v>
      </c>
      <c r="G1056" s="221" t="n">
        <f aca="false">SUM(B1056:F1056)</f>
        <v>5992</v>
      </c>
      <c r="H1056" s="455" t="n">
        <f aca="false">H1143-H991</f>
        <v>1376</v>
      </c>
      <c r="I1056" s="456" t="n">
        <f aca="false">I1143-I991</f>
        <v>1399</v>
      </c>
      <c r="J1056" s="223" t="n">
        <f aca="false">SUM(H1056:I1056)</f>
        <v>2775</v>
      </c>
      <c r="K1056" s="451" t="n">
        <f aca="false">K1143-K991</f>
        <v>198</v>
      </c>
      <c r="L1056" s="462" t="n">
        <f aca="false">L1143-L991</f>
        <v>198</v>
      </c>
      <c r="M1056" s="454" t="n">
        <f aca="false">SUM(K1056:L1056)</f>
        <v>396</v>
      </c>
      <c r="N1056" s="455" t="n">
        <f aca="false">N1143-N991</f>
        <v>1</v>
      </c>
      <c r="O1056" s="456" t="n">
        <f aca="false">O1143-O991</f>
        <v>1</v>
      </c>
      <c r="P1056" s="223" t="n">
        <f aca="false">SUM(N1056:O1056)</f>
        <v>2</v>
      </c>
      <c r="Q1056" s="110" t="str">
        <f aca="false">IF(P601=P1056,"〇","×")</f>
        <v>〇</v>
      </c>
    </row>
    <row r="1057" s="137" customFormat="true" ht="19.5" hidden="false" customHeight="true" outlineLevel="0" collapsed="false">
      <c r="A1057" s="126" t="s">
        <v>171</v>
      </c>
      <c r="B1057" s="451" t="n">
        <f aca="false">B1144-B992</f>
        <v>0</v>
      </c>
      <c r="C1057" s="377" t="n">
        <f aca="false">C1144-C992</f>
        <v>0</v>
      </c>
      <c r="D1057" s="449" t="n">
        <f aca="false">D1144-D992</f>
        <v>0</v>
      </c>
      <c r="E1057" s="460" t="n">
        <f aca="false">E1144-E992</f>
        <v>0</v>
      </c>
      <c r="F1057" s="230" t="n">
        <f aca="false">F1144-F992</f>
        <v>0</v>
      </c>
      <c r="G1057" s="492" t="n">
        <f aca="false">SUM(B1057:F1057)</f>
        <v>0</v>
      </c>
      <c r="H1057" s="448" t="n">
        <f aca="false">H1144-H992</f>
        <v>0</v>
      </c>
      <c r="I1057" s="450" t="n">
        <f aca="false">I1144-I992</f>
        <v>0</v>
      </c>
      <c r="J1057" s="223" t="n">
        <f aca="false">SUM(H1057:I1057)</f>
        <v>0</v>
      </c>
      <c r="K1057" s="448" t="n">
        <f aca="false">K1144-K992</f>
        <v>0</v>
      </c>
      <c r="L1057" s="450" t="n">
        <f aca="false">L1144-L992</f>
        <v>0</v>
      </c>
      <c r="M1057" s="223" t="n">
        <f aca="false">SUM(K1057:L1057)</f>
        <v>0</v>
      </c>
      <c r="N1057" s="448" t="n">
        <f aca="false">N1144-N992</f>
        <v>0</v>
      </c>
      <c r="O1057" s="450" t="n">
        <f aca="false">O1144-O992</f>
        <v>0</v>
      </c>
      <c r="P1057" s="223" t="n">
        <f aca="false">SUM(N1057:O1057)</f>
        <v>0</v>
      </c>
      <c r="Q1057" s="110" t="str">
        <f aca="false">IF(P602=P1057,"〇","×")</f>
        <v>×</v>
      </c>
    </row>
    <row r="1058" s="137" customFormat="true" ht="19.5" hidden="false" customHeight="true" outlineLevel="0" collapsed="false">
      <c r="A1058" s="138" t="s">
        <v>382</v>
      </c>
      <c r="B1058" s="449" t="n">
        <f aca="false">B1145-B993</f>
        <v>0</v>
      </c>
      <c r="C1058" s="377" t="n">
        <f aca="false">C1145-C993</f>
        <v>0</v>
      </c>
      <c r="D1058" s="449" t="n">
        <f aca="false">D1145-D993</f>
        <v>0</v>
      </c>
      <c r="E1058" s="462" t="n">
        <f aca="false">E1145-E993</f>
        <v>0</v>
      </c>
      <c r="F1058" s="454" t="n">
        <f aca="false">F1145-F993</f>
        <v>0</v>
      </c>
      <c r="G1058" s="143" t="n">
        <f aca="false">SUM(B1058:F1058)</f>
        <v>0</v>
      </c>
      <c r="H1058" s="448" t="n">
        <f aca="false">H1145-H993</f>
        <v>0</v>
      </c>
      <c r="I1058" s="450" t="n">
        <f aca="false">I1145-I993</f>
        <v>0</v>
      </c>
      <c r="J1058" s="223" t="n">
        <f aca="false">SUM(H1058:I1058)</f>
        <v>0</v>
      </c>
      <c r="K1058" s="448" t="n">
        <f aca="false">K1145-K993</f>
        <v>0</v>
      </c>
      <c r="L1058" s="450" t="n">
        <f aca="false">L1145-L993</f>
        <v>0</v>
      </c>
      <c r="M1058" s="450" t="n">
        <f aca="false">SUM(K1058:L1058)</f>
        <v>0</v>
      </c>
      <c r="N1058" s="448" t="n">
        <f aca="false">N1145-N993</f>
        <v>0</v>
      </c>
      <c r="O1058" s="450" t="n">
        <f aca="false">O1145-O993</f>
        <v>0</v>
      </c>
      <c r="P1058" s="223" t="n">
        <f aca="false">SUM(N1058:O1058)</f>
        <v>0</v>
      </c>
      <c r="Q1058" s="110" t="str">
        <f aca="false">IF(P603=P1058,"〇","×")</f>
        <v>〇</v>
      </c>
    </row>
    <row r="1059" s="137" customFormat="true" ht="19.5" hidden="false" customHeight="true" outlineLevel="0" collapsed="false">
      <c r="A1059" s="149" t="s">
        <v>382</v>
      </c>
      <c r="B1059" s="451" t="n">
        <f aca="false">B1146-B994</f>
        <v>0</v>
      </c>
      <c r="C1059" s="221" t="n">
        <f aca="false">C1146-C994</f>
        <v>0</v>
      </c>
      <c r="D1059" s="451" t="n">
        <f aca="false">D1146-D994</f>
        <v>0</v>
      </c>
      <c r="E1059" s="462" t="n">
        <f aca="false">E1146-E994</f>
        <v>0</v>
      </c>
      <c r="F1059" s="454" t="n">
        <f aca="false">F1146-F994</f>
        <v>0</v>
      </c>
      <c r="G1059" s="154" t="n">
        <f aca="false">SUM(B1059:F1059)</f>
        <v>0</v>
      </c>
      <c r="H1059" s="451" t="n">
        <f aca="false">H1146-H994</f>
        <v>0</v>
      </c>
      <c r="I1059" s="462" t="n">
        <f aca="false">I1146-I994</f>
        <v>0</v>
      </c>
      <c r="J1059" s="454" t="n">
        <f aca="false">SUM(H1059:I1059)</f>
        <v>0</v>
      </c>
      <c r="K1059" s="451" t="n">
        <f aca="false">K1146-K994</f>
        <v>0</v>
      </c>
      <c r="L1059" s="462" t="n">
        <f aca="false">L1146-L994</f>
        <v>0</v>
      </c>
      <c r="M1059" s="462" t="n">
        <f aca="false">SUM(K1059:L1059)</f>
        <v>0</v>
      </c>
      <c r="N1059" s="451" t="n">
        <f aca="false">N1146-N994</f>
        <v>0</v>
      </c>
      <c r="O1059" s="462" t="n">
        <f aca="false">O1146-O994</f>
        <v>0</v>
      </c>
      <c r="P1059" s="454" t="n">
        <f aca="false">SUM(N1059:O1059)</f>
        <v>0</v>
      </c>
      <c r="Q1059" s="110" t="str">
        <f aca="false">IF(P604=P1059,"〇","×")</f>
        <v>〇</v>
      </c>
    </row>
    <row r="1060" s="137" customFormat="true" ht="19.5" hidden="false" customHeight="true" outlineLevel="0" collapsed="false">
      <c r="A1060" s="149" t="s">
        <v>382</v>
      </c>
      <c r="B1060" s="449" t="n">
        <f aca="false">B1147-B995</f>
        <v>0</v>
      </c>
      <c r="C1060" s="377" t="n">
        <f aca="false">C1147-C995</f>
        <v>0</v>
      </c>
      <c r="D1060" s="449" t="n">
        <f aca="false">D1147-D995</f>
        <v>0</v>
      </c>
      <c r="E1060" s="463" t="n">
        <f aca="false">E1147-E995</f>
        <v>0</v>
      </c>
      <c r="F1060" s="223" t="n">
        <f aca="false">F1147-F995</f>
        <v>0</v>
      </c>
      <c r="G1060" s="143" t="n">
        <f aca="false">SUM(B1060:F1060)</f>
        <v>0</v>
      </c>
      <c r="H1060" s="449" t="n">
        <f aca="false">H1147-H995</f>
        <v>0</v>
      </c>
      <c r="I1060" s="463" t="n">
        <f aca="false">I1147-I995</f>
        <v>0</v>
      </c>
      <c r="J1060" s="223" t="n">
        <f aca="false">SUM(H1060:I1060)</f>
        <v>0</v>
      </c>
      <c r="K1060" s="449" t="n">
        <f aca="false">K1147-K995</f>
        <v>0</v>
      </c>
      <c r="L1060" s="463" t="n">
        <f aca="false">L1147-L995</f>
        <v>0</v>
      </c>
      <c r="M1060" s="463" t="n">
        <f aca="false">SUM(K1060:L1060)</f>
        <v>0</v>
      </c>
      <c r="N1060" s="449" t="n">
        <f aca="false">N1147-N995</f>
        <v>0</v>
      </c>
      <c r="O1060" s="463" t="n">
        <f aca="false">O1147-O995</f>
        <v>0</v>
      </c>
      <c r="P1060" s="223" t="n">
        <f aca="false">SUM(N1060:O1060)</f>
        <v>0</v>
      </c>
      <c r="Q1060" s="110" t="str">
        <f aca="false">IF(P605=P1060,"〇","×")</f>
        <v>〇</v>
      </c>
    </row>
    <row r="1061" s="137" customFormat="true" ht="19.5" hidden="false" customHeight="true" outlineLevel="0" collapsed="false">
      <c r="A1061" s="162" t="s">
        <v>382</v>
      </c>
      <c r="B1061" s="464" t="n">
        <f aca="false">B1148-B996</f>
        <v>0</v>
      </c>
      <c r="C1061" s="465" t="n">
        <f aca="false">C1148-C996</f>
        <v>0</v>
      </c>
      <c r="D1061" s="464" t="n">
        <f aca="false">D1148-D996</f>
        <v>0</v>
      </c>
      <c r="E1061" s="460" t="n">
        <f aca="false">E1148-E996</f>
        <v>0</v>
      </c>
      <c r="F1061" s="466" t="n">
        <f aca="false">F1148-F996</f>
        <v>0</v>
      </c>
      <c r="G1061" s="167" t="n">
        <f aca="false">SUM(B1061:F1061)</f>
        <v>0</v>
      </c>
      <c r="H1061" s="451" t="n">
        <f aca="false">H1148-H996</f>
        <v>0</v>
      </c>
      <c r="I1061" s="467" t="n">
        <f aca="false">I1148-I996</f>
        <v>0</v>
      </c>
      <c r="J1061" s="468" t="n">
        <f aca="false">SUM(H1061:I1061)</f>
        <v>0</v>
      </c>
      <c r="K1061" s="451" t="n">
        <f aca="false">K1148-K996</f>
        <v>0</v>
      </c>
      <c r="L1061" s="462" t="n">
        <f aca="false">L1148-L996</f>
        <v>0</v>
      </c>
      <c r="M1061" s="467" t="n">
        <f aca="false">SUM(K1061:L1061)</f>
        <v>0</v>
      </c>
      <c r="N1061" s="451" t="n">
        <f aca="false">N1148-N996</f>
        <v>0</v>
      </c>
      <c r="O1061" s="467" t="n">
        <f aca="false">O1148-O996</f>
        <v>0</v>
      </c>
      <c r="P1061" s="468" t="n">
        <f aca="false">SUM(N1061:O1061)</f>
        <v>0</v>
      </c>
      <c r="Q1061" s="110" t="str">
        <f aca="false">IF(P606=P1061,"〇","×")</f>
        <v>〇</v>
      </c>
    </row>
    <row r="1062" s="137" customFormat="true" ht="19.5" hidden="false" customHeight="true" outlineLevel="0" collapsed="false">
      <c r="A1062" s="171" t="s">
        <v>404</v>
      </c>
      <c r="B1062" s="172" t="n">
        <f aca="false">SUM(B1046:B1061)</f>
        <v>19214870</v>
      </c>
      <c r="C1062" s="173" t="n">
        <f aca="false">SUM(C1046:C1061)</f>
        <v>1572915</v>
      </c>
      <c r="D1062" s="172" t="n">
        <f aca="false">SUM(D1046:D1061)</f>
        <v>27360277</v>
      </c>
      <c r="E1062" s="174" t="n">
        <f aca="false">SUM(E1046:E1061)</f>
        <v>1513046</v>
      </c>
      <c r="F1062" s="175" t="n">
        <f aca="false">SUM(F1046:F1061)</f>
        <v>19664</v>
      </c>
      <c r="G1062" s="176" t="n">
        <f aca="false">SUM(B1062:F1062)</f>
        <v>49680772</v>
      </c>
      <c r="H1062" s="172" t="n">
        <f aca="false">SUM(H1046:H1061)</f>
        <v>14360728</v>
      </c>
      <c r="I1062" s="173" t="n">
        <f aca="false">SUM(I1046:I1061)</f>
        <v>14136426</v>
      </c>
      <c r="J1062" s="175" t="n">
        <f aca="false">SUM(H1062:I1062)</f>
        <v>28497154</v>
      </c>
      <c r="K1062" s="172" t="n">
        <f aca="false">SUM(K1046:K1061)</f>
        <v>1202802</v>
      </c>
      <c r="L1062" s="173" t="n">
        <f aca="false">SUM(L1046:L1061)</f>
        <v>1180080</v>
      </c>
      <c r="M1062" s="175" t="n">
        <f aca="false">SUM(K1062:L1062)</f>
        <v>2382882</v>
      </c>
      <c r="N1062" s="172" t="n">
        <f aca="false">SUM(N1046:N1061)</f>
        <v>11</v>
      </c>
      <c r="O1062" s="173" t="n">
        <f aca="false">SUM(O1046:O1061)</f>
        <v>11</v>
      </c>
      <c r="P1062" s="175" t="n">
        <f aca="false">SUM(N1062:O1062)</f>
        <v>22</v>
      </c>
      <c r="Q1062" s="110" t="str">
        <f aca="false">IF(P607=P1062,"〇","×")</f>
        <v>×</v>
      </c>
    </row>
    <row r="1063" s="110" customFormat="true" ht="20.1" hidden="false" customHeight="true" outlineLevel="0" collapsed="false">
      <c r="A1063" s="177" t="s">
        <v>172</v>
      </c>
      <c r="B1063" s="449" t="n">
        <f aca="false">B1150-B998</f>
        <v>0</v>
      </c>
      <c r="C1063" s="377" t="n">
        <f aca="false">C1150-C998</f>
        <v>0</v>
      </c>
      <c r="D1063" s="469" t="n">
        <f aca="false">D1150-D998</f>
        <v>0</v>
      </c>
      <c r="E1063" s="463" t="n">
        <f aca="false">E1150-E998</f>
        <v>0</v>
      </c>
      <c r="F1063" s="223" t="n">
        <f aca="false">F1150-F998</f>
        <v>0</v>
      </c>
      <c r="G1063" s="377" t="n">
        <f aca="false">SUM(B1063:F1063)</f>
        <v>0</v>
      </c>
      <c r="H1063" s="448" t="n">
        <f aca="false">H1150-H998</f>
        <v>0</v>
      </c>
      <c r="I1063" s="450" t="n">
        <f aca="false">I1150-I998</f>
        <v>0</v>
      </c>
      <c r="J1063" s="223" t="n">
        <f aca="false">SUM(H1063:I1063)</f>
        <v>0</v>
      </c>
      <c r="K1063" s="453" t="n">
        <f aca="false">K1150-K998</f>
        <v>0</v>
      </c>
      <c r="L1063" s="450" t="n">
        <f aca="false">L1150-L998</f>
        <v>0</v>
      </c>
      <c r="M1063" s="446" t="n">
        <f aca="false">SUM(K1063:L1063)</f>
        <v>0</v>
      </c>
      <c r="N1063" s="448" t="n">
        <f aca="false">N1150-N998</f>
        <v>0</v>
      </c>
      <c r="O1063" s="450" t="n">
        <f aca="false">O1150-O998</f>
        <v>0</v>
      </c>
      <c r="P1063" s="223" t="n">
        <f aca="false">SUM(N1063:O1063)</f>
        <v>0</v>
      </c>
      <c r="Q1063" s="110" t="str">
        <f aca="false">IF(P608=P1063,"〇","×")</f>
        <v>〇</v>
      </c>
    </row>
    <row r="1064" s="110" customFormat="true" ht="20.1" hidden="false" customHeight="true" outlineLevel="0" collapsed="false">
      <c r="A1064" s="100" t="s">
        <v>174</v>
      </c>
      <c r="B1064" s="449" t="n">
        <f aca="false">B1151-B999</f>
        <v>0</v>
      </c>
      <c r="C1064" s="377" t="n">
        <f aca="false">C1151-C999</f>
        <v>0</v>
      </c>
      <c r="D1064" s="464" t="n">
        <f aca="false">D1151-D999</f>
        <v>35318</v>
      </c>
      <c r="E1064" s="452" t="n">
        <f aca="false">E1151-E999</f>
        <v>2895</v>
      </c>
      <c r="F1064" s="223" t="n">
        <f aca="false">F1151-F999</f>
        <v>40</v>
      </c>
      <c r="G1064" s="377" t="n">
        <f aca="false">SUM(B1064:F1064)</f>
        <v>38253</v>
      </c>
      <c r="H1064" s="448" t="n">
        <f aca="false">H1151-H999</f>
        <v>0</v>
      </c>
      <c r="I1064" s="450" t="n">
        <f aca="false">I1151-I999</f>
        <v>23174</v>
      </c>
      <c r="J1064" s="223" t="n">
        <f aca="false">SUM(H1064:I1064)</f>
        <v>23174</v>
      </c>
      <c r="K1064" s="453" t="n">
        <f aca="false">K1151-K999</f>
        <v>0</v>
      </c>
      <c r="L1064" s="450" t="n">
        <f aca="false">L1151-L999</f>
        <v>2584</v>
      </c>
      <c r="M1064" s="223" t="n">
        <f aca="false">SUM(K1064:L1064)</f>
        <v>2584</v>
      </c>
      <c r="N1064" s="448" t="n">
        <f aca="false">N1151-N999</f>
        <v>0</v>
      </c>
      <c r="O1064" s="450" t="n">
        <f aca="false">O1151-O999</f>
        <v>1</v>
      </c>
      <c r="P1064" s="223" t="n">
        <f aca="false">SUM(N1064:O1064)</f>
        <v>1</v>
      </c>
      <c r="Q1064" s="110" t="str">
        <f aca="false">IF(P609=P1064,"〇","×")</f>
        <v>〇</v>
      </c>
    </row>
    <row r="1065" s="110" customFormat="true" ht="20.1" hidden="false" customHeight="true" outlineLevel="0" collapsed="false">
      <c r="A1065" s="100" t="s">
        <v>175</v>
      </c>
      <c r="B1065" s="449" t="n">
        <f aca="false">B1152-B1000</f>
        <v>0</v>
      </c>
      <c r="C1065" s="377" t="n">
        <f aca="false">C1152-C1000</f>
        <v>0</v>
      </c>
      <c r="D1065" s="451" t="n">
        <f aca="false">D1152-D1000</f>
        <v>98681</v>
      </c>
      <c r="E1065" s="453" t="n">
        <f aca="false">E1152-E1000</f>
        <v>8090</v>
      </c>
      <c r="F1065" s="223" t="n">
        <f aca="false">F1152-F1000</f>
        <v>101</v>
      </c>
      <c r="G1065" s="377" t="n">
        <f aca="false">SUM(B1065:F1065)</f>
        <v>106872</v>
      </c>
      <c r="H1065" s="448" t="n">
        <f aca="false">H1152-H1000</f>
        <v>0</v>
      </c>
      <c r="I1065" s="450" t="n">
        <f aca="false">I1152-I1000</f>
        <v>66823</v>
      </c>
      <c r="J1065" s="223" t="n">
        <f aca="false">SUM(H1065:I1065)</f>
        <v>66823</v>
      </c>
      <c r="K1065" s="453" t="n">
        <f aca="false">K1152-K1000</f>
        <v>0</v>
      </c>
      <c r="L1065" s="450" t="n">
        <f aca="false">L1152-L1000</f>
        <v>6661</v>
      </c>
      <c r="M1065" s="223" t="n">
        <f aca="false">SUM(K1065:L1065)</f>
        <v>6661</v>
      </c>
      <c r="N1065" s="448" t="n">
        <f aca="false">N1152-N1000</f>
        <v>0</v>
      </c>
      <c r="O1065" s="450" t="n">
        <f aca="false">O1152-O1000</f>
        <v>1</v>
      </c>
      <c r="P1065" s="223" t="n">
        <f aca="false">SUM(N1065:O1065)</f>
        <v>1</v>
      </c>
      <c r="Q1065" s="110" t="str">
        <f aca="false">IF(P610=P1065,"〇","×")</f>
        <v>〇</v>
      </c>
    </row>
    <row r="1066" s="110" customFormat="true" ht="20.1" hidden="false" customHeight="true" outlineLevel="0" collapsed="false">
      <c r="A1066" s="100" t="s">
        <v>176</v>
      </c>
      <c r="B1066" s="449" t="n">
        <f aca="false">B1153-B1001</f>
        <v>0</v>
      </c>
      <c r="C1066" s="377" t="n">
        <f aca="false">C1153-C1001</f>
        <v>0</v>
      </c>
      <c r="D1066" s="445" t="n">
        <f aca="false">D1153-D1001</f>
        <v>2562</v>
      </c>
      <c r="E1066" s="453" t="n">
        <f aca="false">E1153-E1001</f>
        <v>210</v>
      </c>
      <c r="F1066" s="223" t="n">
        <f aca="false">F1153-F1001</f>
        <v>3</v>
      </c>
      <c r="G1066" s="377" t="n">
        <f aca="false">SUM(B1066:F1066)</f>
        <v>2775</v>
      </c>
      <c r="H1066" s="448" t="n">
        <f aca="false">H1153-H1001</f>
        <v>0</v>
      </c>
      <c r="I1066" s="450" t="n">
        <f aca="false">I1153-I1001</f>
        <v>1543</v>
      </c>
      <c r="J1066" s="223" t="n">
        <f aca="false">SUM(H1066:I1066)</f>
        <v>1543</v>
      </c>
      <c r="K1066" s="453" t="n">
        <f aca="false">K1153-K1001</f>
        <v>0</v>
      </c>
      <c r="L1066" s="450" t="n">
        <f aca="false">L1153-L1001</f>
        <v>221</v>
      </c>
      <c r="M1066" s="223" t="n">
        <f aca="false">SUM(K1066:L1066)</f>
        <v>221</v>
      </c>
      <c r="N1066" s="448" t="n">
        <f aca="false">N1153-N1001</f>
        <v>0</v>
      </c>
      <c r="O1066" s="450" t="n">
        <f aca="false">O1153-O1001</f>
        <v>1</v>
      </c>
      <c r="P1066" s="223" t="n">
        <f aca="false">SUM(N1066:O1066)</f>
        <v>1</v>
      </c>
      <c r="Q1066" s="110" t="str">
        <f aca="false">IF(P611=P1066,"〇","×")</f>
        <v>〇</v>
      </c>
    </row>
    <row r="1067" s="110" customFormat="true" ht="20.1" hidden="false" customHeight="true" outlineLevel="0" collapsed="false">
      <c r="A1067" s="189" t="s">
        <v>177</v>
      </c>
      <c r="B1067" s="449" t="n">
        <f aca="false">B1154-B1002</f>
        <v>0</v>
      </c>
      <c r="C1067" s="377" t="n">
        <f aca="false">C1154-C1002</f>
        <v>0</v>
      </c>
      <c r="D1067" s="445" t="n">
        <f aca="false">D1154-D1002</f>
        <v>21915</v>
      </c>
      <c r="E1067" s="453" t="n">
        <f aca="false">E1154-E1002</f>
        <v>1796</v>
      </c>
      <c r="F1067" s="223" t="n">
        <f aca="false">F1154-F1002</f>
        <v>22</v>
      </c>
      <c r="G1067" s="377" t="n">
        <f aca="false">SUM(B1067:F1067)</f>
        <v>23733</v>
      </c>
      <c r="H1067" s="448" t="n">
        <f aca="false">H1154-H1002</f>
        <v>0</v>
      </c>
      <c r="I1067" s="450" t="n">
        <f aca="false">I1154-I1002</f>
        <v>13199</v>
      </c>
      <c r="J1067" s="223" t="n">
        <f aca="false">SUM(H1067:I1067)</f>
        <v>13199</v>
      </c>
      <c r="K1067" s="453" t="n">
        <f aca="false">K1154-K1002</f>
        <v>0</v>
      </c>
      <c r="L1067" s="450" t="n">
        <f aca="false">L1154-L1002</f>
        <v>1750</v>
      </c>
      <c r="M1067" s="223" t="n">
        <f aca="false">SUM(K1067:L1067)</f>
        <v>1750</v>
      </c>
      <c r="N1067" s="448" t="n">
        <f aca="false">N1154-N1002</f>
        <v>0</v>
      </c>
      <c r="O1067" s="450" t="n">
        <f aca="false">O1154-O1002</f>
        <v>1</v>
      </c>
      <c r="P1067" s="223" t="n">
        <f aca="false">SUM(N1067:O1067)</f>
        <v>1</v>
      </c>
      <c r="Q1067" s="110" t="str">
        <f aca="false">IF(P612=P1067,"〇","×")</f>
        <v>〇</v>
      </c>
    </row>
    <row r="1068" s="110" customFormat="true" ht="20.1" hidden="false" customHeight="true" outlineLevel="0" collapsed="false">
      <c r="A1068" s="121" t="s">
        <v>178</v>
      </c>
      <c r="B1068" s="449" t="n">
        <f aca="false">B1155-B1003</f>
        <v>0</v>
      </c>
      <c r="C1068" s="454" t="n">
        <f aca="false">C1155-C1003</f>
        <v>0</v>
      </c>
      <c r="D1068" s="445" t="n">
        <f aca="false">D1155-D1003</f>
        <v>4941</v>
      </c>
      <c r="E1068" s="453" t="n">
        <f aca="false">E1155-E1003</f>
        <v>405</v>
      </c>
      <c r="F1068" s="454" t="n">
        <f aca="false">F1155-F1003</f>
        <v>5</v>
      </c>
      <c r="G1068" s="377" t="n">
        <f aca="false">SUM(B1068:F1068)</f>
        <v>5351</v>
      </c>
      <c r="H1068" s="448" t="n">
        <f aca="false">H1155-H1003</f>
        <v>0</v>
      </c>
      <c r="I1068" s="456" t="n">
        <f aca="false">I1155-I1003</f>
        <v>2976</v>
      </c>
      <c r="J1068" s="223" t="n">
        <f aca="false">SUM(H1068:I1068)</f>
        <v>2976</v>
      </c>
      <c r="K1068" s="453" t="n">
        <f aca="false">K1155-K1003</f>
        <v>0</v>
      </c>
      <c r="L1068" s="456" t="n">
        <f aca="false">L1155-L1003</f>
        <v>426</v>
      </c>
      <c r="M1068" s="223" t="n">
        <f aca="false">SUM(K1068:L1068)</f>
        <v>426</v>
      </c>
      <c r="N1068" s="448" t="n">
        <f aca="false">N1155-N1003</f>
        <v>0</v>
      </c>
      <c r="O1068" s="456" t="n">
        <f aca="false">O1155-O1003</f>
        <v>1</v>
      </c>
      <c r="P1068" s="223" t="n">
        <f aca="false">SUM(N1068:O1068)</f>
        <v>1</v>
      </c>
      <c r="Q1068" s="110" t="str">
        <f aca="false">IF(P613=P1068,"〇","×")</f>
        <v>〇</v>
      </c>
    </row>
    <row r="1069" s="110" customFormat="true" ht="20.1" hidden="false" customHeight="true" outlineLevel="0" collapsed="false">
      <c r="A1069" s="121" t="s">
        <v>179</v>
      </c>
      <c r="B1069" s="449" t="n">
        <f aca="false">B1156-B1004</f>
        <v>0</v>
      </c>
      <c r="C1069" s="454" t="n">
        <f aca="false">C1156-C1004</f>
        <v>0</v>
      </c>
      <c r="D1069" s="451" t="n">
        <f aca="false">D1156-D1004</f>
        <v>2608</v>
      </c>
      <c r="E1069" s="453" t="n">
        <f aca="false">E1156-E1004</f>
        <v>214</v>
      </c>
      <c r="F1069" s="223" t="n">
        <f aca="false">F1156-F1004</f>
        <v>3</v>
      </c>
      <c r="G1069" s="377" t="n">
        <f aca="false">SUM(B1069:F1069)</f>
        <v>2825</v>
      </c>
      <c r="H1069" s="448" t="n">
        <f aca="false">H1156-H1004</f>
        <v>0</v>
      </c>
      <c r="I1069" s="450" t="n">
        <f aca="false">I1156-I1004</f>
        <v>1571</v>
      </c>
      <c r="J1069" s="223" t="n">
        <f aca="false">SUM(H1069:I1069)</f>
        <v>1571</v>
      </c>
      <c r="K1069" s="453" t="n">
        <f aca="false">K1156-K1004</f>
        <v>0</v>
      </c>
      <c r="L1069" s="450" t="n">
        <f aca="false">L1156-L1004</f>
        <v>225</v>
      </c>
      <c r="M1069" s="223" t="n">
        <f aca="false">SUM(K1069:L1069)</f>
        <v>225</v>
      </c>
      <c r="N1069" s="448" t="n">
        <f aca="false">N1156-N1004</f>
        <v>0</v>
      </c>
      <c r="O1069" s="450" t="n">
        <f aca="false">O1156-O1004</f>
        <v>1</v>
      </c>
      <c r="P1069" s="223" t="n">
        <f aca="false">SUM(N1069:O1069)</f>
        <v>1</v>
      </c>
      <c r="Q1069" s="110" t="str">
        <f aca="false">IF(P614=P1069,"〇","×")</f>
        <v>〇</v>
      </c>
    </row>
    <row r="1070" s="110" customFormat="true" ht="20.1" hidden="false" customHeight="true" outlineLevel="0" collapsed="false">
      <c r="A1070" s="192" t="s">
        <v>180</v>
      </c>
      <c r="B1070" s="449" t="n">
        <f aca="false">B1157-B1005</f>
        <v>0</v>
      </c>
      <c r="C1070" s="223" t="n">
        <f aca="false">C1157-C1005</f>
        <v>0</v>
      </c>
      <c r="D1070" s="449" t="n">
        <f aca="false">D1157-D1005</f>
        <v>6861</v>
      </c>
      <c r="E1070" s="453" t="n">
        <f aca="false">E1157-E1005</f>
        <v>563</v>
      </c>
      <c r="F1070" s="223" t="n">
        <f aca="false">F1157-F1005</f>
        <v>7</v>
      </c>
      <c r="G1070" s="377" t="n">
        <f aca="false">SUM(B1070:F1070)</f>
        <v>7431</v>
      </c>
      <c r="H1070" s="448" t="n">
        <f aca="false">H1157-H1005</f>
        <v>0</v>
      </c>
      <c r="I1070" s="450" t="n">
        <f aca="false">I1157-I1005</f>
        <v>4133</v>
      </c>
      <c r="J1070" s="223" t="n">
        <f aca="false">SUM(H1070:I1070)</f>
        <v>4133</v>
      </c>
      <c r="K1070" s="453" t="n">
        <f aca="false">K1157-K1005</f>
        <v>0</v>
      </c>
      <c r="L1070" s="450" t="n">
        <f aca="false">L1157-L1005</f>
        <v>380</v>
      </c>
      <c r="M1070" s="223" t="n">
        <f aca="false">SUM(K1070:L1070)</f>
        <v>380</v>
      </c>
      <c r="N1070" s="448" t="n">
        <f aca="false">N1157-N1005</f>
        <v>0</v>
      </c>
      <c r="O1070" s="450" t="n">
        <f aca="false">O1157-O1005</f>
        <v>1</v>
      </c>
      <c r="P1070" s="223" t="n">
        <f aca="false">SUM(N1070:O1070)</f>
        <v>1</v>
      </c>
      <c r="Q1070" s="110" t="str">
        <f aca="false">IF(P615=P1070,"〇","×")</f>
        <v>〇</v>
      </c>
    </row>
    <row r="1071" s="110" customFormat="true" ht="20.1" hidden="false" customHeight="true" outlineLevel="0" collapsed="false">
      <c r="A1071" s="121" t="s">
        <v>181</v>
      </c>
      <c r="B1071" s="451" t="n">
        <f aca="false">B1158-B1006</f>
        <v>20542</v>
      </c>
      <c r="C1071" s="223" t="n">
        <f aca="false">C1158-C1006</f>
        <v>1684</v>
      </c>
      <c r="D1071" s="449" t="n">
        <f aca="false">D1158-D1006</f>
        <v>20542</v>
      </c>
      <c r="E1071" s="453" t="n">
        <f aca="false">E1158-E1006</f>
        <v>1684</v>
      </c>
      <c r="F1071" s="223" t="n">
        <f aca="false">F1158-F1006</f>
        <v>21</v>
      </c>
      <c r="G1071" s="377" t="n">
        <f aca="false">SUM(B1071:F1071)</f>
        <v>44473</v>
      </c>
      <c r="H1071" s="448" t="n">
        <f aca="false">H1158-H1006</f>
        <v>12350</v>
      </c>
      <c r="I1071" s="450" t="n">
        <f aca="false">I1158-I1006</f>
        <v>12373</v>
      </c>
      <c r="J1071" s="223" t="n">
        <f aca="false">SUM(H1071:I1071)</f>
        <v>24723</v>
      </c>
      <c r="K1071" s="453" t="n">
        <f aca="false">K1158-K1006</f>
        <v>668</v>
      </c>
      <c r="L1071" s="450" t="n">
        <f aca="false">L1158-L1006</f>
        <v>668</v>
      </c>
      <c r="M1071" s="223" t="n">
        <f aca="false">SUM(K1071:L1071)</f>
        <v>1336</v>
      </c>
      <c r="N1071" s="448" t="n">
        <f aca="false">N1158-N1006</f>
        <v>1</v>
      </c>
      <c r="O1071" s="450" t="n">
        <f aca="false">O1158-O1006</f>
        <v>1</v>
      </c>
      <c r="P1071" s="223" t="n">
        <f aca="false">SUM(N1071:O1071)</f>
        <v>2</v>
      </c>
      <c r="Q1071" s="110" t="str">
        <f aca="false">IF(P616=P1071,"〇","×")</f>
        <v>〇</v>
      </c>
    </row>
    <row r="1072" s="110" customFormat="true" ht="20.1" hidden="false" customHeight="true" outlineLevel="0" collapsed="false">
      <c r="A1072" s="194" t="s">
        <v>182</v>
      </c>
      <c r="B1072" s="449" t="n">
        <f aca="false">B1159-B1007</f>
        <v>3157</v>
      </c>
      <c r="C1072" s="223" t="n">
        <f aca="false">C1159-C1007</f>
        <v>259</v>
      </c>
      <c r="D1072" s="449" t="n">
        <f aca="false">D1159-D1007</f>
        <v>3157</v>
      </c>
      <c r="E1072" s="453" t="n">
        <f aca="false">E1159-E1007</f>
        <v>259</v>
      </c>
      <c r="F1072" s="223" t="n">
        <f aca="false">F1159-F1007</f>
        <v>4</v>
      </c>
      <c r="G1072" s="221" t="n">
        <f aca="false">SUM(B1072:F1072)</f>
        <v>6836</v>
      </c>
      <c r="H1072" s="448" t="n">
        <f aca="false">H1159-H1007</f>
        <v>1898</v>
      </c>
      <c r="I1072" s="450" t="n">
        <f aca="false">I1159-I1007</f>
        <v>1902</v>
      </c>
      <c r="J1072" s="223" t="n">
        <f aca="false">SUM(H1072:I1072)</f>
        <v>3800</v>
      </c>
      <c r="K1072" s="453" t="n">
        <f aca="false">K1159-K1007</f>
        <v>0</v>
      </c>
      <c r="L1072" s="450" t="n">
        <f aca="false">L1159-L1007</f>
        <v>0</v>
      </c>
      <c r="M1072" s="223" t="n">
        <f aca="false">SUM(K1072:L1072)</f>
        <v>0</v>
      </c>
      <c r="N1072" s="448" t="n">
        <f aca="false">N1159-N1007</f>
        <v>1</v>
      </c>
      <c r="O1072" s="450" t="n">
        <f aca="false">O1159-O1007</f>
        <v>1</v>
      </c>
      <c r="P1072" s="223" t="n">
        <f aca="false">SUM(N1072:O1072)</f>
        <v>2</v>
      </c>
      <c r="Q1072" s="110" t="str">
        <f aca="false">IF(P617=P1072,"〇","×")</f>
        <v>〇</v>
      </c>
    </row>
    <row r="1073" s="110" customFormat="true" ht="20.1" hidden="false" customHeight="true" outlineLevel="0" collapsed="false">
      <c r="A1073" s="197" t="s">
        <v>183</v>
      </c>
      <c r="B1073" s="449" t="n">
        <f aca="false">B1160-B1008</f>
        <v>7320</v>
      </c>
      <c r="C1073" s="223" t="n">
        <f aca="false">C1160-C1008</f>
        <v>600</v>
      </c>
      <c r="D1073" s="449" t="n">
        <f aca="false">D1160-D1008</f>
        <v>7321</v>
      </c>
      <c r="E1073" s="453" t="n">
        <f aca="false">E1160-E1008</f>
        <v>601</v>
      </c>
      <c r="F1073" s="223" t="n">
        <f aca="false">F1160-F1008</f>
        <v>7</v>
      </c>
      <c r="G1073" s="377" t="n">
        <f aca="false">SUM(B1073:F1073)</f>
        <v>15849</v>
      </c>
      <c r="H1073" s="448" t="n">
        <f aca="false">H1160-H1008</f>
        <v>4402</v>
      </c>
      <c r="I1073" s="450" t="n">
        <f aca="false">I1160-I1008</f>
        <v>4409</v>
      </c>
      <c r="J1073" s="223" t="n">
        <f aca="false">SUM(H1073:I1073)</f>
        <v>8811</v>
      </c>
      <c r="K1073" s="453" t="n">
        <f aca="false">K1160-K1008</f>
        <v>324</v>
      </c>
      <c r="L1073" s="450" t="n">
        <f aca="false">L1160-L1008</f>
        <v>324</v>
      </c>
      <c r="M1073" s="223" t="n">
        <f aca="false">SUM(K1073:L1073)</f>
        <v>648</v>
      </c>
      <c r="N1073" s="448" t="n">
        <f aca="false">N1160-N1008</f>
        <v>1</v>
      </c>
      <c r="O1073" s="450" t="n">
        <f aca="false">O1160-O1008</f>
        <v>1</v>
      </c>
      <c r="P1073" s="223" t="n">
        <f aca="false">SUM(N1073:O1073)</f>
        <v>2</v>
      </c>
      <c r="Q1073" s="110" t="str">
        <f aca="false">IF(P618=P1073,"〇","×")</f>
        <v>〇</v>
      </c>
    </row>
    <row r="1074" s="110" customFormat="true" ht="20.1" hidden="false" customHeight="true" outlineLevel="0" collapsed="false">
      <c r="A1074" s="100" t="s">
        <v>184</v>
      </c>
      <c r="B1074" s="464" t="n">
        <f aca="false">B1161-B1009</f>
        <v>47212</v>
      </c>
      <c r="C1074" s="454" t="n">
        <f aca="false">C1161-C1009</f>
        <v>3868</v>
      </c>
      <c r="D1074" s="464" t="n">
        <f aca="false">D1161-D1009</f>
        <v>47214</v>
      </c>
      <c r="E1074" s="470" t="n">
        <f aca="false">E1161-E1009</f>
        <v>3870</v>
      </c>
      <c r="F1074" s="466" t="n">
        <f aca="false">F1161-F1009</f>
        <v>50</v>
      </c>
      <c r="G1074" s="377" t="n">
        <f aca="false">SUM(B1074:F1074)</f>
        <v>102214</v>
      </c>
      <c r="H1074" s="471" t="n">
        <f aca="false">H1161-H1009</f>
        <v>29266</v>
      </c>
      <c r="I1074" s="472" t="n">
        <f aca="false">I1161-I1009</f>
        <v>29320</v>
      </c>
      <c r="J1074" s="223" t="n">
        <f aca="false">SUM(H1074:I1074)</f>
        <v>58586</v>
      </c>
      <c r="K1074" s="470" t="n">
        <f aca="false">K1161-K1009</f>
        <v>2587</v>
      </c>
      <c r="L1074" s="472" t="n">
        <f aca="false">L1161-L1009</f>
        <v>2588</v>
      </c>
      <c r="M1074" s="223" t="n">
        <f aca="false">SUM(K1074:L1074)</f>
        <v>5175</v>
      </c>
      <c r="N1074" s="471" t="n">
        <f aca="false">N1161-N1009</f>
        <v>1</v>
      </c>
      <c r="O1074" s="472" t="n">
        <f aca="false">O1161-O1009</f>
        <v>1</v>
      </c>
      <c r="P1074" s="223" t="n">
        <f aca="false">SUM(N1074:O1074)</f>
        <v>2</v>
      </c>
      <c r="Q1074" s="110" t="str">
        <f aca="false">IF(P619=P1074,"〇","×")</f>
        <v>〇</v>
      </c>
    </row>
    <row r="1075" s="110" customFormat="true" ht="20.1" hidden="false" customHeight="true" outlineLevel="0" collapsed="false">
      <c r="A1075" s="100" t="s">
        <v>185</v>
      </c>
      <c r="B1075" s="451" t="n">
        <f aca="false">B1162-B1010</f>
        <v>0</v>
      </c>
      <c r="C1075" s="454" t="n">
        <f aca="false">C1162-C1010</f>
        <v>0</v>
      </c>
      <c r="D1075" s="451" t="n">
        <f aca="false">D1162-D1010</f>
        <v>31614</v>
      </c>
      <c r="E1075" s="473" t="n">
        <f aca="false">E1162-E1010</f>
        <v>2592</v>
      </c>
      <c r="F1075" s="454" t="n">
        <f aca="false">F1162-F1010</f>
        <v>34</v>
      </c>
      <c r="G1075" s="377" t="n">
        <f aca="false">SUM(B1075:F1075)</f>
        <v>34240</v>
      </c>
      <c r="H1075" s="455" t="n">
        <f aca="false">H1162-H1010</f>
        <v>0</v>
      </c>
      <c r="I1075" s="456" t="n">
        <f aca="false">I1162-I1010</f>
        <v>19042</v>
      </c>
      <c r="J1075" s="223" t="n">
        <f aca="false">SUM(H1075:I1075)</f>
        <v>19042</v>
      </c>
      <c r="K1075" s="473" t="n">
        <f aca="false">K1162-K1010</f>
        <v>0</v>
      </c>
      <c r="L1075" s="456" t="n">
        <f aca="false">L1162-L1010</f>
        <v>1434</v>
      </c>
      <c r="M1075" s="223" t="n">
        <f aca="false">SUM(K1075:L1075)</f>
        <v>1434</v>
      </c>
      <c r="N1075" s="455" t="n">
        <f aca="false">N1162-N1010</f>
        <v>0</v>
      </c>
      <c r="O1075" s="456" t="n">
        <f aca="false">O1162-O1010</f>
        <v>1</v>
      </c>
      <c r="P1075" s="223" t="n">
        <f aca="false">SUM(N1075:O1075)</f>
        <v>1</v>
      </c>
      <c r="Q1075" s="110" t="str">
        <f aca="false">IF(P620=P1075,"〇","×")</f>
        <v>〇</v>
      </c>
    </row>
    <row r="1076" s="110" customFormat="true" ht="20.1" hidden="false" customHeight="true" outlineLevel="0" collapsed="false">
      <c r="A1076" s="203" t="s">
        <v>186</v>
      </c>
      <c r="B1076" s="449" t="n">
        <f aca="false">B1163-B1011</f>
        <v>0</v>
      </c>
      <c r="C1076" s="223" t="n">
        <f aca="false">C1163-C1011</f>
        <v>0</v>
      </c>
      <c r="D1076" s="449" t="n">
        <f aca="false">D1163-D1011</f>
        <v>64508</v>
      </c>
      <c r="E1076" s="453" t="n">
        <f aca="false">E1163-E1011</f>
        <v>5287</v>
      </c>
      <c r="F1076" s="454" t="n">
        <f aca="false">F1163-F1011</f>
        <v>67</v>
      </c>
      <c r="G1076" s="377" t="n">
        <f aca="false">SUM(B1076:F1076)</f>
        <v>69862</v>
      </c>
      <c r="H1076" s="448" t="n">
        <f aca="false">H1163-H1011</f>
        <v>0</v>
      </c>
      <c r="I1076" s="456" t="n">
        <f aca="false">I1163-I1011</f>
        <v>38853</v>
      </c>
      <c r="J1076" s="223" t="n">
        <f aca="false">SUM(H1076:I1076)</f>
        <v>38853</v>
      </c>
      <c r="K1076" s="453" t="n">
        <f aca="false">K1163-K1011</f>
        <v>0</v>
      </c>
      <c r="L1076" s="456" t="n">
        <f aca="false">L1163-L1011</f>
        <v>5218</v>
      </c>
      <c r="M1076" s="223" t="n">
        <f aca="false">SUM(K1076:L1076)</f>
        <v>5218</v>
      </c>
      <c r="N1076" s="448" t="n">
        <f aca="false">N1163-N1011</f>
        <v>0</v>
      </c>
      <c r="O1076" s="456" t="n">
        <f aca="false">O1163-O1011</f>
        <v>1</v>
      </c>
      <c r="P1076" s="223" t="n">
        <f aca="false">SUM(N1076:O1076)</f>
        <v>1</v>
      </c>
      <c r="Q1076" s="110" t="str">
        <f aca="false">IF(P621=P1076,"〇","×")</f>
        <v>〇</v>
      </c>
    </row>
    <row r="1077" s="110" customFormat="true" ht="20.1" hidden="false" customHeight="true" outlineLevel="0" collapsed="false">
      <c r="A1077" s="204" t="s">
        <v>187</v>
      </c>
      <c r="B1077" s="449" t="n">
        <f aca="false">B1164-B1012</f>
        <v>0</v>
      </c>
      <c r="C1077" s="223" t="n">
        <f aca="false">C1164-C1012</f>
        <v>0</v>
      </c>
      <c r="D1077" s="449" t="n">
        <f aca="false">D1164-D1012</f>
        <v>0</v>
      </c>
      <c r="E1077" s="453" t="n">
        <f aca="false">E1164-E1012</f>
        <v>0</v>
      </c>
      <c r="F1077" s="454" t="n">
        <f aca="false">F1164-F1012</f>
        <v>0</v>
      </c>
      <c r="G1077" s="377" t="n">
        <f aca="false">SUM(B1077:F1077)</f>
        <v>0</v>
      </c>
      <c r="H1077" s="448" t="n">
        <f aca="false">H1164-H1012</f>
        <v>0</v>
      </c>
      <c r="I1077" s="456" t="n">
        <f aca="false">I1164-I1012</f>
        <v>0</v>
      </c>
      <c r="J1077" s="223" t="n">
        <f aca="false">SUM(H1077:I1077)</f>
        <v>0</v>
      </c>
      <c r="K1077" s="453" t="n">
        <f aca="false">K1164-K1012</f>
        <v>0</v>
      </c>
      <c r="L1077" s="456" t="n">
        <f aca="false">L1164-L1012</f>
        <v>0</v>
      </c>
      <c r="M1077" s="223" t="n">
        <f aca="false">SUM(K1077:L1077)</f>
        <v>0</v>
      </c>
      <c r="N1077" s="448" t="n">
        <f aca="false">N1164-N1012</f>
        <v>0</v>
      </c>
      <c r="O1077" s="456" t="n">
        <f aca="false">O1164-O1012</f>
        <v>0</v>
      </c>
      <c r="P1077" s="223" t="n">
        <f aca="false">SUM(N1077:O1077)</f>
        <v>0</v>
      </c>
      <c r="Q1077" s="110" t="str">
        <f aca="false">IF(P622=P1077,"〇","×")</f>
        <v>〇</v>
      </c>
    </row>
    <row r="1078" s="110" customFormat="true" ht="20.1" hidden="false" customHeight="true" outlineLevel="0" collapsed="false">
      <c r="A1078" s="100" t="s">
        <v>188</v>
      </c>
      <c r="B1078" s="449" t="n">
        <f aca="false">B1165-B1013</f>
        <v>0</v>
      </c>
      <c r="C1078" s="223" t="n">
        <f aca="false">C1165-C1013</f>
        <v>0</v>
      </c>
      <c r="D1078" s="449" t="n">
        <f aca="false">D1165-D1013</f>
        <v>22739</v>
      </c>
      <c r="E1078" s="453" t="n">
        <f aca="false">E1165-E1013</f>
        <v>1865</v>
      </c>
      <c r="F1078" s="454" t="n">
        <f aca="false">F1165-F1013</f>
        <v>23</v>
      </c>
      <c r="G1078" s="377" t="n">
        <f aca="false">SUM(B1078:F1078)</f>
        <v>24627</v>
      </c>
      <c r="H1078" s="448" t="n">
        <f aca="false">H1165-H1013</f>
        <v>0</v>
      </c>
      <c r="I1078" s="456" t="n">
        <f aca="false">I1165-I1013</f>
        <v>13695</v>
      </c>
      <c r="J1078" s="223" t="n">
        <f aca="false">SUM(H1078:I1078)</f>
        <v>13695</v>
      </c>
      <c r="K1078" s="453" t="n">
        <f aca="false">K1165-K1013</f>
        <v>0</v>
      </c>
      <c r="L1078" s="456" t="n">
        <f aca="false">L1165-L1013</f>
        <v>1965</v>
      </c>
      <c r="M1078" s="223" t="n">
        <f aca="false">SUM(K1078:L1078)</f>
        <v>1965</v>
      </c>
      <c r="N1078" s="448" t="n">
        <f aca="false">N1165-N1013</f>
        <v>0</v>
      </c>
      <c r="O1078" s="456" t="n">
        <f aca="false">O1165-O1013</f>
        <v>1</v>
      </c>
      <c r="P1078" s="223" t="n">
        <f aca="false">SUM(N1078:O1078)</f>
        <v>1</v>
      </c>
      <c r="Q1078" s="110" t="str">
        <f aca="false">IF(P623=P1078,"〇","×")</f>
        <v>〇</v>
      </c>
    </row>
    <row r="1079" s="110" customFormat="true" ht="20.1" hidden="false" customHeight="true" outlineLevel="0" collapsed="false">
      <c r="A1079" s="121" t="s">
        <v>189</v>
      </c>
      <c r="B1079" s="449" t="n">
        <f aca="false">B1166-B1014</f>
        <v>7778</v>
      </c>
      <c r="C1079" s="223" t="n">
        <f aca="false">C1166-C1014</f>
        <v>638</v>
      </c>
      <c r="D1079" s="449" t="n">
        <f aca="false">D1166-D1014</f>
        <v>7777</v>
      </c>
      <c r="E1079" s="453" t="n">
        <f aca="false">E1166-E1014</f>
        <v>638</v>
      </c>
      <c r="F1079" s="454" t="n">
        <f aca="false">F1166-F1014</f>
        <v>8</v>
      </c>
      <c r="G1079" s="377" t="n">
        <f aca="false">SUM(B1079:F1079)</f>
        <v>16839</v>
      </c>
      <c r="H1079" s="448" t="n">
        <f aca="false">H1166-H1014</f>
        <v>4675</v>
      </c>
      <c r="I1079" s="456" t="n">
        <f aca="false">I1166-I1014</f>
        <v>4685</v>
      </c>
      <c r="J1079" s="223" t="n">
        <f aca="false">SUM(H1079:I1079)</f>
        <v>9360</v>
      </c>
      <c r="K1079" s="453" t="n">
        <f aca="false">K1166-K1014</f>
        <v>466</v>
      </c>
      <c r="L1079" s="456" t="n">
        <f aca="false">L1166-L1014</f>
        <v>466</v>
      </c>
      <c r="M1079" s="223" t="n">
        <f aca="false">SUM(K1079:L1079)</f>
        <v>932</v>
      </c>
      <c r="N1079" s="448" t="n">
        <f aca="false">N1166-N1014</f>
        <v>1</v>
      </c>
      <c r="O1079" s="456" t="n">
        <f aca="false">O1166-O1014</f>
        <v>1</v>
      </c>
      <c r="P1079" s="223" t="n">
        <f aca="false">SUM(N1079:O1079)</f>
        <v>2</v>
      </c>
      <c r="Q1079" s="110" t="str">
        <f aca="false">IF(P624=P1079,"〇","×")</f>
        <v>〇</v>
      </c>
    </row>
    <row r="1080" s="110" customFormat="true" ht="20.1" hidden="false" customHeight="true" outlineLevel="0" collapsed="false">
      <c r="A1080" s="206" t="s">
        <v>190</v>
      </c>
      <c r="B1080" s="451" t="n">
        <f aca="false">B1167-B1015</f>
        <v>0</v>
      </c>
      <c r="C1080" s="454" t="n">
        <f aca="false">C1167-C1015</f>
        <v>0</v>
      </c>
      <c r="D1080" s="451" t="n">
        <f aca="false">D1167-D1015</f>
        <v>21640</v>
      </c>
      <c r="E1080" s="473" t="n">
        <f aca="false">E1167-E1015</f>
        <v>1774</v>
      </c>
      <c r="F1080" s="454" t="n">
        <f aca="false">F1167-F1015</f>
        <v>22</v>
      </c>
      <c r="G1080" s="377" t="n">
        <f aca="false">SUM(B1080:F1080)</f>
        <v>23436</v>
      </c>
      <c r="H1080" s="455" t="n">
        <f aca="false">H1167-H1015</f>
        <v>0</v>
      </c>
      <c r="I1080" s="456" t="n">
        <f aca="false">I1167-I1015</f>
        <v>14191</v>
      </c>
      <c r="J1080" s="223" t="n">
        <f aca="false">SUM(H1080:I1080)</f>
        <v>14191</v>
      </c>
      <c r="K1080" s="473" t="n">
        <f aca="false">K1167-K1015</f>
        <v>0</v>
      </c>
      <c r="L1080" s="456" t="n">
        <f aca="false">L1167-L1015</f>
        <v>1221</v>
      </c>
      <c r="M1080" s="223" t="n">
        <f aca="false">SUM(K1080:L1080)</f>
        <v>1221</v>
      </c>
      <c r="N1080" s="455" t="n">
        <f aca="false">N1167-N1015</f>
        <v>0</v>
      </c>
      <c r="O1080" s="456" t="n">
        <f aca="false">O1167-O1015</f>
        <v>1</v>
      </c>
      <c r="P1080" s="223" t="n">
        <f aca="false">SUM(N1080:O1080)</f>
        <v>1</v>
      </c>
      <c r="Q1080" s="110" t="str">
        <f aca="false">IF(P625=P1080,"〇","×")</f>
        <v>〇</v>
      </c>
    </row>
    <row r="1081" s="110" customFormat="true" ht="20.1" hidden="false" customHeight="true" outlineLevel="0" collapsed="false">
      <c r="A1081" s="121" t="s">
        <v>191</v>
      </c>
      <c r="B1081" s="449" t="n">
        <f aca="false">B1168-B1016</f>
        <v>2837</v>
      </c>
      <c r="C1081" s="223" t="n">
        <f aca="false">C1168-C1016</f>
        <v>233</v>
      </c>
      <c r="D1081" s="449" t="n">
        <f aca="false">D1168-D1016</f>
        <v>2836</v>
      </c>
      <c r="E1081" s="453" t="n">
        <f aca="false">E1168-E1016</f>
        <v>233</v>
      </c>
      <c r="F1081" s="223" t="n">
        <f aca="false">F1168-F1016</f>
        <v>3</v>
      </c>
      <c r="G1081" s="377" t="n">
        <f aca="false">SUM(B1081:F1081)</f>
        <v>6142</v>
      </c>
      <c r="H1081" s="448" t="n">
        <f aca="false">H1168-H1016</f>
        <v>1706</v>
      </c>
      <c r="I1081" s="450" t="n">
        <f aca="false">I1168-I1016</f>
        <v>1709</v>
      </c>
      <c r="J1081" s="223" t="n">
        <f aca="false">SUM(H1081:I1081)</f>
        <v>3415</v>
      </c>
      <c r="K1081" s="453" t="n">
        <f aca="false">K1168-K1016</f>
        <v>245</v>
      </c>
      <c r="L1081" s="450" t="n">
        <f aca="false">L1168-L1016</f>
        <v>245</v>
      </c>
      <c r="M1081" s="223" t="n">
        <f aca="false">SUM(K1081:L1081)</f>
        <v>490</v>
      </c>
      <c r="N1081" s="448" t="n">
        <f aca="false">N1168-N1016</f>
        <v>1</v>
      </c>
      <c r="O1081" s="450" t="n">
        <f aca="false">O1168-O1016</f>
        <v>1</v>
      </c>
      <c r="P1081" s="223" t="n">
        <f aca="false">SUM(N1081:O1081)</f>
        <v>2</v>
      </c>
      <c r="Q1081" s="110" t="str">
        <f aca="false">IF(P626=P1081,"〇","×")</f>
        <v>〇</v>
      </c>
    </row>
    <row r="1082" s="110" customFormat="true" ht="20.1" hidden="false" customHeight="true" outlineLevel="0" collapsed="false">
      <c r="A1082" s="189" t="s">
        <v>192</v>
      </c>
      <c r="B1082" s="451" t="n">
        <f aca="false">B1169-B1017</f>
        <v>1053</v>
      </c>
      <c r="C1082" s="223" t="n">
        <f aca="false">C1169-C1017</f>
        <v>87</v>
      </c>
      <c r="D1082" s="449" t="n">
        <f aca="false">D1169-D1017</f>
        <v>1052</v>
      </c>
      <c r="E1082" s="453" t="n">
        <f aca="false">E1169-E1017</f>
        <v>87</v>
      </c>
      <c r="F1082" s="223" t="n">
        <f aca="false">F1169-F1017</f>
        <v>1</v>
      </c>
      <c r="G1082" s="377" t="n">
        <f aca="false">SUM(B1082:F1082)</f>
        <v>2280</v>
      </c>
      <c r="H1082" s="448" t="n">
        <f aca="false">H1169-H1017</f>
        <v>3026</v>
      </c>
      <c r="I1082" s="450" t="n">
        <f aca="false">I1169-I1017</f>
        <v>3031</v>
      </c>
      <c r="J1082" s="223" t="n">
        <f aca="false">SUM(H1082:I1082)</f>
        <v>6057</v>
      </c>
      <c r="K1082" s="453" t="n">
        <f aca="false">K1169-K1017</f>
        <v>435</v>
      </c>
      <c r="L1082" s="450" t="n">
        <f aca="false">L1169-L1017</f>
        <v>435</v>
      </c>
      <c r="M1082" s="223" t="n">
        <f aca="false">SUM(K1082:L1082)</f>
        <v>870</v>
      </c>
      <c r="N1082" s="448" t="n">
        <f aca="false">N1169-N1017</f>
        <v>1</v>
      </c>
      <c r="O1082" s="450" t="n">
        <f aca="false">O1169-O1017</f>
        <v>1</v>
      </c>
      <c r="P1082" s="223" t="n">
        <f aca="false">SUM(N1082:O1082)</f>
        <v>2</v>
      </c>
      <c r="Q1082" s="110" t="str">
        <f aca="false">IF(P627=P1082,"〇","×")</f>
        <v>〇</v>
      </c>
    </row>
    <row r="1083" s="110" customFormat="true" ht="20.1" hidden="false" customHeight="true" outlineLevel="0" collapsed="false">
      <c r="A1083" s="189" t="s">
        <v>193</v>
      </c>
      <c r="B1083" s="449" t="n">
        <f aca="false">B1170-B1018</f>
        <v>1876</v>
      </c>
      <c r="C1083" s="223" t="n">
        <f aca="false">C1170-C1018</f>
        <v>154</v>
      </c>
      <c r="D1083" s="449" t="n">
        <f aca="false">D1170-D1018</f>
        <v>1876</v>
      </c>
      <c r="E1083" s="453" t="n">
        <f aca="false">E1170-E1018</f>
        <v>154</v>
      </c>
      <c r="F1083" s="223" t="n">
        <f aca="false">F1170-F1018</f>
        <v>2</v>
      </c>
      <c r="G1083" s="377" t="n">
        <f aca="false">SUM(B1083:F1083)</f>
        <v>4062</v>
      </c>
      <c r="H1083" s="448" t="n">
        <f aca="false">H1170-H1018</f>
        <v>1128</v>
      </c>
      <c r="I1083" s="450" t="n">
        <f aca="false">I1170-I1018</f>
        <v>1130</v>
      </c>
      <c r="J1083" s="223" t="n">
        <f aca="false">SUM(H1083:I1083)</f>
        <v>2258</v>
      </c>
      <c r="K1083" s="453" t="n">
        <f aca="false">K1170-K1018</f>
        <v>0</v>
      </c>
      <c r="L1083" s="450" t="n">
        <f aca="false">L1170-L1018</f>
        <v>0</v>
      </c>
      <c r="M1083" s="223" t="n">
        <f aca="false">SUM(K1083:L1083)</f>
        <v>0</v>
      </c>
      <c r="N1083" s="448" t="n">
        <f aca="false">N1170-N1018</f>
        <v>1</v>
      </c>
      <c r="O1083" s="450" t="n">
        <f aca="false">O1170-O1018</f>
        <v>1</v>
      </c>
      <c r="P1083" s="223" t="n">
        <f aca="false">SUM(N1083:O1083)</f>
        <v>2</v>
      </c>
      <c r="Q1083" s="110" t="str">
        <f aca="false">IF(P628=P1083,"〇","×")</f>
        <v>〇</v>
      </c>
    </row>
    <row r="1084" s="110" customFormat="true" ht="20.1" hidden="false" customHeight="true" outlineLevel="0" collapsed="false">
      <c r="A1084" s="121" t="s">
        <v>194</v>
      </c>
      <c r="B1084" s="449" t="n">
        <f aca="false">B1171-B1019</f>
        <v>66201</v>
      </c>
      <c r="C1084" s="223" t="n">
        <f aca="false">C1171-C1019</f>
        <v>5427</v>
      </c>
      <c r="D1084" s="449" t="n">
        <f aca="false">D1171-D1019</f>
        <v>66201</v>
      </c>
      <c r="E1084" s="453" t="n">
        <f aca="false">E1171-E1019</f>
        <v>5427</v>
      </c>
      <c r="F1084" s="223" t="n">
        <f aca="false">F1171-F1019</f>
        <v>71</v>
      </c>
      <c r="G1084" s="377" t="n">
        <f aca="false">SUM(B1084:F1084)</f>
        <v>143327</v>
      </c>
      <c r="H1084" s="448" t="n">
        <f aca="false">H1171-H1019</f>
        <v>39799</v>
      </c>
      <c r="I1084" s="450" t="n">
        <f aca="false">I1171-I1019</f>
        <v>39874</v>
      </c>
      <c r="J1084" s="223" t="n">
        <f aca="false">SUM(H1084:I1084)</f>
        <v>79673</v>
      </c>
      <c r="K1084" s="453" t="n">
        <f aca="false">K1171-K1019</f>
        <v>3369</v>
      </c>
      <c r="L1084" s="450" t="n">
        <f aca="false">L1171-L1019</f>
        <v>3369</v>
      </c>
      <c r="M1084" s="223" t="n">
        <f aca="false">SUM(K1084:L1084)</f>
        <v>6738</v>
      </c>
      <c r="N1084" s="448" t="n">
        <f aca="false">N1171-N1019</f>
        <v>1</v>
      </c>
      <c r="O1084" s="450" t="n">
        <f aca="false">O1171-O1019</f>
        <v>1</v>
      </c>
      <c r="P1084" s="223" t="n">
        <f aca="false">SUM(N1084:O1084)</f>
        <v>2</v>
      </c>
      <c r="Q1084" s="110" t="str">
        <f aca="false">IF(P629=P1084,"〇","×")</f>
        <v>〇</v>
      </c>
    </row>
    <row r="1085" s="110" customFormat="true" ht="20.1" hidden="false" customHeight="true" outlineLevel="0" collapsed="false">
      <c r="A1085" s="121" t="s">
        <v>195</v>
      </c>
      <c r="B1085" s="451" t="n">
        <f aca="false">B1172-B1020</f>
        <v>0</v>
      </c>
      <c r="C1085" s="454" t="n">
        <f aca="false">C1172-C1020</f>
        <v>0</v>
      </c>
      <c r="D1085" s="451" t="n">
        <f aca="false">D1172-D1020</f>
        <v>9653</v>
      </c>
      <c r="E1085" s="452" t="n">
        <f aca="false">E1172-E1020</f>
        <v>792</v>
      </c>
      <c r="F1085" s="454" t="n">
        <f aca="false">F1172-F1020</f>
        <v>10</v>
      </c>
      <c r="G1085" s="377" t="n">
        <f aca="false">SUM(B1085:F1085)</f>
        <v>10455</v>
      </c>
      <c r="H1085" s="451" t="n">
        <f aca="false">H1172-H1020</f>
        <v>0</v>
      </c>
      <c r="I1085" s="462" t="n">
        <f aca="false">I1172-I1020</f>
        <v>7853</v>
      </c>
      <c r="J1085" s="223" t="n">
        <f aca="false">SUM(H1085:I1085)</f>
        <v>7853</v>
      </c>
      <c r="K1085" s="451" t="n">
        <f aca="false">K1172-K1020</f>
        <v>0</v>
      </c>
      <c r="L1085" s="462" t="n">
        <f aca="false">L1172-L1020</f>
        <v>513</v>
      </c>
      <c r="M1085" s="223" t="n">
        <f aca="false">SUM(K1085:L1085)</f>
        <v>513</v>
      </c>
      <c r="N1085" s="451" t="n">
        <f aca="false">N1172-N1020</f>
        <v>0</v>
      </c>
      <c r="O1085" s="462" t="n">
        <f aca="false">O1172-O1020</f>
        <v>1</v>
      </c>
      <c r="P1085" s="223" t="n">
        <f aca="false">SUM(N1085:O1085)</f>
        <v>1</v>
      </c>
      <c r="Q1085" s="110" t="str">
        <f aca="false">IF(P630=P1085,"〇","×")</f>
        <v>〇</v>
      </c>
    </row>
    <row r="1086" s="110" customFormat="true" ht="20.1" hidden="false" customHeight="true" outlineLevel="0" collapsed="false">
      <c r="A1086" s="207" t="s">
        <v>196</v>
      </c>
      <c r="B1086" s="451" t="n">
        <f aca="false">B1173-B1021</f>
        <v>4948410</v>
      </c>
      <c r="C1086" s="454" t="n">
        <f aca="false">C1173-C1021</f>
        <v>405480</v>
      </c>
      <c r="D1086" s="451" t="n">
        <f aca="false">D1173-D1021</f>
        <v>7427028</v>
      </c>
      <c r="E1086" s="473" t="n">
        <f aca="false">E1173-E1021</f>
        <v>405480</v>
      </c>
      <c r="F1086" s="454" t="n">
        <f aca="false">F1173-F1021</f>
        <v>5605</v>
      </c>
      <c r="G1086" s="377" t="n">
        <f aca="false">SUM(B1086:F1086)</f>
        <v>13192003</v>
      </c>
      <c r="H1086" s="451" t="n">
        <f aca="false">H1173-H1021</f>
        <v>3319939</v>
      </c>
      <c r="I1086" s="456" t="n">
        <f aca="false">I1173-I1021</f>
        <v>3326581</v>
      </c>
      <c r="J1086" s="223" t="n">
        <f aca="false">SUM(H1086:I1086)</f>
        <v>6646520</v>
      </c>
      <c r="K1086" s="451" t="n">
        <f aca="false">K1173-K1021</f>
        <v>263744</v>
      </c>
      <c r="L1086" s="456" t="n">
        <f aca="false">L1173-L1021</f>
        <v>263744</v>
      </c>
      <c r="M1086" s="223" t="n">
        <f aca="false">SUM(K1086:L1086)</f>
        <v>527488</v>
      </c>
      <c r="N1086" s="451" t="n">
        <f aca="false">N1173-N1021</f>
        <v>1</v>
      </c>
      <c r="O1086" s="456" t="n">
        <f aca="false">O1173-O1021</f>
        <v>1</v>
      </c>
      <c r="P1086" s="223" t="n">
        <f aca="false">SUM(N1086:O1086)</f>
        <v>2</v>
      </c>
      <c r="Q1086" s="110" t="str">
        <f aca="false">IF(P631=P1086,"〇","×")</f>
        <v>〇</v>
      </c>
    </row>
    <row r="1087" s="110" customFormat="true" ht="20.1" hidden="false" customHeight="true" outlineLevel="0" collapsed="false">
      <c r="A1087" s="374" t="s">
        <v>197</v>
      </c>
      <c r="B1087" s="449" t="n">
        <f aca="false">B1174-B1022</f>
        <v>0</v>
      </c>
      <c r="C1087" s="454" t="n">
        <f aca="false">C1174-C1022</f>
        <v>0</v>
      </c>
      <c r="D1087" s="449" t="n">
        <f aca="false">D1174-D1022</f>
        <v>0</v>
      </c>
      <c r="E1087" s="453" t="n">
        <f aca="false">E1174-E1022</f>
        <v>0</v>
      </c>
      <c r="F1087" s="223" t="n">
        <f aca="false">F1174-F1022</f>
        <v>0</v>
      </c>
      <c r="G1087" s="377" t="n">
        <f aca="false">SUM(B1087:F1087)</f>
        <v>0</v>
      </c>
      <c r="H1087" s="448" t="n">
        <f aca="false">H1174-H1022</f>
        <v>3740</v>
      </c>
      <c r="I1087" s="450" t="n">
        <f aca="false">I1174-I1022</f>
        <v>3749</v>
      </c>
      <c r="J1087" s="223" t="n">
        <f aca="false">SUM(H1087:I1087)</f>
        <v>7489</v>
      </c>
      <c r="K1087" s="453" t="n">
        <f aca="false">K1174-K1022</f>
        <v>391</v>
      </c>
      <c r="L1087" s="450" t="n">
        <f aca="false">L1174-L1022</f>
        <v>392</v>
      </c>
      <c r="M1087" s="223" t="n">
        <f aca="false">SUM(K1087:L1087)</f>
        <v>783</v>
      </c>
      <c r="N1087" s="448" t="n">
        <f aca="false">N1174-N1022</f>
        <v>1</v>
      </c>
      <c r="O1087" s="450" t="n">
        <f aca="false">O1174-O1022</f>
        <v>1</v>
      </c>
      <c r="P1087" s="223" t="n">
        <f aca="false">SUM(N1087:O1087)</f>
        <v>2</v>
      </c>
      <c r="Q1087" s="110" t="str">
        <f aca="false">IF(P632=P1087,"〇","×")</f>
        <v>〇</v>
      </c>
    </row>
    <row r="1088" s="110" customFormat="true" ht="20.1" hidden="false" customHeight="true" outlineLevel="0" collapsed="false">
      <c r="A1088" s="211" t="s">
        <v>216</v>
      </c>
      <c r="B1088" s="451" t="n">
        <f aca="false">B1175-B1023</f>
        <v>0</v>
      </c>
      <c r="C1088" s="221" t="n">
        <f aca="false">C1175-C1023</f>
        <v>0</v>
      </c>
      <c r="D1088" s="451" t="n">
        <f aca="false">D1175-D1023</f>
        <v>0</v>
      </c>
      <c r="E1088" s="452" t="n">
        <f aca="false">E1175-E1023</f>
        <v>0</v>
      </c>
      <c r="F1088" s="454" t="n">
        <f aca="false">F1175-F1023</f>
        <v>0</v>
      </c>
      <c r="G1088" s="377" t="n">
        <f aca="false">SUM(B1088:F1088)</f>
        <v>0</v>
      </c>
      <c r="H1088" s="451" t="n">
        <f aca="false">H1175-H1023</f>
        <v>0</v>
      </c>
      <c r="I1088" s="462" t="n">
        <f aca="false">I1175-I1023</f>
        <v>0</v>
      </c>
      <c r="J1088" s="223" t="n">
        <f aca="false">SUM(H1088:I1088)</f>
        <v>0</v>
      </c>
      <c r="K1088" s="452" t="n">
        <f aca="false">K1175-K1023</f>
        <v>0</v>
      </c>
      <c r="L1088" s="462" t="n">
        <f aca="false">L1175-L1023</f>
        <v>0</v>
      </c>
      <c r="M1088" s="223" t="n">
        <f aca="false">SUM(K1088:L1088)</f>
        <v>0</v>
      </c>
      <c r="N1088" s="451" t="n">
        <f aca="false">N1175-N1023</f>
        <v>0</v>
      </c>
      <c r="O1088" s="462" t="n">
        <f aca="false">O1175-O1023</f>
        <v>0</v>
      </c>
      <c r="P1088" s="223" t="n">
        <f aca="false">SUM(N1088:O1088)</f>
        <v>0</v>
      </c>
      <c r="Q1088" s="110" t="str">
        <f aca="false">IF(P633=P1088,"〇","×")</f>
        <v>〇</v>
      </c>
    </row>
    <row r="1089" s="110" customFormat="true" ht="20.1" hidden="false" customHeight="true" outlineLevel="0" collapsed="false">
      <c r="A1089" s="211" t="s">
        <v>199</v>
      </c>
      <c r="B1089" s="451" t="n">
        <f aca="false">B1176-B1024</f>
        <v>0</v>
      </c>
      <c r="C1089" s="221" t="n">
        <f aca="false">C1176-C1024</f>
        <v>0</v>
      </c>
      <c r="D1089" s="451" t="n">
        <f aca="false">D1176-D1024</f>
        <v>0</v>
      </c>
      <c r="E1089" s="452" t="n">
        <f aca="false">E1176-E1024</f>
        <v>0</v>
      </c>
      <c r="F1089" s="454" t="n">
        <f aca="false">F1176-F1024</f>
        <v>0</v>
      </c>
      <c r="G1089" s="377" t="n">
        <f aca="false">SUM(B1089:F1089)</f>
        <v>0</v>
      </c>
      <c r="H1089" s="451" t="n">
        <f aca="false">H1176-H1024</f>
        <v>3906</v>
      </c>
      <c r="I1089" s="462" t="n">
        <f aca="false">I1176-I1024</f>
        <v>3913</v>
      </c>
      <c r="J1089" s="223" t="n">
        <f aca="false">SUM(H1089:I1089)</f>
        <v>7819</v>
      </c>
      <c r="K1089" s="452" t="n">
        <f aca="false">K1176-K1024</f>
        <v>561</v>
      </c>
      <c r="L1089" s="462" t="n">
        <f aca="false">L1176-L1024</f>
        <v>561</v>
      </c>
      <c r="M1089" s="223" t="n">
        <f aca="false">SUM(K1089:L1089)</f>
        <v>1122</v>
      </c>
      <c r="N1089" s="451" t="n">
        <f aca="false">N1176-N1024</f>
        <v>1</v>
      </c>
      <c r="O1089" s="462" t="n">
        <f aca="false">O1176-O1024</f>
        <v>1</v>
      </c>
      <c r="P1089" s="223" t="n">
        <f aca="false">SUM(N1089:O1089)</f>
        <v>2</v>
      </c>
      <c r="Q1089" s="110" t="str">
        <f aca="false">IF(P634=P1089,"〇","×")</f>
        <v>〇</v>
      </c>
    </row>
    <row r="1090" s="110" customFormat="true" ht="20.1" hidden="false" customHeight="true" outlineLevel="0" collapsed="false">
      <c r="A1090" s="149"/>
      <c r="B1090" s="451" t="n">
        <f aca="false">B1177-B1025</f>
        <v>0</v>
      </c>
      <c r="C1090" s="454" t="n">
        <f aca="false">C1177-C1025</f>
        <v>0</v>
      </c>
      <c r="D1090" s="452" t="n">
        <f aca="false">D1177-D1025</f>
        <v>0</v>
      </c>
      <c r="E1090" s="462" t="n">
        <f aca="false">E1177-E1025</f>
        <v>0</v>
      </c>
      <c r="F1090" s="454" t="n">
        <f aca="false">F1177-F1025</f>
        <v>0</v>
      </c>
      <c r="G1090" s="221" t="n">
        <f aca="false">SUM(B1090:F1090)</f>
        <v>0</v>
      </c>
      <c r="H1090" s="449" t="n">
        <f aca="false">H1177-H1025</f>
        <v>0</v>
      </c>
      <c r="I1090" s="462" t="n">
        <f aca="false">I1177-I1025</f>
        <v>0</v>
      </c>
      <c r="J1090" s="223" t="n">
        <f aca="false">SUM(H1090:I1090)</f>
        <v>0</v>
      </c>
      <c r="K1090" s="452" t="n">
        <f aca="false">K1177-K1025</f>
        <v>0</v>
      </c>
      <c r="L1090" s="462" t="n">
        <f aca="false">L1177-L1025</f>
        <v>0</v>
      </c>
      <c r="M1090" s="223" t="n">
        <f aca="false">SUM(K1090:L1090)</f>
        <v>0</v>
      </c>
      <c r="N1090" s="449" t="n">
        <f aca="false">N1177-N1025</f>
        <v>0</v>
      </c>
      <c r="O1090" s="462" t="n">
        <f aca="false">O1177-O1025</f>
        <v>0</v>
      </c>
      <c r="P1090" s="223" t="n">
        <f aca="false">SUM(N1090:O1090)</f>
        <v>0</v>
      </c>
      <c r="Q1090" s="110" t="str">
        <f aca="false">IF(P635=P1090,"〇","×")</f>
        <v>〇</v>
      </c>
    </row>
    <row r="1091" s="137" customFormat="true" ht="0.2" hidden="false" customHeight="true" outlineLevel="0" collapsed="false">
      <c r="A1091" s="149"/>
      <c r="B1091" s="157"/>
      <c r="C1091" s="156"/>
      <c r="D1091" s="220"/>
      <c r="E1091" s="158"/>
      <c r="F1091" s="156"/>
      <c r="G1091" s="221" t="n">
        <f aca="false">SUM(B1091:F1091)</f>
        <v>0</v>
      </c>
      <c r="H1091" s="160"/>
      <c r="I1091" s="158"/>
      <c r="J1091" s="223" t="n">
        <f aca="false">SUM(H1091:I1091)</f>
        <v>0</v>
      </c>
      <c r="K1091" s="220"/>
      <c r="L1091" s="158"/>
      <c r="M1091" s="223" t="n">
        <f aca="false">SUM(K1091:L1091)</f>
        <v>0</v>
      </c>
      <c r="N1091" s="160"/>
      <c r="O1091" s="158"/>
      <c r="P1091" s="223" t="n">
        <f aca="false">SUM(N1091:O1091)</f>
        <v>0</v>
      </c>
      <c r="Q1091" s="110" t="str">
        <f aca="false">IF(P636=P1091,"〇","×")</f>
        <v>〇</v>
      </c>
    </row>
    <row r="1092" s="137" customFormat="true" ht="0.2" hidden="false" customHeight="true" outlineLevel="0" collapsed="false">
      <c r="A1092" s="162"/>
      <c r="B1092" s="224"/>
      <c r="C1092" s="225"/>
      <c r="D1092" s="226"/>
      <c r="E1092" s="227"/>
      <c r="F1092" s="225"/>
      <c r="G1092" s="228"/>
      <c r="H1092" s="231"/>
      <c r="I1092" s="229"/>
      <c r="J1092" s="230"/>
      <c r="K1092" s="231"/>
      <c r="L1092" s="229"/>
      <c r="M1092" s="230"/>
      <c r="N1092" s="231"/>
      <c r="O1092" s="229"/>
      <c r="P1092" s="230"/>
      <c r="Q1092" s="110" t="str">
        <f aca="false">IF(P637=P1092,"〇","×")</f>
        <v>〇</v>
      </c>
    </row>
    <row r="1093" s="110" customFormat="true" ht="20.1" hidden="false" customHeight="true" outlineLevel="0" collapsed="false">
      <c r="A1093" s="171" t="s">
        <v>405</v>
      </c>
      <c r="B1093" s="172" t="n">
        <f aca="false">SUM(B1063:B1092)</f>
        <v>5106386</v>
      </c>
      <c r="C1093" s="175" t="n">
        <f aca="false">SUM(C1063:C1092)</f>
        <v>418430</v>
      </c>
      <c r="D1093" s="173" t="n">
        <f aca="false">SUM(D1063:D1092)</f>
        <v>7908044</v>
      </c>
      <c r="E1093" s="174" t="n">
        <f aca="false">SUM(E1063:E1092)</f>
        <v>444916</v>
      </c>
      <c r="F1093" s="175" t="n">
        <f aca="false">SUM(F1063:F1092)</f>
        <v>6109</v>
      </c>
      <c r="G1093" s="176" t="n">
        <f aca="false">SUM(B1093:F1093)</f>
        <v>13883885</v>
      </c>
      <c r="H1093" s="172" t="n">
        <f aca="false">SUM(H1063:H1092)</f>
        <v>3425835</v>
      </c>
      <c r="I1093" s="173" t="n">
        <f aca="false">SUM(I1063:I1092)</f>
        <v>3639729</v>
      </c>
      <c r="J1093" s="175" t="n">
        <f aca="false">SUM(H1093:I1093)</f>
        <v>7065564</v>
      </c>
      <c r="K1093" s="172" t="n">
        <f aca="false">SUM(K1063:K1092)</f>
        <v>272790</v>
      </c>
      <c r="L1093" s="173" t="n">
        <f aca="false">SUM(L1063:L1092)</f>
        <v>295390</v>
      </c>
      <c r="M1093" s="175" t="n">
        <f aca="false">SUM(K1093:L1093)</f>
        <v>568180</v>
      </c>
      <c r="N1093" s="172" t="n">
        <f aca="false">SUM(N1063:N1092)</f>
        <v>12</v>
      </c>
      <c r="O1093" s="173" t="n">
        <f aca="false">SUM(O1063:O1092)</f>
        <v>24</v>
      </c>
      <c r="P1093" s="175" t="n">
        <f aca="false">SUM(N1093:O1093)</f>
        <v>36</v>
      </c>
      <c r="Q1093" s="110" t="str">
        <f aca="false">IF(P638=P1093,"〇","×")</f>
        <v>〇</v>
      </c>
    </row>
    <row r="1094" s="137" customFormat="true" ht="0.2" hidden="false" customHeight="true" outlineLevel="0" collapsed="false">
      <c r="A1094" s="149" t="s">
        <v>382</v>
      </c>
      <c r="B1094" s="469" t="n">
        <f aca="false">B1181-B1029</f>
        <v>0</v>
      </c>
      <c r="C1094" s="230" t="n">
        <f aca="false">C1181-C1029</f>
        <v>0</v>
      </c>
      <c r="D1094" s="476" t="n">
        <f aca="false">D1181-D1029</f>
        <v>0</v>
      </c>
      <c r="E1094" s="477" t="n">
        <f aca="false">E1181-E1029</f>
        <v>0</v>
      </c>
      <c r="F1094" s="446" t="n">
        <f aca="false">F1181-F1029</f>
        <v>0</v>
      </c>
      <c r="G1094" s="235" t="n">
        <f aca="false">SUM(B1094:F1094)</f>
        <v>0</v>
      </c>
      <c r="H1094" s="478"/>
      <c r="I1094" s="479"/>
      <c r="J1094" s="480"/>
      <c r="K1094" s="481"/>
      <c r="L1094" s="482"/>
      <c r="M1094" s="483"/>
      <c r="N1094" s="478"/>
      <c r="O1094" s="479"/>
      <c r="P1094" s="480"/>
      <c r="Q1094" s="110" t="str">
        <f aca="false">IF(P639=P1094,"〇","×")</f>
        <v>〇</v>
      </c>
    </row>
    <row r="1095" s="137" customFormat="true" ht="0.2" hidden="false" customHeight="true" outlineLevel="0" collapsed="false">
      <c r="A1095" s="241" t="s">
        <v>382</v>
      </c>
      <c r="B1095" s="464" t="n">
        <f aca="false">B1182-B1030</f>
        <v>0</v>
      </c>
      <c r="C1095" s="466" t="n">
        <f aca="false">C1182-C1030</f>
        <v>0</v>
      </c>
      <c r="D1095" s="476" t="n">
        <f aca="false">D1182-D1030</f>
        <v>0</v>
      </c>
      <c r="E1095" s="477" t="n">
        <f aca="false">E1182-E1030</f>
        <v>0</v>
      </c>
      <c r="F1095" s="230" t="n">
        <f aca="false">F1182-F1030</f>
        <v>0</v>
      </c>
      <c r="G1095" s="228" t="n">
        <f aca="false">SUM(B1095:F1095)</f>
        <v>0</v>
      </c>
      <c r="H1095" s="484"/>
      <c r="I1095" s="485"/>
      <c r="J1095" s="486"/>
      <c r="K1095" s="487"/>
      <c r="L1095" s="488"/>
      <c r="M1095" s="489"/>
      <c r="N1095" s="484"/>
      <c r="O1095" s="485"/>
      <c r="P1095" s="486"/>
      <c r="Q1095" s="110" t="str">
        <f aca="false">IF(P640=P1095,"〇","×")</f>
        <v>〇</v>
      </c>
    </row>
    <row r="1096" s="110" customFormat="true" ht="20.1" hidden="false" customHeight="true" outlineLevel="0" collapsed="false">
      <c r="A1096" s="189" t="s">
        <v>200</v>
      </c>
      <c r="B1096" s="464" t="n">
        <f aca="false">B1183-B1031</f>
        <v>4941</v>
      </c>
      <c r="C1096" s="466" t="n">
        <f aca="false">C1183-C1031</f>
        <v>405</v>
      </c>
      <c r="D1096" s="452" t="n">
        <f aca="false">D1183-D1031</f>
        <v>4941</v>
      </c>
      <c r="E1096" s="462" t="n">
        <f aca="false">E1183-E1031</f>
        <v>405</v>
      </c>
      <c r="F1096" s="454" t="n">
        <f aca="false">F1183-F1031</f>
        <v>5</v>
      </c>
      <c r="G1096" s="221" t="n">
        <f aca="false">SUM(B1096:F1096)</f>
        <v>10697</v>
      </c>
      <c r="H1096" s="458" t="n">
        <f aca="false">H1183-H1031</f>
        <v>0</v>
      </c>
      <c r="I1096" s="458" t="n">
        <f aca="false">I1183-I1031</f>
        <v>0</v>
      </c>
      <c r="J1096" s="196" t="n">
        <f aca="false">SUM(H1096:I1096)</f>
        <v>0</v>
      </c>
      <c r="K1096" s="458" t="n">
        <f aca="false">K1183-K1031</f>
        <v>0</v>
      </c>
      <c r="L1096" s="458" t="n">
        <f aca="false">L1183-L1031</f>
        <v>0</v>
      </c>
      <c r="M1096" s="196" t="n">
        <f aca="false">SUM(K1096:L1096)</f>
        <v>0</v>
      </c>
      <c r="N1096" s="458" t="n">
        <f aca="false">N1183-N1031</f>
        <v>0</v>
      </c>
      <c r="O1096" s="458" t="n">
        <f aca="false">O1183-O1031</f>
        <v>0</v>
      </c>
      <c r="P1096" s="196" t="n">
        <f aca="false">SUM(N1096:O1096)</f>
        <v>0</v>
      </c>
      <c r="Q1096" s="110" t="str">
        <f aca="false">IF(P641=P1096,"〇","×")</f>
        <v>〇</v>
      </c>
    </row>
    <row r="1097" s="110" customFormat="true" ht="20.1" hidden="false" customHeight="true" outlineLevel="0" collapsed="false">
      <c r="A1097" s="189" t="s">
        <v>201</v>
      </c>
      <c r="B1097" s="464" t="n">
        <f aca="false">B1184-B1032</f>
        <v>3020</v>
      </c>
      <c r="C1097" s="466" t="n">
        <f aca="false">C1184-C1032</f>
        <v>248</v>
      </c>
      <c r="D1097" s="476" t="n">
        <f aca="false">D1184-D1032</f>
        <v>3020</v>
      </c>
      <c r="E1097" s="477" t="n">
        <f aca="false">E1184-E1032</f>
        <v>248</v>
      </c>
      <c r="F1097" s="230" t="n">
        <f aca="false">F1184-F1032</f>
        <v>3</v>
      </c>
      <c r="G1097" s="221" t="n">
        <f aca="false">SUM(B1097:F1097)</f>
        <v>6539</v>
      </c>
      <c r="H1097" s="490" t="n">
        <f aca="false">H1184-H1032</f>
        <v>0</v>
      </c>
      <c r="I1097" s="490" t="n">
        <f aca="false">I1184-I1032</f>
        <v>0</v>
      </c>
      <c r="J1097" s="253" t="n">
        <f aca="false">SUM(H1097:I1097)</f>
        <v>0</v>
      </c>
      <c r="K1097" s="490" t="n">
        <f aca="false">K1184-K1032</f>
        <v>0</v>
      </c>
      <c r="L1097" s="490" t="n">
        <f aca="false">L1184-L1032</f>
        <v>0</v>
      </c>
      <c r="M1097" s="253" t="n">
        <f aca="false">SUM(K1097:L1097)</f>
        <v>0</v>
      </c>
      <c r="N1097" s="490" t="n">
        <f aca="false">N1184-N1032</f>
        <v>0</v>
      </c>
      <c r="O1097" s="490" t="n">
        <f aca="false">O1184-O1032</f>
        <v>0</v>
      </c>
      <c r="P1097" s="253" t="n">
        <f aca="false">SUM(N1097:O1097)</f>
        <v>0</v>
      </c>
      <c r="Q1097" s="110" t="str">
        <f aca="false">IF(P642=P1097,"〇","×")</f>
        <v>〇</v>
      </c>
    </row>
    <row r="1098" s="110" customFormat="true" ht="20.1" hidden="false" customHeight="true" outlineLevel="0" collapsed="false">
      <c r="A1098" s="171" t="s">
        <v>406</v>
      </c>
      <c r="B1098" s="172" t="n">
        <f aca="false">SUM(B1094:B1097)</f>
        <v>7961</v>
      </c>
      <c r="C1098" s="175" t="n">
        <f aca="false">SUM(C1094:C1097)</f>
        <v>653</v>
      </c>
      <c r="D1098" s="173" t="n">
        <f aca="false">SUM(D1094:D1097)</f>
        <v>7961</v>
      </c>
      <c r="E1098" s="174" t="n">
        <f aca="false">SUM(E1094:E1097)</f>
        <v>653</v>
      </c>
      <c r="F1098" s="175" t="n">
        <f aca="false">SUM(F1094:F1097)</f>
        <v>8</v>
      </c>
      <c r="G1098" s="176" t="n">
        <f aca="false">SUM(B1098:F1098)</f>
        <v>17236</v>
      </c>
      <c r="H1098" s="256" t="n">
        <f aca="false">SUM(H1094:H1097)</f>
        <v>0</v>
      </c>
      <c r="I1098" s="257" t="n">
        <f aca="false">SUM(I1094:I1097)</f>
        <v>0</v>
      </c>
      <c r="J1098" s="258" t="n">
        <f aca="false">SUM(H1098:I1098)</f>
        <v>0</v>
      </c>
      <c r="K1098" s="256" t="n">
        <f aca="false">SUM(K1094:K1097)</f>
        <v>0</v>
      </c>
      <c r="L1098" s="257" t="n">
        <f aca="false">SUM(L1094:L1097)</f>
        <v>0</v>
      </c>
      <c r="M1098" s="258" t="n">
        <f aca="false">SUM(K1098:L1098)</f>
        <v>0</v>
      </c>
      <c r="N1098" s="256" t="n">
        <f aca="false">SUM(N1094:N1097)</f>
        <v>0</v>
      </c>
      <c r="O1098" s="257" t="n">
        <f aca="false">SUM(O1094:O1097)</f>
        <v>0</v>
      </c>
      <c r="P1098" s="258" t="n">
        <f aca="false">SUM(N1098:O1098)</f>
        <v>0</v>
      </c>
      <c r="Q1098" s="110" t="str">
        <f aca="false">IF(P643=P1098,"〇","×")</f>
        <v>〇</v>
      </c>
    </row>
    <row r="1099" s="110" customFormat="true" ht="20.1" hidden="false" customHeight="true" outlineLevel="0" collapsed="false">
      <c r="A1099" s="100" t="s">
        <v>202</v>
      </c>
      <c r="B1099" s="449" t="n">
        <f aca="false">B1186-B1034</f>
        <v>3386</v>
      </c>
      <c r="C1099" s="223" t="n">
        <f aca="false">C1186-C1034</f>
        <v>278</v>
      </c>
      <c r="D1099" s="445" t="n">
        <f aca="false">D1186-D1034</f>
        <v>3386</v>
      </c>
      <c r="E1099" s="463" t="n">
        <f aca="false">E1186-E1034</f>
        <v>278</v>
      </c>
      <c r="F1099" s="196" t="n">
        <f aca="false">F1186-F1034</f>
        <v>0</v>
      </c>
      <c r="G1099" s="377" t="n">
        <f aca="false">SUM(B1099:F1099)</f>
        <v>7328</v>
      </c>
      <c r="H1099" s="453" t="n">
        <f aca="false">H1186-H1034</f>
        <v>2035</v>
      </c>
      <c r="I1099" s="450" t="n">
        <f aca="false">I1186-I1034</f>
        <v>2039</v>
      </c>
      <c r="J1099" s="223" t="n">
        <f aca="false">SUM(H1099:I1099)</f>
        <v>4074</v>
      </c>
      <c r="K1099" s="453" t="n">
        <f aca="false">K1186-K1034</f>
        <v>293</v>
      </c>
      <c r="L1099" s="450" t="n">
        <f aca="false">L1186-L1034</f>
        <v>293</v>
      </c>
      <c r="M1099" s="223" t="n">
        <f aca="false">SUM(K1099:L1099)</f>
        <v>586</v>
      </c>
      <c r="N1099" s="453" t="n">
        <f aca="false">N1186-N1034</f>
        <v>1</v>
      </c>
      <c r="O1099" s="450" t="n">
        <f aca="false">O1186-O1034</f>
        <v>1</v>
      </c>
      <c r="P1099" s="223" t="n">
        <f aca="false">SUM(N1099:O1099)</f>
        <v>2</v>
      </c>
      <c r="Q1099" s="110" t="str">
        <f aca="false">IF(P644=P1099,"〇","×")</f>
        <v>〇</v>
      </c>
    </row>
    <row r="1100" s="110" customFormat="true" ht="20.1" hidden="false" customHeight="true" outlineLevel="0" collapsed="false">
      <c r="A1100" s="100" t="s">
        <v>203</v>
      </c>
      <c r="B1100" s="449" t="n">
        <f aca="false">B1187-B1035</f>
        <v>0</v>
      </c>
      <c r="C1100" s="377" t="n">
        <f aca="false">C1187-C1035</f>
        <v>0</v>
      </c>
      <c r="D1100" s="449" t="n">
        <f aca="false">D1187-D1035</f>
        <v>0</v>
      </c>
      <c r="E1100" s="463" t="n">
        <f aca="false">E1187-E1035</f>
        <v>0</v>
      </c>
      <c r="F1100" s="196" t="n">
        <f aca="false">F1187-F1035</f>
        <v>0</v>
      </c>
      <c r="G1100" s="377" t="n">
        <f aca="false">SUM(B1100:F1100)</f>
        <v>0</v>
      </c>
      <c r="H1100" s="453" t="n">
        <f aca="false">H1187-H1035</f>
        <v>0</v>
      </c>
      <c r="I1100" s="450" t="n">
        <f aca="false">I1187-I1035</f>
        <v>0</v>
      </c>
      <c r="J1100" s="223" t="n">
        <f aca="false">SUM(H1100:I1100)</f>
        <v>0</v>
      </c>
      <c r="K1100" s="448" t="n">
        <f aca="false">K1187-K1035</f>
        <v>0</v>
      </c>
      <c r="L1100" s="450" t="n">
        <f aca="false">L1187-L1035</f>
        <v>0</v>
      </c>
      <c r="M1100" s="223" t="n">
        <f aca="false">SUM(K1100:L1100)</f>
        <v>0</v>
      </c>
      <c r="N1100" s="453" t="n">
        <f aca="false">N1187-N1035</f>
        <v>0</v>
      </c>
      <c r="O1100" s="450" t="n">
        <f aca="false">O1187-O1035</f>
        <v>0</v>
      </c>
      <c r="P1100" s="223" t="n">
        <f aca="false">SUM(N1100:O1100)</f>
        <v>0</v>
      </c>
      <c r="Q1100" s="110" t="str">
        <f aca="false">IF(P645=P1100,"〇","×")</f>
        <v>〇</v>
      </c>
    </row>
    <row r="1101" s="110" customFormat="true" ht="20.1" hidden="false" customHeight="true" outlineLevel="0" collapsed="false">
      <c r="A1101" s="192" t="s">
        <v>204</v>
      </c>
      <c r="B1101" s="449" t="n">
        <f aca="false">B1188-B1036</f>
        <v>39299</v>
      </c>
      <c r="C1101" s="377" t="n">
        <f aca="false">C1188-C1036</f>
        <v>3221</v>
      </c>
      <c r="D1101" s="449" t="n">
        <f aca="false">D1188-D1036</f>
        <v>39300</v>
      </c>
      <c r="E1101" s="463" t="n">
        <f aca="false">E1188-E1036</f>
        <v>3221</v>
      </c>
      <c r="F1101" s="196" t="n">
        <f aca="false">F1188-F1036</f>
        <v>0</v>
      </c>
      <c r="G1101" s="377" t="n">
        <f aca="false">SUM(B1101:F1101)</f>
        <v>85041</v>
      </c>
      <c r="H1101" s="453" t="n">
        <f aca="false">H1188-H1036</f>
        <v>24287</v>
      </c>
      <c r="I1101" s="450" t="n">
        <f aca="false">I1188-I1036</f>
        <v>24331</v>
      </c>
      <c r="J1101" s="223" t="n">
        <f aca="false">SUM(H1101:I1101)</f>
        <v>48618</v>
      </c>
      <c r="K1101" s="448" t="n">
        <f aca="false">K1188-K1036</f>
        <v>3425</v>
      </c>
      <c r="L1101" s="450" t="n">
        <f aca="false">L1188-L1036</f>
        <v>3425</v>
      </c>
      <c r="M1101" s="223" t="n">
        <f aca="false">SUM(K1101:L1101)</f>
        <v>6850</v>
      </c>
      <c r="N1101" s="453" t="n">
        <f aca="false">N1188-N1036</f>
        <v>1</v>
      </c>
      <c r="O1101" s="450" t="n">
        <f aca="false">O1188-O1036</f>
        <v>1</v>
      </c>
      <c r="P1101" s="223" t="n">
        <f aca="false">SUM(N1101:O1101)</f>
        <v>2</v>
      </c>
      <c r="Q1101" s="110" t="str">
        <f aca="false">IF(P646=P1101,"〇","×")</f>
        <v>〇</v>
      </c>
    </row>
    <row r="1102" s="110" customFormat="true" ht="20.1" hidden="false" customHeight="true" outlineLevel="0" collapsed="false">
      <c r="A1102" s="192" t="s">
        <v>205</v>
      </c>
      <c r="B1102" s="491" t="n">
        <f aca="false">B1189-B1037</f>
        <v>0</v>
      </c>
      <c r="C1102" s="492" t="n">
        <f aca="false">C1189-C1037</f>
        <v>0</v>
      </c>
      <c r="D1102" s="491" t="n">
        <f aca="false">D1189-D1037</f>
        <v>0</v>
      </c>
      <c r="E1102" s="467" t="n">
        <f aca="false">E1189-E1037</f>
        <v>0</v>
      </c>
      <c r="F1102" s="271" t="n">
        <f aca="false">F1189-F1037</f>
        <v>0</v>
      </c>
      <c r="G1102" s="492" t="n">
        <f aca="false">SUM(B1102:F1102)</f>
        <v>0</v>
      </c>
      <c r="H1102" s="493" t="n">
        <f aca="false">H1189-H1037</f>
        <v>0</v>
      </c>
      <c r="I1102" s="494" t="n">
        <f aca="false">I1189-I1037</f>
        <v>0</v>
      </c>
      <c r="J1102" s="495" t="n">
        <f aca="false">SUM(H1102:I1102)</f>
        <v>0</v>
      </c>
      <c r="K1102" s="496" t="n">
        <f aca="false">K1189-K1037</f>
        <v>0</v>
      </c>
      <c r="L1102" s="494" t="n">
        <f aca="false">L1189-L1037</f>
        <v>0</v>
      </c>
      <c r="M1102" s="495" t="n">
        <f aca="false">SUM(K1102:L1102)</f>
        <v>0</v>
      </c>
      <c r="N1102" s="493" t="n">
        <f aca="false">N1189-N1037</f>
        <v>0</v>
      </c>
      <c r="O1102" s="494" t="n">
        <f aca="false">O1189-O1037</f>
        <v>0</v>
      </c>
      <c r="P1102" s="495" t="n">
        <f aca="false">SUM(N1102:O1102)</f>
        <v>0</v>
      </c>
      <c r="Q1102" s="110" t="str">
        <f aca="false">IF(P647=P1102,"〇","×")</f>
        <v>〇</v>
      </c>
    </row>
    <row r="1103" s="110" customFormat="true" ht="20.1" hidden="false" customHeight="true" outlineLevel="0" collapsed="false">
      <c r="A1103" s="171" t="s">
        <v>407</v>
      </c>
      <c r="B1103" s="172" t="n">
        <f aca="false">SUM(B1099:B1102)</f>
        <v>42685</v>
      </c>
      <c r="C1103" s="176" t="n">
        <f aca="false">SUM(C1099:C1102)</f>
        <v>3499</v>
      </c>
      <c r="D1103" s="172" t="n">
        <f aca="false">SUM(D1099:D1102)</f>
        <v>42686</v>
      </c>
      <c r="E1103" s="174" t="n">
        <f aca="false">SUM(E1099:E1102)</f>
        <v>3499</v>
      </c>
      <c r="F1103" s="258" t="n">
        <f aca="false">SUM(F1099:F1102)</f>
        <v>0</v>
      </c>
      <c r="G1103" s="176" t="n">
        <f aca="false">SUM(B1103:F1103)</f>
        <v>92369</v>
      </c>
      <c r="H1103" s="276" t="n">
        <f aca="false">SUM(H1099:H1102)</f>
        <v>26322</v>
      </c>
      <c r="I1103" s="174" t="n">
        <f aca="false">SUM(I1099:I1102)</f>
        <v>26370</v>
      </c>
      <c r="J1103" s="175" t="n">
        <f aca="false">SUM(H1103:I1103)</f>
        <v>52692</v>
      </c>
      <c r="K1103" s="172" t="n">
        <f aca="false">SUM(K1099:K1102)</f>
        <v>3718</v>
      </c>
      <c r="L1103" s="276" t="n">
        <f aca="false">SUM(L1099:L1102)</f>
        <v>3718</v>
      </c>
      <c r="M1103" s="175" t="n">
        <f aca="false">SUM(K1103:L1103)</f>
        <v>7436</v>
      </c>
      <c r="N1103" s="276" t="n">
        <f aca="false">SUM(N1099:N1102)</f>
        <v>2</v>
      </c>
      <c r="O1103" s="174" t="n">
        <f aca="false">SUM(O1099:O1102)</f>
        <v>2</v>
      </c>
      <c r="P1103" s="175" t="n">
        <f aca="false">SUM(N1103:O1103)</f>
        <v>4</v>
      </c>
      <c r="Q1103" s="110" t="str">
        <f aca="false">IF(P648=P1103,"〇","×")</f>
        <v>〇</v>
      </c>
    </row>
    <row r="1104" s="110" customFormat="true" ht="20.1" hidden="false" customHeight="true" outlineLevel="0" collapsed="false">
      <c r="A1104" s="497" t="s">
        <v>206</v>
      </c>
      <c r="B1104" s="256"/>
      <c r="C1104" s="498"/>
      <c r="D1104" s="499"/>
      <c r="E1104" s="500"/>
      <c r="F1104" s="271"/>
      <c r="G1104" s="268" t="n">
        <f aca="false">SUM(B1104:F1104)</f>
        <v>0</v>
      </c>
      <c r="H1104" s="501" t="n">
        <f aca="false">H1191-H1039</f>
        <v>0</v>
      </c>
      <c r="I1104" s="502" t="n">
        <f aca="false">I1191-I1039</f>
        <v>0</v>
      </c>
      <c r="J1104" s="271" t="n">
        <f aca="false">SUM(H1104:I1104)</f>
        <v>0</v>
      </c>
      <c r="K1104" s="501" t="n">
        <f aca="false">K1191-K1039</f>
        <v>0</v>
      </c>
      <c r="L1104" s="502" t="n">
        <f aca="false">L1191-L1039</f>
        <v>0</v>
      </c>
      <c r="M1104" s="271" t="n">
        <f aca="false">SUM(K1104:L1104)</f>
        <v>0</v>
      </c>
      <c r="N1104" s="501" t="n">
        <f aca="false">N1191-N1039</f>
        <v>0</v>
      </c>
      <c r="O1104" s="502" t="n">
        <f aca="false">O1191-O1039</f>
        <v>0</v>
      </c>
      <c r="P1104" s="271" t="n">
        <f aca="false">SUM(N1104:O1104)</f>
        <v>0</v>
      </c>
      <c r="Q1104" s="110" t="str">
        <f aca="false">IF(P649=P1104,"〇","×")</f>
        <v>〇</v>
      </c>
    </row>
    <row r="1105" s="110" customFormat="true" ht="30" hidden="false" customHeight="true" outlineLevel="0" collapsed="false">
      <c r="A1105" s="285" t="s">
        <v>385</v>
      </c>
      <c r="B1105" s="286" t="n">
        <f aca="false">SUM(+B1062+B1093+B1098+B1103+B1104)</f>
        <v>24371902</v>
      </c>
      <c r="C1105" s="503" t="n">
        <f aca="false">SUM(+C1062+C1093+C1098+C1103+C1104)</f>
        <v>1995497</v>
      </c>
      <c r="D1105" s="286" t="n">
        <f aca="false">SUM(+D1062+D1093+D1098+D1103+D1104)</f>
        <v>35318968</v>
      </c>
      <c r="E1105" s="288" t="n">
        <f aca="false">SUM(+E1062+E1093+E1098+E1103+E1104)</f>
        <v>1962114</v>
      </c>
      <c r="F1105" s="287" t="n">
        <f aca="false">SUM(+F1062+F1093+F1098+F1103+F1104)</f>
        <v>25781</v>
      </c>
      <c r="G1105" s="504" t="n">
        <f aca="false">SUM(B1105:F1105)</f>
        <v>63674262</v>
      </c>
      <c r="H1105" s="290" t="n">
        <f aca="false">SUM(+H1062+H1093+H1098+H1103+H1104)</f>
        <v>17812885</v>
      </c>
      <c r="I1105" s="290" t="n">
        <f aca="false">SUM(+I1062+I1093+I1098+I1103+I1104)</f>
        <v>17802525</v>
      </c>
      <c r="J1105" s="291" t="n">
        <f aca="false">SUM(H1105:I1105)</f>
        <v>35615410</v>
      </c>
      <c r="K1105" s="292" t="n">
        <f aca="false">SUM(+K1062+K1093+K1098+K1103+K1104)</f>
        <v>1479310</v>
      </c>
      <c r="L1105" s="290" t="n">
        <f aca="false">SUM(+L1062+L1093+L1098+L1103+L1104)</f>
        <v>1479188</v>
      </c>
      <c r="M1105" s="291" t="n">
        <f aca="false">SUM(K1105:L1105)</f>
        <v>2958498</v>
      </c>
      <c r="N1105" s="290" t="n">
        <f aca="false">SUM(+N1062+N1093+N1098+N1103+N1104)</f>
        <v>25</v>
      </c>
      <c r="O1105" s="290" t="n">
        <f aca="false">SUM(+O1062+O1093+O1098+O1103+O1104)</f>
        <v>37</v>
      </c>
      <c r="P1105" s="291" t="n">
        <f aca="false">SUM(N1105:O1105)</f>
        <v>62</v>
      </c>
      <c r="Q1105" s="110" t="str">
        <f aca="false">IF(P650=P1105,"〇","×")</f>
        <v>×</v>
      </c>
    </row>
    <row r="1106" s="316" customFormat="true" ht="34.5" hidden="false" customHeight="true" outlineLevel="0" collapsed="false">
      <c r="A1106" s="315"/>
      <c r="G1106" s="84"/>
      <c r="Q1106" s="316" t="str">
        <f aca="false">IF(P1041=P1106,"〇","×")</f>
        <v>〇</v>
      </c>
    </row>
    <row r="1107" s="297" customFormat="true" ht="45" hidden="false" customHeight="true" outlineLevel="0" collapsed="false">
      <c r="A1107" s="505"/>
      <c r="B1107" s="506" t="str">
        <f aca="false">B1042</f>
        <v>令和8年度</v>
      </c>
      <c r="C1107" s="506"/>
      <c r="D1107" s="507" t="s">
        <v>409</v>
      </c>
      <c r="E1107" s="507"/>
      <c r="F1107" s="507"/>
      <c r="G1107" s="507"/>
      <c r="H1107" s="508"/>
      <c r="I1107" s="508"/>
      <c r="J1107" s="508"/>
      <c r="K1107" s="508"/>
      <c r="L1107" s="508"/>
      <c r="M1107" s="508"/>
      <c r="N1107" s="508"/>
      <c r="O1107" s="508"/>
      <c r="P1107" s="508"/>
      <c r="Q1107" s="297" t="str">
        <f aca="false">IF(P1042=P1107,"〇","×")</f>
        <v>〇</v>
      </c>
    </row>
    <row r="1108" s="510" customFormat="true" ht="36.75" hidden="false" customHeight="true" outlineLevel="0" collapsed="false">
      <c r="A1108" s="89" t="s">
        <v>369</v>
      </c>
      <c r="B1108" s="89" t="s">
        <v>370</v>
      </c>
      <c r="C1108" s="89"/>
      <c r="D1108" s="89"/>
      <c r="E1108" s="89"/>
      <c r="F1108" s="89"/>
      <c r="G1108" s="89"/>
      <c r="H1108" s="509"/>
      <c r="I1108" s="509"/>
      <c r="J1108" s="509"/>
      <c r="K1108" s="509"/>
      <c r="L1108" s="509"/>
      <c r="M1108" s="509"/>
      <c r="N1108" s="509"/>
      <c r="O1108" s="509"/>
      <c r="P1108" s="509"/>
      <c r="Q1108" s="510" t="str">
        <f aca="false">IF(P1043=P1108,"〇","×")</f>
        <v>〇</v>
      </c>
    </row>
    <row r="1109" s="510" customFormat="true" ht="36.75" hidden="false" customHeight="true" outlineLevel="0" collapsed="false">
      <c r="A1109" s="89"/>
      <c r="B1109" s="511" t="s">
        <v>373</v>
      </c>
      <c r="C1109" s="511"/>
      <c r="D1109" s="89" t="s">
        <v>374</v>
      </c>
      <c r="E1109" s="89"/>
      <c r="F1109" s="89" t="s">
        <v>375</v>
      </c>
      <c r="G1109" s="89"/>
      <c r="H1109" s="512"/>
      <c r="I1109" s="513"/>
      <c r="J1109" s="514"/>
      <c r="K1109" s="513"/>
      <c r="L1109" s="513"/>
      <c r="M1109" s="513"/>
      <c r="N1109" s="513"/>
      <c r="O1109" s="513"/>
      <c r="P1109" s="513"/>
      <c r="Q1109" s="510" t="str">
        <f aca="false">IF(P1044=P1109,"〇","×")</f>
        <v>×</v>
      </c>
    </row>
    <row r="1110" s="510" customFormat="true" ht="36.75" hidden="false" customHeight="true" outlineLevel="0" collapsed="false">
      <c r="A1110" s="89"/>
      <c r="B1110" s="515"/>
      <c r="C1110" s="516"/>
      <c r="D1110" s="517" t="s">
        <v>410</v>
      </c>
      <c r="E1110" s="518" t="s">
        <v>411</v>
      </c>
      <c r="F1110" s="89"/>
      <c r="G1110" s="89"/>
      <c r="H1110" s="519"/>
      <c r="I1110" s="520"/>
      <c r="J1110" s="520"/>
      <c r="K1110" s="521"/>
      <c r="L1110" s="521"/>
      <c r="M1110" s="521"/>
      <c r="N1110" s="521"/>
      <c r="O1110" s="521"/>
      <c r="P1110" s="521"/>
      <c r="Q1110" s="510" t="str">
        <f aca="false">IF(P1045=P1110,"〇","×")</f>
        <v>〇</v>
      </c>
    </row>
    <row r="1111" s="510" customFormat="true" ht="36.75" hidden="false" customHeight="true" outlineLevel="0" collapsed="false">
      <c r="A1111" s="522" t="s">
        <v>158</v>
      </c>
      <c r="B1111" s="523"/>
      <c r="C1111" s="524"/>
      <c r="D1111" s="525" t="n">
        <v>240401556</v>
      </c>
      <c r="E1111" s="525" t="n">
        <v>39518064</v>
      </c>
      <c r="F1111" s="526" t="n">
        <f aca="false">SUM(D1111:E1111)</f>
        <v>279919620</v>
      </c>
      <c r="G1111" s="526"/>
      <c r="H1111" s="527"/>
      <c r="I1111" s="528"/>
      <c r="J1111" s="529"/>
      <c r="K1111" s="530"/>
      <c r="L1111" s="528"/>
      <c r="M1111" s="529"/>
      <c r="N1111" s="530"/>
      <c r="O1111" s="528"/>
      <c r="P1111" s="529"/>
      <c r="Q1111" s="510" t="str">
        <f aca="false">IF(P1046=P1111,"〇","×")</f>
        <v>×</v>
      </c>
    </row>
    <row r="1112" s="510" customFormat="true" ht="36.75" hidden="false" customHeight="true" outlineLevel="0" collapsed="false">
      <c r="A1112" s="522" t="s">
        <v>161</v>
      </c>
      <c r="B1112" s="523"/>
      <c r="C1112" s="524"/>
      <c r="D1112" s="531" t="n">
        <v>15939696</v>
      </c>
      <c r="E1112" s="532" t="n">
        <v>2620224</v>
      </c>
      <c r="F1112" s="526" t="n">
        <f aca="false">SUM(D1112:E1112)</f>
        <v>18559920</v>
      </c>
      <c r="G1112" s="526"/>
      <c r="H1112" s="527"/>
      <c r="I1112" s="528"/>
      <c r="J1112" s="529"/>
      <c r="K1112" s="533"/>
      <c r="L1112" s="534"/>
      <c r="M1112" s="529"/>
      <c r="N1112" s="533"/>
      <c r="O1112" s="534"/>
      <c r="P1112" s="529"/>
      <c r="Q1112" s="510" t="str">
        <f aca="false">IF(P1047=P1112,"〇","×")</f>
        <v>×</v>
      </c>
    </row>
    <row r="1113" s="510" customFormat="true" ht="36.75" hidden="false" customHeight="true" outlineLevel="0" collapsed="false">
      <c r="A1113" s="522" t="s">
        <v>162</v>
      </c>
      <c r="B1113" s="523"/>
      <c r="C1113" s="524"/>
      <c r="D1113" s="531" t="n">
        <v>53542872</v>
      </c>
      <c r="E1113" s="532" t="n">
        <v>8801568</v>
      </c>
      <c r="F1113" s="526" t="n">
        <f aca="false">SUM(D1113:E1113)</f>
        <v>62344440</v>
      </c>
      <c r="G1113" s="526"/>
      <c r="H1113" s="534"/>
      <c r="I1113" s="527"/>
      <c r="J1113" s="529"/>
      <c r="K1113" s="533"/>
      <c r="L1113" s="527"/>
      <c r="M1113" s="529"/>
      <c r="N1113" s="533"/>
      <c r="O1113" s="527"/>
      <c r="P1113" s="529"/>
      <c r="Q1113" s="510" t="str">
        <f aca="false">IF(P1048=P1113,"〇","×")</f>
        <v>×</v>
      </c>
    </row>
    <row r="1114" s="510" customFormat="true" ht="36.75" hidden="false" customHeight="true" outlineLevel="0" collapsed="false">
      <c r="A1114" s="522" t="s">
        <v>163</v>
      </c>
      <c r="B1114" s="523"/>
      <c r="C1114" s="524"/>
      <c r="D1114" s="531" t="n">
        <v>1754628</v>
      </c>
      <c r="E1114" s="532" t="n">
        <v>288432</v>
      </c>
      <c r="F1114" s="526" t="n">
        <f aca="false">SUM(D1114:E1114)</f>
        <v>2043060</v>
      </c>
      <c r="G1114" s="526"/>
      <c r="H1114" s="535"/>
      <c r="I1114" s="527"/>
      <c r="J1114" s="529"/>
      <c r="K1114" s="523"/>
      <c r="L1114" s="527"/>
      <c r="M1114" s="529"/>
      <c r="N1114" s="523"/>
      <c r="O1114" s="527"/>
      <c r="P1114" s="529"/>
      <c r="Q1114" s="510" t="str">
        <f aca="false">IF(P1049=P1114,"〇","×")</f>
        <v>×</v>
      </c>
    </row>
    <row r="1115" s="510" customFormat="true" ht="36.75" hidden="false" customHeight="true" outlineLevel="0" collapsed="false">
      <c r="A1115" s="522" t="s">
        <v>412</v>
      </c>
      <c r="B1115" s="523"/>
      <c r="C1115" s="524"/>
      <c r="D1115" s="531" t="n">
        <v>22817172</v>
      </c>
      <c r="E1115" s="532" t="n">
        <v>3750768</v>
      </c>
      <c r="F1115" s="526" t="n">
        <f aca="false">SUM(D1115:E1115)</f>
        <v>26567940</v>
      </c>
      <c r="G1115" s="526"/>
      <c r="H1115" s="535"/>
      <c r="I1115" s="527"/>
      <c r="J1115" s="529"/>
      <c r="K1115" s="523"/>
      <c r="L1115" s="527"/>
      <c r="M1115" s="529"/>
      <c r="N1115" s="523"/>
      <c r="O1115" s="527"/>
      <c r="P1115" s="529"/>
      <c r="Q1115" s="510" t="str">
        <f aca="false">IF(P1050=P1115,"〇","×")</f>
        <v>×</v>
      </c>
    </row>
    <row r="1116" s="510" customFormat="true" ht="36.75" hidden="false" customHeight="true" outlineLevel="0" collapsed="false">
      <c r="A1116" s="522" t="s">
        <v>165</v>
      </c>
      <c r="B1116" s="523"/>
      <c r="C1116" s="524"/>
      <c r="D1116" s="531" t="n">
        <v>312732</v>
      </c>
      <c r="E1116" s="532" t="n">
        <v>51408</v>
      </c>
      <c r="F1116" s="526" t="n">
        <f aca="false">SUM(D1116:E1116)</f>
        <v>364140</v>
      </c>
      <c r="G1116" s="526"/>
      <c r="H1116" s="527"/>
      <c r="I1116" s="528"/>
      <c r="J1116" s="529"/>
      <c r="K1116" s="523"/>
      <c r="L1116" s="527"/>
      <c r="M1116" s="529"/>
      <c r="N1116" s="523"/>
      <c r="O1116" s="527"/>
      <c r="P1116" s="529"/>
      <c r="Q1116" s="510" t="str">
        <f aca="false">IF(P1051=P1116,"〇","×")</f>
        <v>×</v>
      </c>
    </row>
    <row r="1117" s="510" customFormat="true" ht="36.75" hidden="false" customHeight="true" outlineLevel="0" collapsed="false">
      <c r="A1117" s="522" t="s">
        <v>166</v>
      </c>
      <c r="B1117" s="523"/>
      <c r="C1117" s="524"/>
      <c r="D1117" s="536" t="n">
        <v>572028</v>
      </c>
      <c r="E1117" s="536" t="n">
        <v>94032</v>
      </c>
      <c r="F1117" s="526" t="n">
        <f aca="false">SUM(D1117:E1117)</f>
        <v>666060</v>
      </c>
      <c r="G1117" s="526"/>
      <c r="H1117" s="527"/>
      <c r="I1117" s="528"/>
      <c r="J1117" s="529"/>
      <c r="K1117" s="530"/>
      <c r="L1117" s="528"/>
      <c r="M1117" s="529"/>
      <c r="N1117" s="530"/>
      <c r="O1117" s="528"/>
      <c r="P1117" s="529"/>
      <c r="Q1117" s="510" t="str">
        <f aca="false">IF(P1052=P1117,"〇","×")</f>
        <v>×</v>
      </c>
    </row>
    <row r="1118" s="510" customFormat="true" ht="36.75" hidden="false" customHeight="true" outlineLevel="0" collapsed="false">
      <c r="A1118" s="522" t="s">
        <v>167</v>
      </c>
      <c r="B1118" s="523"/>
      <c r="C1118" s="524"/>
      <c r="D1118" s="531" t="n">
        <v>1292976</v>
      </c>
      <c r="E1118" s="532" t="n">
        <v>212544</v>
      </c>
      <c r="F1118" s="526" t="n">
        <f aca="false">SUM(D1118:E1118)</f>
        <v>1505520</v>
      </c>
      <c r="G1118" s="526"/>
      <c r="H1118" s="527"/>
      <c r="I1118" s="528"/>
      <c r="J1118" s="529"/>
      <c r="K1118" s="530"/>
      <c r="L1118" s="528"/>
      <c r="M1118" s="529"/>
      <c r="N1118" s="530"/>
      <c r="O1118" s="528"/>
      <c r="P1118" s="529"/>
      <c r="Q1118" s="510" t="str">
        <f aca="false">IF(P1053=P1118,"〇","×")</f>
        <v>×</v>
      </c>
    </row>
    <row r="1119" s="510" customFormat="true" ht="36.75" hidden="false" customHeight="true" outlineLevel="0" collapsed="false">
      <c r="A1119" s="522" t="s">
        <v>168</v>
      </c>
      <c r="B1119" s="523"/>
      <c r="C1119" s="524"/>
      <c r="D1119" s="531" t="n">
        <v>392448</v>
      </c>
      <c r="E1119" s="532" t="n">
        <v>64512</v>
      </c>
      <c r="F1119" s="526" t="n">
        <f aca="false">SUM(D1119:E1119)</f>
        <v>456960</v>
      </c>
      <c r="G1119" s="526"/>
      <c r="H1119" s="527"/>
      <c r="I1119" s="528"/>
      <c r="J1119" s="529"/>
      <c r="K1119" s="530"/>
      <c r="L1119" s="528"/>
      <c r="M1119" s="529"/>
      <c r="N1119" s="530"/>
      <c r="O1119" s="528"/>
      <c r="P1119" s="529"/>
      <c r="Q1119" s="510" t="str">
        <f aca="false">IF(P1054=P1119,"〇","×")</f>
        <v>×</v>
      </c>
    </row>
    <row r="1120" s="510" customFormat="true" ht="36.75" hidden="false" customHeight="true" outlineLevel="0" collapsed="false">
      <c r="A1120" s="522" t="s">
        <v>169</v>
      </c>
      <c r="B1120" s="523"/>
      <c r="C1120" s="524"/>
      <c r="D1120" s="531" t="n">
        <v>21655596</v>
      </c>
      <c r="E1120" s="532" t="n">
        <v>3559824</v>
      </c>
      <c r="F1120" s="526" t="n">
        <f aca="false">SUM(D1120:E1120)</f>
        <v>25215420</v>
      </c>
      <c r="G1120" s="526"/>
      <c r="H1120" s="527"/>
      <c r="I1120" s="528"/>
      <c r="J1120" s="529"/>
      <c r="K1120" s="530"/>
      <c r="L1120" s="528"/>
      <c r="M1120" s="529"/>
      <c r="N1120" s="530"/>
      <c r="O1120" s="528"/>
      <c r="P1120" s="529"/>
      <c r="Q1120" s="510" t="str">
        <f aca="false">IF(P1055=P1120,"〇","×")</f>
        <v>×</v>
      </c>
    </row>
    <row r="1121" s="510" customFormat="true" ht="36.75" hidden="false" customHeight="true" outlineLevel="0" collapsed="false">
      <c r="A1121" s="537" t="s">
        <v>381</v>
      </c>
      <c r="B1121" s="523"/>
      <c r="C1121" s="524"/>
      <c r="D1121" s="531" t="n">
        <v>46428</v>
      </c>
      <c r="E1121" s="532" t="n">
        <v>7632</v>
      </c>
      <c r="F1121" s="526" t="n">
        <f aca="false">SUM(D1121:E1121)</f>
        <v>54060</v>
      </c>
      <c r="G1121" s="526"/>
      <c r="H1121" s="538"/>
      <c r="I1121" s="539"/>
      <c r="J1121" s="529"/>
      <c r="K1121" s="530"/>
      <c r="L1121" s="528"/>
      <c r="M1121" s="529"/>
      <c r="N1121" s="530"/>
      <c r="O1121" s="528"/>
      <c r="P1121" s="529"/>
      <c r="Q1121" s="510" t="str">
        <f aca="false">IF(P1056=P1121,"〇","×")</f>
        <v>×</v>
      </c>
    </row>
    <row r="1122" s="510" customFormat="true" ht="36.75" hidden="false" customHeight="true" outlineLevel="0" collapsed="false">
      <c r="A1122" s="540" t="s">
        <v>196</v>
      </c>
      <c r="B1122" s="523"/>
      <c r="C1122" s="524"/>
      <c r="D1122" s="531" t="n">
        <v>128251656</v>
      </c>
      <c r="E1122" s="532" t="n">
        <v>21082464</v>
      </c>
      <c r="F1122" s="526" t="n">
        <f aca="false">SUM(D1122:E1122)</f>
        <v>149334120</v>
      </c>
      <c r="G1122" s="526"/>
      <c r="H1122" s="534"/>
      <c r="I1122" s="539"/>
      <c r="J1122" s="529"/>
      <c r="K1122" s="533"/>
      <c r="L1122" s="539"/>
      <c r="M1122" s="529"/>
      <c r="N1122" s="533"/>
      <c r="O1122" s="539"/>
      <c r="P1122" s="529"/>
      <c r="Q1122" s="510" t="str">
        <f aca="false">IF(P1057=P1122,"〇","×")</f>
        <v>〇</v>
      </c>
    </row>
    <row r="1123" s="510" customFormat="true" ht="36.75" hidden="false" customHeight="true" outlineLevel="0" collapsed="false">
      <c r="A1123" s="541"/>
      <c r="B1123" s="523"/>
      <c r="C1123" s="542"/>
      <c r="D1123" s="543"/>
      <c r="E1123" s="544"/>
      <c r="F1123" s="545" t="n">
        <f aca="false">SUM(D1123:E1123)</f>
        <v>0</v>
      </c>
      <c r="G1123" s="545"/>
      <c r="H1123" s="527"/>
      <c r="I1123" s="528"/>
      <c r="J1123" s="529"/>
      <c r="K1123" s="527"/>
      <c r="L1123" s="528"/>
      <c r="M1123" s="529"/>
      <c r="N1123" s="527"/>
      <c r="O1123" s="528"/>
      <c r="P1123" s="529"/>
      <c r="Q1123" s="510" t="str">
        <f aca="false">IF(P1058=P1123,"〇","×")</f>
        <v>〇</v>
      </c>
    </row>
    <row r="1124" s="510" customFormat="true" ht="36.75" hidden="false" customHeight="true" outlineLevel="0" collapsed="false">
      <c r="A1124" s="541"/>
      <c r="B1124" s="533"/>
      <c r="C1124" s="546"/>
      <c r="D1124" s="543"/>
      <c r="E1124" s="544"/>
      <c r="F1124" s="545" t="n">
        <f aca="false">SUM(D1124:E1124)</f>
        <v>0</v>
      </c>
      <c r="G1124" s="545"/>
      <c r="H1124" s="534"/>
      <c r="I1124" s="547"/>
      <c r="J1124" s="529"/>
      <c r="K1124" s="534"/>
      <c r="L1124" s="547"/>
      <c r="M1124" s="529"/>
      <c r="N1124" s="534"/>
      <c r="O1124" s="547"/>
      <c r="P1124" s="529"/>
      <c r="Q1124" s="510" t="str">
        <f aca="false">IF(P1059=P1124,"〇","×")</f>
        <v>〇</v>
      </c>
    </row>
    <row r="1125" s="510" customFormat="true" ht="36.75" hidden="false" customHeight="true" outlineLevel="0" collapsed="false">
      <c r="A1125" s="548"/>
      <c r="B1125" s="523"/>
      <c r="C1125" s="524"/>
      <c r="D1125" s="543"/>
      <c r="E1125" s="544"/>
      <c r="F1125" s="545" t="n">
        <f aca="false">SUM(D1125:E1125)</f>
        <v>0</v>
      </c>
      <c r="G1125" s="545"/>
      <c r="H1125" s="535"/>
      <c r="I1125" s="549"/>
      <c r="J1125" s="529"/>
      <c r="K1125" s="535"/>
      <c r="L1125" s="549"/>
      <c r="M1125" s="529"/>
      <c r="N1125" s="535"/>
      <c r="O1125" s="549"/>
      <c r="P1125" s="529"/>
      <c r="Q1125" s="510" t="str">
        <f aca="false">IF(P1060=P1125,"〇","×")</f>
        <v>〇</v>
      </c>
    </row>
    <row r="1126" s="510" customFormat="true" ht="36.75" hidden="false" customHeight="true" outlineLevel="0" collapsed="false">
      <c r="A1126" s="548"/>
      <c r="B1126" s="533"/>
      <c r="C1126" s="542"/>
      <c r="D1126" s="550"/>
      <c r="E1126" s="551"/>
      <c r="F1126" s="545" t="n">
        <f aca="false">SUM(D1126:E1126)</f>
        <v>0</v>
      </c>
      <c r="G1126" s="545"/>
      <c r="H1126" s="535"/>
      <c r="I1126" s="547"/>
      <c r="J1126" s="529"/>
      <c r="K1126" s="534"/>
      <c r="L1126" s="547"/>
      <c r="M1126" s="529"/>
      <c r="N1126" s="534"/>
      <c r="O1126" s="547"/>
      <c r="P1126" s="529"/>
      <c r="Q1126" s="510" t="str">
        <f aca="false">IF(P1061=P1126,"〇","×")</f>
        <v>〇</v>
      </c>
    </row>
    <row r="1127" s="561" customFormat="true" ht="36.75" hidden="false" customHeight="true" outlineLevel="0" collapsed="false">
      <c r="A1127" s="552" t="s">
        <v>413</v>
      </c>
      <c r="B1127" s="553"/>
      <c r="C1127" s="554"/>
      <c r="D1127" s="555" t="n">
        <f aca="false">SUM(D1111:D1126)</f>
        <v>486979788</v>
      </c>
      <c r="E1127" s="556" t="n">
        <f aca="false">SUM(E1111:E1126)</f>
        <v>80051472</v>
      </c>
      <c r="F1127" s="557" t="n">
        <f aca="false">SUM(F1111:G1126)</f>
        <v>567031260</v>
      </c>
      <c r="G1127" s="557"/>
      <c r="H1127" s="558"/>
      <c r="I1127" s="559"/>
      <c r="J1127" s="560"/>
      <c r="K1127" s="553"/>
      <c r="L1127" s="558"/>
      <c r="M1127" s="560"/>
      <c r="N1127" s="553"/>
      <c r="O1127" s="558"/>
      <c r="P1127" s="560"/>
      <c r="Q1127" s="561" t="str">
        <f aca="false">IF(P1062=P1127,"〇","×")</f>
        <v>×</v>
      </c>
    </row>
    <row r="1128" s="316" customFormat="true" ht="18.75" hidden="false" customHeight="true" outlineLevel="0" collapsed="false">
      <c r="A1128" s="315"/>
      <c r="G1128" s="84"/>
      <c r="Q1128" s="316" t="str">
        <f aca="false">IF(P1063=P1128,"〇","×")</f>
        <v>〇</v>
      </c>
    </row>
    <row r="1129" s="297" customFormat="true" ht="30" hidden="false" customHeight="true" outlineLevel="0" collapsed="false">
      <c r="A1129" s="295"/>
      <c r="B1129" s="442" t="str">
        <f aca="false">B1107</f>
        <v>令和8年度</v>
      </c>
      <c r="C1129" s="442"/>
      <c r="D1129" s="443" t="s">
        <v>414</v>
      </c>
      <c r="E1129" s="443"/>
      <c r="F1129" s="443"/>
      <c r="G1129" s="443"/>
      <c r="H1129" s="442" t="str">
        <f aca="false">B1129</f>
        <v>令和8年度</v>
      </c>
      <c r="I1129" s="443" t="s">
        <v>414</v>
      </c>
      <c r="J1129" s="443"/>
      <c r="K1129" s="442" t="str">
        <f aca="false">B1129</f>
        <v>令和8年度</v>
      </c>
      <c r="L1129" s="443" t="s">
        <v>414</v>
      </c>
      <c r="M1129" s="443"/>
      <c r="N1129" s="442" t="str">
        <f aca="false">H1129</f>
        <v>令和8年度</v>
      </c>
      <c r="O1129" s="443" t="s">
        <v>414</v>
      </c>
      <c r="P1129" s="443"/>
      <c r="Q1129" s="297" t="str">
        <f aca="false">IF(P1064=P1129,"〇","×")</f>
        <v>×</v>
      </c>
    </row>
    <row r="1130" customFormat="false" ht="22.5" hidden="false" customHeight="true" outlineLevel="0" collapsed="false">
      <c r="A1130" s="89" t="s">
        <v>369</v>
      </c>
      <c r="B1130" s="89" t="s">
        <v>370</v>
      </c>
      <c r="C1130" s="89"/>
      <c r="D1130" s="89"/>
      <c r="E1130" s="89"/>
      <c r="F1130" s="89"/>
      <c r="G1130" s="89"/>
      <c r="H1130" s="91" t="s">
        <v>371</v>
      </c>
      <c r="I1130" s="91"/>
      <c r="J1130" s="91"/>
      <c r="K1130" s="91" t="s">
        <v>372</v>
      </c>
      <c r="L1130" s="91"/>
      <c r="M1130" s="91"/>
      <c r="N1130" s="91" t="str">
        <f aca="false">$N$3</f>
        <v>子ども・子育て支援納付金</v>
      </c>
      <c r="O1130" s="91"/>
      <c r="P1130" s="91"/>
      <c r="Q1130" s="80" t="str">
        <f aca="false">IF(P1065=P1130,"〇","×")</f>
        <v>×</v>
      </c>
    </row>
    <row r="1131" customFormat="false" ht="22.5" hidden="false" customHeight="true" outlineLevel="0" collapsed="false">
      <c r="A1131" s="89"/>
      <c r="B1131" s="92" t="s">
        <v>373</v>
      </c>
      <c r="C1131" s="92"/>
      <c r="D1131" s="92" t="s">
        <v>374</v>
      </c>
      <c r="E1131" s="92"/>
      <c r="F1131" s="92"/>
      <c r="G1131" s="92" t="s">
        <v>375</v>
      </c>
      <c r="H1131" s="96" t="s">
        <v>376</v>
      </c>
      <c r="I1131" s="94" t="s">
        <v>377</v>
      </c>
      <c r="J1131" s="562" t="s">
        <v>375</v>
      </c>
      <c r="K1131" s="96" t="s">
        <v>376</v>
      </c>
      <c r="L1131" s="94" t="s">
        <v>377</v>
      </c>
      <c r="M1131" s="95" t="s">
        <v>375</v>
      </c>
      <c r="N1131" s="96" t="s">
        <v>376</v>
      </c>
      <c r="O1131" s="94" t="s">
        <v>377</v>
      </c>
      <c r="P1131" s="95" t="s">
        <v>375</v>
      </c>
      <c r="Q1131" s="80" t="str">
        <f aca="false">IF(P1066=P1131,"〇","×")</f>
        <v>×</v>
      </c>
    </row>
    <row r="1132" customFormat="false" ht="22.5" hidden="false" customHeight="true" outlineLevel="0" collapsed="false">
      <c r="A1132" s="89"/>
      <c r="B1132" s="97" t="s">
        <v>378</v>
      </c>
      <c r="C1132" s="98" t="s">
        <v>379</v>
      </c>
      <c r="D1132" s="99" t="s">
        <v>378</v>
      </c>
      <c r="E1132" s="99" t="s">
        <v>380</v>
      </c>
      <c r="F1132" s="98" t="s">
        <v>85</v>
      </c>
      <c r="G1132" s="92"/>
      <c r="H1132" s="96"/>
      <c r="I1132" s="94"/>
      <c r="J1132" s="562"/>
      <c r="K1132" s="96"/>
      <c r="L1132" s="94"/>
      <c r="M1132" s="95"/>
      <c r="N1132" s="96"/>
      <c r="O1132" s="94"/>
      <c r="P1132" s="95"/>
      <c r="Q1132" s="80" t="str">
        <f aca="false">IF(P1067=P1132,"〇","×")</f>
        <v>×</v>
      </c>
    </row>
    <row r="1133" s="110" customFormat="true" ht="20.1" hidden="false" customHeight="true" outlineLevel="0" collapsed="false">
      <c r="A1133" s="100" t="s">
        <v>158</v>
      </c>
      <c r="B1133" s="360" t="n">
        <v>25576973</v>
      </c>
      <c r="C1133" s="361" t="n">
        <v>2096369</v>
      </c>
      <c r="D1133" s="362" t="n">
        <v>36306944</v>
      </c>
      <c r="E1133" s="362" t="n">
        <v>1997670</v>
      </c>
      <c r="F1133" s="363" t="n">
        <v>26080</v>
      </c>
      <c r="G1133" s="364" t="n">
        <f aca="false">SUM(B1133:F1133)</f>
        <v>66004036</v>
      </c>
      <c r="H1133" s="360" t="n">
        <v>19868499</v>
      </c>
      <c r="I1133" s="180" t="n">
        <v>19431664</v>
      </c>
      <c r="J1133" s="181" t="n">
        <f aca="false">SUM(H1133:I1133)</f>
        <v>39300163</v>
      </c>
      <c r="K1133" s="262" t="n">
        <v>1661302</v>
      </c>
      <c r="L1133" s="180" t="n">
        <v>1615299</v>
      </c>
      <c r="M1133" s="181" t="n">
        <f aca="false">SUM(K1133:L1133)</f>
        <v>3276601</v>
      </c>
      <c r="N1133" s="262" t="n">
        <v>2</v>
      </c>
      <c r="O1133" s="180" t="n">
        <v>2</v>
      </c>
      <c r="P1133" s="181" t="n">
        <f aca="false">SUM(N1133:O1133)</f>
        <v>4</v>
      </c>
      <c r="Q1133" s="110" t="str">
        <f aca="false">IF(P1068=P1133,"〇","×")</f>
        <v>×</v>
      </c>
    </row>
    <row r="1134" s="110" customFormat="true" ht="20.1" hidden="false" customHeight="true" outlineLevel="0" collapsed="false">
      <c r="A1134" s="100" t="s">
        <v>161</v>
      </c>
      <c r="B1134" s="178" t="n">
        <v>1654205</v>
      </c>
      <c r="C1134" s="179" t="n">
        <v>135569</v>
      </c>
      <c r="D1134" s="362" t="n">
        <v>2403294</v>
      </c>
      <c r="E1134" s="362" t="n">
        <v>135292</v>
      </c>
      <c r="F1134" s="212" t="n">
        <v>1700</v>
      </c>
      <c r="G1134" s="181" t="n">
        <f aca="false">SUM(B1134:F1134)</f>
        <v>4330060</v>
      </c>
      <c r="H1134" s="262" t="n">
        <v>1058386</v>
      </c>
      <c r="I1134" s="183" t="n">
        <v>1074298</v>
      </c>
      <c r="J1134" s="135" t="n">
        <f aca="false">SUM(H1134:I1134)</f>
        <v>2132684</v>
      </c>
      <c r="K1134" s="215" t="n">
        <v>101585</v>
      </c>
      <c r="L1134" s="213" t="n">
        <v>101038</v>
      </c>
      <c r="M1134" s="135" t="n">
        <f aca="false">SUM(K1134:L1134)</f>
        <v>202623</v>
      </c>
      <c r="N1134" s="215" t="n">
        <v>2</v>
      </c>
      <c r="O1134" s="213" t="n">
        <v>2</v>
      </c>
      <c r="P1134" s="135" t="n">
        <f aca="false">SUM(N1134:O1134)</f>
        <v>4</v>
      </c>
      <c r="Q1134" s="110" t="str">
        <f aca="false">IF(P1069=P1134,"〇","×")</f>
        <v>×</v>
      </c>
    </row>
    <row r="1135" s="110" customFormat="true" ht="20.1" hidden="false" customHeight="true" outlineLevel="0" collapsed="false">
      <c r="A1135" s="100" t="s">
        <v>162</v>
      </c>
      <c r="B1135" s="178" t="n">
        <v>5474624</v>
      </c>
      <c r="C1135" s="179" t="n">
        <v>444742</v>
      </c>
      <c r="D1135" s="362" t="n">
        <v>7748474</v>
      </c>
      <c r="E1135" s="362" t="n">
        <v>430629</v>
      </c>
      <c r="F1135" s="212" t="n">
        <v>5620</v>
      </c>
      <c r="G1135" s="181" t="n">
        <f aca="false">SUM(B1135:F1135)</f>
        <v>14104089</v>
      </c>
      <c r="H1135" s="215" t="n">
        <v>3393685</v>
      </c>
      <c r="I1135" s="182" t="n">
        <v>3335588</v>
      </c>
      <c r="J1135" s="135" t="n">
        <f aca="false">SUM(H1135:I1135)</f>
        <v>6729273</v>
      </c>
      <c r="K1135" s="215" t="n">
        <v>200951</v>
      </c>
      <c r="L1135" s="182" t="n">
        <v>201933</v>
      </c>
      <c r="M1135" s="135" t="n">
        <f aca="false">SUM(K1135:L1135)</f>
        <v>402884</v>
      </c>
      <c r="N1135" s="215" t="n">
        <v>2</v>
      </c>
      <c r="O1135" s="213" t="n">
        <v>2</v>
      </c>
      <c r="P1135" s="135" t="n">
        <f aca="false">SUM(N1135:O1135)</f>
        <v>4</v>
      </c>
      <c r="Q1135" s="110" t="str">
        <f aca="false">IF(P1070=P1135,"〇","×")</f>
        <v>×</v>
      </c>
    </row>
    <row r="1136" s="110" customFormat="true" ht="20.1" hidden="false" customHeight="true" outlineLevel="0" collapsed="false">
      <c r="A1136" s="100" t="s">
        <v>163</v>
      </c>
      <c r="B1136" s="178" t="n">
        <v>186203</v>
      </c>
      <c r="C1136" s="179" t="n">
        <v>15263</v>
      </c>
      <c r="D1136" s="362" t="n">
        <v>270656</v>
      </c>
      <c r="E1136" s="362" t="n">
        <v>15263</v>
      </c>
      <c r="F1136" s="212" t="n">
        <v>191</v>
      </c>
      <c r="G1136" s="181" t="n">
        <f aca="false">SUM(B1136:F1136)</f>
        <v>487576</v>
      </c>
      <c r="H1136" s="178" t="n">
        <v>118889</v>
      </c>
      <c r="I1136" s="182" t="n">
        <v>120973</v>
      </c>
      <c r="J1136" s="135" t="n">
        <f aca="false">SUM(H1136:I1136)</f>
        <v>239862</v>
      </c>
      <c r="K1136" s="178" t="n">
        <v>10431</v>
      </c>
      <c r="L1136" s="182" t="n">
        <v>10436</v>
      </c>
      <c r="M1136" s="135" t="n">
        <f aca="false">SUM(K1136:L1136)</f>
        <v>20867</v>
      </c>
      <c r="N1136" s="215" t="n">
        <v>2</v>
      </c>
      <c r="O1136" s="213" t="n">
        <v>2</v>
      </c>
      <c r="P1136" s="135" t="n">
        <f aca="false">SUM(N1136:O1136)</f>
        <v>4</v>
      </c>
      <c r="Q1136" s="110" t="str">
        <f aca="false">IF(P1071=P1136,"〇","×")</f>
        <v>×</v>
      </c>
    </row>
    <row r="1137" s="110" customFormat="true" ht="18.75" hidden="false" customHeight="true" outlineLevel="0" collapsed="false">
      <c r="A1137" s="100" t="s">
        <v>412</v>
      </c>
      <c r="B1137" s="178" t="n">
        <v>2684166</v>
      </c>
      <c r="C1137" s="179" t="n">
        <v>220026</v>
      </c>
      <c r="D1137" s="362" t="n">
        <v>3829578</v>
      </c>
      <c r="E1137" s="362" t="n">
        <v>213331</v>
      </c>
      <c r="F1137" s="212" t="n">
        <v>2778</v>
      </c>
      <c r="G1137" s="181" t="n">
        <f aca="false">SUM(B1137:F1137)</f>
        <v>6949879</v>
      </c>
      <c r="H1137" s="178" t="n">
        <v>2453204</v>
      </c>
      <c r="I1137" s="182" t="n">
        <v>2449011</v>
      </c>
      <c r="J1137" s="135" t="n">
        <f aca="false">SUM(H1137:I1137)</f>
        <v>4902215</v>
      </c>
      <c r="K1137" s="178" t="n">
        <v>263606</v>
      </c>
      <c r="L1137" s="182" t="n">
        <v>263746</v>
      </c>
      <c r="M1137" s="135" t="n">
        <f aca="false">SUM(K1137:L1137)</f>
        <v>527352</v>
      </c>
      <c r="N1137" s="215" t="n">
        <v>2</v>
      </c>
      <c r="O1137" s="213" t="n">
        <v>2</v>
      </c>
      <c r="P1137" s="135" t="n">
        <f aca="false">SUM(N1137:O1137)</f>
        <v>4</v>
      </c>
      <c r="Q1137" s="110" t="str">
        <f aca="false">IF(P1072=P1137,"〇","×")</f>
        <v>×</v>
      </c>
    </row>
    <row r="1138" s="110" customFormat="true" ht="20.1" hidden="false" customHeight="true" outlineLevel="0" collapsed="false">
      <c r="A1138" s="100" t="s">
        <v>165</v>
      </c>
      <c r="B1138" s="178" t="n">
        <v>31292</v>
      </c>
      <c r="C1138" s="179" t="n">
        <v>2564</v>
      </c>
      <c r="D1138" s="362" t="n">
        <v>45484</v>
      </c>
      <c r="E1138" s="362" t="n">
        <v>2564</v>
      </c>
      <c r="F1138" s="212" t="n">
        <v>32</v>
      </c>
      <c r="G1138" s="181" t="n">
        <f aca="false">SUM(B1138:F1138)</f>
        <v>81936</v>
      </c>
      <c r="H1138" s="262" t="n">
        <v>21128</v>
      </c>
      <c r="I1138" s="183" t="n">
        <v>21496</v>
      </c>
      <c r="J1138" s="135" t="n">
        <f aca="false">SUM(H1138:I1138)</f>
        <v>42624</v>
      </c>
      <c r="K1138" s="178" t="n">
        <v>1612</v>
      </c>
      <c r="L1138" s="182" t="n">
        <v>1612</v>
      </c>
      <c r="M1138" s="135" t="n">
        <f aca="false">SUM(K1138:L1138)</f>
        <v>3224</v>
      </c>
      <c r="N1138" s="215" t="n">
        <v>2</v>
      </c>
      <c r="O1138" s="213" t="n">
        <v>2</v>
      </c>
      <c r="P1138" s="135" t="n">
        <f aca="false">SUM(N1138:O1138)</f>
        <v>4</v>
      </c>
      <c r="Q1138" s="110" t="str">
        <f aca="false">IF(P1073=P1138,"〇","×")</f>
        <v>×</v>
      </c>
    </row>
    <row r="1139" s="110" customFormat="true" ht="20.1" hidden="false" customHeight="true" outlineLevel="0" collapsed="false">
      <c r="A1139" s="100" t="s">
        <v>166</v>
      </c>
      <c r="B1139" s="178" t="n">
        <v>57921</v>
      </c>
      <c r="C1139" s="179" t="n">
        <v>4749</v>
      </c>
      <c r="D1139" s="362" t="n">
        <v>84188</v>
      </c>
      <c r="E1139" s="362" t="n">
        <v>4747</v>
      </c>
      <c r="F1139" s="212" t="n">
        <v>59</v>
      </c>
      <c r="G1139" s="366" t="n">
        <f aca="false">SUM(B1139:F1139)</f>
        <v>151664</v>
      </c>
      <c r="H1139" s="262" t="n">
        <v>38837</v>
      </c>
      <c r="I1139" s="183" t="n">
        <v>39521</v>
      </c>
      <c r="J1139" s="135" t="n">
        <f aca="false">SUM(H1139:I1139)</f>
        <v>78358</v>
      </c>
      <c r="K1139" s="262" t="n">
        <v>3092</v>
      </c>
      <c r="L1139" s="183" t="n">
        <v>3089</v>
      </c>
      <c r="M1139" s="135" t="n">
        <f aca="false">SUM(K1139:L1139)</f>
        <v>6181</v>
      </c>
      <c r="N1139" s="215" t="n">
        <v>2</v>
      </c>
      <c r="O1139" s="213" t="n">
        <v>2</v>
      </c>
      <c r="P1139" s="135" t="n">
        <f aca="false">SUM(N1139:O1139)</f>
        <v>4</v>
      </c>
      <c r="Q1139" s="110" t="str">
        <f aca="false">IF(P1074=P1139,"〇","×")</f>
        <v>×</v>
      </c>
    </row>
    <row r="1140" s="110" customFormat="true" ht="20.1" hidden="false" customHeight="true" outlineLevel="0" collapsed="false">
      <c r="A1140" s="100" t="s">
        <v>167</v>
      </c>
      <c r="B1140" s="178" t="n">
        <v>134869</v>
      </c>
      <c r="C1140" s="179" t="n">
        <v>11053</v>
      </c>
      <c r="D1140" s="362" t="n">
        <v>196042</v>
      </c>
      <c r="E1140" s="362" t="n">
        <v>11055</v>
      </c>
      <c r="F1140" s="212" t="n">
        <v>138</v>
      </c>
      <c r="G1140" s="181" t="n">
        <f aca="false">SUM(B1140:F1140)</f>
        <v>353157</v>
      </c>
      <c r="H1140" s="262" t="n">
        <v>85923</v>
      </c>
      <c r="I1140" s="183" t="n">
        <v>87439</v>
      </c>
      <c r="J1140" s="135" t="n">
        <f aca="false">SUM(H1140:I1140)</f>
        <v>173362</v>
      </c>
      <c r="K1140" s="262" t="n">
        <v>10794</v>
      </c>
      <c r="L1140" s="183" t="n">
        <v>10791</v>
      </c>
      <c r="M1140" s="135" t="n">
        <f aca="false">SUM(K1140:L1140)</f>
        <v>21585</v>
      </c>
      <c r="N1140" s="215" t="n">
        <v>2</v>
      </c>
      <c r="O1140" s="213" t="n">
        <v>2</v>
      </c>
      <c r="P1140" s="135" t="n">
        <f aca="false">SUM(N1140:O1140)</f>
        <v>4</v>
      </c>
      <c r="Q1140" s="110" t="str">
        <f aca="false">IF(P1075=P1140,"〇","×")</f>
        <v>×</v>
      </c>
    </row>
    <row r="1141" s="110" customFormat="true" ht="20.1" hidden="false" customHeight="true" outlineLevel="0" collapsed="false">
      <c r="A1141" s="100" t="s">
        <v>168</v>
      </c>
      <c r="B1141" s="178" t="n">
        <v>36232</v>
      </c>
      <c r="C1141" s="179" t="n">
        <v>2968</v>
      </c>
      <c r="D1141" s="362" t="n">
        <v>52670</v>
      </c>
      <c r="E1141" s="362" t="n">
        <v>2971</v>
      </c>
      <c r="F1141" s="212" t="n">
        <v>37</v>
      </c>
      <c r="G1141" s="181" t="n">
        <f aca="false">SUM(B1141:F1141)</f>
        <v>94878</v>
      </c>
      <c r="H1141" s="262" t="n">
        <v>34005</v>
      </c>
      <c r="I1141" s="183" t="n">
        <v>34595</v>
      </c>
      <c r="J1141" s="135" t="n">
        <f aca="false">SUM(H1141:I1141)</f>
        <v>68600</v>
      </c>
      <c r="K1141" s="262" t="n">
        <v>3571</v>
      </c>
      <c r="L1141" s="183" t="n">
        <v>3571</v>
      </c>
      <c r="M1141" s="135" t="n">
        <f aca="false">SUM(K1141:L1141)</f>
        <v>7142</v>
      </c>
      <c r="N1141" s="215" t="n">
        <v>2</v>
      </c>
      <c r="O1141" s="213" t="n">
        <v>2</v>
      </c>
      <c r="P1141" s="135" t="n">
        <f aca="false">SUM(N1141:O1141)</f>
        <v>4</v>
      </c>
      <c r="Q1141" s="110" t="str">
        <f aca="false">IF(P1076=P1141,"〇","×")</f>
        <v>×</v>
      </c>
    </row>
    <row r="1142" s="110" customFormat="true" ht="20.1" hidden="false" customHeight="true" outlineLevel="0" collapsed="false">
      <c r="A1142" s="100" t="s">
        <v>169</v>
      </c>
      <c r="B1142" s="178" t="n">
        <v>2588673</v>
      </c>
      <c r="C1142" s="179" t="n">
        <v>212145</v>
      </c>
      <c r="D1142" s="362" t="n">
        <v>3776574</v>
      </c>
      <c r="E1142" s="362" t="n">
        <v>212188</v>
      </c>
      <c r="F1142" s="212" t="n">
        <v>2684</v>
      </c>
      <c r="G1142" s="181" t="n">
        <f aca="false">SUM(B1142:F1142)</f>
        <v>6792264</v>
      </c>
      <c r="H1142" s="262" t="n">
        <v>1646141</v>
      </c>
      <c r="I1142" s="183" t="n">
        <v>1675463</v>
      </c>
      <c r="J1142" s="135" t="n">
        <f aca="false">SUM(H1142:I1142)</f>
        <v>3321604</v>
      </c>
      <c r="K1142" s="262" t="n">
        <v>148259</v>
      </c>
      <c r="L1142" s="183" t="n">
        <v>148244</v>
      </c>
      <c r="M1142" s="135" t="n">
        <f aca="false">SUM(K1142:L1142)</f>
        <v>296503</v>
      </c>
      <c r="N1142" s="215" t="n">
        <v>2</v>
      </c>
      <c r="O1142" s="213" t="n">
        <v>2</v>
      </c>
      <c r="P1142" s="135" t="n">
        <f aca="false">SUM(N1142:O1142)</f>
        <v>4</v>
      </c>
      <c r="Q1142" s="110" t="str">
        <f aca="false">IF(P1077=P1142,"〇","×")</f>
        <v>×</v>
      </c>
    </row>
    <row r="1143" s="110" customFormat="true" ht="19.5" hidden="false" customHeight="true" outlineLevel="0" collapsed="false">
      <c r="A1143" s="121" t="s">
        <v>381</v>
      </c>
      <c r="B1143" s="215" t="n">
        <v>4575</v>
      </c>
      <c r="C1143" s="367" t="n">
        <v>375</v>
      </c>
      <c r="D1143" s="215" t="n">
        <v>6650</v>
      </c>
      <c r="E1143" s="213" t="n">
        <v>375</v>
      </c>
      <c r="F1143" s="368" t="n">
        <v>5</v>
      </c>
      <c r="G1143" s="366" t="n">
        <f aca="false">SUM(B1143:F1143)</f>
        <v>11980</v>
      </c>
      <c r="H1143" s="563" t="n">
        <v>2751</v>
      </c>
      <c r="I1143" s="370" t="n">
        <v>2798</v>
      </c>
      <c r="J1143" s="135" t="n">
        <f aca="false">SUM(H1143:I1143)</f>
        <v>5549</v>
      </c>
      <c r="K1143" s="262" t="n">
        <v>396</v>
      </c>
      <c r="L1143" s="183" t="n">
        <v>396</v>
      </c>
      <c r="M1143" s="135" t="n">
        <f aca="false">SUM(K1143:L1143)</f>
        <v>792</v>
      </c>
      <c r="N1143" s="215" t="n">
        <v>2</v>
      </c>
      <c r="O1143" s="213" t="n">
        <v>2</v>
      </c>
      <c r="P1143" s="135" t="n">
        <f aca="false">SUM(N1143:O1143)</f>
        <v>4</v>
      </c>
      <c r="Q1143" s="110" t="str">
        <f aca="false">IF(P1078=P1143,"〇","×")</f>
        <v>×</v>
      </c>
    </row>
    <row r="1144" s="137" customFormat="true" ht="19.5" hidden="false" customHeight="true" outlineLevel="0" collapsed="false">
      <c r="A1144" s="126" t="s">
        <v>171</v>
      </c>
      <c r="B1144" s="127" t="n">
        <v>0</v>
      </c>
      <c r="C1144" s="128" t="n">
        <v>0</v>
      </c>
      <c r="D1144" s="129"/>
      <c r="E1144" s="130"/>
      <c r="F1144" s="131" t="n">
        <v>0</v>
      </c>
      <c r="G1144" s="564" t="n">
        <f aca="false">SUM(B1144:F1144)</f>
        <v>0</v>
      </c>
      <c r="H1144" s="182" t="n">
        <v>0</v>
      </c>
      <c r="I1144" s="183" t="n">
        <v>0</v>
      </c>
      <c r="J1144" s="135" t="n">
        <f aca="false">SUM(H1144:I1144)</f>
        <v>0</v>
      </c>
      <c r="K1144" s="262" t="n">
        <v>0</v>
      </c>
      <c r="L1144" s="183" t="n">
        <v>0</v>
      </c>
      <c r="M1144" s="135" t="n">
        <f aca="false">SUM(K1144:L1144)</f>
        <v>0</v>
      </c>
      <c r="N1144" s="262" t="n">
        <v>0</v>
      </c>
      <c r="O1144" s="183" t="n">
        <v>0</v>
      </c>
      <c r="P1144" s="135" t="n">
        <f aca="false">SUM(N1144:O1144)</f>
        <v>0</v>
      </c>
      <c r="Q1144" s="137" t="str">
        <f aca="false">IF(P1079=P1144,"〇","×")</f>
        <v>×</v>
      </c>
    </row>
    <row r="1145" s="137" customFormat="true" ht="19.5" hidden="false" customHeight="true" outlineLevel="0" collapsed="false">
      <c r="A1145" s="138" t="s">
        <v>382</v>
      </c>
      <c r="B1145" s="139"/>
      <c r="C1145" s="140"/>
      <c r="D1145" s="139"/>
      <c r="E1145" s="141"/>
      <c r="F1145" s="142"/>
      <c r="G1145" s="143"/>
      <c r="H1145" s="394"/>
      <c r="I1145" s="145"/>
      <c r="J1145" s="146"/>
      <c r="K1145" s="147"/>
      <c r="L1145" s="148"/>
      <c r="M1145" s="148"/>
      <c r="N1145" s="147"/>
      <c r="O1145" s="148"/>
      <c r="P1145" s="148"/>
      <c r="Q1145" s="137" t="str">
        <f aca="false">IF(P1080=P1145,"〇","×")</f>
        <v>×</v>
      </c>
    </row>
    <row r="1146" s="137" customFormat="true" ht="19.5" hidden="false" customHeight="true" outlineLevel="0" collapsed="false">
      <c r="A1146" s="149" t="s">
        <v>382</v>
      </c>
      <c r="B1146" s="150"/>
      <c r="C1146" s="151"/>
      <c r="D1146" s="150"/>
      <c r="E1146" s="152"/>
      <c r="F1146" s="153"/>
      <c r="G1146" s="154"/>
      <c r="H1146" s="150"/>
      <c r="I1146" s="152"/>
      <c r="J1146" s="156"/>
      <c r="K1146" s="157"/>
      <c r="L1146" s="158"/>
      <c r="M1146" s="158"/>
      <c r="N1146" s="157"/>
      <c r="O1146" s="158"/>
      <c r="P1146" s="158"/>
      <c r="Q1146" s="137" t="str">
        <f aca="false">IF(P1081=P1146,"〇","×")</f>
        <v>×</v>
      </c>
    </row>
    <row r="1147" s="137" customFormat="true" ht="19.5" hidden="false" customHeight="true" outlineLevel="0" collapsed="false">
      <c r="A1147" s="149" t="s">
        <v>382</v>
      </c>
      <c r="B1147" s="139"/>
      <c r="C1147" s="140"/>
      <c r="D1147" s="139"/>
      <c r="E1147" s="141"/>
      <c r="F1147" s="142"/>
      <c r="G1147" s="143"/>
      <c r="H1147" s="139"/>
      <c r="I1147" s="141"/>
      <c r="J1147" s="146"/>
      <c r="K1147" s="160"/>
      <c r="L1147" s="161"/>
      <c r="M1147" s="161"/>
      <c r="N1147" s="160"/>
      <c r="O1147" s="161"/>
      <c r="P1147" s="161"/>
      <c r="Q1147" s="137" t="str">
        <f aca="false">IF(P1082=P1147,"〇","×")</f>
        <v>×</v>
      </c>
    </row>
    <row r="1148" s="137" customFormat="true" ht="19.5" hidden="false" customHeight="true" outlineLevel="0" collapsed="false">
      <c r="A1148" s="162" t="s">
        <v>382</v>
      </c>
      <c r="B1148" s="163"/>
      <c r="C1148" s="164"/>
      <c r="D1148" s="163"/>
      <c r="E1148" s="165"/>
      <c r="F1148" s="166"/>
      <c r="G1148" s="167"/>
      <c r="H1148" s="150"/>
      <c r="I1148" s="168"/>
      <c r="J1148" s="169"/>
      <c r="K1148" s="157"/>
      <c r="L1148" s="158"/>
      <c r="M1148" s="170"/>
      <c r="N1148" s="157"/>
      <c r="O1148" s="158"/>
      <c r="P1148" s="170"/>
      <c r="Q1148" s="137" t="str">
        <f aca="false">IF(P1083=P1148,"〇","×")</f>
        <v>×</v>
      </c>
    </row>
    <row r="1149" s="137" customFormat="true" ht="19.5" hidden="false" customHeight="true" outlineLevel="0" collapsed="false">
      <c r="A1149" s="171" t="s">
        <v>383</v>
      </c>
      <c r="B1149" s="172" t="n">
        <f aca="false">SUM(B1133:B1148)</f>
        <v>38429733</v>
      </c>
      <c r="C1149" s="173" t="n">
        <f aca="false">SUM(C1133:C1148)</f>
        <v>3145823</v>
      </c>
      <c r="D1149" s="172" t="n">
        <f aca="false">SUM(D1133:D1148)</f>
        <v>54720554</v>
      </c>
      <c r="E1149" s="174" t="n">
        <f aca="false">SUM(E1133:E1148)</f>
        <v>3026085</v>
      </c>
      <c r="F1149" s="175" t="n">
        <f aca="false">SUM(F1133:F1148)</f>
        <v>39324</v>
      </c>
      <c r="G1149" s="176" t="n">
        <f aca="false">SUM(B1149:F1149)</f>
        <v>99361519</v>
      </c>
      <c r="H1149" s="172" t="n">
        <f aca="false">SUM(H1133:H1148)</f>
        <v>28721448</v>
      </c>
      <c r="I1149" s="173" t="n">
        <f aca="false">SUM(I1133:I1148)</f>
        <v>28272846</v>
      </c>
      <c r="J1149" s="175" t="n">
        <f aca="false">SUM(H1149:I1149)</f>
        <v>56994294</v>
      </c>
      <c r="K1149" s="172" t="n">
        <f aca="false">SUM(K1133:K1148)</f>
        <v>2405599</v>
      </c>
      <c r="L1149" s="173" t="n">
        <f aca="false">SUM(L1133:L1148)</f>
        <v>2360155</v>
      </c>
      <c r="M1149" s="175" t="n">
        <f aca="false">SUM(K1149:L1149)</f>
        <v>4765754</v>
      </c>
      <c r="N1149" s="172" t="n">
        <f aca="false">SUM(N1133:N1148)</f>
        <v>22</v>
      </c>
      <c r="O1149" s="173" t="n">
        <f aca="false">SUM(O1133:O1148)</f>
        <v>22</v>
      </c>
      <c r="P1149" s="175" t="n">
        <f aca="false">SUM(N1149:O1149)</f>
        <v>44</v>
      </c>
      <c r="Q1149" s="137" t="str">
        <f aca="false">IF(P1084=P1149,"〇","×")</f>
        <v>×</v>
      </c>
    </row>
    <row r="1150" s="110" customFormat="true" ht="20.1" hidden="false" customHeight="true" outlineLevel="0" collapsed="false">
      <c r="A1150" s="177" t="s">
        <v>172</v>
      </c>
      <c r="B1150" s="299"/>
      <c r="C1150" s="300"/>
      <c r="D1150" s="433"/>
      <c r="E1150" s="434"/>
      <c r="F1150" s="308"/>
      <c r="G1150" s="302" t="n">
        <f aca="false">SUM(B1150:F1150)</f>
        <v>0</v>
      </c>
      <c r="H1150" s="565"/>
      <c r="I1150" s="304"/>
      <c r="J1150" s="305" t="n">
        <f aca="false">SUM(H1150:I1150)</f>
        <v>0</v>
      </c>
      <c r="K1150" s="303"/>
      <c r="L1150" s="304"/>
      <c r="M1150" s="306" t="n">
        <f aca="false">SUM(K1150:L1150)</f>
        <v>0</v>
      </c>
      <c r="N1150" s="303"/>
      <c r="O1150" s="304"/>
      <c r="P1150" s="306" t="n">
        <f aca="false">SUM(N1150:O1150)</f>
        <v>0</v>
      </c>
      <c r="Q1150" s="110" t="str">
        <f aca="false">IF(P1085=P1150,"〇","×")</f>
        <v>×</v>
      </c>
    </row>
    <row r="1151" s="110" customFormat="true" ht="20.1" hidden="false" customHeight="true" outlineLevel="0" collapsed="false">
      <c r="A1151" s="100" t="s">
        <v>174</v>
      </c>
      <c r="B1151" s="178" t="n">
        <v>0</v>
      </c>
      <c r="C1151" s="179" t="n">
        <v>0</v>
      </c>
      <c r="D1151" s="384" t="n">
        <v>70636</v>
      </c>
      <c r="E1151" s="213" t="n">
        <v>5789</v>
      </c>
      <c r="F1151" s="212" t="n">
        <v>79</v>
      </c>
      <c r="G1151" s="181" t="n">
        <f aca="false">SUM(B1151:F1151)</f>
        <v>76504</v>
      </c>
      <c r="H1151" s="262" t="n">
        <v>0</v>
      </c>
      <c r="I1151" s="183" t="n">
        <v>46348</v>
      </c>
      <c r="J1151" s="135" t="n">
        <f aca="false">SUM(H1151:I1151)</f>
        <v>46348</v>
      </c>
      <c r="K1151" s="182" t="n">
        <v>0</v>
      </c>
      <c r="L1151" s="183" t="n">
        <v>5167</v>
      </c>
      <c r="M1151" s="135" t="n">
        <f aca="false">SUM(K1151:L1151)</f>
        <v>5167</v>
      </c>
      <c r="N1151" s="182" t="n">
        <v>0</v>
      </c>
      <c r="O1151" s="183" t="n">
        <v>2</v>
      </c>
      <c r="P1151" s="135" t="n">
        <f aca="false">SUM(N1151:O1151)</f>
        <v>2</v>
      </c>
      <c r="Q1151" s="110" t="str">
        <f aca="false">IF(P1086=P1151,"〇","×")</f>
        <v>〇</v>
      </c>
    </row>
    <row r="1152" s="110" customFormat="true" ht="20.1" hidden="false" customHeight="true" outlineLevel="0" collapsed="false">
      <c r="A1152" s="100" t="s">
        <v>175</v>
      </c>
      <c r="B1152" s="186"/>
      <c r="C1152" s="187"/>
      <c r="D1152" s="215" t="n">
        <v>197362</v>
      </c>
      <c r="E1152" s="182" t="n">
        <v>16179</v>
      </c>
      <c r="F1152" s="212" t="n">
        <v>201</v>
      </c>
      <c r="G1152" s="181" t="n">
        <f aca="false">SUM(B1152:F1152)</f>
        <v>213742</v>
      </c>
      <c r="H1152" s="263"/>
      <c r="I1152" s="183" t="n">
        <v>133646</v>
      </c>
      <c r="J1152" s="135" t="n">
        <f aca="false">SUM(H1152:I1152)</f>
        <v>133646</v>
      </c>
      <c r="K1152" s="188"/>
      <c r="L1152" s="183" t="n">
        <v>13321</v>
      </c>
      <c r="M1152" s="135" t="n">
        <f aca="false">SUM(K1152:L1152)</f>
        <v>13321</v>
      </c>
      <c r="N1152" s="188"/>
      <c r="O1152" s="183" t="n">
        <v>2</v>
      </c>
      <c r="P1152" s="135" t="n">
        <f aca="false">SUM(N1152:O1152)</f>
        <v>2</v>
      </c>
      <c r="Q1152" s="110" t="str">
        <f aca="false">IF(P1087=P1152,"〇","×")</f>
        <v>〇</v>
      </c>
    </row>
    <row r="1153" s="110" customFormat="true" ht="20.1" hidden="false" customHeight="true" outlineLevel="0" collapsed="false">
      <c r="A1153" s="100" t="s">
        <v>176</v>
      </c>
      <c r="B1153" s="186"/>
      <c r="C1153" s="187"/>
      <c r="D1153" s="362" t="n">
        <v>5124</v>
      </c>
      <c r="E1153" s="182" t="n">
        <v>420</v>
      </c>
      <c r="F1153" s="212" t="n">
        <v>6</v>
      </c>
      <c r="G1153" s="181" t="n">
        <f aca="false">SUM(B1153:F1153)</f>
        <v>5550</v>
      </c>
      <c r="H1153" s="263"/>
      <c r="I1153" s="183" t="n">
        <v>3086</v>
      </c>
      <c r="J1153" s="135" t="n">
        <f aca="false">SUM(H1153:I1153)</f>
        <v>3086</v>
      </c>
      <c r="K1153" s="188"/>
      <c r="L1153" s="183" t="n">
        <v>442</v>
      </c>
      <c r="M1153" s="135" t="n">
        <f aca="false">SUM(K1153:L1153)</f>
        <v>442</v>
      </c>
      <c r="N1153" s="188"/>
      <c r="O1153" s="183" t="n">
        <v>2</v>
      </c>
      <c r="P1153" s="135" t="n">
        <f aca="false">SUM(N1153:O1153)</f>
        <v>2</v>
      </c>
      <c r="Q1153" s="110" t="str">
        <f aca="false">IF(P1088=P1153,"〇","×")</f>
        <v>×</v>
      </c>
    </row>
    <row r="1154" s="110" customFormat="true" ht="20.1" hidden="false" customHeight="true" outlineLevel="0" collapsed="false">
      <c r="A1154" s="189" t="s">
        <v>177</v>
      </c>
      <c r="B1154" s="186"/>
      <c r="C1154" s="187"/>
      <c r="D1154" s="362" t="n">
        <v>43829</v>
      </c>
      <c r="E1154" s="182" t="n">
        <v>3592</v>
      </c>
      <c r="F1154" s="212" t="n">
        <v>43</v>
      </c>
      <c r="G1154" s="181" t="n">
        <f aca="false">SUM(B1154:F1154)</f>
        <v>47464</v>
      </c>
      <c r="H1154" s="263"/>
      <c r="I1154" s="183" t="n">
        <v>26398</v>
      </c>
      <c r="J1154" s="135" t="n">
        <f aca="false">SUM(H1154:I1154)</f>
        <v>26398</v>
      </c>
      <c r="K1154" s="188"/>
      <c r="L1154" s="183" t="n">
        <v>3499</v>
      </c>
      <c r="M1154" s="135" t="n">
        <f aca="false">SUM(K1154:L1154)</f>
        <v>3499</v>
      </c>
      <c r="N1154" s="188"/>
      <c r="O1154" s="183" t="n">
        <v>2</v>
      </c>
      <c r="P1154" s="135" t="n">
        <f aca="false">SUM(N1154:O1154)</f>
        <v>2</v>
      </c>
      <c r="Q1154" s="110" t="str">
        <f aca="false">IF(P1089=P1154,"〇","×")</f>
        <v>〇</v>
      </c>
    </row>
    <row r="1155" s="110" customFormat="true" ht="20.1" hidden="false" customHeight="true" outlineLevel="0" collapsed="false">
      <c r="A1155" s="121" t="s">
        <v>178</v>
      </c>
      <c r="B1155" s="186"/>
      <c r="C1155" s="191"/>
      <c r="D1155" s="362" t="n">
        <v>9882</v>
      </c>
      <c r="E1155" s="182" t="n">
        <v>810</v>
      </c>
      <c r="F1155" s="368" t="n">
        <v>10</v>
      </c>
      <c r="G1155" s="181" t="n">
        <f aca="false">SUM(B1155:F1155)</f>
        <v>10702</v>
      </c>
      <c r="H1155" s="263"/>
      <c r="I1155" s="370" t="n">
        <v>5952</v>
      </c>
      <c r="J1155" s="135" t="n">
        <f aca="false">SUM(H1155:I1155)</f>
        <v>5952</v>
      </c>
      <c r="K1155" s="188"/>
      <c r="L1155" s="370" t="n">
        <v>852</v>
      </c>
      <c r="M1155" s="135" t="n">
        <f aca="false">SUM(K1155:L1155)</f>
        <v>852</v>
      </c>
      <c r="N1155" s="188"/>
      <c r="O1155" s="183" t="n">
        <v>2</v>
      </c>
      <c r="P1155" s="135" t="n">
        <f aca="false">SUM(N1155:O1155)</f>
        <v>2</v>
      </c>
      <c r="Q1155" s="110" t="str">
        <f aca="false">IF(P1090=P1155,"〇","×")</f>
        <v>×</v>
      </c>
    </row>
    <row r="1156" s="110" customFormat="true" ht="20.1" hidden="false" customHeight="true" outlineLevel="0" collapsed="false">
      <c r="A1156" s="121" t="s">
        <v>179</v>
      </c>
      <c r="B1156" s="186"/>
      <c r="C1156" s="191"/>
      <c r="D1156" s="215" t="n">
        <v>5216</v>
      </c>
      <c r="E1156" s="182" t="n">
        <v>427</v>
      </c>
      <c r="F1156" s="212" t="n">
        <v>6</v>
      </c>
      <c r="G1156" s="181" t="n">
        <f aca="false">SUM(B1156:F1156)</f>
        <v>5649</v>
      </c>
      <c r="H1156" s="263"/>
      <c r="I1156" s="183" t="n">
        <v>3142</v>
      </c>
      <c r="J1156" s="135" t="n">
        <f aca="false">SUM(H1156:I1156)</f>
        <v>3142</v>
      </c>
      <c r="K1156" s="188"/>
      <c r="L1156" s="183" t="n">
        <v>450</v>
      </c>
      <c r="M1156" s="135" t="n">
        <f aca="false">SUM(K1156:L1156)</f>
        <v>450</v>
      </c>
      <c r="N1156" s="188"/>
      <c r="O1156" s="183" t="n">
        <v>2</v>
      </c>
      <c r="P1156" s="135" t="n">
        <f aca="false">SUM(N1156:O1156)</f>
        <v>2</v>
      </c>
      <c r="Q1156" s="110" t="str">
        <f aca="false">IF(P1091=P1156,"〇","×")</f>
        <v>×</v>
      </c>
    </row>
    <row r="1157" s="110" customFormat="true" ht="20.1" hidden="false" customHeight="true" outlineLevel="0" collapsed="false">
      <c r="A1157" s="192" t="s">
        <v>180</v>
      </c>
      <c r="B1157" s="186"/>
      <c r="C1157" s="193"/>
      <c r="D1157" s="178" t="n">
        <v>13722</v>
      </c>
      <c r="E1157" s="182" t="n">
        <v>1126</v>
      </c>
      <c r="F1157" s="212" t="n">
        <v>14</v>
      </c>
      <c r="G1157" s="181" t="n">
        <f aca="false">SUM(B1157:F1157)</f>
        <v>14862</v>
      </c>
      <c r="H1157" s="263"/>
      <c r="I1157" s="183" t="n">
        <v>8266</v>
      </c>
      <c r="J1157" s="135" t="n">
        <f aca="false">SUM(H1157:I1157)</f>
        <v>8266</v>
      </c>
      <c r="K1157" s="188"/>
      <c r="L1157" s="183" t="n">
        <v>760</v>
      </c>
      <c r="M1157" s="135" t="n">
        <f aca="false">SUM(K1157:L1157)</f>
        <v>760</v>
      </c>
      <c r="N1157" s="188"/>
      <c r="O1157" s="183" t="n">
        <v>2</v>
      </c>
      <c r="P1157" s="135" t="n">
        <f aca="false">SUM(N1157:O1157)</f>
        <v>2</v>
      </c>
      <c r="Q1157" s="110" t="str">
        <f aca="false">IF(P1092=P1157,"〇","×")</f>
        <v>×</v>
      </c>
    </row>
    <row r="1158" s="110" customFormat="true" ht="20.1" hidden="false" customHeight="true" outlineLevel="0" collapsed="false">
      <c r="A1158" s="121" t="s">
        <v>181</v>
      </c>
      <c r="B1158" s="215" t="n">
        <v>41083</v>
      </c>
      <c r="C1158" s="212" t="n">
        <v>3367</v>
      </c>
      <c r="D1158" s="178" t="n">
        <v>41084</v>
      </c>
      <c r="E1158" s="182" t="n">
        <v>3367</v>
      </c>
      <c r="F1158" s="212" t="n">
        <v>41</v>
      </c>
      <c r="G1158" s="181" t="n">
        <f aca="false">SUM(B1158:F1158)</f>
        <v>88942</v>
      </c>
      <c r="H1158" s="262" t="n">
        <v>24700</v>
      </c>
      <c r="I1158" s="183" t="n">
        <v>24745</v>
      </c>
      <c r="J1158" s="135" t="n">
        <f aca="false">SUM(H1158:I1158)</f>
        <v>49445</v>
      </c>
      <c r="K1158" s="182" t="n">
        <v>1336</v>
      </c>
      <c r="L1158" s="183" t="n">
        <v>1335</v>
      </c>
      <c r="M1158" s="135" t="n">
        <f aca="false">SUM(K1158:L1158)</f>
        <v>2671</v>
      </c>
      <c r="N1158" s="182" t="n">
        <v>2</v>
      </c>
      <c r="O1158" s="183" t="n">
        <v>2</v>
      </c>
      <c r="P1158" s="135" t="n">
        <f aca="false">SUM(N1158:O1158)</f>
        <v>4</v>
      </c>
      <c r="Q1158" s="110" t="str">
        <f aca="false">IF(P1093=P1158,"〇","×")</f>
        <v>×</v>
      </c>
    </row>
    <row r="1159" s="110" customFormat="true" ht="20.1" hidden="false" customHeight="true" outlineLevel="0" collapsed="false">
      <c r="A1159" s="194" t="s">
        <v>182</v>
      </c>
      <c r="B1159" s="178" t="n">
        <v>6313</v>
      </c>
      <c r="C1159" s="212" t="n">
        <v>517</v>
      </c>
      <c r="D1159" s="178" t="n">
        <v>6314</v>
      </c>
      <c r="E1159" s="182" t="n">
        <v>517</v>
      </c>
      <c r="F1159" s="212" t="n">
        <v>7</v>
      </c>
      <c r="G1159" s="366" t="n">
        <f aca="false">SUM(B1159:F1159)</f>
        <v>13668</v>
      </c>
      <c r="H1159" s="262" t="n">
        <v>3795</v>
      </c>
      <c r="I1159" s="183" t="n">
        <v>3803</v>
      </c>
      <c r="J1159" s="135" t="n">
        <f aca="false">SUM(H1159:I1159)</f>
        <v>7598</v>
      </c>
      <c r="K1159" s="182" t="n">
        <v>0</v>
      </c>
      <c r="L1159" s="183" t="n">
        <v>0</v>
      </c>
      <c r="M1159" s="135" t="n">
        <f aca="false">SUM(K1159:L1159)</f>
        <v>0</v>
      </c>
      <c r="N1159" s="182" t="n">
        <v>2</v>
      </c>
      <c r="O1159" s="183" t="n">
        <v>2</v>
      </c>
      <c r="P1159" s="135" t="n">
        <f aca="false">SUM(N1159:O1159)</f>
        <v>4</v>
      </c>
      <c r="Q1159" s="110" t="str">
        <f aca="false">IF(P1094=P1159,"〇","×")</f>
        <v>×</v>
      </c>
    </row>
    <row r="1160" s="110" customFormat="true" ht="20.1" hidden="false" customHeight="true" outlineLevel="0" collapsed="false">
      <c r="A1160" s="197" t="s">
        <v>183</v>
      </c>
      <c r="B1160" s="178" t="n">
        <v>14639</v>
      </c>
      <c r="C1160" s="212" t="n">
        <v>1199</v>
      </c>
      <c r="D1160" s="178" t="n">
        <v>14641</v>
      </c>
      <c r="E1160" s="182" t="n">
        <v>1201</v>
      </c>
      <c r="F1160" s="212" t="n">
        <v>14</v>
      </c>
      <c r="G1160" s="181" t="n">
        <f aca="false">SUM(B1160:F1160)</f>
        <v>31694</v>
      </c>
      <c r="H1160" s="262" t="n">
        <v>8804</v>
      </c>
      <c r="I1160" s="183" t="n">
        <v>8817</v>
      </c>
      <c r="J1160" s="135" t="n">
        <f aca="false">SUM(H1160:I1160)</f>
        <v>17621</v>
      </c>
      <c r="K1160" s="182" t="n">
        <v>648</v>
      </c>
      <c r="L1160" s="183" t="n">
        <v>648</v>
      </c>
      <c r="M1160" s="135" t="n">
        <f aca="false">SUM(K1160:L1160)</f>
        <v>1296</v>
      </c>
      <c r="N1160" s="182" t="n">
        <v>2</v>
      </c>
      <c r="O1160" s="183" t="n">
        <v>2</v>
      </c>
      <c r="P1160" s="135" t="n">
        <f aca="false">SUM(N1160:O1160)</f>
        <v>4</v>
      </c>
      <c r="Q1160" s="110" t="str">
        <f aca="false">IF(P1095=P1160,"〇","×")</f>
        <v>×</v>
      </c>
    </row>
    <row r="1161" s="110" customFormat="true" ht="20.1" hidden="false" customHeight="true" outlineLevel="0" collapsed="false">
      <c r="A1161" s="100" t="s">
        <v>184</v>
      </c>
      <c r="B1161" s="384" t="n">
        <v>94423</v>
      </c>
      <c r="C1161" s="368" t="n">
        <v>7735</v>
      </c>
      <c r="D1161" s="384" t="n">
        <v>94428</v>
      </c>
      <c r="E1161" s="438" t="n">
        <v>7739</v>
      </c>
      <c r="F1161" s="385" t="n">
        <v>99</v>
      </c>
      <c r="G1161" s="181" t="n">
        <f aca="false">SUM(B1161:F1161)</f>
        <v>204424</v>
      </c>
      <c r="H1161" s="420" t="n">
        <v>58532</v>
      </c>
      <c r="I1161" s="421" t="n">
        <v>58639</v>
      </c>
      <c r="J1161" s="135" t="n">
        <f aca="false">SUM(H1161:I1161)</f>
        <v>117171</v>
      </c>
      <c r="K1161" s="438" t="n">
        <v>5174</v>
      </c>
      <c r="L1161" s="421" t="n">
        <v>5175</v>
      </c>
      <c r="M1161" s="135" t="n">
        <f aca="false">SUM(K1161:L1161)</f>
        <v>10349</v>
      </c>
      <c r="N1161" s="438" t="n">
        <v>2</v>
      </c>
      <c r="O1161" s="183" t="n">
        <v>2</v>
      </c>
      <c r="P1161" s="135" t="n">
        <f aca="false">SUM(N1161:O1161)</f>
        <v>4</v>
      </c>
      <c r="Q1161" s="110" t="str">
        <f aca="false">IF(P1096=P1161,"〇","×")</f>
        <v>×</v>
      </c>
    </row>
    <row r="1162" s="110" customFormat="true" ht="19.5" hidden="false" customHeight="true" outlineLevel="0" collapsed="false">
      <c r="A1162" s="100" t="s">
        <v>185</v>
      </c>
      <c r="B1162" s="201"/>
      <c r="C1162" s="191"/>
      <c r="D1162" s="215" t="n">
        <v>63227</v>
      </c>
      <c r="E1162" s="369" t="n">
        <v>5183</v>
      </c>
      <c r="F1162" s="368" t="n">
        <v>68</v>
      </c>
      <c r="G1162" s="181" t="n">
        <f aca="false">SUM(B1162:F1162)</f>
        <v>68478</v>
      </c>
      <c r="H1162" s="397"/>
      <c r="I1162" s="370" t="n">
        <v>38083</v>
      </c>
      <c r="J1162" s="135" t="n">
        <f aca="false">SUM(H1162:I1162)</f>
        <v>38083</v>
      </c>
      <c r="K1162" s="202"/>
      <c r="L1162" s="370" t="n">
        <v>2868</v>
      </c>
      <c r="M1162" s="135" t="n">
        <f aca="false">SUM(K1162:L1162)</f>
        <v>2868</v>
      </c>
      <c r="N1162" s="202"/>
      <c r="O1162" s="183" t="n">
        <v>2</v>
      </c>
      <c r="P1162" s="135" t="n">
        <f aca="false">SUM(N1162:O1162)</f>
        <v>2</v>
      </c>
      <c r="Q1162" s="110" t="str">
        <f aca="false">IF(P1097=P1162,"〇","×")</f>
        <v>×</v>
      </c>
    </row>
    <row r="1163" s="110" customFormat="true" ht="20.1" hidden="false" customHeight="true" outlineLevel="0" collapsed="false">
      <c r="A1163" s="203" t="s">
        <v>186</v>
      </c>
      <c r="B1163" s="186"/>
      <c r="C1163" s="193"/>
      <c r="D1163" s="178" t="n">
        <v>129016</v>
      </c>
      <c r="E1163" s="182" t="n">
        <v>10574</v>
      </c>
      <c r="F1163" s="368" t="n">
        <v>134</v>
      </c>
      <c r="G1163" s="181" t="n">
        <f aca="false">SUM(B1163:F1163)</f>
        <v>139724</v>
      </c>
      <c r="H1163" s="263"/>
      <c r="I1163" s="370" t="n">
        <v>77705</v>
      </c>
      <c r="J1163" s="135" t="n">
        <f aca="false">SUM(H1163:I1163)</f>
        <v>77705</v>
      </c>
      <c r="K1163" s="188"/>
      <c r="L1163" s="370" t="n">
        <v>10436</v>
      </c>
      <c r="M1163" s="135" t="n">
        <f aca="false">SUM(K1163:L1163)</f>
        <v>10436</v>
      </c>
      <c r="N1163" s="188"/>
      <c r="O1163" s="183" t="n">
        <v>2</v>
      </c>
      <c r="P1163" s="135" t="n">
        <f aca="false">SUM(N1163:O1163)</f>
        <v>2</v>
      </c>
      <c r="Q1163" s="110" t="str">
        <f aca="false">IF(P1098=P1163,"〇","×")</f>
        <v>×</v>
      </c>
    </row>
    <row r="1164" s="110" customFormat="true" ht="20.1" hidden="false" customHeight="true" outlineLevel="0" collapsed="false">
      <c r="A1164" s="204" t="s">
        <v>187</v>
      </c>
      <c r="B1164" s="186"/>
      <c r="C1164" s="193"/>
      <c r="D1164" s="178" t="n">
        <v>0</v>
      </c>
      <c r="E1164" s="182" t="n">
        <v>0</v>
      </c>
      <c r="F1164" s="368" t="n">
        <v>0</v>
      </c>
      <c r="G1164" s="181" t="n">
        <f aca="false">SUM(B1164:F1164)</f>
        <v>0</v>
      </c>
      <c r="H1164" s="263"/>
      <c r="I1164" s="370" t="n">
        <v>0</v>
      </c>
      <c r="J1164" s="135" t="n">
        <f aca="false">SUM(H1164:I1164)</f>
        <v>0</v>
      </c>
      <c r="K1164" s="188"/>
      <c r="L1164" s="370" t="n">
        <v>0</v>
      </c>
      <c r="M1164" s="135" t="n">
        <f aca="false">SUM(K1164:L1164)</f>
        <v>0</v>
      </c>
      <c r="N1164" s="188"/>
      <c r="O1164" s="370" t="n">
        <v>0</v>
      </c>
      <c r="P1164" s="135" t="n">
        <f aca="false">SUM(N1164:O1164)</f>
        <v>0</v>
      </c>
      <c r="Q1164" s="110" t="str">
        <f aca="false">IF(P1099=P1164,"〇","×")</f>
        <v>×</v>
      </c>
    </row>
    <row r="1165" s="110" customFormat="true" ht="20.1" hidden="false" customHeight="true" outlineLevel="0" collapsed="false">
      <c r="A1165" s="100" t="s">
        <v>188</v>
      </c>
      <c r="B1165" s="186"/>
      <c r="C1165" s="193"/>
      <c r="D1165" s="178" t="n">
        <v>45478</v>
      </c>
      <c r="E1165" s="182" t="n">
        <v>3729</v>
      </c>
      <c r="F1165" s="368" t="n">
        <v>46</v>
      </c>
      <c r="G1165" s="181" t="n">
        <f aca="false">SUM(B1165:F1165)</f>
        <v>49253</v>
      </c>
      <c r="H1165" s="263"/>
      <c r="I1165" s="370" t="n">
        <v>27389</v>
      </c>
      <c r="J1165" s="135" t="n">
        <f aca="false">SUM(H1165:I1165)</f>
        <v>27389</v>
      </c>
      <c r="K1165" s="188"/>
      <c r="L1165" s="370" t="n">
        <v>3929</v>
      </c>
      <c r="M1165" s="135" t="n">
        <f aca="false">SUM(K1165:L1165)</f>
        <v>3929</v>
      </c>
      <c r="N1165" s="188"/>
      <c r="O1165" s="370" t="n">
        <v>2</v>
      </c>
      <c r="P1165" s="135" t="n">
        <f aca="false">SUM(N1165:O1165)</f>
        <v>2</v>
      </c>
      <c r="Q1165" s="110" t="str">
        <f aca="false">IF(P1100=P1165,"〇","×")</f>
        <v>×</v>
      </c>
    </row>
    <row r="1166" s="110" customFormat="true" ht="20.1" hidden="false" customHeight="true" outlineLevel="0" collapsed="false">
      <c r="A1166" s="121" t="s">
        <v>189</v>
      </c>
      <c r="B1166" s="178" t="n">
        <v>15556</v>
      </c>
      <c r="C1166" s="212" t="n">
        <v>1276</v>
      </c>
      <c r="D1166" s="178" t="n">
        <v>15554</v>
      </c>
      <c r="E1166" s="182" t="n">
        <v>1276</v>
      </c>
      <c r="F1166" s="368" t="n">
        <v>16</v>
      </c>
      <c r="G1166" s="181" t="n">
        <f aca="false">SUM(B1166:F1166)</f>
        <v>33678</v>
      </c>
      <c r="H1166" s="262" t="n">
        <v>9350</v>
      </c>
      <c r="I1166" s="370" t="n">
        <v>9370</v>
      </c>
      <c r="J1166" s="135" t="n">
        <f aca="false">SUM(H1166:I1166)</f>
        <v>18720</v>
      </c>
      <c r="K1166" s="182" t="n">
        <v>932</v>
      </c>
      <c r="L1166" s="370" t="n">
        <v>932</v>
      </c>
      <c r="M1166" s="135" t="n">
        <f aca="false">SUM(K1166:L1166)</f>
        <v>1864</v>
      </c>
      <c r="N1166" s="182" t="n">
        <v>2</v>
      </c>
      <c r="O1166" s="370" t="n">
        <v>2</v>
      </c>
      <c r="P1166" s="135" t="n">
        <f aca="false">SUM(N1166:O1166)</f>
        <v>4</v>
      </c>
      <c r="Q1166" s="110" t="str">
        <f aca="false">IF(P1101=P1166,"〇","×")</f>
        <v>×</v>
      </c>
    </row>
    <row r="1167" s="110" customFormat="true" ht="20.1" hidden="false" customHeight="true" outlineLevel="0" collapsed="false">
      <c r="A1167" s="206" t="s">
        <v>190</v>
      </c>
      <c r="B1167" s="201"/>
      <c r="C1167" s="191"/>
      <c r="D1167" s="215" t="n">
        <v>43280</v>
      </c>
      <c r="E1167" s="369" t="n">
        <v>3547</v>
      </c>
      <c r="F1167" s="368" t="n">
        <v>44</v>
      </c>
      <c r="G1167" s="181" t="n">
        <f aca="false">SUM(B1167:F1167)</f>
        <v>46871</v>
      </c>
      <c r="H1167" s="397"/>
      <c r="I1167" s="370" t="n">
        <v>28382</v>
      </c>
      <c r="J1167" s="135" t="n">
        <f aca="false">SUM(H1167:I1167)</f>
        <v>28382</v>
      </c>
      <c r="K1167" s="202"/>
      <c r="L1167" s="370" t="n">
        <v>2441</v>
      </c>
      <c r="M1167" s="135" t="n">
        <f aca="false">SUM(K1167:L1167)</f>
        <v>2441</v>
      </c>
      <c r="N1167" s="202"/>
      <c r="O1167" s="370" t="n">
        <v>2</v>
      </c>
      <c r="P1167" s="135" t="n">
        <f aca="false">SUM(N1167:O1167)</f>
        <v>2</v>
      </c>
      <c r="Q1167" s="110" t="str">
        <f aca="false">IF(P1102=P1167,"〇","×")</f>
        <v>×</v>
      </c>
    </row>
    <row r="1168" s="110" customFormat="true" ht="20.1" hidden="false" customHeight="true" outlineLevel="0" collapsed="false">
      <c r="A1168" s="121" t="s">
        <v>191</v>
      </c>
      <c r="B1168" s="178" t="n">
        <v>5674</v>
      </c>
      <c r="C1168" s="212" t="n">
        <v>466</v>
      </c>
      <c r="D1168" s="178" t="n">
        <v>5672</v>
      </c>
      <c r="E1168" s="182" t="n">
        <v>466</v>
      </c>
      <c r="F1168" s="212" t="n">
        <v>6</v>
      </c>
      <c r="G1168" s="181" t="n">
        <f aca="false">SUM(B1168:F1168)</f>
        <v>12284</v>
      </c>
      <c r="H1168" s="262" t="n">
        <v>3412</v>
      </c>
      <c r="I1168" s="183" t="n">
        <v>3418</v>
      </c>
      <c r="J1168" s="135" t="n">
        <f aca="false">SUM(H1168:I1168)</f>
        <v>6830</v>
      </c>
      <c r="K1168" s="182" t="n">
        <v>490</v>
      </c>
      <c r="L1168" s="183" t="n">
        <v>490</v>
      </c>
      <c r="M1168" s="135" t="n">
        <f aca="false">SUM(K1168:L1168)</f>
        <v>980</v>
      </c>
      <c r="N1168" s="182" t="n">
        <v>2</v>
      </c>
      <c r="O1168" s="370" t="n">
        <v>2</v>
      </c>
      <c r="P1168" s="135" t="n">
        <f aca="false">SUM(N1168:O1168)</f>
        <v>4</v>
      </c>
      <c r="Q1168" s="110" t="str">
        <f aca="false">IF(P1103=P1168,"〇","×")</f>
        <v>〇</v>
      </c>
    </row>
    <row r="1169" s="110" customFormat="true" ht="20.1" hidden="false" customHeight="true" outlineLevel="0" collapsed="false">
      <c r="A1169" s="189" t="s">
        <v>192</v>
      </c>
      <c r="B1169" s="215" t="n">
        <v>2105</v>
      </c>
      <c r="C1169" s="212" t="n">
        <v>173</v>
      </c>
      <c r="D1169" s="178" t="n">
        <v>2104</v>
      </c>
      <c r="E1169" s="182" t="n">
        <v>173</v>
      </c>
      <c r="F1169" s="212" t="n">
        <v>2</v>
      </c>
      <c r="G1169" s="181" t="n">
        <f aca="false">SUM(B1169:F1169)</f>
        <v>4557</v>
      </c>
      <c r="H1169" s="262" t="n">
        <v>6052</v>
      </c>
      <c r="I1169" s="183" t="n">
        <v>6062</v>
      </c>
      <c r="J1169" s="135" t="n">
        <f aca="false">SUM(H1169:I1169)</f>
        <v>12114</v>
      </c>
      <c r="K1169" s="182" t="n">
        <v>869</v>
      </c>
      <c r="L1169" s="183" t="n">
        <v>869</v>
      </c>
      <c r="M1169" s="135" t="n">
        <f aca="false">SUM(K1169:L1169)</f>
        <v>1738</v>
      </c>
      <c r="N1169" s="182" t="n">
        <v>2</v>
      </c>
      <c r="O1169" s="370" t="n">
        <v>2</v>
      </c>
      <c r="P1169" s="135" t="n">
        <f aca="false">SUM(N1169:O1169)</f>
        <v>4</v>
      </c>
      <c r="Q1169" s="110" t="str">
        <f aca="false">IF(P1104=P1169,"〇","×")</f>
        <v>×</v>
      </c>
    </row>
    <row r="1170" s="110" customFormat="true" ht="20.1" hidden="false" customHeight="true" outlineLevel="0" collapsed="false">
      <c r="A1170" s="189" t="s">
        <v>193</v>
      </c>
      <c r="B1170" s="178" t="n">
        <v>3751</v>
      </c>
      <c r="C1170" s="212" t="n">
        <v>307</v>
      </c>
      <c r="D1170" s="178" t="n">
        <v>3752</v>
      </c>
      <c r="E1170" s="182" t="n">
        <v>307</v>
      </c>
      <c r="F1170" s="212" t="n">
        <v>4</v>
      </c>
      <c r="G1170" s="181" t="n">
        <f aca="false">SUM(B1170:F1170)</f>
        <v>8121</v>
      </c>
      <c r="H1170" s="262" t="n">
        <v>2256</v>
      </c>
      <c r="I1170" s="183" t="n">
        <v>2260</v>
      </c>
      <c r="J1170" s="135" t="n">
        <f aca="false">SUM(H1170:I1170)</f>
        <v>4516</v>
      </c>
      <c r="K1170" s="182" t="n">
        <v>0</v>
      </c>
      <c r="L1170" s="183" t="n">
        <v>0</v>
      </c>
      <c r="M1170" s="135" t="n">
        <f aca="false">SUM(K1170:L1170)</f>
        <v>0</v>
      </c>
      <c r="N1170" s="182" t="n">
        <v>2</v>
      </c>
      <c r="O1170" s="183" t="n">
        <v>2</v>
      </c>
      <c r="P1170" s="135" t="n">
        <f aca="false">SUM(N1170:O1170)</f>
        <v>4</v>
      </c>
      <c r="Q1170" s="110" t="str">
        <f aca="false">IF(P1105=P1170,"〇","×")</f>
        <v>×</v>
      </c>
    </row>
    <row r="1171" s="110" customFormat="true" ht="20.1" hidden="false" customHeight="true" outlineLevel="0" collapsed="false">
      <c r="A1171" s="121" t="s">
        <v>194</v>
      </c>
      <c r="B1171" s="178" t="n">
        <v>132401</v>
      </c>
      <c r="C1171" s="212" t="n">
        <v>10853</v>
      </c>
      <c r="D1171" s="178" t="n">
        <v>132401</v>
      </c>
      <c r="E1171" s="182" t="n">
        <v>10853</v>
      </c>
      <c r="F1171" s="212" t="n">
        <v>142</v>
      </c>
      <c r="G1171" s="181" t="n">
        <f aca="false">SUM(B1171:F1171)</f>
        <v>286650</v>
      </c>
      <c r="H1171" s="262" t="n">
        <v>79598</v>
      </c>
      <c r="I1171" s="183" t="n">
        <v>79748</v>
      </c>
      <c r="J1171" s="135" t="n">
        <f aca="false">SUM(H1171:I1171)</f>
        <v>159346</v>
      </c>
      <c r="K1171" s="182" t="n">
        <v>6737</v>
      </c>
      <c r="L1171" s="183" t="n">
        <v>6738</v>
      </c>
      <c r="M1171" s="135" t="n">
        <f aca="false">SUM(K1171:L1171)</f>
        <v>13475</v>
      </c>
      <c r="N1171" s="182" t="n">
        <v>2</v>
      </c>
      <c r="O1171" s="183" t="n">
        <v>2</v>
      </c>
      <c r="P1171" s="135" t="n">
        <f aca="false">SUM(N1171:O1171)</f>
        <v>4</v>
      </c>
      <c r="Q1171" s="110" t="str">
        <f aca="false">IF(P1106=P1171,"〇","×")</f>
        <v>×</v>
      </c>
    </row>
    <row r="1172" s="110" customFormat="true" ht="20.1" hidden="false" customHeight="true" outlineLevel="0" collapsed="false">
      <c r="A1172" s="121" t="s">
        <v>195</v>
      </c>
      <c r="B1172" s="201"/>
      <c r="C1172" s="191"/>
      <c r="D1172" s="215" t="n">
        <v>19305</v>
      </c>
      <c r="E1172" s="213" t="n">
        <v>1583</v>
      </c>
      <c r="F1172" s="368" t="n">
        <v>20</v>
      </c>
      <c r="G1172" s="181" t="n">
        <f aca="false">SUM(B1172:F1172)</f>
        <v>20908</v>
      </c>
      <c r="H1172" s="202"/>
      <c r="I1172" s="214" t="n">
        <v>15706</v>
      </c>
      <c r="J1172" s="135" t="n">
        <f aca="false">SUM(H1172:I1172)</f>
        <v>15706</v>
      </c>
      <c r="K1172" s="201"/>
      <c r="L1172" s="214" t="n">
        <v>1026</v>
      </c>
      <c r="M1172" s="135" t="n">
        <f aca="false">SUM(K1172:L1172)</f>
        <v>1026</v>
      </c>
      <c r="N1172" s="201"/>
      <c r="O1172" s="214" t="n">
        <v>2</v>
      </c>
      <c r="P1172" s="135" t="n">
        <f aca="false">SUM(N1172:O1172)</f>
        <v>2</v>
      </c>
      <c r="Q1172" s="110" t="str">
        <f aca="false">IF(P1107=P1172,"〇","×")</f>
        <v>×</v>
      </c>
    </row>
    <row r="1173" s="110" customFormat="true" ht="20.1" hidden="false" customHeight="true" outlineLevel="0" collapsed="false">
      <c r="A1173" s="207" t="s">
        <v>196</v>
      </c>
      <c r="B1173" s="215" t="n">
        <v>9896820</v>
      </c>
      <c r="C1173" s="368" t="n">
        <v>810960</v>
      </c>
      <c r="D1173" s="215" t="n">
        <v>14854056</v>
      </c>
      <c r="E1173" s="369" t="n">
        <v>810959</v>
      </c>
      <c r="F1173" s="368" t="n">
        <v>11210</v>
      </c>
      <c r="G1173" s="181" t="n">
        <f aca="false">SUM(B1173:F1173)</f>
        <v>26384005</v>
      </c>
      <c r="H1173" s="215" t="n">
        <v>6639878</v>
      </c>
      <c r="I1173" s="370" t="n">
        <v>6653161</v>
      </c>
      <c r="J1173" s="135" t="n">
        <f aca="false">SUM(H1173:I1173)</f>
        <v>13293039</v>
      </c>
      <c r="K1173" s="215" t="n">
        <v>527487</v>
      </c>
      <c r="L1173" s="370" t="n">
        <v>527487</v>
      </c>
      <c r="M1173" s="135" t="n">
        <f aca="false">SUM(K1173:L1173)</f>
        <v>1054974</v>
      </c>
      <c r="N1173" s="215" t="n">
        <v>2</v>
      </c>
      <c r="O1173" s="370" t="n">
        <v>2</v>
      </c>
      <c r="P1173" s="135" t="n">
        <f aca="false">SUM(N1173:O1173)</f>
        <v>4</v>
      </c>
      <c r="Q1173" s="110" t="str">
        <f aca="false">IF(P1108=P1173,"〇","×")</f>
        <v>×</v>
      </c>
    </row>
    <row r="1174" s="110" customFormat="true" ht="20.1" hidden="false" customHeight="true" outlineLevel="0" collapsed="false">
      <c r="A1174" s="374" t="s">
        <v>197</v>
      </c>
      <c r="B1174" s="127"/>
      <c r="C1174" s="131"/>
      <c r="D1174" s="127"/>
      <c r="E1174" s="209"/>
      <c r="F1174" s="131"/>
      <c r="G1174" s="210" t="n">
        <f aca="false">SUM(B1174:F1174)</f>
        <v>0</v>
      </c>
      <c r="H1174" s="215" t="n">
        <v>7480</v>
      </c>
      <c r="I1174" s="370" t="n">
        <v>7498</v>
      </c>
      <c r="J1174" s="135" t="n">
        <f aca="false">SUM(H1174:I1174)</f>
        <v>14978</v>
      </c>
      <c r="K1174" s="215" t="n">
        <v>782</v>
      </c>
      <c r="L1174" s="370" t="n">
        <v>783</v>
      </c>
      <c r="M1174" s="135" t="n">
        <f aca="false">SUM(K1174:L1174)</f>
        <v>1565</v>
      </c>
      <c r="N1174" s="215" t="n">
        <v>2</v>
      </c>
      <c r="O1174" s="370" t="n">
        <v>2</v>
      </c>
      <c r="P1174" s="135" t="n">
        <f aca="false">SUM(N1174:O1174)</f>
        <v>4</v>
      </c>
      <c r="Q1174" s="110" t="str">
        <f aca="false">IF(P1109=P1174,"〇","×")</f>
        <v>×</v>
      </c>
    </row>
    <row r="1175" s="110" customFormat="true" ht="20.1" hidden="false" customHeight="true" outlineLevel="0" collapsed="false">
      <c r="A1175" s="211" t="s">
        <v>216</v>
      </c>
      <c r="B1175" s="311"/>
      <c r="C1175" s="330"/>
      <c r="D1175" s="311"/>
      <c r="E1175" s="309"/>
      <c r="F1175" s="331"/>
      <c r="G1175" s="302" t="n">
        <f aca="false">SUM(B1175:F1175)</f>
        <v>0</v>
      </c>
      <c r="H1175" s="311"/>
      <c r="I1175" s="310"/>
      <c r="J1175" s="305" t="n">
        <f aca="false">SUM(H1175:I1175)</f>
        <v>0</v>
      </c>
      <c r="K1175" s="309"/>
      <c r="L1175" s="310"/>
      <c r="M1175" s="305" t="n">
        <f aca="false">SUM(K1175:L1175)</f>
        <v>0</v>
      </c>
      <c r="N1175" s="311"/>
      <c r="O1175" s="566"/>
      <c r="P1175" s="305" t="n">
        <f aca="false">SUM(N1175:O1175)</f>
        <v>0</v>
      </c>
      <c r="Q1175" s="110" t="str">
        <f aca="false">IF(P1110=P1175,"〇","×")</f>
        <v>〇</v>
      </c>
    </row>
    <row r="1176" s="110" customFormat="true" ht="20.1" hidden="false" customHeight="true" outlineLevel="0" collapsed="false">
      <c r="A1176" s="211" t="s">
        <v>199</v>
      </c>
      <c r="B1176" s="215"/>
      <c r="C1176" s="367"/>
      <c r="D1176" s="215"/>
      <c r="E1176" s="213"/>
      <c r="F1176" s="368"/>
      <c r="G1176" s="181" t="n">
        <f aca="false">SUM(B1176:F1176)</f>
        <v>0</v>
      </c>
      <c r="H1176" s="215" t="n">
        <v>7812</v>
      </c>
      <c r="I1176" s="214" t="n">
        <v>7825</v>
      </c>
      <c r="J1176" s="135" t="n">
        <f aca="false">SUM(H1176:I1176)</f>
        <v>15637</v>
      </c>
      <c r="K1176" s="213" t="n">
        <v>1122</v>
      </c>
      <c r="L1176" s="214" t="n">
        <v>1122</v>
      </c>
      <c r="M1176" s="135" t="n">
        <f aca="false">SUM(K1176:L1176)</f>
        <v>2244</v>
      </c>
      <c r="N1176" s="215" t="n">
        <v>2</v>
      </c>
      <c r="O1176" s="370" t="n">
        <v>2</v>
      </c>
      <c r="P1176" s="135" t="n">
        <f aca="false">SUM(N1176:O1176)</f>
        <v>4</v>
      </c>
      <c r="Q1176" s="110" t="str">
        <f aca="false">IF(P1111=P1176,"〇","×")</f>
        <v>×</v>
      </c>
    </row>
    <row r="1177" s="110" customFormat="true" ht="20.1" hidden="false" customHeight="true" outlineLevel="0" collapsed="false">
      <c r="A1177" s="149"/>
      <c r="B1177" s="157"/>
      <c r="C1177" s="156"/>
      <c r="D1177" s="220"/>
      <c r="E1177" s="158"/>
      <c r="F1177" s="156"/>
      <c r="G1177" s="221" t="n">
        <f aca="false">SUM(B1177:F1177)</f>
        <v>0</v>
      </c>
      <c r="H1177" s="160"/>
      <c r="I1177" s="158"/>
      <c r="J1177" s="223" t="n">
        <f aca="false">SUM(H1177:I1177)</f>
        <v>0</v>
      </c>
      <c r="K1177" s="220"/>
      <c r="L1177" s="158"/>
      <c r="M1177" s="223" t="n">
        <f aca="false">SUM(K1177:L1177)</f>
        <v>0</v>
      </c>
      <c r="N1177" s="220"/>
      <c r="O1177" s="158"/>
      <c r="P1177" s="223" t="n">
        <f aca="false">SUM(N1177:O1177)</f>
        <v>0</v>
      </c>
      <c r="Q1177" s="110" t="str">
        <f aca="false">IF(P1112=P1177,"〇","×")</f>
        <v>〇</v>
      </c>
    </row>
    <row r="1178" s="137" customFormat="true" ht="0.2" hidden="false" customHeight="true" outlineLevel="0" collapsed="false">
      <c r="A1178" s="149"/>
      <c r="B1178" s="157"/>
      <c r="C1178" s="156"/>
      <c r="D1178" s="220"/>
      <c r="E1178" s="158"/>
      <c r="F1178" s="156"/>
      <c r="G1178" s="221" t="n">
        <f aca="false">SUM(B1178:F1178)</f>
        <v>0</v>
      </c>
      <c r="H1178" s="160"/>
      <c r="I1178" s="158"/>
      <c r="J1178" s="223" t="n">
        <f aca="false">SUM(H1178:I1178)</f>
        <v>0</v>
      </c>
      <c r="K1178" s="220"/>
      <c r="L1178" s="158"/>
      <c r="M1178" s="223" t="n">
        <f aca="false">SUM(K1178:L1178)</f>
        <v>0</v>
      </c>
      <c r="N1178" s="220"/>
      <c r="O1178" s="158"/>
      <c r="P1178" s="223" t="n">
        <f aca="false">SUM(N1178:O1178)</f>
        <v>0</v>
      </c>
      <c r="Q1178" s="137" t="str">
        <f aca="false">IF(P1113=P1178,"〇","×")</f>
        <v>〇</v>
      </c>
    </row>
    <row r="1179" s="137" customFormat="true" ht="0.2" hidden="false" customHeight="true" outlineLevel="0" collapsed="false">
      <c r="A1179" s="162"/>
      <c r="B1179" s="224"/>
      <c r="C1179" s="225"/>
      <c r="D1179" s="226"/>
      <c r="E1179" s="227"/>
      <c r="F1179" s="225"/>
      <c r="G1179" s="228"/>
      <c r="H1179" s="231"/>
      <c r="I1179" s="229"/>
      <c r="J1179" s="230"/>
      <c r="K1179" s="231"/>
      <c r="L1179" s="229"/>
      <c r="M1179" s="230"/>
      <c r="N1179" s="231"/>
      <c r="O1179" s="229"/>
      <c r="P1179" s="230"/>
      <c r="Q1179" s="137" t="str">
        <f aca="false">IF(P1114=P1179,"〇","×")</f>
        <v>〇</v>
      </c>
    </row>
    <row r="1180" s="110" customFormat="true" ht="20.1" hidden="false" customHeight="true" outlineLevel="0" collapsed="false">
      <c r="A1180" s="171" t="s">
        <v>383</v>
      </c>
      <c r="B1180" s="172" t="n">
        <f aca="false">SUM(B1150:B1179)</f>
        <v>10212765</v>
      </c>
      <c r="C1180" s="175" t="n">
        <f aca="false">SUM(C1150:C1179)</f>
        <v>836853</v>
      </c>
      <c r="D1180" s="173" t="n">
        <f aca="false">SUM(D1150:D1179)</f>
        <v>15816083</v>
      </c>
      <c r="E1180" s="174" t="n">
        <f aca="false">SUM(E1150:E1179)</f>
        <v>889817</v>
      </c>
      <c r="F1180" s="175" t="n">
        <f aca="false">SUM(F1150:F1179)</f>
        <v>12212</v>
      </c>
      <c r="G1180" s="176" t="n">
        <f aca="false">SUM(B1180:F1180)</f>
        <v>27767730</v>
      </c>
      <c r="H1180" s="172" t="n">
        <f aca="false">SUM(H1150:H1178)</f>
        <v>6851669</v>
      </c>
      <c r="I1180" s="173" t="n">
        <f aca="false">SUM(I1150:I1178)</f>
        <v>7279449</v>
      </c>
      <c r="J1180" s="175" t="n">
        <f aca="false">SUM(H1180:I1180)</f>
        <v>14131118</v>
      </c>
      <c r="K1180" s="172" t="n">
        <f aca="false">SUM(K1150:K1178)</f>
        <v>545577</v>
      </c>
      <c r="L1180" s="173" t="n">
        <f aca="false">SUM(L1150:L1178)</f>
        <v>590770</v>
      </c>
      <c r="M1180" s="175" t="n">
        <f aca="false">SUM(K1180:L1180)</f>
        <v>1136347</v>
      </c>
      <c r="N1180" s="172" t="n">
        <f aca="false">SUM(N1150:N1178)</f>
        <v>24</v>
      </c>
      <c r="O1180" s="173" t="n">
        <f aca="false">SUM(O1150:O1178)</f>
        <v>48</v>
      </c>
      <c r="P1180" s="175" t="n">
        <f aca="false">SUM(N1180:O1180)</f>
        <v>72</v>
      </c>
      <c r="Q1180" s="110" t="str">
        <f aca="false">IF(P1115=P1180,"〇","×")</f>
        <v>×</v>
      </c>
    </row>
    <row r="1181" s="137" customFormat="true" ht="0.2" hidden="false" customHeight="true" outlineLevel="0" collapsed="false">
      <c r="A1181" s="149" t="s">
        <v>382</v>
      </c>
      <c r="B1181" s="231"/>
      <c r="C1181" s="232"/>
      <c r="D1181" s="229"/>
      <c r="E1181" s="233"/>
      <c r="F1181" s="234"/>
      <c r="G1181" s="235"/>
      <c r="H1181" s="398"/>
      <c r="I1181" s="236"/>
      <c r="J1181" s="237"/>
      <c r="K1181" s="238"/>
      <c r="L1181" s="239"/>
      <c r="M1181" s="240"/>
      <c r="N1181" s="238"/>
      <c r="O1181" s="239"/>
      <c r="P1181" s="240"/>
      <c r="Q1181" s="137" t="str">
        <f aca="false">IF(P1116=P1181,"〇","×")</f>
        <v>〇</v>
      </c>
    </row>
    <row r="1182" s="137" customFormat="true" ht="0.2" hidden="false" customHeight="true" outlineLevel="0" collapsed="false">
      <c r="A1182" s="241" t="s">
        <v>382</v>
      </c>
      <c r="B1182" s="242"/>
      <c r="C1182" s="243"/>
      <c r="D1182" s="229"/>
      <c r="E1182" s="233"/>
      <c r="F1182" s="232"/>
      <c r="G1182" s="228"/>
      <c r="H1182" s="399"/>
      <c r="I1182" s="244"/>
      <c r="J1182" s="245"/>
      <c r="K1182" s="246"/>
      <c r="L1182" s="247"/>
      <c r="M1182" s="248"/>
      <c r="N1182" s="246"/>
      <c r="O1182" s="247"/>
      <c r="P1182" s="248"/>
      <c r="Q1182" s="137" t="str">
        <f aca="false">IF(P1117=P1182,"〇","×")</f>
        <v>〇</v>
      </c>
    </row>
    <row r="1183" s="110" customFormat="true" ht="20.1" hidden="false" customHeight="true" outlineLevel="0" collapsed="false">
      <c r="A1183" s="189" t="s">
        <v>200</v>
      </c>
      <c r="B1183" s="384" t="n">
        <v>9882</v>
      </c>
      <c r="C1183" s="385" t="n">
        <v>810</v>
      </c>
      <c r="D1183" s="213" t="n">
        <v>9882</v>
      </c>
      <c r="E1183" s="214" t="n">
        <v>810</v>
      </c>
      <c r="F1183" s="368" t="n">
        <v>10</v>
      </c>
      <c r="G1183" s="366" t="n">
        <f aca="false">SUM(B1183:F1183)</f>
        <v>21394</v>
      </c>
      <c r="H1183" s="130"/>
      <c r="I1183" s="130"/>
      <c r="J1183" s="196" t="n">
        <f aca="false">SUM(H1183:I1183)</f>
        <v>0</v>
      </c>
      <c r="K1183" s="130"/>
      <c r="L1183" s="130"/>
      <c r="M1183" s="196" t="n">
        <f aca="false">SUM(K1183:L1183)</f>
        <v>0</v>
      </c>
      <c r="N1183" s="130"/>
      <c r="O1183" s="130"/>
      <c r="P1183" s="196" t="n">
        <f aca="false">SUM(N1183:O1183)</f>
        <v>0</v>
      </c>
      <c r="Q1183" s="110" t="str">
        <f aca="false">IF(P1118=P1183,"〇","×")</f>
        <v>〇</v>
      </c>
    </row>
    <row r="1184" s="110" customFormat="true" ht="20.1" hidden="false" customHeight="true" outlineLevel="0" collapsed="false">
      <c r="A1184" s="189" t="s">
        <v>201</v>
      </c>
      <c r="B1184" s="384" t="n">
        <v>6039</v>
      </c>
      <c r="C1184" s="385" t="n">
        <v>495</v>
      </c>
      <c r="D1184" s="400" t="n">
        <v>6039</v>
      </c>
      <c r="E1184" s="401" t="n">
        <v>495</v>
      </c>
      <c r="F1184" s="402" t="n">
        <v>6</v>
      </c>
      <c r="G1184" s="366" t="n">
        <f aca="false">SUM(B1184:F1184)</f>
        <v>13074</v>
      </c>
      <c r="H1184" s="252"/>
      <c r="I1184" s="252"/>
      <c r="J1184" s="253" t="n">
        <f aca="false">SUM(H1184:I1184)</f>
        <v>0</v>
      </c>
      <c r="K1184" s="252"/>
      <c r="L1184" s="252"/>
      <c r="M1184" s="253" t="n">
        <f aca="false">SUM(K1184:L1184)</f>
        <v>0</v>
      </c>
      <c r="N1184" s="252"/>
      <c r="O1184" s="252"/>
      <c r="P1184" s="253" t="n">
        <f aca="false">SUM(N1184:O1184)</f>
        <v>0</v>
      </c>
      <c r="Q1184" s="110" t="str">
        <f aca="false">IF(P1119=P1184,"〇","×")</f>
        <v>〇</v>
      </c>
    </row>
    <row r="1185" s="110" customFormat="true" ht="20.1" hidden="false" customHeight="true" outlineLevel="0" collapsed="false">
      <c r="A1185" s="171" t="s">
        <v>383</v>
      </c>
      <c r="B1185" s="172" t="n">
        <f aca="false">SUM(B1181:B1184)</f>
        <v>15921</v>
      </c>
      <c r="C1185" s="175" t="n">
        <f aca="false">SUM(C1181:C1184)</f>
        <v>1305</v>
      </c>
      <c r="D1185" s="173" t="n">
        <f aca="false">SUM(D1181:D1184)</f>
        <v>15921</v>
      </c>
      <c r="E1185" s="174" t="n">
        <f aca="false">SUM(E1181:E1184)</f>
        <v>1305</v>
      </c>
      <c r="F1185" s="175" t="n">
        <f aca="false">SUM(F1181:F1184)</f>
        <v>16</v>
      </c>
      <c r="G1185" s="176" t="n">
        <f aca="false">SUM(B1185:F1185)</f>
        <v>34468</v>
      </c>
      <c r="H1185" s="256" t="n">
        <f aca="false">SUM(H1181:H1184)</f>
        <v>0</v>
      </c>
      <c r="I1185" s="257" t="n">
        <f aca="false">SUM(I1181:I1184)</f>
        <v>0</v>
      </c>
      <c r="J1185" s="258" t="n">
        <f aca="false">SUM(H1185:I1185)</f>
        <v>0</v>
      </c>
      <c r="K1185" s="256" t="n">
        <f aca="false">SUM(K1181:K1184)</f>
        <v>0</v>
      </c>
      <c r="L1185" s="257" t="n">
        <f aca="false">SUM(L1181:L1184)</f>
        <v>0</v>
      </c>
      <c r="M1185" s="258" t="n">
        <f aca="false">SUM(K1185:L1185)</f>
        <v>0</v>
      </c>
      <c r="N1185" s="256" t="n">
        <f aca="false">SUM(N1181:N1184)</f>
        <v>0</v>
      </c>
      <c r="O1185" s="257" t="n">
        <f aca="false">SUM(O1181:O1184)</f>
        <v>0</v>
      </c>
      <c r="P1185" s="258" t="n">
        <f aca="false">SUM(N1185:O1185)</f>
        <v>0</v>
      </c>
      <c r="Q1185" s="110" t="str">
        <f aca="false">IF(P1120=P1185,"〇","×")</f>
        <v>〇</v>
      </c>
    </row>
    <row r="1186" s="110" customFormat="true" ht="20.1" hidden="false" customHeight="true" outlineLevel="0" collapsed="false">
      <c r="A1186" s="100" t="s">
        <v>202</v>
      </c>
      <c r="B1186" s="178" t="n">
        <v>6771</v>
      </c>
      <c r="C1186" s="212" t="n">
        <v>555</v>
      </c>
      <c r="D1186" s="362" t="n">
        <v>6771</v>
      </c>
      <c r="E1186" s="415" t="n">
        <v>555</v>
      </c>
      <c r="F1186" s="312"/>
      <c r="G1186" s="181" t="n">
        <f aca="false">SUM(B1186:F1186)</f>
        <v>14652</v>
      </c>
      <c r="H1186" s="182" t="n">
        <v>4070</v>
      </c>
      <c r="I1186" s="183" t="n">
        <v>4078</v>
      </c>
      <c r="J1186" s="135" t="n">
        <f aca="false">SUM(H1186:I1186)</f>
        <v>8148</v>
      </c>
      <c r="K1186" s="182" t="n">
        <v>585</v>
      </c>
      <c r="L1186" s="183" t="n">
        <v>585</v>
      </c>
      <c r="M1186" s="135" t="n">
        <f aca="false">SUM(K1186:L1186)</f>
        <v>1170</v>
      </c>
      <c r="N1186" s="182" t="n">
        <v>2</v>
      </c>
      <c r="O1186" s="183" t="n">
        <v>2</v>
      </c>
      <c r="P1186" s="135" t="n">
        <f aca="false">SUM(N1186:O1186)</f>
        <v>4</v>
      </c>
      <c r="Q1186" s="110" t="str">
        <f aca="false">IF(P1121=P1186,"〇","×")</f>
        <v>×</v>
      </c>
    </row>
    <row r="1187" s="110" customFormat="true" ht="20.1" hidden="false" customHeight="true" outlineLevel="0" collapsed="false">
      <c r="A1187" s="100" t="s">
        <v>203</v>
      </c>
      <c r="B1187" s="178"/>
      <c r="C1187" s="179"/>
      <c r="D1187" s="178"/>
      <c r="E1187" s="415"/>
      <c r="F1187" s="312"/>
      <c r="G1187" s="181" t="n">
        <f aca="false">SUM(B1187:F1187)</f>
        <v>0</v>
      </c>
      <c r="H1187" s="182"/>
      <c r="I1187" s="183"/>
      <c r="J1187" s="135" t="n">
        <f aca="false">SUM(H1187:I1187)</f>
        <v>0</v>
      </c>
      <c r="K1187" s="262"/>
      <c r="L1187" s="183"/>
      <c r="M1187" s="135" t="n">
        <f aca="false">SUM(K1187:L1187)</f>
        <v>0</v>
      </c>
      <c r="N1187" s="262"/>
      <c r="O1187" s="183"/>
      <c r="P1187" s="135" t="n">
        <f aca="false">SUM(N1187:O1187)</f>
        <v>0</v>
      </c>
      <c r="Q1187" s="110" t="str">
        <f aca="false">IF(P1122=P1187,"〇","×")</f>
        <v>〇</v>
      </c>
    </row>
    <row r="1188" s="110" customFormat="true" ht="20.1" hidden="false" customHeight="true" outlineLevel="0" collapsed="false">
      <c r="A1188" s="192" t="s">
        <v>204</v>
      </c>
      <c r="B1188" s="178" t="n">
        <v>78598</v>
      </c>
      <c r="C1188" s="179" t="n">
        <v>6442</v>
      </c>
      <c r="D1188" s="178" t="n">
        <v>78599</v>
      </c>
      <c r="E1188" s="415" t="n">
        <v>6442</v>
      </c>
      <c r="F1188" s="312"/>
      <c r="G1188" s="181" t="n">
        <f aca="false">SUM(B1188:F1188)</f>
        <v>170081</v>
      </c>
      <c r="H1188" s="182" t="n">
        <v>48574</v>
      </c>
      <c r="I1188" s="183" t="n">
        <v>48662</v>
      </c>
      <c r="J1188" s="135" t="n">
        <f aca="false">SUM(H1188:I1188)</f>
        <v>97236</v>
      </c>
      <c r="K1188" s="262" t="n">
        <v>6850</v>
      </c>
      <c r="L1188" s="183" t="n">
        <v>6849</v>
      </c>
      <c r="M1188" s="135" t="n">
        <f aca="false">SUM(K1188:L1188)</f>
        <v>13699</v>
      </c>
      <c r="N1188" s="262" t="n">
        <v>2</v>
      </c>
      <c r="O1188" s="183" t="n">
        <v>2</v>
      </c>
      <c r="P1188" s="135" t="n">
        <f aca="false">SUM(N1188:O1188)</f>
        <v>4</v>
      </c>
      <c r="Q1188" s="110" t="str">
        <f aca="false">IF(P1123=P1188,"〇","×")</f>
        <v>×</v>
      </c>
    </row>
    <row r="1189" s="110" customFormat="true" ht="20.1" hidden="false" customHeight="true" outlineLevel="0" collapsed="false">
      <c r="A1189" s="192" t="s">
        <v>205</v>
      </c>
      <c r="B1189" s="567"/>
      <c r="C1189" s="568"/>
      <c r="D1189" s="567"/>
      <c r="E1189" s="170"/>
      <c r="F1189" s="267"/>
      <c r="G1189" s="492" t="n">
        <f aca="false">SUM(B1189:F1189)</f>
        <v>0</v>
      </c>
      <c r="H1189" s="569"/>
      <c r="I1189" s="570"/>
      <c r="J1189" s="495" t="n">
        <f aca="false">SUM(H1189:I1189)</f>
        <v>0</v>
      </c>
      <c r="K1189" s="571"/>
      <c r="L1189" s="570"/>
      <c r="M1189" s="495" t="n">
        <f aca="false">SUM(K1189:L1189)</f>
        <v>0</v>
      </c>
      <c r="N1189" s="571"/>
      <c r="O1189" s="570"/>
      <c r="P1189" s="495" t="n">
        <f aca="false">SUM(N1189:O1189)</f>
        <v>0</v>
      </c>
      <c r="Q1189" s="110" t="str">
        <f aca="false">IF(P1124=P1189,"〇","×")</f>
        <v>〇</v>
      </c>
    </row>
    <row r="1190" s="110" customFormat="true" ht="20.1" hidden="false" customHeight="true" outlineLevel="0" collapsed="false">
      <c r="A1190" s="171" t="s">
        <v>383</v>
      </c>
      <c r="B1190" s="172" t="n">
        <f aca="false">SUM(B1186:B1189)</f>
        <v>85369</v>
      </c>
      <c r="C1190" s="176" t="n">
        <f aca="false">SUM(C1186:C1189)</f>
        <v>6997</v>
      </c>
      <c r="D1190" s="172" t="n">
        <f aca="false">SUM(D1186:D1189)</f>
        <v>85370</v>
      </c>
      <c r="E1190" s="174" t="n">
        <f aca="false">SUM(E1186:E1189)</f>
        <v>6997</v>
      </c>
      <c r="F1190" s="175" t="n">
        <f aca="false">SUM(F1186:F1189)</f>
        <v>0</v>
      </c>
      <c r="G1190" s="176" t="n">
        <f aca="false">SUM(B1190:F1190)</f>
        <v>184733</v>
      </c>
      <c r="H1190" s="276" t="n">
        <f aca="false">SUM(H1186:H1189)</f>
        <v>52644</v>
      </c>
      <c r="I1190" s="174" t="n">
        <f aca="false">SUM(I1186:I1189)</f>
        <v>52740</v>
      </c>
      <c r="J1190" s="175" t="n">
        <f aca="false">SUM(H1190:I1190)</f>
        <v>105384</v>
      </c>
      <c r="K1190" s="172" t="n">
        <f aca="false">SUM(K1186:K1189)</f>
        <v>7435</v>
      </c>
      <c r="L1190" s="276" t="n">
        <f aca="false">SUM(L1186:L1189)</f>
        <v>7434</v>
      </c>
      <c r="M1190" s="175" t="n">
        <f aca="false">SUM(K1190:L1190)</f>
        <v>14869</v>
      </c>
      <c r="N1190" s="172" t="n">
        <f aca="false">SUM(N1186:N1189)</f>
        <v>4</v>
      </c>
      <c r="O1190" s="276" t="n">
        <f aca="false">SUM(O1186:O1189)</f>
        <v>4</v>
      </c>
      <c r="P1190" s="175" t="n">
        <f aca="false">SUM(N1190:O1190)</f>
        <v>8</v>
      </c>
      <c r="Q1190" s="110" t="str">
        <f aca="false">IF(P1125=P1190,"〇","×")</f>
        <v>×</v>
      </c>
    </row>
    <row r="1191" s="110" customFormat="true" ht="20.1" hidden="false" customHeight="true" outlineLevel="0" collapsed="false">
      <c r="A1191" s="277" t="s">
        <v>206</v>
      </c>
      <c r="B1191" s="278"/>
      <c r="C1191" s="279"/>
      <c r="D1191" s="280"/>
      <c r="E1191" s="281"/>
      <c r="F1191" s="267"/>
      <c r="G1191" s="268"/>
      <c r="H1191" s="313"/>
      <c r="I1191" s="314"/>
      <c r="J1191" s="271" t="n">
        <f aca="false">SUM(H1191:I1191)</f>
        <v>0</v>
      </c>
      <c r="K1191" s="313"/>
      <c r="L1191" s="314"/>
      <c r="M1191" s="271" t="n">
        <f aca="false">SUM(K1191:L1191)</f>
        <v>0</v>
      </c>
      <c r="N1191" s="313"/>
      <c r="O1191" s="314"/>
      <c r="P1191" s="271" t="n">
        <f aca="false">SUM(N1191:O1191)</f>
        <v>0</v>
      </c>
      <c r="Q1191" s="110" t="str">
        <f aca="false">IF(P1126=P1191,"〇","×")</f>
        <v>〇</v>
      </c>
    </row>
    <row r="1192" s="110" customFormat="true" ht="30" hidden="false" customHeight="true" outlineLevel="0" collapsed="false">
      <c r="A1192" s="285" t="s">
        <v>385</v>
      </c>
      <c r="B1192" s="286" t="n">
        <f aca="false">SUM(+B1149+B1180+B1185+B1190+B1191)</f>
        <v>48743788</v>
      </c>
      <c r="C1192" s="503" t="n">
        <f aca="false">SUM(+C1149+C1180+C1185+C1190+C1191)</f>
        <v>3990978</v>
      </c>
      <c r="D1192" s="286" t="n">
        <f aca="false">SUM(+D1149+D1180+D1185+D1190+D1191)</f>
        <v>70637928</v>
      </c>
      <c r="E1192" s="288" t="n">
        <f aca="false">SUM(+E1149+E1180+E1185+E1190+E1191)</f>
        <v>3924204</v>
      </c>
      <c r="F1192" s="287" t="n">
        <f aca="false">SUM(+F1149+F1180+F1185+F1190+F1191)</f>
        <v>51552</v>
      </c>
      <c r="G1192" s="504" t="n">
        <f aca="false">SUM(B1192:F1192)</f>
        <v>127348450</v>
      </c>
      <c r="H1192" s="290" t="n">
        <f aca="false">SUM(+H1149+H1180+H1185+H1190+H1191)</f>
        <v>35625761</v>
      </c>
      <c r="I1192" s="290" t="n">
        <f aca="false">SUM(+I1149+I1180+I1185+I1190+I1191)</f>
        <v>35605035</v>
      </c>
      <c r="J1192" s="291" t="n">
        <f aca="false">SUM(H1192:I1192)</f>
        <v>71230796</v>
      </c>
      <c r="K1192" s="292" t="n">
        <f aca="false">SUM(+K1149+K1180+K1185+K1190+K1191)</f>
        <v>2958611</v>
      </c>
      <c r="L1192" s="290" t="n">
        <f aca="false">SUM(+L1149+L1180+L1185+L1190+L1191)</f>
        <v>2958359</v>
      </c>
      <c r="M1192" s="291" t="n">
        <f aca="false">SUM(K1192:L1192)</f>
        <v>5916970</v>
      </c>
      <c r="N1192" s="292" t="n">
        <f aca="false">SUM(+N1149+N1180+N1185+N1190+N1191)</f>
        <v>50</v>
      </c>
      <c r="O1192" s="290" t="n">
        <f aca="false">SUM(+O1149+O1180+O1185+O1190+O1191)</f>
        <v>74</v>
      </c>
      <c r="P1192" s="291" t="n">
        <f aca="false">SUM(N1192:O1192)</f>
        <v>124</v>
      </c>
      <c r="Q1192" s="110" t="str">
        <f aca="false">IF(P1127=P1192,"〇","×")</f>
        <v>×</v>
      </c>
    </row>
    <row r="1193" s="81" customFormat="true" ht="37.5" hidden="false" customHeight="true" outlineLevel="0" collapsed="false">
      <c r="A1193" s="572" t="s">
        <v>415</v>
      </c>
      <c r="Q1193" s="81" t="str">
        <f aca="false">IF(P1128=P1193,"〇","×")</f>
        <v>〇</v>
      </c>
    </row>
    <row r="1194" s="581" customFormat="true" ht="38.25" hidden="false" customHeight="true" outlineLevel="0" collapsed="false">
      <c r="A1194" s="573" t="str">
        <f aca="false">B1129</f>
        <v>令和8年度</v>
      </c>
      <c r="B1194" s="574" t="s">
        <v>416</v>
      </c>
      <c r="C1194" s="575" t="n">
        <v>2.1</v>
      </c>
      <c r="D1194" s="576" t="s">
        <v>417</v>
      </c>
      <c r="E1194" s="575" t="n">
        <v>2.1</v>
      </c>
      <c r="F1194" s="577"/>
      <c r="G1194" s="578"/>
      <c r="H1194" s="579"/>
      <c r="I1194" s="579"/>
      <c r="J1194" s="579"/>
      <c r="K1194" s="579"/>
      <c r="L1194" s="579"/>
      <c r="M1194" s="579"/>
      <c r="N1194" s="579"/>
      <c r="O1194" s="579"/>
      <c r="P1194" s="579"/>
      <c r="Q1194" s="580" t="str">
        <f aca="false">IF(P1129=P1194,"〇","×")</f>
        <v>〇</v>
      </c>
      <c r="R1194" s="580"/>
      <c r="S1194" s="580"/>
    </row>
    <row r="1195" customFormat="false" ht="17.25" hidden="false" customHeight="false" outlineLevel="0" collapsed="false">
      <c r="H1195" s="83"/>
      <c r="I1195" s="83"/>
      <c r="J1195" s="83"/>
      <c r="K1195" s="83"/>
      <c r="L1195" s="83"/>
      <c r="M1195" s="83"/>
      <c r="N1195" s="83"/>
      <c r="O1195" s="83"/>
      <c r="P1195" s="83"/>
      <c r="Q1195" s="83" t="str">
        <f aca="false">IF(P1130=P1195,"〇","×")</f>
        <v>〇</v>
      </c>
      <c r="R1195" s="83"/>
      <c r="S1195" s="83"/>
    </row>
    <row r="1196" customFormat="false" ht="17.25" hidden="false" customHeight="false" outlineLevel="0" collapsed="false">
      <c r="Q1196" s="80" t="str">
        <f aca="false">IF(P1131=P1196,"〇","×")</f>
        <v>×</v>
      </c>
    </row>
  </sheetData>
  <mergeCells count="411">
    <mergeCell ref="B2:G2"/>
    <mergeCell ref="H2:J2"/>
    <mergeCell ref="K2:M2"/>
    <mergeCell ref="N2:P2"/>
    <mergeCell ref="A3:A5"/>
    <mergeCell ref="B3:G3"/>
    <mergeCell ref="H3:J3"/>
    <mergeCell ref="K3:M3"/>
    <mergeCell ref="N3:P3"/>
    <mergeCell ref="B4:C4"/>
    <mergeCell ref="D4:F4"/>
    <mergeCell ref="G4:G5"/>
    <mergeCell ref="H4:H5"/>
    <mergeCell ref="I4:I5"/>
    <mergeCell ref="J4:J5"/>
    <mergeCell ref="K4:K5"/>
    <mergeCell ref="L4:L5"/>
    <mergeCell ref="M4:M5"/>
    <mergeCell ref="N4:N5"/>
    <mergeCell ref="O4:O5"/>
    <mergeCell ref="P4:P5"/>
    <mergeCell ref="B67:G67"/>
    <mergeCell ref="H67:J67"/>
    <mergeCell ref="K67:M67"/>
    <mergeCell ref="N67:P67"/>
    <mergeCell ref="A68:A70"/>
    <mergeCell ref="B68:G68"/>
    <mergeCell ref="H68:J68"/>
    <mergeCell ref="K68:M68"/>
    <mergeCell ref="N68:P68"/>
    <mergeCell ref="B69:C69"/>
    <mergeCell ref="D69:F69"/>
    <mergeCell ref="G69:G70"/>
    <mergeCell ref="H69:H70"/>
    <mergeCell ref="I69:I70"/>
    <mergeCell ref="J69:J70"/>
    <mergeCell ref="K69:K70"/>
    <mergeCell ref="L69:L70"/>
    <mergeCell ref="M69:M70"/>
    <mergeCell ref="N69:N70"/>
    <mergeCell ref="O69:O70"/>
    <mergeCell ref="P69:P70"/>
    <mergeCell ref="B132:G132"/>
    <mergeCell ref="H132:J132"/>
    <mergeCell ref="K132:M132"/>
    <mergeCell ref="N132:P132"/>
    <mergeCell ref="A133:A135"/>
    <mergeCell ref="B133:G133"/>
    <mergeCell ref="H133:J133"/>
    <mergeCell ref="K133:M133"/>
    <mergeCell ref="N133:P133"/>
    <mergeCell ref="B134:C134"/>
    <mergeCell ref="D134:F134"/>
    <mergeCell ref="G134:G135"/>
    <mergeCell ref="H134:H135"/>
    <mergeCell ref="I134:I135"/>
    <mergeCell ref="J134:J135"/>
    <mergeCell ref="K134:K135"/>
    <mergeCell ref="L134:L135"/>
    <mergeCell ref="M134:M135"/>
    <mergeCell ref="N134:N135"/>
    <mergeCell ref="O134:O135"/>
    <mergeCell ref="P134:P135"/>
    <mergeCell ref="B197:G197"/>
    <mergeCell ref="H197:J197"/>
    <mergeCell ref="K197:M197"/>
    <mergeCell ref="N197:P197"/>
    <mergeCell ref="A198:A200"/>
    <mergeCell ref="B198:G198"/>
    <mergeCell ref="H198:J198"/>
    <mergeCell ref="K198:M198"/>
    <mergeCell ref="N198:P198"/>
    <mergeCell ref="B199:C199"/>
    <mergeCell ref="D199:F199"/>
    <mergeCell ref="G199:G200"/>
    <mergeCell ref="H199:H200"/>
    <mergeCell ref="I199:I200"/>
    <mergeCell ref="J199:J200"/>
    <mergeCell ref="K199:K200"/>
    <mergeCell ref="L199:L200"/>
    <mergeCell ref="M199:M200"/>
    <mergeCell ref="N199:N200"/>
    <mergeCell ref="O199:O200"/>
    <mergeCell ref="P199:P200"/>
    <mergeCell ref="B262:G262"/>
    <mergeCell ref="H262:J262"/>
    <mergeCell ref="K262:M262"/>
    <mergeCell ref="N262:P262"/>
    <mergeCell ref="A263:A265"/>
    <mergeCell ref="B263:G263"/>
    <mergeCell ref="H263:J263"/>
    <mergeCell ref="K263:M263"/>
    <mergeCell ref="N263:P263"/>
    <mergeCell ref="B264:C264"/>
    <mergeCell ref="D264:F264"/>
    <mergeCell ref="G264:G265"/>
    <mergeCell ref="H264:H265"/>
    <mergeCell ref="I264:I265"/>
    <mergeCell ref="J264:J265"/>
    <mergeCell ref="K264:K265"/>
    <mergeCell ref="L264:L265"/>
    <mergeCell ref="M264:M265"/>
    <mergeCell ref="N264:N265"/>
    <mergeCell ref="O264:O265"/>
    <mergeCell ref="P264:P265"/>
    <mergeCell ref="B327:G327"/>
    <mergeCell ref="H327:J327"/>
    <mergeCell ref="K327:M327"/>
    <mergeCell ref="N327:P327"/>
    <mergeCell ref="A328:A330"/>
    <mergeCell ref="B328:G328"/>
    <mergeCell ref="H328:J328"/>
    <mergeCell ref="K328:M328"/>
    <mergeCell ref="N328:P328"/>
    <mergeCell ref="B329:C329"/>
    <mergeCell ref="D329:F329"/>
    <mergeCell ref="G329:G330"/>
    <mergeCell ref="H329:H330"/>
    <mergeCell ref="I329:I330"/>
    <mergeCell ref="J329:J330"/>
    <mergeCell ref="K329:K330"/>
    <mergeCell ref="L329:L330"/>
    <mergeCell ref="M329:M330"/>
    <mergeCell ref="N329:N330"/>
    <mergeCell ref="O329:O330"/>
    <mergeCell ref="P329:P330"/>
    <mergeCell ref="B392:G392"/>
    <mergeCell ref="H392:J392"/>
    <mergeCell ref="K392:M392"/>
    <mergeCell ref="N392:P392"/>
    <mergeCell ref="A393:A395"/>
    <mergeCell ref="B393:G393"/>
    <mergeCell ref="H393:J393"/>
    <mergeCell ref="K393:M393"/>
    <mergeCell ref="N393:P393"/>
    <mergeCell ref="B394:C394"/>
    <mergeCell ref="D394:F394"/>
    <mergeCell ref="G394:G395"/>
    <mergeCell ref="H394:H395"/>
    <mergeCell ref="I394:I395"/>
    <mergeCell ref="J394:J395"/>
    <mergeCell ref="K394:K395"/>
    <mergeCell ref="L394:L395"/>
    <mergeCell ref="M394:M395"/>
    <mergeCell ref="N394:N395"/>
    <mergeCell ref="O394:O395"/>
    <mergeCell ref="P394:P395"/>
    <mergeCell ref="B457:G457"/>
    <mergeCell ref="H457:J457"/>
    <mergeCell ref="K457:M457"/>
    <mergeCell ref="N457:P457"/>
    <mergeCell ref="A458:A460"/>
    <mergeCell ref="B458:G458"/>
    <mergeCell ref="H458:J458"/>
    <mergeCell ref="K458:M458"/>
    <mergeCell ref="N458:P458"/>
    <mergeCell ref="B459:C459"/>
    <mergeCell ref="D459:F459"/>
    <mergeCell ref="G459:G460"/>
    <mergeCell ref="H459:H460"/>
    <mergeCell ref="I459:I460"/>
    <mergeCell ref="J459:J460"/>
    <mergeCell ref="K459:K460"/>
    <mergeCell ref="L459:L460"/>
    <mergeCell ref="M459:M460"/>
    <mergeCell ref="N459:N460"/>
    <mergeCell ref="O459:O460"/>
    <mergeCell ref="P459:P460"/>
    <mergeCell ref="B522:G522"/>
    <mergeCell ref="H522:J522"/>
    <mergeCell ref="K522:M522"/>
    <mergeCell ref="N522:P522"/>
    <mergeCell ref="A523:A525"/>
    <mergeCell ref="B523:G523"/>
    <mergeCell ref="H523:J523"/>
    <mergeCell ref="K523:M523"/>
    <mergeCell ref="N523:P523"/>
    <mergeCell ref="B524:C524"/>
    <mergeCell ref="D524:F524"/>
    <mergeCell ref="G524:G525"/>
    <mergeCell ref="H524:H525"/>
    <mergeCell ref="I524:I525"/>
    <mergeCell ref="J524:J525"/>
    <mergeCell ref="K524:K525"/>
    <mergeCell ref="L524:L525"/>
    <mergeCell ref="M524:M525"/>
    <mergeCell ref="N524:N525"/>
    <mergeCell ref="O524:O525"/>
    <mergeCell ref="P524:P525"/>
    <mergeCell ref="B587:G587"/>
    <mergeCell ref="H587:J587"/>
    <mergeCell ref="K587:M587"/>
    <mergeCell ref="N587:P587"/>
    <mergeCell ref="A588:A590"/>
    <mergeCell ref="B588:G588"/>
    <mergeCell ref="H588:J588"/>
    <mergeCell ref="K588:M588"/>
    <mergeCell ref="N588:P588"/>
    <mergeCell ref="B589:C589"/>
    <mergeCell ref="D589:F589"/>
    <mergeCell ref="G589:G590"/>
    <mergeCell ref="H589:H590"/>
    <mergeCell ref="I589:I590"/>
    <mergeCell ref="J589:J590"/>
    <mergeCell ref="K589:K590"/>
    <mergeCell ref="L589:L590"/>
    <mergeCell ref="M589:M590"/>
    <mergeCell ref="N589:N590"/>
    <mergeCell ref="O589:O590"/>
    <mergeCell ref="P589:P590"/>
    <mergeCell ref="B652:G652"/>
    <mergeCell ref="H652:J652"/>
    <mergeCell ref="K652:M652"/>
    <mergeCell ref="N652:P652"/>
    <mergeCell ref="A653:A655"/>
    <mergeCell ref="B653:G653"/>
    <mergeCell ref="H653:J653"/>
    <mergeCell ref="K653:M653"/>
    <mergeCell ref="N653:P653"/>
    <mergeCell ref="B654:C654"/>
    <mergeCell ref="D654:F654"/>
    <mergeCell ref="G654:G655"/>
    <mergeCell ref="H654:H655"/>
    <mergeCell ref="I654:I655"/>
    <mergeCell ref="J654:J655"/>
    <mergeCell ref="K654:K655"/>
    <mergeCell ref="L654:L655"/>
    <mergeCell ref="M654:M655"/>
    <mergeCell ref="N654:N655"/>
    <mergeCell ref="O654:O655"/>
    <mergeCell ref="P654:P655"/>
    <mergeCell ref="B717:G717"/>
    <mergeCell ref="H717:J717"/>
    <mergeCell ref="K717:M717"/>
    <mergeCell ref="N717:P717"/>
    <mergeCell ref="A718:A720"/>
    <mergeCell ref="B718:G718"/>
    <mergeCell ref="H718:J718"/>
    <mergeCell ref="K718:M718"/>
    <mergeCell ref="N718:P718"/>
    <mergeCell ref="B719:C719"/>
    <mergeCell ref="D719:F719"/>
    <mergeCell ref="G719:G720"/>
    <mergeCell ref="H719:H720"/>
    <mergeCell ref="I719:I720"/>
    <mergeCell ref="J719:J720"/>
    <mergeCell ref="K719:K720"/>
    <mergeCell ref="L719:L720"/>
    <mergeCell ref="M719:M720"/>
    <mergeCell ref="N719:N720"/>
    <mergeCell ref="O719:O720"/>
    <mergeCell ref="P719:P720"/>
    <mergeCell ref="B782:G782"/>
    <mergeCell ref="H782:J782"/>
    <mergeCell ref="K782:M782"/>
    <mergeCell ref="N782:P782"/>
    <mergeCell ref="A783:A785"/>
    <mergeCell ref="B783:G783"/>
    <mergeCell ref="H783:J783"/>
    <mergeCell ref="K783:M783"/>
    <mergeCell ref="N783:P783"/>
    <mergeCell ref="B784:C784"/>
    <mergeCell ref="D784:F784"/>
    <mergeCell ref="G784:G785"/>
    <mergeCell ref="H784:H785"/>
    <mergeCell ref="I784:I785"/>
    <mergeCell ref="J784:J785"/>
    <mergeCell ref="K784:K785"/>
    <mergeCell ref="L784:L785"/>
    <mergeCell ref="M784:M785"/>
    <mergeCell ref="N784:N785"/>
    <mergeCell ref="O784:O785"/>
    <mergeCell ref="P784:P785"/>
    <mergeCell ref="B847:G847"/>
    <mergeCell ref="H847:J847"/>
    <mergeCell ref="K847:M847"/>
    <mergeCell ref="N847:P847"/>
    <mergeCell ref="A848:A850"/>
    <mergeCell ref="B848:G848"/>
    <mergeCell ref="H848:J848"/>
    <mergeCell ref="K848:M848"/>
    <mergeCell ref="N848:P848"/>
    <mergeCell ref="B849:C849"/>
    <mergeCell ref="D849:F849"/>
    <mergeCell ref="G849:G850"/>
    <mergeCell ref="H849:H850"/>
    <mergeCell ref="I849:I850"/>
    <mergeCell ref="J849:J850"/>
    <mergeCell ref="K849:K850"/>
    <mergeCell ref="L849:L850"/>
    <mergeCell ref="M849:M850"/>
    <mergeCell ref="N849:N850"/>
    <mergeCell ref="O849:O850"/>
    <mergeCell ref="P849:P850"/>
    <mergeCell ref="B912:G912"/>
    <mergeCell ref="H912:J912"/>
    <mergeCell ref="K912:M912"/>
    <mergeCell ref="N912:P912"/>
    <mergeCell ref="A913:A915"/>
    <mergeCell ref="B913:G913"/>
    <mergeCell ref="H913:J913"/>
    <mergeCell ref="K913:M913"/>
    <mergeCell ref="N913:P913"/>
    <mergeCell ref="B914:C914"/>
    <mergeCell ref="D914:F914"/>
    <mergeCell ref="G914:G915"/>
    <mergeCell ref="H914:H915"/>
    <mergeCell ref="I914:I915"/>
    <mergeCell ref="J914:J915"/>
    <mergeCell ref="K914:K915"/>
    <mergeCell ref="L914:L915"/>
    <mergeCell ref="M914:M915"/>
    <mergeCell ref="N914:N915"/>
    <mergeCell ref="O914:O915"/>
    <mergeCell ref="P914:P915"/>
    <mergeCell ref="B977:C977"/>
    <mergeCell ref="D977:G977"/>
    <mergeCell ref="I977:J977"/>
    <mergeCell ref="L977:M977"/>
    <mergeCell ref="O977:P977"/>
    <mergeCell ref="A978:A980"/>
    <mergeCell ref="B978:G978"/>
    <mergeCell ref="H978:J978"/>
    <mergeCell ref="K978:M978"/>
    <mergeCell ref="N978:P978"/>
    <mergeCell ref="B979:C979"/>
    <mergeCell ref="D979:F979"/>
    <mergeCell ref="G979:G980"/>
    <mergeCell ref="H979:H980"/>
    <mergeCell ref="I979:I980"/>
    <mergeCell ref="J979:J980"/>
    <mergeCell ref="K979:K980"/>
    <mergeCell ref="L979:L980"/>
    <mergeCell ref="M979:M980"/>
    <mergeCell ref="N979:N980"/>
    <mergeCell ref="O979:O980"/>
    <mergeCell ref="P979:P980"/>
    <mergeCell ref="B1042:C1042"/>
    <mergeCell ref="D1042:G1042"/>
    <mergeCell ref="I1042:J1042"/>
    <mergeCell ref="L1042:M1042"/>
    <mergeCell ref="O1042:P1042"/>
    <mergeCell ref="A1043:A1045"/>
    <mergeCell ref="B1043:G1043"/>
    <mergeCell ref="H1043:J1043"/>
    <mergeCell ref="K1043:M1043"/>
    <mergeCell ref="N1043:P1043"/>
    <mergeCell ref="B1044:C1044"/>
    <mergeCell ref="D1044:F1044"/>
    <mergeCell ref="G1044:G1045"/>
    <mergeCell ref="H1044:H1045"/>
    <mergeCell ref="I1044:I1045"/>
    <mergeCell ref="J1044:J1045"/>
    <mergeCell ref="K1044:K1045"/>
    <mergeCell ref="L1044:L1045"/>
    <mergeCell ref="M1044:M1045"/>
    <mergeCell ref="N1044:N1045"/>
    <mergeCell ref="O1044:O1045"/>
    <mergeCell ref="P1044:P1045"/>
    <mergeCell ref="B1107:C1107"/>
    <mergeCell ref="D1107:G1107"/>
    <mergeCell ref="H1107:J1107"/>
    <mergeCell ref="K1107:M1107"/>
    <mergeCell ref="N1107:P1107"/>
    <mergeCell ref="A1108:A1110"/>
    <mergeCell ref="B1108:G1108"/>
    <mergeCell ref="H1108:J1108"/>
    <mergeCell ref="K1108:M1108"/>
    <mergeCell ref="N1108:P1108"/>
    <mergeCell ref="B1109:C1109"/>
    <mergeCell ref="D1109:E1109"/>
    <mergeCell ref="F1109: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B1129:C1129"/>
    <mergeCell ref="D1129:G1129"/>
    <mergeCell ref="I1129:J1129"/>
    <mergeCell ref="L1129:M1129"/>
    <mergeCell ref="O1129:P1129"/>
    <mergeCell ref="A1130:A1132"/>
    <mergeCell ref="B1130:G1130"/>
    <mergeCell ref="H1130:J1130"/>
    <mergeCell ref="K1130:M1130"/>
    <mergeCell ref="N1130:P1130"/>
    <mergeCell ref="B1131:C1131"/>
    <mergeCell ref="D1131:F1131"/>
    <mergeCell ref="G1131:G1132"/>
    <mergeCell ref="H1131:H1132"/>
    <mergeCell ref="I1131:I1132"/>
    <mergeCell ref="J1131:J1132"/>
    <mergeCell ref="K1131:K1132"/>
    <mergeCell ref="L1131:L1132"/>
    <mergeCell ref="M1131:M1132"/>
    <mergeCell ref="N1131:N1132"/>
    <mergeCell ref="O1131:O1132"/>
    <mergeCell ref="P1131:P1132"/>
  </mergeCells>
  <conditionalFormatting sqref="B6:P16 H17:P17 B18:P24 D25:G30 I25:J30 L25:M30 O25:P30 B31:P31 B32:J32 N32:P32 B33:P34 D35:G38 I35:J38 L35:M38 O35:P38 B39:P39 D40:G40 I40:J40 L40:M40 O40:P40 B41:P44 D45:G45 I45:J45 L45:M45 O45:P45 B46:P46 H47:P47 B48:P49 D50:G50 I50:J50 L50:M50 O50:P50 B51:P55 B56:G58 B59:E59 G59:P59 K60:M60 B61:E61 G61:P61 B63:P63 H64 J64:K64 M64:N64 P64">
    <cfRule type="expression" priority="2" aboveAverage="0" equalAverage="0" bottom="0" percent="0" rank="0" text="" dxfId="24">
      <formula>INDEX($R$1:$R$1200,ROW())="未受領"</formula>
    </cfRule>
    <cfRule type="expression" priority="3" aboveAverage="0" equalAverage="0" bottom="0" percent="0" rank="0" text="" dxfId="25">
      <formula>INDEX($R$1:$R$1200,ROW())="受領済"</formula>
    </cfRule>
    <cfRule type="expression" priority="4" aboveAverage="0" equalAverage="0" bottom="0" percent="0" rank="0" text="" dxfId="26">
      <formula>INDEX($R$1:$R$1200,ROW())="入金確認済"</formula>
    </cfRule>
    <cfRule type="expression" priority="5" aboveAverage="0" equalAverage="0" bottom="0" percent="0" rank="0" text="" dxfId="26">
      <formula>INDEX($R$1:$R$1200,ROW())="起票済"</formula>
    </cfRule>
  </conditionalFormatting>
  <conditionalFormatting sqref="B71:P81 H82:P82 B83:P89 D90:G95 I90:J95 L90:M95 O90:P95 B96:P99 D100:G103 I100:J103 L100:M103 O100:P103 B104:P104 D105:G105 I105:J105 L105:M105 O105:P105 B106:P109 D110:G110 I110:J110 L110:M110 O110:P110 B111:P111 H112:P112 B113:P120 B121:G123 B124:E126 G124:P126 B128:P128 H129 J129:K129 M129:N129 P129">
    <cfRule type="expression" priority="6" aboveAverage="0" equalAverage="0" bottom="0" percent="0" rank="0" text="" dxfId="24">
      <formula>INDEX($R$1:$R$1200,ROW())="未受領"</formula>
    </cfRule>
    <cfRule type="expression" priority="7" aboveAverage="0" equalAverage="0" bottom="0" percent="0" rank="0" text="" dxfId="25">
      <formula>INDEX($R$1:$R$1200,ROW())="受領済"</formula>
    </cfRule>
    <cfRule type="expression" priority="8" aboveAverage="0" equalAverage="0" bottom="0" percent="0" rank="0" text="" dxfId="26">
      <formula>INDEX($R$1:$R$1200,ROW())="入金確認済"</formula>
    </cfRule>
    <cfRule type="expression" priority="9" aboveAverage="0" equalAverage="0" bottom="0" percent="0" rank="0" text="" dxfId="26">
      <formula>INDEX($R$1:$R$1200,ROW())="起票済"</formula>
    </cfRule>
  </conditionalFormatting>
  <conditionalFormatting sqref="B136:P146 H147:P147 B148:P154 D155:G160 I155:J160 L155:M160 O155:P160 B161:P164 D165:G168 I165:J168 L165:M168 O165:P168 B169:P169 D170:G170 I170:J170 L170:M170 O170:P170 B171:P174 D175:G175 I175:J175 L175:M175 O175:P175 B176:P176 D177:P177 B178:P185 B186:G188 B189:E192 G189:P192 B193:P193 H194 J194:K194 M194:N194 P194">
    <cfRule type="expression" priority="10" aboveAverage="0" equalAverage="0" bottom="0" percent="0" rank="0" text="" dxfId="24">
      <formula>INDEX($R$1:$R$1200,ROW())="未受領"</formula>
    </cfRule>
    <cfRule type="expression" priority="11" aboveAverage="0" equalAverage="0" bottom="0" percent="0" rank="0" text="" dxfId="25">
      <formula>INDEX($R$1:$R$1200,ROW())="受領済"</formula>
    </cfRule>
    <cfRule type="expression" priority="12" aboveAverage="0" equalAverage="0" bottom="0" percent="0" rank="0" text="" dxfId="26">
      <formula>INDEX($R$1:$R$1200,ROW())="入金確認済"</formula>
    </cfRule>
    <cfRule type="expression" priority="13" aboveAverage="0" equalAverage="0" bottom="0" percent="0" rank="0" text="" dxfId="26">
      <formula>INDEX($R$1:$R$1200,ROW())="起票済"</formula>
    </cfRule>
  </conditionalFormatting>
  <conditionalFormatting sqref="B201:P211 H212:P212 B213:P219 D220:G225 I220:J225 L220:M225 O220:P225 B226:P229 D230:G233 I230:J233 L230:M233 O230:P233 B234:P234 D235:G235 I235:J235 L235:M235 O235:P235 B236:P239 D240:G240 I240:J240 L240:M240 O240:P240 B241:P241 H242:P242 B243:P250 B251:G253 B254:E257 G254:P257 B258:P258">
    <cfRule type="expression" priority="14" aboveAverage="0" equalAverage="0" bottom="0" percent="0" rank="0" text="" dxfId="24">
      <formula>INDEX($R$1:$R$1200,ROW())="未受領"</formula>
    </cfRule>
    <cfRule type="expression" priority="15" aboveAverage="0" equalAverage="0" bottom="0" percent="0" rank="0" text="" dxfId="25">
      <formula>INDEX($R$1:$R$1200,ROW())="受領済"</formula>
    </cfRule>
    <cfRule type="expression" priority="16" aboveAverage="0" equalAverage="0" bottom="0" percent="0" rank="0" text="" dxfId="26">
      <formula>INDEX($R$1:$R$1200,ROW())="入金確認済"</formula>
    </cfRule>
    <cfRule type="expression" priority="17" aboveAverage="0" equalAverage="0" bottom="0" percent="0" rank="0" text="" dxfId="26">
      <formula>INDEX($R$1:$R$1200,ROW())="起票済"</formula>
    </cfRule>
  </conditionalFormatting>
  <conditionalFormatting sqref="B266:P276 H277:P277 B278:P284 D285:G290 I285:J290 L285:M290 O285:P290 B291:P294 D295:G298 I295:J298 L295:M298 O295:P298 B299:P299 D300:G300 I300:J300 L300:M300 O300:P300 B301:P304 D305:G305 I305:J305 L305:M305 O305:P305 B306:P306 H307:P307 B308:P315 B316:G318 B319:E322 G319:P322 B323:P323 H324 J324:K324 M324:N324 P324">
    <cfRule type="expression" priority="18" aboveAverage="0" equalAverage="0" bottom="0" percent="0" rank="0" text="" dxfId="24">
      <formula>INDEX($R$1:$R$1200,ROW())="未受領"</formula>
    </cfRule>
    <cfRule type="expression" priority="19" aboveAverage="0" equalAverage="0" bottom="0" percent="0" rank="0" text="" dxfId="25">
      <formula>INDEX($R$1:$R$1200,ROW())="受領済"</formula>
    </cfRule>
    <cfRule type="expression" priority="20" aboveAverage="0" equalAverage="0" bottom="0" percent="0" rank="0" text="" dxfId="26">
      <formula>INDEX($R$1:$R$1200,ROW())="入金確認済"</formula>
    </cfRule>
    <cfRule type="expression" priority="21" aboveAverage="0" equalAverage="0" bottom="0" percent="0" rank="0" text="" dxfId="26">
      <formula>INDEX($R$1:$R$1200,ROW())="起票済"</formula>
    </cfRule>
  </conditionalFormatting>
  <conditionalFormatting sqref="B331:P341 H342:P342 B343:P349 D350:G355 I350:J355 L350:M355 O350:P355 B356:P359 D360:G363 I360:J363 L360:M363 O360:P363 B364:P364 D365:G365 I365:J365 L365:M365 O365:P365 B366:P369 D370:G370 I370:J370 L370:M370 O370:P370 B371:P371 H372:P372 B373:P380 B381:G383 B384:E387 G384:P387 B388:P388 H389 J389:K389 M389:N389 P389">
    <cfRule type="expression" priority="22" aboveAverage="0" equalAverage="0" bottom="0" percent="0" rank="0" text="" dxfId="24">
      <formula>INDEX($R$1:$R$1200,ROW())="未受領"</formula>
    </cfRule>
    <cfRule type="expression" priority="23" aboveAverage="0" equalAverage="0" bottom="0" percent="0" rank="0" text="" dxfId="25">
      <formula>INDEX($R$1:$R$1200,ROW())="受領済"</formula>
    </cfRule>
    <cfRule type="expression" priority="24" aboveAverage="0" equalAverage="0" bottom="0" percent="0" rank="0" text="" dxfId="26">
      <formula>INDEX($R$1:$R$1200,ROW())="入金確認済"</formula>
    </cfRule>
    <cfRule type="expression" priority="25" aboveAverage="0" equalAverage="0" bottom="0" percent="0" rank="0" text="" dxfId="26">
      <formula>INDEX($R$1:$R$1200,ROW())="起票済"</formula>
    </cfRule>
  </conditionalFormatting>
  <conditionalFormatting sqref="B396:P406 H407:P407 B408:P414 D415:G420 I415:J420 L415:M420 O415:P420 B421:P424 D425:G428 I425:J428 L425:M428 O425:P428 B429:P429 D430:G430 I430:J430 L430:M430 O430:P430 B431:P434 D435:G435 I435:J435 L435:M435 O435:P435 B436:P436 H437:P437 B438:P445 B446:G448 B449:E452 G449:P452 B453:P453 H454 J454:K454 M454:N454 P454">
    <cfRule type="expression" priority="26" aboveAverage="0" equalAverage="0" bottom="0" percent="0" rank="0" text="" dxfId="24">
      <formula>INDEX($R$1:$R$1200,ROW())="未受領"</formula>
    </cfRule>
    <cfRule type="expression" priority="27" aboveAverage="0" equalAverage="0" bottom="0" percent="0" rank="0" text="" dxfId="25">
      <formula>INDEX($R$1:$R$1200,ROW())="受領済"</formula>
    </cfRule>
    <cfRule type="expression" priority="28" aboveAverage="0" equalAverage="0" bottom="0" percent="0" rank="0" text="" dxfId="26">
      <formula>INDEX($R$1:$R$1200,ROW())="入金確認済"</formula>
    </cfRule>
    <cfRule type="expression" priority="29" aboveAverage="0" equalAverage="0" bottom="0" percent="0" rank="0" text="" dxfId="26">
      <formula>INDEX($R$1:$R$1200,ROW())="起票済"</formula>
    </cfRule>
  </conditionalFormatting>
  <conditionalFormatting sqref="B461:P471 H472:P472 B473:P479 D480:G485 I480:J485 L480:M485 O480:P485 B486:P489 D490:G493 I490:J493 L490:M493 O490:P493 B494:P494 D495:G495 I495:J495 L495:M495 O495:P495 B496:P499 B500:G500 I500:J500 L500:M500 O500:P500 B501:P501 H502:P502 B503:P510 B511:G513 B514:E517 G514:P517 B518:P518 H519 J519:K519 M519:N519 P519">
    <cfRule type="expression" priority="30" aboveAverage="0" equalAverage="0" bottom="0" percent="0" rank="0" text="" dxfId="24">
      <formula>INDEX($R$1:$R$1200,ROW())="未受領"</formula>
    </cfRule>
    <cfRule type="expression" priority="31" aboveAverage="0" equalAverage="0" bottom="0" percent="0" rank="0" text="" dxfId="25">
      <formula>INDEX($R$1:$R$1200,ROW())="受領済"</formula>
    </cfRule>
    <cfRule type="expression" priority="32" aboveAverage="0" equalAverage="0" bottom="0" percent="0" rank="0" text="" dxfId="26">
      <formula>INDEX($R$1:$R$1200,ROW())="入金確認済"</formula>
    </cfRule>
    <cfRule type="expression" priority="33" aboveAverage="0" equalAverage="0" bottom="0" percent="0" rank="0" text="" dxfId="26">
      <formula>INDEX($R$1:$R$1200,ROW())="起票済"</formula>
    </cfRule>
  </conditionalFormatting>
  <conditionalFormatting sqref="B526:P536 H537:P537 B538:P544 D545:G550 I545:J550 L545:M550 O545:P550 B551:P554 D555:G558 I555:J558 L555:M558 O555:P558 B559:P559 D560:G560 I560:J560 L560:M560 O560:P560 B561:P564 D565:G565 I565:J565 L565:M565 O565:P565 B566:P566 H567:P567 B568:P575 B576:G578 B579:E582 G579:P582 B583:P583 H584 J584:K584 M584:N584 P584">
    <cfRule type="expression" priority="34" aboveAverage="0" equalAverage="0" bottom="0" percent="0" rank="0" text="" dxfId="24">
      <formula>INDEX($R$1:$R$1200,ROW())="未受領"</formula>
    </cfRule>
    <cfRule type="expression" priority="35" aboveAverage="0" equalAverage="0" bottom="0" percent="0" rank="0" text="" dxfId="25">
      <formula>INDEX($R$1:$R$1200,ROW())="受領済"</formula>
    </cfRule>
    <cfRule type="expression" priority="36" aboveAverage="0" equalAverage="0" bottom="0" percent="0" rank="0" text="" dxfId="26">
      <formula>INDEX($R$1:$R$1200,ROW())="入金確認済"</formula>
    </cfRule>
    <cfRule type="expression" priority="37" aboveAverage="0" equalAverage="0" bottom="0" percent="0" rank="0" text="" dxfId="26">
      <formula>INDEX($R$1:$R$1200,ROW())="起票済"</formula>
    </cfRule>
  </conditionalFormatting>
  <conditionalFormatting sqref="B591:P601 H602:P602 B603:P609 D610:G615 I610:J615 L610:M615 O610:P615 B616:P619 D620:G623 I620:J623 L620:M623 O620:P623 B624:P624 D625:G625 I625:J625 L625:M625 O625:P625 B626:P629 D630:G630 I630:J630 L630:M630 O630:P630 B631:P631 H632:P632 B633:P640 B641:G643 B644:E647 G644:P647 B648:P648">
    <cfRule type="expression" priority="38" aboveAverage="0" equalAverage="0" bottom="0" percent="0" rank="0" text="" dxfId="24">
      <formula>INDEX($R$1:$R$1200,ROW())="未受領"</formula>
    </cfRule>
    <cfRule type="expression" priority="39" aboveAverage="0" equalAverage="0" bottom="0" percent="0" rank="0" text="" dxfId="25">
      <formula>INDEX($R$1:$R$1200,ROW())="受領済"</formula>
    </cfRule>
    <cfRule type="expression" priority="40" aboveAverage="0" equalAverage="0" bottom="0" percent="0" rank="0" text="" dxfId="26">
      <formula>INDEX($R$1:$R$1200,ROW())="入金確認済"</formula>
    </cfRule>
    <cfRule type="expression" priority="41" aboveAverage="0" equalAverage="0" bottom="0" percent="0" rank="0" text="" dxfId="26">
      <formula>INDEX($R$1:$R$1200,ROW())="起票済"</formula>
    </cfRule>
  </conditionalFormatting>
  <conditionalFormatting sqref="B656:P666 H667:P667 B668:P674 D675:G680 I675:J680 L675:M680 O675:P680 B681:P684 D685:G688 I685:J688 L685:M688 O685:P688 B689:P689 D690:G690 I690:J690 L690:M690 O690:P690 B691:P694 D695:G695 I695:J695 L695:M695 O695:P695 B696:P696 H697:P697 B698:P705 B706:G708 B709:E712 G709:P712 B713:P713 H714 J714:K714 M714:N714 P714">
    <cfRule type="expression" priority="42" aboveAverage="0" equalAverage="0" bottom="0" percent="0" rank="0" text="" dxfId="24">
      <formula>INDEX($R$1:$R$1200,ROW())="未受領"</formula>
    </cfRule>
    <cfRule type="expression" priority="43" aboveAverage="0" equalAverage="0" bottom="0" percent="0" rank="0" text="" dxfId="25">
      <formula>INDEX($R$1:$R$1200,ROW())="受領済"</formula>
    </cfRule>
    <cfRule type="expression" priority="44" aboveAverage="0" equalAverage="0" bottom="0" percent="0" rank="0" text="" dxfId="26">
      <formula>INDEX($R$1:$R$1200,ROW())="入金確認済"</formula>
    </cfRule>
    <cfRule type="expression" priority="45" aboveAverage="0" equalAverage="0" bottom="0" percent="0" rank="0" text="" dxfId="26">
      <formula>INDEX($R$1:$R$1200,ROW())="起票済"</formula>
    </cfRule>
  </conditionalFormatting>
  <conditionalFormatting sqref="B721:P731 H732:P732 B733:P739 D740:G745 I740:J745 L740:M745 O740:P745 B746:P749 D750:G753 I750:J753 L750:M753 O750:P753 B754:P754 D755:G755 I755:J755 L755:M755 O755:P755 B756:P759 D760:G760 I760:J760 L760:M760 O760:P760 B761:P761 H762:P762 B763:P770 B771:G773 B774:E777 G774:P777 B778:P778 H779 J779:K779 M779:N779 P779">
    <cfRule type="expression" priority="46" aboveAverage="0" equalAverage="0" bottom="0" percent="0" rank="0" text="" dxfId="24">
      <formula>INDEX($R$1:$R$1200,ROW())="未受領"</formula>
    </cfRule>
    <cfRule type="expression" priority="47" aboveAverage="0" equalAverage="0" bottom="0" percent="0" rank="0" text="" dxfId="25">
      <formula>INDEX($R$1:$R$1200,ROW())="受領済"</formula>
    </cfRule>
    <cfRule type="expression" priority="48" aboveAverage="0" equalAverage="0" bottom="0" percent="0" rank="0" text="" dxfId="26">
      <formula>INDEX($R$1:$R$1200,ROW())="入金確認済"</formula>
    </cfRule>
    <cfRule type="expression" priority="49" aboveAverage="0" equalAverage="0" bottom="0" percent="0" rank="0" text="" dxfId="26">
      <formula>INDEX($R$1:$R$1200,ROW())="起票済"</formula>
    </cfRule>
  </conditionalFormatting>
  <conditionalFormatting sqref="B786:P796 H797:P797 B798:P804 D805:G810 I805:J810 L805:M810 O805:P810 B811:P814 D815:G818 I815:J818 L815:M818 O815:P818 B819:P819 D820:G820 I820:J820 L820:M820 O820:P820 B821:P824 D825:G825 I825:J825 L825:M825 O825:P825 B826:P826 H827:P827 B828:P835 B836:G838 B839:E842 G839:P842 B843:P843 H844 J844:K844 M844:N844 P844">
    <cfRule type="expression" priority="50" aboveAverage="0" equalAverage="0" bottom="0" percent="0" rank="0" text="" dxfId="24">
      <formula>INDEX($R$1:$R$1200,ROW())="未受領"</formula>
    </cfRule>
    <cfRule type="expression" priority="51" aboveAverage="0" equalAverage="0" bottom="0" percent="0" rank="0" text="" dxfId="25">
      <formula>INDEX($R$1:$R$1200,ROW())="受領済"</formula>
    </cfRule>
    <cfRule type="expression" priority="52" aboveAverage="0" equalAverage="0" bottom="0" percent="0" rank="0" text="" dxfId="26">
      <formula>INDEX($R$1:$R$1200,ROW())="入金確認済"</formula>
    </cfRule>
    <cfRule type="expression" priority="53" aboveAverage="0" equalAverage="0" bottom="0" percent="0" rank="0" text="" dxfId="26">
      <formula>INDEX($R$1:$R$1200,ROW())="起票済"</formula>
    </cfRule>
  </conditionalFormatting>
  <conditionalFormatting sqref="B851:P861 H862:P862 B863:P869 D870:G875 I870:J875 L870:M875 O870:P875 B876:P877 D878:G878 B879:P879 D880:G883 I880:J883 L880:M883 O880:P883 B884:P884 D885:G885 I885:J885 L885:M885 O885:P885 B886:P886 B889:P889 D890:G890 I890:J890 L890:M890 O890:P890 B891:P891 H892:P892 B893:P900 B901:H901 J901:K901 M901:N901 P901 B902:G903 B904:E907 G904:P907 B908:P908">
    <cfRule type="expression" priority="54" aboveAverage="0" equalAverage="0" bottom="0" percent="0" rank="0" text="" dxfId="24">
      <formula>INDEX($R$1:$R$1200,ROW())="未受領"</formula>
    </cfRule>
    <cfRule type="expression" priority="55" aboveAverage="0" equalAverage="0" bottom="0" percent="0" rank="0" text="" dxfId="25">
      <formula>INDEX($R$1:$R$1200,ROW())="受領済"</formula>
    </cfRule>
    <cfRule type="expression" priority="56" aboveAverage="0" equalAverage="0" bottom="0" percent="0" rank="0" text="" dxfId="26">
      <formula>INDEX($R$1:$R$1200,ROW())="入金確認済"</formula>
    </cfRule>
    <cfRule type="expression" priority="57" aboveAverage="0" equalAverage="0" bottom="0" percent="0" rank="0" text="" dxfId="26">
      <formula>INDEX($R$1:$R$1200,ROW())="起票済"</formula>
    </cfRule>
  </conditionalFormatting>
  <conditionalFormatting sqref="B916:P926 H927:P927 B928:P934 D935:G940 I935:J940 L935:M940 O935:P940 B941:P944 D945:G948 I945:J948 L945:M948 O945:P948 B949:P949 D950:G950 I950:J950 L950:M950 O950:P950 B951:P954 D955:G955 I955:J955 L955:M955 O955:P955 B956:P956 H957:P957 B958:P965 B966:H966 J966:K966 M966:N966 P966 B967:G968 B969:E972 G969:P972 B973:P973 H974 J974:K974 M974:N974 P974">
    <cfRule type="expression" priority="58" aboveAverage="0" equalAverage="0" bottom="0" percent="0" rank="0" text="" dxfId="24">
      <formula>INDEX($R$1:$R$1200,ROW())="未受領"</formula>
    </cfRule>
    <cfRule type="expression" priority="59" aboveAverage="0" equalAverage="0" bottom="0" percent="0" rank="0" text="" dxfId="25">
      <formula>INDEX($R$1:$R$1200,ROW())="受領済"</formula>
    </cfRule>
    <cfRule type="expression" priority="60" aboveAverage="0" equalAverage="0" bottom="0" percent="0" rank="0" text="" dxfId="26">
      <formula>INDEX($R$1:$R$1200,ROW())="入金確認済"</formula>
    </cfRule>
    <cfRule type="expression" priority="61" aboveAverage="0" equalAverage="0" bottom="0" percent="0" rank="0" text="" dxfId="26">
      <formula>INDEX($R$1:$R$1200,ROW())="起票済"</formula>
    </cfRule>
  </conditionalFormatting>
  <printOptions headings="false" gridLines="false" gridLinesSet="true" horizontalCentered="true" verticalCentered="false"/>
  <pageMargins left="0.196527777777778" right="0.196527777777778" top="0.39375" bottom="0.196527777777778" header="0.511811023622047" footer="0.511811023622047"/>
  <pageSetup paperSize="9" scale="67" fitToWidth="1" fitToHeight="1" pageOrder="downThenOver" orientation="portrait" blackAndWhite="false" draft="false" cellComments="none" horizontalDpi="300" verticalDpi="300" copies="1"/>
  <headerFooter differentFirst="false" differentOddEven="false">
    <oddHeader/>
    <oddFooter/>
  </headerFooter>
  <rowBreaks count="18" manualBreakCount="18">
    <brk id="65" man="true" max="16383" min="0"/>
    <brk id="130" man="true" max="16383" min="0"/>
    <brk id="195" man="true" max="16383" min="0"/>
    <brk id="260" man="true" max="16383" min="0"/>
    <brk id="325" man="true" max="16383" min="0"/>
    <brk id="390" man="true" max="16383" min="0"/>
    <brk id="455" man="true" max="16383" min="0"/>
    <brk id="520" man="true" max="16383" min="0"/>
    <brk id="585" man="true" max="16383" min="0"/>
    <brk id="650" man="true" max="16383" min="0"/>
    <brk id="715" man="true" max="16383" min="0"/>
    <brk id="780" man="true" max="16383" min="0"/>
    <brk id="845" man="true" max="16383" min="0"/>
    <brk id="910" man="true" max="16383" min="0"/>
    <brk id="975" man="true" max="16383" min="0"/>
    <brk id="1040" man="true" max="16383" min="0"/>
    <brk id="1105" man="true" max="16383" min="0"/>
    <brk id="1127" man="true" max="16383" min="0"/>
  </rowBreaks>
  <colBreaks count="3" manualBreakCount="3">
    <brk id="7" man="true" max="65535" min="0"/>
    <brk id="10" man="true" max="65535" min="0"/>
    <brk id="13" man="true" max="65535" min="0"/>
  </col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9296875" defaultRowHeight="17.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Q1192"/>
  <sheetViews>
    <sheetView showFormulas="false" showGridLines="false" showRowColHeaders="true" showZeros="true" rightToLeft="false" tabSelected="false" showOutlineSymbols="true" defaultGridColor="true" view="normal" topLeftCell="A939" colorId="64" zoomScale="85" zoomScaleNormal="85" zoomScalePageLayoutView="80" workbookViewId="0">
      <pane xSplit="1" ySplit="0" topLeftCell="B939" activePane="topRight" state="frozen"/>
      <selection pane="topLeft" activeCell="A939" activeCellId="0" sqref="A939"/>
      <selection pane="topRight" activeCell="E960" activeCellId="0" sqref="E960"/>
    </sheetView>
  </sheetViews>
  <sheetFormatPr defaultColWidth="8.79296875" defaultRowHeight="17.25" zeroHeight="false" outlineLevelRow="0" outlineLevelCol="0"/>
  <cols>
    <col collapsed="false" customWidth="true" hidden="false" outlineLevel="0" max="1" min="1" style="582" width="17.19"/>
    <col collapsed="false" customWidth="true" hidden="false" outlineLevel="0" max="6" min="2" style="582" width="12.99"/>
    <col collapsed="false" customWidth="true" hidden="false" outlineLevel="0" max="7" min="7" style="582" width="14.29"/>
    <col collapsed="false" customWidth="true" hidden="false" outlineLevel="0" max="16" min="8" style="582" width="20.69"/>
  </cols>
  <sheetData>
    <row r="1" customFormat="false" ht="18.75" hidden="false" customHeight="true" outlineLevel="0" collapsed="false">
      <c r="A1" s="583"/>
      <c r="B1" s="83"/>
      <c r="C1" s="83"/>
      <c r="D1" s="83"/>
      <c r="E1" s="83"/>
      <c r="F1" s="83"/>
      <c r="G1" s="83"/>
      <c r="H1" s="83"/>
      <c r="I1" s="83"/>
      <c r="J1" s="83"/>
      <c r="K1" s="83"/>
      <c r="L1" s="83"/>
      <c r="M1" s="83"/>
      <c r="N1" s="83"/>
      <c r="O1" s="83"/>
      <c r="P1" s="83"/>
      <c r="Q1" s="584"/>
    </row>
    <row r="2" customFormat="false" ht="30" hidden="false" customHeight="true" outlineLevel="0" collapsed="false">
      <c r="A2" s="585"/>
      <c r="B2" s="391" t="n">
        <f aca="false">'☆掛負収入'!B2</f>
        <v>46113</v>
      </c>
      <c r="C2" s="391" t="n">
        <f aca="false">'☆掛負収入'!C2</f>
        <v>0</v>
      </c>
      <c r="D2" s="391" t="n">
        <f aca="false">'☆掛負収入'!D2</f>
        <v>0</v>
      </c>
      <c r="E2" s="391" t="n">
        <f aca="false">'☆掛負収入'!E2</f>
        <v>0</v>
      </c>
      <c r="F2" s="391" t="n">
        <f aca="false">'☆掛負収入'!F2</f>
        <v>0</v>
      </c>
      <c r="G2" s="391" t="n">
        <f aca="false">'☆掛負収入'!G2</f>
        <v>0</v>
      </c>
      <c r="H2" s="391" t="n">
        <f aca="false">'☆掛負収入'!H2</f>
        <v>46113</v>
      </c>
      <c r="I2" s="391" t="n">
        <f aca="false">'☆掛負収入'!I2</f>
        <v>0</v>
      </c>
      <c r="J2" s="391" t="n">
        <f aca="false">'☆掛負収入'!J2</f>
        <v>0</v>
      </c>
      <c r="K2" s="391" t="n">
        <f aca="false">'☆掛負収入'!K2</f>
        <v>46113</v>
      </c>
      <c r="L2" s="391" t="n">
        <f aca="false">'☆掛負収入'!L2</f>
        <v>0</v>
      </c>
      <c r="M2" s="391" t="n">
        <f aca="false">'☆掛負収入'!M2</f>
        <v>0</v>
      </c>
      <c r="N2" s="391" t="n">
        <f aca="false">'☆掛負収入'!N2</f>
        <v>46113</v>
      </c>
      <c r="O2" s="391" t="n">
        <f aca="false">'☆掛負収入'!O2</f>
        <v>0</v>
      </c>
      <c r="P2" s="391" t="n">
        <f aca="false">'☆掛負収入'!P2</f>
        <v>0</v>
      </c>
      <c r="Q2" s="584"/>
    </row>
    <row r="3" customFormat="false" ht="22.5" hidden="false" customHeight="true" outlineLevel="0" collapsed="false">
      <c r="A3" s="89" t="str">
        <f aca="false">'☆掛負収入'!A3</f>
        <v>区　　分</v>
      </c>
      <c r="B3" s="89" t="str">
        <f aca="false">'☆掛負収入'!B3</f>
        <v>長　期　経　理</v>
      </c>
      <c r="C3" s="89" t="n">
        <f aca="false">'☆掛負収入'!C3</f>
        <v>0</v>
      </c>
      <c r="D3" s="89" t="n">
        <f aca="false">'☆掛負収入'!D3</f>
        <v>0</v>
      </c>
      <c r="E3" s="89" t="n">
        <f aca="false">'☆掛負収入'!E3</f>
        <v>0</v>
      </c>
      <c r="F3" s="89" t="n">
        <f aca="false">'☆掛負収入'!F3</f>
        <v>0</v>
      </c>
      <c r="G3" s="89" t="n">
        <f aca="false">'☆掛負収入'!G3</f>
        <v>0</v>
      </c>
      <c r="H3" s="91" t="str">
        <f aca="false">'☆掛負収入'!H3</f>
        <v>短　期　経　理</v>
      </c>
      <c r="I3" s="91" t="n">
        <f aca="false">'☆掛負収入'!I3</f>
        <v>0</v>
      </c>
      <c r="J3" s="91" t="n">
        <f aca="false">'☆掛負収入'!J3</f>
        <v>0</v>
      </c>
      <c r="K3" s="91" t="str">
        <f aca="false">'☆掛負収入'!K3</f>
        <v>介　護　納　付　金</v>
      </c>
      <c r="L3" s="91" t="n">
        <f aca="false">'☆掛負収入'!L3</f>
        <v>0</v>
      </c>
      <c r="M3" s="91" t="n">
        <f aca="false">'☆掛負収入'!M3</f>
        <v>0</v>
      </c>
      <c r="N3" s="91" t="str">
        <f aca="false">'☆掛負収入'!N3</f>
        <v>子ども・子育て支援納付金</v>
      </c>
      <c r="O3" s="91" t="n">
        <f aca="false">'☆掛負収入'!O3</f>
        <v>0</v>
      </c>
      <c r="P3" s="91" t="n">
        <f aca="false">'☆掛負収入'!P3</f>
        <v>0</v>
      </c>
    </row>
    <row r="4" customFormat="false" ht="22.5" hidden="false" customHeight="true" outlineLevel="0" collapsed="false">
      <c r="A4" s="89" t="n">
        <f aca="false">'☆掛負収入'!A4</f>
        <v>0</v>
      </c>
      <c r="B4" s="92" t="str">
        <f aca="false">'☆掛負収入'!B4</f>
        <v>組合員負担分</v>
      </c>
      <c r="C4" s="92" t="n">
        <f aca="false">'☆掛負収入'!C4</f>
        <v>0</v>
      </c>
      <c r="D4" s="92" t="str">
        <f aca="false">'☆掛負収入'!D4</f>
        <v>事業主負担分</v>
      </c>
      <c r="E4" s="92" t="n">
        <f aca="false">'☆掛負収入'!E4</f>
        <v>0</v>
      </c>
      <c r="F4" s="92" t="n">
        <f aca="false">'☆掛負収入'!F4</f>
        <v>0</v>
      </c>
      <c r="G4" s="586" t="str">
        <f aca="false">'☆掛負収入'!G4</f>
        <v>計</v>
      </c>
      <c r="H4" s="96" t="str">
        <f aca="false">'☆掛負収入'!H4</f>
        <v>掛　金</v>
      </c>
      <c r="I4" s="94" t="str">
        <f aca="false">'☆掛負収入'!I4</f>
        <v>負担金</v>
      </c>
      <c r="J4" s="95" t="str">
        <f aca="false">'☆掛負収入'!J4</f>
        <v>計</v>
      </c>
      <c r="K4" s="96" t="str">
        <f aca="false">'☆掛負収入'!K4</f>
        <v>掛　金</v>
      </c>
      <c r="L4" s="94" t="str">
        <f aca="false">'☆掛負収入'!L4</f>
        <v>負担金</v>
      </c>
      <c r="M4" s="95" t="str">
        <f aca="false">'☆掛負収入'!M4</f>
        <v>計</v>
      </c>
      <c r="N4" s="96" t="str">
        <f aca="false">'☆掛負収入'!N4</f>
        <v>掛　金</v>
      </c>
      <c r="O4" s="94" t="str">
        <f aca="false">'☆掛負収入'!O4</f>
        <v>負担金</v>
      </c>
      <c r="P4" s="95" t="str">
        <f aca="false">'☆掛負収入'!P4</f>
        <v>計</v>
      </c>
    </row>
    <row r="5" customFormat="false" ht="22.5" hidden="false" customHeight="true" outlineLevel="0" collapsed="false">
      <c r="A5" s="89" t="n">
        <f aca="false">'☆掛負収入'!A5</f>
        <v>0</v>
      </c>
      <c r="B5" s="587" t="str">
        <f aca="false">'☆掛負収入'!B5</f>
        <v>厚生年金保険料</v>
      </c>
      <c r="C5" s="588" t="str">
        <f aca="false">'☆掛負収入'!C5</f>
        <v>退職等年金掛金</v>
      </c>
      <c r="D5" s="589" t="str">
        <f aca="false">'☆掛負収入'!D5</f>
        <v>厚生年金保険料</v>
      </c>
      <c r="E5" s="589" t="str">
        <f aca="false">'☆掛負収入'!E5</f>
        <v>退職等年金負担金</v>
      </c>
      <c r="F5" s="590" t="str">
        <f aca="false">'☆掛負収入'!F5</f>
        <v>経過的長期</v>
      </c>
      <c r="G5" s="586" t="n">
        <f aca="false">'☆掛負収入'!G5</f>
        <v>0</v>
      </c>
      <c r="H5" s="96" t="n">
        <f aca="false">'☆掛負収入'!H5</f>
        <v>0</v>
      </c>
      <c r="I5" s="94" t="n">
        <f aca="false">'☆掛負収入'!I5</f>
        <v>0</v>
      </c>
      <c r="J5" s="95" t="n">
        <f aca="false">'☆掛負収入'!J5</f>
        <v>0</v>
      </c>
      <c r="K5" s="96" t="n">
        <f aca="false">'☆掛負収入'!K5</f>
        <v>0</v>
      </c>
      <c r="L5" s="94" t="n">
        <f aca="false">'☆掛負収入'!L5</f>
        <v>0</v>
      </c>
      <c r="M5" s="95" t="n">
        <f aca="false">'☆掛負収入'!M5</f>
        <v>0</v>
      </c>
      <c r="N5" s="96" t="n">
        <f aca="false">'☆掛負収入'!N5</f>
        <v>0</v>
      </c>
      <c r="O5" s="94" t="n">
        <f aca="false">'☆掛負収入'!O5</f>
        <v>0</v>
      </c>
      <c r="P5" s="95" t="n">
        <f aca="false">'☆掛負収入'!P5</f>
        <v>0</v>
      </c>
    </row>
    <row r="6" customFormat="false" ht="18.75" hidden="false" customHeight="true" outlineLevel="0" collapsed="false">
      <c r="A6" s="100" t="str">
        <f aca="false">'☆掛負収入'!A6</f>
        <v>市長部局</v>
      </c>
      <c r="B6" s="591"/>
      <c r="C6" s="364"/>
      <c r="D6" s="592"/>
      <c r="E6" s="592"/>
      <c r="F6" s="184"/>
      <c r="G6" s="364"/>
      <c r="H6" s="591"/>
      <c r="I6" s="593"/>
      <c r="J6" s="181"/>
      <c r="K6" s="594"/>
      <c r="L6" s="593"/>
      <c r="M6" s="181"/>
      <c r="N6" s="594"/>
      <c r="O6" s="593"/>
      <c r="P6" s="181"/>
    </row>
    <row r="7" customFormat="false" ht="18.75" hidden="false" customHeight="true" outlineLevel="0" collapsed="false">
      <c r="A7" s="100" t="str">
        <f aca="false">'☆掛負収入'!A7</f>
        <v>下水道局</v>
      </c>
      <c r="B7" s="406"/>
      <c r="C7" s="181"/>
      <c r="D7" s="592"/>
      <c r="E7" s="592"/>
      <c r="F7" s="135"/>
      <c r="G7" s="181"/>
      <c r="H7" s="594"/>
      <c r="I7" s="424"/>
      <c r="J7" s="135"/>
      <c r="K7" s="595"/>
      <c r="L7" s="596"/>
      <c r="M7" s="135"/>
      <c r="N7" s="595"/>
      <c r="O7" s="596"/>
      <c r="P7" s="135"/>
    </row>
    <row r="8" customFormat="false" ht="18.75" hidden="false" customHeight="true" outlineLevel="0" collapsed="false">
      <c r="A8" s="100" t="str">
        <f aca="false">'☆掛負収入'!A8</f>
        <v>消防局</v>
      </c>
      <c r="B8" s="406"/>
      <c r="C8" s="181"/>
      <c r="D8" s="592"/>
      <c r="E8" s="592"/>
      <c r="F8" s="135"/>
      <c r="G8" s="181"/>
      <c r="H8" s="595"/>
      <c r="I8" s="439"/>
      <c r="J8" s="135"/>
      <c r="K8" s="595"/>
      <c r="L8" s="439"/>
      <c r="M8" s="135"/>
      <c r="N8" s="595"/>
      <c r="O8" s="439"/>
      <c r="P8" s="135"/>
    </row>
    <row r="9" customFormat="false" ht="18.75" hidden="false" customHeight="true" outlineLevel="0" collapsed="false">
      <c r="A9" s="100" t="str">
        <f aca="false">'☆掛負収入'!A9</f>
        <v>議会事務局</v>
      </c>
      <c r="B9" s="406"/>
      <c r="C9" s="181"/>
      <c r="D9" s="592"/>
      <c r="E9" s="592"/>
      <c r="F9" s="135"/>
      <c r="G9" s="181"/>
      <c r="H9" s="406"/>
      <c r="I9" s="439"/>
      <c r="J9" s="135"/>
      <c r="K9" s="406"/>
      <c r="L9" s="439"/>
      <c r="M9" s="135"/>
      <c r="N9" s="406"/>
      <c r="O9" s="439"/>
      <c r="P9" s="135"/>
    </row>
    <row r="10" customFormat="false" ht="18.75" hidden="false" customHeight="true" outlineLevel="0" collapsed="false">
      <c r="A10" s="100" t="str">
        <f aca="false">'☆掛負収入'!A10</f>
        <v>教育委員会（総務課）</v>
      </c>
      <c r="B10" s="406"/>
      <c r="C10" s="181"/>
      <c r="D10" s="592"/>
      <c r="E10" s="592"/>
      <c r="F10" s="135"/>
      <c r="G10" s="181"/>
      <c r="H10" s="406"/>
      <c r="I10" s="439"/>
      <c r="J10" s="135"/>
      <c r="K10" s="406"/>
      <c r="L10" s="439"/>
      <c r="M10" s="135"/>
      <c r="N10" s="406"/>
      <c r="O10" s="439"/>
      <c r="P10" s="135"/>
    </row>
    <row r="11" customFormat="false" ht="18.75" hidden="false" customHeight="true" outlineLevel="0" collapsed="false">
      <c r="A11" s="100" t="str">
        <f aca="false">'☆掛負収入'!A11</f>
        <v>選挙管理委員会</v>
      </c>
      <c r="B11" s="406"/>
      <c r="C11" s="181"/>
      <c r="D11" s="592"/>
      <c r="E11" s="592"/>
      <c r="F11" s="135"/>
      <c r="G11" s="181"/>
      <c r="H11" s="594"/>
      <c r="I11" s="424"/>
      <c r="J11" s="135"/>
      <c r="K11" s="406"/>
      <c r="L11" s="439"/>
      <c r="M11" s="135"/>
      <c r="N11" s="406"/>
      <c r="O11" s="439"/>
      <c r="P11" s="135"/>
    </row>
    <row r="12" customFormat="false" ht="18.75" hidden="false" customHeight="true" outlineLevel="0" collapsed="false">
      <c r="A12" s="100" t="str">
        <f aca="false">'☆掛負収入'!A12</f>
        <v>人事委員会</v>
      </c>
      <c r="B12" s="406"/>
      <c r="C12" s="181"/>
      <c r="D12" s="592"/>
      <c r="E12" s="592"/>
      <c r="F12" s="135"/>
      <c r="G12" s="181"/>
      <c r="H12" s="594"/>
      <c r="I12" s="424"/>
      <c r="J12" s="135"/>
      <c r="K12" s="594"/>
      <c r="L12" s="424"/>
      <c r="M12" s="135"/>
      <c r="N12" s="594"/>
      <c r="O12" s="424"/>
      <c r="P12" s="135"/>
    </row>
    <row r="13" customFormat="false" ht="18.75" hidden="false" customHeight="true" outlineLevel="0" collapsed="false">
      <c r="A13" s="100" t="str">
        <f aca="false">'☆掛負収入'!A13</f>
        <v>監査事務局</v>
      </c>
      <c r="B13" s="406"/>
      <c r="C13" s="181"/>
      <c r="D13" s="592"/>
      <c r="E13" s="592"/>
      <c r="F13" s="135"/>
      <c r="G13" s="181"/>
      <c r="H13" s="594"/>
      <c r="I13" s="424"/>
      <c r="J13" s="135"/>
      <c r="K13" s="594"/>
      <c r="L13" s="424"/>
      <c r="M13" s="135"/>
      <c r="N13" s="594"/>
      <c r="O13" s="424"/>
      <c r="P13" s="135"/>
    </row>
    <row r="14" customFormat="false" ht="18.75" hidden="false" customHeight="true" outlineLevel="0" collapsed="false">
      <c r="A14" s="100" t="str">
        <f aca="false">'☆掛負収入'!A14</f>
        <v>農業委員会</v>
      </c>
      <c r="B14" s="406"/>
      <c r="C14" s="181"/>
      <c r="D14" s="592"/>
      <c r="E14" s="592"/>
      <c r="F14" s="135"/>
      <c r="G14" s="181"/>
      <c r="H14" s="594"/>
      <c r="I14" s="424"/>
      <c r="J14" s="135"/>
      <c r="K14" s="594"/>
      <c r="L14" s="424"/>
      <c r="M14" s="135"/>
      <c r="N14" s="594"/>
      <c r="O14" s="424"/>
      <c r="P14" s="135"/>
    </row>
    <row r="15" customFormat="false" ht="18.75" hidden="false" customHeight="true" outlineLevel="0" collapsed="false">
      <c r="A15" s="100" t="str">
        <f aca="false">'☆掛負収入'!A15</f>
        <v>水道局</v>
      </c>
      <c r="B15" s="406"/>
      <c r="C15" s="181"/>
      <c r="D15" s="592"/>
      <c r="E15" s="592"/>
      <c r="F15" s="135"/>
      <c r="G15" s="181"/>
      <c r="H15" s="594"/>
      <c r="I15" s="424"/>
      <c r="J15" s="135"/>
      <c r="K15" s="594"/>
      <c r="L15" s="424"/>
      <c r="M15" s="135"/>
      <c r="N15" s="594"/>
      <c r="O15" s="424"/>
      <c r="P15" s="135"/>
    </row>
    <row r="16" customFormat="false" ht="18.75" hidden="false" customHeight="true" outlineLevel="0" collapsed="false">
      <c r="A16" s="121" t="str">
        <f aca="false">'☆掛負収入'!A16</f>
        <v>医療政策課(安芸市民)</v>
      </c>
      <c r="B16" s="595"/>
      <c r="C16" s="366"/>
      <c r="D16" s="595"/>
      <c r="E16" s="596"/>
      <c r="F16" s="393"/>
      <c r="G16" s="181"/>
      <c r="H16" s="597"/>
      <c r="I16" s="407"/>
      <c r="J16" s="135"/>
      <c r="K16" s="594"/>
      <c r="L16" s="424"/>
      <c r="M16" s="135"/>
      <c r="N16" s="594"/>
      <c r="O16" s="424"/>
      <c r="P16" s="135"/>
    </row>
    <row r="17" customFormat="false" ht="18.75" hidden="false" customHeight="true" outlineLevel="0" collapsed="false">
      <c r="A17" s="121" t="str">
        <f aca="false">'☆掛負収入'!A17</f>
        <v>教育委員会（教育給与課）</v>
      </c>
      <c r="B17" s="595"/>
      <c r="C17" s="181"/>
      <c r="D17" s="406"/>
      <c r="E17" s="598"/>
      <c r="F17" s="284"/>
      <c r="G17" s="181"/>
      <c r="H17" s="594"/>
      <c r="I17" s="424"/>
      <c r="J17" s="135"/>
      <c r="K17" s="594"/>
      <c r="L17" s="424"/>
      <c r="M17" s="135"/>
      <c r="N17" s="594"/>
      <c r="O17" s="424"/>
      <c r="P17" s="135"/>
    </row>
    <row r="18" customFormat="false" ht="18.75" hidden="true" customHeight="true" outlineLevel="0" collapsed="false">
      <c r="A18" s="599" t="str">
        <f aca="false">'☆掛負収入'!A18</f>
        <v>　</v>
      </c>
      <c r="B18" s="600"/>
      <c r="C18" s="210"/>
      <c r="D18" s="600"/>
      <c r="E18" s="601"/>
      <c r="F18" s="196"/>
      <c r="G18" s="181"/>
      <c r="H18" s="602"/>
      <c r="I18" s="603"/>
      <c r="J18" s="135"/>
      <c r="K18" s="602"/>
      <c r="L18" s="603"/>
      <c r="M18" s="135"/>
      <c r="N18" s="602"/>
      <c r="O18" s="603"/>
      <c r="P18" s="135"/>
    </row>
    <row r="19" customFormat="false" ht="18.75" hidden="true" customHeight="true" outlineLevel="0" collapsed="false">
      <c r="A19" s="604" t="str">
        <f aca="false">'☆掛負収入'!A19</f>
        <v>　</v>
      </c>
      <c r="B19" s="457"/>
      <c r="C19" s="132"/>
      <c r="D19" s="457"/>
      <c r="E19" s="458"/>
      <c r="F19" s="459"/>
      <c r="G19" s="181"/>
      <c r="H19" s="457"/>
      <c r="I19" s="458"/>
      <c r="J19" s="135"/>
      <c r="K19" s="457"/>
      <c r="L19" s="458"/>
      <c r="M19" s="135"/>
      <c r="N19" s="457"/>
      <c r="O19" s="458"/>
      <c r="P19" s="135"/>
    </row>
    <row r="20" customFormat="false" ht="18.75" hidden="true" customHeight="true" outlineLevel="0" collapsed="false">
      <c r="A20" s="604" t="str">
        <f aca="false">'☆掛負収入'!A20</f>
        <v>　</v>
      </c>
      <c r="B20" s="600"/>
      <c r="C20" s="210"/>
      <c r="D20" s="600"/>
      <c r="E20" s="601"/>
      <c r="F20" s="196"/>
      <c r="G20" s="181"/>
      <c r="H20" s="600"/>
      <c r="I20" s="601"/>
      <c r="J20" s="135"/>
      <c r="K20" s="600"/>
      <c r="L20" s="601"/>
      <c r="M20" s="135"/>
      <c r="N20" s="600"/>
      <c r="O20" s="601"/>
      <c r="P20" s="135"/>
    </row>
    <row r="21" customFormat="false" ht="18.75" hidden="true" customHeight="true" outlineLevel="0" collapsed="false">
      <c r="A21" s="605" t="str">
        <f aca="false">'☆掛負収入'!A21</f>
        <v>　</v>
      </c>
      <c r="B21" s="606"/>
      <c r="C21" s="607"/>
      <c r="D21" s="606"/>
      <c r="E21" s="490"/>
      <c r="F21" s="608"/>
      <c r="G21" s="181"/>
      <c r="H21" s="457"/>
      <c r="I21" s="609"/>
      <c r="J21" s="135"/>
      <c r="K21" s="457"/>
      <c r="L21" s="458"/>
      <c r="M21" s="135"/>
      <c r="N21" s="457"/>
      <c r="O21" s="458"/>
      <c r="P21" s="135"/>
    </row>
    <row r="22" customFormat="false" ht="18.75" hidden="false" customHeight="true" outlineLevel="0" collapsed="false">
      <c r="A22" s="171" t="str">
        <f aca="false">'☆掛負収入'!A22</f>
        <v>小　計</v>
      </c>
      <c r="B22" s="404"/>
      <c r="C22" s="174"/>
      <c r="D22" s="404"/>
      <c r="E22" s="174"/>
      <c r="F22" s="175"/>
      <c r="G22" s="176"/>
      <c r="H22" s="404"/>
      <c r="I22" s="174"/>
      <c r="J22" s="173"/>
      <c r="K22" s="404"/>
      <c r="L22" s="174"/>
      <c r="M22" s="176"/>
      <c r="N22" s="404"/>
      <c r="O22" s="174"/>
      <c r="P22" s="176"/>
    </row>
    <row r="23" customFormat="false" ht="18.75" hidden="false" customHeight="true" outlineLevel="0" collapsed="false">
      <c r="A23" s="610" t="str">
        <f aca="false">'☆掛負収入'!A23</f>
        <v>地方税共同機構</v>
      </c>
      <c r="B23" s="444" t="n">
        <f aca="false">'☆掛負収入'!B23</f>
        <v>0</v>
      </c>
      <c r="C23" s="235" t="n">
        <f aca="false">'☆掛負収入'!C23</f>
        <v>0</v>
      </c>
      <c r="D23" s="611" t="n">
        <f aca="false">'☆掛負収入'!D23</f>
        <v>0</v>
      </c>
      <c r="E23" s="447" t="n">
        <f aca="false">'☆掛負収入'!E23</f>
        <v>0</v>
      </c>
      <c r="F23" s="446" t="n">
        <f aca="false">'☆掛負収入'!F23</f>
        <v>0</v>
      </c>
      <c r="G23" s="181" t="n">
        <f aca="false">SUM(B23:F23)</f>
        <v>0</v>
      </c>
      <c r="H23" s="594" t="n">
        <f aca="false">'☆掛負収入'!H23</f>
        <v>0</v>
      </c>
      <c r="I23" s="424" t="n">
        <f aca="false">'☆掛負収入'!I23</f>
        <v>0</v>
      </c>
      <c r="J23" s="135" t="n">
        <f aca="false">SUM(H23:I23)</f>
        <v>0</v>
      </c>
      <c r="K23" s="439" t="n">
        <f aca="false">'☆掛負収入'!K23</f>
        <v>0</v>
      </c>
      <c r="L23" s="424" t="n">
        <f aca="false">'☆掛負収入'!L23</f>
        <v>0</v>
      </c>
      <c r="M23" s="135" t="n">
        <f aca="false">SUM(K23:L23)</f>
        <v>0</v>
      </c>
      <c r="N23" s="439" t="n">
        <f aca="false">'☆掛負収入'!N23</f>
        <v>0</v>
      </c>
      <c r="O23" s="424" t="n">
        <f aca="false">'☆掛負収入'!O23</f>
        <v>0</v>
      </c>
      <c r="P23" s="135" t="n">
        <f aca="false">SUM(N23:O23)</f>
        <v>0</v>
      </c>
    </row>
    <row r="24" customFormat="false" ht="18.75" hidden="false" customHeight="true" outlineLevel="0" collapsed="false">
      <c r="A24" s="341" t="str">
        <f aca="false">'☆掛負収入'!A24</f>
        <v>平和文化センター</v>
      </c>
      <c r="B24" s="449" t="n">
        <f aca="false">'☆掛負収入'!B24</f>
        <v>0</v>
      </c>
      <c r="C24" s="377" t="n">
        <f aca="false">'☆掛負収入'!C24</f>
        <v>0</v>
      </c>
      <c r="D24" s="464" t="n">
        <f aca="false">'☆掛負収入'!D24</f>
        <v>765855</v>
      </c>
      <c r="E24" s="452" t="n">
        <f aca="false">'☆掛負収入'!E24</f>
        <v>62775</v>
      </c>
      <c r="F24" s="223" t="n">
        <f aca="false">'☆掛負収入'!F24</f>
        <v>789</v>
      </c>
      <c r="G24" s="181" t="n">
        <f aca="false">SUM(B24:F24)</f>
        <v>829419</v>
      </c>
      <c r="H24" s="594" t="n">
        <f aca="false">'☆掛負収入'!H24</f>
        <v>0</v>
      </c>
      <c r="I24" s="424" t="n">
        <f aca="false">'☆掛負収入'!I24</f>
        <v>441236</v>
      </c>
      <c r="J24" s="135" t="n">
        <f aca="false">SUM(H24:I24)</f>
        <v>441236</v>
      </c>
      <c r="K24" s="439" t="n">
        <f aca="false">'☆掛負収入'!K24</f>
        <v>0</v>
      </c>
      <c r="L24" s="424" t="n">
        <f aca="false">'☆掛負収入'!L24</f>
        <v>54826</v>
      </c>
      <c r="M24" s="135" t="n">
        <f aca="false">SUM(K24:L24)</f>
        <v>54826</v>
      </c>
      <c r="N24" s="439" t="n">
        <f aca="false">'☆掛負収入'!N24</f>
        <v>0</v>
      </c>
      <c r="O24" s="424" t="n">
        <f aca="false">'☆掛負収入'!O24</f>
        <v>9775</v>
      </c>
      <c r="P24" s="135" t="n">
        <f aca="false">SUM(N24:O24)</f>
        <v>9775</v>
      </c>
    </row>
    <row r="25" customFormat="false" ht="18.75" hidden="false" customHeight="true" outlineLevel="0" collapsed="false">
      <c r="A25" s="341" t="str">
        <f aca="false">'☆掛負収入'!A25</f>
        <v>社会福祉事業団</v>
      </c>
      <c r="B25" s="600"/>
      <c r="C25" s="210"/>
      <c r="D25" s="451" t="n">
        <f aca="false">'☆掛負収入'!D25</f>
        <v>2045940</v>
      </c>
      <c r="E25" s="453" t="n">
        <f aca="false">'☆掛負収入'!E25</f>
        <v>167700</v>
      </c>
      <c r="F25" s="223" t="n">
        <f aca="false">'☆掛負収入'!F25</f>
        <v>1993</v>
      </c>
      <c r="G25" s="181" t="n">
        <f aca="false">SUM(B25:F25)</f>
        <v>2215633</v>
      </c>
      <c r="H25" s="602"/>
      <c r="I25" s="424" t="n">
        <f aca="false">'☆掛負収入'!I25</f>
        <v>1308159</v>
      </c>
      <c r="J25" s="135" t="n">
        <f aca="false">SUM(H25:I25)</f>
        <v>1308159</v>
      </c>
      <c r="K25" s="612"/>
      <c r="L25" s="424" t="n">
        <f aca="false">'☆掛負収入'!L25</f>
        <v>141726</v>
      </c>
      <c r="M25" s="135" t="n">
        <f aca="false">SUM(K25:L25)</f>
        <v>141726</v>
      </c>
      <c r="N25" s="612"/>
      <c r="O25" s="424" t="n">
        <f aca="false">'☆掛負収入'!O25</f>
        <v>28976</v>
      </c>
      <c r="P25" s="135" t="n">
        <f aca="false">SUM(N25:O25)</f>
        <v>28976</v>
      </c>
    </row>
    <row r="26" customFormat="false" ht="18.75" hidden="false" customHeight="true" outlineLevel="0" collapsed="false">
      <c r="A26" s="341" t="str">
        <f aca="false">'☆掛負収入'!A26</f>
        <v>原爆障害対策協議会</v>
      </c>
      <c r="B26" s="600"/>
      <c r="C26" s="210"/>
      <c r="D26" s="449" t="n">
        <f aca="false">'☆掛負収入'!D26</f>
        <v>59475</v>
      </c>
      <c r="E26" s="453" t="n">
        <f aca="false">'☆掛負収入'!E26</f>
        <v>4875</v>
      </c>
      <c r="F26" s="223" t="n">
        <f aca="false">'☆掛負収入'!F26</f>
        <v>56</v>
      </c>
      <c r="G26" s="181" t="n">
        <f aca="false">SUM(B26:F26)</f>
        <v>64406</v>
      </c>
      <c r="H26" s="602"/>
      <c r="I26" s="424" t="n">
        <f aca="false">'☆掛負収入'!I26</f>
        <v>36856</v>
      </c>
      <c r="J26" s="135" t="n">
        <f aca="false">SUM(H26:I26)</f>
        <v>36856</v>
      </c>
      <c r="K26" s="612"/>
      <c r="L26" s="424" t="n">
        <f aca="false">'☆掛負収入'!L26</f>
        <v>5609</v>
      </c>
      <c r="M26" s="135" t="n">
        <f aca="false">SUM(K26:L26)</f>
        <v>5609</v>
      </c>
      <c r="N26" s="612"/>
      <c r="O26" s="424" t="n">
        <f aca="false">'☆掛負収入'!O26</f>
        <v>816</v>
      </c>
      <c r="P26" s="135" t="n">
        <f aca="false">SUM(N26:O26)</f>
        <v>816</v>
      </c>
    </row>
    <row r="27" customFormat="false" ht="18.75" hidden="false" customHeight="true" outlineLevel="0" collapsed="false">
      <c r="A27" s="342" t="str">
        <f aca="false">'☆掛負収入'!A27</f>
        <v>産業振興センター</v>
      </c>
      <c r="B27" s="600"/>
      <c r="C27" s="210"/>
      <c r="D27" s="449" t="n">
        <f aca="false">'☆掛負収入'!D27</f>
        <v>417240</v>
      </c>
      <c r="E27" s="453" t="n">
        <f aca="false">'☆掛負収入'!E27</f>
        <v>34200</v>
      </c>
      <c r="F27" s="223" t="n">
        <f aca="false">'☆掛負収入'!F27</f>
        <v>395</v>
      </c>
      <c r="G27" s="181" t="n">
        <f aca="false">SUM(B27:F27)</f>
        <v>451835</v>
      </c>
      <c r="H27" s="602"/>
      <c r="I27" s="424" t="n">
        <f aca="false">'☆掛負収入'!I27</f>
        <v>236708</v>
      </c>
      <c r="J27" s="135" t="n">
        <f aca="false">SUM(H27:I27)</f>
        <v>236708</v>
      </c>
      <c r="K27" s="612"/>
      <c r="L27" s="424" t="n">
        <f aca="false">'☆掛負収入'!L27</f>
        <v>30968</v>
      </c>
      <c r="M27" s="135" t="n">
        <f aca="false">SUM(K27:L27)</f>
        <v>30968</v>
      </c>
      <c r="N27" s="612"/>
      <c r="O27" s="424" t="n">
        <f aca="false">'☆掛負収入'!O27</f>
        <v>5243</v>
      </c>
      <c r="P27" s="135" t="n">
        <f aca="false">SUM(N27:O27)</f>
        <v>5243</v>
      </c>
    </row>
    <row r="28" customFormat="false" ht="18.75" hidden="false" customHeight="true" outlineLevel="0" collapsed="false">
      <c r="A28" s="343" t="str">
        <f aca="false">'☆掛負収入'!A28</f>
        <v>ひろしま産業振興</v>
      </c>
      <c r="B28" s="600"/>
      <c r="C28" s="459"/>
      <c r="D28" s="449" t="n">
        <f aca="false">'☆掛負収入'!D28</f>
        <v>40260</v>
      </c>
      <c r="E28" s="453" t="n">
        <f aca="false">'☆掛負収入'!E28</f>
        <v>3300</v>
      </c>
      <c r="F28" s="454" t="n">
        <f aca="false">'☆掛負収入'!F28</f>
        <v>38</v>
      </c>
      <c r="G28" s="181" t="n">
        <f aca="false">SUM(B28:F28)</f>
        <v>43598</v>
      </c>
      <c r="H28" s="602"/>
      <c r="I28" s="407" t="n">
        <f aca="false">'☆掛負収入'!I28</f>
        <v>22840</v>
      </c>
      <c r="J28" s="135" t="n">
        <f aca="false">SUM(H28:I28)</f>
        <v>22840</v>
      </c>
      <c r="K28" s="612"/>
      <c r="L28" s="407" t="n">
        <f aca="false">'☆掛負収入'!L28</f>
        <v>3476</v>
      </c>
      <c r="M28" s="135" t="n">
        <f aca="false">SUM(K28:L28)</f>
        <v>3476</v>
      </c>
      <c r="N28" s="612"/>
      <c r="O28" s="407" t="n">
        <f aca="false">'☆掛負収入'!O28</f>
        <v>506</v>
      </c>
      <c r="P28" s="135" t="n">
        <f aca="false">SUM(N28:O28)</f>
        <v>506</v>
      </c>
    </row>
    <row r="29" customFormat="false" ht="18.75" hidden="false" customHeight="true" outlineLevel="0" collapsed="false">
      <c r="A29" s="343" t="str">
        <f aca="false">'☆掛負収入'!A29</f>
        <v>都市整備公社　市</v>
      </c>
      <c r="B29" s="600"/>
      <c r="C29" s="459"/>
      <c r="D29" s="451" t="n">
        <f aca="false">'☆掛負収入'!D29</f>
        <v>0</v>
      </c>
      <c r="E29" s="453" t="n">
        <f aca="false">'☆掛負収入'!E29</f>
        <v>0</v>
      </c>
      <c r="F29" s="223" t="n">
        <f aca="false">'☆掛負収入'!F29</f>
        <v>0</v>
      </c>
      <c r="G29" s="181" t="n">
        <f aca="false">SUM(B29:F29)</f>
        <v>0</v>
      </c>
      <c r="H29" s="602"/>
      <c r="I29" s="424" t="n">
        <f aca="false">'☆掛負収入'!I29</f>
        <v>0</v>
      </c>
      <c r="J29" s="135" t="n">
        <f aca="false">SUM(H29:I29)</f>
        <v>0</v>
      </c>
      <c r="K29" s="612"/>
      <c r="L29" s="424" t="n">
        <f aca="false">'☆掛負収入'!L29</f>
        <v>0</v>
      </c>
      <c r="M29" s="135" t="n">
        <f aca="false">SUM(K29:L29)</f>
        <v>0</v>
      </c>
      <c r="N29" s="612"/>
      <c r="O29" s="424" t="n">
        <f aca="false">'☆掛負収入'!O29</f>
        <v>0</v>
      </c>
      <c r="P29" s="135" t="n">
        <f aca="false">SUM(N29:O29)</f>
        <v>0</v>
      </c>
    </row>
    <row r="30" customFormat="false" ht="18.75" hidden="false" customHeight="true" outlineLevel="0" collapsed="false">
      <c r="A30" s="344"/>
      <c r="B30" s="600"/>
      <c r="C30" s="196"/>
      <c r="D30" s="449"/>
      <c r="E30" s="453"/>
      <c r="F30" s="223"/>
      <c r="G30" s="181"/>
      <c r="H30" s="602"/>
      <c r="I30" s="424"/>
      <c r="J30" s="135"/>
      <c r="K30" s="612"/>
      <c r="L30" s="424"/>
      <c r="M30" s="135" t="n">
        <f aca="false">SUM(K30:L30)</f>
        <v>0</v>
      </c>
      <c r="N30" s="612"/>
      <c r="O30" s="424"/>
      <c r="P30" s="135" t="n">
        <f aca="false">SUM(N30:O30)</f>
        <v>0</v>
      </c>
    </row>
    <row r="31" customFormat="false" ht="18.75" hidden="false" customHeight="true" outlineLevel="0" collapsed="false">
      <c r="A31" s="341" t="str">
        <f aca="false">'☆掛負収入'!A31</f>
        <v>日本下水道事業団</v>
      </c>
      <c r="B31" s="451" t="n">
        <f aca="false">'☆掛負収入'!B31</f>
        <v>235155</v>
      </c>
      <c r="C31" s="223" t="n">
        <f aca="false">'☆掛負収入'!C31</f>
        <v>19275</v>
      </c>
      <c r="D31" s="449" t="n">
        <f aca="false">'☆掛負収入'!D31</f>
        <v>235155</v>
      </c>
      <c r="E31" s="453" t="n">
        <f aca="false">'☆掛負収入'!E31</f>
        <v>19275</v>
      </c>
      <c r="F31" s="223" t="n">
        <f aca="false">'☆掛負収入'!F31</f>
        <v>223</v>
      </c>
      <c r="G31" s="181" t="n">
        <f aca="false">SUM(B31:F31)</f>
        <v>509083</v>
      </c>
      <c r="H31" s="594" t="n">
        <f aca="false">'☆掛負収入'!H31</f>
        <v>134834</v>
      </c>
      <c r="I31" s="424" t="n">
        <f aca="false">'☆掛負収入'!I31</f>
        <v>134966</v>
      </c>
      <c r="J31" s="135" t="n">
        <f aca="false">SUM(H31:I31)</f>
        <v>269800</v>
      </c>
      <c r="K31" s="439" t="n">
        <f aca="false">'☆掛負収入'!K31</f>
        <v>10270</v>
      </c>
      <c r="L31" s="424" t="n">
        <f aca="false">'☆掛負収入'!L31</f>
        <v>10270</v>
      </c>
      <c r="M31" s="135" t="n">
        <f aca="false">SUM(K31:L31)</f>
        <v>20540</v>
      </c>
      <c r="N31" s="439" t="n">
        <f aca="false">'☆掛負収入'!N31</f>
        <v>2989</v>
      </c>
      <c r="O31" s="424" t="n">
        <f aca="false">'☆掛負収入'!O31</f>
        <v>2990</v>
      </c>
      <c r="P31" s="135" t="n">
        <f aca="false">SUM(N31:O31)</f>
        <v>5979</v>
      </c>
    </row>
    <row r="32" customFormat="false" ht="18.75" hidden="false" customHeight="true" outlineLevel="0" collapsed="false">
      <c r="A32" s="341" t="str">
        <f aca="false">'☆掛負収入'!A32</f>
        <v>地方公務員災害補償基金本部</v>
      </c>
      <c r="B32" s="600"/>
      <c r="C32" s="196"/>
      <c r="D32" s="449" t="n">
        <f aca="false">'☆掛負収入'!D32</f>
        <v>40260</v>
      </c>
      <c r="E32" s="453" t="n">
        <f aca="false">'☆掛負収入'!E32</f>
        <v>3300</v>
      </c>
      <c r="F32" s="223" t="n">
        <f aca="false">'☆掛負収入'!F32</f>
        <v>38</v>
      </c>
      <c r="G32" s="181" t="n">
        <f aca="false">SUM(B32:F32)</f>
        <v>43598</v>
      </c>
      <c r="H32" s="602"/>
      <c r="I32" s="424" t="n">
        <f aca="false">'☆掛負収入'!I32</f>
        <v>22840</v>
      </c>
      <c r="J32" s="135" t="n">
        <f aca="false">SUM(H32:I32)</f>
        <v>22840</v>
      </c>
      <c r="K32" s="612"/>
      <c r="L32" s="424" t="n">
        <f aca="false">'☆掛負収入'!L32</f>
        <v>0</v>
      </c>
      <c r="M32" s="135" t="n">
        <f aca="false">SUM(K32:L32)</f>
        <v>0</v>
      </c>
      <c r="N32" s="612"/>
      <c r="O32" s="424" t="n">
        <f aca="false">'☆掛負収入'!O32</f>
        <v>506</v>
      </c>
      <c r="P32" s="135" t="n">
        <f aca="false">SUM(N32:O32)</f>
        <v>506</v>
      </c>
    </row>
    <row r="33" customFormat="false" ht="18.75" hidden="false" customHeight="true" outlineLevel="0" collapsed="false">
      <c r="A33" s="345"/>
      <c r="B33" s="449"/>
      <c r="C33" s="223"/>
      <c r="D33" s="449"/>
      <c r="E33" s="453"/>
      <c r="F33" s="223"/>
      <c r="G33" s="181"/>
      <c r="H33" s="594"/>
      <c r="I33" s="424"/>
      <c r="J33" s="135"/>
      <c r="K33" s="439"/>
      <c r="L33" s="424"/>
      <c r="M33" s="135" t="n">
        <f aca="false">SUM(K33:L33)</f>
        <v>0</v>
      </c>
      <c r="N33" s="439"/>
      <c r="O33" s="424"/>
      <c r="P33" s="135" t="n">
        <f aca="false">SUM(N33:O33)</f>
        <v>0</v>
      </c>
    </row>
    <row r="34" customFormat="false" ht="18.75" hidden="false" customHeight="true" outlineLevel="0" collapsed="false">
      <c r="A34" s="341" t="str">
        <f aca="false">'☆掛負収入'!A34</f>
        <v>高速道路公社</v>
      </c>
      <c r="B34" s="464" t="n">
        <f aca="false">'☆掛負収入'!B34</f>
        <v>784155</v>
      </c>
      <c r="C34" s="454" t="n">
        <f aca="false">'☆掛負収入'!C34</f>
        <v>64275</v>
      </c>
      <c r="D34" s="464" t="n">
        <f aca="false">'☆掛負収入'!D34</f>
        <v>784155</v>
      </c>
      <c r="E34" s="470" t="n">
        <f aca="false">'☆掛負収入'!E34</f>
        <v>64275</v>
      </c>
      <c r="F34" s="466" t="n">
        <f aca="false">'☆掛負収入'!F34</f>
        <v>804</v>
      </c>
      <c r="G34" s="181" t="n">
        <f aca="false">SUM(B34:F34)</f>
        <v>1697664</v>
      </c>
      <c r="H34" s="613" t="n">
        <f aca="false">'☆掛負収入'!H34</f>
        <v>444434</v>
      </c>
      <c r="I34" s="614" t="n">
        <f aca="false">'☆掛負収入'!I34</f>
        <v>444868</v>
      </c>
      <c r="J34" s="135" t="n">
        <f aca="false">SUM(H34:I34)</f>
        <v>889302</v>
      </c>
      <c r="K34" s="615" t="n">
        <f aca="false">'☆掛負収入'!K34</f>
        <v>39342</v>
      </c>
      <c r="L34" s="614" t="n">
        <f aca="false">'☆掛負収入'!L34</f>
        <v>39342</v>
      </c>
      <c r="M34" s="135" t="n">
        <f aca="false">SUM(K34:L34)</f>
        <v>78684</v>
      </c>
      <c r="N34" s="615" t="n">
        <f aca="false">'☆掛負収入'!N34</f>
        <v>9851</v>
      </c>
      <c r="O34" s="614" t="n">
        <f aca="false">'☆掛負収入'!O34</f>
        <v>9855</v>
      </c>
      <c r="P34" s="135" t="n">
        <f aca="false">SUM(N34:O34)</f>
        <v>19706</v>
      </c>
    </row>
    <row r="35" customFormat="false" ht="18.75" hidden="false" customHeight="true" outlineLevel="0" collapsed="false">
      <c r="A35" s="341" t="str">
        <f aca="false">'☆掛負収入'!A35</f>
        <v>農林水産振興センタ</v>
      </c>
      <c r="B35" s="457"/>
      <c r="C35" s="459"/>
      <c r="D35" s="451" t="n">
        <f aca="false">'☆掛負収入'!D35</f>
        <v>602070</v>
      </c>
      <c r="E35" s="473" t="n">
        <f aca="false">'☆掛負収入'!E35</f>
        <v>49350</v>
      </c>
      <c r="F35" s="454" t="n">
        <f aca="false">'☆掛負収入'!F35</f>
        <v>598</v>
      </c>
      <c r="G35" s="181" t="n">
        <f aca="false">SUM(B35:F35)</f>
        <v>652018</v>
      </c>
      <c r="H35" s="616"/>
      <c r="I35" s="407" t="n">
        <f aca="false">'☆掛負収入'!I35</f>
        <v>341582</v>
      </c>
      <c r="J35" s="135" t="n">
        <f aca="false">SUM(H35:I35)</f>
        <v>341582</v>
      </c>
      <c r="K35" s="617"/>
      <c r="L35" s="407" t="n">
        <f aca="false">'☆掛負収入'!L35</f>
        <v>28203</v>
      </c>
      <c r="M35" s="135" t="n">
        <f aca="false">SUM(K35:L35)</f>
        <v>28203</v>
      </c>
      <c r="N35" s="617"/>
      <c r="O35" s="407" t="n">
        <f aca="false">'☆掛負収入'!O35</f>
        <v>7565</v>
      </c>
      <c r="P35" s="135" t="n">
        <f aca="false">SUM(N35:O35)</f>
        <v>7565</v>
      </c>
    </row>
    <row r="36" customFormat="false" ht="18.75" hidden="false" customHeight="true" outlineLevel="0" collapsed="false">
      <c r="A36" s="346" t="str">
        <f aca="false">'☆掛負収入'!A36</f>
        <v>文化財団　市長部局</v>
      </c>
      <c r="B36" s="600"/>
      <c r="C36" s="196"/>
      <c r="D36" s="449" t="n">
        <f aca="false">'☆掛負収入'!D36</f>
        <v>1056825</v>
      </c>
      <c r="E36" s="453" t="n">
        <f aca="false">'☆掛負収入'!E36</f>
        <v>86625</v>
      </c>
      <c r="F36" s="454" t="n">
        <f aca="false">'☆掛負収入'!F36</f>
        <v>1000</v>
      </c>
      <c r="G36" s="181" t="n">
        <f aca="false">SUM(B36:F36)</f>
        <v>1144450</v>
      </c>
      <c r="H36" s="602"/>
      <c r="I36" s="407" t="n">
        <f aca="false">'☆掛負収入'!I36</f>
        <v>602672</v>
      </c>
      <c r="J36" s="135" t="n">
        <f aca="false">SUM(H36:I36)</f>
        <v>602672</v>
      </c>
      <c r="K36" s="612"/>
      <c r="L36" s="407" t="n">
        <f aca="false">'☆掛負収入'!L36</f>
        <v>86347</v>
      </c>
      <c r="M36" s="135" t="n">
        <f aca="false">SUM(K36:L36)</f>
        <v>86347</v>
      </c>
      <c r="N36" s="612"/>
      <c r="O36" s="407" t="n">
        <f aca="false">'☆掛負収入'!O36</f>
        <v>13350</v>
      </c>
      <c r="P36" s="135" t="n">
        <f aca="false">SUM(N36:O36)</f>
        <v>13350</v>
      </c>
    </row>
    <row r="37" customFormat="false" ht="18.75" hidden="false" customHeight="true" outlineLevel="0" collapsed="false">
      <c r="A37" s="347"/>
      <c r="B37" s="600"/>
      <c r="C37" s="196"/>
      <c r="D37" s="449"/>
      <c r="E37" s="453"/>
      <c r="F37" s="454"/>
      <c r="G37" s="181"/>
      <c r="H37" s="602"/>
      <c r="I37" s="407"/>
      <c r="J37" s="135"/>
      <c r="K37" s="612"/>
      <c r="L37" s="407"/>
      <c r="M37" s="135" t="n">
        <f aca="false">SUM(K37:L37)</f>
        <v>0</v>
      </c>
      <c r="N37" s="612"/>
      <c r="O37" s="407"/>
      <c r="P37" s="135" t="n">
        <f aca="false">SUM(N37:O37)</f>
        <v>0</v>
      </c>
    </row>
    <row r="38" customFormat="false" ht="18.75" hidden="false" customHeight="true" outlineLevel="0" collapsed="false">
      <c r="A38" s="341" t="str">
        <f aca="false">'☆掛負収入'!A38</f>
        <v>みどり生きもの協会</v>
      </c>
      <c r="B38" s="600"/>
      <c r="C38" s="196"/>
      <c r="D38" s="449" t="n">
        <f aca="false">'☆掛負収入'!D38</f>
        <v>405345</v>
      </c>
      <c r="E38" s="453" t="n">
        <f aca="false">'☆掛負収入'!E38</f>
        <v>33225</v>
      </c>
      <c r="F38" s="454" t="n">
        <f aca="false">'☆掛負収入'!F38</f>
        <v>383</v>
      </c>
      <c r="G38" s="181" t="n">
        <f aca="false">SUM(B38:F38)</f>
        <v>438953</v>
      </c>
      <c r="H38" s="602"/>
      <c r="I38" s="407" t="n">
        <f aca="false">'☆掛負収入'!I38</f>
        <v>229959</v>
      </c>
      <c r="J38" s="135" t="n">
        <f aca="false">SUM(H38:I38)</f>
        <v>229959</v>
      </c>
      <c r="K38" s="612"/>
      <c r="L38" s="407" t="n">
        <f aca="false">'☆掛負収入'!L38</f>
        <v>34997</v>
      </c>
      <c r="M38" s="135" t="n">
        <f aca="false">SUM(K38:L38)</f>
        <v>34997</v>
      </c>
      <c r="N38" s="612"/>
      <c r="O38" s="407" t="n">
        <f aca="false">'☆掛負収入'!O38</f>
        <v>5093</v>
      </c>
      <c r="P38" s="135" t="n">
        <f aca="false">SUM(N38:O38)</f>
        <v>5093</v>
      </c>
    </row>
    <row r="39" customFormat="false" ht="18.75" hidden="false" customHeight="true" outlineLevel="0" collapsed="false">
      <c r="A39" s="343" t="str">
        <f aca="false">'☆掛負収入'!A39</f>
        <v>県下水道公社</v>
      </c>
      <c r="B39" s="449" t="n">
        <f aca="false">'☆掛負収入'!B39</f>
        <v>148230</v>
      </c>
      <c r="C39" s="223" t="n">
        <f aca="false">'☆掛負収入'!C39</f>
        <v>12150</v>
      </c>
      <c r="D39" s="449" t="n">
        <f aca="false">'☆掛負収入'!D39</f>
        <v>148230</v>
      </c>
      <c r="E39" s="453" t="n">
        <f aca="false">'☆掛負収入'!E39</f>
        <v>12150</v>
      </c>
      <c r="F39" s="454" t="n">
        <f aca="false">'☆掛負収入'!F39</f>
        <v>140</v>
      </c>
      <c r="G39" s="181" t="n">
        <f aca="false">SUM(B39:F39)</f>
        <v>320900</v>
      </c>
      <c r="H39" s="594" t="n">
        <f aca="false">'☆掛負収入'!H39</f>
        <v>87123</v>
      </c>
      <c r="I39" s="407" t="n">
        <f aca="false">'☆掛負収入'!I39</f>
        <v>87208</v>
      </c>
      <c r="J39" s="135" t="n">
        <f aca="false">SUM(H39:I39)</f>
        <v>174331</v>
      </c>
      <c r="K39" s="439" t="n">
        <f aca="false">'☆掛負収入'!K39</f>
        <v>10033</v>
      </c>
      <c r="L39" s="407" t="n">
        <f aca="false">'☆掛負収入'!L39</f>
        <v>10033</v>
      </c>
      <c r="M39" s="135" t="n">
        <f aca="false">SUM(K39:L39)</f>
        <v>20066</v>
      </c>
      <c r="N39" s="439" t="n">
        <f aca="false">'☆掛負収入'!N39</f>
        <v>1931</v>
      </c>
      <c r="O39" s="407" t="n">
        <f aca="false">'☆掛負収入'!O39</f>
        <v>1932</v>
      </c>
      <c r="P39" s="135" t="n">
        <f aca="false">SUM(N39:O39)</f>
        <v>3863</v>
      </c>
    </row>
    <row r="40" customFormat="false" ht="18.75" hidden="false" customHeight="true" outlineLevel="0" collapsed="false">
      <c r="A40" s="343" t="str">
        <f aca="false">'☆掛負収入'!A40</f>
        <v>バス協調・共創
プラットフォーム</v>
      </c>
      <c r="B40" s="457"/>
      <c r="C40" s="459"/>
      <c r="D40" s="451" t="n">
        <f aca="false">'☆掛負収入'!D40</f>
        <v>455670</v>
      </c>
      <c r="E40" s="473" t="n">
        <f aca="false">'☆掛負収入'!E40</f>
        <v>37350</v>
      </c>
      <c r="F40" s="454" t="n">
        <f aca="false">'☆掛負収入'!F40</f>
        <v>432</v>
      </c>
      <c r="G40" s="181" t="n">
        <f aca="false">SUM(B40:F40)</f>
        <v>493452</v>
      </c>
      <c r="H40" s="616"/>
      <c r="I40" s="407" t="n">
        <f aca="false">'☆掛負収入'!I40</f>
        <v>263702</v>
      </c>
      <c r="J40" s="135" t="n">
        <f aca="false">SUM(H40:I40)</f>
        <v>263702</v>
      </c>
      <c r="K40" s="617"/>
      <c r="L40" s="407" t="n">
        <f aca="false">'☆掛負収入'!L40</f>
        <v>21093</v>
      </c>
      <c r="M40" s="135" t="n">
        <f aca="false">SUM(K40:L40)</f>
        <v>21093</v>
      </c>
      <c r="N40" s="617"/>
      <c r="O40" s="407" t="n">
        <f aca="false">'☆掛負収入'!O40</f>
        <v>5842</v>
      </c>
      <c r="P40" s="135" t="n">
        <f aca="false">SUM(N40:O40)</f>
        <v>5842</v>
      </c>
    </row>
    <row r="41" customFormat="false" ht="18.75" hidden="false" customHeight="true" outlineLevel="0" collapsed="false">
      <c r="A41" s="342" t="str">
        <f aca="false">'☆掛負収入'!A41</f>
        <v>広島県市長会</v>
      </c>
      <c r="B41" s="449" t="n">
        <f aca="false">'☆掛負収入'!B41</f>
        <v>56730</v>
      </c>
      <c r="C41" s="223" t="n">
        <f aca="false">'☆掛負収入'!C41</f>
        <v>4650</v>
      </c>
      <c r="D41" s="449" t="n">
        <f aca="false">'☆掛負収入'!D41</f>
        <v>56730</v>
      </c>
      <c r="E41" s="453" t="n">
        <f aca="false">'☆掛負収入'!E41</f>
        <v>4650</v>
      </c>
      <c r="F41" s="223" t="n">
        <f aca="false">'☆掛負収入'!F41</f>
        <v>53</v>
      </c>
      <c r="G41" s="181" t="n">
        <f aca="false">SUM(B41:F41)</f>
        <v>122813</v>
      </c>
      <c r="H41" s="594" t="n">
        <f aca="false">'☆掛負収入'!H41</f>
        <v>32153</v>
      </c>
      <c r="I41" s="424" t="n">
        <f aca="false">'☆掛負収入'!I41</f>
        <v>32184</v>
      </c>
      <c r="J41" s="135" t="n">
        <f aca="false">SUM(H41:I41)</f>
        <v>64337</v>
      </c>
      <c r="K41" s="439" t="n">
        <f aca="false">'☆掛負収入'!K41</f>
        <v>4898</v>
      </c>
      <c r="L41" s="424" t="n">
        <f aca="false">'☆掛負収入'!L41</f>
        <v>4898</v>
      </c>
      <c r="M41" s="135" t="n">
        <f aca="false">SUM(K41:L41)</f>
        <v>9796</v>
      </c>
      <c r="N41" s="439" t="n">
        <f aca="false">'☆掛負収入'!N41</f>
        <v>713</v>
      </c>
      <c r="O41" s="424" t="n">
        <f aca="false">'☆掛負収入'!O41</f>
        <v>713</v>
      </c>
      <c r="P41" s="135" t="n">
        <f aca="false">SUM(N41:O41)</f>
        <v>1426</v>
      </c>
    </row>
    <row r="42" customFormat="false" ht="18.75" hidden="false" customHeight="true" outlineLevel="0" collapsed="false">
      <c r="A42" s="342" t="str">
        <f aca="false">'☆掛負収入'!A42</f>
        <v>全国市町村研修財団</v>
      </c>
      <c r="B42" s="451" t="n">
        <f aca="false">'☆掛負収入'!B42</f>
        <v>59475</v>
      </c>
      <c r="C42" s="223" t="n">
        <f aca="false">'☆掛負収入'!C42</f>
        <v>4875</v>
      </c>
      <c r="D42" s="449" t="n">
        <f aca="false">'☆掛負収入'!D42</f>
        <v>59475</v>
      </c>
      <c r="E42" s="453" t="n">
        <f aca="false">'☆掛負収入'!E42</f>
        <v>4875</v>
      </c>
      <c r="F42" s="223" t="n">
        <f aca="false">'☆掛負収入'!F42</f>
        <v>56</v>
      </c>
      <c r="G42" s="181" t="n">
        <f aca="false">SUM(B42:F42)</f>
        <v>128756</v>
      </c>
      <c r="H42" s="594" t="n">
        <f aca="false">'☆掛負収入'!H42</f>
        <v>38895</v>
      </c>
      <c r="I42" s="424" t="n">
        <f aca="false">'☆掛負収入'!I42</f>
        <v>38932</v>
      </c>
      <c r="J42" s="135" t="n">
        <f aca="false">SUM(H42:I42)</f>
        <v>77827</v>
      </c>
      <c r="K42" s="439" t="n">
        <f aca="false">'☆掛負収入'!K42</f>
        <v>5925</v>
      </c>
      <c r="L42" s="424" t="n">
        <f aca="false">'☆掛負収入'!L42</f>
        <v>5925</v>
      </c>
      <c r="M42" s="135" t="n">
        <f aca="false">SUM(K42:L42)</f>
        <v>11850</v>
      </c>
      <c r="N42" s="439" t="n">
        <f aca="false">'☆掛負収入'!N42</f>
        <v>862</v>
      </c>
      <c r="O42" s="424" t="n">
        <f aca="false">'☆掛負収入'!O42</f>
        <v>862</v>
      </c>
      <c r="P42" s="135" t="n">
        <f aca="false">SUM(N42:O42)</f>
        <v>1724</v>
      </c>
    </row>
    <row r="43" customFormat="false" ht="18.75" hidden="false" customHeight="true" outlineLevel="0" collapsed="false">
      <c r="A43" s="342" t="str">
        <f aca="false">'☆掛負収入'!A43</f>
        <v>都市再生機構</v>
      </c>
      <c r="B43" s="449" t="n">
        <f aca="false">'☆掛負収入'!B43</f>
        <v>37515</v>
      </c>
      <c r="C43" s="223" t="n">
        <f aca="false">'☆掛負収入'!C43</f>
        <v>3075</v>
      </c>
      <c r="D43" s="449" t="n">
        <f aca="false">'☆掛負収入'!D43</f>
        <v>37515</v>
      </c>
      <c r="E43" s="453" t="n">
        <f aca="false">'☆掛負収入'!E43</f>
        <v>3075</v>
      </c>
      <c r="F43" s="223" t="n">
        <f aca="false">'☆掛負収入'!F43</f>
        <v>35</v>
      </c>
      <c r="G43" s="181" t="n">
        <f aca="false">SUM(B43:F43)</f>
        <v>81215</v>
      </c>
      <c r="H43" s="594" t="n">
        <f aca="false">'☆掛負収入'!H43</f>
        <v>21262</v>
      </c>
      <c r="I43" s="424" t="n">
        <f aca="false">'☆掛負収入'!I43</f>
        <v>21283</v>
      </c>
      <c r="J43" s="135" t="n">
        <f aca="false">SUM(H43:I43)</f>
        <v>42545</v>
      </c>
      <c r="K43" s="439" t="n">
        <f aca="false">'☆掛負収入'!K43</f>
        <v>0</v>
      </c>
      <c r="L43" s="424" t="n">
        <f aca="false">'☆掛負収入'!L43</f>
        <v>0</v>
      </c>
      <c r="M43" s="135" t="n">
        <f aca="false">SUM(K43:L43)</f>
        <v>0</v>
      </c>
      <c r="N43" s="439" t="n">
        <f aca="false">'☆掛負収入'!N43</f>
        <v>471</v>
      </c>
      <c r="O43" s="424" t="n">
        <f aca="false">'☆掛負収入'!O43</f>
        <v>471</v>
      </c>
      <c r="P43" s="135" t="n">
        <f aca="false">SUM(N43:O43)</f>
        <v>942</v>
      </c>
    </row>
    <row r="44" customFormat="false" ht="18.75" hidden="false" customHeight="true" outlineLevel="0" collapsed="false">
      <c r="A44" s="343" t="str">
        <f aca="false">'☆掛負収入'!A44</f>
        <v>広島市立大学</v>
      </c>
      <c r="B44" s="449" t="n">
        <f aca="false">'☆掛負収入'!B44</f>
        <v>1201395</v>
      </c>
      <c r="C44" s="223" t="n">
        <f aca="false">'☆掛負収入'!C44</f>
        <v>98475</v>
      </c>
      <c r="D44" s="449" t="n">
        <f aca="false">'☆掛負収入'!D44</f>
        <v>1201395</v>
      </c>
      <c r="E44" s="453" t="n">
        <f aca="false">'☆掛負収入'!E44</f>
        <v>98475</v>
      </c>
      <c r="F44" s="223" t="n">
        <f aca="false">'☆掛負収入'!F44</f>
        <v>1208</v>
      </c>
      <c r="G44" s="181" t="n">
        <f aca="false">SUM(B44:F44)</f>
        <v>2600948</v>
      </c>
      <c r="H44" s="594" t="n">
        <f aca="false">'☆掛負収入'!H44</f>
        <v>690245</v>
      </c>
      <c r="I44" s="424" t="n">
        <f aca="false">'☆掛負収入'!I44</f>
        <v>690961</v>
      </c>
      <c r="J44" s="135" t="n">
        <f aca="false">SUM(H44:I44)</f>
        <v>1381206</v>
      </c>
      <c r="K44" s="439" t="n">
        <f aca="false">'☆掛負収入'!K44</f>
        <v>79632</v>
      </c>
      <c r="L44" s="424" t="n">
        <f aca="false">'☆掛負収入'!L44</f>
        <v>79632</v>
      </c>
      <c r="M44" s="135" t="n">
        <f aca="false">SUM(K44:L44)</f>
        <v>159264</v>
      </c>
      <c r="N44" s="439" t="n">
        <f aca="false">'☆掛負収入'!N44</f>
        <v>15300</v>
      </c>
      <c r="O44" s="424" t="n">
        <f aca="false">'☆掛負収入'!O44</f>
        <v>15306</v>
      </c>
      <c r="P44" s="135" t="n">
        <f aca="false">SUM(N44:O44)</f>
        <v>30606</v>
      </c>
    </row>
    <row r="45" customFormat="false" ht="18.75" hidden="false" customHeight="true" outlineLevel="0" collapsed="false">
      <c r="A45" s="343" t="str">
        <f aca="false">'☆掛負収入'!A45</f>
        <v>社会福祉協議会</v>
      </c>
      <c r="B45" s="449" t="n">
        <f aca="false">'☆掛負収入'!B45</f>
        <v>0</v>
      </c>
      <c r="C45" s="223" t="n">
        <f aca="false">'☆掛負収入'!C45</f>
        <v>0</v>
      </c>
      <c r="D45" s="449" t="n">
        <f aca="false">'☆掛負収入'!D45</f>
        <v>242475</v>
      </c>
      <c r="E45" s="453" t="n">
        <f aca="false">'☆掛負収入'!E45</f>
        <v>19875</v>
      </c>
      <c r="F45" s="223" t="n">
        <f aca="false">'☆掛負収入'!F45</f>
        <v>230</v>
      </c>
      <c r="G45" s="181" t="n">
        <f aca="false">SUM(B45:F45)</f>
        <v>262580</v>
      </c>
      <c r="H45" s="594" t="n">
        <f aca="false">'☆掛負収入'!H45</f>
        <v>0</v>
      </c>
      <c r="I45" s="424" t="n">
        <f aca="false">'☆掛負収入'!I45</f>
        <v>140676</v>
      </c>
      <c r="J45" s="135" t="n">
        <f aca="false">SUM(H45:I45)</f>
        <v>140676</v>
      </c>
      <c r="K45" s="439" t="n">
        <f aca="false">'☆掛負収入'!K45</f>
        <v>0</v>
      </c>
      <c r="L45" s="424" t="n">
        <f aca="false">'☆掛負収入'!L45</f>
        <v>10507</v>
      </c>
      <c r="M45" s="135" t="n">
        <f aca="false">SUM(K45:L45)</f>
        <v>10507</v>
      </c>
      <c r="N45" s="439" t="n">
        <f aca="false">'☆掛負収入'!N45</f>
        <v>0</v>
      </c>
      <c r="O45" s="424" t="n">
        <f aca="false">'☆掛負収入'!O45</f>
        <v>3116</v>
      </c>
      <c r="P45" s="135" t="n">
        <f aca="false">SUM(N45:O45)</f>
        <v>3116</v>
      </c>
    </row>
    <row r="46" customFormat="false" ht="18.75" hidden="false" customHeight="true" outlineLevel="0" collapsed="false">
      <c r="A46" s="618" t="s">
        <v>418</v>
      </c>
      <c r="B46" s="451" t="n">
        <f aca="false">'☆掛負収入'!B48</f>
        <v>0</v>
      </c>
      <c r="C46" s="454" t="n">
        <f aca="false">'☆掛負収入'!C48</f>
        <v>0</v>
      </c>
      <c r="D46" s="451" t="n">
        <f aca="false">'☆掛負収入'!D48</f>
        <v>0</v>
      </c>
      <c r="E46" s="462" t="n">
        <f aca="false">'☆掛負収入'!E48</f>
        <v>0</v>
      </c>
      <c r="F46" s="454" t="n">
        <f aca="false">'☆掛負収入'!F48</f>
        <v>0</v>
      </c>
      <c r="G46" s="596" t="n">
        <f aca="false">SUM(B46:F46)</f>
        <v>0</v>
      </c>
      <c r="H46" s="462" t="n">
        <f aca="false">'☆掛負収入'!H48</f>
        <v>0</v>
      </c>
      <c r="I46" s="462" t="n">
        <f aca="false">'☆掛負収入'!I48</f>
        <v>0</v>
      </c>
      <c r="J46" s="135" t="n">
        <f aca="false">SUM(H46:I46)</f>
        <v>0</v>
      </c>
      <c r="K46" s="462" t="n">
        <f aca="false">'☆掛負収入'!K48</f>
        <v>0</v>
      </c>
      <c r="L46" s="462" t="n">
        <f aca="false">'☆掛負収入'!L48</f>
        <v>0</v>
      </c>
      <c r="M46" s="135" t="n">
        <f aca="false">SUM(K46:L46)</f>
        <v>0</v>
      </c>
      <c r="N46" s="462" t="n">
        <f aca="false">'☆掛負収入'!N48</f>
        <v>0</v>
      </c>
      <c r="O46" s="462" t="n">
        <f aca="false">'☆掛負収入'!O48</f>
        <v>0</v>
      </c>
      <c r="P46" s="135" t="n">
        <f aca="false">SUM(N46:O46)</f>
        <v>0</v>
      </c>
    </row>
    <row r="47" customFormat="false" ht="18.75" hidden="false" customHeight="true" outlineLevel="0" collapsed="false">
      <c r="A47" s="343" t="str">
        <f aca="false">'☆掛負収入'!A49</f>
        <v>全国市長会</v>
      </c>
      <c r="B47" s="451" t="n">
        <f aca="false">'☆掛負収入'!B49</f>
        <v>118950</v>
      </c>
      <c r="C47" s="454" t="n">
        <f aca="false">'☆掛負収入'!C49</f>
        <v>9750</v>
      </c>
      <c r="D47" s="451" t="n">
        <f aca="false">'☆掛負収入'!D49</f>
        <v>118950</v>
      </c>
      <c r="E47" s="462" t="n">
        <f aca="false">'☆掛負収入'!E49</f>
        <v>9750</v>
      </c>
      <c r="F47" s="454" t="n">
        <f aca="false">'☆掛負収入'!F49</f>
        <v>112</v>
      </c>
      <c r="G47" s="596" t="n">
        <f aca="false">SUM(B47:F47)</f>
        <v>257512</v>
      </c>
      <c r="H47" s="462" t="n">
        <f aca="false">'☆掛負収入'!H49</f>
        <v>81938</v>
      </c>
      <c r="I47" s="462" t="n">
        <f aca="false">'☆掛負収入'!I49</f>
        <v>82017</v>
      </c>
      <c r="J47" s="135" t="n">
        <f aca="false">SUM(H47:I47)</f>
        <v>163955</v>
      </c>
      <c r="K47" s="462" t="n">
        <f aca="false">'☆掛負収入'!K49</f>
        <v>12482</v>
      </c>
      <c r="L47" s="462" t="n">
        <f aca="false">'☆掛負収入'!L49</f>
        <v>12482</v>
      </c>
      <c r="M47" s="135" t="n">
        <f aca="false">SUM(K47:L47)</f>
        <v>24964</v>
      </c>
      <c r="N47" s="462" t="n">
        <f aca="false">'☆掛負収入'!N49</f>
        <v>1816</v>
      </c>
      <c r="O47" s="462" t="n">
        <f aca="false">'☆掛負収入'!O49</f>
        <v>1817</v>
      </c>
      <c r="P47" s="135" t="n">
        <f aca="false">SUM(N47:O47)</f>
        <v>3633</v>
      </c>
    </row>
    <row r="48" customFormat="false" ht="18.75" hidden="true" customHeight="true" outlineLevel="0" collapsed="false">
      <c r="A48" s="343"/>
      <c r="B48" s="449"/>
      <c r="C48" s="223"/>
      <c r="D48" s="449"/>
      <c r="E48" s="453"/>
      <c r="F48" s="223"/>
      <c r="G48" s="181"/>
      <c r="H48" s="594"/>
      <c r="I48" s="424"/>
      <c r="J48" s="135"/>
      <c r="K48" s="439"/>
      <c r="L48" s="424"/>
      <c r="M48" s="135"/>
      <c r="N48" s="439"/>
      <c r="O48" s="424"/>
      <c r="P48" s="135"/>
    </row>
    <row r="49" customFormat="false" ht="18.75" hidden="true" customHeight="true" outlineLevel="0" collapsed="false">
      <c r="A49" s="343"/>
      <c r="B49" s="595"/>
      <c r="C49" s="366"/>
      <c r="D49" s="595"/>
      <c r="E49" s="596"/>
      <c r="F49" s="393"/>
      <c r="G49" s="181"/>
      <c r="H49" s="595"/>
      <c r="I49" s="440"/>
      <c r="J49" s="135"/>
      <c r="K49" s="596"/>
      <c r="L49" s="440"/>
      <c r="M49" s="135"/>
      <c r="N49" s="596"/>
      <c r="O49" s="440"/>
      <c r="P49" s="135"/>
    </row>
    <row r="50" customFormat="false" ht="18.75" hidden="true" customHeight="true" outlineLevel="0" collapsed="false">
      <c r="A50" s="343"/>
      <c r="B50" s="406"/>
      <c r="C50" s="181"/>
      <c r="D50" s="406"/>
      <c r="E50" s="592"/>
      <c r="F50" s="135"/>
      <c r="G50" s="181"/>
      <c r="H50" s="406"/>
      <c r="I50" s="619"/>
      <c r="J50" s="135"/>
      <c r="K50" s="592"/>
      <c r="L50" s="619"/>
      <c r="M50" s="135"/>
      <c r="N50" s="592"/>
      <c r="O50" s="619"/>
      <c r="P50" s="135"/>
    </row>
    <row r="51" customFormat="false" ht="11.25" hidden="true" customHeight="true" outlineLevel="0" collapsed="false">
      <c r="A51" s="344"/>
      <c r="B51" s="595"/>
      <c r="C51" s="393"/>
      <c r="D51" s="595"/>
      <c r="E51" s="440"/>
      <c r="F51" s="393"/>
      <c r="G51" s="366"/>
      <c r="H51" s="406"/>
      <c r="I51" s="440"/>
      <c r="J51" s="135"/>
      <c r="K51" s="596"/>
      <c r="L51" s="440"/>
      <c r="M51" s="135"/>
      <c r="N51" s="596"/>
      <c r="O51" s="440"/>
      <c r="P51" s="135"/>
    </row>
    <row r="52" customFormat="false" ht="14.25" hidden="false" customHeight="true" outlineLevel="0" collapsed="false">
      <c r="A52" s="620"/>
      <c r="B52" s="499"/>
      <c r="C52" s="271"/>
      <c r="D52" s="499"/>
      <c r="E52" s="500"/>
      <c r="F52" s="271"/>
      <c r="G52" s="621"/>
      <c r="H52" s="622"/>
      <c r="I52" s="623"/>
      <c r="J52" s="135" t="n">
        <f aca="false">SUM(H52:I52)</f>
        <v>0</v>
      </c>
      <c r="K52" s="622"/>
      <c r="L52" s="623"/>
      <c r="M52" s="135" t="n">
        <f aca="false">SUM(K52:L52)</f>
        <v>0</v>
      </c>
      <c r="N52" s="622"/>
      <c r="O52" s="623"/>
      <c r="P52" s="135" t="n">
        <f aca="false">SUM(N52:O52)</f>
        <v>0</v>
      </c>
    </row>
    <row r="53" customFormat="false" ht="18.75" hidden="false" customHeight="true" outlineLevel="0" collapsed="false">
      <c r="A53" s="171" t="str">
        <f aca="false">'☆掛負収入'!A53</f>
        <v>小　計</v>
      </c>
      <c r="B53" s="404" t="n">
        <f aca="false">SUM(B23:B52)</f>
        <v>2641605</v>
      </c>
      <c r="C53" s="175" t="n">
        <f aca="false">SUM(C23:C52)</f>
        <v>216525</v>
      </c>
      <c r="D53" s="172" t="n">
        <f aca="false">SUM(D23:D52)</f>
        <v>8773020</v>
      </c>
      <c r="E53" s="276" t="n">
        <f aca="false">SUM(E23:E52)</f>
        <v>719100</v>
      </c>
      <c r="F53" s="175" t="n">
        <f aca="false">SUM(F23:F52)</f>
        <v>8583</v>
      </c>
      <c r="G53" s="176" t="n">
        <f aca="false">SUM(B53:F53)</f>
        <v>12358833</v>
      </c>
      <c r="H53" s="404" t="n">
        <f aca="false">SUM(H23:H52)</f>
        <v>1530884</v>
      </c>
      <c r="I53" s="174" t="n">
        <f aca="false">SUM(I23:I52)</f>
        <v>5179649</v>
      </c>
      <c r="J53" s="175" t="n">
        <f aca="false">SUM(H53:I53)</f>
        <v>6710533</v>
      </c>
      <c r="K53" s="404" t="n">
        <f aca="false">SUM(K23:K52)</f>
        <v>162582</v>
      </c>
      <c r="L53" s="174" t="n">
        <f aca="false">SUM(L23:L52)</f>
        <v>580334</v>
      </c>
      <c r="M53" s="176" t="n">
        <f aca="false">SUM(K53:L53)</f>
        <v>742916</v>
      </c>
      <c r="N53" s="404" t="n">
        <f aca="false">SUM(N23:N52)</f>
        <v>33933</v>
      </c>
      <c r="O53" s="174" t="n">
        <f aca="false">SUM(O23:O52)</f>
        <v>114734</v>
      </c>
      <c r="P53" s="176" t="n">
        <f aca="false">SUM(N53:O53)</f>
        <v>148667</v>
      </c>
    </row>
    <row r="54" customFormat="false" ht="18.75" hidden="true" customHeight="true" outlineLevel="0" collapsed="false">
      <c r="A54" s="604"/>
      <c r="B54" s="622"/>
      <c r="C54" s="253"/>
      <c r="D54" s="623"/>
      <c r="E54" s="624"/>
      <c r="F54" s="625"/>
      <c r="G54" s="626"/>
      <c r="H54" s="627"/>
      <c r="I54" s="628"/>
      <c r="J54" s="629"/>
      <c r="K54" s="630"/>
      <c r="L54" s="631"/>
      <c r="M54" s="632"/>
      <c r="N54" s="630"/>
      <c r="O54" s="631"/>
      <c r="P54" s="632"/>
    </row>
    <row r="55" customFormat="false" ht="18.75" hidden="true" customHeight="true" outlineLevel="0" collapsed="false">
      <c r="A55" s="633"/>
      <c r="B55" s="606"/>
      <c r="C55" s="608"/>
      <c r="D55" s="623"/>
      <c r="E55" s="624"/>
      <c r="F55" s="253"/>
      <c r="G55" s="621"/>
      <c r="H55" s="634"/>
      <c r="I55" s="635"/>
      <c r="J55" s="383"/>
      <c r="K55" s="636"/>
      <c r="L55" s="637"/>
      <c r="M55" s="638"/>
      <c r="N55" s="636"/>
      <c r="O55" s="637"/>
      <c r="P55" s="638"/>
    </row>
    <row r="56" customFormat="false" ht="18.75" hidden="false" customHeight="true" outlineLevel="0" collapsed="false">
      <c r="A56" s="639" t="str">
        <f aca="false">'☆掛負収入'!A56</f>
        <v>高速交通（株）</v>
      </c>
      <c r="B56" s="444" t="n">
        <f aca="false">'☆掛負収入'!B56</f>
        <v>145485</v>
      </c>
      <c r="C56" s="446" t="n">
        <f aca="false">'☆掛負収入'!C56</f>
        <v>11925</v>
      </c>
      <c r="D56" s="444" t="n">
        <f aca="false">'☆掛負収入'!D56</f>
        <v>145485</v>
      </c>
      <c r="E56" s="447" t="n">
        <f aca="false">'☆掛負収入'!E56</f>
        <v>11925</v>
      </c>
      <c r="F56" s="446" t="n">
        <f aca="false">'☆掛負収入'!F56</f>
        <v>138</v>
      </c>
      <c r="G56" s="364" t="n">
        <f aca="false">SUM(B56:F56)</f>
        <v>314958</v>
      </c>
      <c r="H56" s="640"/>
      <c r="I56" s="640"/>
      <c r="J56" s="640"/>
      <c r="K56" s="640"/>
      <c r="L56" s="640"/>
      <c r="M56" s="640"/>
      <c r="N56" s="640"/>
      <c r="O56" s="640"/>
      <c r="P56" s="640"/>
    </row>
    <row r="57" customFormat="false" ht="18" hidden="false" customHeight="true" outlineLevel="0" collapsed="false">
      <c r="A57" s="641" t="s">
        <v>201</v>
      </c>
      <c r="B57" s="642" t="n">
        <f aca="false">'☆掛負収入'!B57</f>
        <v>45750</v>
      </c>
      <c r="C57" s="468" t="n">
        <f aca="false">'☆掛負収入'!C57</f>
        <v>3750</v>
      </c>
      <c r="D57" s="642" t="n">
        <f aca="false">'☆掛負収入'!D57</f>
        <v>45750</v>
      </c>
      <c r="E57" s="467" t="n">
        <f aca="false">'☆掛負収入'!E57</f>
        <v>3750</v>
      </c>
      <c r="F57" s="468" t="n">
        <f aca="false">'☆掛負収入'!F57</f>
        <v>43</v>
      </c>
      <c r="G57" s="643" t="n">
        <f aca="false">SUM(B57:F57)</f>
        <v>99043</v>
      </c>
      <c r="H57" s="640"/>
      <c r="I57" s="640"/>
      <c r="J57" s="640"/>
      <c r="K57" s="640"/>
      <c r="L57" s="640"/>
      <c r="M57" s="640"/>
      <c r="N57" s="640"/>
      <c r="O57" s="640"/>
      <c r="P57" s="640"/>
    </row>
    <row r="58" customFormat="false" ht="18.75" hidden="false" customHeight="true" outlineLevel="0" collapsed="false">
      <c r="A58" s="644" t="str">
        <f aca="false">'☆掛負収入'!A58</f>
        <v>小　計</v>
      </c>
      <c r="B58" s="254" t="n">
        <f aca="false">SUM(B56:B57)</f>
        <v>191235</v>
      </c>
      <c r="C58" s="255" t="n">
        <f aca="false">SUM(C54:C57)</f>
        <v>15675</v>
      </c>
      <c r="D58" s="645" t="n">
        <f aca="false">SUM(D54:D57)</f>
        <v>191235</v>
      </c>
      <c r="E58" s="646" t="n">
        <f aca="false">SUM(E54:E57)</f>
        <v>15675</v>
      </c>
      <c r="F58" s="647" t="n">
        <f aca="false">SUM(F54:F57)</f>
        <v>181</v>
      </c>
      <c r="G58" s="255" t="n">
        <f aca="false">SUM(B58:F58)</f>
        <v>414001</v>
      </c>
      <c r="H58" s="640"/>
      <c r="I58" s="640"/>
      <c r="J58" s="640"/>
      <c r="K58" s="640"/>
      <c r="L58" s="640"/>
      <c r="M58" s="640"/>
      <c r="N58" s="640"/>
      <c r="O58" s="640"/>
      <c r="P58" s="640"/>
    </row>
    <row r="59" customFormat="false" ht="18.75" hidden="false" customHeight="true" outlineLevel="0" collapsed="false">
      <c r="A59" s="100" t="str">
        <f aca="false">'☆掛負収入'!A59</f>
        <v>市職員労働組合</v>
      </c>
      <c r="B59" s="449" t="n">
        <f aca="false">'☆掛負収入'!B59</f>
        <v>29280</v>
      </c>
      <c r="C59" s="223" t="n">
        <f aca="false">'☆掛負収入'!C59</f>
        <v>2400</v>
      </c>
      <c r="D59" s="445" t="n">
        <f aca="false">'☆掛負収入'!D59</f>
        <v>29280</v>
      </c>
      <c r="E59" s="463" t="n">
        <f aca="false">'☆掛負収入'!E59</f>
        <v>2400</v>
      </c>
      <c r="F59" s="196"/>
      <c r="G59" s="181" t="n">
        <f aca="false">SUM(B59:F59)</f>
        <v>63360</v>
      </c>
      <c r="H59" s="594" t="n">
        <f aca="false">'☆掛負収入'!H59</f>
        <v>16595</v>
      </c>
      <c r="I59" s="424" t="n">
        <f aca="false">'☆掛負収入'!I59</f>
        <v>16611</v>
      </c>
      <c r="J59" s="135" t="n">
        <f aca="false">SUM(H59:I59)</f>
        <v>33206</v>
      </c>
      <c r="K59" s="451" t="n">
        <f aca="false">'☆掛負収入'!K59</f>
        <v>2528</v>
      </c>
      <c r="L59" s="462" t="n">
        <f aca="false">'☆掛負収入'!L59</f>
        <v>2528</v>
      </c>
      <c r="M59" s="446" t="n">
        <f aca="false">SUM(K59:L59)</f>
        <v>5056</v>
      </c>
      <c r="N59" s="451" t="n">
        <f aca="false">'☆掛負収入'!N59</f>
        <v>368</v>
      </c>
      <c r="O59" s="462" t="n">
        <f aca="false">'☆掛負収入'!O59</f>
        <v>368</v>
      </c>
      <c r="P59" s="446" t="n">
        <f aca="false">SUM(N59:O59)</f>
        <v>736</v>
      </c>
    </row>
    <row r="60" customFormat="false" ht="18.75" hidden="false" customHeight="true" outlineLevel="0" collapsed="false">
      <c r="A60" s="100" t="str">
        <f aca="false">'☆掛負収入'!A60</f>
        <v>自治労労働組合</v>
      </c>
      <c r="B60" s="449" t="n">
        <f aca="false">'☆掛負収入'!B60</f>
        <v>0</v>
      </c>
      <c r="C60" s="377" t="n">
        <f aca="false">'☆掛負収入'!C60</f>
        <v>0</v>
      </c>
      <c r="D60" s="449" t="n">
        <f aca="false">'☆掛負収入'!D60</f>
        <v>0</v>
      </c>
      <c r="E60" s="463" t="n">
        <f aca="false">'☆掛負収入'!E60</f>
        <v>0</v>
      </c>
      <c r="F60" s="196"/>
      <c r="G60" s="181" t="n">
        <f aca="false">SUM(B60:F60)</f>
        <v>0</v>
      </c>
      <c r="H60" s="594" t="n">
        <f aca="false">'☆掛負収入'!H60</f>
        <v>0</v>
      </c>
      <c r="I60" s="424" t="n">
        <f aca="false">'☆掛負収入'!I60</f>
        <v>0</v>
      </c>
      <c r="J60" s="135" t="n">
        <f aca="false">SUM(H60:I60)</f>
        <v>0</v>
      </c>
      <c r="K60" s="594" t="n">
        <f aca="false">'☆掛負収入'!K60</f>
        <v>0</v>
      </c>
      <c r="L60" s="424" t="n">
        <f aca="false">'☆掛負収入'!L60</f>
        <v>0</v>
      </c>
      <c r="M60" s="135" t="n">
        <f aca="false">SUM(K60:L60)</f>
        <v>0</v>
      </c>
      <c r="N60" s="594" t="n">
        <f aca="false">'☆掛負収入'!N60</f>
        <v>0</v>
      </c>
      <c r="O60" s="424" t="n">
        <f aca="false">'☆掛負収入'!O60</f>
        <v>0</v>
      </c>
      <c r="P60" s="135" t="n">
        <f aca="false">SUM(N60:O60)</f>
        <v>0</v>
      </c>
    </row>
    <row r="61" customFormat="false" ht="18.75" hidden="false" customHeight="true" outlineLevel="0" collapsed="false">
      <c r="A61" s="100" t="str">
        <f aca="false">'☆掛負収入'!A61</f>
        <v>病院労働組合</v>
      </c>
      <c r="B61" s="406"/>
      <c r="C61" s="181"/>
      <c r="D61" s="406"/>
      <c r="E61" s="619"/>
      <c r="F61" s="196"/>
      <c r="G61" s="181" t="n">
        <f aca="false">SUM(B61:F61)</f>
        <v>0</v>
      </c>
      <c r="H61" s="594"/>
      <c r="I61" s="424"/>
      <c r="J61" s="135" t="n">
        <f aca="false">SUM(H61:I61)</f>
        <v>0</v>
      </c>
      <c r="K61" s="594"/>
      <c r="L61" s="424"/>
      <c r="M61" s="135" t="n">
        <f aca="false">SUM(K61:L61)</f>
        <v>0</v>
      </c>
      <c r="N61" s="594"/>
      <c r="O61" s="424"/>
      <c r="P61" s="135" t="n">
        <f aca="false">SUM(N61:O61)</f>
        <v>0</v>
      </c>
    </row>
    <row r="62" customFormat="false" ht="18.75" hidden="false" customHeight="true" outlineLevel="0" collapsed="false">
      <c r="A62" s="277" t="str">
        <f aca="false">'☆掛負収入'!A62</f>
        <v>水道労働組合</v>
      </c>
      <c r="B62" s="648"/>
      <c r="C62" s="419"/>
      <c r="D62" s="648"/>
      <c r="E62" s="598"/>
      <c r="F62" s="271"/>
      <c r="G62" s="181" t="n">
        <f aca="false">SUM(B62:F62)</f>
        <v>0</v>
      </c>
      <c r="H62" s="649"/>
      <c r="I62" s="650"/>
      <c r="J62" s="135" t="n">
        <f aca="false">SUM(H62:I62)</f>
        <v>0</v>
      </c>
      <c r="K62" s="651"/>
      <c r="L62" s="652"/>
      <c r="M62" s="135" t="n">
        <f aca="false">SUM(K62:L62)</f>
        <v>0</v>
      </c>
      <c r="N62" s="651"/>
      <c r="O62" s="652"/>
      <c r="P62" s="135" t="n">
        <f aca="false">SUM(N62:O62)</f>
        <v>0</v>
      </c>
    </row>
    <row r="63" customFormat="false" ht="18.75" hidden="false" customHeight="true" outlineLevel="0" collapsed="false">
      <c r="A63" s="171" t="str">
        <f aca="false">'☆掛負収入'!A63</f>
        <v>小　計</v>
      </c>
      <c r="B63" s="404" t="n">
        <f aca="false">SUM(B59:B62)</f>
        <v>29280</v>
      </c>
      <c r="C63" s="175" t="n">
        <f aca="false">SUM(C59:C62)</f>
        <v>2400</v>
      </c>
      <c r="D63" s="404" t="n">
        <f aca="false">SUM(D59:D62)</f>
        <v>29280</v>
      </c>
      <c r="E63" s="174" t="n">
        <f aca="false">SUM(E59:E62)</f>
        <v>2400</v>
      </c>
      <c r="F63" s="173" t="n">
        <f aca="false">SUM(F59:F62)</f>
        <v>0</v>
      </c>
      <c r="G63" s="172" t="n">
        <f aca="false">SUM(B63:F63)</f>
        <v>63360</v>
      </c>
      <c r="H63" s="404" t="n">
        <f aca="false">SUM(H59:H62)</f>
        <v>16595</v>
      </c>
      <c r="I63" s="174" t="n">
        <f aca="false">SUM(I59:I62)</f>
        <v>16611</v>
      </c>
      <c r="J63" s="175" t="n">
        <f aca="false">SUM(H63:I63)</f>
        <v>33206</v>
      </c>
      <c r="K63" s="172" t="n">
        <f aca="false">SUM(K59:K62)</f>
        <v>2528</v>
      </c>
      <c r="L63" s="173" t="n">
        <f aca="false">SUM(L59:L62)</f>
        <v>2528</v>
      </c>
      <c r="M63" s="175" t="n">
        <f aca="false">SUM(K63:L63)</f>
        <v>5056</v>
      </c>
      <c r="N63" s="172" t="n">
        <f aca="false">SUM(N59:N62)</f>
        <v>368</v>
      </c>
      <c r="O63" s="173" t="n">
        <f aca="false">SUM(O59:O62)</f>
        <v>368</v>
      </c>
      <c r="P63" s="175" t="n">
        <f aca="false">SUM(N63:O63)</f>
        <v>736</v>
      </c>
    </row>
    <row r="64" customFormat="false" ht="18.75" hidden="false" customHeight="true" outlineLevel="0" collapsed="false">
      <c r="A64" s="277" t="str">
        <f aca="false">'☆掛負収入'!A64</f>
        <v>任意継続組合員</v>
      </c>
      <c r="B64" s="278"/>
      <c r="C64" s="279"/>
      <c r="D64" s="280"/>
      <c r="E64" s="281"/>
      <c r="F64" s="267"/>
      <c r="G64" s="268"/>
      <c r="H64" s="653"/>
      <c r="I64" s="257"/>
      <c r="J64" s="258"/>
      <c r="K64" s="499"/>
      <c r="L64" s="654"/>
      <c r="M64" s="267"/>
      <c r="N64" s="499"/>
      <c r="O64" s="654"/>
      <c r="P64" s="267"/>
    </row>
    <row r="65" customFormat="false" ht="30" hidden="false" customHeight="true" outlineLevel="0" collapsed="false">
      <c r="A65" s="655" t="str">
        <f aca="false">'☆掛負収入'!A65</f>
        <v>総　　計</v>
      </c>
      <c r="B65" s="404" t="n">
        <f aca="false">SUM(B22+B53+B58+B63)</f>
        <v>2862120</v>
      </c>
      <c r="C65" s="175" t="n">
        <f aca="false">SUM(C22+C53+C58+C63)</f>
        <v>234600</v>
      </c>
      <c r="D65" s="656" t="n">
        <f aca="false">SUM(D22+D53+D58+D63)</f>
        <v>8993535</v>
      </c>
      <c r="E65" s="174" t="n">
        <f aca="false">SUM(E22+E53+E58+E63)</f>
        <v>737175</v>
      </c>
      <c r="F65" s="176" t="n">
        <f aca="false">SUM(F22+F53+F58+F63)</f>
        <v>8764</v>
      </c>
      <c r="G65" s="172" t="n">
        <f aca="false">SUM(B65:F65)</f>
        <v>12836194</v>
      </c>
      <c r="H65" s="657" t="n">
        <f aca="false">SUM(H22+H53+H58+H63+H64)</f>
        <v>1547479</v>
      </c>
      <c r="I65" s="658" t="n">
        <f aca="false">SUM(I22+I53+I58+I63+I64)</f>
        <v>5196260</v>
      </c>
      <c r="J65" s="659" t="n">
        <f aca="false">SUM(H65:I65)</f>
        <v>6743739</v>
      </c>
      <c r="K65" s="660" t="n">
        <f aca="false">K22+K53+K58+K63+K64</f>
        <v>165110</v>
      </c>
      <c r="L65" s="661" t="n">
        <f aca="false">L22+L53+L58+L63</f>
        <v>582862</v>
      </c>
      <c r="M65" s="659" t="n">
        <f aca="false">SUM(K65:L65)</f>
        <v>747972</v>
      </c>
      <c r="N65" s="660" t="n">
        <f aca="false">N22+N53+N58+N63+N64</f>
        <v>34301</v>
      </c>
      <c r="O65" s="661" t="n">
        <f aca="false">O22+O53+O58+O63</f>
        <v>115102</v>
      </c>
      <c r="P65" s="659" t="n">
        <f aca="false">SUM(N65:O65)</f>
        <v>149403</v>
      </c>
    </row>
    <row r="66" customFormat="false" ht="18.75" hidden="false" customHeight="true" outlineLevel="0" collapsed="false">
      <c r="A66" s="315"/>
      <c r="B66" s="316"/>
      <c r="C66" s="316"/>
      <c r="D66" s="316"/>
      <c r="E66" s="316"/>
      <c r="F66" s="316"/>
      <c r="G66" s="316"/>
      <c r="H66" s="316"/>
      <c r="I66" s="316"/>
      <c r="J66" s="316"/>
      <c r="K66" s="316"/>
      <c r="L66" s="316"/>
      <c r="M66" s="316"/>
      <c r="N66" s="316"/>
      <c r="O66" s="316"/>
      <c r="P66" s="316"/>
    </row>
    <row r="67" customFormat="false" ht="30" hidden="false" customHeight="true" outlineLevel="0" collapsed="false">
      <c r="A67" s="295"/>
      <c r="B67" s="391" t="n">
        <f aca="false">'☆掛負収入'!B67</f>
        <v>46173</v>
      </c>
      <c r="C67" s="391" t="n">
        <f aca="false">'☆掛負収入'!C67</f>
        <v>0</v>
      </c>
      <c r="D67" s="391" t="n">
        <f aca="false">'☆掛負収入'!D67</f>
        <v>0</v>
      </c>
      <c r="E67" s="391" t="n">
        <f aca="false">'☆掛負収入'!E67</f>
        <v>0</v>
      </c>
      <c r="F67" s="391" t="n">
        <f aca="false">'☆掛負収入'!F67</f>
        <v>0</v>
      </c>
      <c r="G67" s="391" t="n">
        <f aca="false">'☆掛負収入'!G67</f>
        <v>0</v>
      </c>
      <c r="H67" s="662" t="n">
        <f aca="false">'☆掛負収入'!H67</f>
        <v>46173</v>
      </c>
      <c r="I67" s="662" t="n">
        <f aca="false">'☆掛負収入'!I67</f>
        <v>0</v>
      </c>
      <c r="J67" s="662" t="n">
        <f aca="false">'☆掛負収入'!J67</f>
        <v>0</v>
      </c>
      <c r="K67" s="662" t="n">
        <f aca="false">'☆掛負収入'!K67</f>
        <v>46173</v>
      </c>
      <c r="L67" s="662" t="n">
        <f aca="false">'☆掛負収入'!L67</f>
        <v>0</v>
      </c>
      <c r="M67" s="662" t="n">
        <f aca="false">'☆掛負収入'!M67</f>
        <v>0</v>
      </c>
      <c r="N67" s="662" t="n">
        <f aca="false">'☆掛負収入'!N67</f>
        <v>46173</v>
      </c>
      <c r="O67" s="662" t="n">
        <f aca="false">'☆掛負収入'!O67</f>
        <v>0</v>
      </c>
      <c r="P67" s="662" t="n">
        <f aca="false">'☆掛負収入'!P67</f>
        <v>0</v>
      </c>
    </row>
    <row r="68" customFormat="false" ht="22.5" hidden="false" customHeight="true" outlineLevel="0" collapsed="false">
      <c r="A68" s="89" t="str">
        <f aca="false">'☆掛負収入'!A68</f>
        <v>区　　分</v>
      </c>
      <c r="B68" s="89" t="str">
        <f aca="false">'☆掛負収入'!B68</f>
        <v>長　期　経　理</v>
      </c>
      <c r="C68" s="89" t="n">
        <f aca="false">'☆掛負収入'!C68</f>
        <v>0</v>
      </c>
      <c r="D68" s="89" t="n">
        <f aca="false">'☆掛負収入'!D68</f>
        <v>0</v>
      </c>
      <c r="E68" s="89" t="n">
        <f aca="false">'☆掛負収入'!E68</f>
        <v>0</v>
      </c>
      <c r="F68" s="89" t="n">
        <f aca="false">'☆掛負収入'!F68</f>
        <v>0</v>
      </c>
      <c r="G68" s="89" t="n">
        <f aca="false">'☆掛負収入'!G68</f>
        <v>0</v>
      </c>
      <c r="H68" s="91" t="str">
        <f aca="false">'☆掛負収入'!H68</f>
        <v>短　期　経　理</v>
      </c>
      <c r="I68" s="91" t="n">
        <f aca="false">'☆掛負収入'!I68</f>
        <v>0</v>
      </c>
      <c r="J68" s="91" t="n">
        <f aca="false">'☆掛負収入'!J68</f>
        <v>0</v>
      </c>
      <c r="K68" s="91" t="str">
        <f aca="false">'☆掛負収入'!K68</f>
        <v>介　護　納　付　金</v>
      </c>
      <c r="L68" s="91" t="n">
        <f aca="false">'☆掛負収入'!L68</f>
        <v>0</v>
      </c>
      <c r="M68" s="91" t="n">
        <f aca="false">'☆掛負収入'!M68</f>
        <v>0</v>
      </c>
      <c r="N68" s="91" t="str">
        <f aca="false">'☆掛負収入'!N68</f>
        <v>子ども・子育て支援納付金</v>
      </c>
      <c r="O68" s="91" t="n">
        <f aca="false">'☆掛負収入'!O68</f>
        <v>0</v>
      </c>
      <c r="P68" s="91" t="n">
        <f aca="false">'☆掛負収入'!P68</f>
        <v>0</v>
      </c>
    </row>
    <row r="69" customFormat="false" ht="22.5" hidden="false" customHeight="true" outlineLevel="0" collapsed="false">
      <c r="A69" s="89" t="n">
        <f aca="false">'☆掛負収入'!A69</f>
        <v>0</v>
      </c>
      <c r="B69" s="92" t="str">
        <f aca="false">'☆掛負収入'!B69</f>
        <v>組合員負担分</v>
      </c>
      <c r="C69" s="92" t="n">
        <f aca="false">'☆掛負収入'!C69</f>
        <v>0</v>
      </c>
      <c r="D69" s="92" t="str">
        <f aca="false">'☆掛負収入'!D69</f>
        <v>事業主負担分</v>
      </c>
      <c r="E69" s="92" t="n">
        <f aca="false">'☆掛負収入'!E69</f>
        <v>0</v>
      </c>
      <c r="F69" s="92" t="n">
        <f aca="false">'☆掛負収入'!F69</f>
        <v>0</v>
      </c>
      <c r="G69" s="586" t="str">
        <f aca="false">'☆掛負収入'!G69</f>
        <v>計</v>
      </c>
      <c r="H69" s="96" t="str">
        <f aca="false">'☆掛負収入'!H69</f>
        <v>掛　金</v>
      </c>
      <c r="I69" s="94" t="str">
        <f aca="false">'☆掛負収入'!I69</f>
        <v>負担金</v>
      </c>
      <c r="J69" s="95" t="str">
        <f aca="false">'☆掛負収入'!J69</f>
        <v>計</v>
      </c>
      <c r="K69" s="96" t="str">
        <f aca="false">'☆掛負収入'!K69</f>
        <v>掛　金</v>
      </c>
      <c r="L69" s="94" t="str">
        <f aca="false">'☆掛負収入'!L69</f>
        <v>負担金</v>
      </c>
      <c r="M69" s="95" t="str">
        <f aca="false">'☆掛負収入'!M69</f>
        <v>計</v>
      </c>
      <c r="N69" s="96" t="str">
        <f aca="false">'☆掛負収入'!N69</f>
        <v>掛　金</v>
      </c>
      <c r="O69" s="94" t="str">
        <f aca="false">'☆掛負収入'!O69</f>
        <v>負担金</v>
      </c>
      <c r="P69" s="95" t="str">
        <f aca="false">'☆掛負収入'!P69</f>
        <v>計</v>
      </c>
    </row>
    <row r="70" customFormat="false" ht="22.5" hidden="false" customHeight="true" outlineLevel="0" collapsed="false">
      <c r="A70" s="89" t="n">
        <f aca="false">'☆掛負収入'!A70</f>
        <v>0</v>
      </c>
      <c r="B70" s="587" t="str">
        <f aca="false">'☆掛負収入'!B70</f>
        <v>厚生年金保険料</v>
      </c>
      <c r="C70" s="588" t="str">
        <f aca="false">'☆掛負収入'!C70</f>
        <v>退職等年金掛金</v>
      </c>
      <c r="D70" s="589" t="str">
        <f aca="false">'☆掛負収入'!D70</f>
        <v>厚生年金保険料</v>
      </c>
      <c r="E70" s="589" t="str">
        <f aca="false">'☆掛負収入'!E70</f>
        <v>退職等年金負担金</v>
      </c>
      <c r="F70" s="590" t="str">
        <f aca="false">'☆掛負収入'!F70</f>
        <v>経過的長期</v>
      </c>
      <c r="G70" s="586" t="n">
        <f aca="false">'☆掛負収入'!G70</f>
        <v>0</v>
      </c>
      <c r="H70" s="96" t="n">
        <f aca="false">'☆掛負収入'!H70</f>
        <v>0</v>
      </c>
      <c r="I70" s="94" t="n">
        <f aca="false">'☆掛負収入'!I70</f>
        <v>0</v>
      </c>
      <c r="J70" s="95" t="n">
        <f aca="false">'☆掛負収入'!J70</f>
        <v>0</v>
      </c>
      <c r="K70" s="96" t="n">
        <f aca="false">'☆掛負収入'!K70</f>
        <v>0</v>
      </c>
      <c r="L70" s="94" t="n">
        <f aca="false">'☆掛負収入'!L70</f>
        <v>0</v>
      </c>
      <c r="M70" s="95" t="n">
        <f aca="false">'☆掛負収入'!M70</f>
        <v>0</v>
      </c>
      <c r="N70" s="96" t="n">
        <f aca="false">'☆掛負収入'!N70</f>
        <v>0</v>
      </c>
      <c r="O70" s="94" t="n">
        <f aca="false">'☆掛負収入'!O70</f>
        <v>0</v>
      </c>
      <c r="P70" s="95" t="n">
        <f aca="false">'☆掛負収入'!P70</f>
        <v>0</v>
      </c>
    </row>
    <row r="71" customFormat="false" ht="18.75" hidden="false" customHeight="true" outlineLevel="0" collapsed="false">
      <c r="A71" s="100" t="str">
        <f aca="false">'☆掛負収入'!A71</f>
        <v>市長部局</v>
      </c>
      <c r="B71" s="591"/>
      <c r="C71" s="364"/>
      <c r="D71" s="592"/>
      <c r="E71" s="592"/>
      <c r="F71" s="184"/>
      <c r="G71" s="364"/>
      <c r="H71" s="591"/>
      <c r="I71" s="593"/>
      <c r="J71" s="364"/>
      <c r="K71" s="663"/>
      <c r="L71" s="593"/>
      <c r="M71" s="364"/>
      <c r="N71" s="663"/>
      <c r="O71" s="593"/>
      <c r="P71" s="364"/>
    </row>
    <row r="72" customFormat="false" ht="18.75" hidden="false" customHeight="true" outlineLevel="0" collapsed="false">
      <c r="A72" s="100" t="str">
        <f aca="false">'☆掛負収入'!A72</f>
        <v>下水道局</v>
      </c>
      <c r="B72" s="406"/>
      <c r="C72" s="181"/>
      <c r="D72" s="592"/>
      <c r="E72" s="592"/>
      <c r="F72" s="135"/>
      <c r="G72" s="181"/>
      <c r="H72" s="594"/>
      <c r="I72" s="424"/>
      <c r="J72" s="135"/>
      <c r="K72" s="595"/>
      <c r="L72" s="596"/>
      <c r="M72" s="135"/>
      <c r="N72" s="595"/>
      <c r="O72" s="596"/>
      <c r="P72" s="135"/>
    </row>
    <row r="73" customFormat="false" ht="18.75" hidden="false" customHeight="true" outlineLevel="0" collapsed="false">
      <c r="A73" s="100" t="str">
        <f aca="false">'☆掛負収入'!A73</f>
        <v>消防局</v>
      </c>
      <c r="B73" s="406"/>
      <c r="C73" s="181"/>
      <c r="D73" s="592"/>
      <c r="E73" s="592"/>
      <c r="F73" s="135"/>
      <c r="G73" s="181"/>
      <c r="H73" s="594"/>
      <c r="I73" s="424"/>
      <c r="J73" s="135"/>
      <c r="K73" s="595"/>
      <c r="L73" s="596"/>
      <c r="M73" s="135"/>
      <c r="N73" s="595"/>
      <c r="O73" s="596"/>
      <c r="P73" s="135"/>
    </row>
    <row r="74" customFormat="false" ht="18.75" hidden="false" customHeight="true" outlineLevel="0" collapsed="false">
      <c r="A74" s="100" t="str">
        <f aca="false">'☆掛負収入'!A74</f>
        <v>議会事務局</v>
      </c>
      <c r="B74" s="406"/>
      <c r="C74" s="181"/>
      <c r="D74" s="592"/>
      <c r="E74" s="592"/>
      <c r="F74" s="135"/>
      <c r="G74" s="181"/>
      <c r="H74" s="406"/>
      <c r="I74" s="439"/>
      <c r="J74" s="135"/>
      <c r="K74" s="406"/>
      <c r="L74" s="439"/>
      <c r="M74" s="135"/>
      <c r="N74" s="406"/>
      <c r="O74" s="439"/>
      <c r="P74" s="135"/>
    </row>
    <row r="75" customFormat="false" ht="18.75" hidden="false" customHeight="true" outlineLevel="0" collapsed="false">
      <c r="A75" s="100" t="str">
        <f aca="false">'☆掛負収入'!A75</f>
        <v>教育委員会（総務課）</v>
      </c>
      <c r="B75" s="406"/>
      <c r="C75" s="181"/>
      <c r="D75" s="592"/>
      <c r="E75" s="592"/>
      <c r="F75" s="135"/>
      <c r="G75" s="181"/>
      <c r="H75" s="406"/>
      <c r="I75" s="439"/>
      <c r="J75" s="135"/>
      <c r="K75" s="406"/>
      <c r="L75" s="439"/>
      <c r="M75" s="135"/>
      <c r="N75" s="406"/>
      <c r="O75" s="439"/>
      <c r="P75" s="135"/>
    </row>
    <row r="76" customFormat="false" ht="18.75" hidden="false" customHeight="true" outlineLevel="0" collapsed="false">
      <c r="A76" s="100" t="str">
        <f aca="false">'☆掛負収入'!A76</f>
        <v>選挙管理委員会</v>
      </c>
      <c r="B76" s="406"/>
      <c r="C76" s="181"/>
      <c r="D76" s="592"/>
      <c r="E76" s="592"/>
      <c r="F76" s="135"/>
      <c r="G76" s="181"/>
      <c r="H76" s="594"/>
      <c r="I76" s="424"/>
      <c r="J76" s="135"/>
      <c r="K76" s="406"/>
      <c r="L76" s="439"/>
      <c r="M76" s="135"/>
      <c r="N76" s="406"/>
      <c r="O76" s="439"/>
      <c r="P76" s="135"/>
    </row>
    <row r="77" customFormat="false" ht="18.75" hidden="false" customHeight="true" outlineLevel="0" collapsed="false">
      <c r="A77" s="100" t="str">
        <f aca="false">'☆掛負収入'!A77</f>
        <v>人事委員会</v>
      </c>
      <c r="B77" s="406"/>
      <c r="C77" s="181"/>
      <c r="D77" s="592"/>
      <c r="E77" s="592"/>
      <c r="F77" s="135"/>
      <c r="G77" s="181"/>
      <c r="H77" s="594"/>
      <c r="I77" s="424"/>
      <c r="J77" s="135"/>
      <c r="K77" s="594"/>
      <c r="L77" s="424"/>
      <c r="M77" s="135"/>
      <c r="N77" s="594"/>
      <c r="O77" s="424"/>
      <c r="P77" s="135"/>
    </row>
    <row r="78" customFormat="false" ht="18.75" hidden="false" customHeight="true" outlineLevel="0" collapsed="false">
      <c r="A78" s="100" t="str">
        <f aca="false">'☆掛負収入'!A78</f>
        <v>監査事務局</v>
      </c>
      <c r="B78" s="406"/>
      <c r="C78" s="181"/>
      <c r="D78" s="592"/>
      <c r="E78" s="592"/>
      <c r="F78" s="135"/>
      <c r="G78" s="181"/>
      <c r="H78" s="594"/>
      <c r="I78" s="424"/>
      <c r="J78" s="135"/>
      <c r="K78" s="594"/>
      <c r="L78" s="424"/>
      <c r="M78" s="135"/>
      <c r="N78" s="594"/>
      <c r="O78" s="424"/>
      <c r="P78" s="135"/>
    </row>
    <row r="79" customFormat="false" ht="18.75" hidden="false" customHeight="true" outlineLevel="0" collapsed="false">
      <c r="A79" s="100" t="str">
        <f aca="false">'☆掛負収入'!A79</f>
        <v>農業委員会</v>
      </c>
      <c r="B79" s="406"/>
      <c r="C79" s="181"/>
      <c r="D79" s="592"/>
      <c r="E79" s="592"/>
      <c r="F79" s="135"/>
      <c r="G79" s="181"/>
      <c r="H79" s="594"/>
      <c r="I79" s="424"/>
      <c r="J79" s="135"/>
      <c r="K79" s="594"/>
      <c r="L79" s="424"/>
      <c r="M79" s="135"/>
      <c r="N79" s="594"/>
      <c r="O79" s="424"/>
      <c r="P79" s="135"/>
    </row>
    <row r="80" customFormat="false" ht="18.75" hidden="false" customHeight="true" outlineLevel="0" collapsed="false">
      <c r="A80" s="100" t="str">
        <f aca="false">'☆掛負収入'!A80</f>
        <v>水道局</v>
      </c>
      <c r="B80" s="406"/>
      <c r="C80" s="181"/>
      <c r="D80" s="592"/>
      <c r="E80" s="592"/>
      <c r="F80" s="135"/>
      <c r="G80" s="181"/>
      <c r="H80" s="594"/>
      <c r="I80" s="424"/>
      <c r="J80" s="135"/>
      <c r="K80" s="594"/>
      <c r="L80" s="424"/>
      <c r="M80" s="135"/>
      <c r="N80" s="594"/>
      <c r="O80" s="424"/>
      <c r="P80" s="135"/>
    </row>
    <row r="81" customFormat="false" ht="18.75" hidden="false" customHeight="true" outlineLevel="0" collapsed="false">
      <c r="A81" s="121" t="str">
        <f aca="false">'☆掛負収入'!A81</f>
        <v>医療政策課(安芸市民)</v>
      </c>
      <c r="B81" s="595"/>
      <c r="C81" s="366"/>
      <c r="D81" s="595"/>
      <c r="E81" s="596"/>
      <c r="F81" s="393"/>
      <c r="G81" s="181"/>
      <c r="H81" s="597"/>
      <c r="I81" s="407"/>
      <c r="J81" s="135"/>
      <c r="K81" s="594"/>
      <c r="L81" s="424"/>
      <c r="M81" s="135"/>
      <c r="N81" s="594"/>
      <c r="O81" s="424"/>
      <c r="P81" s="135"/>
    </row>
    <row r="82" customFormat="false" ht="18.75" hidden="false" customHeight="true" outlineLevel="0" collapsed="false">
      <c r="A82" s="121" t="str">
        <f aca="false">'☆掛負収入'!A82</f>
        <v>教育委員会（教育給与課）</v>
      </c>
      <c r="B82" s="595"/>
      <c r="C82" s="181"/>
      <c r="D82" s="406"/>
      <c r="E82" s="598"/>
      <c r="F82" s="284"/>
      <c r="G82" s="181"/>
      <c r="H82" s="594"/>
      <c r="I82" s="424"/>
      <c r="J82" s="135"/>
      <c r="K82" s="594"/>
      <c r="L82" s="424"/>
      <c r="M82" s="135"/>
      <c r="N82" s="594"/>
      <c r="O82" s="424"/>
      <c r="P82" s="135"/>
    </row>
    <row r="83" customFormat="false" ht="18.75" hidden="true" customHeight="true" outlineLevel="0" collapsed="false">
      <c r="A83" s="599"/>
      <c r="B83" s="600"/>
      <c r="C83" s="210"/>
      <c r="D83" s="600"/>
      <c r="E83" s="601"/>
      <c r="F83" s="601"/>
      <c r="G83" s="260"/>
      <c r="H83" s="602"/>
      <c r="I83" s="603"/>
      <c r="J83" s="196"/>
      <c r="K83" s="602"/>
      <c r="L83" s="603"/>
      <c r="M83" s="312"/>
      <c r="N83" s="602"/>
      <c r="O83" s="603"/>
      <c r="P83" s="312"/>
    </row>
    <row r="84" customFormat="false" ht="18.75" hidden="true" customHeight="true" outlineLevel="0" collapsed="false">
      <c r="A84" s="604"/>
      <c r="B84" s="457"/>
      <c r="C84" s="132"/>
      <c r="D84" s="457"/>
      <c r="E84" s="458"/>
      <c r="F84" s="458"/>
      <c r="G84" s="441"/>
      <c r="H84" s="457"/>
      <c r="I84" s="458"/>
      <c r="J84" s="459"/>
      <c r="K84" s="457"/>
      <c r="L84" s="458"/>
      <c r="M84" s="131"/>
      <c r="N84" s="457"/>
      <c r="O84" s="458"/>
      <c r="P84" s="131"/>
    </row>
    <row r="85" customFormat="false" ht="18.75" hidden="true" customHeight="true" outlineLevel="0" collapsed="false">
      <c r="A85" s="604"/>
      <c r="B85" s="600"/>
      <c r="C85" s="210"/>
      <c r="D85" s="600"/>
      <c r="E85" s="601"/>
      <c r="F85" s="601"/>
      <c r="G85" s="260"/>
      <c r="H85" s="600"/>
      <c r="I85" s="601"/>
      <c r="J85" s="196"/>
      <c r="K85" s="600"/>
      <c r="L85" s="601"/>
      <c r="M85" s="312"/>
      <c r="N85" s="600"/>
      <c r="O85" s="601"/>
      <c r="P85" s="312"/>
    </row>
    <row r="86" customFormat="false" ht="18.75" hidden="true" customHeight="true" outlineLevel="0" collapsed="false">
      <c r="A86" s="605"/>
      <c r="B86" s="606"/>
      <c r="C86" s="607"/>
      <c r="D86" s="606"/>
      <c r="E86" s="490"/>
      <c r="F86" s="490"/>
      <c r="G86" s="664"/>
      <c r="H86" s="457"/>
      <c r="I86" s="609"/>
      <c r="J86" s="665"/>
      <c r="K86" s="457"/>
      <c r="L86" s="458"/>
      <c r="M86" s="131"/>
      <c r="N86" s="457"/>
      <c r="O86" s="458"/>
      <c r="P86" s="131"/>
    </row>
    <row r="87" customFormat="false" ht="18.75" hidden="false" customHeight="true" outlineLevel="0" collapsed="false">
      <c r="A87" s="171" t="str">
        <f aca="false">'☆掛負収入'!A87</f>
        <v>小　計</v>
      </c>
      <c r="B87" s="404"/>
      <c r="C87" s="174"/>
      <c r="D87" s="404"/>
      <c r="E87" s="174"/>
      <c r="F87" s="175"/>
      <c r="G87" s="176"/>
      <c r="H87" s="404"/>
      <c r="I87" s="174"/>
      <c r="J87" s="176"/>
      <c r="K87" s="404"/>
      <c r="L87" s="174"/>
      <c r="M87" s="176"/>
      <c r="N87" s="404"/>
      <c r="O87" s="174"/>
      <c r="P87" s="176"/>
    </row>
    <row r="88" customFormat="false" ht="18.75" hidden="false" customHeight="true" outlineLevel="0" collapsed="false">
      <c r="A88" s="610" t="str">
        <f aca="false">'☆掛負収入'!A88</f>
        <v>地方税共同機構</v>
      </c>
      <c r="B88" s="444" t="n">
        <f aca="false">'☆掛負収入'!B88</f>
        <v>0</v>
      </c>
      <c r="C88" s="235" t="n">
        <f aca="false">'☆掛負収入'!C88</f>
        <v>0</v>
      </c>
      <c r="D88" s="476" t="n">
        <f aca="false">'☆掛負収入'!D88</f>
        <v>0</v>
      </c>
      <c r="E88" s="463" t="n">
        <f aca="false">'☆掛負収入'!E88</f>
        <v>0</v>
      </c>
      <c r="F88" s="450" t="n">
        <f aca="false">'☆掛負収入'!F88</f>
        <v>0</v>
      </c>
      <c r="G88" s="666" t="n">
        <f aca="false">SUM(B88:F88)</f>
        <v>0</v>
      </c>
      <c r="H88" s="594" t="n">
        <f aca="false">'☆掛負収入'!H88</f>
        <v>0</v>
      </c>
      <c r="I88" s="424" t="n">
        <f aca="false">'☆掛負収入'!I88</f>
        <v>0</v>
      </c>
      <c r="J88" s="135" t="n">
        <f aca="false">SUM(H88:I88)</f>
        <v>0</v>
      </c>
      <c r="K88" s="594" t="n">
        <f aca="false">'☆掛負収入'!K88</f>
        <v>0</v>
      </c>
      <c r="L88" s="424" t="n">
        <f aca="false">'☆掛負収入'!L88</f>
        <v>0</v>
      </c>
      <c r="M88" s="135" t="n">
        <f aca="false">SUM(K88:L88)</f>
        <v>0</v>
      </c>
      <c r="N88" s="594" t="n">
        <f aca="false">'☆掛負収入'!N88</f>
        <v>0</v>
      </c>
      <c r="O88" s="424" t="n">
        <f aca="false">'☆掛負収入'!O88</f>
        <v>0</v>
      </c>
      <c r="P88" s="135" t="n">
        <f aca="false">SUM(N88:O88)</f>
        <v>0</v>
      </c>
    </row>
    <row r="89" customFormat="false" ht="18.75" hidden="false" customHeight="true" outlineLevel="0" collapsed="false">
      <c r="A89" s="341" t="str">
        <f aca="false">'☆掛負収入'!A89</f>
        <v>平和文化センター</v>
      </c>
      <c r="B89" s="449" t="n">
        <f aca="false">'☆掛負収入'!B89</f>
        <v>0</v>
      </c>
      <c r="C89" s="377" t="n">
        <f aca="false">'☆掛負収入'!C89</f>
        <v>0</v>
      </c>
      <c r="D89" s="667" t="n">
        <f aca="false">'☆掛負収入'!D89</f>
        <v>765855</v>
      </c>
      <c r="E89" s="452" t="n">
        <f aca="false">'☆掛負収入'!E89</f>
        <v>62775</v>
      </c>
      <c r="F89" s="450" t="n">
        <f aca="false">'☆掛負収入'!F89</f>
        <v>789</v>
      </c>
      <c r="G89" s="668" t="n">
        <f aca="false">SUM(B89:F89)</f>
        <v>829419</v>
      </c>
      <c r="H89" s="594" t="n">
        <f aca="false">'☆掛負収入'!H89</f>
        <v>0</v>
      </c>
      <c r="I89" s="424" t="n">
        <f aca="false">'☆掛負収入'!I89</f>
        <v>441236</v>
      </c>
      <c r="J89" s="135" t="n">
        <f aca="false">SUM(H89:I89)</f>
        <v>441236</v>
      </c>
      <c r="K89" s="594" t="n">
        <f aca="false">'☆掛負収入'!K89</f>
        <v>0</v>
      </c>
      <c r="L89" s="424" t="n">
        <f aca="false">'☆掛負収入'!L89</f>
        <v>54826</v>
      </c>
      <c r="M89" s="135" t="n">
        <f aca="false">SUM(K89:L89)</f>
        <v>54826</v>
      </c>
      <c r="N89" s="594" t="n">
        <f aca="false">'☆掛負収入'!N89</f>
        <v>0</v>
      </c>
      <c r="O89" s="424" t="n">
        <f aca="false">'☆掛負収入'!O89</f>
        <v>9775</v>
      </c>
      <c r="P89" s="135" t="n">
        <f aca="false">SUM(N89:O89)</f>
        <v>9775</v>
      </c>
    </row>
    <row r="90" customFormat="false" ht="18.75" hidden="false" customHeight="true" outlineLevel="0" collapsed="false">
      <c r="A90" s="341" t="str">
        <f aca="false">'☆掛負収入'!A90</f>
        <v>社会福祉事業団</v>
      </c>
      <c r="B90" s="600"/>
      <c r="C90" s="210"/>
      <c r="D90" s="452" t="n">
        <f aca="false">'☆掛負収入'!D90</f>
        <v>2020320</v>
      </c>
      <c r="E90" s="453" t="n">
        <f aca="false">'☆掛負収入'!E90</f>
        <v>165600</v>
      </c>
      <c r="F90" s="450" t="n">
        <f aca="false">'☆掛負収入'!F90</f>
        <v>1999</v>
      </c>
      <c r="G90" s="668" t="n">
        <f aca="false">SUM(B90:F90)</f>
        <v>2187919</v>
      </c>
      <c r="H90" s="602"/>
      <c r="I90" s="424" t="n">
        <f aca="false">'☆掛負収入'!I90</f>
        <v>1298833</v>
      </c>
      <c r="J90" s="135" t="n">
        <f aca="false">SUM(H90:I90)</f>
        <v>1298833</v>
      </c>
      <c r="K90" s="602"/>
      <c r="L90" s="424" t="n">
        <f aca="false">'☆掛負収入'!L90</f>
        <v>141726</v>
      </c>
      <c r="M90" s="135" t="n">
        <f aca="false">SUM(K90:L90)</f>
        <v>141726</v>
      </c>
      <c r="N90" s="602"/>
      <c r="O90" s="424" t="n">
        <f aca="false">'☆掛負収入'!O90</f>
        <v>28771</v>
      </c>
      <c r="P90" s="135" t="n">
        <f aca="false">SUM(N90:O90)</f>
        <v>28771</v>
      </c>
    </row>
    <row r="91" customFormat="false" ht="18.75" hidden="false" customHeight="true" outlineLevel="0" collapsed="false">
      <c r="A91" s="341" t="str">
        <f aca="false">'☆掛負収入'!A91</f>
        <v>原爆障害対策協議会</v>
      </c>
      <c r="B91" s="600"/>
      <c r="C91" s="210"/>
      <c r="D91" s="445" t="n">
        <f aca="false">'☆掛負収入'!D91</f>
        <v>59475</v>
      </c>
      <c r="E91" s="453" t="n">
        <f aca="false">'☆掛負収入'!E91</f>
        <v>4875</v>
      </c>
      <c r="F91" s="450" t="n">
        <f aca="false">'☆掛負収入'!F91</f>
        <v>56</v>
      </c>
      <c r="G91" s="668" t="n">
        <f aca="false">SUM(B91:F91)</f>
        <v>64406</v>
      </c>
      <c r="H91" s="602"/>
      <c r="I91" s="424" t="n">
        <f aca="false">'☆掛負収入'!I91</f>
        <v>36856</v>
      </c>
      <c r="J91" s="135" t="n">
        <f aca="false">SUM(H91:I91)</f>
        <v>36856</v>
      </c>
      <c r="K91" s="602"/>
      <c r="L91" s="424" t="n">
        <f aca="false">'☆掛負収入'!L91</f>
        <v>5609</v>
      </c>
      <c r="M91" s="135" t="n">
        <f aca="false">SUM(K91:L91)</f>
        <v>5609</v>
      </c>
      <c r="N91" s="602"/>
      <c r="O91" s="424" t="n">
        <f aca="false">'☆掛負収入'!O91</f>
        <v>816</v>
      </c>
      <c r="P91" s="135" t="n">
        <f aca="false">SUM(N91:O91)</f>
        <v>816</v>
      </c>
    </row>
    <row r="92" customFormat="false" ht="18.75" hidden="false" customHeight="true" outlineLevel="0" collapsed="false">
      <c r="A92" s="342" t="str">
        <f aca="false">'☆掛負収入'!A92</f>
        <v>産業振興センター</v>
      </c>
      <c r="B92" s="600"/>
      <c r="C92" s="210"/>
      <c r="D92" s="445" t="n">
        <f aca="false">'☆掛負収入'!D92</f>
        <v>417240</v>
      </c>
      <c r="E92" s="453" t="n">
        <f aca="false">'☆掛負収入'!E92</f>
        <v>34200</v>
      </c>
      <c r="F92" s="450" t="n">
        <f aca="false">'☆掛負収入'!F92</f>
        <v>395</v>
      </c>
      <c r="G92" s="668" t="n">
        <f aca="false">SUM(B92:F92)</f>
        <v>451835</v>
      </c>
      <c r="H92" s="602"/>
      <c r="I92" s="424" t="n">
        <f aca="false">'☆掛負収入'!I92</f>
        <v>236708</v>
      </c>
      <c r="J92" s="135" t="n">
        <f aca="false">SUM(H92:I92)</f>
        <v>236708</v>
      </c>
      <c r="K92" s="602"/>
      <c r="L92" s="424" t="n">
        <f aca="false">'☆掛負収入'!L92</f>
        <v>30968</v>
      </c>
      <c r="M92" s="135" t="n">
        <f aca="false">SUM(K92:L92)</f>
        <v>30968</v>
      </c>
      <c r="N92" s="602"/>
      <c r="O92" s="424" t="n">
        <f aca="false">'☆掛負収入'!O92</f>
        <v>5243</v>
      </c>
      <c r="P92" s="135" t="n">
        <f aca="false">SUM(N92:O92)</f>
        <v>5243</v>
      </c>
    </row>
    <row r="93" customFormat="false" ht="18.75" hidden="false" customHeight="true" outlineLevel="0" collapsed="false">
      <c r="A93" s="343" t="str">
        <f aca="false">'☆掛負収入'!A93</f>
        <v>ひろしま産業振興</v>
      </c>
      <c r="B93" s="600"/>
      <c r="C93" s="459"/>
      <c r="D93" s="445" t="n">
        <f aca="false">'☆掛負収入'!D93</f>
        <v>40260</v>
      </c>
      <c r="E93" s="453" t="n">
        <f aca="false">'☆掛負収入'!E93</f>
        <v>3300</v>
      </c>
      <c r="F93" s="456" t="n">
        <f aca="false">'☆掛負収入'!F93</f>
        <v>38</v>
      </c>
      <c r="G93" s="668" t="n">
        <f aca="false">SUM(B93:F93)</f>
        <v>43598</v>
      </c>
      <c r="H93" s="602"/>
      <c r="I93" s="407" t="n">
        <f aca="false">'☆掛負収入'!I93</f>
        <v>22840</v>
      </c>
      <c r="J93" s="135" t="n">
        <f aca="false">SUM(H93:I93)</f>
        <v>22840</v>
      </c>
      <c r="K93" s="602"/>
      <c r="L93" s="407" t="n">
        <f aca="false">'☆掛負収入'!L93</f>
        <v>3476</v>
      </c>
      <c r="M93" s="135" t="n">
        <f aca="false">SUM(K93:L93)</f>
        <v>3476</v>
      </c>
      <c r="N93" s="602"/>
      <c r="O93" s="407" t="n">
        <f aca="false">'☆掛負収入'!O93</f>
        <v>506</v>
      </c>
      <c r="P93" s="135" t="n">
        <f aca="false">SUM(N93:O93)</f>
        <v>506</v>
      </c>
    </row>
    <row r="94" customFormat="false" ht="18.75" hidden="false" customHeight="true" outlineLevel="0" collapsed="false">
      <c r="A94" s="343" t="str">
        <f aca="false">'☆掛負収入'!A94</f>
        <v>都市整備公社　市</v>
      </c>
      <c r="B94" s="600"/>
      <c r="C94" s="459"/>
      <c r="D94" s="452" t="n">
        <f aca="false">'☆掛負収入'!D94</f>
        <v>0</v>
      </c>
      <c r="E94" s="453" t="n">
        <f aca="false">'☆掛負収入'!E94</f>
        <v>0</v>
      </c>
      <c r="F94" s="450" t="n">
        <f aca="false">'☆掛負収入'!F94</f>
        <v>0</v>
      </c>
      <c r="G94" s="668" t="n">
        <f aca="false">SUM(B94:F94)</f>
        <v>0</v>
      </c>
      <c r="H94" s="602"/>
      <c r="I94" s="424" t="n">
        <f aca="false">'☆掛負収入'!I94</f>
        <v>0</v>
      </c>
      <c r="J94" s="135" t="n">
        <f aca="false">SUM(H94:I94)</f>
        <v>0</v>
      </c>
      <c r="K94" s="602"/>
      <c r="L94" s="424" t="n">
        <f aca="false">'☆掛負収入'!L94</f>
        <v>0</v>
      </c>
      <c r="M94" s="135" t="n">
        <f aca="false">SUM(K94:L94)</f>
        <v>0</v>
      </c>
      <c r="N94" s="602"/>
      <c r="O94" s="424" t="n">
        <f aca="false">'☆掛負収入'!O94</f>
        <v>0</v>
      </c>
      <c r="P94" s="135" t="n">
        <f aca="false">SUM(N94:O94)</f>
        <v>0</v>
      </c>
    </row>
    <row r="95" customFormat="false" ht="18.75" hidden="false" customHeight="true" outlineLevel="0" collapsed="false">
      <c r="A95" s="344"/>
      <c r="B95" s="600"/>
      <c r="C95" s="196"/>
      <c r="D95" s="445"/>
      <c r="E95" s="453"/>
      <c r="F95" s="450"/>
      <c r="G95" s="668"/>
      <c r="H95" s="602"/>
      <c r="I95" s="424"/>
      <c r="J95" s="135"/>
      <c r="K95" s="602"/>
      <c r="L95" s="424"/>
      <c r="M95" s="135" t="n">
        <f aca="false">SUM(K95:L95)</f>
        <v>0</v>
      </c>
      <c r="N95" s="602"/>
      <c r="O95" s="424"/>
      <c r="P95" s="135" t="n">
        <f aca="false">SUM(N95:O95)</f>
        <v>0</v>
      </c>
    </row>
    <row r="96" customFormat="false" ht="18.75" hidden="false" customHeight="true" outlineLevel="0" collapsed="false">
      <c r="A96" s="343" t="str">
        <f aca="false">'☆掛負収入'!A96</f>
        <v>日本下水道事業団</v>
      </c>
      <c r="B96" s="451" t="n">
        <f aca="false">'☆掛負収入'!B96</f>
        <v>237900</v>
      </c>
      <c r="C96" s="223" t="n">
        <f aca="false">'☆掛負収入'!C96</f>
        <v>19500</v>
      </c>
      <c r="D96" s="445" t="n">
        <f aca="false">'☆掛負収入'!D96</f>
        <v>237900</v>
      </c>
      <c r="E96" s="453" t="n">
        <f aca="false">'☆掛負収入'!E96</f>
        <v>19500</v>
      </c>
      <c r="F96" s="450" t="n">
        <f aca="false">'☆掛負収入'!F96</f>
        <v>225</v>
      </c>
      <c r="G96" s="668" t="n">
        <f aca="false">SUM(B96:F96)</f>
        <v>515025</v>
      </c>
      <c r="H96" s="594" t="n">
        <f aca="false">'☆掛負収入'!H96</f>
        <v>137945</v>
      </c>
      <c r="I96" s="424" t="n">
        <f aca="false">'☆掛負収入'!I96</f>
        <v>138080</v>
      </c>
      <c r="J96" s="135" t="n">
        <f aca="false">SUM(H96:I96)</f>
        <v>276025</v>
      </c>
      <c r="K96" s="594" t="n">
        <f aca="false">'☆掛負収入'!K96</f>
        <v>10744</v>
      </c>
      <c r="L96" s="424" t="n">
        <f aca="false">'☆掛負収入'!L96</f>
        <v>10744</v>
      </c>
      <c r="M96" s="135" t="n">
        <f aca="false">SUM(K96:L96)</f>
        <v>21488</v>
      </c>
      <c r="N96" s="594" t="n">
        <f aca="false">'☆掛負収入'!N96</f>
        <v>3058</v>
      </c>
      <c r="O96" s="424" t="n">
        <f aca="false">'☆掛負収入'!O96</f>
        <v>3059</v>
      </c>
      <c r="P96" s="135" t="n">
        <f aca="false">SUM(N96:O96)</f>
        <v>6117</v>
      </c>
    </row>
    <row r="97" customFormat="false" ht="18.75" hidden="false" customHeight="true" outlineLevel="0" collapsed="false">
      <c r="A97" s="341" t="str">
        <f aca="false">'☆掛負収入'!A97</f>
        <v>地方公務員災害補償基金本部</v>
      </c>
      <c r="B97" s="600"/>
      <c r="C97" s="196"/>
      <c r="D97" s="445" t="n">
        <f aca="false">'☆掛負収入'!D97</f>
        <v>40260</v>
      </c>
      <c r="E97" s="453" t="n">
        <f aca="false">'☆掛負収入'!E97</f>
        <v>3300</v>
      </c>
      <c r="F97" s="450" t="n">
        <f aca="false">'☆掛負収入'!F97</f>
        <v>38</v>
      </c>
      <c r="G97" s="668" t="n">
        <f aca="false">SUM(B97:F97)</f>
        <v>43598</v>
      </c>
      <c r="H97" s="602"/>
      <c r="I97" s="424" t="n">
        <f aca="false">'☆掛負収入'!I97</f>
        <v>22840</v>
      </c>
      <c r="J97" s="135" t="n">
        <f aca="false">SUM(H97:I97)</f>
        <v>22840</v>
      </c>
      <c r="K97" s="602"/>
      <c r="L97" s="424" t="n">
        <f aca="false">'☆掛負収入'!L97</f>
        <v>0</v>
      </c>
      <c r="M97" s="135" t="n">
        <f aca="false">SUM(K97:L97)</f>
        <v>0</v>
      </c>
      <c r="N97" s="602"/>
      <c r="O97" s="424" t="n">
        <f aca="false">'☆掛負収入'!O97</f>
        <v>506</v>
      </c>
      <c r="P97" s="135" t="n">
        <f aca="false">SUM(N97:O97)</f>
        <v>506</v>
      </c>
    </row>
    <row r="98" customFormat="false" ht="18.75" hidden="false" customHeight="true" outlineLevel="0" collapsed="false">
      <c r="A98" s="345"/>
      <c r="B98" s="449"/>
      <c r="C98" s="223"/>
      <c r="D98" s="445"/>
      <c r="E98" s="453"/>
      <c r="F98" s="450"/>
      <c r="G98" s="668"/>
      <c r="H98" s="594"/>
      <c r="I98" s="424"/>
      <c r="J98" s="135"/>
      <c r="K98" s="594"/>
      <c r="L98" s="424"/>
      <c r="M98" s="135" t="n">
        <f aca="false">SUM(K98:L98)</f>
        <v>0</v>
      </c>
      <c r="N98" s="594"/>
      <c r="O98" s="424"/>
      <c r="P98" s="135" t="n">
        <f aca="false">SUM(N98:O98)</f>
        <v>0</v>
      </c>
    </row>
    <row r="99" customFormat="false" ht="18.75" hidden="false" customHeight="true" outlineLevel="0" collapsed="false">
      <c r="A99" s="341" t="str">
        <f aca="false">'☆掛負収入'!A99</f>
        <v>高速道路公社</v>
      </c>
      <c r="B99" s="464" t="n">
        <f aca="false">'☆掛負収入'!B99</f>
        <v>746640</v>
      </c>
      <c r="C99" s="454" t="n">
        <f aca="false">'☆掛負収入'!C99</f>
        <v>61200</v>
      </c>
      <c r="D99" s="667" t="n">
        <f aca="false">'☆掛負収入'!D99</f>
        <v>784155</v>
      </c>
      <c r="E99" s="470" t="n">
        <f aca="false">'☆掛負収入'!E99</f>
        <v>64275</v>
      </c>
      <c r="F99" s="472" t="n">
        <f aca="false">'☆掛負収入'!F99</f>
        <v>804</v>
      </c>
      <c r="G99" s="668" t="n">
        <f aca="false">SUM(B99:F99)</f>
        <v>1657074</v>
      </c>
      <c r="H99" s="613" t="n">
        <f aca="false">'☆掛負収入'!H99</f>
        <v>423172</v>
      </c>
      <c r="I99" s="614" t="n">
        <f aca="false">'☆掛負収入'!I99</f>
        <v>444868</v>
      </c>
      <c r="J99" s="135" t="n">
        <f aca="false">SUM(H99:I99)</f>
        <v>868040</v>
      </c>
      <c r="K99" s="613" t="n">
        <f aca="false">'☆掛負収入'!K99</f>
        <v>39342</v>
      </c>
      <c r="L99" s="614" t="n">
        <f aca="false">'☆掛負収入'!L99</f>
        <v>39342</v>
      </c>
      <c r="M99" s="135" t="n">
        <f aca="false">SUM(K99:L99)</f>
        <v>78684</v>
      </c>
      <c r="N99" s="613" t="n">
        <f aca="false">'☆掛負収入'!N99</f>
        <v>9380</v>
      </c>
      <c r="O99" s="614" t="n">
        <f aca="false">'☆掛負収入'!O99</f>
        <v>9855</v>
      </c>
      <c r="P99" s="135" t="n">
        <f aca="false">SUM(N99:O99)</f>
        <v>19235</v>
      </c>
    </row>
    <row r="100" customFormat="false" ht="18.75" hidden="false" customHeight="true" outlineLevel="0" collapsed="false">
      <c r="A100" s="341" t="str">
        <f aca="false">'☆掛負収入'!A100</f>
        <v>農林水産振興センタ</v>
      </c>
      <c r="B100" s="457"/>
      <c r="C100" s="459"/>
      <c r="D100" s="452" t="n">
        <f aca="false">'☆掛負収入'!D100</f>
        <v>607560</v>
      </c>
      <c r="E100" s="473" t="n">
        <f aca="false">'☆掛負収入'!E100</f>
        <v>49800</v>
      </c>
      <c r="F100" s="456" t="n">
        <f aca="false">'☆掛負収入'!F100</f>
        <v>603</v>
      </c>
      <c r="G100" s="668" t="n">
        <f aca="false">SUM(B100:F100)</f>
        <v>657963</v>
      </c>
      <c r="H100" s="616"/>
      <c r="I100" s="407" t="n">
        <f aca="false">'☆掛負収入'!I100</f>
        <v>344697</v>
      </c>
      <c r="J100" s="135" t="n">
        <f aca="false">SUM(H100:I100)</f>
        <v>344697</v>
      </c>
      <c r="K100" s="616"/>
      <c r="L100" s="407" t="n">
        <f aca="false">'☆掛負収入'!L100</f>
        <v>28203</v>
      </c>
      <c r="M100" s="135" t="n">
        <f aca="false">SUM(K100:L100)</f>
        <v>28203</v>
      </c>
      <c r="N100" s="616"/>
      <c r="O100" s="407" t="n">
        <f aca="false">'☆掛負収入'!O100</f>
        <v>7634</v>
      </c>
      <c r="P100" s="135" t="n">
        <f aca="false">SUM(N100:O100)</f>
        <v>7634</v>
      </c>
    </row>
    <row r="101" customFormat="false" ht="18.75" hidden="false" customHeight="true" outlineLevel="0" collapsed="false">
      <c r="A101" s="346" t="str">
        <f aca="false">'☆掛負収入'!A101</f>
        <v>文化財団　市長部局</v>
      </c>
      <c r="B101" s="600"/>
      <c r="C101" s="196"/>
      <c r="D101" s="445" t="n">
        <f aca="false">'☆掛負収入'!D101</f>
        <v>1056825</v>
      </c>
      <c r="E101" s="453" t="n">
        <f aca="false">'☆掛負収入'!E101</f>
        <v>86625</v>
      </c>
      <c r="F101" s="456" t="n">
        <f aca="false">'☆掛負収入'!F101</f>
        <v>1000</v>
      </c>
      <c r="G101" s="668" t="n">
        <f aca="false">SUM(B101:F101)</f>
        <v>1144450</v>
      </c>
      <c r="H101" s="602"/>
      <c r="I101" s="407" t="n">
        <f aca="false">'☆掛負収入'!I101</f>
        <v>602672</v>
      </c>
      <c r="J101" s="135" t="n">
        <f aca="false">SUM(H101:I101)</f>
        <v>602672</v>
      </c>
      <c r="K101" s="602"/>
      <c r="L101" s="407" t="n">
        <f aca="false">'☆掛負収入'!L101</f>
        <v>86347</v>
      </c>
      <c r="M101" s="135" t="n">
        <f aca="false">SUM(K101:L101)</f>
        <v>86347</v>
      </c>
      <c r="N101" s="602"/>
      <c r="O101" s="407" t="n">
        <f aca="false">'☆掛負収入'!O101</f>
        <v>13350</v>
      </c>
      <c r="P101" s="135" t="n">
        <f aca="false">SUM(N101:O101)</f>
        <v>13350</v>
      </c>
    </row>
    <row r="102" customFormat="false" ht="18.75" hidden="false" customHeight="true" outlineLevel="0" collapsed="false">
      <c r="A102" s="347"/>
      <c r="B102" s="600"/>
      <c r="C102" s="196"/>
      <c r="D102" s="445"/>
      <c r="E102" s="453"/>
      <c r="F102" s="456"/>
      <c r="G102" s="668"/>
      <c r="H102" s="602"/>
      <c r="I102" s="407"/>
      <c r="J102" s="135"/>
      <c r="K102" s="602"/>
      <c r="L102" s="407"/>
      <c r="M102" s="135" t="n">
        <f aca="false">SUM(K102:L102)</f>
        <v>0</v>
      </c>
      <c r="N102" s="602"/>
      <c r="O102" s="407"/>
      <c r="P102" s="135" t="n">
        <f aca="false">SUM(N102:O102)</f>
        <v>0</v>
      </c>
    </row>
    <row r="103" customFormat="false" ht="18.75" hidden="false" customHeight="true" outlineLevel="0" collapsed="false">
      <c r="A103" s="341" t="str">
        <f aca="false">'☆掛負収入'!A103</f>
        <v>みどり生きもの協会</v>
      </c>
      <c r="B103" s="600"/>
      <c r="C103" s="196"/>
      <c r="D103" s="445" t="n">
        <f aca="false">'☆掛負収入'!D103</f>
        <v>405345</v>
      </c>
      <c r="E103" s="453" t="n">
        <f aca="false">'☆掛負収入'!E103</f>
        <v>33225</v>
      </c>
      <c r="F103" s="456" t="n">
        <f aca="false">'☆掛負収入'!F103</f>
        <v>383</v>
      </c>
      <c r="G103" s="668" t="n">
        <f aca="false">SUM(B103:F103)</f>
        <v>438953</v>
      </c>
      <c r="H103" s="602"/>
      <c r="I103" s="407" t="n">
        <f aca="false">'☆掛負収入'!I103</f>
        <v>229959</v>
      </c>
      <c r="J103" s="135" t="n">
        <f aca="false">SUM(H103:I103)</f>
        <v>229959</v>
      </c>
      <c r="K103" s="602"/>
      <c r="L103" s="407" t="n">
        <f aca="false">'☆掛負収入'!L103</f>
        <v>34997</v>
      </c>
      <c r="M103" s="135" t="n">
        <f aca="false">SUM(K103:L103)</f>
        <v>34997</v>
      </c>
      <c r="N103" s="602"/>
      <c r="O103" s="407" t="n">
        <f aca="false">'☆掛負収入'!O103</f>
        <v>5093</v>
      </c>
      <c r="P103" s="135" t="n">
        <f aca="false">SUM(N103:O103)</f>
        <v>5093</v>
      </c>
    </row>
    <row r="104" customFormat="false" ht="18.75" hidden="false" customHeight="true" outlineLevel="0" collapsed="false">
      <c r="A104" s="343" t="str">
        <f aca="false">'☆掛負収入'!A104</f>
        <v>県下水道公社</v>
      </c>
      <c r="B104" s="449" t="n">
        <f aca="false">'☆掛負収入'!B104</f>
        <v>148230</v>
      </c>
      <c r="C104" s="223" t="n">
        <f aca="false">'☆掛負収入'!C104</f>
        <v>12150</v>
      </c>
      <c r="D104" s="445" t="n">
        <f aca="false">'☆掛負収入'!D104</f>
        <v>148230</v>
      </c>
      <c r="E104" s="453" t="n">
        <f aca="false">'☆掛負収入'!E104</f>
        <v>12150</v>
      </c>
      <c r="F104" s="456" t="n">
        <f aca="false">'☆掛負収入'!F104</f>
        <v>140</v>
      </c>
      <c r="G104" s="668" t="n">
        <f aca="false">SUM(B104:F104)</f>
        <v>320900</v>
      </c>
      <c r="H104" s="594" t="n">
        <f aca="false">'☆掛負収入'!H104</f>
        <v>87123</v>
      </c>
      <c r="I104" s="407" t="n">
        <f aca="false">'☆掛負収入'!I104</f>
        <v>87208</v>
      </c>
      <c r="J104" s="135" t="n">
        <f aca="false">SUM(H104:I104)</f>
        <v>174331</v>
      </c>
      <c r="K104" s="594" t="n">
        <f aca="false">'☆掛負収入'!K104</f>
        <v>10033</v>
      </c>
      <c r="L104" s="407" t="n">
        <f aca="false">'☆掛負収入'!L104</f>
        <v>10033</v>
      </c>
      <c r="M104" s="135" t="n">
        <f aca="false">SUM(K104:L104)</f>
        <v>20066</v>
      </c>
      <c r="N104" s="594" t="n">
        <f aca="false">'☆掛負収入'!N104</f>
        <v>1931</v>
      </c>
      <c r="O104" s="407" t="n">
        <f aca="false">'☆掛負収入'!O104</f>
        <v>1932</v>
      </c>
      <c r="P104" s="135" t="n">
        <f aca="false">SUM(N104:O104)</f>
        <v>3863</v>
      </c>
    </row>
    <row r="105" customFormat="false" ht="18.75" hidden="false" customHeight="true" outlineLevel="0" collapsed="false">
      <c r="A105" s="343" t="str">
        <f aca="false">'☆掛負収入'!A105</f>
        <v>バス協調・共創
プラットフォーム</v>
      </c>
      <c r="B105" s="457"/>
      <c r="C105" s="459"/>
      <c r="D105" s="452" t="n">
        <f aca="false">'☆掛負収入'!D105</f>
        <v>455670</v>
      </c>
      <c r="E105" s="473" t="n">
        <f aca="false">'☆掛負収入'!E105</f>
        <v>37350</v>
      </c>
      <c r="F105" s="456" t="n">
        <f aca="false">'☆掛負収入'!F105</f>
        <v>432</v>
      </c>
      <c r="G105" s="668" t="n">
        <f aca="false">SUM(B105:F105)</f>
        <v>493452</v>
      </c>
      <c r="H105" s="616"/>
      <c r="I105" s="407" t="n">
        <f aca="false">'☆掛負収入'!I105</f>
        <v>263702</v>
      </c>
      <c r="J105" s="135" t="n">
        <f aca="false">SUM(H105:I105)</f>
        <v>263702</v>
      </c>
      <c r="K105" s="616"/>
      <c r="L105" s="407" t="n">
        <f aca="false">'☆掛負収入'!L105</f>
        <v>21093</v>
      </c>
      <c r="M105" s="135" t="n">
        <f aca="false">SUM(K105:L105)</f>
        <v>21093</v>
      </c>
      <c r="N105" s="616"/>
      <c r="O105" s="407" t="n">
        <f aca="false">'☆掛負収入'!O105</f>
        <v>5842</v>
      </c>
      <c r="P105" s="135" t="n">
        <f aca="false">SUM(N105:O105)</f>
        <v>5842</v>
      </c>
    </row>
    <row r="106" customFormat="false" ht="18.75" hidden="false" customHeight="true" outlineLevel="0" collapsed="false">
      <c r="A106" s="343" t="str">
        <f aca="false">'☆掛負収入'!A106</f>
        <v>広島県市長会</v>
      </c>
      <c r="B106" s="449" t="n">
        <f aca="false">'☆掛負収入'!B106</f>
        <v>56730</v>
      </c>
      <c r="C106" s="223" t="n">
        <f aca="false">'☆掛負収入'!C106</f>
        <v>4650</v>
      </c>
      <c r="D106" s="445" t="n">
        <f aca="false">'☆掛負収入'!D106</f>
        <v>56730</v>
      </c>
      <c r="E106" s="453" t="n">
        <f aca="false">'☆掛負収入'!E106</f>
        <v>4650</v>
      </c>
      <c r="F106" s="450" t="n">
        <f aca="false">'☆掛負収入'!F106</f>
        <v>53</v>
      </c>
      <c r="G106" s="668" t="n">
        <f aca="false">SUM(B106:F106)</f>
        <v>122813</v>
      </c>
      <c r="H106" s="594" t="n">
        <f aca="false">'☆掛負収入'!H106</f>
        <v>32153</v>
      </c>
      <c r="I106" s="424" t="n">
        <f aca="false">'☆掛負収入'!I106</f>
        <v>32184</v>
      </c>
      <c r="J106" s="135" t="n">
        <f aca="false">SUM(H106:I106)</f>
        <v>64337</v>
      </c>
      <c r="K106" s="594" t="n">
        <f aca="false">'☆掛負収入'!K106</f>
        <v>4898</v>
      </c>
      <c r="L106" s="424" t="n">
        <f aca="false">'☆掛負収入'!L106</f>
        <v>4898</v>
      </c>
      <c r="M106" s="135" t="n">
        <f aca="false">SUM(K106:L106)</f>
        <v>9796</v>
      </c>
      <c r="N106" s="594" t="n">
        <f aca="false">'☆掛負収入'!N106</f>
        <v>713</v>
      </c>
      <c r="O106" s="424" t="n">
        <f aca="false">'☆掛負収入'!O106</f>
        <v>713</v>
      </c>
      <c r="P106" s="135" t="n">
        <f aca="false">SUM(N106:O106)</f>
        <v>1426</v>
      </c>
    </row>
    <row r="107" customFormat="false" ht="18.75" hidden="false" customHeight="true" outlineLevel="0" collapsed="false">
      <c r="A107" s="342" t="str">
        <f aca="false">'☆掛負収入'!A107</f>
        <v>全国市町村研修財団</v>
      </c>
      <c r="B107" s="451" t="n">
        <f aca="false">'☆掛負収入'!B107</f>
        <v>59475</v>
      </c>
      <c r="C107" s="223" t="n">
        <f aca="false">'☆掛負収入'!C107</f>
        <v>4875</v>
      </c>
      <c r="D107" s="445" t="n">
        <f aca="false">'☆掛負収入'!D107</f>
        <v>59475</v>
      </c>
      <c r="E107" s="453" t="n">
        <f aca="false">'☆掛負収入'!E107</f>
        <v>4875</v>
      </c>
      <c r="F107" s="450" t="n">
        <f aca="false">'☆掛負収入'!F107</f>
        <v>56</v>
      </c>
      <c r="G107" s="668" t="n">
        <f aca="false">SUM(B107:F107)</f>
        <v>128756</v>
      </c>
      <c r="H107" s="594" t="n">
        <f aca="false">'☆掛負収入'!H107</f>
        <v>38895</v>
      </c>
      <c r="I107" s="424" t="n">
        <f aca="false">'☆掛負収入'!I107</f>
        <v>38932</v>
      </c>
      <c r="J107" s="135" t="n">
        <f aca="false">SUM(H107:I107)</f>
        <v>77827</v>
      </c>
      <c r="K107" s="594" t="n">
        <f aca="false">'☆掛負収入'!K107</f>
        <v>5925</v>
      </c>
      <c r="L107" s="424" t="n">
        <f aca="false">'☆掛負収入'!L107</f>
        <v>5925</v>
      </c>
      <c r="M107" s="135" t="n">
        <f aca="false">SUM(K107:L107)</f>
        <v>11850</v>
      </c>
      <c r="N107" s="594" t="n">
        <f aca="false">'☆掛負収入'!N107</f>
        <v>862</v>
      </c>
      <c r="O107" s="424" t="n">
        <f aca="false">'☆掛負収入'!O107</f>
        <v>862</v>
      </c>
      <c r="P107" s="135" t="n">
        <f aca="false">SUM(N107:O107)</f>
        <v>1724</v>
      </c>
    </row>
    <row r="108" customFormat="false" ht="18.75" hidden="false" customHeight="true" outlineLevel="0" collapsed="false">
      <c r="A108" s="342" t="str">
        <f aca="false">'☆掛負収入'!A108</f>
        <v>都市再生機構</v>
      </c>
      <c r="B108" s="449" t="n">
        <f aca="false">'☆掛負収入'!B108</f>
        <v>37515</v>
      </c>
      <c r="C108" s="223" t="n">
        <f aca="false">'☆掛負収入'!C108</f>
        <v>3075</v>
      </c>
      <c r="D108" s="445" t="n">
        <f aca="false">'☆掛負収入'!D108</f>
        <v>37515</v>
      </c>
      <c r="E108" s="453" t="n">
        <f aca="false">'☆掛負収入'!E108</f>
        <v>3075</v>
      </c>
      <c r="F108" s="450" t="n">
        <f aca="false">'☆掛負収入'!F108</f>
        <v>35</v>
      </c>
      <c r="G108" s="668" t="n">
        <f aca="false">SUM(B108:F108)</f>
        <v>81215</v>
      </c>
      <c r="H108" s="594" t="n">
        <f aca="false">'☆掛負収入'!H108</f>
        <v>21262</v>
      </c>
      <c r="I108" s="424" t="n">
        <f aca="false">'☆掛負収入'!I108</f>
        <v>21283</v>
      </c>
      <c r="J108" s="135" t="n">
        <f aca="false">SUM(H108:I108)</f>
        <v>42545</v>
      </c>
      <c r="K108" s="594" t="n">
        <f aca="false">'☆掛負収入'!K108</f>
        <v>0</v>
      </c>
      <c r="L108" s="424" t="n">
        <f aca="false">'☆掛負収入'!L108</f>
        <v>0</v>
      </c>
      <c r="M108" s="135" t="n">
        <f aca="false">SUM(K108:L108)</f>
        <v>0</v>
      </c>
      <c r="N108" s="594" t="n">
        <f aca="false">'☆掛負収入'!N108</f>
        <v>471</v>
      </c>
      <c r="O108" s="424" t="n">
        <f aca="false">'☆掛負収入'!O108</f>
        <v>471</v>
      </c>
      <c r="P108" s="135" t="n">
        <f aca="false">SUM(N108:O108)</f>
        <v>942</v>
      </c>
    </row>
    <row r="109" customFormat="false" ht="18.75" hidden="false" customHeight="true" outlineLevel="0" collapsed="false">
      <c r="A109" s="343" t="str">
        <f aca="false">'☆掛負収入'!A109</f>
        <v>広島市立大学</v>
      </c>
      <c r="B109" s="406" t="n">
        <f aca="false">'☆掛負収入'!B109</f>
        <v>1201395</v>
      </c>
      <c r="C109" s="135" t="n">
        <f aca="false">'☆掛負収入'!C109</f>
        <v>98475</v>
      </c>
      <c r="D109" s="592" t="n">
        <f aca="false">'☆掛負収入'!D109</f>
        <v>1201395</v>
      </c>
      <c r="E109" s="439" t="n">
        <f aca="false">'☆掛負収入'!E109</f>
        <v>98475</v>
      </c>
      <c r="F109" s="450" t="n">
        <f aca="false">'☆掛負収入'!F109</f>
        <v>1208</v>
      </c>
      <c r="G109" s="668" t="n">
        <f aca="false">SUM(B109:F109)</f>
        <v>2600948</v>
      </c>
      <c r="H109" s="594" t="n">
        <f aca="false">'☆掛負収入'!H109</f>
        <v>690245</v>
      </c>
      <c r="I109" s="424" t="n">
        <f aca="false">'☆掛負収入'!I109</f>
        <v>690961</v>
      </c>
      <c r="J109" s="135" t="n">
        <f aca="false">SUM(H109:I109)</f>
        <v>1381206</v>
      </c>
      <c r="K109" s="594" t="n">
        <f aca="false">'☆掛負収入'!K109</f>
        <v>79632</v>
      </c>
      <c r="L109" s="424" t="n">
        <f aca="false">'☆掛負収入'!L109</f>
        <v>79632</v>
      </c>
      <c r="M109" s="135" t="n">
        <f aca="false">SUM(K109:L109)</f>
        <v>159264</v>
      </c>
      <c r="N109" s="594" t="n">
        <f aca="false">'☆掛負収入'!N109</f>
        <v>15300</v>
      </c>
      <c r="O109" s="424" t="n">
        <f aca="false">'☆掛負収入'!O109</f>
        <v>15306</v>
      </c>
      <c r="P109" s="135" t="n">
        <f aca="false">SUM(N109:O109)</f>
        <v>30606</v>
      </c>
    </row>
    <row r="110" customFormat="false" ht="18.75" hidden="false" customHeight="true" outlineLevel="0" collapsed="false">
      <c r="A110" s="343" t="str">
        <f aca="false">'☆掛負収入'!A110</f>
        <v>社会福祉協議会</v>
      </c>
      <c r="B110" s="406" t="n">
        <f aca="false">'☆掛負収入'!B110</f>
        <v>0</v>
      </c>
      <c r="C110" s="135" t="n">
        <f aca="false">'☆掛負収入'!C110</f>
        <v>0</v>
      </c>
      <c r="D110" s="592" t="n">
        <f aca="false">'☆掛負収入'!D110</f>
        <v>242475</v>
      </c>
      <c r="E110" s="439" t="n">
        <f aca="false">'☆掛負収入'!E110</f>
        <v>19875</v>
      </c>
      <c r="F110" s="450" t="n">
        <f aca="false">'☆掛負収入'!F110</f>
        <v>230</v>
      </c>
      <c r="G110" s="668" t="n">
        <f aca="false">SUM(B110:F110)</f>
        <v>262580</v>
      </c>
      <c r="H110" s="594" t="n">
        <f aca="false">'☆掛負収入'!H110</f>
        <v>0</v>
      </c>
      <c r="I110" s="424" t="n">
        <f aca="false">'☆掛負収入'!I110</f>
        <v>140676</v>
      </c>
      <c r="J110" s="135" t="n">
        <f aca="false">SUM(H110:I110)</f>
        <v>140676</v>
      </c>
      <c r="K110" s="594" t="n">
        <f aca="false">'☆掛負収入'!K110</f>
        <v>0</v>
      </c>
      <c r="L110" s="424" t="n">
        <f aca="false">'☆掛負収入'!L110</f>
        <v>10507</v>
      </c>
      <c r="M110" s="135" t="n">
        <f aca="false">SUM(K110:L110)</f>
        <v>10507</v>
      </c>
      <c r="N110" s="594" t="n">
        <f aca="false">'☆掛負収入'!N110</f>
        <v>0</v>
      </c>
      <c r="O110" s="424" t="n">
        <f aca="false">'☆掛負収入'!O110</f>
        <v>3116</v>
      </c>
      <c r="P110" s="135" t="n">
        <f aca="false">SUM(N110:O110)</f>
        <v>3116</v>
      </c>
    </row>
    <row r="111" customFormat="false" ht="18.75" hidden="false" customHeight="true" outlineLevel="0" collapsed="false">
      <c r="A111" s="346" t="s">
        <v>418</v>
      </c>
      <c r="B111" s="595" t="n">
        <f aca="false">'☆掛負収入'!B113</f>
        <v>0</v>
      </c>
      <c r="C111" s="393" t="n">
        <f aca="false">'☆掛負収入'!C113</f>
        <v>0</v>
      </c>
      <c r="D111" s="596" t="n">
        <f aca="false">'☆掛負収入'!D113</f>
        <v>0</v>
      </c>
      <c r="E111" s="440" t="n">
        <f aca="false">'☆掛負収入'!E113</f>
        <v>0</v>
      </c>
      <c r="F111" s="407" t="n">
        <f aca="false">'☆掛負収入'!F113</f>
        <v>0</v>
      </c>
      <c r="G111" s="668" t="n">
        <f aca="false">SUM(B111:F111)</f>
        <v>0</v>
      </c>
      <c r="H111" s="597" t="n">
        <f aca="false">'☆掛負収入'!H113</f>
        <v>0</v>
      </c>
      <c r="I111" s="407" t="n">
        <f aca="false">'☆掛負収入'!I113</f>
        <v>0</v>
      </c>
      <c r="J111" s="135" t="n">
        <f aca="false">SUM(H111:I111)</f>
        <v>0</v>
      </c>
      <c r="K111" s="597" t="n">
        <f aca="false">'☆掛負収入'!K113</f>
        <v>0</v>
      </c>
      <c r="L111" s="407" t="n">
        <f aca="false">'☆掛負収入'!L113</f>
        <v>0</v>
      </c>
      <c r="M111" s="135" t="n">
        <f aca="false">SUM(K111:L111)</f>
        <v>0</v>
      </c>
      <c r="N111" s="597" t="n">
        <f aca="false">'☆掛負収入'!N113</f>
        <v>0</v>
      </c>
      <c r="O111" s="407" t="n">
        <f aca="false">'☆掛負収入'!O113</f>
        <v>0</v>
      </c>
      <c r="P111" s="135" t="n">
        <f aca="false">SUM(N111:O111)</f>
        <v>0</v>
      </c>
    </row>
    <row r="112" customFormat="false" ht="18.75" hidden="false" customHeight="true" outlineLevel="0" collapsed="false">
      <c r="A112" s="343" t="str">
        <f aca="false">'☆掛負収入'!A114</f>
        <v>全国市長会</v>
      </c>
      <c r="B112" s="595" t="n">
        <f aca="false">'☆掛負収入'!B114</f>
        <v>118950</v>
      </c>
      <c r="C112" s="393" t="n">
        <f aca="false">'☆掛負収入'!C114</f>
        <v>9750</v>
      </c>
      <c r="D112" s="596" t="n">
        <f aca="false">'☆掛負収入'!D114</f>
        <v>118950</v>
      </c>
      <c r="E112" s="440" t="n">
        <f aca="false">'☆掛負収入'!E114</f>
        <v>9750</v>
      </c>
      <c r="F112" s="407" t="n">
        <f aca="false">'☆掛負収入'!F114</f>
        <v>112</v>
      </c>
      <c r="G112" s="668" t="n">
        <f aca="false">SUM(B112:F112)</f>
        <v>257512</v>
      </c>
      <c r="H112" s="597" t="n">
        <f aca="false">'☆掛負収入'!H114</f>
        <v>87124</v>
      </c>
      <c r="I112" s="407" t="n">
        <f aca="false">'☆掛負収入'!I114</f>
        <v>87209</v>
      </c>
      <c r="J112" s="135" t="n">
        <f aca="false">SUM(H112:I112)</f>
        <v>174333</v>
      </c>
      <c r="K112" s="597" t="n">
        <f aca="false">'☆掛負収入'!K114</f>
        <v>13272</v>
      </c>
      <c r="L112" s="407" t="n">
        <f aca="false">'☆掛負収入'!L114</f>
        <v>13272</v>
      </c>
      <c r="M112" s="135" t="n">
        <f aca="false">SUM(K112:L112)</f>
        <v>26544</v>
      </c>
      <c r="N112" s="597" t="n">
        <f aca="false">'☆掛負収入'!N114</f>
        <v>1932</v>
      </c>
      <c r="O112" s="407" t="n">
        <f aca="false">'☆掛負収入'!O114</f>
        <v>1931</v>
      </c>
      <c r="P112" s="135" t="n">
        <f aca="false">SUM(N112:O112)</f>
        <v>3863</v>
      </c>
    </row>
    <row r="113" customFormat="false" ht="18.75" hidden="false" customHeight="true" outlineLevel="0" collapsed="false">
      <c r="A113" s="669"/>
      <c r="B113" s="406"/>
      <c r="C113" s="393"/>
      <c r="D113" s="592"/>
      <c r="E113" s="439"/>
      <c r="F113" s="424"/>
      <c r="G113" s="668"/>
      <c r="H113" s="594"/>
      <c r="I113" s="424"/>
      <c r="J113" s="135"/>
      <c r="K113" s="594"/>
      <c r="L113" s="424"/>
      <c r="M113" s="135"/>
      <c r="N113" s="594"/>
      <c r="O113" s="424"/>
      <c r="P113" s="135"/>
    </row>
    <row r="114" customFormat="false" ht="18.75" hidden="false" customHeight="true" outlineLevel="0" collapsed="false">
      <c r="A114" s="669"/>
      <c r="B114" s="595"/>
      <c r="C114" s="366"/>
      <c r="D114" s="596"/>
      <c r="E114" s="596"/>
      <c r="F114" s="407"/>
      <c r="G114" s="668"/>
      <c r="H114" s="595"/>
      <c r="I114" s="440"/>
      <c r="J114" s="135"/>
      <c r="K114" s="595"/>
      <c r="L114" s="440"/>
      <c r="M114" s="135"/>
      <c r="N114" s="595"/>
      <c r="O114" s="440"/>
      <c r="P114" s="135"/>
    </row>
    <row r="115" customFormat="false" ht="18.75" hidden="false" customHeight="true" outlineLevel="0" collapsed="false">
      <c r="A115" s="344"/>
      <c r="B115" s="406"/>
      <c r="C115" s="181"/>
      <c r="D115" s="592"/>
      <c r="E115" s="592"/>
      <c r="F115" s="424"/>
      <c r="G115" s="668"/>
      <c r="H115" s="406"/>
      <c r="I115" s="619"/>
      <c r="J115" s="135"/>
      <c r="K115" s="406"/>
      <c r="L115" s="619"/>
      <c r="M115" s="135"/>
      <c r="N115" s="406"/>
      <c r="O115" s="619"/>
      <c r="P115" s="135"/>
    </row>
    <row r="116" customFormat="false" ht="18.75" hidden="false" customHeight="true" outlineLevel="0" collapsed="false">
      <c r="A116" s="344"/>
      <c r="B116" s="595"/>
      <c r="C116" s="393"/>
      <c r="D116" s="596"/>
      <c r="E116" s="440"/>
      <c r="F116" s="407"/>
      <c r="G116" s="392"/>
      <c r="H116" s="406"/>
      <c r="I116" s="440"/>
      <c r="J116" s="135"/>
      <c r="K116" s="595"/>
      <c r="L116" s="440"/>
      <c r="M116" s="135"/>
      <c r="N116" s="595"/>
      <c r="O116" s="440"/>
      <c r="P116" s="393"/>
    </row>
    <row r="117" customFormat="false" ht="17.25" hidden="false" customHeight="true" outlineLevel="0" collapsed="false">
      <c r="A117" s="620"/>
      <c r="B117" s="499"/>
      <c r="C117" s="271"/>
      <c r="D117" s="623"/>
      <c r="E117" s="624"/>
      <c r="F117" s="670"/>
      <c r="G117" s="671"/>
      <c r="H117" s="499"/>
      <c r="I117" s="672"/>
      <c r="J117" s="268" t="n">
        <f aca="false">SUM(H117:I117)</f>
        <v>0</v>
      </c>
      <c r="K117" s="499"/>
      <c r="L117" s="672"/>
      <c r="M117" s="673" t="n">
        <f aca="false">SUM(K117:L117)</f>
        <v>0</v>
      </c>
      <c r="N117" s="499"/>
      <c r="O117" s="672"/>
      <c r="P117" s="673" t="n">
        <f aca="false">SUM(N117:O117)</f>
        <v>0</v>
      </c>
    </row>
    <row r="118" customFormat="false" ht="18.75" hidden="false" customHeight="true" outlineLevel="0" collapsed="false">
      <c r="A118" s="171" t="str">
        <f aca="false">'☆掛負収入'!A118</f>
        <v>小　計</v>
      </c>
      <c r="B118" s="404" t="n">
        <f aca="false">SUM(B88:B117)</f>
        <v>2606835</v>
      </c>
      <c r="C118" s="175" t="n">
        <f aca="false">SUM(C88:C117)</f>
        <v>213675</v>
      </c>
      <c r="D118" s="404" t="n">
        <f aca="false">SUM(D88:D117)</f>
        <v>8755635</v>
      </c>
      <c r="E118" s="276" t="n">
        <f aca="false">SUM(E88:E117)</f>
        <v>717675</v>
      </c>
      <c r="F118" s="175" t="n">
        <f aca="false">SUM(F88:F117)</f>
        <v>8596</v>
      </c>
      <c r="G118" s="176" t="n">
        <f aca="false">SUM(B118:F118)</f>
        <v>12302416</v>
      </c>
      <c r="H118" s="404" t="n">
        <f aca="false">SUM(H88:H117)</f>
        <v>1517919</v>
      </c>
      <c r="I118" s="174" t="n">
        <f aca="false">SUM(I88:I117)</f>
        <v>5181744</v>
      </c>
      <c r="J118" s="175" t="n">
        <f aca="false">SUM(H118:I118)</f>
        <v>6699663</v>
      </c>
      <c r="K118" s="404" t="n">
        <f aca="false">SUM(K88:K117)</f>
        <v>163846</v>
      </c>
      <c r="L118" s="174" t="n">
        <f aca="false">SUM(L88:L117)</f>
        <v>581598</v>
      </c>
      <c r="M118" s="176" t="n">
        <f aca="false">SUM(K118:L118)</f>
        <v>745444</v>
      </c>
      <c r="N118" s="276" t="n">
        <f aca="false">SUM(N88:N117)</f>
        <v>33647</v>
      </c>
      <c r="O118" s="174" t="n">
        <f aca="false">SUM(O88:O117)</f>
        <v>114781</v>
      </c>
      <c r="P118" s="176" t="n">
        <f aca="false">SUM(N118:O118)</f>
        <v>148428</v>
      </c>
    </row>
    <row r="119" customFormat="false" ht="18.75" hidden="false" customHeight="true" outlineLevel="0" collapsed="false">
      <c r="A119" s="674"/>
      <c r="B119" s="675"/>
      <c r="C119" s="676"/>
      <c r="D119" s="677"/>
      <c r="E119" s="678"/>
      <c r="F119" s="625"/>
      <c r="G119" s="679"/>
      <c r="H119" s="627"/>
      <c r="I119" s="628"/>
      <c r="J119" s="629"/>
      <c r="K119" s="630"/>
      <c r="L119" s="631"/>
      <c r="M119" s="632"/>
      <c r="N119" s="631"/>
      <c r="O119" s="631"/>
      <c r="P119" s="632"/>
    </row>
    <row r="120" customFormat="false" ht="18.75" hidden="false" customHeight="true" outlineLevel="0" collapsed="false">
      <c r="A120" s="680"/>
      <c r="B120" s="606"/>
      <c r="C120" s="608"/>
      <c r="D120" s="622"/>
      <c r="E120" s="624"/>
      <c r="F120" s="253"/>
      <c r="G120" s="681"/>
      <c r="H120" s="634"/>
      <c r="I120" s="635"/>
      <c r="J120" s="383"/>
      <c r="K120" s="636"/>
      <c r="L120" s="637"/>
      <c r="M120" s="638"/>
      <c r="N120" s="637"/>
      <c r="O120" s="637"/>
      <c r="P120" s="638"/>
    </row>
    <row r="121" customFormat="false" ht="18.75" hidden="false" customHeight="true" outlineLevel="0" collapsed="false">
      <c r="A121" s="682" t="str">
        <f aca="false">'☆掛負収入'!A121</f>
        <v>高速交通（株）</v>
      </c>
      <c r="B121" s="464" t="n">
        <f aca="false">'☆掛負収入'!B121</f>
        <v>145485</v>
      </c>
      <c r="C121" s="466" t="n">
        <f aca="false">'☆掛負収入'!C121</f>
        <v>11925</v>
      </c>
      <c r="D121" s="451" t="n">
        <f aca="false">'☆掛負収入'!D121</f>
        <v>145485</v>
      </c>
      <c r="E121" s="462" t="n">
        <f aca="false">'☆掛負収入'!E121</f>
        <v>11925</v>
      </c>
      <c r="F121" s="454" t="n">
        <f aca="false">'☆掛負収入'!F121</f>
        <v>138</v>
      </c>
      <c r="G121" s="392" t="n">
        <f aca="false">SUM(B121:F121)</f>
        <v>314958</v>
      </c>
      <c r="H121" s="683"/>
      <c r="I121" s="683"/>
      <c r="J121" s="683"/>
      <c r="K121" s="683"/>
      <c r="L121" s="683"/>
      <c r="M121" s="683"/>
      <c r="N121" s="684"/>
      <c r="O121" s="684"/>
      <c r="P121" s="684"/>
    </row>
    <row r="122" customFormat="false" ht="18.75" hidden="false" customHeight="true" outlineLevel="0" collapsed="false">
      <c r="A122" s="641" t="s">
        <v>201</v>
      </c>
      <c r="B122" s="642" t="n">
        <f aca="false">'☆掛負収入'!B122</f>
        <v>45750</v>
      </c>
      <c r="C122" s="468" t="n">
        <f aca="false">'☆掛負収入'!C122</f>
        <v>3750</v>
      </c>
      <c r="D122" s="642" t="n">
        <f aca="false">'☆掛負収入'!D122</f>
        <v>45750</v>
      </c>
      <c r="E122" s="467" t="n">
        <f aca="false">'☆掛負収入'!E122</f>
        <v>3750</v>
      </c>
      <c r="F122" s="468" t="n">
        <f aca="false">'☆掛負収入'!F122</f>
        <v>43</v>
      </c>
      <c r="G122" s="392" t="n">
        <f aca="false">SUM(B122:F122)</f>
        <v>99043</v>
      </c>
      <c r="H122" s="683"/>
      <c r="I122" s="683"/>
      <c r="J122" s="683"/>
      <c r="K122" s="683"/>
      <c r="L122" s="683"/>
      <c r="M122" s="683"/>
      <c r="N122" s="684"/>
      <c r="O122" s="684"/>
      <c r="P122" s="684"/>
    </row>
    <row r="123" customFormat="false" ht="18.75" hidden="false" customHeight="true" outlineLevel="0" collapsed="false">
      <c r="A123" s="685" t="str">
        <f aca="false">'☆掛負収入'!A123</f>
        <v>小　計</v>
      </c>
      <c r="B123" s="254" t="n">
        <f aca="false">SUM(B119:B122)</f>
        <v>191235</v>
      </c>
      <c r="C123" s="255" t="n">
        <f aca="false">SUM(C119:C122)</f>
        <v>15675</v>
      </c>
      <c r="D123" s="645" t="n">
        <f aca="false">SUM(D119:D122)</f>
        <v>191235</v>
      </c>
      <c r="E123" s="646" t="n">
        <f aca="false">SUM(E119:E122)</f>
        <v>15675</v>
      </c>
      <c r="F123" s="647" t="n">
        <f aca="false">SUM(F119:F122)</f>
        <v>181</v>
      </c>
      <c r="G123" s="175" t="n">
        <f aca="false">SUM(B123:F123)</f>
        <v>414001</v>
      </c>
      <c r="H123" s="683"/>
      <c r="I123" s="683"/>
      <c r="J123" s="683"/>
      <c r="K123" s="683"/>
      <c r="L123" s="683"/>
      <c r="M123" s="683"/>
      <c r="N123" s="684"/>
      <c r="O123" s="684"/>
      <c r="P123" s="684"/>
    </row>
    <row r="124" customFormat="false" ht="18.75" hidden="false" customHeight="true" outlineLevel="0" collapsed="false">
      <c r="A124" s="100" t="str">
        <f aca="false">'☆掛負収入'!A124</f>
        <v>市職員労働組合</v>
      </c>
      <c r="B124" s="449" t="n">
        <f aca="false">'☆掛負収入'!B124</f>
        <v>29280</v>
      </c>
      <c r="C124" s="223" t="n">
        <f aca="false">'☆掛負収入'!C124</f>
        <v>2400</v>
      </c>
      <c r="D124" s="445" t="n">
        <f aca="false">'☆掛負収入'!D124</f>
        <v>29280</v>
      </c>
      <c r="E124" s="463" t="n">
        <f aca="false">'☆掛負収入'!E124</f>
        <v>2400</v>
      </c>
      <c r="F124" s="196"/>
      <c r="G124" s="181" t="n">
        <f aca="false">SUM(B124:F124)</f>
        <v>63360</v>
      </c>
      <c r="H124" s="594" t="n">
        <f aca="false">'☆掛負収入'!H124</f>
        <v>16595</v>
      </c>
      <c r="I124" s="424" t="n">
        <f aca="false">'☆掛負収入'!I124</f>
        <v>16611</v>
      </c>
      <c r="J124" s="135" t="n">
        <f aca="false">SUM(H124:I124)</f>
        <v>33206</v>
      </c>
      <c r="K124" s="451" t="n">
        <f aca="false">'☆掛負収入'!K124</f>
        <v>2528</v>
      </c>
      <c r="L124" s="462" t="n">
        <f aca="false">'☆掛負収入'!L124</f>
        <v>2528</v>
      </c>
      <c r="M124" s="446" t="n">
        <f aca="false">SUM(K124:L124)</f>
        <v>5056</v>
      </c>
      <c r="N124" s="452" t="n">
        <f aca="false">'☆掛負収入'!N124</f>
        <v>368</v>
      </c>
      <c r="O124" s="462" t="n">
        <f aca="false">'☆掛負収入'!O124</f>
        <v>368</v>
      </c>
      <c r="P124" s="446" t="n">
        <f aca="false">SUM(N124:O124)</f>
        <v>736</v>
      </c>
    </row>
    <row r="125" customFormat="false" ht="18.75" hidden="false" customHeight="true" outlineLevel="0" collapsed="false">
      <c r="A125" s="100" t="str">
        <f aca="false">'☆掛負収入'!A125</f>
        <v>自治労労働組合</v>
      </c>
      <c r="B125" s="449" t="n">
        <f aca="false">'☆掛負収入'!B125</f>
        <v>0</v>
      </c>
      <c r="C125" s="377" t="n">
        <f aca="false">'☆掛負収入'!C125</f>
        <v>0</v>
      </c>
      <c r="D125" s="449" t="n">
        <f aca="false">'☆掛負収入'!D125</f>
        <v>0</v>
      </c>
      <c r="E125" s="463" t="n">
        <f aca="false">'☆掛負収入'!E125</f>
        <v>0</v>
      </c>
      <c r="F125" s="196"/>
      <c r="G125" s="181" t="n">
        <f aca="false">SUM(B125:F125)</f>
        <v>0</v>
      </c>
      <c r="H125" s="594" t="n">
        <f aca="false">'☆掛負収入'!H125</f>
        <v>0</v>
      </c>
      <c r="I125" s="424" t="n">
        <f aca="false">'☆掛負収入'!I125</f>
        <v>0</v>
      </c>
      <c r="J125" s="135" t="n">
        <f aca="false">SUM(H125:I125)</f>
        <v>0</v>
      </c>
      <c r="K125" s="594" t="n">
        <f aca="false">'☆掛負収入'!K125</f>
        <v>0</v>
      </c>
      <c r="L125" s="424" t="n">
        <f aca="false">'☆掛負収入'!L125</f>
        <v>0</v>
      </c>
      <c r="M125" s="135" t="n">
        <f aca="false">SUM(K125:L125)</f>
        <v>0</v>
      </c>
      <c r="N125" s="439" t="n">
        <f aca="false">'☆掛負収入'!N125</f>
        <v>0</v>
      </c>
      <c r="O125" s="424" t="n">
        <f aca="false">'☆掛負収入'!O125</f>
        <v>0</v>
      </c>
      <c r="P125" s="135" t="n">
        <f aca="false">SUM(N125:O125)</f>
        <v>0</v>
      </c>
    </row>
    <row r="126" customFormat="false" ht="18.75" hidden="false" customHeight="true" outlineLevel="0" collapsed="false">
      <c r="A126" s="100" t="str">
        <f aca="false">'☆掛負収入'!A126</f>
        <v>病院労働組合</v>
      </c>
      <c r="B126" s="406"/>
      <c r="C126" s="181"/>
      <c r="D126" s="406"/>
      <c r="E126" s="619"/>
      <c r="F126" s="196"/>
      <c r="G126" s="181" t="n">
        <f aca="false">SUM(B126:F126)</f>
        <v>0</v>
      </c>
      <c r="H126" s="594"/>
      <c r="I126" s="424"/>
      <c r="J126" s="135" t="n">
        <f aca="false">SUM(H126:I126)</f>
        <v>0</v>
      </c>
      <c r="K126" s="594"/>
      <c r="L126" s="424"/>
      <c r="M126" s="135" t="n">
        <f aca="false">SUM(K126:L126)</f>
        <v>0</v>
      </c>
      <c r="N126" s="439"/>
      <c r="O126" s="424"/>
      <c r="P126" s="135" t="n">
        <f aca="false">SUM(N126:O126)</f>
        <v>0</v>
      </c>
    </row>
    <row r="127" customFormat="false" ht="18.75" hidden="false" customHeight="true" outlineLevel="0" collapsed="false">
      <c r="A127" s="277" t="str">
        <f aca="false">'☆掛負収入'!A127</f>
        <v>水道労働組合</v>
      </c>
      <c r="B127" s="648"/>
      <c r="C127" s="419"/>
      <c r="D127" s="648"/>
      <c r="E127" s="598"/>
      <c r="F127" s="271"/>
      <c r="G127" s="181" t="n">
        <f aca="false">SUM(B127:F127)</f>
        <v>0</v>
      </c>
      <c r="H127" s="649"/>
      <c r="I127" s="650"/>
      <c r="J127" s="135" t="n">
        <f aca="false">SUM(H127:I127)</f>
        <v>0</v>
      </c>
      <c r="K127" s="651"/>
      <c r="L127" s="652"/>
      <c r="M127" s="135" t="n">
        <f aca="false">SUM(K127:L127)</f>
        <v>0</v>
      </c>
      <c r="N127" s="686"/>
      <c r="O127" s="652"/>
      <c r="P127" s="135" t="n">
        <f aca="false">SUM(N127:O127)</f>
        <v>0</v>
      </c>
    </row>
    <row r="128" customFormat="false" ht="18.75" hidden="false" customHeight="true" outlineLevel="0" collapsed="false">
      <c r="A128" s="171" t="str">
        <f aca="false">'☆掛負収入'!A128</f>
        <v>小　計</v>
      </c>
      <c r="B128" s="404" t="n">
        <f aca="false">SUM(B124:B127)</f>
        <v>29280</v>
      </c>
      <c r="C128" s="175" t="n">
        <f aca="false">SUM(C124:C127)</f>
        <v>2400</v>
      </c>
      <c r="D128" s="404" t="n">
        <f aca="false">SUM(D124:D127)</f>
        <v>29280</v>
      </c>
      <c r="E128" s="174" t="n">
        <f aca="false">SUM(E124:E127)</f>
        <v>2400</v>
      </c>
      <c r="F128" s="173" t="n">
        <f aca="false">SUM(F124:F127)</f>
        <v>0</v>
      </c>
      <c r="G128" s="172" t="n">
        <f aca="false">SUM(B128:F128)</f>
        <v>63360</v>
      </c>
      <c r="H128" s="404" t="n">
        <f aca="false">SUM(H124:H127)</f>
        <v>16595</v>
      </c>
      <c r="I128" s="174" t="n">
        <f aca="false">SUM(I124:I127)</f>
        <v>16611</v>
      </c>
      <c r="J128" s="175" t="n">
        <f aca="false">SUM(H128:I128)</f>
        <v>33206</v>
      </c>
      <c r="K128" s="172" t="n">
        <f aca="false">SUM(K124:K127)</f>
        <v>2528</v>
      </c>
      <c r="L128" s="173" t="n">
        <f aca="false">SUM(L124:L127)</f>
        <v>2528</v>
      </c>
      <c r="M128" s="175" t="n">
        <f aca="false">SUM(K128:L128)</f>
        <v>5056</v>
      </c>
      <c r="N128" s="173" t="n">
        <f aca="false">SUM(N124:N127)</f>
        <v>368</v>
      </c>
      <c r="O128" s="173" t="n">
        <f aca="false">SUM(O124:O127)</f>
        <v>368</v>
      </c>
      <c r="P128" s="175" t="n">
        <f aca="false">SUM(N128:O128)</f>
        <v>736</v>
      </c>
    </row>
    <row r="129" customFormat="false" ht="18.75" hidden="false" customHeight="true" outlineLevel="0" collapsed="false">
      <c r="A129" s="277" t="str">
        <f aca="false">'☆掛負収入'!A129</f>
        <v>任意継続組合員</v>
      </c>
      <c r="B129" s="256"/>
      <c r="C129" s="498"/>
      <c r="D129" s="499"/>
      <c r="E129" s="500"/>
      <c r="F129" s="271"/>
      <c r="G129" s="268"/>
      <c r="H129" s="653"/>
      <c r="I129" s="257"/>
      <c r="J129" s="258"/>
      <c r="K129" s="499"/>
      <c r="L129" s="654"/>
      <c r="M129" s="267"/>
      <c r="N129" s="672"/>
      <c r="O129" s="654"/>
      <c r="P129" s="267"/>
    </row>
    <row r="130" customFormat="false" ht="30" hidden="false" customHeight="true" outlineLevel="0" collapsed="false">
      <c r="A130" s="655" t="str">
        <f aca="false">'☆掛負収入'!A130</f>
        <v>総　　計</v>
      </c>
      <c r="B130" s="404" t="n">
        <f aca="false">SUM(B87+B118+B123+B128)</f>
        <v>2827350</v>
      </c>
      <c r="C130" s="175" t="n">
        <f aca="false">SUM(C87+C118+C123+C128)</f>
        <v>231750</v>
      </c>
      <c r="D130" s="656" t="n">
        <f aca="false">SUM(D87+D118+D123+D128)</f>
        <v>8976150</v>
      </c>
      <c r="E130" s="174" t="n">
        <f aca="false">SUM(E87+E118+E123+E128)</f>
        <v>735750</v>
      </c>
      <c r="F130" s="176" t="n">
        <f aca="false">SUM(F87+F118+F123+F128)</f>
        <v>8777</v>
      </c>
      <c r="G130" s="172" t="n">
        <f aca="false">SUM(B130:F130)</f>
        <v>12779777</v>
      </c>
      <c r="H130" s="657" t="n">
        <f aca="false">SUM(H87+H118+H123+H128+H129)</f>
        <v>1534514</v>
      </c>
      <c r="I130" s="658" t="n">
        <f aca="false">SUM(I87+I118+I123+I128+I129)</f>
        <v>5198355</v>
      </c>
      <c r="J130" s="659" t="n">
        <f aca="false">SUM(H130:I130)</f>
        <v>6732869</v>
      </c>
      <c r="K130" s="660" t="n">
        <f aca="false">K87+K118+K123+K128+K129</f>
        <v>166374</v>
      </c>
      <c r="L130" s="661" t="n">
        <f aca="false">L87+L118+L123+L128</f>
        <v>584126</v>
      </c>
      <c r="M130" s="659" t="n">
        <f aca="false">SUM(K130:L130)</f>
        <v>750500</v>
      </c>
      <c r="N130" s="661" t="n">
        <f aca="false">N87+N118+N123+N128+N129</f>
        <v>34015</v>
      </c>
      <c r="O130" s="661" t="n">
        <f aca="false">O87+O118+O123+O128</f>
        <v>115149</v>
      </c>
      <c r="P130" s="659" t="n">
        <f aca="false">SUM(N130:O130)</f>
        <v>149164</v>
      </c>
    </row>
    <row r="131" customFormat="false" ht="18.75" hidden="false" customHeight="true" outlineLevel="0" collapsed="false">
      <c r="A131" s="315"/>
      <c r="B131" s="316"/>
      <c r="C131" s="316"/>
      <c r="D131" s="316"/>
      <c r="E131" s="316"/>
      <c r="F131" s="316"/>
      <c r="G131" s="316"/>
      <c r="H131" s="316"/>
      <c r="I131" s="316"/>
      <c r="J131" s="316"/>
      <c r="K131" s="316"/>
      <c r="L131" s="316"/>
      <c r="M131" s="316"/>
      <c r="N131" s="316"/>
      <c r="O131" s="316"/>
      <c r="P131" s="316"/>
    </row>
    <row r="132" customFormat="false" ht="30" hidden="false" customHeight="true" outlineLevel="0" collapsed="false">
      <c r="A132" s="295"/>
      <c r="B132" s="391" t="n">
        <f aca="false">'☆掛負収入'!B132</f>
        <v>46203</v>
      </c>
      <c r="C132" s="391" t="n">
        <f aca="false">'☆掛負収入'!C132</f>
        <v>0</v>
      </c>
      <c r="D132" s="391" t="n">
        <f aca="false">'☆掛負収入'!D132</f>
        <v>0</v>
      </c>
      <c r="E132" s="391" t="n">
        <f aca="false">'☆掛負収入'!E132</f>
        <v>0</v>
      </c>
      <c r="F132" s="391" t="n">
        <f aca="false">'☆掛負収入'!F132</f>
        <v>0</v>
      </c>
      <c r="G132" s="391" t="n">
        <f aca="false">'☆掛負収入'!G132</f>
        <v>0</v>
      </c>
      <c r="H132" s="662" t="n">
        <f aca="false">'☆掛負収入'!H132</f>
        <v>46203</v>
      </c>
      <c r="I132" s="662" t="n">
        <f aca="false">'☆掛負収入'!I132</f>
        <v>0</v>
      </c>
      <c r="J132" s="662" t="n">
        <f aca="false">'☆掛負収入'!J132</f>
        <v>0</v>
      </c>
      <c r="K132" s="662" t="n">
        <f aca="false">'☆掛負収入'!K132</f>
        <v>46203</v>
      </c>
      <c r="L132" s="662" t="n">
        <f aca="false">'☆掛負収入'!L132</f>
        <v>0</v>
      </c>
      <c r="M132" s="662" t="n">
        <f aca="false">'☆掛負収入'!M132</f>
        <v>0</v>
      </c>
      <c r="N132" s="662" t="n">
        <f aca="false">'☆掛負収入'!N132</f>
        <v>46203</v>
      </c>
      <c r="O132" s="662" t="n">
        <f aca="false">'☆掛負収入'!O132</f>
        <v>0</v>
      </c>
      <c r="P132" s="662" t="n">
        <f aca="false">'☆掛負収入'!P132</f>
        <v>0</v>
      </c>
    </row>
    <row r="133" customFormat="false" ht="22.5" hidden="false" customHeight="true" outlineLevel="0" collapsed="false">
      <c r="A133" s="89" t="str">
        <f aca="false">'☆掛負収入'!A133</f>
        <v>区　　分</v>
      </c>
      <c r="B133" s="89" t="str">
        <f aca="false">'☆掛負収入'!B133</f>
        <v>長　期　経　理</v>
      </c>
      <c r="C133" s="89" t="n">
        <f aca="false">'☆掛負収入'!C133</f>
        <v>0</v>
      </c>
      <c r="D133" s="89" t="n">
        <f aca="false">'☆掛負収入'!D133</f>
        <v>0</v>
      </c>
      <c r="E133" s="89" t="n">
        <f aca="false">'☆掛負収入'!E133</f>
        <v>0</v>
      </c>
      <c r="F133" s="89" t="n">
        <f aca="false">'☆掛負収入'!F133</f>
        <v>0</v>
      </c>
      <c r="G133" s="89" t="n">
        <f aca="false">'☆掛負収入'!G133</f>
        <v>0</v>
      </c>
      <c r="H133" s="91" t="str">
        <f aca="false">'☆掛負収入'!H133</f>
        <v>短　期　経　理</v>
      </c>
      <c r="I133" s="91" t="n">
        <f aca="false">'☆掛負収入'!I133</f>
        <v>0</v>
      </c>
      <c r="J133" s="91" t="n">
        <f aca="false">'☆掛負収入'!J133</f>
        <v>0</v>
      </c>
      <c r="K133" s="91" t="str">
        <f aca="false">'☆掛負収入'!K133</f>
        <v>介　護　納　付　金</v>
      </c>
      <c r="L133" s="91" t="n">
        <f aca="false">'☆掛負収入'!L133</f>
        <v>0</v>
      </c>
      <c r="M133" s="91" t="n">
        <f aca="false">'☆掛負収入'!M133</f>
        <v>0</v>
      </c>
      <c r="N133" s="90" t="str">
        <f aca="false">'☆掛負収入'!N133</f>
        <v>子ども・子育て支援納付金</v>
      </c>
      <c r="O133" s="90" t="n">
        <f aca="false">'☆掛負収入'!O133</f>
        <v>0</v>
      </c>
      <c r="P133" s="90" t="n">
        <f aca="false">'☆掛負収入'!P133</f>
        <v>0</v>
      </c>
    </row>
    <row r="134" customFormat="false" ht="22.5" hidden="false" customHeight="true" outlineLevel="0" collapsed="false">
      <c r="A134" s="89" t="n">
        <f aca="false">'☆掛負収入'!A134</f>
        <v>0</v>
      </c>
      <c r="B134" s="92" t="str">
        <f aca="false">'☆掛負収入'!B134</f>
        <v>組合員負担分</v>
      </c>
      <c r="C134" s="92" t="n">
        <f aca="false">'☆掛負収入'!C134</f>
        <v>0</v>
      </c>
      <c r="D134" s="92" t="str">
        <f aca="false">'☆掛負収入'!D134</f>
        <v>事業主負担分</v>
      </c>
      <c r="E134" s="92" t="n">
        <f aca="false">'☆掛負収入'!E134</f>
        <v>0</v>
      </c>
      <c r="F134" s="92" t="n">
        <f aca="false">'☆掛負収入'!F134</f>
        <v>0</v>
      </c>
      <c r="G134" s="586" t="str">
        <f aca="false">'☆掛負収入'!G134</f>
        <v>計</v>
      </c>
      <c r="H134" s="96" t="str">
        <f aca="false">'☆掛負収入'!H134</f>
        <v>掛　金</v>
      </c>
      <c r="I134" s="94" t="str">
        <f aca="false">'☆掛負収入'!I134</f>
        <v>負担金</v>
      </c>
      <c r="J134" s="95" t="str">
        <f aca="false">'☆掛負収入'!J134</f>
        <v>計</v>
      </c>
      <c r="K134" s="96" t="str">
        <f aca="false">'☆掛負収入'!K134</f>
        <v>掛　金</v>
      </c>
      <c r="L134" s="94" t="str">
        <f aca="false">'☆掛負収入'!L134</f>
        <v>負担金</v>
      </c>
      <c r="M134" s="95" t="str">
        <f aca="false">'☆掛負収入'!M134</f>
        <v>計</v>
      </c>
      <c r="N134" s="93" t="str">
        <f aca="false">'☆掛負収入'!N134</f>
        <v>掛　金</v>
      </c>
      <c r="O134" s="94" t="str">
        <f aca="false">'☆掛負収入'!O134</f>
        <v>負担金</v>
      </c>
      <c r="P134" s="95" t="str">
        <f aca="false">'☆掛負収入'!P134</f>
        <v>計</v>
      </c>
    </row>
    <row r="135" customFormat="false" ht="22.5" hidden="false" customHeight="true" outlineLevel="0" collapsed="false">
      <c r="A135" s="89" t="n">
        <f aca="false">'☆掛負収入'!A135</f>
        <v>0</v>
      </c>
      <c r="B135" s="587" t="str">
        <f aca="false">'☆掛負収入'!B135</f>
        <v>厚生年金保険料</v>
      </c>
      <c r="C135" s="588" t="str">
        <f aca="false">'☆掛負収入'!C135</f>
        <v>退職等年金掛金</v>
      </c>
      <c r="D135" s="589" t="str">
        <f aca="false">'☆掛負収入'!D135</f>
        <v>厚生年金保険料</v>
      </c>
      <c r="E135" s="589" t="str">
        <f aca="false">'☆掛負収入'!E135</f>
        <v>退職等年金負担金</v>
      </c>
      <c r="F135" s="590" t="str">
        <f aca="false">'☆掛負収入'!F135</f>
        <v>経過的長期</v>
      </c>
      <c r="G135" s="586" t="n">
        <f aca="false">'☆掛負収入'!G135</f>
        <v>0</v>
      </c>
      <c r="H135" s="96" t="n">
        <f aca="false">'☆掛負収入'!H135</f>
        <v>0</v>
      </c>
      <c r="I135" s="94" t="n">
        <f aca="false">'☆掛負収入'!I135</f>
        <v>0</v>
      </c>
      <c r="J135" s="95" t="n">
        <f aca="false">'☆掛負収入'!J135</f>
        <v>0</v>
      </c>
      <c r="K135" s="96" t="n">
        <f aca="false">'☆掛負収入'!K135</f>
        <v>0</v>
      </c>
      <c r="L135" s="94" t="n">
        <f aca="false">'☆掛負収入'!L135</f>
        <v>0</v>
      </c>
      <c r="M135" s="95" t="n">
        <f aca="false">'☆掛負収入'!M135</f>
        <v>0</v>
      </c>
      <c r="N135" s="93" t="n">
        <f aca="false">'☆掛負収入'!N135</f>
        <v>0</v>
      </c>
      <c r="O135" s="94" t="n">
        <f aca="false">'☆掛負収入'!O135</f>
        <v>0</v>
      </c>
      <c r="P135" s="95" t="n">
        <f aca="false">'☆掛負収入'!P135</f>
        <v>0</v>
      </c>
    </row>
    <row r="136" customFormat="false" ht="18.75" hidden="false" customHeight="true" outlineLevel="0" collapsed="false">
      <c r="A136" s="100" t="str">
        <f aca="false">'☆掛負収入'!A136</f>
        <v>市長部局</v>
      </c>
      <c r="B136" s="591"/>
      <c r="C136" s="364"/>
      <c r="D136" s="592"/>
      <c r="E136" s="592"/>
      <c r="F136" s="184"/>
      <c r="G136" s="364"/>
      <c r="H136" s="591"/>
      <c r="I136" s="593"/>
      <c r="J136" s="181"/>
      <c r="K136" s="594"/>
      <c r="L136" s="593"/>
      <c r="M136" s="181"/>
      <c r="N136" s="439"/>
      <c r="O136" s="593"/>
      <c r="P136" s="181"/>
    </row>
    <row r="137" customFormat="false" ht="18.75" hidden="false" customHeight="true" outlineLevel="0" collapsed="false">
      <c r="A137" s="100" t="str">
        <f aca="false">'☆掛負収入'!A137</f>
        <v>下水道局</v>
      </c>
      <c r="B137" s="406"/>
      <c r="C137" s="181"/>
      <c r="D137" s="592"/>
      <c r="E137" s="592"/>
      <c r="F137" s="135"/>
      <c r="G137" s="181"/>
      <c r="H137" s="594"/>
      <c r="I137" s="424"/>
      <c r="J137" s="135"/>
      <c r="K137" s="595"/>
      <c r="L137" s="596"/>
      <c r="M137" s="135"/>
      <c r="N137" s="596"/>
      <c r="O137" s="596"/>
      <c r="P137" s="135"/>
    </row>
    <row r="138" customFormat="false" ht="18.75" hidden="false" customHeight="true" outlineLevel="0" collapsed="false">
      <c r="A138" s="100" t="str">
        <f aca="false">'☆掛負収入'!A138</f>
        <v>消防局</v>
      </c>
      <c r="B138" s="406"/>
      <c r="C138" s="181"/>
      <c r="D138" s="592"/>
      <c r="E138" s="592"/>
      <c r="F138" s="135"/>
      <c r="G138" s="181"/>
      <c r="H138" s="595"/>
      <c r="I138" s="439"/>
      <c r="J138" s="135"/>
      <c r="K138" s="595"/>
      <c r="L138" s="439"/>
      <c r="M138" s="135"/>
      <c r="N138" s="596"/>
      <c r="O138" s="439"/>
      <c r="P138" s="135"/>
    </row>
    <row r="139" customFormat="false" ht="18.75" hidden="false" customHeight="true" outlineLevel="0" collapsed="false">
      <c r="A139" s="100" t="str">
        <f aca="false">'☆掛負収入'!A139</f>
        <v>議会事務局</v>
      </c>
      <c r="B139" s="406"/>
      <c r="C139" s="181"/>
      <c r="D139" s="592"/>
      <c r="E139" s="592"/>
      <c r="F139" s="135"/>
      <c r="G139" s="181"/>
      <c r="H139" s="406"/>
      <c r="I139" s="439"/>
      <c r="J139" s="135"/>
      <c r="K139" s="406"/>
      <c r="L139" s="439"/>
      <c r="M139" s="135"/>
      <c r="N139" s="592"/>
      <c r="O139" s="439"/>
      <c r="P139" s="135"/>
    </row>
    <row r="140" customFormat="false" ht="18.75" hidden="false" customHeight="true" outlineLevel="0" collapsed="false">
      <c r="A140" s="100" t="str">
        <f aca="false">'☆掛負収入'!A140</f>
        <v>教育委員会（総務課）</v>
      </c>
      <c r="B140" s="406"/>
      <c r="C140" s="181"/>
      <c r="D140" s="592"/>
      <c r="E140" s="592"/>
      <c r="F140" s="135"/>
      <c r="G140" s="181"/>
      <c r="H140" s="406"/>
      <c r="I140" s="439"/>
      <c r="J140" s="135"/>
      <c r="K140" s="406"/>
      <c r="L140" s="439"/>
      <c r="M140" s="135"/>
      <c r="N140" s="592"/>
      <c r="O140" s="439"/>
      <c r="P140" s="135"/>
    </row>
    <row r="141" customFormat="false" ht="18.75" hidden="false" customHeight="true" outlineLevel="0" collapsed="false">
      <c r="A141" s="100" t="str">
        <f aca="false">'☆掛負収入'!A141</f>
        <v>選挙管理委員会</v>
      </c>
      <c r="B141" s="406"/>
      <c r="C141" s="181"/>
      <c r="D141" s="592"/>
      <c r="E141" s="592"/>
      <c r="F141" s="135"/>
      <c r="G141" s="181"/>
      <c r="H141" s="594"/>
      <c r="I141" s="424"/>
      <c r="J141" s="135"/>
      <c r="K141" s="406"/>
      <c r="L141" s="439"/>
      <c r="M141" s="135"/>
      <c r="N141" s="592"/>
      <c r="O141" s="439"/>
      <c r="P141" s="135"/>
    </row>
    <row r="142" customFormat="false" ht="18.75" hidden="false" customHeight="true" outlineLevel="0" collapsed="false">
      <c r="A142" s="100" t="str">
        <f aca="false">'☆掛負収入'!A142</f>
        <v>人事委員会</v>
      </c>
      <c r="B142" s="406"/>
      <c r="C142" s="181"/>
      <c r="D142" s="592"/>
      <c r="E142" s="592"/>
      <c r="F142" s="135"/>
      <c r="G142" s="181"/>
      <c r="H142" s="594"/>
      <c r="I142" s="424"/>
      <c r="J142" s="135"/>
      <c r="K142" s="594"/>
      <c r="L142" s="424"/>
      <c r="M142" s="135"/>
      <c r="N142" s="439"/>
      <c r="O142" s="424"/>
      <c r="P142" s="135"/>
    </row>
    <row r="143" customFormat="false" ht="18.75" hidden="false" customHeight="true" outlineLevel="0" collapsed="false">
      <c r="A143" s="100" t="str">
        <f aca="false">'☆掛負収入'!A143</f>
        <v>監査事務局</v>
      </c>
      <c r="B143" s="406"/>
      <c r="C143" s="181"/>
      <c r="D143" s="592"/>
      <c r="E143" s="592"/>
      <c r="F143" s="135"/>
      <c r="G143" s="181"/>
      <c r="H143" s="594"/>
      <c r="I143" s="424"/>
      <c r="J143" s="135"/>
      <c r="K143" s="594"/>
      <c r="L143" s="424"/>
      <c r="M143" s="135"/>
      <c r="N143" s="439"/>
      <c r="O143" s="424"/>
      <c r="P143" s="135"/>
    </row>
    <row r="144" customFormat="false" ht="18.75" hidden="false" customHeight="true" outlineLevel="0" collapsed="false">
      <c r="A144" s="100" t="str">
        <f aca="false">'☆掛負収入'!A144</f>
        <v>農業委員会</v>
      </c>
      <c r="B144" s="406"/>
      <c r="C144" s="181"/>
      <c r="D144" s="592"/>
      <c r="E144" s="592"/>
      <c r="F144" s="135"/>
      <c r="G144" s="181"/>
      <c r="H144" s="594"/>
      <c r="I144" s="424"/>
      <c r="J144" s="135"/>
      <c r="K144" s="594"/>
      <c r="L144" s="424"/>
      <c r="M144" s="135"/>
      <c r="N144" s="439"/>
      <c r="O144" s="424"/>
      <c r="P144" s="135"/>
    </row>
    <row r="145" customFormat="false" ht="18.75" hidden="false" customHeight="true" outlineLevel="0" collapsed="false">
      <c r="A145" s="100" t="str">
        <f aca="false">'☆掛負収入'!A145</f>
        <v>水道局</v>
      </c>
      <c r="B145" s="406"/>
      <c r="C145" s="181"/>
      <c r="D145" s="592"/>
      <c r="E145" s="592"/>
      <c r="F145" s="135"/>
      <c r="G145" s="181"/>
      <c r="H145" s="594"/>
      <c r="I145" s="424"/>
      <c r="J145" s="135"/>
      <c r="K145" s="594"/>
      <c r="L145" s="424"/>
      <c r="M145" s="135"/>
      <c r="N145" s="439"/>
      <c r="O145" s="424"/>
      <c r="P145" s="135"/>
    </row>
    <row r="146" customFormat="false" ht="18.75" hidden="false" customHeight="true" outlineLevel="0" collapsed="false">
      <c r="A146" s="121" t="str">
        <f aca="false">'☆掛負収入'!A146</f>
        <v>医療政策課(安芸市民)</v>
      </c>
      <c r="B146" s="595"/>
      <c r="C146" s="366"/>
      <c r="D146" s="595"/>
      <c r="E146" s="596"/>
      <c r="F146" s="393"/>
      <c r="G146" s="181"/>
      <c r="H146" s="597"/>
      <c r="I146" s="407"/>
      <c r="J146" s="135"/>
      <c r="K146" s="594"/>
      <c r="L146" s="424"/>
      <c r="M146" s="135"/>
      <c r="N146" s="439"/>
      <c r="O146" s="424"/>
      <c r="P146" s="135"/>
    </row>
    <row r="147" customFormat="false" ht="18.75" hidden="false" customHeight="true" outlineLevel="0" collapsed="false">
      <c r="A147" s="121" t="str">
        <f aca="false">'☆掛負収入'!A147</f>
        <v>教育委員会（教育給与課）</v>
      </c>
      <c r="B147" s="595"/>
      <c r="C147" s="181"/>
      <c r="D147" s="406"/>
      <c r="E147" s="598"/>
      <c r="F147" s="284"/>
      <c r="G147" s="181"/>
      <c r="H147" s="594"/>
      <c r="I147" s="424"/>
      <c r="J147" s="135"/>
      <c r="K147" s="594"/>
      <c r="L147" s="424"/>
      <c r="M147" s="135"/>
      <c r="N147" s="439"/>
      <c r="O147" s="424"/>
      <c r="P147" s="135"/>
    </row>
    <row r="148" customFormat="false" ht="18.75" hidden="true" customHeight="true" outlineLevel="0" collapsed="false">
      <c r="A148" s="599"/>
      <c r="B148" s="600"/>
      <c r="C148" s="210"/>
      <c r="D148" s="600"/>
      <c r="E148" s="601"/>
      <c r="F148" s="196"/>
      <c r="G148" s="687"/>
      <c r="H148" s="602"/>
      <c r="I148" s="603"/>
      <c r="J148" s="196"/>
      <c r="K148" s="602"/>
      <c r="L148" s="603"/>
      <c r="M148" s="312"/>
      <c r="N148" s="612"/>
      <c r="O148" s="603"/>
      <c r="P148" s="312"/>
    </row>
    <row r="149" customFormat="false" ht="18.75" hidden="true" customHeight="true" outlineLevel="0" collapsed="false">
      <c r="A149" s="604"/>
      <c r="B149" s="457"/>
      <c r="C149" s="132"/>
      <c r="D149" s="457"/>
      <c r="E149" s="458"/>
      <c r="F149" s="459"/>
      <c r="G149" s="435"/>
      <c r="H149" s="457"/>
      <c r="I149" s="458"/>
      <c r="J149" s="459"/>
      <c r="K149" s="457"/>
      <c r="L149" s="458"/>
      <c r="M149" s="131"/>
      <c r="N149" s="564"/>
      <c r="O149" s="458"/>
      <c r="P149" s="131"/>
    </row>
    <row r="150" customFormat="false" ht="18.75" hidden="true" customHeight="true" outlineLevel="0" collapsed="false">
      <c r="A150" s="604"/>
      <c r="B150" s="600"/>
      <c r="C150" s="210"/>
      <c r="D150" s="600"/>
      <c r="E150" s="601"/>
      <c r="F150" s="196"/>
      <c r="G150" s="687"/>
      <c r="H150" s="600"/>
      <c r="I150" s="601"/>
      <c r="J150" s="196"/>
      <c r="K150" s="600"/>
      <c r="L150" s="601"/>
      <c r="M150" s="312"/>
      <c r="N150" s="688"/>
      <c r="O150" s="601"/>
      <c r="P150" s="312"/>
    </row>
    <row r="151" customFormat="false" ht="18.75" hidden="true" customHeight="true" outlineLevel="0" collapsed="false">
      <c r="A151" s="605"/>
      <c r="B151" s="606"/>
      <c r="C151" s="607"/>
      <c r="D151" s="606"/>
      <c r="E151" s="490"/>
      <c r="F151" s="608"/>
      <c r="G151" s="689"/>
      <c r="H151" s="457"/>
      <c r="I151" s="609"/>
      <c r="J151" s="665"/>
      <c r="K151" s="457"/>
      <c r="L151" s="458"/>
      <c r="M151" s="131"/>
      <c r="N151" s="564"/>
      <c r="O151" s="458"/>
      <c r="P151" s="131"/>
    </row>
    <row r="152" customFormat="false" ht="18.75" hidden="false" customHeight="true" outlineLevel="0" collapsed="false">
      <c r="A152" s="171" t="str">
        <f aca="false">'☆掛負収入'!A152</f>
        <v>小　計</v>
      </c>
      <c r="B152" s="404"/>
      <c r="C152" s="174"/>
      <c r="D152" s="404"/>
      <c r="E152" s="174"/>
      <c r="F152" s="175"/>
      <c r="G152" s="176"/>
      <c r="H152" s="404"/>
      <c r="I152" s="174"/>
      <c r="J152" s="176"/>
      <c r="K152" s="404"/>
      <c r="L152" s="174"/>
      <c r="M152" s="176"/>
      <c r="N152" s="276"/>
      <c r="O152" s="174"/>
      <c r="P152" s="176"/>
    </row>
    <row r="153" customFormat="false" ht="18.75" hidden="false" customHeight="true" outlineLevel="0" collapsed="false">
      <c r="A153" s="610" t="str">
        <f aca="false">'☆掛負収入'!A153</f>
        <v>地方税共同機構</v>
      </c>
      <c r="B153" s="444" t="n">
        <f aca="false">'☆掛負収入'!B153</f>
        <v>0</v>
      </c>
      <c r="C153" s="235" t="n">
        <f aca="false">'☆掛負収入'!C153</f>
        <v>0</v>
      </c>
      <c r="D153" s="611" t="n">
        <f aca="false">'☆掛負収入'!D153</f>
        <v>0</v>
      </c>
      <c r="E153" s="447" t="n">
        <f aca="false">'☆掛負収入'!E153</f>
        <v>0</v>
      </c>
      <c r="F153" s="446" t="n">
        <f aca="false">'☆掛負収入'!F153</f>
        <v>0</v>
      </c>
      <c r="G153" s="181" t="n">
        <f aca="false">SUM(B153:F153)</f>
        <v>0</v>
      </c>
      <c r="H153" s="594" t="n">
        <f aca="false">'☆掛負収入'!H153</f>
        <v>0</v>
      </c>
      <c r="I153" s="424" t="n">
        <f aca="false">'☆掛負収入'!I153</f>
        <v>0</v>
      </c>
      <c r="J153" s="135" t="n">
        <f aca="false">SUM(H153:I153)</f>
        <v>0</v>
      </c>
      <c r="K153" s="594" t="n">
        <f aca="false">'☆掛負収入'!K153</f>
        <v>0</v>
      </c>
      <c r="L153" s="424" t="n">
        <f aca="false">'☆掛負収入'!L153</f>
        <v>0</v>
      </c>
      <c r="M153" s="135" t="n">
        <f aca="false">SUM(K153:L153)</f>
        <v>0</v>
      </c>
      <c r="N153" s="439" t="n">
        <f aca="false">'☆掛負収入'!N153</f>
        <v>0</v>
      </c>
      <c r="O153" s="424" t="n">
        <f aca="false">'☆掛負収入'!O153</f>
        <v>0</v>
      </c>
      <c r="P153" s="135" t="n">
        <f aca="false">SUM(N153:O153)</f>
        <v>0</v>
      </c>
    </row>
    <row r="154" customFormat="false" ht="18.75" hidden="false" customHeight="true" outlineLevel="0" collapsed="false">
      <c r="A154" s="341" t="str">
        <f aca="false">'☆掛負収入'!A154</f>
        <v>平和文化センター</v>
      </c>
      <c r="B154" s="449" t="n">
        <f aca="false">'☆掛負収入'!B154</f>
        <v>0</v>
      </c>
      <c r="C154" s="377" t="n">
        <f aca="false">'☆掛負収入'!C154</f>
        <v>0</v>
      </c>
      <c r="D154" s="464" t="n">
        <f aca="false">'☆掛負収入'!D154</f>
        <v>765855</v>
      </c>
      <c r="E154" s="452" t="n">
        <f aca="false">'☆掛負収入'!E154</f>
        <v>62775</v>
      </c>
      <c r="F154" s="223" t="n">
        <f aca="false">'☆掛負収入'!F154</f>
        <v>789</v>
      </c>
      <c r="G154" s="181" t="n">
        <f aca="false">SUM(B154:F154)</f>
        <v>829419</v>
      </c>
      <c r="H154" s="594" t="n">
        <f aca="false">'☆掛負収入'!H154</f>
        <v>0</v>
      </c>
      <c r="I154" s="424" t="n">
        <f aca="false">'☆掛負収入'!I154</f>
        <v>441236</v>
      </c>
      <c r="J154" s="135" t="n">
        <f aca="false">SUM(H154:I154)</f>
        <v>441236</v>
      </c>
      <c r="K154" s="594" t="n">
        <f aca="false">'☆掛負収入'!K154</f>
        <v>0</v>
      </c>
      <c r="L154" s="424" t="n">
        <f aca="false">'☆掛負収入'!L154</f>
        <v>54826</v>
      </c>
      <c r="M154" s="135" t="n">
        <f aca="false">SUM(K154:L154)</f>
        <v>54826</v>
      </c>
      <c r="N154" s="439" t="n">
        <f aca="false">'☆掛負収入'!N154</f>
        <v>0</v>
      </c>
      <c r="O154" s="424" t="n">
        <f aca="false">'☆掛負収入'!O154</f>
        <v>9775</v>
      </c>
      <c r="P154" s="135" t="n">
        <f aca="false">SUM(N154:O154)</f>
        <v>9775</v>
      </c>
    </row>
    <row r="155" customFormat="false" ht="18.75" hidden="false" customHeight="true" outlineLevel="0" collapsed="false">
      <c r="A155" s="341" t="str">
        <f aca="false">'☆掛負収入'!A155</f>
        <v>社会福祉事業団</v>
      </c>
      <c r="B155" s="600"/>
      <c r="C155" s="210"/>
      <c r="D155" s="451" t="n">
        <f aca="false">'☆掛負収入'!D155</f>
        <v>1990125</v>
      </c>
      <c r="E155" s="453" t="n">
        <f aca="false">'☆掛負収入'!E155</f>
        <v>163125</v>
      </c>
      <c r="F155" s="223" t="n">
        <f aca="false">'☆掛負収入'!F155</f>
        <v>1996</v>
      </c>
      <c r="G155" s="181" t="n">
        <f aca="false">SUM(B155:F155)</f>
        <v>2155246</v>
      </c>
      <c r="H155" s="602"/>
      <c r="I155" s="424" t="n">
        <f aca="false">'☆掛負収入'!I155</f>
        <v>1279122</v>
      </c>
      <c r="J155" s="135" t="n">
        <f aca="false">SUM(H155:I155)</f>
        <v>1279122</v>
      </c>
      <c r="K155" s="602"/>
      <c r="L155" s="424" t="n">
        <f aca="false">'☆掛負収入'!L155</f>
        <v>141726</v>
      </c>
      <c r="M155" s="135" t="n">
        <f aca="false">SUM(K155:L155)</f>
        <v>141726</v>
      </c>
      <c r="N155" s="612"/>
      <c r="O155" s="424" t="n">
        <f aca="false">'☆掛負収入'!O155</f>
        <v>28333</v>
      </c>
      <c r="P155" s="135" t="n">
        <f aca="false">SUM(N155:O155)</f>
        <v>28333</v>
      </c>
    </row>
    <row r="156" customFormat="false" ht="18.75" hidden="false" customHeight="true" outlineLevel="0" collapsed="false">
      <c r="A156" s="341" t="str">
        <f aca="false">'☆掛負収入'!A156</f>
        <v>原爆障害対策協議会</v>
      </c>
      <c r="B156" s="600"/>
      <c r="C156" s="210"/>
      <c r="D156" s="449" t="n">
        <f aca="false">'☆掛負収入'!D156</f>
        <v>59475</v>
      </c>
      <c r="E156" s="453" t="n">
        <f aca="false">'☆掛負収入'!E156</f>
        <v>4875</v>
      </c>
      <c r="F156" s="223" t="n">
        <f aca="false">'☆掛負収入'!F156</f>
        <v>56</v>
      </c>
      <c r="G156" s="181" t="n">
        <f aca="false">SUM(B156:F156)</f>
        <v>64406</v>
      </c>
      <c r="H156" s="602"/>
      <c r="I156" s="424" t="n">
        <f aca="false">'☆掛負収入'!I156</f>
        <v>36856</v>
      </c>
      <c r="J156" s="135" t="n">
        <f aca="false">SUM(H156:I156)</f>
        <v>36856</v>
      </c>
      <c r="K156" s="602"/>
      <c r="L156" s="424" t="n">
        <f aca="false">'☆掛負収入'!L156</f>
        <v>5609</v>
      </c>
      <c r="M156" s="135" t="n">
        <f aca="false">SUM(K156:L156)</f>
        <v>5609</v>
      </c>
      <c r="N156" s="612"/>
      <c r="O156" s="424" t="n">
        <f aca="false">'☆掛負収入'!O156</f>
        <v>816</v>
      </c>
      <c r="P156" s="135" t="n">
        <f aca="false">SUM(N156:O156)</f>
        <v>816</v>
      </c>
    </row>
    <row r="157" customFormat="false" ht="18.75" hidden="false" customHeight="true" outlineLevel="0" collapsed="false">
      <c r="A157" s="342" t="str">
        <f aca="false">'☆掛負収入'!A157</f>
        <v>産業振興センター</v>
      </c>
      <c r="B157" s="600"/>
      <c r="C157" s="210"/>
      <c r="D157" s="449" t="n">
        <f aca="false">'☆掛負収入'!D157</f>
        <v>368745</v>
      </c>
      <c r="E157" s="453" t="n">
        <f aca="false">'☆掛負収入'!E157</f>
        <v>30225</v>
      </c>
      <c r="F157" s="223" t="n">
        <f aca="false">'☆掛負収入'!F157</f>
        <v>395</v>
      </c>
      <c r="G157" s="181" t="n">
        <f aca="false">SUM(B157:F157)</f>
        <v>399365</v>
      </c>
      <c r="H157" s="602"/>
      <c r="I157" s="424" t="n">
        <f aca="false">'☆掛負収入'!I157</f>
        <v>209223</v>
      </c>
      <c r="J157" s="135" t="n">
        <f aca="false">SUM(H157:I157)</f>
        <v>209223</v>
      </c>
      <c r="K157" s="602"/>
      <c r="L157" s="424" t="n">
        <f aca="false">'☆掛負収入'!L157</f>
        <v>26781</v>
      </c>
      <c r="M157" s="135" t="n">
        <f aca="false">SUM(K157:L157)</f>
        <v>26781</v>
      </c>
      <c r="N157" s="612"/>
      <c r="O157" s="424" t="n">
        <f aca="false">'☆掛負収入'!O157</f>
        <v>4634</v>
      </c>
      <c r="P157" s="135" t="n">
        <f aca="false">SUM(N157:O157)</f>
        <v>4634</v>
      </c>
    </row>
    <row r="158" customFormat="false" ht="18.75" hidden="false" customHeight="true" outlineLevel="0" collapsed="false">
      <c r="A158" s="343" t="str">
        <f aca="false">'☆掛負収入'!A158</f>
        <v>ひろしま産業振興</v>
      </c>
      <c r="B158" s="600"/>
      <c r="C158" s="459"/>
      <c r="D158" s="449" t="n">
        <f aca="false">'☆掛負収入'!D158</f>
        <v>40260</v>
      </c>
      <c r="E158" s="453" t="n">
        <f aca="false">'☆掛負収入'!E158</f>
        <v>3300</v>
      </c>
      <c r="F158" s="454" t="n">
        <f aca="false">'☆掛負収入'!F158</f>
        <v>38</v>
      </c>
      <c r="G158" s="181" t="n">
        <f aca="false">SUM(B158:F158)</f>
        <v>43598</v>
      </c>
      <c r="H158" s="602"/>
      <c r="I158" s="407" t="n">
        <f aca="false">'☆掛負収入'!I158</f>
        <v>22840</v>
      </c>
      <c r="J158" s="135" t="n">
        <f aca="false">SUM(H158:I158)</f>
        <v>22840</v>
      </c>
      <c r="K158" s="602"/>
      <c r="L158" s="407" t="n">
        <f aca="false">'☆掛負収入'!L158</f>
        <v>3476</v>
      </c>
      <c r="M158" s="135" t="n">
        <f aca="false">SUM(K158:L158)</f>
        <v>3476</v>
      </c>
      <c r="N158" s="612"/>
      <c r="O158" s="407" t="n">
        <f aca="false">'☆掛負収入'!O158</f>
        <v>506</v>
      </c>
      <c r="P158" s="135" t="n">
        <f aca="false">SUM(N158:O158)</f>
        <v>506</v>
      </c>
    </row>
    <row r="159" customFormat="false" ht="18.75" hidden="false" customHeight="true" outlineLevel="0" collapsed="false">
      <c r="A159" s="343" t="str">
        <f aca="false">'☆掛負収入'!A159</f>
        <v>都市整備公社　市</v>
      </c>
      <c r="B159" s="600"/>
      <c r="C159" s="459"/>
      <c r="D159" s="451" t="n">
        <f aca="false">'☆掛負収入'!D159</f>
        <v>0</v>
      </c>
      <c r="E159" s="453" t="n">
        <f aca="false">'☆掛負収入'!E159</f>
        <v>0</v>
      </c>
      <c r="F159" s="223" t="n">
        <f aca="false">'☆掛負収入'!F159</f>
        <v>0</v>
      </c>
      <c r="G159" s="181" t="n">
        <f aca="false">SUM(B159:F159)</f>
        <v>0</v>
      </c>
      <c r="H159" s="602"/>
      <c r="I159" s="424" t="n">
        <f aca="false">'☆掛負収入'!I159</f>
        <v>0</v>
      </c>
      <c r="J159" s="135" t="n">
        <f aca="false">SUM(H159:I159)</f>
        <v>0</v>
      </c>
      <c r="K159" s="602"/>
      <c r="L159" s="424" t="n">
        <f aca="false">'☆掛負収入'!L159</f>
        <v>0</v>
      </c>
      <c r="M159" s="135" t="n">
        <f aca="false">SUM(K159:L159)</f>
        <v>0</v>
      </c>
      <c r="N159" s="612"/>
      <c r="O159" s="424" t="n">
        <f aca="false">'☆掛負収入'!O159</f>
        <v>0</v>
      </c>
      <c r="P159" s="135" t="n">
        <f aca="false">SUM(N159:O159)</f>
        <v>0</v>
      </c>
    </row>
    <row r="160" customFormat="false" ht="18.75" hidden="false" customHeight="true" outlineLevel="0" collapsed="false">
      <c r="A160" s="344"/>
      <c r="B160" s="600"/>
      <c r="C160" s="196"/>
      <c r="D160" s="449"/>
      <c r="E160" s="453"/>
      <c r="F160" s="223"/>
      <c r="G160" s="181"/>
      <c r="H160" s="602"/>
      <c r="I160" s="424"/>
      <c r="J160" s="135"/>
      <c r="K160" s="602"/>
      <c r="L160" s="424"/>
      <c r="M160" s="135" t="n">
        <f aca="false">SUM(K160:L160)</f>
        <v>0</v>
      </c>
      <c r="N160" s="612"/>
      <c r="O160" s="424"/>
      <c r="P160" s="135" t="n">
        <f aca="false">SUM(N160:O160)</f>
        <v>0</v>
      </c>
    </row>
    <row r="161" customFormat="false" ht="18.75" hidden="false" customHeight="true" outlineLevel="0" collapsed="false">
      <c r="A161" s="343" t="str">
        <f aca="false">'☆掛負収入'!A161</f>
        <v>日本下水道事業団</v>
      </c>
      <c r="B161" s="451" t="n">
        <f aca="false">'☆掛負収入'!B161</f>
        <v>237900</v>
      </c>
      <c r="C161" s="223" t="n">
        <f aca="false">'☆掛負収入'!C161</f>
        <v>19500</v>
      </c>
      <c r="D161" s="449" t="n">
        <f aca="false">'☆掛負収入'!D161</f>
        <v>237900</v>
      </c>
      <c r="E161" s="453" t="n">
        <f aca="false">'☆掛負収入'!E161</f>
        <v>19500</v>
      </c>
      <c r="F161" s="223" t="n">
        <f aca="false">'☆掛負収入'!F161</f>
        <v>225</v>
      </c>
      <c r="G161" s="181" t="n">
        <f aca="false">SUM(B161:F161)</f>
        <v>515025</v>
      </c>
      <c r="H161" s="594" t="n">
        <f aca="false">'☆掛負収入'!H161</f>
        <v>137945</v>
      </c>
      <c r="I161" s="424" t="n">
        <f aca="false">'☆掛負収入'!I161</f>
        <v>138080</v>
      </c>
      <c r="J161" s="135" t="n">
        <f aca="false">SUM(H161:I161)</f>
        <v>276025</v>
      </c>
      <c r="K161" s="594" t="n">
        <f aca="false">'☆掛負収入'!K161</f>
        <v>10744</v>
      </c>
      <c r="L161" s="424" t="n">
        <f aca="false">'☆掛負収入'!L161</f>
        <v>10744</v>
      </c>
      <c r="M161" s="135" t="n">
        <f aca="false">SUM(K161:L161)</f>
        <v>21488</v>
      </c>
      <c r="N161" s="439" t="n">
        <f aca="false">'☆掛負収入'!N161</f>
        <v>3058</v>
      </c>
      <c r="O161" s="424" t="n">
        <f aca="false">'☆掛負収入'!O161</f>
        <v>3059</v>
      </c>
      <c r="P161" s="135" t="n">
        <f aca="false">SUM(N161:O161)</f>
        <v>6117</v>
      </c>
    </row>
    <row r="162" customFormat="false" ht="18.75" hidden="false" customHeight="true" outlineLevel="0" collapsed="false">
      <c r="A162" s="341" t="str">
        <f aca="false">'☆掛負収入'!A162</f>
        <v>地方公務員災害補償基金本部</v>
      </c>
      <c r="B162" s="451" t="n">
        <f aca="false">'☆掛負収入'!B162</f>
        <v>40260</v>
      </c>
      <c r="C162" s="223" t="n">
        <f aca="false">'☆掛負収入'!C162</f>
        <v>3300</v>
      </c>
      <c r="D162" s="449" t="n">
        <f aca="false">'☆掛負収入'!D162</f>
        <v>40260</v>
      </c>
      <c r="E162" s="453" t="n">
        <f aca="false">'☆掛負収入'!E162</f>
        <v>3300</v>
      </c>
      <c r="F162" s="223" t="n">
        <f aca="false">'☆掛負収入'!F162</f>
        <v>38</v>
      </c>
      <c r="G162" s="181" t="n">
        <f aca="false">SUM(B162:F162)</f>
        <v>87158</v>
      </c>
      <c r="H162" s="594" t="n">
        <f aca="false">'☆掛負収入'!H162</f>
        <v>22818</v>
      </c>
      <c r="I162" s="424" t="n">
        <f aca="false">'☆掛負収入'!I162</f>
        <v>22840</v>
      </c>
      <c r="J162" s="135" t="n">
        <f aca="false">SUM(H162:I162)</f>
        <v>45658</v>
      </c>
      <c r="K162" s="594" t="n">
        <f aca="false">'☆掛負収入'!K162</f>
        <v>0</v>
      </c>
      <c r="L162" s="424" t="n">
        <f aca="false">'☆掛負収入'!L162</f>
        <v>0</v>
      </c>
      <c r="M162" s="135" t="n">
        <f aca="false">SUM(K162:L162)</f>
        <v>0</v>
      </c>
      <c r="N162" s="439" t="n">
        <f aca="false">'☆掛負収入'!N162</f>
        <v>506</v>
      </c>
      <c r="O162" s="424" t="n">
        <f aca="false">'☆掛負収入'!O162</f>
        <v>506</v>
      </c>
      <c r="P162" s="135" t="n">
        <f aca="false">SUM(N162:O162)</f>
        <v>1012</v>
      </c>
    </row>
    <row r="163" customFormat="false" ht="18.75" hidden="false" customHeight="true" outlineLevel="0" collapsed="false">
      <c r="A163" s="345"/>
      <c r="B163" s="449"/>
      <c r="C163" s="223"/>
      <c r="D163" s="449"/>
      <c r="E163" s="453"/>
      <c r="F163" s="223"/>
      <c r="G163" s="181"/>
      <c r="H163" s="594"/>
      <c r="I163" s="424"/>
      <c r="J163" s="135"/>
      <c r="K163" s="594"/>
      <c r="L163" s="424"/>
      <c r="M163" s="135" t="n">
        <f aca="false">SUM(K163:L163)</f>
        <v>0</v>
      </c>
      <c r="N163" s="439"/>
      <c r="O163" s="424"/>
      <c r="P163" s="135" t="n">
        <f aca="false">SUM(N163:O163)</f>
        <v>0</v>
      </c>
    </row>
    <row r="164" customFormat="false" ht="18.75" hidden="false" customHeight="true" outlineLevel="0" collapsed="false">
      <c r="A164" s="341" t="str">
        <f aca="false">'☆掛負収入'!A164</f>
        <v>高速道路公社</v>
      </c>
      <c r="B164" s="464" t="n">
        <f aca="false">'☆掛負収入'!B164</f>
        <v>746640</v>
      </c>
      <c r="C164" s="454" t="n">
        <f aca="false">'☆掛負収入'!C164</f>
        <v>61200</v>
      </c>
      <c r="D164" s="464" t="n">
        <f aca="false">'☆掛負収入'!D164</f>
        <v>718038</v>
      </c>
      <c r="E164" s="470" t="n">
        <f aca="false">'☆掛負収入'!E164</f>
        <v>58125</v>
      </c>
      <c r="F164" s="466" t="n">
        <f aca="false">'☆掛負収入'!F164</f>
        <v>684</v>
      </c>
      <c r="G164" s="181" t="n">
        <f aca="false">SUM(B164:F164)</f>
        <v>1584687</v>
      </c>
      <c r="H164" s="613" t="n">
        <f aca="false">'☆掛負収入'!H164</f>
        <v>423172</v>
      </c>
      <c r="I164" s="614" t="n">
        <f aca="false">'☆掛負収入'!I164</f>
        <v>393389</v>
      </c>
      <c r="J164" s="135" t="n">
        <f aca="false">SUM(H164:I164)</f>
        <v>816561</v>
      </c>
      <c r="K164" s="613" t="n">
        <f aca="false">'☆掛負収入'!K164</f>
        <v>39342</v>
      </c>
      <c r="L164" s="614" t="n">
        <f aca="false">'☆掛負収入'!L164</f>
        <v>39342</v>
      </c>
      <c r="M164" s="135" t="n">
        <f aca="false">SUM(K164:L164)</f>
        <v>78684</v>
      </c>
      <c r="N164" s="615" t="n">
        <f aca="false">'☆掛負収入'!N164</f>
        <v>9380</v>
      </c>
      <c r="O164" s="614" t="n">
        <f aca="false">'☆掛負収入'!O164</f>
        <v>8913</v>
      </c>
      <c r="P164" s="135" t="n">
        <f aca="false">SUM(N164:O164)</f>
        <v>18293</v>
      </c>
    </row>
    <row r="165" customFormat="false" ht="18.75" hidden="false" customHeight="true" outlineLevel="0" collapsed="false">
      <c r="A165" s="341" t="str">
        <f aca="false">'☆掛負収入'!A165</f>
        <v>農林水産振興センタ</v>
      </c>
      <c r="B165" s="457"/>
      <c r="C165" s="459"/>
      <c r="D165" s="451" t="n">
        <f aca="false">'☆掛負収入'!D165</f>
        <v>607560</v>
      </c>
      <c r="E165" s="473" t="n">
        <f aca="false">'☆掛負収入'!E165</f>
        <v>49800</v>
      </c>
      <c r="F165" s="454" t="n">
        <f aca="false">'☆掛負収入'!F165</f>
        <v>603</v>
      </c>
      <c r="G165" s="181" t="n">
        <f aca="false">SUM(B165:F165)</f>
        <v>657963</v>
      </c>
      <c r="H165" s="616"/>
      <c r="I165" s="407" t="n">
        <f aca="false">'☆掛負収入'!I165</f>
        <v>344697</v>
      </c>
      <c r="J165" s="135" t="n">
        <f aca="false">SUM(H165:I165)</f>
        <v>344697</v>
      </c>
      <c r="K165" s="616"/>
      <c r="L165" s="407" t="n">
        <f aca="false">'☆掛負収入'!L165</f>
        <v>28203</v>
      </c>
      <c r="M165" s="135" t="n">
        <f aca="false">SUM(K165:L165)</f>
        <v>28203</v>
      </c>
      <c r="N165" s="617"/>
      <c r="O165" s="407" t="n">
        <f aca="false">'☆掛負収入'!O165</f>
        <v>7634</v>
      </c>
      <c r="P165" s="135" t="n">
        <f aca="false">SUM(N165:O165)</f>
        <v>7634</v>
      </c>
    </row>
    <row r="166" customFormat="false" ht="18.75" hidden="false" customHeight="true" outlineLevel="0" collapsed="false">
      <c r="A166" s="346" t="str">
        <f aca="false">'☆掛負収入'!A166</f>
        <v>文化財団　市長部局</v>
      </c>
      <c r="B166" s="600"/>
      <c r="C166" s="196"/>
      <c r="D166" s="449" t="n">
        <f aca="false">'☆掛負収入'!D166</f>
        <v>1056825</v>
      </c>
      <c r="E166" s="453" t="n">
        <f aca="false">'☆掛負収入'!E166</f>
        <v>86625</v>
      </c>
      <c r="F166" s="454" t="n">
        <f aca="false">'☆掛負収入'!F166</f>
        <v>1000</v>
      </c>
      <c r="G166" s="181" t="n">
        <f aca="false">SUM(B166:F166)</f>
        <v>1144450</v>
      </c>
      <c r="H166" s="602"/>
      <c r="I166" s="407" t="n">
        <f aca="false">'☆掛負収入'!I166</f>
        <v>602672</v>
      </c>
      <c r="J166" s="135" t="n">
        <f aca="false">SUM(H166:I166)</f>
        <v>602672</v>
      </c>
      <c r="K166" s="602"/>
      <c r="L166" s="407" t="n">
        <f aca="false">'☆掛負収入'!L166</f>
        <v>86347</v>
      </c>
      <c r="M166" s="135" t="n">
        <f aca="false">SUM(K166:L166)</f>
        <v>86347</v>
      </c>
      <c r="N166" s="612"/>
      <c r="O166" s="407" t="n">
        <f aca="false">'☆掛負収入'!O166</f>
        <v>13350</v>
      </c>
      <c r="P166" s="135" t="n">
        <f aca="false">SUM(N166:O166)</f>
        <v>13350</v>
      </c>
    </row>
    <row r="167" customFormat="false" ht="18.75" hidden="false" customHeight="true" outlineLevel="0" collapsed="false">
      <c r="A167" s="347"/>
      <c r="B167" s="600"/>
      <c r="C167" s="196"/>
      <c r="D167" s="449"/>
      <c r="E167" s="453"/>
      <c r="F167" s="454"/>
      <c r="G167" s="181"/>
      <c r="H167" s="602"/>
      <c r="I167" s="407"/>
      <c r="J167" s="135"/>
      <c r="K167" s="602"/>
      <c r="L167" s="407"/>
      <c r="M167" s="135" t="n">
        <f aca="false">SUM(K167:L167)</f>
        <v>0</v>
      </c>
      <c r="N167" s="612"/>
      <c r="O167" s="407"/>
      <c r="P167" s="135" t="n">
        <f aca="false">SUM(N167:O167)</f>
        <v>0</v>
      </c>
    </row>
    <row r="168" customFormat="false" ht="18.75" hidden="false" customHeight="true" outlineLevel="0" collapsed="false">
      <c r="A168" s="341" t="str">
        <f aca="false">'☆掛負収入'!A168</f>
        <v>みどり生きもの協会</v>
      </c>
      <c r="B168" s="600"/>
      <c r="C168" s="196"/>
      <c r="D168" s="449" t="n">
        <f aca="false">'☆掛負収入'!D168</f>
        <v>405345</v>
      </c>
      <c r="E168" s="453" t="n">
        <f aca="false">'☆掛負収入'!E168</f>
        <v>33225</v>
      </c>
      <c r="F168" s="454" t="n">
        <f aca="false">'☆掛負収入'!F168</f>
        <v>383</v>
      </c>
      <c r="G168" s="181" t="n">
        <f aca="false">SUM(B168:F168)</f>
        <v>438953</v>
      </c>
      <c r="H168" s="602"/>
      <c r="I168" s="407" t="n">
        <f aca="false">'☆掛負収入'!I168</f>
        <v>229959</v>
      </c>
      <c r="J168" s="135" t="n">
        <f aca="false">SUM(H168:I168)</f>
        <v>229959</v>
      </c>
      <c r="K168" s="602"/>
      <c r="L168" s="407" t="n">
        <f aca="false">'☆掛負収入'!L168</f>
        <v>34997</v>
      </c>
      <c r="M168" s="135" t="n">
        <f aca="false">SUM(K168:L168)</f>
        <v>34997</v>
      </c>
      <c r="N168" s="612"/>
      <c r="O168" s="407" t="n">
        <f aca="false">'☆掛負収入'!O168</f>
        <v>5093</v>
      </c>
      <c r="P168" s="135" t="n">
        <f aca="false">SUM(N168:O168)</f>
        <v>5093</v>
      </c>
    </row>
    <row r="169" customFormat="false" ht="18.75" hidden="false" customHeight="true" outlineLevel="0" collapsed="false">
      <c r="A169" s="343" t="str">
        <f aca="false">'☆掛負収入'!A169</f>
        <v>県下水道公社</v>
      </c>
      <c r="B169" s="449" t="n">
        <f aca="false">'☆掛負収入'!B169</f>
        <v>148230</v>
      </c>
      <c r="C169" s="223" t="n">
        <f aca="false">'☆掛負収入'!C169</f>
        <v>12150</v>
      </c>
      <c r="D169" s="449" t="n">
        <f aca="false">'☆掛負収入'!D169</f>
        <v>148230</v>
      </c>
      <c r="E169" s="453" t="n">
        <f aca="false">'☆掛負収入'!E169</f>
        <v>12150</v>
      </c>
      <c r="F169" s="454" t="n">
        <f aca="false">'☆掛負収入'!F169</f>
        <v>140</v>
      </c>
      <c r="G169" s="181" t="n">
        <f aca="false">SUM(B169:F169)</f>
        <v>320900</v>
      </c>
      <c r="H169" s="594" t="n">
        <f aca="false">'☆掛負収入'!H169</f>
        <v>87123</v>
      </c>
      <c r="I169" s="407" t="n">
        <f aca="false">'☆掛負収入'!I169</f>
        <v>87208</v>
      </c>
      <c r="J169" s="135" t="n">
        <f aca="false">SUM(H169:I169)</f>
        <v>174331</v>
      </c>
      <c r="K169" s="594" t="n">
        <f aca="false">'☆掛負収入'!K169</f>
        <v>10033</v>
      </c>
      <c r="L169" s="407" t="n">
        <f aca="false">'☆掛負収入'!L169</f>
        <v>10033</v>
      </c>
      <c r="M169" s="135" t="n">
        <f aca="false">SUM(K169:L169)</f>
        <v>20066</v>
      </c>
      <c r="N169" s="439" t="n">
        <f aca="false">'☆掛負収入'!N169</f>
        <v>1931</v>
      </c>
      <c r="O169" s="407" t="n">
        <f aca="false">'☆掛負収入'!O169</f>
        <v>1932</v>
      </c>
      <c r="P169" s="135" t="n">
        <f aca="false">SUM(N169:O169)</f>
        <v>3863</v>
      </c>
    </row>
    <row r="170" customFormat="false" ht="18.75" hidden="false" customHeight="true" outlineLevel="0" collapsed="false">
      <c r="A170" s="343" t="str">
        <f aca="false">'☆掛負収入'!A170</f>
        <v>バス協調・共創
プラットフォーム</v>
      </c>
      <c r="B170" s="457"/>
      <c r="C170" s="459"/>
      <c r="D170" s="451" t="n">
        <f aca="false">'☆掛負収入'!D170</f>
        <v>455670</v>
      </c>
      <c r="E170" s="473" t="n">
        <f aca="false">'☆掛負収入'!E170</f>
        <v>37350</v>
      </c>
      <c r="F170" s="454" t="n">
        <f aca="false">'☆掛負収入'!F170</f>
        <v>432</v>
      </c>
      <c r="G170" s="181" t="n">
        <f aca="false">SUM(B170:F170)</f>
        <v>493452</v>
      </c>
      <c r="H170" s="616"/>
      <c r="I170" s="407" t="n">
        <f aca="false">'☆掛負収入'!I170</f>
        <v>263702</v>
      </c>
      <c r="J170" s="135" t="n">
        <f aca="false">SUM(H170:I170)</f>
        <v>263702</v>
      </c>
      <c r="K170" s="616"/>
      <c r="L170" s="407" t="n">
        <f aca="false">'☆掛負収入'!L170</f>
        <v>21093</v>
      </c>
      <c r="M170" s="135" t="n">
        <f aca="false">SUM(K170:L170)</f>
        <v>21093</v>
      </c>
      <c r="N170" s="617"/>
      <c r="O170" s="407" t="n">
        <f aca="false">'☆掛負収入'!O170</f>
        <v>5842</v>
      </c>
      <c r="P170" s="135" t="n">
        <f aca="false">SUM(N170:O170)</f>
        <v>5842</v>
      </c>
    </row>
    <row r="171" customFormat="false" ht="18.75" hidden="false" customHeight="true" outlineLevel="0" collapsed="false">
      <c r="A171" s="343" t="str">
        <f aca="false">'☆掛負収入'!A171</f>
        <v>広島県市長会</v>
      </c>
      <c r="B171" s="449" t="n">
        <f aca="false">'☆掛負収入'!B171</f>
        <v>56730</v>
      </c>
      <c r="C171" s="223" t="n">
        <f aca="false">'☆掛負収入'!C171</f>
        <v>4650</v>
      </c>
      <c r="D171" s="449" t="n">
        <f aca="false">'☆掛負収入'!D171</f>
        <v>56730</v>
      </c>
      <c r="E171" s="453" t="n">
        <f aca="false">'☆掛負収入'!E171</f>
        <v>4650</v>
      </c>
      <c r="F171" s="223" t="n">
        <f aca="false">'☆掛負収入'!F171</f>
        <v>53</v>
      </c>
      <c r="G171" s="181" t="n">
        <f aca="false">SUM(B171:F171)</f>
        <v>122813</v>
      </c>
      <c r="H171" s="594" t="n">
        <f aca="false">'☆掛負収入'!H171</f>
        <v>32153</v>
      </c>
      <c r="I171" s="424" t="n">
        <f aca="false">'☆掛負収入'!I171</f>
        <v>32184</v>
      </c>
      <c r="J171" s="135" t="n">
        <f aca="false">SUM(H171:I171)</f>
        <v>64337</v>
      </c>
      <c r="K171" s="594" t="n">
        <f aca="false">'☆掛負収入'!K171</f>
        <v>4898</v>
      </c>
      <c r="L171" s="424" t="n">
        <f aca="false">'☆掛負収入'!L171</f>
        <v>4898</v>
      </c>
      <c r="M171" s="135" t="n">
        <f aca="false">SUM(K171:L171)</f>
        <v>9796</v>
      </c>
      <c r="N171" s="439" t="n">
        <f aca="false">'☆掛負収入'!N171</f>
        <v>713</v>
      </c>
      <c r="O171" s="424" t="n">
        <f aca="false">'☆掛負収入'!O171</f>
        <v>713</v>
      </c>
      <c r="P171" s="135" t="n">
        <f aca="false">SUM(N171:O171)</f>
        <v>1426</v>
      </c>
    </row>
    <row r="172" customFormat="false" ht="18.75" hidden="false" customHeight="true" outlineLevel="0" collapsed="false">
      <c r="A172" s="342" t="str">
        <f aca="false">'☆掛負収入'!A172</f>
        <v>全国市町村研修財団</v>
      </c>
      <c r="B172" s="451" t="n">
        <f aca="false">'☆掛負収入'!B172</f>
        <v>59475</v>
      </c>
      <c r="C172" s="223" t="n">
        <f aca="false">'☆掛負収入'!C172</f>
        <v>4875</v>
      </c>
      <c r="D172" s="449" t="n">
        <f aca="false">'☆掛負収入'!D172</f>
        <v>59475</v>
      </c>
      <c r="E172" s="453" t="n">
        <f aca="false">'☆掛負収入'!E172</f>
        <v>4875</v>
      </c>
      <c r="F172" s="223" t="n">
        <f aca="false">'☆掛負収入'!F172</f>
        <v>56</v>
      </c>
      <c r="G172" s="181" t="n">
        <f aca="false">SUM(B172:F172)</f>
        <v>128756</v>
      </c>
      <c r="H172" s="594" t="n">
        <f aca="false">'☆掛負収入'!H172</f>
        <v>38895</v>
      </c>
      <c r="I172" s="424" t="n">
        <f aca="false">'☆掛負収入'!I172</f>
        <v>38932</v>
      </c>
      <c r="J172" s="135" t="n">
        <f aca="false">SUM(H172:I172)</f>
        <v>77827</v>
      </c>
      <c r="K172" s="594" t="n">
        <f aca="false">'☆掛負収入'!K172</f>
        <v>5925</v>
      </c>
      <c r="L172" s="424" t="n">
        <f aca="false">'☆掛負収入'!L172</f>
        <v>5925</v>
      </c>
      <c r="M172" s="135" t="n">
        <f aca="false">SUM(K172:L172)</f>
        <v>11850</v>
      </c>
      <c r="N172" s="439" t="n">
        <f aca="false">'☆掛負収入'!N172</f>
        <v>862</v>
      </c>
      <c r="O172" s="424" t="n">
        <f aca="false">'☆掛負収入'!O172</f>
        <v>862</v>
      </c>
      <c r="P172" s="135" t="n">
        <f aca="false">SUM(N172:O172)</f>
        <v>1724</v>
      </c>
    </row>
    <row r="173" customFormat="false" ht="18.75" hidden="false" customHeight="true" outlineLevel="0" collapsed="false">
      <c r="A173" s="342" t="str">
        <f aca="false">'☆掛負収入'!A173</f>
        <v>都市再生機構</v>
      </c>
      <c r="B173" s="449" t="n">
        <f aca="false">'☆掛負収入'!B173</f>
        <v>37515</v>
      </c>
      <c r="C173" s="223" t="n">
        <f aca="false">'☆掛負収入'!C173</f>
        <v>3075</v>
      </c>
      <c r="D173" s="449" t="n">
        <f aca="false">'☆掛負収入'!D173</f>
        <v>37515</v>
      </c>
      <c r="E173" s="453" t="n">
        <f aca="false">'☆掛負収入'!E173</f>
        <v>3075</v>
      </c>
      <c r="F173" s="223" t="n">
        <f aca="false">'☆掛負収入'!F173</f>
        <v>35</v>
      </c>
      <c r="G173" s="181" t="n">
        <f aca="false">SUM(B173:F173)</f>
        <v>81215</v>
      </c>
      <c r="H173" s="594" t="n">
        <f aca="false">'☆掛負収入'!H173</f>
        <v>21262</v>
      </c>
      <c r="I173" s="424" t="n">
        <f aca="false">'☆掛負収入'!I173</f>
        <v>21283</v>
      </c>
      <c r="J173" s="135" t="n">
        <f aca="false">SUM(H173:I173)</f>
        <v>42545</v>
      </c>
      <c r="K173" s="594" t="n">
        <f aca="false">'☆掛負収入'!K173</f>
        <v>0</v>
      </c>
      <c r="L173" s="424" t="n">
        <f aca="false">'☆掛負収入'!L173</f>
        <v>0</v>
      </c>
      <c r="M173" s="135" t="n">
        <f aca="false">SUM(K173:L173)</f>
        <v>0</v>
      </c>
      <c r="N173" s="439" t="n">
        <f aca="false">'☆掛負収入'!N173</f>
        <v>471</v>
      </c>
      <c r="O173" s="424" t="n">
        <f aca="false">'☆掛負収入'!O173</f>
        <v>471</v>
      </c>
      <c r="P173" s="135" t="n">
        <f aca="false">SUM(N173:O173)</f>
        <v>942</v>
      </c>
    </row>
    <row r="174" customFormat="false" ht="18.75" hidden="false" customHeight="true" outlineLevel="0" collapsed="false">
      <c r="A174" s="343" t="str">
        <f aca="false">'☆掛負収入'!A174</f>
        <v>広島市立大学</v>
      </c>
      <c r="B174" s="406" t="n">
        <f aca="false">'☆掛負収入'!B174</f>
        <v>1201395</v>
      </c>
      <c r="C174" s="135" t="n">
        <f aca="false">'☆掛負収入'!C174</f>
        <v>98475</v>
      </c>
      <c r="D174" s="406" t="n">
        <f aca="false">'☆掛負収入'!D174</f>
        <v>1201395</v>
      </c>
      <c r="E174" s="439" t="n">
        <f aca="false">'☆掛負収入'!E174</f>
        <v>98475</v>
      </c>
      <c r="F174" s="223" t="n">
        <f aca="false">'☆掛負収入'!F174</f>
        <v>1208</v>
      </c>
      <c r="G174" s="181" t="n">
        <f aca="false">SUM(B174:F174)</f>
        <v>2600948</v>
      </c>
      <c r="H174" s="594" t="n">
        <f aca="false">'☆掛負収入'!H174</f>
        <v>690245</v>
      </c>
      <c r="I174" s="424" t="n">
        <f aca="false">'☆掛負収入'!I174</f>
        <v>690961</v>
      </c>
      <c r="J174" s="135" t="n">
        <f aca="false">SUM(H174:I174)</f>
        <v>1381206</v>
      </c>
      <c r="K174" s="594" t="n">
        <f aca="false">'☆掛負収入'!K174</f>
        <v>79632</v>
      </c>
      <c r="L174" s="424" t="n">
        <f aca="false">'☆掛負収入'!L174</f>
        <v>79632</v>
      </c>
      <c r="M174" s="135" t="n">
        <f aca="false">SUM(K174:L174)</f>
        <v>159264</v>
      </c>
      <c r="N174" s="439" t="n">
        <f aca="false">'☆掛負収入'!N174</f>
        <v>15300</v>
      </c>
      <c r="O174" s="424" t="n">
        <f aca="false">'☆掛負収入'!O174</f>
        <v>15306</v>
      </c>
      <c r="P174" s="135" t="n">
        <f aca="false">SUM(N174:O174)</f>
        <v>30606</v>
      </c>
    </row>
    <row r="175" customFormat="false" ht="18.75" hidden="false" customHeight="true" outlineLevel="0" collapsed="false">
      <c r="A175" s="343" t="str">
        <f aca="false">'☆掛負収入'!A175</f>
        <v>社会福祉協議会</v>
      </c>
      <c r="B175" s="406" t="n">
        <f aca="false">'☆掛負収入'!B175</f>
        <v>0</v>
      </c>
      <c r="C175" s="135" t="n">
        <f aca="false">'☆掛負収入'!C175</f>
        <v>0</v>
      </c>
      <c r="D175" s="406" t="n">
        <f aca="false">'☆掛負収入'!D175</f>
        <v>242475</v>
      </c>
      <c r="E175" s="439" t="n">
        <f aca="false">'☆掛負収入'!E175</f>
        <v>19875</v>
      </c>
      <c r="F175" s="223" t="n">
        <f aca="false">'☆掛負収入'!F175</f>
        <v>230</v>
      </c>
      <c r="G175" s="181" t="n">
        <f aca="false">SUM(B175:F175)</f>
        <v>262580</v>
      </c>
      <c r="H175" s="594" t="n">
        <f aca="false">'☆掛負収入'!H175</f>
        <v>0</v>
      </c>
      <c r="I175" s="424" t="n">
        <f aca="false">'☆掛負収入'!I175</f>
        <v>140676</v>
      </c>
      <c r="J175" s="135" t="n">
        <f aca="false">SUM(H175:I175)</f>
        <v>140676</v>
      </c>
      <c r="K175" s="594" t="n">
        <f aca="false">'☆掛負収入'!K175</f>
        <v>0</v>
      </c>
      <c r="L175" s="424" t="n">
        <f aca="false">'☆掛負収入'!L175</f>
        <v>10507</v>
      </c>
      <c r="M175" s="135" t="n">
        <f aca="false">SUM(K175:L175)</f>
        <v>10507</v>
      </c>
      <c r="N175" s="439" t="n">
        <f aca="false">'☆掛負収入'!N175</f>
        <v>0</v>
      </c>
      <c r="O175" s="424" t="n">
        <f aca="false">'☆掛負収入'!O175</f>
        <v>3116</v>
      </c>
      <c r="P175" s="135" t="n">
        <f aca="false">SUM(N175:O175)</f>
        <v>3116</v>
      </c>
    </row>
    <row r="176" customFormat="false" ht="18.75" hidden="false" customHeight="true" outlineLevel="0" collapsed="false">
      <c r="A176" s="346" t="s">
        <v>418</v>
      </c>
      <c r="B176" s="595" t="n">
        <f aca="false">'☆掛負収入'!B178</f>
        <v>0</v>
      </c>
      <c r="C176" s="393" t="n">
        <f aca="false">'☆掛負収入'!C178</f>
        <v>0</v>
      </c>
      <c r="D176" s="595" t="n">
        <f aca="false">'☆掛負収入'!D178</f>
        <v>0</v>
      </c>
      <c r="E176" s="440" t="n">
        <f aca="false">'☆掛負収入'!E178</f>
        <v>0</v>
      </c>
      <c r="F176" s="393" t="n">
        <f aca="false">'☆掛負収入'!F178</f>
        <v>0</v>
      </c>
      <c r="G176" s="181" t="n">
        <f aca="false">SUM(B176:F176)</f>
        <v>0</v>
      </c>
      <c r="H176" s="595" t="n">
        <f aca="false">'☆掛負収入'!H178</f>
        <v>0</v>
      </c>
      <c r="I176" s="440" t="n">
        <f aca="false">'☆掛負収入'!I178</f>
        <v>0</v>
      </c>
      <c r="J176" s="181" t="n">
        <f aca="false">SUM(H176:I176)</f>
        <v>0</v>
      </c>
      <c r="K176" s="595" t="n">
        <f aca="false">'☆掛負収入'!K178</f>
        <v>0</v>
      </c>
      <c r="L176" s="440" t="n">
        <f aca="false">'☆掛負収入'!L178</f>
        <v>0</v>
      </c>
      <c r="M176" s="135" t="n">
        <f aca="false">SUM(K176:L176)</f>
        <v>0</v>
      </c>
      <c r="N176" s="596" t="n">
        <f aca="false">'☆掛負収入'!N178</f>
        <v>0</v>
      </c>
      <c r="O176" s="440" t="n">
        <f aca="false">'☆掛負収入'!O178</f>
        <v>0</v>
      </c>
      <c r="P176" s="135" t="n">
        <f aca="false">SUM(N176:O176)</f>
        <v>0</v>
      </c>
    </row>
    <row r="177" customFormat="false" ht="18.75" hidden="false" customHeight="true" outlineLevel="0" collapsed="false">
      <c r="A177" s="343" t="str">
        <f aca="false">'☆掛負収入'!A179</f>
        <v>全国市長会</v>
      </c>
      <c r="B177" s="595" t="n">
        <f aca="false">'☆掛負収入'!B179</f>
        <v>118950</v>
      </c>
      <c r="C177" s="393" t="n">
        <f aca="false">'☆掛負収入'!C179</f>
        <v>9750</v>
      </c>
      <c r="D177" s="595" t="n">
        <f aca="false">'☆掛負収入'!D179</f>
        <v>118950</v>
      </c>
      <c r="E177" s="440" t="n">
        <f aca="false">'☆掛負収入'!E179</f>
        <v>9750</v>
      </c>
      <c r="F177" s="393" t="n">
        <f aca="false">'☆掛負収入'!F179</f>
        <v>112</v>
      </c>
      <c r="G177" s="181" t="n">
        <f aca="false">SUM(B177:F177)</f>
        <v>257512</v>
      </c>
      <c r="H177" s="595" t="n">
        <f aca="false">'☆掛負収入'!H179</f>
        <v>84531</v>
      </c>
      <c r="I177" s="440" t="n">
        <f aca="false">'☆掛負収入'!I179</f>
        <v>84613</v>
      </c>
      <c r="J177" s="181" t="n">
        <f aca="false">SUM(H177:I177)</f>
        <v>169144</v>
      </c>
      <c r="K177" s="595" t="n">
        <f aca="false">'☆掛負収入'!K179</f>
        <v>12877</v>
      </c>
      <c r="L177" s="440" t="n">
        <f aca="false">'☆掛負収入'!L179</f>
        <v>12877</v>
      </c>
      <c r="M177" s="135" t="n">
        <f aca="false">SUM(K177:L177)</f>
        <v>25754</v>
      </c>
      <c r="N177" s="596" t="n">
        <f aca="false">'☆掛負収入'!N179</f>
        <v>1874</v>
      </c>
      <c r="O177" s="440" t="n">
        <f aca="false">'☆掛負収入'!O179</f>
        <v>1874</v>
      </c>
      <c r="P177" s="135" t="n">
        <f aca="false">SUM(N177:O177)</f>
        <v>3748</v>
      </c>
    </row>
    <row r="178" customFormat="false" ht="18.75" hidden="false" customHeight="true" outlineLevel="0" collapsed="false">
      <c r="A178" s="669"/>
      <c r="B178" s="406"/>
      <c r="C178" s="393"/>
      <c r="D178" s="406"/>
      <c r="E178" s="439"/>
      <c r="F178" s="135"/>
      <c r="G178" s="181"/>
      <c r="H178" s="594"/>
      <c r="I178" s="424"/>
      <c r="J178" s="135"/>
      <c r="K178" s="594"/>
      <c r="L178" s="424"/>
      <c r="M178" s="135"/>
      <c r="N178" s="439"/>
      <c r="O178" s="424"/>
      <c r="P178" s="135"/>
    </row>
    <row r="179" customFormat="false" ht="18.75" hidden="false" customHeight="true" outlineLevel="0" collapsed="false">
      <c r="A179" s="669"/>
      <c r="B179" s="595"/>
      <c r="C179" s="366"/>
      <c r="D179" s="595"/>
      <c r="E179" s="596"/>
      <c r="F179" s="393"/>
      <c r="G179" s="181"/>
      <c r="H179" s="595"/>
      <c r="I179" s="440"/>
      <c r="J179" s="135"/>
      <c r="K179" s="595"/>
      <c r="L179" s="440"/>
      <c r="M179" s="135"/>
      <c r="N179" s="596"/>
      <c r="O179" s="440"/>
      <c r="P179" s="135"/>
    </row>
    <row r="180" customFormat="false" ht="18.75" hidden="false" customHeight="true" outlineLevel="0" collapsed="false">
      <c r="A180" s="344"/>
      <c r="B180" s="406"/>
      <c r="C180" s="181"/>
      <c r="D180" s="406"/>
      <c r="E180" s="592"/>
      <c r="F180" s="135"/>
      <c r="G180" s="181"/>
      <c r="H180" s="406"/>
      <c r="I180" s="619"/>
      <c r="J180" s="135"/>
      <c r="K180" s="406"/>
      <c r="L180" s="619"/>
      <c r="M180" s="135"/>
      <c r="N180" s="592"/>
      <c r="O180" s="619"/>
      <c r="P180" s="135"/>
    </row>
    <row r="181" customFormat="false" ht="18.75" hidden="false" customHeight="true" outlineLevel="0" collapsed="false">
      <c r="A181" s="344"/>
      <c r="B181" s="595"/>
      <c r="C181" s="393"/>
      <c r="D181" s="595"/>
      <c r="E181" s="440"/>
      <c r="F181" s="393"/>
      <c r="G181" s="366"/>
      <c r="H181" s="406"/>
      <c r="I181" s="440"/>
      <c r="J181" s="135"/>
      <c r="K181" s="595"/>
      <c r="L181" s="440"/>
      <c r="M181" s="135"/>
      <c r="N181" s="596"/>
      <c r="O181" s="440"/>
      <c r="P181" s="135"/>
    </row>
    <row r="182" customFormat="false" ht="18.75" hidden="false" customHeight="true" outlineLevel="0" collapsed="false">
      <c r="A182" s="620"/>
      <c r="B182" s="499"/>
      <c r="C182" s="271"/>
      <c r="D182" s="499"/>
      <c r="E182" s="500"/>
      <c r="F182" s="271"/>
      <c r="G182" s="621"/>
      <c r="H182" s="622"/>
      <c r="I182" s="623"/>
      <c r="J182" s="621" t="n">
        <f aca="false">SUM(H182:I182)</f>
        <v>0</v>
      </c>
      <c r="K182" s="499"/>
      <c r="L182" s="672"/>
      <c r="M182" s="673" t="n">
        <f aca="false">SUM(K182:L182)</f>
        <v>0</v>
      </c>
      <c r="N182" s="623"/>
      <c r="O182" s="623"/>
      <c r="P182" s="690" t="n">
        <f aca="false">SUM(N182:O182)</f>
        <v>0</v>
      </c>
    </row>
    <row r="183" customFormat="false" ht="18.75" hidden="false" customHeight="true" outlineLevel="0" collapsed="false">
      <c r="A183" s="171" t="str">
        <f aca="false">'☆掛負収入'!A183</f>
        <v>小　計</v>
      </c>
      <c r="B183" s="404" t="n">
        <f aca="false">SUM(B153:B182)</f>
        <v>2647095</v>
      </c>
      <c r="C183" s="175" t="n">
        <f aca="false">SUM(C153:C182)</f>
        <v>216975</v>
      </c>
      <c r="D183" s="404" t="n">
        <f aca="false">SUM(D153:D182)</f>
        <v>8610828</v>
      </c>
      <c r="E183" s="276" t="n">
        <f aca="false">SUM(E153:E182)</f>
        <v>705075</v>
      </c>
      <c r="F183" s="175" t="n">
        <f aca="false">SUM(F153:F182)</f>
        <v>8473</v>
      </c>
      <c r="G183" s="176" t="n">
        <f aca="false">SUM(B183:F183)</f>
        <v>12188446</v>
      </c>
      <c r="H183" s="404" t="n">
        <f aca="false">SUM(H153:H182)</f>
        <v>1538144</v>
      </c>
      <c r="I183" s="174" t="n">
        <f aca="false">SUM(I153:I182)</f>
        <v>5080473</v>
      </c>
      <c r="J183" s="175" t="n">
        <f aca="false">SUM(H183:I183)</f>
        <v>6618617</v>
      </c>
      <c r="K183" s="404" t="n">
        <f aca="false">SUM(K153:K182)</f>
        <v>163451</v>
      </c>
      <c r="L183" s="174" t="n">
        <f aca="false">SUM(L153:L182)</f>
        <v>577016</v>
      </c>
      <c r="M183" s="176" t="n">
        <f aca="false">SUM(K183:L183)</f>
        <v>740467</v>
      </c>
      <c r="N183" s="404" t="n">
        <f aca="false">SUM(N153:N182)</f>
        <v>34095</v>
      </c>
      <c r="O183" s="174" t="n">
        <f aca="false">SUM(O153:O182)</f>
        <v>112735</v>
      </c>
      <c r="P183" s="176" t="n">
        <f aca="false">SUM(N183:O183)</f>
        <v>146830</v>
      </c>
    </row>
    <row r="184" customFormat="false" ht="18.75" hidden="true" customHeight="true" outlineLevel="0" collapsed="false">
      <c r="A184" s="604"/>
      <c r="B184" s="622"/>
      <c r="C184" s="253"/>
      <c r="D184" s="623"/>
      <c r="E184" s="624"/>
      <c r="F184" s="625"/>
      <c r="G184" s="626"/>
      <c r="H184" s="627"/>
      <c r="I184" s="628"/>
      <c r="J184" s="629"/>
      <c r="K184" s="630"/>
      <c r="L184" s="631"/>
      <c r="M184" s="632"/>
      <c r="N184" s="630"/>
      <c r="O184" s="631"/>
      <c r="P184" s="632"/>
    </row>
    <row r="185" customFormat="false" ht="18.75" hidden="true" customHeight="true" outlineLevel="0" collapsed="false">
      <c r="A185" s="633"/>
      <c r="B185" s="606"/>
      <c r="C185" s="608"/>
      <c r="D185" s="623"/>
      <c r="E185" s="624"/>
      <c r="F185" s="253"/>
      <c r="G185" s="621"/>
      <c r="H185" s="634"/>
      <c r="I185" s="635"/>
      <c r="J185" s="383"/>
      <c r="K185" s="636"/>
      <c r="L185" s="637"/>
      <c r="M185" s="638"/>
      <c r="N185" s="636"/>
      <c r="O185" s="637"/>
      <c r="P185" s="638"/>
    </row>
    <row r="186" customFormat="false" ht="18.75" hidden="false" customHeight="true" outlineLevel="0" collapsed="false">
      <c r="A186" s="189" t="str">
        <f aca="false">'☆掛負収入'!A186</f>
        <v>高速交通（株）</v>
      </c>
      <c r="B186" s="611" t="n">
        <f aca="false">'☆掛負収入'!B186</f>
        <v>145485</v>
      </c>
      <c r="C186" s="691" t="n">
        <f aca="false">'☆掛負収入'!C186</f>
        <v>11925</v>
      </c>
      <c r="D186" s="692" t="n">
        <f aca="false">'☆掛負収入'!D186</f>
        <v>145485</v>
      </c>
      <c r="E186" s="447" t="n">
        <f aca="false">'☆掛負収入'!E186</f>
        <v>11925</v>
      </c>
      <c r="F186" s="446" t="n">
        <f aca="false">'☆掛負収入'!F186</f>
        <v>138</v>
      </c>
      <c r="G186" s="366" t="n">
        <f aca="false">SUM(B186:F186)</f>
        <v>314958</v>
      </c>
      <c r="H186" s="640"/>
      <c r="I186" s="640"/>
      <c r="J186" s="640"/>
      <c r="K186" s="640"/>
      <c r="L186" s="640"/>
      <c r="M186" s="640"/>
      <c r="N186" s="640"/>
      <c r="O186" s="640"/>
      <c r="P186" s="640"/>
    </row>
    <row r="187" customFormat="false" ht="18.75" hidden="false" customHeight="true" outlineLevel="0" collapsed="false">
      <c r="A187" s="641" t="s">
        <v>201</v>
      </c>
      <c r="B187" s="642" t="n">
        <f aca="false">'☆掛負収入'!B187</f>
        <v>45750</v>
      </c>
      <c r="C187" s="693" t="n">
        <f aca="false">'☆掛負収入'!C187</f>
        <v>3750</v>
      </c>
      <c r="D187" s="642" t="n">
        <f aca="false">'☆掛負収入'!D187</f>
        <v>45750</v>
      </c>
      <c r="E187" s="467" t="n">
        <f aca="false">'☆掛負収入'!E187</f>
        <v>3750</v>
      </c>
      <c r="F187" s="694" t="n">
        <f aca="false">'☆掛負収入'!F187</f>
        <v>43</v>
      </c>
      <c r="G187" s="366" t="n">
        <f aca="false">SUM(B187:F187)</f>
        <v>99043</v>
      </c>
      <c r="H187" s="640"/>
      <c r="I187" s="640"/>
      <c r="J187" s="640"/>
      <c r="K187" s="640"/>
      <c r="L187" s="640"/>
      <c r="M187" s="640"/>
      <c r="N187" s="640"/>
      <c r="O187" s="640"/>
      <c r="P187" s="640"/>
    </row>
    <row r="188" customFormat="false" ht="18.75" hidden="false" customHeight="true" outlineLevel="0" collapsed="false">
      <c r="A188" s="171" t="str">
        <f aca="false">'☆掛負収入'!A188</f>
        <v>小　計</v>
      </c>
      <c r="B188" s="172" t="n">
        <f aca="false">SUM(B186:B187)</f>
        <v>191235</v>
      </c>
      <c r="C188" s="175" t="n">
        <f aca="false">SUM(C184:C187)</f>
        <v>15675</v>
      </c>
      <c r="D188" s="656" t="n">
        <f aca="false">SUM(D184:D187)</f>
        <v>191235</v>
      </c>
      <c r="E188" s="174" t="n">
        <f aca="false">SUM(E184:E187)</f>
        <v>15675</v>
      </c>
      <c r="F188" s="176" t="n">
        <f aca="false">SUM(F184:F187)</f>
        <v>181</v>
      </c>
      <c r="G188" s="175" t="n">
        <f aca="false">SUM(B188:F188)</f>
        <v>414001</v>
      </c>
      <c r="H188" s="640"/>
      <c r="I188" s="640"/>
      <c r="J188" s="640"/>
      <c r="K188" s="640"/>
      <c r="L188" s="640"/>
      <c r="M188" s="640"/>
      <c r="N188" s="640"/>
      <c r="O188" s="640"/>
      <c r="P188" s="640"/>
    </row>
    <row r="189" customFormat="false" ht="18.75" hidden="false" customHeight="true" outlineLevel="0" collapsed="false">
      <c r="A189" s="100" t="str">
        <f aca="false">'☆掛負収入'!A189</f>
        <v>市職員労働組合</v>
      </c>
      <c r="B189" s="449" t="n">
        <f aca="false">'☆掛負収入'!B189</f>
        <v>29280</v>
      </c>
      <c r="C189" s="223" t="n">
        <f aca="false">'☆掛負収入'!C189</f>
        <v>2400</v>
      </c>
      <c r="D189" s="445" t="n">
        <f aca="false">'☆掛負収入'!D189</f>
        <v>29280</v>
      </c>
      <c r="E189" s="463" t="n">
        <f aca="false">'☆掛負収入'!E189</f>
        <v>2400</v>
      </c>
      <c r="F189" s="196"/>
      <c r="G189" s="181" t="n">
        <f aca="false">SUM(B189:F189)</f>
        <v>63360</v>
      </c>
      <c r="H189" s="594" t="n">
        <f aca="false">'☆掛負収入'!H189</f>
        <v>16595</v>
      </c>
      <c r="I189" s="424" t="n">
        <f aca="false">'☆掛負収入'!I189</f>
        <v>17907</v>
      </c>
      <c r="J189" s="135" t="n">
        <f aca="false">SUM(H189:I189)</f>
        <v>34502</v>
      </c>
      <c r="K189" s="451" t="n">
        <f aca="false">'☆掛負収入'!K189</f>
        <v>2528</v>
      </c>
      <c r="L189" s="462" t="n">
        <f aca="false">'☆掛負収入'!L189</f>
        <v>2528</v>
      </c>
      <c r="M189" s="446" t="n">
        <f aca="false">SUM(K189:L189)</f>
        <v>5056</v>
      </c>
      <c r="N189" s="451" t="n">
        <f aca="false">'☆掛負収入'!N189</f>
        <v>368</v>
      </c>
      <c r="O189" s="462" t="n">
        <f aca="false">'☆掛負収入'!O189</f>
        <v>368</v>
      </c>
      <c r="P189" s="446" t="n">
        <f aca="false">SUM(N189:O189)</f>
        <v>736</v>
      </c>
    </row>
    <row r="190" customFormat="false" ht="18.75" hidden="false" customHeight="true" outlineLevel="0" collapsed="false">
      <c r="A190" s="100" t="str">
        <f aca="false">'☆掛負収入'!A190</f>
        <v>自治労労働組合</v>
      </c>
      <c r="B190" s="449" t="n">
        <f aca="false">'☆掛負収入'!B190</f>
        <v>0</v>
      </c>
      <c r="C190" s="377" t="n">
        <f aca="false">'☆掛負収入'!C190</f>
        <v>0</v>
      </c>
      <c r="D190" s="449" t="n">
        <f aca="false">'☆掛負収入'!D190</f>
        <v>0</v>
      </c>
      <c r="E190" s="463" t="n">
        <f aca="false">'☆掛負収入'!E190</f>
        <v>0</v>
      </c>
      <c r="F190" s="196"/>
      <c r="G190" s="181" t="n">
        <f aca="false">SUM(B190:F190)</f>
        <v>0</v>
      </c>
      <c r="H190" s="594" t="n">
        <f aca="false">'☆掛負収入'!H190</f>
        <v>0</v>
      </c>
      <c r="I190" s="424" t="n">
        <f aca="false">'☆掛負収入'!I190</f>
        <v>0</v>
      </c>
      <c r="J190" s="135" t="n">
        <f aca="false">SUM(H190:I190)</f>
        <v>0</v>
      </c>
      <c r="K190" s="594" t="n">
        <f aca="false">'☆掛負収入'!K190</f>
        <v>0</v>
      </c>
      <c r="L190" s="424" t="n">
        <f aca="false">'☆掛負収入'!L190</f>
        <v>0</v>
      </c>
      <c r="M190" s="135" t="n">
        <f aca="false">SUM(K190:L190)</f>
        <v>0</v>
      </c>
      <c r="N190" s="594" t="n">
        <f aca="false">'☆掛負収入'!N190</f>
        <v>0</v>
      </c>
      <c r="O190" s="424" t="n">
        <f aca="false">'☆掛負収入'!O190</f>
        <v>0</v>
      </c>
      <c r="P190" s="135" t="n">
        <f aca="false">SUM(N190:O190)</f>
        <v>0</v>
      </c>
    </row>
    <row r="191" customFormat="false" ht="18.75" hidden="false" customHeight="true" outlineLevel="0" collapsed="false">
      <c r="A191" s="100" t="str">
        <f aca="false">'☆掛負収入'!A191</f>
        <v>病院労働組合</v>
      </c>
      <c r="B191" s="406"/>
      <c r="C191" s="181"/>
      <c r="D191" s="406"/>
      <c r="E191" s="619"/>
      <c r="F191" s="196"/>
      <c r="G191" s="181" t="n">
        <f aca="false">SUM(B191:F191)</f>
        <v>0</v>
      </c>
      <c r="H191" s="594"/>
      <c r="I191" s="424"/>
      <c r="J191" s="135" t="n">
        <f aca="false">SUM(H191:I191)</f>
        <v>0</v>
      </c>
      <c r="K191" s="594"/>
      <c r="L191" s="424"/>
      <c r="M191" s="135" t="n">
        <f aca="false">SUM(K191:L191)</f>
        <v>0</v>
      </c>
      <c r="N191" s="594"/>
      <c r="O191" s="424"/>
      <c r="P191" s="135" t="n">
        <f aca="false">SUM(N191:O191)</f>
        <v>0</v>
      </c>
    </row>
    <row r="192" customFormat="false" ht="18.75" hidden="false" customHeight="true" outlineLevel="0" collapsed="false">
      <c r="A192" s="277" t="str">
        <f aca="false">'☆掛負収入'!A192</f>
        <v>水道労働組合</v>
      </c>
      <c r="B192" s="648"/>
      <c r="C192" s="419"/>
      <c r="D192" s="648"/>
      <c r="E192" s="598"/>
      <c r="F192" s="271"/>
      <c r="G192" s="181" t="n">
        <f aca="false">SUM(B192:F192)</f>
        <v>0</v>
      </c>
      <c r="H192" s="649"/>
      <c r="I192" s="650"/>
      <c r="J192" s="135" t="n">
        <f aca="false">SUM(H192:I192)</f>
        <v>0</v>
      </c>
      <c r="K192" s="651"/>
      <c r="L192" s="652"/>
      <c r="M192" s="135" t="n">
        <f aca="false">SUM(K192:L192)</f>
        <v>0</v>
      </c>
      <c r="N192" s="651"/>
      <c r="O192" s="652"/>
      <c r="P192" s="135" t="n">
        <f aca="false">SUM(N192:O192)</f>
        <v>0</v>
      </c>
    </row>
    <row r="193" customFormat="false" ht="18.75" hidden="false" customHeight="true" outlineLevel="0" collapsed="false">
      <c r="A193" s="171" t="str">
        <f aca="false">'☆掛負収入'!A193</f>
        <v>小　計</v>
      </c>
      <c r="B193" s="404" t="n">
        <f aca="false">SUM(B189:B192)</f>
        <v>29280</v>
      </c>
      <c r="C193" s="175" t="n">
        <f aca="false">SUM(C189:C192)</f>
        <v>2400</v>
      </c>
      <c r="D193" s="404" t="n">
        <f aca="false">SUM(D189:D192)</f>
        <v>29280</v>
      </c>
      <c r="E193" s="174" t="n">
        <f aca="false">SUM(E189:E192)</f>
        <v>2400</v>
      </c>
      <c r="F193" s="173" t="n">
        <f aca="false">SUM(F189:F192)</f>
        <v>0</v>
      </c>
      <c r="G193" s="172" t="n">
        <f aca="false">SUM(B193:F193)</f>
        <v>63360</v>
      </c>
      <c r="H193" s="404" t="n">
        <f aca="false">SUM(H189:H192)</f>
        <v>16595</v>
      </c>
      <c r="I193" s="174" t="n">
        <f aca="false">SUM(I189:I192)</f>
        <v>17907</v>
      </c>
      <c r="J193" s="175" t="n">
        <f aca="false">SUM(H193:I193)</f>
        <v>34502</v>
      </c>
      <c r="K193" s="172" t="n">
        <f aca="false">SUM(K189:K192)</f>
        <v>2528</v>
      </c>
      <c r="L193" s="173" t="n">
        <f aca="false">SUM(L189:L192)</f>
        <v>2528</v>
      </c>
      <c r="M193" s="175" t="n">
        <f aca="false">SUM(K193:L193)</f>
        <v>5056</v>
      </c>
      <c r="N193" s="172" t="n">
        <f aca="false">SUM(N189:N192)</f>
        <v>368</v>
      </c>
      <c r="O193" s="173" t="n">
        <f aca="false">SUM(O189:O192)</f>
        <v>368</v>
      </c>
      <c r="P193" s="175" t="n">
        <f aca="false">SUM(N193:O193)</f>
        <v>736</v>
      </c>
    </row>
    <row r="194" customFormat="false" ht="18.75" hidden="false" customHeight="true" outlineLevel="0" collapsed="false">
      <c r="A194" s="277" t="str">
        <f aca="false">'☆掛負収入'!A194</f>
        <v>任意継続組合員</v>
      </c>
      <c r="B194" s="256"/>
      <c r="C194" s="498"/>
      <c r="D194" s="499"/>
      <c r="E194" s="500"/>
      <c r="F194" s="271"/>
      <c r="G194" s="268"/>
      <c r="H194" s="653"/>
      <c r="I194" s="257"/>
      <c r="J194" s="258"/>
      <c r="K194" s="499"/>
      <c r="L194" s="654"/>
      <c r="M194" s="267"/>
      <c r="N194" s="499"/>
      <c r="O194" s="654"/>
      <c r="P194" s="267"/>
    </row>
    <row r="195" customFormat="false" ht="30" hidden="false" customHeight="true" outlineLevel="0" collapsed="false">
      <c r="A195" s="655" t="str">
        <f aca="false">'☆掛負収入'!A195</f>
        <v>総　　計</v>
      </c>
      <c r="B195" s="404" t="n">
        <f aca="false">SUM(B152+B183+B188+B193)</f>
        <v>2867610</v>
      </c>
      <c r="C195" s="175" t="n">
        <f aca="false">SUM(C152+C183+C188+C193)</f>
        <v>235050</v>
      </c>
      <c r="D195" s="656" t="n">
        <f aca="false">SUM(D152+D183+D188+D193)</f>
        <v>8831343</v>
      </c>
      <c r="E195" s="174" t="n">
        <f aca="false">SUM(E152+E183+E188+E193)</f>
        <v>723150</v>
      </c>
      <c r="F195" s="176" t="n">
        <f aca="false">SUM(F152+F183+F188+F193)</f>
        <v>8654</v>
      </c>
      <c r="G195" s="172" t="n">
        <f aca="false">SUM(B195:F195)</f>
        <v>12665807</v>
      </c>
      <c r="H195" s="404" t="n">
        <f aca="false">SUM(H152+H183+H188+H193+H194)</f>
        <v>1554739</v>
      </c>
      <c r="I195" s="174" t="n">
        <f aca="false">SUM(I152+I183+I188+I193+I194)</f>
        <v>5098380</v>
      </c>
      <c r="J195" s="175" t="n">
        <f aca="false">SUM(H195:I195)</f>
        <v>6653119</v>
      </c>
      <c r="K195" s="172" t="n">
        <f aca="false">K152+K183+K188+K193+K194</f>
        <v>165979</v>
      </c>
      <c r="L195" s="173" t="n">
        <f aca="false">L152+L183+L188+L193</f>
        <v>579544</v>
      </c>
      <c r="M195" s="175" t="n">
        <f aca="false">SUM(K195:L195)</f>
        <v>745523</v>
      </c>
      <c r="N195" s="172" t="n">
        <f aca="false">N152+N183+N188+N193+N194</f>
        <v>34463</v>
      </c>
      <c r="O195" s="173" t="n">
        <f aca="false">O152+O183+O188+O193</f>
        <v>113103</v>
      </c>
      <c r="P195" s="175" t="n">
        <f aca="false">SUM(N195:O195)</f>
        <v>147566</v>
      </c>
    </row>
    <row r="196" customFormat="false" ht="18.75" hidden="false" customHeight="true" outlineLevel="0" collapsed="false">
      <c r="A196" s="315"/>
      <c r="B196" s="316"/>
      <c r="C196" s="316"/>
      <c r="D196" s="316"/>
      <c r="E196" s="316"/>
      <c r="F196" s="316"/>
      <c r="G196" s="316"/>
      <c r="H196" s="316"/>
      <c r="I196" s="316"/>
      <c r="J196" s="316"/>
      <c r="K196" s="316"/>
      <c r="L196" s="316"/>
      <c r="M196" s="316"/>
      <c r="N196" s="316"/>
      <c r="O196" s="316"/>
      <c r="P196" s="316"/>
    </row>
    <row r="197" customFormat="false" ht="30" hidden="false" customHeight="true" outlineLevel="0" collapsed="false">
      <c r="A197" s="335"/>
      <c r="B197" s="405" t="n">
        <f aca="false">'☆掛負収入'!B197</f>
        <v>46203</v>
      </c>
      <c r="C197" s="405" t="n">
        <f aca="false">'☆掛負収入'!C197</f>
        <v>0</v>
      </c>
      <c r="D197" s="405" t="n">
        <f aca="false">'☆掛負収入'!D197</f>
        <v>0</v>
      </c>
      <c r="E197" s="405" t="n">
        <f aca="false">'☆掛負収入'!E197</f>
        <v>0</v>
      </c>
      <c r="F197" s="405" t="n">
        <f aca="false">'☆掛負収入'!F197</f>
        <v>0</v>
      </c>
      <c r="G197" s="405" t="n">
        <f aca="false">'☆掛負収入'!G197</f>
        <v>0</v>
      </c>
      <c r="H197" s="405" t="n">
        <f aca="false">'☆掛負収入'!H197</f>
        <v>46203</v>
      </c>
      <c r="I197" s="405" t="n">
        <f aca="false">'☆掛負収入'!I197</f>
        <v>0</v>
      </c>
      <c r="J197" s="405" t="n">
        <f aca="false">'☆掛負収入'!J197</f>
        <v>0</v>
      </c>
      <c r="K197" s="695" t="n">
        <f aca="false">'☆掛負収入'!K197</f>
        <v>46203</v>
      </c>
      <c r="L197" s="695" t="n">
        <f aca="false">'☆掛負収入'!L197</f>
        <v>0</v>
      </c>
      <c r="M197" s="695" t="n">
        <f aca="false">'☆掛負収入'!M197</f>
        <v>0</v>
      </c>
      <c r="N197" s="695" t="n">
        <f aca="false">'☆掛負収入'!N197</f>
        <v>46203</v>
      </c>
      <c r="O197" s="695" t="n">
        <f aca="false">'☆掛負収入'!O197</f>
        <v>0</v>
      </c>
      <c r="P197" s="695" t="n">
        <f aca="false">'☆掛負収入'!P197</f>
        <v>0</v>
      </c>
    </row>
    <row r="198" customFormat="false" ht="22.5" hidden="false" customHeight="true" outlineLevel="0" collapsed="false">
      <c r="A198" s="89" t="str">
        <f aca="false">'☆掛負収入'!A198</f>
        <v>区　　分</v>
      </c>
      <c r="B198" s="89" t="str">
        <f aca="false">'☆掛負収入'!B198</f>
        <v>長　期　経　理</v>
      </c>
      <c r="C198" s="89" t="n">
        <f aca="false">'☆掛負収入'!C198</f>
        <v>0</v>
      </c>
      <c r="D198" s="89" t="n">
        <f aca="false">'☆掛負収入'!D198</f>
        <v>0</v>
      </c>
      <c r="E198" s="89" t="n">
        <f aca="false">'☆掛負収入'!E198</f>
        <v>0</v>
      </c>
      <c r="F198" s="89" t="n">
        <f aca="false">'☆掛負収入'!F198</f>
        <v>0</v>
      </c>
      <c r="G198" s="89" t="n">
        <f aca="false">'☆掛負収入'!G198</f>
        <v>0</v>
      </c>
      <c r="H198" s="91" t="str">
        <f aca="false">'☆掛負収入'!H198</f>
        <v>短　期　経　理</v>
      </c>
      <c r="I198" s="91" t="n">
        <f aca="false">'☆掛負収入'!I198</f>
        <v>0</v>
      </c>
      <c r="J198" s="91" t="n">
        <f aca="false">'☆掛負収入'!J198</f>
        <v>0</v>
      </c>
      <c r="K198" s="91" t="str">
        <f aca="false">'☆掛負収入'!K198</f>
        <v>介　護　納　付　金</v>
      </c>
      <c r="L198" s="91" t="n">
        <f aca="false">'☆掛負収入'!L198</f>
        <v>0</v>
      </c>
      <c r="M198" s="91" t="n">
        <f aca="false">'☆掛負収入'!M198</f>
        <v>0</v>
      </c>
      <c r="N198" s="91" t="str">
        <f aca="false">'☆掛負収入'!N198</f>
        <v>子ども・子育て支援納付金</v>
      </c>
      <c r="O198" s="91" t="n">
        <f aca="false">'☆掛負収入'!O198</f>
        <v>0</v>
      </c>
      <c r="P198" s="91" t="n">
        <f aca="false">'☆掛負収入'!P198</f>
        <v>0</v>
      </c>
    </row>
    <row r="199" customFormat="false" ht="22.5" hidden="false" customHeight="true" outlineLevel="0" collapsed="false">
      <c r="A199" s="89" t="n">
        <f aca="false">'☆掛負収入'!A199</f>
        <v>0</v>
      </c>
      <c r="B199" s="92" t="str">
        <f aca="false">'☆掛負収入'!B199</f>
        <v>組合員負担分</v>
      </c>
      <c r="C199" s="92" t="n">
        <f aca="false">'☆掛負収入'!C199</f>
        <v>0</v>
      </c>
      <c r="D199" s="92" t="str">
        <f aca="false">'☆掛負収入'!D199</f>
        <v>事業主負担分</v>
      </c>
      <c r="E199" s="92" t="n">
        <f aca="false">'☆掛負収入'!E199</f>
        <v>0</v>
      </c>
      <c r="F199" s="92" t="n">
        <f aca="false">'☆掛負収入'!F199</f>
        <v>0</v>
      </c>
      <c r="G199" s="586" t="str">
        <f aca="false">'☆掛負収入'!G199</f>
        <v>計</v>
      </c>
      <c r="H199" s="96" t="str">
        <f aca="false">'☆掛負収入'!H199</f>
        <v>掛　金</v>
      </c>
      <c r="I199" s="94" t="str">
        <f aca="false">'☆掛負収入'!I199</f>
        <v>負担金</v>
      </c>
      <c r="J199" s="95" t="str">
        <f aca="false">'☆掛負収入'!J199</f>
        <v>計</v>
      </c>
      <c r="K199" s="96" t="str">
        <f aca="false">'☆掛負収入'!K199</f>
        <v>掛　金</v>
      </c>
      <c r="L199" s="94" t="str">
        <f aca="false">'☆掛負収入'!L199</f>
        <v>負担金</v>
      </c>
      <c r="M199" s="95" t="str">
        <f aca="false">'☆掛負収入'!M199</f>
        <v>計</v>
      </c>
      <c r="N199" s="96" t="str">
        <f aca="false">'☆掛負収入'!N199</f>
        <v>掛　金</v>
      </c>
      <c r="O199" s="94" t="str">
        <f aca="false">'☆掛負収入'!O199</f>
        <v>負担金</v>
      </c>
      <c r="P199" s="95" t="str">
        <f aca="false">'☆掛負収入'!P199</f>
        <v>計</v>
      </c>
    </row>
    <row r="200" customFormat="false" ht="22.5" hidden="false" customHeight="true" outlineLevel="0" collapsed="false">
      <c r="A200" s="89" t="n">
        <f aca="false">'☆掛負収入'!A200</f>
        <v>0</v>
      </c>
      <c r="B200" s="587" t="str">
        <f aca="false">'☆掛負収入'!B200</f>
        <v>厚生年金保険料</v>
      </c>
      <c r="C200" s="588" t="str">
        <f aca="false">'☆掛負収入'!C200</f>
        <v>退職等年金掛金</v>
      </c>
      <c r="D200" s="589" t="str">
        <f aca="false">'☆掛負収入'!D200</f>
        <v>厚生年金保険料</v>
      </c>
      <c r="E200" s="589" t="str">
        <f aca="false">'☆掛負収入'!E200</f>
        <v>退職等年金負担金</v>
      </c>
      <c r="F200" s="590" t="str">
        <f aca="false">'☆掛負収入'!F200</f>
        <v>経過的長期</v>
      </c>
      <c r="G200" s="586" t="n">
        <f aca="false">'☆掛負収入'!G200</f>
        <v>0</v>
      </c>
      <c r="H200" s="96" t="n">
        <f aca="false">'☆掛負収入'!H200</f>
        <v>0</v>
      </c>
      <c r="I200" s="94" t="n">
        <f aca="false">'☆掛負収入'!I200</f>
        <v>0</v>
      </c>
      <c r="J200" s="95" t="n">
        <f aca="false">'☆掛負収入'!J200</f>
        <v>0</v>
      </c>
      <c r="K200" s="96" t="n">
        <f aca="false">'☆掛負収入'!K200</f>
        <v>0</v>
      </c>
      <c r="L200" s="94" t="n">
        <f aca="false">'☆掛負収入'!L200</f>
        <v>0</v>
      </c>
      <c r="M200" s="95" t="n">
        <f aca="false">'☆掛負収入'!M200</f>
        <v>0</v>
      </c>
      <c r="N200" s="96" t="n">
        <f aca="false">'☆掛負収入'!N200</f>
        <v>0</v>
      </c>
      <c r="O200" s="94" t="n">
        <f aca="false">'☆掛負収入'!O200</f>
        <v>0</v>
      </c>
      <c r="P200" s="95" t="n">
        <f aca="false">'☆掛負収入'!P200</f>
        <v>0</v>
      </c>
    </row>
    <row r="201" customFormat="false" ht="18.75" hidden="false" customHeight="true" outlineLevel="0" collapsed="false">
      <c r="A201" s="100" t="str">
        <f aca="false">'☆掛負収入'!A201</f>
        <v>市長部局</v>
      </c>
      <c r="B201" s="591"/>
      <c r="C201" s="364"/>
      <c r="D201" s="592"/>
      <c r="E201" s="592"/>
      <c r="F201" s="184"/>
      <c r="G201" s="364"/>
      <c r="H201" s="591"/>
      <c r="I201" s="593"/>
      <c r="J201" s="181"/>
      <c r="K201" s="594"/>
      <c r="L201" s="593"/>
      <c r="M201" s="181"/>
      <c r="N201" s="594"/>
      <c r="O201" s="593"/>
      <c r="P201" s="181"/>
    </row>
    <row r="202" customFormat="false" ht="18.75" hidden="false" customHeight="true" outlineLevel="0" collapsed="false">
      <c r="A202" s="100" t="str">
        <f aca="false">'☆掛負収入'!A202</f>
        <v>下水道局</v>
      </c>
      <c r="B202" s="406"/>
      <c r="C202" s="181"/>
      <c r="D202" s="592"/>
      <c r="E202" s="592"/>
      <c r="F202" s="135"/>
      <c r="G202" s="181"/>
      <c r="H202" s="594"/>
      <c r="I202" s="424"/>
      <c r="J202" s="135"/>
      <c r="K202" s="595"/>
      <c r="L202" s="596"/>
      <c r="M202" s="135"/>
      <c r="N202" s="595"/>
      <c r="O202" s="596"/>
      <c r="P202" s="135"/>
    </row>
    <row r="203" customFormat="false" ht="18.75" hidden="false" customHeight="true" outlineLevel="0" collapsed="false">
      <c r="A203" s="100" t="str">
        <f aca="false">'☆掛負収入'!A203</f>
        <v>消防局</v>
      </c>
      <c r="B203" s="406"/>
      <c r="C203" s="181"/>
      <c r="D203" s="592"/>
      <c r="E203" s="592"/>
      <c r="F203" s="135"/>
      <c r="G203" s="181"/>
      <c r="H203" s="595"/>
      <c r="I203" s="439"/>
      <c r="J203" s="135"/>
      <c r="K203" s="595"/>
      <c r="L203" s="439"/>
      <c r="M203" s="135"/>
      <c r="N203" s="595"/>
      <c r="O203" s="439"/>
      <c r="P203" s="135"/>
    </row>
    <row r="204" customFormat="false" ht="18.75" hidden="false" customHeight="true" outlineLevel="0" collapsed="false">
      <c r="A204" s="100" t="str">
        <f aca="false">'☆掛負収入'!A204</f>
        <v>議会事務局</v>
      </c>
      <c r="B204" s="406"/>
      <c r="C204" s="181"/>
      <c r="D204" s="592"/>
      <c r="E204" s="592"/>
      <c r="F204" s="135"/>
      <c r="G204" s="181"/>
      <c r="H204" s="406"/>
      <c r="I204" s="439"/>
      <c r="J204" s="135"/>
      <c r="K204" s="406"/>
      <c r="L204" s="439"/>
      <c r="M204" s="135"/>
      <c r="N204" s="406"/>
      <c r="O204" s="439"/>
      <c r="P204" s="135"/>
    </row>
    <row r="205" customFormat="false" ht="18.75" hidden="false" customHeight="true" outlineLevel="0" collapsed="false">
      <c r="A205" s="100" t="str">
        <f aca="false">'☆掛負収入'!A205</f>
        <v>教育委員会（総務課）</v>
      </c>
      <c r="B205" s="406"/>
      <c r="C205" s="181"/>
      <c r="D205" s="592"/>
      <c r="E205" s="592"/>
      <c r="F205" s="135"/>
      <c r="G205" s="181"/>
      <c r="H205" s="406"/>
      <c r="I205" s="439"/>
      <c r="J205" s="135"/>
      <c r="K205" s="406"/>
      <c r="L205" s="439"/>
      <c r="M205" s="135"/>
      <c r="N205" s="406"/>
      <c r="O205" s="439"/>
      <c r="P205" s="135"/>
    </row>
    <row r="206" customFormat="false" ht="18.75" hidden="false" customHeight="true" outlineLevel="0" collapsed="false">
      <c r="A206" s="100" t="str">
        <f aca="false">'☆掛負収入'!A206</f>
        <v>選挙管理委員会</v>
      </c>
      <c r="B206" s="406"/>
      <c r="C206" s="181"/>
      <c r="D206" s="592"/>
      <c r="E206" s="592"/>
      <c r="F206" s="135"/>
      <c r="G206" s="181"/>
      <c r="H206" s="594"/>
      <c r="I206" s="424"/>
      <c r="J206" s="135"/>
      <c r="K206" s="406"/>
      <c r="L206" s="439"/>
      <c r="M206" s="135"/>
      <c r="N206" s="406"/>
      <c r="O206" s="439"/>
      <c r="P206" s="135"/>
    </row>
    <row r="207" customFormat="false" ht="18.75" hidden="false" customHeight="true" outlineLevel="0" collapsed="false">
      <c r="A207" s="100" t="str">
        <f aca="false">'☆掛負収入'!A207</f>
        <v>人事委員会</v>
      </c>
      <c r="B207" s="406"/>
      <c r="C207" s="181"/>
      <c r="D207" s="592"/>
      <c r="E207" s="592"/>
      <c r="F207" s="135"/>
      <c r="G207" s="181"/>
      <c r="H207" s="594"/>
      <c r="I207" s="424"/>
      <c r="J207" s="135"/>
      <c r="K207" s="594"/>
      <c r="L207" s="424"/>
      <c r="M207" s="135"/>
      <c r="N207" s="594"/>
      <c r="O207" s="424"/>
      <c r="P207" s="135"/>
    </row>
    <row r="208" customFormat="false" ht="18.75" hidden="false" customHeight="true" outlineLevel="0" collapsed="false">
      <c r="A208" s="100" t="str">
        <f aca="false">'☆掛負収入'!A208</f>
        <v>監査事務局</v>
      </c>
      <c r="B208" s="406"/>
      <c r="C208" s="181"/>
      <c r="D208" s="592"/>
      <c r="E208" s="592"/>
      <c r="F208" s="135"/>
      <c r="G208" s="181"/>
      <c r="H208" s="594"/>
      <c r="I208" s="424"/>
      <c r="J208" s="135"/>
      <c r="K208" s="594"/>
      <c r="L208" s="424"/>
      <c r="M208" s="135"/>
      <c r="N208" s="594"/>
      <c r="O208" s="424"/>
      <c r="P208" s="135"/>
    </row>
    <row r="209" customFormat="false" ht="18.75" hidden="false" customHeight="true" outlineLevel="0" collapsed="false">
      <c r="A209" s="100" t="str">
        <f aca="false">'☆掛負収入'!A209</f>
        <v>農業委員会</v>
      </c>
      <c r="B209" s="406"/>
      <c r="C209" s="181"/>
      <c r="D209" s="592"/>
      <c r="E209" s="592"/>
      <c r="F209" s="135"/>
      <c r="G209" s="181"/>
      <c r="H209" s="594"/>
      <c r="I209" s="424"/>
      <c r="J209" s="135"/>
      <c r="K209" s="594"/>
      <c r="L209" s="424"/>
      <c r="M209" s="135"/>
      <c r="N209" s="594"/>
      <c r="O209" s="424"/>
      <c r="P209" s="135"/>
    </row>
    <row r="210" customFormat="false" ht="18.75" hidden="false" customHeight="true" outlineLevel="0" collapsed="false">
      <c r="A210" s="100" t="str">
        <f aca="false">'☆掛負収入'!A210</f>
        <v>水道局</v>
      </c>
      <c r="B210" s="406"/>
      <c r="C210" s="181"/>
      <c r="D210" s="592"/>
      <c r="E210" s="592"/>
      <c r="F210" s="135"/>
      <c r="G210" s="181"/>
      <c r="H210" s="594"/>
      <c r="I210" s="424"/>
      <c r="J210" s="135"/>
      <c r="K210" s="594"/>
      <c r="L210" s="424"/>
      <c r="M210" s="135"/>
      <c r="N210" s="594"/>
      <c r="O210" s="424"/>
      <c r="P210" s="135"/>
    </row>
    <row r="211" customFormat="false" ht="18.75" hidden="false" customHeight="true" outlineLevel="0" collapsed="false">
      <c r="A211" s="121" t="str">
        <f aca="false">'☆掛負収入'!A211</f>
        <v>医療政策課(安芸市民)</v>
      </c>
      <c r="B211" s="595"/>
      <c r="C211" s="366"/>
      <c r="D211" s="595"/>
      <c r="E211" s="596"/>
      <c r="F211" s="393"/>
      <c r="G211" s="181"/>
      <c r="H211" s="597"/>
      <c r="I211" s="407"/>
      <c r="J211" s="135"/>
      <c r="K211" s="594"/>
      <c r="L211" s="424"/>
      <c r="M211" s="135"/>
      <c r="N211" s="594"/>
      <c r="O211" s="424"/>
      <c r="P211" s="135"/>
    </row>
    <row r="212" customFormat="false" ht="18.75" hidden="false" customHeight="true" outlineLevel="0" collapsed="false">
      <c r="A212" s="121" t="str">
        <f aca="false">'☆掛負収入'!A212</f>
        <v>教育委員会（教育給与課）</v>
      </c>
      <c r="B212" s="595"/>
      <c r="C212" s="181"/>
      <c r="D212" s="406"/>
      <c r="E212" s="598"/>
      <c r="F212" s="284"/>
      <c r="G212" s="181"/>
      <c r="H212" s="594"/>
      <c r="I212" s="424"/>
      <c r="J212" s="135"/>
      <c r="K212" s="594"/>
      <c r="L212" s="424"/>
      <c r="M212" s="135"/>
      <c r="N212" s="594"/>
      <c r="O212" s="424"/>
      <c r="P212" s="135"/>
    </row>
    <row r="213" customFormat="false" ht="18.75" hidden="true" customHeight="true" outlineLevel="0" collapsed="false">
      <c r="A213" s="599"/>
      <c r="B213" s="600"/>
      <c r="C213" s="210"/>
      <c r="D213" s="600"/>
      <c r="E213" s="601"/>
      <c r="F213" s="196"/>
      <c r="G213" s="687"/>
      <c r="H213" s="602"/>
      <c r="I213" s="603"/>
      <c r="J213" s="603"/>
      <c r="K213" s="602"/>
      <c r="L213" s="603"/>
      <c r="M213" s="312"/>
      <c r="N213" s="602"/>
      <c r="O213" s="603"/>
      <c r="P213" s="312"/>
    </row>
    <row r="214" customFormat="false" ht="18.75" hidden="true" customHeight="true" outlineLevel="0" collapsed="false">
      <c r="A214" s="604"/>
      <c r="B214" s="457"/>
      <c r="C214" s="132"/>
      <c r="D214" s="457"/>
      <c r="E214" s="458"/>
      <c r="F214" s="459"/>
      <c r="G214" s="435"/>
      <c r="H214" s="457"/>
      <c r="I214" s="458"/>
      <c r="J214" s="458"/>
      <c r="K214" s="457"/>
      <c r="L214" s="458"/>
      <c r="M214" s="131"/>
      <c r="N214" s="457"/>
      <c r="O214" s="458"/>
      <c r="P214" s="131"/>
    </row>
    <row r="215" customFormat="false" ht="18.75" hidden="true" customHeight="true" outlineLevel="0" collapsed="false">
      <c r="A215" s="604"/>
      <c r="B215" s="600"/>
      <c r="C215" s="210"/>
      <c r="D215" s="600"/>
      <c r="E215" s="601"/>
      <c r="F215" s="196"/>
      <c r="G215" s="687"/>
      <c r="H215" s="600"/>
      <c r="I215" s="601"/>
      <c r="J215" s="601"/>
      <c r="K215" s="600"/>
      <c r="L215" s="601"/>
      <c r="M215" s="312"/>
      <c r="N215" s="600"/>
      <c r="O215" s="601"/>
      <c r="P215" s="312"/>
    </row>
    <row r="216" customFormat="false" ht="18.75" hidden="true" customHeight="true" outlineLevel="0" collapsed="false">
      <c r="A216" s="605"/>
      <c r="B216" s="606"/>
      <c r="C216" s="607"/>
      <c r="D216" s="606"/>
      <c r="E216" s="490"/>
      <c r="F216" s="608"/>
      <c r="G216" s="689"/>
      <c r="H216" s="457"/>
      <c r="I216" s="609"/>
      <c r="J216" s="609"/>
      <c r="K216" s="457"/>
      <c r="L216" s="458"/>
      <c r="M216" s="131"/>
      <c r="N216" s="457"/>
      <c r="O216" s="458"/>
      <c r="P216" s="131"/>
    </row>
    <row r="217" customFormat="false" ht="18.75" hidden="false" customHeight="true" outlineLevel="0" collapsed="false">
      <c r="A217" s="171" t="str">
        <f aca="false">'☆掛負収入'!A217</f>
        <v>小　計</v>
      </c>
      <c r="B217" s="404"/>
      <c r="C217" s="174"/>
      <c r="D217" s="404"/>
      <c r="E217" s="174"/>
      <c r="F217" s="175"/>
      <c r="G217" s="176"/>
      <c r="H217" s="404"/>
      <c r="I217" s="174"/>
      <c r="J217" s="173"/>
      <c r="K217" s="404"/>
      <c r="L217" s="174"/>
      <c r="M217" s="176"/>
      <c r="N217" s="404"/>
      <c r="O217" s="174"/>
      <c r="P217" s="176"/>
    </row>
    <row r="218" customFormat="false" ht="18.75" hidden="false" customHeight="true" outlineLevel="0" collapsed="false">
      <c r="A218" s="177" t="str">
        <f aca="false">'☆掛負収入'!A218</f>
        <v>地方税共同機構</v>
      </c>
      <c r="B218" s="444" t="n">
        <f aca="false">'☆掛負収入'!B218</f>
        <v>0</v>
      </c>
      <c r="C218" s="235" t="n">
        <f aca="false">'☆掛負収入'!C218</f>
        <v>0</v>
      </c>
      <c r="D218" s="611" t="n">
        <f aca="false">'☆掛負収入'!D218</f>
        <v>0</v>
      </c>
      <c r="E218" s="447" t="n">
        <f aca="false">'☆掛負収入'!E218</f>
        <v>0</v>
      </c>
      <c r="F218" s="446" t="n">
        <f aca="false">'☆掛負収入'!F218</f>
        <v>0</v>
      </c>
      <c r="G218" s="181" t="n">
        <f aca="false">SUM(B218:F218)</f>
        <v>0</v>
      </c>
      <c r="H218" s="594" t="n">
        <f aca="false">'☆掛負収入'!H218</f>
        <v>0</v>
      </c>
      <c r="I218" s="424" t="n">
        <f aca="false">'☆掛負収入'!I218</f>
        <v>0</v>
      </c>
      <c r="J218" s="135" t="n">
        <f aca="false">SUM(H218:I218)</f>
        <v>0</v>
      </c>
      <c r="K218" s="439" t="n">
        <f aca="false">'☆掛負収入'!K218</f>
        <v>0</v>
      </c>
      <c r="L218" s="424" t="n">
        <f aca="false">'☆掛負収入'!L218</f>
        <v>0</v>
      </c>
      <c r="M218" s="135" t="n">
        <f aca="false">SUM(K218:L218)</f>
        <v>0</v>
      </c>
      <c r="N218" s="439" t="n">
        <f aca="false">'☆掛負収入'!N218</f>
        <v>0</v>
      </c>
      <c r="O218" s="424" t="n">
        <f aca="false">'☆掛負収入'!O218</f>
        <v>0</v>
      </c>
      <c r="P218" s="135" t="n">
        <f aca="false">SUM(N218:O218)</f>
        <v>0</v>
      </c>
    </row>
    <row r="219" customFormat="false" ht="18.75" hidden="false" customHeight="true" outlineLevel="0" collapsed="false">
      <c r="A219" s="100" t="str">
        <f aca="false">'☆掛負収入'!A219</f>
        <v>平和文化センター</v>
      </c>
      <c r="B219" s="449" t="n">
        <f aca="false">'☆掛負収入'!B219</f>
        <v>0</v>
      </c>
      <c r="C219" s="377" t="n">
        <f aca="false">'☆掛負収入'!C219</f>
        <v>0</v>
      </c>
      <c r="D219" s="464" t="n">
        <f aca="false">'☆掛負収入'!D219</f>
        <v>1500878</v>
      </c>
      <c r="E219" s="452" t="n">
        <f aca="false">'☆掛負収入'!E219</f>
        <v>123022</v>
      </c>
      <c r="F219" s="223" t="n">
        <f aca="false">'☆掛負収入'!F219</f>
        <v>1425</v>
      </c>
      <c r="G219" s="181" t="n">
        <f aca="false">SUM(B219:F219)</f>
        <v>1625325</v>
      </c>
      <c r="H219" s="594" t="n">
        <f aca="false">'☆掛負収入'!H219</f>
        <v>0</v>
      </c>
      <c r="I219" s="424" t="n">
        <f aca="false">'☆掛負収入'!I219</f>
        <v>851479</v>
      </c>
      <c r="J219" s="135" t="n">
        <f aca="false">SUM(H219:I219)</f>
        <v>851479</v>
      </c>
      <c r="K219" s="439" t="n">
        <f aca="false">'☆掛負収入'!K219</f>
        <v>0</v>
      </c>
      <c r="L219" s="424" t="n">
        <f aca="false">'☆掛負収入'!L219</f>
        <v>108719</v>
      </c>
      <c r="M219" s="135" t="n">
        <f aca="false">SUM(K219:L219)</f>
        <v>108719</v>
      </c>
      <c r="N219" s="439" t="n">
        <f aca="false">'☆掛負収入'!N219</f>
        <v>0</v>
      </c>
      <c r="O219" s="424" t="n">
        <f aca="false">'☆掛負収入'!O219</f>
        <v>18863</v>
      </c>
      <c r="P219" s="135" t="n">
        <f aca="false">SUM(N219:O219)</f>
        <v>18863</v>
      </c>
    </row>
    <row r="220" customFormat="false" ht="18.75" hidden="false" customHeight="true" outlineLevel="0" collapsed="false">
      <c r="A220" s="100" t="str">
        <f aca="false">'☆掛負収入'!A220</f>
        <v>社会福祉事業団</v>
      </c>
      <c r="B220" s="600"/>
      <c r="C220" s="210"/>
      <c r="D220" s="451" t="n">
        <f aca="false">'☆掛負収入'!D220</f>
        <v>4100217</v>
      </c>
      <c r="E220" s="453" t="n">
        <f aca="false">'☆掛負収入'!E220</f>
        <v>336079</v>
      </c>
      <c r="F220" s="223" t="n">
        <f aca="false">'☆掛負収入'!F220</f>
        <v>4035</v>
      </c>
      <c r="G220" s="181" t="n">
        <f aca="false">SUM(B220:F220)</f>
        <v>4440331</v>
      </c>
      <c r="H220" s="602"/>
      <c r="I220" s="424" t="n">
        <f aca="false">'☆掛負収入'!I220</f>
        <v>2386276</v>
      </c>
      <c r="J220" s="135" t="n">
        <f aca="false">SUM(H220:I220)</f>
        <v>2386276</v>
      </c>
      <c r="K220" s="612"/>
      <c r="L220" s="424" t="n">
        <f aca="false">'☆掛負収入'!L220</f>
        <v>271657</v>
      </c>
      <c r="M220" s="135" t="n">
        <f aca="false">SUM(K220:L220)</f>
        <v>271657</v>
      </c>
      <c r="N220" s="612"/>
      <c r="O220" s="424" t="n">
        <f aca="false">'☆掛負収入'!O220</f>
        <v>52855</v>
      </c>
      <c r="P220" s="135" t="n">
        <f aca="false">SUM(N220:O220)</f>
        <v>52855</v>
      </c>
    </row>
    <row r="221" customFormat="false" ht="18.75" hidden="false" customHeight="true" outlineLevel="0" collapsed="false">
      <c r="A221" s="100" t="str">
        <f aca="false">'☆掛負収入'!A221</f>
        <v>原爆障害対策協議会</v>
      </c>
      <c r="B221" s="600"/>
      <c r="C221" s="210"/>
      <c r="D221" s="449" t="n">
        <f aca="false">'☆掛負収入'!D221</f>
        <v>100467</v>
      </c>
      <c r="E221" s="453" t="n">
        <f aca="false">'☆掛負収入'!E221</f>
        <v>8235</v>
      </c>
      <c r="F221" s="223" t="n">
        <f aca="false">'☆掛負収入'!F221</f>
        <v>95</v>
      </c>
      <c r="G221" s="181" t="n">
        <f aca="false">SUM(B221:F221)</f>
        <v>108797</v>
      </c>
      <c r="H221" s="602"/>
      <c r="I221" s="424" t="n">
        <f aca="false">'☆掛負収入'!I221</f>
        <v>56997</v>
      </c>
      <c r="J221" s="135" t="n">
        <f aca="false">SUM(H221:I221)</f>
        <v>56997</v>
      </c>
      <c r="K221" s="612"/>
      <c r="L221" s="424" t="n">
        <f aca="false">'☆掛負収入'!L221</f>
        <v>8674</v>
      </c>
      <c r="M221" s="135" t="n">
        <f aca="false">SUM(K221:L221)</f>
        <v>8674</v>
      </c>
      <c r="N221" s="612"/>
      <c r="O221" s="424" t="n">
        <f aca="false">'☆掛負収入'!O221</f>
        <v>1262</v>
      </c>
      <c r="P221" s="135" t="n">
        <f aca="false">SUM(N221:O221)</f>
        <v>1262</v>
      </c>
    </row>
    <row r="222" customFormat="false" ht="18.75" hidden="false" customHeight="true" outlineLevel="0" collapsed="false">
      <c r="A222" s="189" t="str">
        <f aca="false">'☆掛負収入'!A222</f>
        <v>産業振興センター</v>
      </c>
      <c r="B222" s="600"/>
      <c r="C222" s="210"/>
      <c r="D222" s="449" t="n">
        <f aca="false">'☆掛負収入'!D222</f>
        <v>761008</v>
      </c>
      <c r="E222" s="453" t="n">
        <f aca="false">'☆掛負収入'!E222</f>
        <v>62378</v>
      </c>
      <c r="F222" s="223" t="n">
        <f aca="false">'☆掛負収入'!F222</f>
        <v>817</v>
      </c>
      <c r="G222" s="181" t="n">
        <f aca="false">SUM(B222:F222)</f>
        <v>824203</v>
      </c>
      <c r="H222" s="602"/>
      <c r="I222" s="424" t="n">
        <f aca="false">'☆掛負収入'!I222</f>
        <v>431790</v>
      </c>
      <c r="J222" s="135" t="n">
        <f aca="false">SUM(H222:I222)</f>
        <v>431790</v>
      </c>
      <c r="K222" s="612"/>
      <c r="L222" s="424" t="n">
        <f aca="false">'☆掛負収入'!L222</f>
        <v>55725</v>
      </c>
      <c r="M222" s="135" t="n">
        <f aca="false">SUM(K222:L222)</f>
        <v>55725</v>
      </c>
      <c r="N222" s="612"/>
      <c r="O222" s="424" t="n">
        <f aca="false">'☆掛負収入'!O222</f>
        <v>9563</v>
      </c>
      <c r="P222" s="135" t="n">
        <f aca="false">SUM(N222:O222)</f>
        <v>9563</v>
      </c>
    </row>
    <row r="223" customFormat="false" ht="18.75" hidden="false" customHeight="true" outlineLevel="0" collapsed="false">
      <c r="A223" s="121" t="str">
        <f aca="false">'☆掛負収入'!A223</f>
        <v>ひろしま産業振興</v>
      </c>
      <c r="B223" s="600"/>
      <c r="C223" s="459"/>
      <c r="D223" s="449" t="n">
        <f aca="false">'☆掛負収入'!D223</f>
        <v>97264</v>
      </c>
      <c r="E223" s="453" t="n">
        <f aca="false">'☆掛負収入'!E223</f>
        <v>7972</v>
      </c>
      <c r="F223" s="454" t="n">
        <f aca="false">'☆掛負収入'!F223</f>
        <v>92</v>
      </c>
      <c r="G223" s="181" t="n">
        <f aca="false">SUM(B223:F223)</f>
        <v>105328</v>
      </c>
      <c r="H223" s="602"/>
      <c r="I223" s="407" t="n">
        <f aca="false">'☆掛負収入'!I223</f>
        <v>55180</v>
      </c>
      <c r="J223" s="135" t="n">
        <f aca="false">SUM(H223:I223)</f>
        <v>55180</v>
      </c>
      <c r="K223" s="612"/>
      <c r="L223" s="407" t="n">
        <f aca="false">'☆掛負収入'!L223</f>
        <v>8397</v>
      </c>
      <c r="M223" s="135" t="n">
        <f aca="false">SUM(K223:L223)</f>
        <v>8397</v>
      </c>
      <c r="N223" s="612"/>
      <c r="O223" s="407" t="n">
        <f aca="false">'☆掛負収入'!O223</f>
        <v>1222</v>
      </c>
      <c r="P223" s="135" t="n">
        <f aca="false">SUM(N223:O223)</f>
        <v>1222</v>
      </c>
    </row>
    <row r="224" customFormat="false" ht="18.75" hidden="false" customHeight="true" outlineLevel="0" collapsed="false">
      <c r="A224" s="121" t="str">
        <f aca="false">'☆掛負収入'!A224</f>
        <v>都市整備公社　市</v>
      </c>
      <c r="B224" s="600"/>
      <c r="C224" s="459"/>
      <c r="D224" s="451" t="n">
        <f aca="false">'☆掛負収入'!D224</f>
        <v>0</v>
      </c>
      <c r="E224" s="453" t="n">
        <f aca="false">'☆掛負収入'!E224</f>
        <v>0</v>
      </c>
      <c r="F224" s="223" t="n">
        <f aca="false">'☆掛負収入'!F224</f>
        <v>0</v>
      </c>
      <c r="G224" s="181" t="n">
        <f aca="false">SUM(B224:F224)</f>
        <v>0</v>
      </c>
      <c r="H224" s="602"/>
      <c r="I224" s="424" t="n">
        <f aca="false">'☆掛負収入'!I224</f>
        <v>0</v>
      </c>
      <c r="J224" s="135" t="n">
        <f aca="false">SUM(H224:I224)</f>
        <v>0</v>
      </c>
      <c r="K224" s="612"/>
      <c r="L224" s="424" t="n">
        <f aca="false">'☆掛負収入'!L224</f>
        <v>0</v>
      </c>
      <c r="M224" s="135" t="n">
        <f aca="false">SUM(K224:L224)</f>
        <v>0</v>
      </c>
      <c r="N224" s="612"/>
      <c r="O224" s="424" t="n">
        <f aca="false">'☆掛負収入'!O224</f>
        <v>0</v>
      </c>
      <c r="P224" s="135" t="n">
        <f aca="false">SUM(N224:O224)</f>
        <v>0</v>
      </c>
    </row>
    <row r="225" customFormat="false" ht="18.75" hidden="false" customHeight="true" outlineLevel="0" collapsed="false">
      <c r="A225" s="192"/>
      <c r="B225" s="600"/>
      <c r="C225" s="196"/>
      <c r="D225" s="449"/>
      <c r="E225" s="453"/>
      <c r="F225" s="223"/>
      <c r="G225" s="181"/>
      <c r="H225" s="602"/>
      <c r="I225" s="424"/>
      <c r="J225" s="135"/>
      <c r="K225" s="612"/>
      <c r="L225" s="424"/>
      <c r="M225" s="135" t="n">
        <f aca="false">SUM(K225:L225)</f>
        <v>0</v>
      </c>
      <c r="N225" s="612"/>
      <c r="O225" s="424"/>
      <c r="P225" s="135" t="n">
        <f aca="false">SUM(N225:O225)</f>
        <v>0</v>
      </c>
    </row>
    <row r="226" customFormat="false" ht="18.75" hidden="false" customHeight="true" outlineLevel="0" collapsed="false">
      <c r="A226" s="121" t="str">
        <f aca="false">'☆掛負収入'!A226</f>
        <v>日本下水道事業団</v>
      </c>
      <c r="B226" s="451" t="n">
        <f aca="false">'☆掛負収入'!B226</f>
        <v>472780</v>
      </c>
      <c r="C226" s="223" t="n">
        <f aca="false">'☆掛負収入'!C226</f>
        <v>38752</v>
      </c>
      <c r="D226" s="449" t="n">
        <f aca="false">'☆掛負収入'!D226</f>
        <v>472781</v>
      </c>
      <c r="E226" s="453" t="n">
        <f aca="false">'☆掛負収入'!E226</f>
        <v>38752</v>
      </c>
      <c r="F226" s="223" t="n">
        <f aca="false">'☆掛負収入'!F226</f>
        <v>449</v>
      </c>
      <c r="G226" s="181" t="n">
        <f aca="false">SUM(B226:F226)</f>
        <v>1023514</v>
      </c>
      <c r="H226" s="594" t="n">
        <f aca="false">'☆掛負収入'!H226</f>
        <v>267959</v>
      </c>
      <c r="I226" s="424" t="n">
        <f aca="false">'☆掛負収入'!I226</f>
        <v>268218</v>
      </c>
      <c r="J226" s="135" t="n">
        <f aca="false">SUM(H226:I226)</f>
        <v>536177</v>
      </c>
      <c r="K226" s="439" t="n">
        <f aca="false">'☆掛負収入'!K226</f>
        <v>19702</v>
      </c>
      <c r="L226" s="424" t="n">
        <f aca="false">'☆掛負収入'!L226</f>
        <v>19702</v>
      </c>
      <c r="M226" s="135" t="n">
        <f aca="false">SUM(K226:L226)</f>
        <v>39404</v>
      </c>
      <c r="N226" s="439" t="n">
        <f aca="false">'☆掛負収入'!N226</f>
        <v>5940</v>
      </c>
      <c r="O226" s="424" t="n">
        <f aca="false">'☆掛負収入'!O226</f>
        <v>5942</v>
      </c>
      <c r="P226" s="135" t="n">
        <f aca="false">SUM(N226:O226)</f>
        <v>11882</v>
      </c>
    </row>
    <row r="227" customFormat="false" ht="18.75" hidden="false" customHeight="true" outlineLevel="0" collapsed="false">
      <c r="A227" s="100" t="str">
        <f aca="false">'☆掛負収入'!A227</f>
        <v>地方公務員災害補償基金本部</v>
      </c>
      <c r="B227" s="451" t="n">
        <f aca="false">'☆掛負収入'!B227</f>
        <v>73474</v>
      </c>
      <c r="C227" s="223" t="n">
        <f aca="false">'☆掛負収入'!C227</f>
        <v>6022</v>
      </c>
      <c r="D227" s="449" t="n">
        <f aca="false">'☆掛負収入'!D227</f>
        <v>73475</v>
      </c>
      <c r="E227" s="453" t="n">
        <f aca="false">'☆掛負収入'!E227</f>
        <v>6022</v>
      </c>
      <c r="F227" s="223" t="n">
        <f aca="false">'☆掛負収入'!F227</f>
        <v>69</v>
      </c>
      <c r="G227" s="181" t="n">
        <f aca="false">SUM(B227:F227)</f>
        <v>159062</v>
      </c>
      <c r="H227" s="594" t="n">
        <f aca="false">'☆掛負収入'!H227</f>
        <v>41643</v>
      </c>
      <c r="I227" s="424" t="n">
        <f aca="false">'☆掛負収入'!I227</f>
        <v>41683</v>
      </c>
      <c r="J227" s="135" t="n">
        <f aca="false">SUM(H227:I227)</f>
        <v>83326</v>
      </c>
      <c r="K227" s="439" t="n">
        <f aca="false">'☆掛負収入'!K227</f>
        <v>0</v>
      </c>
      <c r="L227" s="424" t="n">
        <f aca="false">'☆掛負収入'!L227</f>
        <v>0</v>
      </c>
      <c r="M227" s="135" t="n">
        <f aca="false">SUM(K227:L227)</f>
        <v>0</v>
      </c>
      <c r="N227" s="439" t="n">
        <f aca="false">'☆掛負収入'!N227</f>
        <v>923</v>
      </c>
      <c r="O227" s="424" t="n">
        <f aca="false">'☆掛負収入'!O227</f>
        <v>923</v>
      </c>
      <c r="P227" s="135" t="n">
        <f aca="false">SUM(N227:O227)</f>
        <v>1846</v>
      </c>
    </row>
    <row r="228" customFormat="false" ht="18.75" hidden="false" customHeight="true" outlineLevel="0" collapsed="false">
      <c r="A228" s="197"/>
      <c r="B228" s="449"/>
      <c r="C228" s="223"/>
      <c r="D228" s="449"/>
      <c r="E228" s="453"/>
      <c r="F228" s="223"/>
      <c r="G228" s="181"/>
      <c r="H228" s="594"/>
      <c r="I228" s="424"/>
      <c r="J228" s="135"/>
      <c r="K228" s="439"/>
      <c r="L228" s="424"/>
      <c r="M228" s="135" t="n">
        <f aca="false">SUM(K228:L228)</f>
        <v>0</v>
      </c>
      <c r="N228" s="439"/>
      <c r="O228" s="424"/>
      <c r="P228" s="135" t="n">
        <f aca="false">SUM(N228:O228)</f>
        <v>0</v>
      </c>
    </row>
    <row r="229" customFormat="false" ht="18.75" hidden="false" customHeight="true" outlineLevel="0" collapsed="false">
      <c r="A229" s="100" t="str">
        <f aca="false">'☆掛負収入'!A229</f>
        <v>高速道路公社</v>
      </c>
      <c r="B229" s="464" t="n">
        <f aca="false">'☆掛負収入'!B229</f>
        <v>1493001</v>
      </c>
      <c r="C229" s="454" t="n">
        <f aca="false">'☆掛負収入'!C229</f>
        <v>122373</v>
      </c>
      <c r="D229" s="464" t="n">
        <f aca="false">'☆掛負収入'!D229</f>
        <v>1493006</v>
      </c>
      <c r="E229" s="470" t="n">
        <f aca="false">'☆掛負収入'!E229</f>
        <v>122378</v>
      </c>
      <c r="F229" s="466" t="n">
        <f aca="false">'☆掛負収入'!F229</f>
        <v>1474</v>
      </c>
      <c r="G229" s="181" t="n">
        <f aca="false">SUM(B229:F229)</f>
        <v>3232232</v>
      </c>
      <c r="H229" s="613" t="n">
        <f aca="false">'☆掛負収入'!H229</f>
        <v>846191</v>
      </c>
      <c r="I229" s="614" t="n">
        <f aca="false">'☆掛負収入'!I229</f>
        <v>847048</v>
      </c>
      <c r="J229" s="135" t="n">
        <f aca="false">SUM(H229:I229)</f>
        <v>1693239</v>
      </c>
      <c r="K229" s="615" t="n">
        <f aca="false">'☆掛負収入'!K229</f>
        <v>85096</v>
      </c>
      <c r="L229" s="614" t="n">
        <f aca="false">'☆掛負収入'!L229</f>
        <v>85098</v>
      </c>
      <c r="M229" s="135" t="n">
        <f aca="false">SUM(K229:L229)</f>
        <v>170194</v>
      </c>
      <c r="N229" s="615" t="n">
        <f aca="false">'☆掛負収入'!N229</f>
        <v>18756</v>
      </c>
      <c r="O229" s="614" t="n">
        <f aca="false">'☆掛負収入'!O229</f>
        <v>18765</v>
      </c>
      <c r="P229" s="135" t="n">
        <f aca="false">SUM(N229:O229)</f>
        <v>37521</v>
      </c>
    </row>
    <row r="230" customFormat="false" ht="18.75" hidden="false" customHeight="true" outlineLevel="0" collapsed="false">
      <c r="A230" s="100" t="str">
        <f aca="false">'☆掛負収入'!A230</f>
        <v>農林水産振興センタ</v>
      </c>
      <c r="B230" s="457"/>
      <c r="C230" s="459"/>
      <c r="D230" s="451" t="n">
        <f aca="false">'☆掛負収入'!D230</f>
        <v>1167447</v>
      </c>
      <c r="E230" s="473" t="n">
        <f aca="false">'☆掛負収入'!E230</f>
        <v>95691</v>
      </c>
      <c r="F230" s="454" t="n">
        <f aca="false">'☆掛負収入'!F230</f>
        <v>1105</v>
      </c>
      <c r="G230" s="181" t="n">
        <f aca="false">SUM(B230:F230)</f>
        <v>1264243</v>
      </c>
      <c r="H230" s="616"/>
      <c r="I230" s="407" t="n">
        <f aca="false">'☆掛負収入'!I230</f>
        <v>662316</v>
      </c>
      <c r="J230" s="135" t="n">
        <f aca="false">SUM(H230:I230)</f>
        <v>662316</v>
      </c>
      <c r="K230" s="617"/>
      <c r="L230" s="407" t="n">
        <f aca="false">'☆掛負収入'!L230</f>
        <v>56658</v>
      </c>
      <c r="M230" s="135" t="n">
        <f aca="false">SUM(K230:L230)</f>
        <v>56658</v>
      </c>
      <c r="N230" s="617"/>
      <c r="O230" s="407" t="n">
        <f aca="false">'☆掛負収入'!O230</f>
        <v>14669</v>
      </c>
      <c r="P230" s="135" t="n">
        <f aca="false">SUM(N230:O230)</f>
        <v>14669</v>
      </c>
    </row>
    <row r="231" customFormat="false" ht="18.75" hidden="false" customHeight="true" outlineLevel="0" collapsed="false">
      <c r="A231" s="203" t="str">
        <f aca="false">'☆掛負収入'!A231</f>
        <v>文化財団　市長部局</v>
      </c>
      <c r="B231" s="600"/>
      <c r="C231" s="196"/>
      <c r="D231" s="449" t="n">
        <f aca="false">'☆掛負収入'!D231</f>
        <v>2185941</v>
      </c>
      <c r="E231" s="453" t="n">
        <f aca="false">'☆掛負収入'!E231</f>
        <v>179172</v>
      </c>
      <c r="F231" s="454" t="n">
        <f aca="false">'☆掛負収入'!F231</f>
        <v>2073</v>
      </c>
      <c r="G231" s="181" t="n">
        <f aca="false">SUM(B231:F231)</f>
        <v>2367186</v>
      </c>
      <c r="H231" s="602"/>
      <c r="I231" s="407" t="n">
        <f aca="false">'☆掛負収入'!I231</f>
        <v>1240127</v>
      </c>
      <c r="J231" s="135" t="n">
        <f aca="false">SUM(H231:I231)</f>
        <v>1240127</v>
      </c>
      <c r="K231" s="612"/>
      <c r="L231" s="407" t="n">
        <f aca="false">'☆掛負収入'!L231</f>
        <v>181974</v>
      </c>
      <c r="M231" s="135" t="n">
        <f aca="false">SUM(K231:L231)</f>
        <v>181974</v>
      </c>
      <c r="N231" s="612"/>
      <c r="O231" s="407" t="n">
        <f aca="false">'☆掛負収入'!O231</f>
        <v>27471</v>
      </c>
      <c r="P231" s="135" t="n">
        <f aca="false">SUM(N231:O231)</f>
        <v>27471</v>
      </c>
    </row>
    <row r="232" customFormat="false" ht="18.75" hidden="false" customHeight="true" outlineLevel="0" collapsed="false">
      <c r="A232" s="204"/>
      <c r="B232" s="600"/>
      <c r="C232" s="196"/>
      <c r="D232" s="449"/>
      <c r="E232" s="453"/>
      <c r="F232" s="454"/>
      <c r="G232" s="181"/>
      <c r="H232" s="602"/>
      <c r="I232" s="407"/>
      <c r="J232" s="135"/>
      <c r="K232" s="612"/>
      <c r="L232" s="407"/>
      <c r="M232" s="135" t="n">
        <f aca="false">SUM(K232:L232)</f>
        <v>0</v>
      </c>
      <c r="N232" s="612"/>
      <c r="O232" s="407"/>
      <c r="P232" s="135" t="n">
        <f aca="false">SUM(N232:O232)</f>
        <v>0</v>
      </c>
    </row>
    <row r="233" customFormat="false" ht="18.75" hidden="false" customHeight="true" outlineLevel="0" collapsed="false">
      <c r="A233" s="100" t="str">
        <f aca="false">'☆掛負収入'!A233</f>
        <v>みどり生きもの協会</v>
      </c>
      <c r="B233" s="600"/>
      <c r="C233" s="196"/>
      <c r="D233" s="449" t="n">
        <f aca="false">'☆掛負収入'!D233</f>
        <v>917199</v>
      </c>
      <c r="E233" s="453" t="n">
        <f aca="false">'☆掛負収入'!E233</f>
        <v>75179</v>
      </c>
      <c r="F233" s="454" t="n">
        <f aca="false">'☆掛負収入'!F233</f>
        <v>869</v>
      </c>
      <c r="G233" s="181" t="n">
        <f aca="false">SUM(B233:F233)</f>
        <v>993247</v>
      </c>
      <c r="H233" s="602"/>
      <c r="I233" s="407" t="n">
        <f aca="false">'☆掛負収入'!I233</f>
        <v>520344</v>
      </c>
      <c r="J233" s="135" t="n">
        <f aca="false">SUM(H233:I233)</f>
        <v>520344</v>
      </c>
      <c r="K233" s="612"/>
      <c r="L233" s="407" t="n">
        <f aca="false">'☆掛負収入'!L233</f>
        <v>79187</v>
      </c>
      <c r="M233" s="135" t="n">
        <f aca="false">SUM(K233:L233)</f>
        <v>79187</v>
      </c>
      <c r="N233" s="612"/>
      <c r="O233" s="407" t="n">
        <f aca="false">'☆掛負収入'!O233</f>
        <v>11526</v>
      </c>
      <c r="P233" s="135" t="n">
        <f aca="false">SUM(N233:O233)</f>
        <v>11526</v>
      </c>
    </row>
    <row r="234" customFormat="false" ht="18.75" hidden="false" customHeight="true" outlineLevel="0" collapsed="false">
      <c r="A234" s="121" t="str">
        <f aca="false">'☆掛負収入'!A234</f>
        <v>県下水道公社</v>
      </c>
      <c r="B234" s="449" t="n">
        <f aca="false">'☆掛負収入'!B234</f>
        <v>295178</v>
      </c>
      <c r="C234" s="223" t="n">
        <f aca="false">'☆掛負収入'!C234</f>
        <v>24194</v>
      </c>
      <c r="D234" s="449" t="n">
        <f aca="false">'☆掛負収入'!D234</f>
        <v>295180</v>
      </c>
      <c r="E234" s="453" t="n">
        <f aca="false">'☆掛負収入'!E234</f>
        <v>24195</v>
      </c>
      <c r="F234" s="454" t="n">
        <f aca="false">'☆掛負収入'!F234</f>
        <v>280</v>
      </c>
      <c r="G234" s="181" t="n">
        <f aca="false">SUM(B234:F234)</f>
        <v>639027</v>
      </c>
      <c r="H234" s="594" t="n">
        <f aca="false">'☆掛負収入'!H234</f>
        <v>167299</v>
      </c>
      <c r="I234" s="407" t="n">
        <f aca="false">'☆掛負収入'!I234</f>
        <v>167461</v>
      </c>
      <c r="J234" s="135" t="n">
        <f aca="false">SUM(H234:I234)</f>
        <v>334760</v>
      </c>
      <c r="K234" s="439" t="n">
        <f aca="false">'☆掛負収入'!K234</f>
        <v>18983</v>
      </c>
      <c r="L234" s="407" t="n">
        <f aca="false">'☆掛負収入'!L234</f>
        <v>18983</v>
      </c>
      <c r="M234" s="135" t="n">
        <f aca="false">SUM(K234:L234)</f>
        <v>37966</v>
      </c>
      <c r="N234" s="439" t="n">
        <f aca="false">'☆掛負収入'!N234</f>
        <v>3709</v>
      </c>
      <c r="O234" s="407" t="n">
        <f aca="false">'☆掛負収入'!O234</f>
        <v>3709</v>
      </c>
      <c r="P234" s="135" t="n">
        <f aca="false">SUM(N234:O234)</f>
        <v>7418</v>
      </c>
    </row>
    <row r="235" customFormat="false" ht="18.75" hidden="false" customHeight="true" outlineLevel="0" collapsed="false">
      <c r="A235" s="121" t="str">
        <f aca="false">'☆掛負収入'!A235</f>
        <v>バス協調・共創
プラットフォーム</v>
      </c>
      <c r="B235" s="457"/>
      <c r="C235" s="459"/>
      <c r="D235" s="451" t="n">
        <f aca="false">'☆掛負収入'!D235</f>
        <v>866873</v>
      </c>
      <c r="E235" s="473" t="n">
        <f aca="false">'☆掛負収入'!E235</f>
        <v>71055</v>
      </c>
      <c r="F235" s="454" t="n">
        <f aca="false">'☆掛負収入'!F235</f>
        <v>823</v>
      </c>
      <c r="G235" s="181" t="n">
        <f aca="false">SUM(B235:F235)</f>
        <v>938751</v>
      </c>
      <c r="H235" s="616"/>
      <c r="I235" s="407" t="n">
        <f aca="false">'☆掛負収入'!I235</f>
        <v>491795</v>
      </c>
      <c r="J235" s="135" t="n">
        <f aca="false">SUM(H235:I235)</f>
        <v>491795</v>
      </c>
      <c r="K235" s="617"/>
      <c r="L235" s="407" t="n">
        <f aca="false">'☆掛負収入'!L235</f>
        <v>42612</v>
      </c>
      <c r="M235" s="135" t="n">
        <f aca="false">SUM(K235:L235)</f>
        <v>42612</v>
      </c>
      <c r="N235" s="617"/>
      <c r="O235" s="407" t="n">
        <f aca="false">'☆掛負収入'!O235</f>
        <v>10895</v>
      </c>
      <c r="P235" s="135" t="n">
        <f aca="false">SUM(N235:O235)</f>
        <v>10895</v>
      </c>
    </row>
    <row r="236" customFormat="false" ht="18.75" hidden="false" customHeight="true" outlineLevel="0" collapsed="false">
      <c r="A236" s="121" t="str">
        <f aca="false">'☆掛負収入'!A236</f>
        <v>広島県市長会</v>
      </c>
      <c r="B236" s="449" t="n">
        <f aca="false">'☆掛負収入'!B236</f>
        <v>118309</v>
      </c>
      <c r="C236" s="223" t="n">
        <f aca="false">'☆掛負収入'!C236</f>
        <v>9697</v>
      </c>
      <c r="D236" s="449" t="n">
        <f aca="false">'☆掛負収入'!D236</f>
        <v>118310</v>
      </c>
      <c r="E236" s="453" t="n">
        <f aca="false">'☆掛負収入'!E236</f>
        <v>9697</v>
      </c>
      <c r="F236" s="223" t="n">
        <f aca="false">'☆掛負収入'!F236</f>
        <v>112</v>
      </c>
      <c r="G236" s="181" t="n">
        <f aca="false">SUM(B236:F236)</f>
        <v>256125</v>
      </c>
      <c r="H236" s="594" t="n">
        <f aca="false">'☆掛負収入'!H236</f>
        <v>67054</v>
      </c>
      <c r="I236" s="424" t="n">
        <f aca="false">'☆掛負収入'!I236</f>
        <v>67119</v>
      </c>
      <c r="J236" s="135" t="n">
        <f aca="false">SUM(H236:I236)</f>
        <v>134173</v>
      </c>
      <c r="K236" s="439" t="n">
        <f aca="false">'☆掛負収入'!K236</f>
        <v>10214</v>
      </c>
      <c r="L236" s="424" t="n">
        <f aca="false">'☆掛負収入'!L236</f>
        <v>10214</v>
      </c>
      <c r="M236" s="135" t="n">
        <f aca="false">SUM(K236:L236)</f>
        <v>20428</v>
      </c>
      <c r="N236" s="439" t="n">
        <f aca="false">'☆掛負収入'!N236</f>
        <v>1486</v>
      </c>
      <c r="O236" s="424" t="n">
        <f aca="false">'☆掛負収入'!O236</f>
        <v>1486</v>
      </c>
      <c r="P236" s="135" t="n">
        <f aca="false">SUM(N236:O236)</f>
        <v>2972</v>
      </c>
    </row>
    <row r="237" customFormat="false" ht="18.75" hidden="false" customHeight="true" outlineLevel="0" collapsed="false">
      <c r="A237" s="189" t="str">
        <f aca="false">'☆掛負収入'!A237</f>
        <v>全国市町村研修財団</v>
      </c>
      <c r="B237" s="451" t="n">
        <f aca="false">'☆掛負収入'!B237</f>
        <v>137250</v>
      </c>
      <c r="C237" s="223" t="n">
        <f aca="false">'☆掛負収入'!C237</f>
        <v>11250</v>
      </c>
      <c r="D237" s="449" t="n">
        <f aca="false">'☆掛負収入'!D237</f>
        <v>137250</v>
      </c>
      <c r="E237" s="453" t="n">
        <f aca="false">'☆掛負収入'!E237</f>
        <v>11250</v>
      </c>
      <c r="F237" s="223" t="n">
        <f aca="false">'☆掛負収入'!F237</f>
        <v>130</v>
      </c>
      <c r="G237" s="181" t="n">
        <f aca="false">SUM(B237:F237)</f>
        <v>297130</v>
      </c>
      <c r="H237" s="594" t="n">
        <f aca="false">'☆掛負収入'!H237</f>
        <v>82872</v>
      </c>
      <c r="I237" s="424" t="n">
        <f aca="false">'☆掛負収入'!I237</f>
        <v>82952</v>
      </c>
      <c r="J237" s="135" t="n">
        <f aca="false">SUM(H237:I237)</f>
        <v>165824</v>
      </c>
      <c r="K237" s="439" t="n">
        <f aca="false">'☆掛負収入'!K237</f>
        <v>12624</v>
      </c>
      <c r="L237" s="424" t="n">
        <f aca="false">'☆掛負収入'!L237</f>
        <v>12624</v>
      </c>
      <c r="M237" s="135" t="n">
        <f aca="false">SUM(K237:L237)</f>
        <v>25248</v>
      </c>
      <c r="N237" s="439" t="n">
        <f aca="false">'☆掛負収入'!N237</f>
        <v>1837</v>
      </c>
      <c r="O237" s="424" t="n">
        <f aca="false">'☆掛負収入'!O237</f>
        <v>1837</v>
      </c>
      <c r="P237" s="135" t="n">
        <f aca="false">SUM(N237:O237)</f>
        <v>3674</v>
      </c>
    </row>
    <row r="238" customFormat="false" ht="18.75" hidden="false" customHeight="true" outlineLevel="0" collapsed="false">
      <c r="A238" s="189" t="str">
        <f aca="false">'☆掛負収入'!A238</f>
        <v>都市再生機構</v>
      </c>
      <c r="B238" s="449" t="n">
        <f aca="false">'☆掛負収入'!B238</f>
        <v>97264</v>
      </c>
      <c r="C238" s="223" t="n">
        <f aca="false">'☆掛負収入'!C238</f>
        <v>7972</v>
      </c>
      <c r="D238" s="449" t="n">
        <f aca="false">'☆掛負収入'!D238</f>
        <v>97265</v>
      </c>
      <c r="E238" s="453" t="n">
        <f aca="false">'☆掛負収入'!E238</f>
        <v>7972</v>
      </c>
      <c r="F238" s="223" t="n">
        <f aca="false">'☆掛負収入'!F238</f>
        <v>92</v>
      </c>
      <c r="G238" s="181" t="n">
        <f aca="false">SUM(B238:F238)</f>
        <v>210565</v>
      </c>
      <c r="H238" s="594" t="n">
        <f aca="false">'☆掛負収入'!H238</f>
        <v>55127</v>
      </c>
      <c r="I238" s="424" t="n">
        <f aca="false">'☆掛負収入'!I238</f>
        <v>55180</v>
      </c>
      <c r="J238" s="135" t="n">
        <f aca="false">SUM(H238:I238)</f>
        <v>110307</v>
      </c>
      <c r="K238" s="439" t="n">
        <f aca="false">'☆掛負収入'!K238</f>
        <v>0</v>
      </c>
      <c r="L238" s="424" t="n">
        <f aca="false">'☆掛負収入'!L238</f>
        <v>0</v>
      </c>
      <c r="M238" s="135" t="n">
        <f aca="false">SUM(K238:L238)</f>
        <v>0</v>
      </c>
      <c r="N238" s="439" t="n">
        <f aca="false">'☆掛負収入'!N238</f>
        <v>1222</v>
      </c>
      <c r="O238" s="424" t="n">
        <f aca="false">'☆掛負収入'!O238</f>
        <v>1222</v>
      </c>
      <c r="P238" s="135" t="n">
        <f aca="false">SUM(N238:O238)</f>
        <v>2444</v>
      </c>
    </row>
    <row r="239" customFormat="false" ht="18.75" hidden="false" customHeight="true" outlineLevel="0" collapsed="false">
      <c r="A239" s="121" t="str">
        <f aca="false">'☆掛負収入'!A239</f>
        <v>広島市立大学</v>
      </c>
      <c r="B239" s="406" t="n">
        <f aca="false">'☆掛負収入'!B239</f>
        <v>2344680</v>
      </c>
      <c r="C239" s="135" t="n">
        <f aca="false">'☆掛負収入'!C239</f>
        <v>192180</v>
      </c>
      <c r="D239" s="406" t="n">
        <f aca="false">'☆掛負収入'!D239</f>
        <v>2352564</v>
      </c>
      <c r="E239" s="439" t="n">
        <f aca="false">'☆掛負収入'!E239</f>
        <v>192510</v>
      </c>
      <c r="F239" s="223" t="n">
        <f aca="false">'☆掛負収入'!F239</f>
        <v>2230</v>
      </c>
      <c r="G239" s="181" t="n">
        <f aca="false">SUM(B239:F239)</f>
        <v>5084164</v>
      </c>
      <c r="H239" s="594" t="n">
        <f aca="false">'☆掛負収入'!H239</f>
        <v>1331127</v>
      </c>
      <c r="I239" s="424" t="n">
        <f aca="false">'☆掛負収入'!I239</f>
        <v>1332425</v>
      </c>
      <c r="J239" s="135" t="n">
        <f aca="false">SUM(H239:I239)</f>
        <v>2663552</v>
      </c>
      <c r="K239" s="439" t="n">
        <f aca="false">'☆掛負収入'!K239</f>
        <v>158559</v>
      </c>
      <c r="L239" s="424" t="n">
        <f aca="false">'☆掛負収入'!L239</f>
        <v>158568</v>
      </c>
      <c r="M239" s="135" t="n">
        <f aca="false">SUM(K239:L239)</f>
        <v>317127</v>
      </c>
      <c r="N239" s="439" t="n">
        <f aca="false">'☆掛負収入'!N239</f>
        <v>29507</v>
      </c>
      <c r="O239" s="424" t="n">
        <f aca="false">'☆掛負収入'!O239</f>
        <v>29518</v>
      </c>
      <c r="P239" s="135" t="n">
        <f aca="false">SUM(N239:O239)</f>
        <v>59025</v>
      </c>
    </row>
    <row r="240" customFormat="false" ht="18.75" hidden="false" customHeight="true" outlineLevel="0" collapsed="false">
      <c r="A240" s="121" t="str">
        <f aca="false">'☆掛負収入'!A240</f>
        <v>社会福祉協議会</v>
      </c>
      <c r="B240" s="406" t="n">
        <f aca="false">'☆掛負収入'!B240</f>
        <v>0</v>
      </c>
      <c r="C240" s="135" t="n">
        <f aca="false">'☆掛負収入'!C240</f>
        <v>0</v>
      </c>
      <c r="D240" s="406" t="n">
        <f aca="false">'☆掛負収入'!D240</f>
        <v>463724</v>
      </c>
      <c r="E240" s="439" t="n">
        <f aca="false">'☆掛負収入'!E240</f>
        <v>38010</v>
      </c>
      <c r="F240" s="223" t="n">
        <f aca="false">'☆掛負収入'!F240</f>
        <v>440</v>
      </c>
      <c r="G240" s="181" t="n">
        <f aca="false">SUM(B240:F240)</f>
        <v>502174</v>
      </c>
      <c r="H240" s="594" t="n">
        <f aca="false">'☆掛負収入'!H240</f>
        <v>0</v>
      </c>
      <c r="I240" s="424" t="n">
        <f aca="false">'☆掛負収入'!I240</f>
        <v>277095</v>
      </c>
      <c r="J240" s="135" t="n">
        <f aca="false">SUM(H240:I240)</f>
        <v>277095</v>
      </c>
      <c r="K240" s="439" t="n">
        <f aca="false">'☆掛負収入'!K240</f>
        <v>0</v>
      </c>
      <c r="L240" s="424" t="n">
        <f aca="false">'☆掛負収入'!L240</f>
        <v>22649</v>
      </c>
      <c r="M240" s="135" t="n">
        <f aca="false">SUM(K240:L240)</f>
        <v>22649</v>
      </c>
      <c r="N240" s="439" t="n">
        <f aca="false">'☆掛負収入'!N240</f>
        <v>0</v>
      </c>
      <c r="O240" s="424" t="n">
        <f aca="false">'☆掛負収入'!O240</f>
        <v>6138</v>
      </c>
      <c r="P240" s="135" t="n">
        <f aca="false">SUM(N240:O240)</f>
        <v>6138</v>
      </c>
    </row>
    <row r="241" customFormat="false" ht="18.75" hidden="false" customHeight="true" outlineLevel="0" collapsed="false">
      <c r="A241" s="203" t="s">
        <v>418</v>
      </c>
      <c r="B241" s="595" t="n">
        <f aca="false">'☆掛負収入'!B243</f>
        <v>0</v>
      </c>
      <c r="C241" s="181" t="n">
        <f aca="false">'☆掛負収入'!C243</f>
        <v>0</v>
      </c>
      <c r="D241" s="595" t="n">
        <f aca="false">'☆掛負収入'!D243</f>
        <v>0</v>
      </c>
      <c r="E241" s="440" t="n">
        <f aca="false">'☆掛負収入'!E243</f>
        <v>0</v>
      </c>
      <c r="F241" s="181" t="n">
        <f aca="false">'☆掛負収入'!F243</f>
        <v>0</v>
      </c>
      <c r="G241" s="181" t="n">
        <f aca="false">SUM(B241:F241)</f>
        <v>0</v>
      </c>
      <c r="H241" s="595" t="n">
        <f aca="false">'☆掛負収入'!H243</f>
        <v>0</v>
      </c>
      <c r="I241" s="440" t="n">
        <f aca="false">'☆掛負収入'!I243</f>
        <v>0</v>
      </c>
      <c r="J241" s="135" t="n">
        <f aca="false">SUM(H241:I241)</f>
        <v>0</v>
      </c>
      <c r="K241" s="595" t="n">
        <f aca="false">'☆掛負収入'!K243</f>
        <v>0</v>
      </c>
      <c r="L241" s="440" t="n">
        <f aca="false">'☆掛負収入'!L243</f>
        <v>0</v>
      </c>
      <c r="M241" s="135" t="n">
        <f aca="false">SUM(K241:L241)</f>
        <v>0</v>
      </c>
      <c r="N241" s="595" t="n">
        <f aca="false">'☆掛負収入'!N243</f>
        <v>0</v>
      </c>
      <c r="O241" s="440" t="n">
        <f aca="false">'☆掛負収入'!O243</f>
        <v>0</v>
      </c>
      <c r="P241" s="135" t="n">
        <f aca="false">SUM(N241:O241)</f>
        <v>0</v>
      </c>
    </row>
    <row r="242" customFormat="false" ht="18.75" hidden="false" customHeight="true" outlineLevel="0" collapsed="false">
      <c r="A242" s="121" t="str">
        <f aca="false">'☆掛負収入'!A244</f>
        <v>全国市長会</v>
      </c>
      <c r="B242" s="595" t="n">
        <f aca="false">'☆掛負収入'!B244</f>
        <v>274500</v>
      </c>
      <c r="C242" s="181" t="n">
        <f aca="false">'☆掛負収入'!C244</f>
        <v>22500</v>
      </c>
      <c r="D242" s="595" t="n">
        <f aca="false">'☆掛負収入'!D244</f>
        <v>274500</v>
      </c>
      <c r="E242" s="440" t="n">
        <f aca="false">'☆掛負収入'!E244</f>
        <v>22500</v>
      </c>
      <c r="F242" s="181" t="n">
        <f aca="false">'☆掛負収入'!F244</f>
        <v>260</v>
      </c>
      <c r="G242" s="181" t="n">
        <f aca="false">SUM(B242:F242)</f>
        <v>594260</v>
      </c>
      <c r="H242" s="595" t="n">
        <f aca="false">'☆掛負収入'!H244</f>
        <v>207958</v>
      </c>
      <c r="I242" s="440" t="n">
        <f aca="false">'☆掛負収入'!I244</f>
        <v>208159</v>
      </c>
      <c r="J242" s="135" t="n">
        <f aca="false">SUM(H242:I242)</f>
        <v>416117</v>
      </c>
      <c r="K242" s="595" t="n">
        <f aca="false">'☆掛負収入'!K244</f>
        <v>31678</v>
      </c>
      <c r="L242" s="440" t="n">
        <f aca="false">'☆掛負収入'!L244</f>
        <v>31679</v>
      </c>
      <c r="M242" s="135" t="n">
        <f aca="false">SUM(K242:L242)</f>
        <v>63357</v>
      </c>
      <c r="N242" s="595" t="n">
        <f aca="false">'☆掛負収入'!N244</f>
        <v>4610</v>
      </c>
      <c r="O242" s="440" t="n">
        <f aca="false">'☆掛負収入'!O244</f>
        <v>4611</v>
      </c>
      <c r="P242" s="135" t="n">
        <f aca="false">SUM(N242:O242)</f>
        <v>9221</v>
      </c>
    </row>
    <row r="243" customFormat="false" ht="18.75" hidden="false" customHeight="true" outlineLevel="0" collapsed="false">
      <c r="A243" s="208"/>
      <c r="B243" s="406"/>
      <c r="C243" s="393"/>
      <c r="D243" s="406"/>
      <c r="E243" s="439"/>
      <c r="F243" s="135"/>
      <c r="G243" s="181"/>
      <c r="H243" s="594"/>
      <c r="I243" s="424"/>
      <c r="J243" s="135"/>
      <c r="K243" s="439"/>
      <c r="L243" s="424"/>
      <c r="M243" s="135"/>
      <c r="N243" s="439"/>
      <c r="O243" s="424"/>
      <c r="P243" s="135"/>
    </row>
    <row r="244" customFormat="false" ht="18.75" hidden="false" customHeight="true" outlineLevel="0" collapsed="false">
      <c r="A244" s="208"/>
      <c r="B244" s="595"/>
      <c r="C244" s="366"/>
      <c r="D244" s="595"/>
      <c r="E244" s="596"/>
      <c r="F244" s="393"/>
      <c r="G244" s="181"/>
      <c r="H244" s="595"/>
      <c r="I244" s="440"/>
      <c r="J244" s="135"/>
      <c r="K244" s="596"/>
      <c r="L244" s="440"/>
      <c r="M244" s="135"/>
      <c r="N244" s="596"/>
      <c r="O244" s="440"/>
      <c r="P244" s="135"/>
    </row>
    <row r="245" customFormat="false" ht="18.75" hidden="false" customHeight="true" outlineLevel="0" collapsed="false">
      <c r="A245" s="192"/>
      <c r="B245" s="406"/>
      <c r="C245" s="181"/>
      <c r="D245" s="406"/>
      <c r="E245" s="592"/>
      <c r="F245" s="135"/>
      <c r="G245" s="181"/>
      <c r="H245" s="406"/>
      <c r="I245" s="619"/>
      <c r="J245" s="135"/>
      <c r="K245" s="592"/>
      <c r="L245" s="619"/>
      <c r="M245" s="135"/>
      <c r="N245" s="592"/>
      <c r="O245" s="619"/>
      <c r="P245" s="135"/>
    </row>
    <row r="246" customFormat="false" ht="18.75" hidden="false" customHeight="true" outlineLevel="0" collapsed="false">
      <c r="A246" s="192"/>
      <c r="B246" s="595"/>
      <c r="C246" s="393"/>
      <c r="D246" s="595"/>
      <c r="E246" s="440"/>
      <c r="F246" s="393"/>
      <c r="G246" s="366"/>
      <c r="H246" s="406"/>
      <c r="I246" s="440"/>
      <c r="J246" s="135"/>
      <c r="K246" s="596"/>
      <c r="L246" s="440"/>
      <c r="M246" s="135"/>
      <c r="N246" s="596"/>
      <c r="O246" s="440"/>
      <c r="P246" s="135"/>
    </row>
    <row r="247" customFormat="false" ht="18.75" hidden="false" customHeight="true" outlineLevel="0" collapsed="false">
      <c r="A247" s="605"/>
      <c r="B247" s="499"/>
      <c r="C247" s="271"/>
      <c r="D247" s="499"/>
      <c r="E247" s="500"/>
      <c r="F247" s="271"/>
      <c r="G247" s="621"/>
      <c r="H247" s="622"/>
      <c r="I247" s="623"/>
      <c r="J247" s="623" t="n">
        <f aca="false">SUM(H247:I247)</f>
        <v>0</v>
      </c>
      <c r="K247" s="622"/>
      <c r="L247" s="623"/>
      <c r="M247" s="690" t="n">
        <f aca="false">SUM(K247:L247)</f>
        <v>0</v>
      </c>
      <c r="N247" s="622"/>
      <c r="O247" s="623"/>
      <c r="P247" s="690" t="n">
        <f aca="false">SUM(N247:O247)</f>
        <v>0</v>
      </c>
    </row>
    <row r="248" customFormat="false" ht="18.75" hidden="false" customHeight="true" outlineLevel="0" collapsed="false">
      <c r="A248" s="171" t="str">
        <f aca="false">'☆掛負収入'!A248</f>
        <v>小　計</v>
      </c>
      <c r="B248" s="404" t="n">
        <f aca="false">SUM(B218:B247)</f>
        <v>5306436</v>
      </c>
      <c r="C248" s="175" t="n">
        <f aca="false">SUM(C218:C247)</f>
        <v>434940</v>
      </c>
      <c r="D248" s="404" t="n">
        <f aca="false">SUM(D218:D247)</f>
        <v>17475349</v>
      </c>
      <c r="E248" s="276" t="n">
        <f aca="false">SUM(E218:E247)</f>
        <v>1432069</v>
      </c>
      <c r="F248" s="175" t="n">
        <f aca="false">SUM(F218:F247)</f>
        <v>16870</v>
      </c>
      <c r="G248" s="176" t="n">
        <f aca="false">SUM(B248:F248)</f>
        <v>24665664</v>
      </c>
      <c r="H248" s="404" t="n">
        <f aca="false">SUM(H218:H247)</f>
        <v>3067230</v>
      </c>
      <c r="I248" s="174" t="n">
        <f aca="false">SUM(I218:I247)</f>
        <v>10043644</v>
      </c>
      <c r="J248" s="175" t="n">
        <f aca="false">SUM(H248:I248)</f>
        <v>13110874</v>
      </c>
      <c r="K248" s="404" t="n">
        <f aca="false">SUM(K218:K247)</f>
        <v>336856</v>
      </c>
      <c r="L248" s="174" t="n">
        <f aca="false">SUM(L218:L247)</f>
        <v>1173120</v>
      </c>
      <c r="M248" s="176" t="n">
        <f aca="false">SUM(K248:L248)</f>
        <v>1509976</v>
      </c>
      <c r="N248" s="404" t="n">
        <f aca="false">SUM(N218:N247)</f>
        <v>67990</v>
      </c>
      <c r="O248" s="174" t="n">
        <f aca="false">SUM(O218:O247)</f>
        <v>222477</v>
      </c>
      <c r="P248" s="176" t="n">
        <f aca="false">SUM(N248:O248)</f>
        <v>290467</v>
      </c>
    </row>
    <row r="249" customFormat="false" ht="18.75" hidden="true" customHeight="true" outlineLevel="0" collapsed="false">
      <c r="A249" s="604"/>
      <c r="B249" s="622"/>
      <c r="C249" s="253"/>
      <c r="D249" s="623"/>
      <c r="E249" s="624"/>
      <c r="F249" s="625"/>
      <c r="G249" s="626"/>
      <c r="H249" s="627"/>
      <c r="I249" s="628"/>
      <c r="J249" s="629"/>
      <c r="K249" s="630"/>
      <c r="L249" s="631"/>
      <c r="M249" s="632"/>
      <c r="N249" s="630"/>
      <c r="O249" s="631"/>
      <c r="P249" s="632"/>
    </row>
    <row r="250" customFormat="false" ht="18.75" hidden="true" customHeight="true" outlineLevel="0" collapsed="false">
      <c r="A250" s="633"/>
      <c r="B250" s="606"/>
      <c r="C250" s="608"/>
      <c r="D250" s="623"/>
      <c r="E250" s="624"/>
      <c r="F250" s="253"/>
      <c r="G250" s="621"/>
      <c r="H250" s="634"/>
      <c r="I250" s="635"/>
      <c r="J250" s="383"/>
      <c r="K250" s="636"/>
      <c r="L250" s="637"/>
      <c r="M250" s="638"/>
      <c r="N250" s="636"/>
      <c r="O250" s="637"/>
      <c r="P250" s="638"/>
    </row>
    <row r="251" customFormat="false" ht="18.75" hidden="false" customHeight="true" outlineLevel="0" collapsed="false">
      <c r="A251" s="189" t="str">
        <f aca="false">'☆掛負収入'!A251</f>
        <v>高速交通（株）</v>
      </c>
      <c r="B251" s="464" t="n">
        <f aca="false">'☆掛負収入'!B251</f>
        <v>305244</v>
      </c>
      <c r="C251" s="466" t="n">
        <f aca="false">'☆掛負収入'!C251</f>
        <v>25020</v>
      </c>
      <c r="D251" s="444" t="n">
        <f aca="false">'☆掛負収入'!D251</f>
        <v>305244</v>
      </c>
      <c r="E251" s="447" t="n">
        <f aca="false">'☆掛負収入'!E251</f>
        <v>25020</v>
      </c>
      <c r="F251" s="446" t="n">
        <f aca="false">'☆掛負収入'!F251</f>
        <v>289</v>
      </c>
      <c r="G251" s="366" t="n">
        <f aca="false">SUM(B251:F251)</f>
        <v>660817</v>
      </c>
      <c r="H251" s="640"/>
      <c r="I251" s="640"/>
      <c r="J251" s="640"/>
      <c r="K251" s="640"/>
      <c r="L251" s="640"/>
      <c r="M251" s="640"/>
      <c r="N251" s="640"/>
      <c r="O251" s="640"/>
      <c r="P251" s="640"/>
    </row>
    <row r="252" customFormat="false" ht="18.75" hidden="false" customHeight="true" outlineLevel="0" collapsed="false">
      <c r="A252" s="641" t="s">
        <v>201</v>
      </c>
      <c r="B252" s="642" t="n">
        <f aca="false">'☆掛負収入'!B252</f>
        <v>120871</v>
      </c>
      <c r="C252" s="667" t="n">
        <f aca="false">'☆掛負収入'!C252</f>
        <v>9907</v>
      </c>
      <c r="D252" s="642" t="n">
        <f aca="false">'☆掛負収入'!D252</f>
        <v>120872</v>
      </c>
      <c r="E252" s="467" t="n">
        <f aca="false">'☆掛負収入'!E252</f>
        <v>9907</v>
      </c>
      <c r="F252" s="694" t="n">
        <f aca="false">'☆掛負収入'!F252</f>
        <v>114</v>
      </c>
      <c r="G252" s="366" t="n">
        <f aca="false">SUM(B252:F252)</f>
        <v>261671</v>
      </c>
      <c r="H252" s="640"/>
      <c r="I252" s="640"/>
      <c r="J252" s="640"/>
      <c r="K252" s="640"/>
      <c r="L252" s="640"/>
      <c r="M252" s="640"/>
      <c r="N252" s="640"/>
      <c r="O252" s="640"/>
      <c r="P252" s="640"/>
    </row>
    <row r="253" customFormat="false" ht="18.75" hidden="false" customHeight="true" outlineLevel="0" collapsed="false">
      <c r="A253" s="171" t="str">
        <f aca="false">'☆掛負収入'!A253</f>
        <v>小　計</v>
      </c>
      <c r="B253" s="172" t="n">
        <f aca="false">SUM(B251:B252)</f>
        <v>426115</v>
      </c>
      <c r="C253" s="175" t="n">
        <f aca="false">SUM(C249:C252)</f>
        <v>34927</v>
      </c>
      <c r="D253" s="656" t="n">
        <f aca="false">SUM(D249:D252)</f>
        <v>426116</v>
      </c>
      <c r="E253" s="174" t="n">
        <f aca="false">SUM(E249:E252)</f>
        <v>34927</v>
      </c>
      <c r="F253" s="175" t="n">
        <f aca="false">SUM(F249:F252)</f>
        <v>403</v>
      </c>
      <c r="G253" s="176" t="n">
        <f aca="false">SUM(B253:F253)</f>
        <v>922488</v>
      </c>
      <c r="H253" s="640"/>
      <c r="I253" s="640"/>
      <c r="J253" s="640"/>
      <c r="K253" s="640"/>
      <c r="L253" s="640"/>
      <c r="M253" s="640"/>
      <c r="N253" s="640"/>
      <c r="O253" s="640"/>
      <c r="P253" s="640"/>
    </row>
    <row r="254" customFormat="false" ht="18.75" hidden="false" customHeight="true" outlineLevel="0" collapsed="false">
      <c r="A254" s="100" t="str">
        <f aca="false">'☆掛負収入'!A254</f>
        <v>市職員労働組合</v>
      </c>
      <c r="B254" s="449" t="n">
        <f aca="false">'☆掛負収入'!B254</f>
        <v>31384</v>
      </c>
      <c r="C254" s="223" t="n">
        <f aca="false">'☆掛負収入'!C254</f>
        <v>2572</v>
      </c>
      <c r="D254" s="445" t="n">
        <f aca="false">'☆掛負収入'!D254</f>
        <v>31385</v>
      </c>
      <c r="E254" s="463" t="n">
        <f aca="false">'☆掛負収入'!E254</f>
        <v>2572</v>
      </c>
      <c r="F254" s="196"/>
      <c r="G254" s="181" t="n">
        <f aca="false">SUM(B254:F254)</f>
        <v>67913</v>
      </c>
      <c r="H254" s="594" t="n">
        <f aca="false">'☆掛負収入'!H254</f>
        <v>17787</v>
      </c>
      <c r="I254" s="424" t="n">
        <f aca="false">'☆掛負収入'!I254</f>
        <v>17805</v>
      </c>
      <c r="J254" s="135" t="n">
        <f aca="false">SUM(H254:I254)</f>
        <v>35592</v>
      </c>
      <c r="K254" s="451" t="n">
        <f aca="false">'☆掛負収入'!K254</f>
        <v>2709</v>
      </c>
      <c r="L254" s="462" t="n">
        <f aca="false">'☆掛負収入'!L254</f>
        <v>2709</v>
      </c>
      <c r="M254" s="446" t="n">
        <f aca="false">SUM(K254:L254)</f>
        <v>5418</v>
      </c>
      <c r="N254" s="451" t="n">
        <f aca="false">'☆掛負収入'!N254</f>
        <v>394</v>
      </c>
      <c r="O254" s="462" t="n">
        <f aca="false">'☆掛負収入'!O254</f>
        <v>394</v>
      </c>
      <c r="P254" s="446" t="n">
        <f aca="false">SUM(N254:O254)</f>
        <v>788</v>
      </c>
    </row>
    <row r="255" customFormat="false" ht="18.75" hidden="false" customHeight="true" outlineLevel="0" collapsed="false">
      <c r="A255" s="100" t="str">
        <f aca="false">'☆掛負収入'!A255</f>
        <v>自治労労働組合</v>
      </c>
      <c r="B255" s="449" t="n">
        <f aca="false">'☆掛負収入'!B255</f>
        <v>0</v>
      </c>
      <c r="C255" s="377" t="n">
        <f aca="false">'☆掛負収入'!C255</f>
        <v>0</v>
      </c>
      <c r="D255" s="449" t="n">
        <f aca="false">'☆掛負収入'!D255</f>
        <v>0</v>
      </c>
      <c r="E255" s="463" t="n">
        <f aca="false">'☆掛負収入'!E255</f>
        <v>0</v>
      </c>
      <c r="F255" s="196"/>
      <c r="G255" s="181" t="n">
        <f aca="false">SUM(B255:F255)</f>
        <v>0</v>
      </c>
      <c r="H255" s="594" t="n">
        <f aca="false">'☆掛負収入'!H255</f>
        <v>0</v>
      </c>
      <c r="I255" s="424" t="n">
        <f aca="false">'☆掛負収入'!I255</f>
        <v>0</v>
      </c>
      <c r="J255" s="135" t="n">
        <f aca="false">SUM(H255:I255)</f>
        <v>0</v>
      </c>
      <c r="K255" s="594" t="n">
        <f aca="false">'☆掛負収入'!K255</f>
        <v>0</v>
      </c>
      <c r="L255" s="424" t="n">
        <f aca="false">'☆掛負収入'!L255</f>
        <v>0</v>
      </c>
      <c r="M255" s="135" t="n">
        <f aca="false">SUM(K255:L255)</f>
        <v>0</v>
      </c>
      <c r="N255" s="594" t="n">
        <f aca="false">'☆掛負収入'!N255</f>
        <v>0</v>
      </c>
      <c r="O255" s="424" t="n">
        <f aca="false">'☆掛負収入'!O255</f>
        <v>0</v>
      </c>
      <c r="P255" s="135" t="n">
        <f aca="false">SUM(N255:O255)</f>
        <v>0</v>
      </c>
    </row>
    <row r="256" customFormat="false" ht="18.75" hidden="false" customHeight="true" outlineLevel="0" collapsed="false">
      <c r="A256" s="100" t="str">
        <f aca="false">'☆掛負収入'!A256</f>
        <v>病院労働組合</v>
      </c>
      <c r="B256" s="406"/>
      <c r="C256" s="181"/>
      <c r="D256" s="406"/>
      <c r="E256" s="619"/>
      <c r="F256" s="196"/>
      <c r="G256" s="181" t="n">
        <f aca="false">SUM(B256:F256)</f>
        <v>0</v>
      </c>
      <c r="H256" s="594"/>
      <c r="I256" s="424"/>
      <c r="J256" s="135" t="n">
        <f aca="false">SUM(H256:I256)</f>
        <v>0</v>
      </c>
      <c r="K256" s="594"/>
      <c r="L256" s="424"/>
      <c r="M256" s="135" t="n">
        <f aca="false">SUM(K256:L256)</f>
        <v>0</v>
      </c>
      <c r="N256" s="594"/>
      <c r="O256" s="424"/>
      <c r="P256" s="135" t="n">
        <f aca="false">SUM(N256:O256)</f>
        <v>0</v>
      </c>
    </row>
    <row r="257" customFormat="false" ht="18.75" hidden="false" customHeight="true" outlineLevel="0" collapsed="false">
      <c r="A257" s="277" t="str">
        <f aca="false">'☆掛負収入'!A257</f>
        <v>水道労働組合</v>
      </c>
      <c r="B257" s="648"/>
      <c r="C257" s="419"/>
      <c r="D257" s="648"/>
      <c r="E257" s="598"/>
      <c r="F257" s="271"/>
      <c r="G257" s="181" t="n">
        <f aca="false">SUM(B257:F257)</f>
        <v>0</v>
      </c>
      <c r="H257" s="649"/>
      <c r="I257" s="650"/>
      <c r="J257" s="135" t="n">
        <f aca="false">SUM(H257:I257)</f>
        <v>0</v>
      </c>
      <c r="K257" s="651"/>
      <c r="L257" s="652"/>
      <c r="M257" s="135" t="n">
        <f aca="false">SUM(K257:L257)</f>
        <v>0</v>
      </c>
      <c r="N257" s="651"/>
      <c r="O257" s="652"/>
      <c r="P257" s="135" t="n">
        <f aca="false">SUM(N257:O257)</f>
        <v>0</v>
      </c>
    </row>
    <row r="258" customFormat="false" ht="18.75" hidden="false" customHeight="true" outlineLevel="0" collapsed="false">
      <c r="A258" s="171" t="str">
        <f aca="false">'☆掛負収入'!A258</f>
        <v>小　計</v>
      </c>
      <c r="B258" s="404" t="n">
        <f aca="false">SUM(B254:B257)</f>
        <v>31384</v>
      </c>
      <c r="C258" s="175" t="n">
        <f aca="false">SUM(C254:C257)</f>
        <v>2572</v>
      </c>
      <c r="D258" s="404" t="n">
        <f aca="false">SUM(D254:D257)</f>
        <v>31385</v>
      </c>
      <c r="E258" s="174" t="n">
        <f aca="false">SUM(E254:E257)</f>
        <v>2572</v>
      </c>
      <c r="F258" s="173" t="n">
        <f aca="false">SUM(F254:F257)</f>
        <v>0</v>
      </c>
      <c r="G258" s="172" t="n">
        <f aca="false">SUM(B258:F258)</f>
        <v>67913</v>
      </c>
      <c r="H258" s="404" t="n">
        <f aca="false">SUM(H254:H257)</f>
        <v>17787</v>
      </c>
      <c r="I258" s="174" t="n">
        <f aca="false">SUM(I254:I257)</f>
        <v>17805</v>
      </c>
      <c r="J258" s="175" t="n">
        <f aca="false">SUM(H258:I258)</f>
        <v>35592</v>
      </c>
      <c r="K258" s="172" t="n">
        <f aca="false">SUM(K254:K257)</f>
        <v>2709</v>
      </c>
      <c r="L258" s="173" t="n">
        <f aca="false">SUM(L254:L257)</f>
        <v>2709</v>
      </c>
      <c r="M258" s="175" t="n">
        <f aca="false">SUM(K258:L258)</f>
        <v>5418</v>
      </c>
      <c r="N258" s="172" t="n">
        <f aca="false">SUM(N254:N257)</f>
        <v>394</v>
      </c>
      <c r="O258" s="173" t="n">
        <f aca="false">SUM(O254:O257)</f>
        <v>394</v>
      </c>
      <c r="P258" s="175" t="n">
        <f aca="false">SUM(N258:O258)</f>
        <v>788</v>
      </c>
    </row>
    <row r="259" customFormat="false" ht="18.75" hidden="false" customHeight="true" outlineLevel="0" collapsed="false">
      <c r="A259" s="277" t="str">
        <f aca="false">'☆掛負収入'!A259</f>
        <v>任意継続組合員</v>
      </c>
      <c r="B259" s="256"/>
      <c r="C259" s="498"/>
      <c r="D259" s="499"/>
      <c r="E259" s="500"/>
      <c r="F259" s="271"/>
      <c r="G259" s="268"/>
      <c r="H259" s="653"/>
      <c r="I259" s="257"/>
      <c r="J259" s="258"/>
      <c r="K259" s="499"/>
      <c r="L259" s="654"/>
      <c r="M259" s="267"/>
      <c r="N259" s="499"/>
      <c r="O259" s="654"/>
      <c r="P259" s="267"/>
    </row>
    <row r="260" customFormat="false" ht="30" hidden="false" customHeight="true" outlineLevel="0" collapsed="false">
      <c r="A260" s="655" t="str">
        <f aca="false">'☆掛負収入'!A260</f>
        <v>総　　計</v>
      </c>
      <c r="B260" s="404" t="n">
        <f aca="false">SUM(B217+B248+B253+B258)</f>
        <v>5763935</v>
      </c>
      <c r="C260" s="175" t="n">
        <f aca="false">SUM(C217+C248+C253+C258)</f>
        <v>472439</v>
      </c>
      <c r="D260" s="656" t="n">
        <f aca="false">SUM(D217+D248+D253+D258)</f>
        <v>17932850</v>
      </c>
      <c r="E260" s="174" t="n">
        <f aca="false">SUM(E217+E248+E253+E258)</f>
        <v>1469568</v>
      </c>
      <c r="F260" s="176" t="n">
        <f aca="false">SUM(F217+F248+F253+F258)</f>
        <v>17273</v>
      </c>
      <c r="G260" s="172" t="n">
        <f aca="false">SUM(B260:F260)</f>
        <v>25656065</v>
      </c>
      <c r="H260" s="404" t="n">
        <f aca="false">SUM(H217+H248+H253+H258+H259)</f>
        <v>3085017</v>
      </c>
      <c r="I260" s="174" t="n">
        <f aca="false">SUM(I217+I248+I253+I258+I259)</f>
        <v>10061449</v>
      </c>
      <c r="J260" s="175" t="n">
        <f aca="false">SUM(H260:I260)</f>
        <v>13146466</v>
      </c>
      <c r="K260" s="172" t="n">
        <f aca="false">K217+K248+K253+K258+K259</f>
        <v>339565</v>
      </c>
      <c r="L260" s="173" t="n">
        <f aca="false">L217+L248+L253+L258</f>
        <v>1175829</v>
      </c>
      <c r="M260" s="175" t="n">
        <f aca="false">SUM(K260:L260)</f>
        <v>1515394</v>
      </c>
      <c r="N260" s="172" t="n">
        <f aca="false">N217+N248+N253+N258+N259</f>
        <v>68384</v>
      </c>
      <c r="O260" s="173" t="n">
        <f aca="false">O217+O248+O253+O258</f>
        <v>222871</v>
      </c>
      <c r="P260" s="175" t="n">
        <f aca="false">SUM(N260:O260)</f>
        <v>291255</v>
      </c>
    </row>
    <row r="261" customFormat="false" ht="18.75" hidden="false" customHeight="true" outlineLevel="0" collapsed="false">
      <c r="A261" s="315"/>
      <c r="B261" s="316"/>
      <c r="C261" s="316"/>
      <c r="D261" s="316"/>
      <c r="E261" s="316"/>
      <c r="F261" s="316"/>
      <c r="G261" s="316"/>
      <c r="H261" s="316"/>
      <c r="I261" s="316"/>
      <c r="J261" s="316"/>
      <c r="K261" s="316"/>
      <c r="L261" s="316"/>
      <c r="M261" s="316"/>
      <c r="N261" s="316"/>
      <c r="O261" s="316"/>
      <c r="P261" s="316"/>
    </row>
    <row r="262" customFormat="false" ht="30" hidden="false" customHeight="true" outlineLevel="0" collapsed="false">
      <c r="A262" s="295"/>
      <c r="B262" s="391" t="n">
        <f aca="false">'☆掛負収入'!B262</f>
        <v>46234</v>
      </c>
      <c r="C262" s="391" t="n">
        <f aca="false">'☆掛負収入'!C262</f>
        <v>0</v>
      </c>
      <c r="D262" s="391" t="n">
        <f aca="false">'☆掛負収入'!D262</f>
        <v>0</v>
      </c>
      <c r="E262" s="391" t="n">
        <f aca="false">'☆掛負収入'!E262</f>
        <v>0</v>
      </c>
      <c r="F262" s="391" t="n">
        <f aca="false">'☆掛負収入'!F262</f>
        <v>0</v>
      </c>
      <c r="G262" s="391" t="n">
        <f aca="false">'☆掛負収入'!G262</f>
        <v>0</v>
      </c>
      <c r="H262" s="391" t="n">
        <f aca="false">'☆掛負収入'!H262</f>
        <v>46234</v>
      </c>
      <c r="I262" s="391" t="n">
        <f aca="false">'☆掛負収入'!I262</f>
        <v>0</v>
      </c>
      <c r="J262" s="391" t="n">
        <f aca="false">'☆掛負収入'!J262</f>
        <v>0</v>
      </c>
      <c r="K262" s="391" t="n">
        <f aca="false">'☆掛負収入'!K262</f>
        <v>46234</v>
      </c>
      <c r="L262" s="391" t="n">
        <f aca="false">'☆掛負収入'!L262</f>
        <v>0</v>
      </c>
      <c r="M262" s="391" t="n">
        <f aca="false">'☆掛負収入'!M262</f>
        <v>0</v>
      </c>
      <c r="N262" s="391" t="n">
        <f aca="false">'☆掛負収入'!N262</f>
        <v>46234</v>
      </c>
      <c r="O262" s="391" t="n">
        <f aca="false">'☆掛負収入'!O262</f>
        <v>0</v>
      </c>
      <c r="P262" s="391" t="n">
        <f aca="false">'☆掛負収入'!P262</f>
        <v>0</v>
      </c>
    </row>
    <row r="263" customFormat="false" ht="22.5" hidden="false" customHeight="true" outlineLevel="0" collapsed="false">
      <c r="A263" s="89" t="str">
        <f aca="false">'☆掛負収入'!A263</f>
        <v>区　　分</v>
      </c>
      <c r="B263" s="89" t="str">
        <f aca="false">'☆掛負収入'!B263</f>
        <v>長　期　経　理</v>
      </c>
      <c r="C263" s="89" t="n">
        <f aca="false">'☆掛負収入'!C263</f>
        <v>0</v>
      </c>
      <c r="D263" s="89" t="n">
        <f aca="false">'☆掛負収入'!D263</f>
        <v>0</v>
      </c>
      <c r="E263" s="89" t="n">
        <f aca="false">'☆掛負収入'!E263</f>
        <v>0</v>
      </c>
      <c r="F263" s="89" t="n">
        <f aca="false">'☆掛負収入'!F263</f>
        <v>0</v>
      </c>
      <c r="G263" s="89" t="n">
        <f aca="false">'☆掛負収入'!G263</f>
        <v>0</v>
      </c>
      <c r="H263" s="91" t="str">
        <f aca="false">'☆掛負収入'!H263</f>
        <v>短　期　経　理</v>
      </c>
      <c r="I263" s="91" t="n">
        <f aca="false">'☆掛負収入'!I263</f>
        <v>0</v>
      </c>
      <c r="J263" s="91" t="n">
        <f aca="false">'☆掛負収入'!J263</f>
        <v>0</v>
      </c>
      <c r="K263" s="91" t="str">
        <f aca="false">'☆掛負収入'!K263</f>
        <v>介　護　納　付　金</v>
      </c>
      <c r="L263" s="91" t="n">
        <f aca="false">'☆掛負収入'!L263</f>
        <v>0</v>
      </c>
      <c r="M263" s="91" t="n">
        <f aca="false">'☆掛負収入'!M263</f>
        <v>0</v>
      </c>
      <c r="N263" s="91" t="str">
        <f aca="false">'☆掛負収入'!N263</f>
        <v>子ども・子育て支援納付金</v>
      </c>
      <c r="O263" s="91" t="n">
        <f aca="false">'☆掛負収入'!O263</f>
        <v>0</v>
      </c>
      <c r="P263" s="91" t="n">
        <f aca="false">'☆掛負収入'!P263</f>
        <v>0</v>
      </c>
    </row>
    <row r="264" customFormat="false" ht="22.5" hidden="false" customHeight="true" outlineLevel="0" collapsed="false">
      <c r="A264" s="89" t="n">
        <f aca="false">'☆掛負収入'!A264</f>
        <v>0</v>
      </c>
      <c r="B264" s="92" t="str">
        <f aca="false">'☆掛負収入'!B264</f>
        <v>組合員負担分</v>
      </c>
      <c r="C264" s="92" t="n">
        <f aca="false">'☆掛負収入'!C264</f>
        <v>0</v>
      </c>
      <c r="D264" s="92" t="str">
        <f aca="false">'☆掛負収入'!D264</f>
        <v>事業主負担分</v>
      </c>
      <c r="E264" s="92" t="n">
        <f aca="false">'☆掛負収入'!E264</f>
        <v>0</v>
      </c>
      <c r="F264" s="92" t="n">
        <f aca="false">'☆掛負収入'!F264</f>
        <v>0</v>
      </c>
      <c r="G264" s="586" t="str">
        <f aca="false">'☆掛負収入'!G264</f>
        <v>計</v>
      </c>
      <c r="H264" s="96" t="str">
        <f aca="false">'☆掛負収入'!H264</f>
        <v>掛　金</v>
      </c>
      <c r="I264" s="94" t="str">
        <f aca="false">'☆掛負収入'!I264</f>
        <v>負担金</v>
      </c>
      <c r="J264" s="95" t="str">
        <f aca="false">'☆掛負収入'!J264</f>
        <v>計</v>
      </c>
      <c r="K264" s="96" t="str">
        <f aca="false">'☆掛負収入'!K264</f>
        <v>掛　金</v>
      </c>
      <c r="L264" s="94" t="str">
        <f aca="false">'☆掛負収入'!L264</f>
        <v>負担金</v>
      </c>
      <c r="M264" s="95" t="str">
        <f aca="false">'☆掛負収入'!M264</f>
        <v>計</v>
      </c>
      <c r="N264" s="96" t="str">
        <f aca="false">'☆掛負収入'!N264</f>
        <v>掛　金</v>
      </c>
      <c r="O264" s="94" t="str">
        <f aca="false">'☆掛負収入'!O264</f>
        <v>負担金</v>
      </c>
      <c r="P264" s="95" t="str">
        <f aca="false">'☆掛負収入'!P264</f>
        <v>計</v>
      </c>
    </row>
    <row r="265" customFormat="false" ht="22.5" hidden="false" customHeight="true" outlineLevel="0" collapsed="false">
      <c r="A265" s="89" t="n">
        <f aca="false">'☆掛負収入'!A265</f>
        <v>0</v>
      </c>
      <c r="B265" s="587" t="str">
        <f aca="false">'☆掛負収入'!B265</f>
        <v>厚生年金保険料</v>
      </c>
      <c r="C265" s="588" t="str">
        <f aca="false">'☆掛負収入'!C265</f>
        <v>退職等年金掛金</v>
      </c>
      <c r="D265" s="589" t="str">
        <f aca="false">'☆掛負収入'!D265</f>
        <v>厚生年金保険料</v>
      </c>
      <c r="E265" s="589" t="str">
        <f aca="false">'☆掛負収入'!E265</f>
        <v>退職等年金負担金</v>
      </c>
      <c r="F265" s="590" t="str">
        <f aca="false">'☆掛負収入'!F265</f>
        <v>経過的長期</v>
      </c>
      <c r="G265" s="586" t="n">
        <f aca="false">'☆掛負収入'!G265</f>
        <v>0</v>
      </c>
      <c r="H265" s="96" t="n">
        <f aca="false">'☆掛負収入'!H265</f>
        <v>0</v>
      </c>
      <c r="I265" s="94" t="n">
        <f aca="false">'☆掛負収入'!I265</f>
        <v>0</v>
      </c>
      <c r="J265" s="95" t="n">
        <f aca="false">'☆掛負収入'!J265</f>
        <v>0</v>
      </c>
      <c r="K265" s="96" t="n">
        <f aca="false">'☆掛負収入'!K265</f>
        <v>0</v>
      </c>
      <c r="L265" s="94" t="n">
        <f aca="false">'☆掛負収入'!L265</f>
        <v>0</v>
      </c>
      <c r="M265" s="95" t="n">
        <f aca="false">'☆掛負収入'!M265</f>
        <v>0</v>
      </c>
      <c r="N265" s="96" t="n">
        <f aca="false">'☆掛負収入'!N265</f>
        <v>0</v>
      </c>
      <c r="O265" s="94" t="n">
        <f aca="false">'☆掛負収入'!O265</f>
        <v>0</v>
      </c>
      <c r="P265" s="95" t="n">
        <f aca="false">'☆掛負収入'!P265</f>
        <v>0</v>
      </c>
    </row>
    <row r="266" customFormat="false" ht="18.75" hidden="false" customHeight="true" outlineLevel="0" collapsed="false">
      <c r="A266" s="100" t="str">
        <f aca="false">'☆掛負収入'!A266</f>
        <v>市長部局</v>
      </c>
      <c r="B266" s="591"/>
      <c r="C266" s="364"/>
      <c r="D266" s="592"/>
      <c r="E266" s="592"/>
      <c r="F266" s="184"/>
      <c r="G266" s="364"/>
      <c r="H266" s="591"/>
      <c r="I266" s="593"/>
      <c r="J266" s="181"/>
      <c r="K266" s="594"/>
      <c r="L266" s="593"/>
      <c r="M266" s="181"/>
      <c r="N266" s="594"/>
      <c r="O266" s="593"/>
      <c r="P266" s="181"/>
    </row>
    <row r="267" customFormat="false" ht="18.75" hidden="false" customHeight="true" outlineLevel="0" collapsed="false">
      <c r="A267" s="100" t="str">
        <f aca="false">'☆掛負収入'!A267</f>
        <v>下水道局</v>
      </c>
      <c r="B267" s="406"/>
      <c r="C267" s="181"/>
      <c r="D267" s="592"/>
      <c r="E267" s="592"/>
      <c r="F267" s="135"/>
      <c r="G267" s="181"/>
      <c r="H267" s="594"/>
      <c r="I267" s="424"/>
      <c r="J267" s="135"/>
      <c r="K267" s="595"/>
      <c r="L267" s="596"/>
      <c r="M267" s="135"/>
      <c r="N267" s="595"/>
      <c r="O267" s="596"/>
      <c r="P267" s="135"/>
    </row>
    <row r="268" customFormat="false" ht="18.75" hidden="false" customHeight="true" outlineLevel="0" collapsed="false">
      <c r="A268" s="100" t="str">
        <f aca="false">'☆掛負収入'!A268</f>
        <v>消防局</v>
      </c>
      <c r="B268" s="406"/>
      <c r="C268" s="181"/>
      <c r="D268" s="592"/>
      <c r="E268" s="592"/>
      <c r="F268" s="135"/>
      <c r="G268" s="181"/>
      <c r="H268" s="595"/>
      <c r="I268" s="439"/>
      <c r="J268" s="135"/>
      <c r="K268" s="595"/>
      <c r="L268" s="439"/>
      <c r="M268" s="135"/>
      <c r="N268" s="595"/>
      <c r="O268" s="439"/>
      <c r="P268" s="135"/>
    </row>
    <row r="269" customFormat="false" ht="18.75" hidden="false" customHeight="true" outlineLevel="0" collapsed="false">
      <c r="A269" s="100" t="str">
        <f aca="false">'☆掛負収入'!A269</f>
        <v>議会事務局</v>
      </c>
      <c r="B269" s="406"/>
      <c r="C269" s="181"/>
      <c r="D269" s="592"/>
      <c r="E269" s="592"/>
      <c r="F269" s="135"/>
      <c r="G269" s="181"/>
      <c r="H269" s="406"/>
      <c r="I269" s="439"/>
      <c r="J269" s="135"/>
      <c r="K269" s="406"/>
      <c r="L269" s="439"/>
      <c r="M269" s="135"/>
      <c r="N269" s="406"/>
      <c r="O269" s="439"/>
      <c r="P269" s="135"/>
    </row>
    <row r="270" customFormat="false" ht="18.75" hidden="false" customHeight="true" outlineLevel="0" collapsed="false">
      <c r="A270" s="100" t="str">
        <f aca="false">'☆掛負収入'!A270</f>
        <v>教育委員会（総務課）</v>
      </c>
      <c r="B270" s="406"/>
      <c r="C270" s="181"/>
      <c r="D270" s="592"/>
      <c r="E270" s="592"/>
      <c r="F270" s="135"/>
      <c r="G270" s="181"/>
      <c r="H270" s="406"/>
      <c r="I270" s="439"/>
      <c r="J270" s="135"/>
      <c r="K270" s="406"/>
      <c r="L270" s="439"/>
      <c r="M270" s="135"/>
      <c r="N270" s="406"/>
      <c r="O270" s="439"/>
      <c r="P270" s="135"/>
    </row>
    <row r="271" customFormat="false" ht="18.75" hidden="false" customHeight="true" outlineLevel="0" collapsed="false">
      <c r="A271" s="100" t="str">
        <f aca="false">'☆掛負収入'!A271</f>
        <v>選挙管理委員会</v>
      </c>
      <c r="B271" s="406"/>
      <c r="C271" s="181"/>
      <c r="D271" s="592"/>
      <c r="E271" s="592"/>
      <c r="F271" s="135"/>
      <c r="G271" s="181"/>
      <c r="H271" s="594"/>
      <c r="I271" s="424"/>
      <c r="J271" s="135"/>
      <c r="K271" s="406"/>
      <c r="L271" s="439"/>
      <c r="M271" s="135"/>
      <c r="N271" s="406"/>
      <c r="O271" s="439"/>
      <c r="P271" s="135"/>
    </row>
    <row r="272" customFormat="false" ht="18.75" hidden="false" customHeight="true" outlineLevel="0" collapsed="false">
      <c r="A272" s="100" t="str">
        <f aca="false">'☆掛負収入'!A272</f>
        <v>人事委員会</v>
      </c>
      <c r="B272" s="406"/>
      <c r="C272" s="181"/>
      <c r="D272" s="592"/>
      <c r="E272" s="592"/>
      <c r="F272" s="135"/>
      <c r="G272" s="181"/>
      <c r="H272" s="594"/>
      <c r="I272" s="424"/>
      <c r="J272" s="135"/>
      <c r="K272" s="594"/>
      <c r="L272" s="424"/>
      <c r="M272" s="135"/>
      <c r="N272" s="594"/>
      <c r="O272" s="424"/>
      <c r="P272" s="135"/>
    </row>
    <row r="273" customFormat="false" ht="18.75" hidden="false" customHeight="true" outlineLevel="0" collapsed="false">
      <c r="A273" s="100" t="str">
        <f aca="false">'☆掛負収入'!A273</f>
        <v>監査事務局</v>
      </c>
      <c r="B273" s="406"/>
      <c r="C273" s="181"/>
      <c r="D273" s="592"/>
      <c r="E273" s="592"/>
      <c r="F273" s="135"/>
      <c r="G273" s="181"/>
      <c r="H273" s="594"/>
      <c r="I273" s="424"/>
      <c r="J273" s="135"/>
      <c r="K273" s="594"/>
      <c r="L273" s="424"/>
      <c r="M273" s="135"/>
      <c r="N273" s="594"/>
      <c r="O273" s="424"/>
      <c r="P273" s="135"/>
    </row>
    <row r="274" customFormat="false" ht="18.75" hidden="false" customHeight="true" outlineLevel="0" collapsed="false">
      <c r="A274" s="100" t="str">
        <f aca="false">'☆掛負収入'!A274</f>
        <v>農業委員会</v>
      </c>
      <c r="B274" s="406"/>
      <c r="C274" s="181"/>
      <c r="D274" s="592"/>
      <c r="E274" s="592"/>
      <c r="F274" s="135"/>
      <c r="G274" s="181"/>
      <c r="H274" s="594"/>
      <c r="I274" s="424"/>
      <c r="J274" s="135"/>
      <c r="K274" s="594"/>
      <c r="L274" s="424"/>
      <c r="M274" s="135"/>
      <c r="N274" s="594"/>
      <c r="O274" s="424"/>
      <c r="P274" s="135"/>
    </row>
    <row r="275" customFormat="false" ht="18.75" hidden="false" customHeight="true" outlineLevel="0" collapsed="false">
      <c r="A275" s="100" t="str">
        <f aca="false">'☆掛負収入'!A275</f>
        <v>水道局</v>
      </c>
      <c r="B275" s="406"/>
      <c r="C275" s="181"/>
      <c r="D275" s="592"/>
      <c r="E275" s="592"/>
      <c r="F275" s="135"/>
      <c r="G275" s="181"/>
      <c r="H275" s="594"/>
      <c r="I275" s="424"/>
      <c r="J275" s="135"/>
      <c r="K275" s="594"/>
      <c r="L275" s="424"/>
      <c r="M275" s="135"/>
      <c r="N275" s="594"/>
      <c r="O275" s="424"/>
      <c r="P275" s="135"/>
    </row>
    <row r="276" customFormat="false" ht="18.75" hidden="false" customHeight="true" outlineLevel="0" collapsed="false">
      <c r="A276" s="121" t="str">
        <f aca="false">'☆掛負収入'!A276</f>
        <v>医療政策課(安芸市民)</v>
      </c>
      <c r="B276" s="595"/>
      <c r="C276" s="366"/>
      <c r="D276" s="595"/>
      <c r="E276" s="596"/>
      <c r="F276" s="393"/>
      <c r="G276" s="181"/>
      <c r="H276" s="597"/>
      <c r="I276" s="407"/>
      <c r="J276" s="135"/>
      <c r="K276" s="594"/>
      <c r="L276" s="424"/>
      <c r="M276" s="135"/>
      <c r="N276" s="594"/>
      <c r="O276" s="424"/>
      <c r="P276" s="135"/>
    </row>
    <row r="277" customFormat="false" ht="18.75" hidden="false" customHeight="true" outlineLevel="0" collapsed="false">
      <c r="A277" s="121" t="str">
        <f aca="false">'☆掛負収入'!A277</f>
        <v>教育委員会（教育給与課）</v>
      </c>
      <c r="B277" s="595"/>
      <c r="C277" s="181"/>
      <c r="D277" s="406"/>
      <c r="E277" s="598"/>
      <c r="F277" s="284"/>
      <c r="G277" s="181"/>
      <c r="H277" s="594"/>
      <c r="I277" s="424"/>
      <c r="J277" s="135"/>
      <c r="K277" s="594"/>
      <c r="L277" s="424"/>
      <c r="M277" s="135"/>
      <c r="N277" s="594"/>
      <c r="O277" s="424"/>
      <c r="P277" s="135"/>
    </row>
    <row r="278" customFormat="false" ht="18.75" hidden="true" customHeight="true" outlineLevel="0" collapsed="false">
      <c r="A278" s="599"/>
      <c r="B278" s="600"/>
      <c r="C278" s="210"/>
      <c r="D278" s="600"/>
      <c r="E278" s="601"/>
      <c r="F278" s="196"/>
      <c r="G278" s="687"/>
      <c r="H278" s="602"/>
      <c r="I278" s="603"/>
      <c r="J278" s="603"/>
      <c r="K278" s="602"/>
      <c r="L278" s="603"/>
      <c r="M278" s="195"/>
      <c r="N278" s="602"/>
      <c r="O278" s="603"/>
      <c r="P278" s="195"/>
    </row>
    <row r="279" customFormat="false" ht="18.75" hidden="true" customHeight="true" outlineLevel="0" collapsed="false">
      <c r="A279" s="604"/>
      <c r="B279" s="457"/>
      <c r="C279" s="132"/>
      <c r="D279" s="457"/>
      <c r="E279" s="458"/>
      <c r="F279" s="459"/>
      <c r="G279" s="435"/>
      <c r="H279" s="457"/>
      <c r="I279" s="458"/>
      <c r="J279" s="458"/>
      <c r="K279" s="457"/>
      <c r="L279" s="458"/>
      <c r="M279" s="130"/>
      <c r="N279" s="457"/>
      <c r="O279" s="458"/>
      <c r="P279" s="130"/>
    </row>
    <row r="280" customFormat="false" ht="18.75" hidden="true" customHeight="true" outlineLevel="0" collapsed="false">
      <c r="A280" s="604"/>
      <c r="B280" s="600"/>
      <c r="C280" s="210"/>
      <c r="D280" s="600"/>
      <c r="E280" s="601"/>
      <c r="F280" s="196"/>
      <c r="G280" s="687"/>
      <c r="H280" s="600"/>
      <c r="I280" s="601"/>
      <c r="J280" s="601"/>
      <c r="K280" s="600"/>
      <c r="L280" s="601"/>
      <c r="M280" s="696"/>
      <c r="N280" s="600"/>
      <c r="O280" s="601"/>
      <c r="P280" s="696"/>
    </row>
    <row r="281" customFormat="false" ht="18.75" hidden="true" customHeight="true" outlineLevel="0" collapsed="false">
      <c r="A281" s="605"/>
      <c r="B281" s="606"/>
      <c r="C281" s="607"/>
      <c r="D281" s="606"/>
      <c r="E281" s="490"/>
      <c r="F281" s="608"/>
      <c r="G281" s="689"/>
      <c r="H281" s="457"/>
      <c r="I281" s="609"/>
      <c r="J281" s="609"/>
      <c r="K281" s="457"/>
      <c r="L281" s="458"/>
      <c r="M281" s="130"/>
      <c r="N281" s="457"/>
      <c r="O281" s="458"/>
      <c r="P281" s="130"/>
    </row>
    <row r="282" customFormat="false" ht="18.75" hidden="false" customHeight="true" outlineLevel="0" collapsed="false">
      <c r="A282" s="171" t="str">
        <f aca="false">'☆掛負収入'!A282</f>
        <v>小　計</v>
      </c>
      <c r="B282" s="404"/>
      <c r="C282" s="174"/>
      <c r="D282" s="404"/>
      <c r="E282" s="174"/>
      <c r="F282" s="175"/>
      <c r="G282" s="176"/>
      <c r="H282" s="404"/>
      <c r="I282" s="174"/>
      <c r="J282" s="173"/>
      <c r="K282" s="404"/>
      <c r="L282" s="174"/>
      <c r="M282" s="173"/>
      <c r="N282" s="404"/>
      <c r="O282" s="174"/>
      <c r="P282" s="173"/>
    </row>
    <row r="283" customFormat="false" ht="18.75" hidden="false" customHeight="true" outlineLevel="0" collapsed="false">
      <c r="A283" s="177" t="str">
        <f aca="false">'☆掛負収入'!A283</f>
        <v>地方税共同機構</v>
      </c>
      <c r="B283" s="449" t="n">
        <f aca="false">'☆掛負収入'!B283</f>
        <v>0</v>
      </c>
      <c r="C283" s="377" t="n">
        <f aca="false">'☆掛負収入'!C283</f>
        <v>0</v>
      </c>
      <c r="D283" s="469" t="n">
        <f aca="false">'☆掛負収入'!D283</f>
        <v>0</v>
      </c>
      <c r="E283" s="463" t="n">
        <f aca="false">'☆掛負収入'!E283</f>
        <v>0</v>
      </c>
      <c r="F283" s="223" t="n">
        <f aca="false">'☆掛負収入'!F283</f>
        <v>0</v>
      </c>
      <c r="G283" s="181" t="n">
        <f aca="false">SUM(B283:F283)</f>
        <v>0</v>
      </c>
      <c r="H283" s="594" t="n">
        <f aca="false">'☆掛負収入'!H283</f>
        <v>0</v>
      </c>
      <c r="I283" s="424" t="n">
        <f aca="false">'☆掛負収入'!I283</f>
        <v>0</v>
      </c>
      <c r="J283" s="135" t="n">
        <f aca="false">SUM(H283:I283)</f>
        <v>0</v>
      </c>
      <c r="K283" s="439" t="n">
        <f aca="false">'☆掛負収入'!K283</f>
        <v>0</v>
      </c>
      <c r="L283" s="424" t="n">
        <f aca="false">'☆掛負収入'!L283</f>
        <v>0</v>
      </c>
      <c r="M283" s="135" t="n">
        <f aca="false">SUM(K283:L283)</f>
        <v>0</v>
      </c>
      <c r="N283" s="439" t="n">
        <f aca="false">'☆掛負収入'!N283</f>
        <v>0</v>
      </c>
      <c r="O283" s="424" t="n">
        <f aca="false">'☆掛負収入'!O283</f>
        <v>0</v>
      </c>
      <c r="P283" s="135" t="n">
        <f aca="false">SUM(N283:O283)</f>
        <v>0</v>
      </c>
    </row>
    <row r="284" customFormat="false" ht="18.75" hidden="false" customHeight="true" outlineLevel="0" collapsed="false">
      <c r="A284" s="100" t="str">
        <f aca="false">'☆掛負収入'!A284</f>
        <v>平和文化センター</v>
      </c>
      <c r="B284" s="449" t="n">
        <f aca="false">'☆掛負収入'!B284</f>
        <v>0</v>
      </c>
      <c r="C284" s="377" t="n">
        <f aca="false">'☆掛負収入'!C284</f>
        <v>0</v>
      </c>
      <c r="D284" s="464" t="n">
        <f aca="false">'☆掛負収入'!D284</f>
        <v>807030</v>
      </c>
      <c r="E284" s="452" t="n">
        <f aca="false">'☆掛負収入'!E284</f>
        <v>66150</v>
      </c>
      <c r="F284" s="223" t="n">
        <f aca="false">'☆掛負収入'!F284</f>
        <v>829</v>
      </c>
      <c r="G284" s="181" t="n">
        <f aca="false">SUM(B284:F284)</f>
        <v>874009</v>
      </c>
      <c r="H284" s="594" t="n">
        <f aca="false">'☆掛負収入'!H284</f>
        <v>0</v>
      </c>
      <c r="I284" s="424" t="n">
        <f aca="false">'☆掛負収入'!I284</f>
        <v>462519</v>
      </c>
      <c r="J284" s="135" t="n">
        <f aca="false">SUM(H284:I284)</f>
        <v>462519</v>
      </c>
      <c r="K284" s="439" t="n">
        <f aca="false">'☆掛負収入'!K284</f>
        <v>0</v>
      </c>
      <c r="L284" s="424" t="n">
        <f aca="false">'☆掛負収入'!L284</f>
        <v>57354</v>
      </c>
      <c r="M284" s="135" t="n">
        <f aca="false">SUM(K284:L284)</f>
        <v>57354</v>
      </c>
      <c r="N284" s="439" t="n">
        <f aca="false">'☆掛負収入'!N284</f>
        <v>0</v>
      </c>
      <c r="O284" s="424" t="n">
        <f aca="false">'☆掛負収入'!O284</f>
        <v>10246</v>
      </c>
      <c r="P284" s="135" t="n">
        <f aca="false">SUM(N284:O284)</f>
        <v>10246</v>
      </c>
    </row>
    <row r="285" customFormat="false" ht="18.75" hidden="false" customHeight="true" outlineLevel="0" collapsed="false">
      <c r="A285" s="100" t="str">
        <f aca="false">'☆掛負収入'!A285</f>
        <v>社会福祉事業団</v>
      </c>
      <c r="B285" s="600"/>
      <c r="C285" s="210"/>
      <c r="D285" s="451" t="n">
        <f aca="false">'☆掛負収入'!D285</f>
        <v>2034960</v>
      </c>
      <c r="E285" s="453" t="n">
        <f aca="false">'☆掛負収入'!E285</f>
        <v>166800</v>
      </c>
      <c r="F285" s="223" t="n">
        <f aca="false">'☆掛負収入'!F285</f>
        <v>2038</v>
      </c>
      <c r="G285" s="181" t="n">
        <f aca="false">SUM(B285:F285)</f>
        <v>2203798</v>
      </c>
      <c r="H285" s="602"/>
      <c r="I285" s="424" t="n">
        <f aca="false">'☆掛負収入'!I285</f>
        <v>1310786</v>
      </c>
      <c r="J285" s="135" t="n">
        <f aca="false">SUM(H285:I285)</f>
        <v>1310786</v>
      </c>
      <c r="K285" s="612"/>
      <c r="L285" s="424" t="n">
        <f aca="false">'☆掛負収入'!L285</f>
        <v>143859</v>
      </c>
      <c r="M285" s="135" t="n">
        <f aca="false">SUM(K285:L285)</f>
        <v>143859</v>
      </c>
      <c r="N285" s="612"/>
      <c r="O285" s="424" t="n">
        <f aca="false">'☆掛負収入'!O285</f>
        <v>29034</v>
      </c>
      <c r="P285" s="135" t="n">
        <f aca="false">SUM(N285:O285)</f>
        <v>29034</v>
      </c>
    </row>
    <row r="286" customFormat="false" ht="18.75" hidden="false" customHeight="true" outlineLevel="0" collapsed="false">
      <c r="A286" s="100" t="str">
        <f aca="false">'☆掛負収入'!A286</f>
        <v>原爆障害対策協議会</v>
      </c>
      <c r="B286" s="600"/>
      <c r="C286" s="210"/>
      <c r="D286" s="449" t="n">
        <f aca="false">'☆掛負収入'!D286</f>
        <v>59475</v>
      </c>
      <c r="E286" s="453" t="n">
        <f aca="false">'☆掛負収入'!E286</f>
        <v>4875</v>
      </c>
      <c r="F286" s="223" t="n">
        <f aca="false">'☆掛負収入'!F286</f>
        <v>56</v>
      </c>
      <c r="G286" s="181" t="n">
        <f aca="false">SUM(B286:F286)</f>
        <v>64406</v>
      </c>
      <c r="H286" s="602"/>
      <c r="I286" s="424" t="n">
        <f aca="false">'☆掛負収入'!I286</f>
        <v>36856</v>
      </c>
      <c r="J286" s="135" t="n">
        <f aca="false">SUM(H286:I286)</f>
        <v>36856</v>
      </c>
      <c r="K286" s="612"/>
      <c r="L286" s="424" t="n">
        <f aca="false">'☆掛負収入'!L286</f>
        <v>5609</v>
      </c>
      <c r="M286" s="135" t="n">
        <f aca="false">SUM(K286:L286)</f>
        <v>5609</v>
      </c>
      <c r="N286" s="612"/>
      <c r="O286" s="424" t="n">
        <f aca="false">'☆掛負収入'!O286</f>
        <v>816</v>
      </c>
      <c r="P286" s="135" t="n">
        <f aca="false">SUM(N286:O286)</f>
        <v>816</v>
      </c>
    </row>
    <row r="287" customFormat="false" ht="18.75" hidden="false" customHeight="true" outlineLevel="0" collapsed="false">
      <c r="A287" s="189" t="str">
        <f aca="false">'☆掛負収入'!A287</f>
        <v>産業振興センター</v>
      </c>
      <c r="B287" s="600"/>
      <c r="C287" s="210"/>
      <c r="D287" s="449" t="n">
        <f aca="false">'☆掛負収入'!D287</f>
        <v>368745</v>
      </c>
      <c r="E287" s="453" t="n">
        <f aca="false">'☆掛負収入'!E287</f>
        <v>30225</v>
      </c>
      <c r="F287" s="223" t="n">
        <f aca="false">'☆掛負収入'!F287</f>
        <v>395</v>
      </c>
      <c r="G287" s="181" t="n">
        <f aca="false">SUM(B287:F287)</f>
        <v>399365</v>
      </c>
      <c r="H287" s="602"/>
      <c r="I287" s="424" t="n">
        <f aca="false">'☆掛負収入'!I287</f>
        <v>209223</v>
      </c>
      <c r="J287" s="135" t="n">
        <f aca="false">SUM(H287:I287)</f>
        <v>209223</v>
      </c>
      <c r="K287" s="612"/>
      <c r="L287" s="424" t="n">
        <f aca="false">'☆掛負収入'!L287</f>
        <v>26781</v>
      </c>
      <c r="M287" s="135" t="n">
        <f aca="false">SUM(K287:L287)</f>
        <v>26781</v>
      </c>
      <c r="N287" s="612"/>
      <c r="O287" s="424" t="n">
        <f aca="false">'☆掛負収入'!O287</f>
        <v>4634</v>
      </c>
      <c r="P287" s="135" t="n">
        <f aca="false">SUM(N287:O287)</f>
        <v>4634</v>
      </c>
    </row>
    <row r="288" customFormat="false" ht="18.75" hidden="false" customHeight="true" outlineLevel="0" collapsed="false">
      <c r="A288" s="121" t="str">
        <f aca="false">'☆掛負収入'!A288</f>
        <v>ひろしま産業振興</v>
      </c>
      <c r="B288" s="600"/>
      <c r="C288" s="459"/>
      <c r="D288" s="449" t="n">
        <f aca="false">'☆掛負収入'!D288</f>
        <v>45750</v>
      </c>
      <c r="E288" s="453" t="n">
        <f aca="false">'☆掛負収入'!E288</f>
        <v>3750</v>
      </c>
      <c r="F288" s="454" t="n">
        <f aca="false">'☆掛負収入'!F288</f>
        <v>43</v>
      </c>
      <c r="G288" s="181" t="n">
        <f aca="false">SUM(B288:F288)</f>
        <v>49543</v>
      </c>
      <c r="H288" s="602"/>
      <c r="I288" s="407" t="n">
        <f aca="false">'☆掛負収入'!I288</f>
        <v>25955</v>
      </c>
      <c r="J288" s="135" t="n">
        <f aca="false">SUM(H288:I288)</f>
        <v>25955</v>
      </c>
      <c r="K288" s="612"/>
      <c r="L288" s="407" t="n">
        <f aca="false">'☆掛負収入'!L288</f>
        <v>3950</v>
      </c>
      <c r="M288" s="135" t="n">
        <f aca="false">SUM(K288:L288)</f>
        <v>3950</v>
      </c>
      <c r="N288" s="612"/>
      <c r="O288" s="407" t="n">
        <f aca="false">'☆掛負収入'!O288</f>
        <v>575</v>
      </c>
      <c r="P288" s="135" t="n">
        <f aca="false">SUM(N288:O288)</f>
        <v>575</v>
      </c>
    </row>
    <row r="289" customFormat="false" ht="18.75" hidden="false" customHeight="true" outlineLevel="0" collapsed="false">
      <c r="A289" s="121" t="str">
        <f aca="false">'☆掛負収入'!A289</f>
        <v>都市整備公社　市</v>
      </c>
      <c r="B289" s="600"/>
      <c r="C289" s="459"/>
      <c r="D289" s="451" t="n">
        <f aca="false">'☆掛負収入'!D289</f>
        <v>0</v>
      </c>
      <c r="E289" s="453" t="n">
        <f aca="false">'☆掛負収入'!E289</f>
        <v>0</v>
      </c>
      <c r="F289" s="223" t="n">
        <f aca="false">'☆掛負収入'!F289</f>
        <v>0</v>
      </c>
      <c r="G289" s="181" t="n">
        <f aca="false">SUM(B289:F289)</f>
        <v>0</v>
      </c>
      <c r="H289" s="602"/>
      <c r="I289" s="424" t="n">
        <f aca="false">'☆掛負収入'!I289</f>
        <v>0</v>
      </c>
      <c r="J289" s="135" t="n">
        <f aca="false">SUM(H289:I289)</f>
        <v>0</v>
      </c>
      <c r="K289" s="612"/>
      <c r="L289" s="424" t="n">
        <f aca="false">'☆掛負収入'!L289</f>
        <v>0</v>
      </c>
      <c r="M289" s="135" t="n">
        <f aca="false">SUM(K289:L289)</f>
        <v>0</v>
      </c>
      <c r="N289" s="612"/>
      <c r="O289" s="424" t="n">
        <f aca="false">'☆掛負収入'!O289</f>
        <v>0</v>
      </c>
      <c r="P289" s="135" t="n">
        <f aca="false">SUM(N289:O289)</f>
        <v>0</v>
      </c>
    </row>
    <row r="290" customFormat="false" ht="18.75" hidden="false" customHeight="true" outlineLevel="0" collapsed="false">
      <c r="A290" s="192"/>
      <c r="B290" s="600"/>
      <c r="C290" s="196"/>
      <c r="D290" s="449"/>
      <c r="E290" s="453"/>
      <c r="F290" s="223"/>
      <c r="G290" s="181"/>
      <c r="H290" s="602"/>
      <c r="I290" s="424"/>
      <c r="J290" s="135"/>
      <c r="K290" s="612"/>
      <c r="L290" s="424"/>
      <c r="M290" s="135" t="n">
        <f aca="false">SUM(K290:L290)</f>
        <v>0</v>
      </c>
      <c r="N290" s="612"/>
      <c r="O290" s="424"/>
      <c r="P290" s="135" t="n">
        <f aca="false">SUM(N290:O290)</f>
        <v>0</v>
      </c>
    </row>
    <row r="291" customFormat="false" ht="18.75" hidden="false" customHeight="true" outlineLevel="0" collapsed="false">
      <c r="A291" s="121" t="str">
        <f aca="false">'☆掛負収入'!A291</f>
        <v>日本下水道事業団</v>
      </c>
      <c r="B291" s="451" t="n">
        <f aca="false">'☆掛負収入'!B291</f>
        <v>241560</v>
      </c>
      <c r="C291" s="223" t="n">
        <f aca="false">'☆掛負収入'!C291</f>
        <v>19800</v>
      </c>
      <c r="D291" s="449" t="n">
        <f aca="false">'☆掛負収入'!D291</f>
        <v>241560</v>
      </c>
      <c r="E291" s="453" t="n">
        <f aca="false">'☆掛負収入'!E291</f>
        <v>19800</v>
      </c>
      <c r="F291" s="223" t="n">
        <f aca="false">'☆掛負収入'!F291</f>
        <v>229</v>
      </c>
      <c r="G291" s="181" t="n">
        <f aca="false">SUM(B291:F291)</f>
        <v>522949</v>
      </c>
      <c r="H291" s="594" t="n">
        <f aca="false">'☆掛負収入'!H291</f>
        <v>140019</v>
      </c>
      <c r="I291" s="424" t="n">
        <f aca="false">'☆掛負収入'!I291</f>
        <v>140157</v>
      </c>
      <c r="J291" s="135" t="n">
        <f aca="false">SUM(H291:I291)</f>
        <v>280176</v>
      </c>
      <c r="K291" s="439" t="n">
        <f aca="false">'☆掛負収入'!K291</f>
        <v>10744</v>
      </c>
      <c r="L291" s="424" t="n">
        <f aca="false">'☆掛負収入'!L291</f>
        <v>10744</v>
      </c>
      <c r="M291" s="135" t="n">
        <f aca="false">SUM(K291:L291)</f>
        <v>21488</v>
      </c>
      <c r="N291" s="439" t="n">
        <f aca="false">'☆掛負収入'!N291</f>
        <v>3104</v>
      </c>
      <c r="O291" s="424" t="n">
        <f aca="false">'☆掛負収入'!O291</f>
        <v>3105</v>
      </c>
      <c r="P291" s="135" t="n">
        <f aca="false">SUM(N291:O291)</f>
        <v>6209</v>
      </c>
    </row>
    <row r="292" customFormat="false" ht="18.75" hidden="false" customHeight="true" outlineLevel="0" collapsed="false">
      <c r="A292" s="100" t="str">
        <f aca="false">'☆掛負収入'!A292</f>
        <v>地方公務員災害補償基金本部</v>
      </c>
      <c r="B292" s="451" t="n">
        <f aca="false">'☆掛負収入'!B292</f>
        <v>40260</v>
      </c>
      <c r="C292" s="223" t="n">
        <f aca="false">'☆掛負収入'!C292</f>
        <v>3300</v>
      </c>
      <c r="D292" s="449" t="n">
        <f aca="false">'☆掛負収入'!D292</f>
        <v>40260</v>
      </c>
      <c r="E292" s="453" t="n">
        <f aca="false">'☆掛負収入'!E292</f>
        <v>3300</v>
      </c>
      <c r="F292" s="223" t="n">
        <f aca="false">'☆掛負収入'!F292</f>
        <v>38</v>
      </c>
      <c r="G292" s="181" t="n">
        <f aca="false">SUM(B292:F292)</f>
        <v>87158</v>
      </c>
      <c r="H292" s="594" t="n">
        <f aca="false">'☆掛負収入'!H292</f>
        <v>22818</v>
      </c>
      <c r="I292" s="424" t="n">
        <f aca="false">'☆掛負収入'!I292</f>
        <v>22840</v>
      </c>
      <c r="J292" s="135" t="n">
        <f aca="false">SUM(H292:I292)</f>
        <v>45658</v>
      </c>
      <c r="K292" s="439" t="n">
        <f aca="false">'☆掛負収入'!K292</f>
        <v>0</v>
      </c>
      <c r="L292" s="424" t="n">
        <f aca="false">'☆掛負収入'!L292</f>
        <v>0</v>
      </c>
      <c r="M292" s="135" t="n">
        <f aca="false">SUM(K292:L292)</f>
        <v>0</v>
      </c>
      <c r="N292" s="439" t="n">
        <f aca="false">'☆掛負収入'!N292</f>
        <v>506</v>
      </c>
      <c r="O292" s="424" t="n">
        <f aca="false">'☆掛負収入'!O292</f>
        <v>506</v>
      </c>
      <c r="P292" s="135" t="n">
        <f aca="false">SUM(N292:O292)</f>
        <v>1012</v>
      </c>
    </row>
    <row r="293" customFormat="false" ht="18.75" hidden="false" customHeight="true" outlineLevel="0" collapsed="false">
      <c r="A293" s="197"/>
      <c r="B293" s="449"/>
      <c r="C293" s="223"/>
      <c r="D293" s="449"/>
      <c r="E293" s="453"/>
      <c r="F293" s="223"/>
      <c r="G293" s="181"/>
      <c r="H293" s="594"/>
      <c r="I293" s="424"/>
      <c r="J293" s="135"/>
      <c r="K293" s="439"/>
      <c r="L293" s="424"/>
      <c r="M293" s="135" t="n">
        <f aca="false">SUM(K293:L293)</f>
        <v>0</v>
      </c>
      <c r="N293" s="439"/>
      <c r="O293" s="424"/>
      <c r="P293" s="135" t="n">
        <f aca="false">SUM(N293:O293)</f>
        <v>0</v>
      </c>
    </row>
    <row r="294" customFormat="false" ht="18.75" hidden="false" customHeight="true" outlineLevel="0" collapsed="false">
      <c r="A294" s="100" t="str">
        <f aca="false">'☆掛負収入'!A294</f>
        <v>高速道路公社</v>
      </c>
      <c r="B294" s="464" t="n">
        <f aca="false">'☆掛負収入'!B294</f>
        <v>755790</v>
      </c>
      <c r="C294" s="454" t="n">
        <f aca="false">'☆掛負収入'!C294</f>
        <v>61950</v>
      </c>
      <c r="D294" s="464" t="n">
        <f aca="false">'☆掛負収入'!D294</f>
        <v>746877</v>
      </c>
      <c r="E294" s="470" t="n">
        <f aca="false">'☆掛負収入'!E294</f>
        <v>61950</v>
      </c>
      <c r="F294" s="466" t="n">
        <f aca="false">'☆掛負収入'!F294</f>
        <v>753</v>
      </c>
      <c r="G294" s="181" t="n">
        <f aca="false">SUM(B294:F294)</f>
        <v>1627320</v>
      </c>
      <c r="H294" s="613" t="n">
        <f aca="false">'☆掛負収入'!H294</f>
        <v>428357</v>
      </c>
      <c r="I294" s="614" t="n">
        <f aca="false">'☆掛負収入'!I294</f>
        <v>437689</v>
      </c>
      <c r="J294" s="135" t="n">
        <f aca="false">SUM(H294:I294)</f>
        <v>866046</v>
      </c>
      <c r="K294" s="615" t="n">
        <f aca="false">'☆掛負収入'!K294</f>
        <v>39816</v>
      </c>
      <c r="L294" s="614" t="n">
        <f aca="false">'☆掛負収入'!L294</f>
        <v>39816</v>
      </c>
      <c r="M294" s="135" t="n">
        <f aca="false">SUM(K294:L294)</f>
        <v>79632</v>
      </c>
      <c r="N294" s="615" t="n">
        <f aca="false">'☆掛負収入'!N294</f>
        <v>9495</v>
      </c>
      <c r="O294" s="614" t="n">
        <f aca="false">'☆掛負収入'!O294</f>
        <v>9499</v>
      </c>
      <c r="P294" s="135" t="n">
        <f aca="false">SUM(N294:O294)</f>
        <v>18994</v>
      </c>
    </row>
    <row r="295" customFormat="false" ht="18.75" hidden="false" customHeight="true" outlineLevel="0" collapsed="false">
      <c r="A295" s="100" t="str">
        <f aca="false">'☆掛負収入'!A295</f>
        <v>農林水産振興センタ</v>
      </c>
      <c r="B295" s="457"/>
      <c r="C295" s="459"/>
      <c r="D295" s="451" t="n">
        <f aca="false">'☆掛負収入'!D295</f>
        <v>582855</v>
      </c>
      <c r="E295" s="473" t="n">
        <f aca="false">'☆掛負収入'!E295</f>
        <v>47775</v>
      </c>
      <c r="F295" s="454" t="n">
        <f aca="false">'☆掛負収入'!F295</f>
        <v>579</v>
      </c>
      <c r="G295" s="181" t="n">
        <f aca="false">SUM(B295:F295)</f>
        <v>631209</v>
      </c>
      <c r="H295" s="616"/>
      <c r="I295" s="407" t="n">
        <f aca="false">'☆掛負収入'!I295</f>
        <v>330681</v>
      </c>
      <c r="J295" s="135" t="n">
        <f aca="false">SUM(H295:I295)</f>
        <v>330681</v>
      </c>
      <c r="K295" s="617"/>
      <c r="L295" s="407" t="n">
        <f aca="false">'☆掛負収入'!L295</f>
        <v>28203</v>
      </c>
      <c r="M295" s="135" t="n">
        <f aca="false">SUM(K295:L295)</f>
        <v>28203</v>
      </c>
      <c r="N295" s="617"/>
      <c r="O295" s="407" t="n">
        <f aca="false">'☆掛負収入'!O295</f>
        <v>7324</v>
      </c>
      <c r="P295" s="135" t="n">
        <f aca="false">SUM(N295:O295)</f>
        <v>7324</v>
      </c>
    </row>
    <row r="296" customFormat="false" ht="18.75" hidden="false" customHeight="true" outlineLevel="0" collapsed="false">
      <c r="A296" s="203" t="str">
        <f aca="false">'☆掛負収入'!A296</f>
        <v>文化財団　市長部局</v>
      </c>
      <c r="B296" s="600"/>
      <c r="C296" s="196"/>
      <c r="D296" s="449" t="n">
        <f aca="false">'☆掛負収入'!D296</f>
        <v>1056825</v>
      </c>
      <c r="E296" s="453" t="n">
        <f aca="false">'☆掛負収入'!E296</f>
        <v>86625</v>
      </c>
      <c r="F296" s="454" t="n">
        <f aca="false">'☆掛負収入'!F296</f>
        <v>1000</v>
      </c>
      <c r="G296" s="181" t="n">
        <f aca="false">SUM(B296:F296)</f>
        <v>1144450</v>
      </c>
      <c r="H296" s="602"/>
      <c r="I296" s="407" t="n">
        <f aca="false">'☆掛負収入'!I296</f>
        <v>606306</v>
      </c>
      <c r="J296" s="135" t="n">
        <f aca="false">SUM(H296:I296)</f>
        <v>606306</v>
      </c>
      <c r="K296" s="612"/>
      <c r="L296" s="407" t="n">
        <f aca="false">'☆掛負収入'!L296</f>
        <v>86900</v>
      </c>
      <c r="M296" s="135" t="n">
        <f aca="false">SUM(K296:L296)</f>
        <v>86900</v>
      </c>
      <c r="N296" s="612"/>
      <c r="O296" s="407" t="n">
        <f aca="false">'☆掛負収入'!O296</f>
        <v>13430</v>
      </c>
      <c r="P296" s="135" t="n">
        <f aca="false">SUM(N296:O296)</f>
        <v>13430</v>
      </c>
    </row>
    <row r="297" customFormat="false" ht="18.75" hidden="false" customHeight="true" outlineLevel="0" collapsed="false">
      <c r="A297" s="204"/>
      <c r="B297" s="600"/>
      <c r="C297" s="196"/>
      <c r="D297" s="449"/>
      <c r="E297" s="453"/>
      <c r="F297" s="454"/>
      <c r="G297" s="181"/>
      <c r="H297" s="602"/>
      <c r="I297" s="407"/>
      <c r="J297" s="135"/>
      <c r="K297" s="612"/>
      <c r="L297" s="407"/>
      <c r="M297" s="135" t="n">
        <f aca="false">SUM(K297:L297)</f>
        <v>0</v>
      </c>
      <c r="N297" s="612"/>
      <c r="O297" s="407"/>
      <c r="P297" s="135" t="n">
        <f aca="false">SUM(N297:O297)</f>
        <v>0</v>
      </c>
    </row>
    <row r="298" customFormat="false" ht="18.75" hidden="false" customHeight="true" outlineLevel="0" collapsed="false">
      <c r="A298" s="100" t="str">
        <f aca="false">'☆掛負収入'!A298</f>
        <v>みどり生きもの協会</v>
      </c>
      <c r="B298" s="600"/>
      <c r="C298" s="196"/>
      <c r="D298" s="449" t="n">
        <f aca="false">'☆掛負収入'!D298</f>
        <v>405345</v>
      </c>
      <c r="E298" s="453" t="n">
        <f aca="false">'☆掛負収入'!E298</f>
        <v>33225</v>
      </c>
      <c r="F298" s="454" t="n">
        <f aca="false">'☆掛負収入'!F298</f>
        <v>383</v>
      </c>
      <c r="G298" s="181" t="n">
        <f aca="false">SUM(B298:F298)</f>
        <v>438953</v>
      </c>
      <c r="H298" s="602"/>
      <c r="I298" s="407" t="n">
        <f aca="false">'☆掛負収入'!I298</f>
        <v>229960</v>
      </c>
      <c r="J298" s="135" t="n">
        <f aca="false">SUM(H298:I298)</f>
        <v>229960</v>
      </c>
      <c r="K298" s="612"/>
      <c r="L298" s="407" t="n">
        <f aca="false">'☆掛負収入'!L298</f>
        <v>34997</v>
      </c>
      <c r="M298" s="135" t="n">
        <f aca="false">SUM(K298:L298)</f>
        <v>34997</v>
      </c>
      <c r="N298" s="612"/>
      <c r="O298" s="407" t="n">
        <f aca="false">'☆掛負収入'!O298</f>
        <v>5093</v>
      </c>
      <c r="P298" s="135" t="n">
        <f aca="false">SUM(N298:O298)</f>
        <v>5093</v>
      </c>
    </row>
    <row r="299" customFormat="false" ht="18.75" hidden="false" customHeight="true" outlineLevel="0" collapsed="false">
      <c r="A299" s="121" t="str">
        <f aca="false">'☆掛負収入'!A299</f>
        <v>県下水道公社</v>
      </c>
      <c r="B299" s="449" t="n">
        <f aca="false">'☆掛負収入'!B299</f>
        <v>148230</v>
      </c>
      <c r="C299" s="223" t="n">
        <f aca="false">'☆掛負収入'!C299</f>
        <v>12150</v>
      </c>
      <c r="D299" s="449" t="n">
        <f aca="false">'☆掛負収入'!D299</f>
        <v>148230</v>
      </c>
      <c r="E299" s="453" t="n">
        <f aca="false">'☆掛負収入'!E299</f>
        <v>12150</v>
      </c>
      <c r="F299" s="454" t="n">
        <f aca="false">'☆掛負収入'!F299</f>
        <v>140</v>
      </c>
      <c r="G299" s="181" t="n">
        <f aca="false">SUM(B299:F299)</f>
        <v>320900</v>
      </c>
      <c r="H299" s="594" t="n">
        <f aca="false">'☆掛負収入'!H299</f>
        <v>87123</v>
      </c>
      <c r="I299" s="407" t="n">
        <f aca="false">'☆掛負収入'!I299</f>
        <v>87208</v>
      </c>
      <c r="J299" s="135" t="n">
        <f aca="false">SUM(H299:I299)</f>
        <v>174331</v>
      </c>
      <c r="K299" s="439" t="n">
        <f aca="false">'☆掛負収入'!K299</f>
        <v>10033</v>
      </c>
      <c r="L299" s="407" t="n">
        <f aca="false">'☆掛負収入'!L299</f>
        <v>10033</v>
      </c>
      <c r="M299" s="135" t="n">
        <f aca="false">SUM(K299:L299)</f>
        <v>20066</v>
      </c>
      <c r="N299" s="439" t="n">
        <f aca="false">'☆掛負収入'!N299</f>
        <v>1931</v>
      </c>
      <c r="O299" s="407" t="n">
        <f aca="false">'☆掛負収入'!O299</f>
        <v>1932</v>
      </c>
      <c r="P299" s="135" t="n">
        <f aca="false">SUM(N299:O299)</f>
        <v>3863</v>
      </c>
    </row>
    <row r="300" customFormat="false" ht="18.75" hidden="false" customHeight="true" outlineLevel="0" collapsed="false">
      <c r="A300" s="121" t="str">
        <f aca="false">'☆掛負収入'!A300</f>
        <v>バス協調・共創
プラットフォーム</v>
      </c>
      <c r="B300" s="457"/>
      <c r="C300" s="459"/>
      <c r="D300" s="451" t="n">
        <f aca="false">'☆掛負収入'!D300</f>
        <v>455670</v>
      </c>
      <c r="E300" s="473" t="n">
        <f aca="false">'☆掛負収入'!E300</f>
        <v>37350</v>
      </c>
      <c r="F300" s="454" t="n">
        <f aca="false">'☆掛負収入'!F300</f>
        <v>432</v>
      </c>
      <c r="G300" s="181" t="n">
        <f aca="false">SUM(B300:F300)</f>
        <v>493452</v>
      </c>
      <c r="H300" s="616"/>
      <c r="I300" s="407" t="n">
        <f aca="false">'☆掛負収入'!I300</f>
        <v>267855</v>
      </c>
      <c r="J300" s="135" t="n">
        <f aca="false">SUM(H300:I300)</f>
        <v>267855</v>
      </c>
      <c r="K300" s="617"/>
      <c r="L300" s="407" t="n">
        <f aca="false">'☆掛負収入'!L300</f>
        <v>21725</v>
      </c>
      <c r="M300" s="135" t="n">
        <f aca="false">SUM(K300:L300)</f>
        <v>21725</v>
      </c>
      <c r="N300" s="617"/>
      <c r="O300" s="407" t="n">
        <f aca="false">'☆掛負収入'!O300</f>
        <v>5934</v>
      </c>
      <c r="P300" s="135" t="n">
        <f aca="false">SUM(N300:O300)</f>
        <v>5934</v>
      </c>
    </row>
    <row r="301" customFormat="false" ht="18.75" hidden="false" customHeight="true" outlineLevel="0" collapsed="false">
      <c r="A301" s="121" t="str">
        <f aca="false">'☆掛負収入'!A301</f>
        <v>広島県市長会</v>
      </c>
      <c r="B301" s="449" t="n">
        <f aca="false">'☆掛負収入'!B301</f>
        <v>56730</v>
      </c>
      <c r="C301" s="223" t="n">
        <f aca="false">'☆掛負収入'!C301</f>
        <v>4650</v>
      </c>
      <c r="D301" s="449" t="n">
        <f aca="false">'☆掛負収入'!D301</f>
        <v>56730</v>
      </c>
      <c r="E301" s="453" t="n">
        <f aca="false">'☆掛負収入'!E301</f>
        <v>4650</v>
      </c>
      <c r="F301" s="223" t="n">
        <f aca="false">'☆掛負収入'!F301</f>
        <v>53</v>
      </c>
      <c r="G301" s="181" t="n">
        <f aca="false">SUM(B301:F301)</f>
        <v>122813</v>
      </c>
      <c r="H301" s="594" t="n">
        <f aca="false">'☆掛負収入'!H301</f>
        <v>32153</v>
      </c>
      <c r="I301" s="424" t="n">
        <f aca="false">'☆掛負収入'!I301</f>
        <v>32184</v>
      </c>
      <c r="J301" s="135" t="n">
        <f aca="false">SUM(H301:I301)</f>
        <v>64337</v>
      </c>
      <c r="K301" s="439" t="n">
        <f aca="false">'☆掛負収入'!K301</f>
        <v>4898</v>
      </c>
      <c r="L301" s="424" t="n">
        <f aca="false">'☆掛負収入'!L301</f>
        <v>4898</v>
      </c>
      <c r="M301" s="135" t="n">
        <f aca="false">SUM(K301:L301)</f>
        <v>9796</v>
      </c>
      <c r="N301" s="439" t="n">
        <f aca="false">'☆掛負収入'!N301</f>
        <v>713</v>
      </c>
      <c r="O301" s="424" t="n">
        <f aca="false">'☆掛負収入'!O301</f>
        <v>713</v>
      </c>
      <c r="P301" s="135" t="n">
        <f aca="false">SUM(N301:O301)</f>
        <v>1426</v>
      </c>
    </row>
    <row r="302" customFormat="false" ht="18.75" hidden="false" customHeight="true" outlineLevel="0" collapsed="false">
      <c r="A302" s="189" t="str">
        <f aca="false">'☆掛負収入'!A302</f>
        <v>全国市町村研修財団</v>
      </c>
      <c r="B302" s="451" t="n">
        <f aca="false">'☆掛負収入'!B302</f>
        <v>59475</v>
      </c>
      <c r="C302" s="223" t="n">
        <f aca="false">'☆掛負収入'!C302</f>
        <v>4875</v>
      </c>
      <c r="D302" s="449" t="n">
        <f aca="false">'☆掛負収入'!D302</f>
        <v>59475</v>
      </c>
      <c r="E302" s="453" t="n">
        <f aca="false">'☆掛負収入'!E302</f>
        <v>4875</v>
      </c>
      <c r="F302" s="223" t="n">
        <f aca="false">'☆掛負収入'!F302</f>
        <v>56</v>
      </c>
      <c r="G302" s="181" t="n">
        <f aca="false">SUM(B302:F302)</f>
        <v>128756</v>
      </c>
      <c r="H302" s="594" t="n">
        <f aca="false">'☆掛負収入'!H302</f>
        <v>38895</v>
      </c>
      <c r="I302" s="424" t="n">
        <f aca="false">'☆掛負収入'!I302</f>
        <v>38932</v>
      </c>
      <c r="J302" s="135" t="n">
        <f aca="false">SUM(H302:I302)</f>
        <v>77827</v>
      </c>
      <c r="K302" s="439" t="n">
        <f aca="false">'☆掛負収入'!K302</f>
        <v>5925</v>
      </c>
      <c r="L302" s="424" t="n">
        <f aca="false">'☆掛負収入'!L302</f>
        <v>5925</v>
      </c>
      <c r="M302" s="135" t="n">
        <f aca="false">SUM(K302:L302)</f>
        <v>11850</v>
      </c>
      <c r="N302" s="439" t="n">
        <f aca="false">'☆掛負収入'!N302</f>
        <v>862</v>
      </c>
      <c r="O302" s="424" t="n">
        <f aca="false">'☆掛負収入'!O302</f>
        <v>862</v>
      </c>
      <c r="P302" s="135" t="n">
        <f aca="false">SUM(N302:O302)</f>
        <v>1724</v>
      </c>
    </row>
    <row r="303" customFormat="false" ht="18.75" hidden="false" customHeight="true" outlineLevel="0" collapsed="false">
      <c r="A303" s="189" t="str">
        <f aca="false">'☆掛負収入'!A303</f>
        <v>都市再生機構</v>
      </c>
      <c r="B303" s="449" t="n">
        <f aca="false">'☆掛負収入'!B303</f>
        <v>45750</v>
      </c>
      <c r="C303" s="223" t="n">
        <f aca="false">'☆掛負収入'!C303</f>
        <v>3750</v>
      </c>
      <c r="D303" s="449" t="n">
        <f aca="false">'☆掛負収入'!D303</f>
        <v>45750</v>
      </c>
      <c r="E303" s="453" t="n">
        <f aca="false">'☆掛負収入'!E303</f>
        <v>3750</v>
      </c>
      <c r="F303" s="223" t="n">
        <f aca="false">'☆掛負収入'!F303</f>
        <v>43</v>
      </c>
      <c r="G303" s="181" t="n">
        <f aca="false">SUM(B303:F303)</f>
        <v>99043</v>
      </c>
      <c r="H303" s="594" t="n">
        <f aca="false">'☆掛負収入'!H303</f>
        <v>25930</v>
      </c>
      <c r="I303" s="424" t="n">
        <f aca="false">'☆掛負収入'!I303</f>
        <v>25955</v>
      </c>
      <c r="J303" s="135" t="n">
        <f aca="false">SUM(H303:I303)</f>
        <v>51885</v>
      </c>
      <c r="K303" s="439" t="n">
        <f aca="false">'☆掛負収入'!K303</f>
        <v>0</v>
      </c>
      <c r="L303" s="424" t="n">
        <f aca="false">'☆掛負収入'!L303</f>
        <v>0</v>
      </c>
      <c r="M303" s="135" t="n">
        <f aca="false">SUM(K303:L303)</f>
        <v>0</v>
      </c>
      <c r="N303" s="439" t="n">
        <f aca="false">'☆掛負収入'!N303</f>
        <v>575</v>
      </c>
      <c r="O303" s="424" t="n">
        <f aca="false">'☆掛負収入'!O303</f>
        <v>575</v>
      </c>
      <c r="P303" s="135" t="n">
        <f aca="false">SUM(N303:O303)</f>
        <v>1150</v>
      </c>
    </row>
    <row r="304" customFormat="false" ht="18.75" hidden="false" customHeight="true" outlineLevel="0" collapsed="false">
      <c r="A304" s="121" t="str">
        <f aca="false">'☆掛負収入'!A304</f>
        <v>広島市立大学</v>
      </c>
      <c r="B304" s="406" t="n">
        <f aca="false">'☆掛負収入'!B304</f>
        <v>1231590</v>
      </c>
      <c r="C304" s="135" t="n">
        <f aca="false">'☆掛負収入'!C304</f>
        <v>100950</v>
      </c>
      <c r="D304" s="406" t="n">
        <f aca="false">'☆掛負収入'!D304</f>
        <v>1231590</v>
      </c>
      <c r="E304" s="439" t="n">
        <f aca="false">'☆掛負収入'!E304</f>
        <v>100950</v>
      </c>
      <c r="F304" s="223" t="n">
        <f aca="false">'☆掛負収入'!F304</f>
        <v>1237</v>
      </c>
      <c r="G304" s="181" t="n">
        <f aca="false">SUM(B304:F304)</f>
        <v>2666317</v>
      </c>
      <c r="H304" s="594" t="n">
        <f aca="false">'☆掛負収入'!H304</f>
        <v>708914</v>
      </c>
      <c r="I304" s="424" t="n">
        <f aca="false">'☆掛負収入'!I304</f>
        <v>709649</v>
      </c>
      <c r="J304" s="135" t="n">
        <f aca="false">SUM(H304:I304)</f>
        <v>1418563</v>
      </c>
      <c r="K304" s="439" t="n">
        <f aca="false">'☆掛負収入'!K304</f>
        <v>82002</v>
      </c>
      <c r="L304" s="424" t="n">
        <f aca="false">'☆掛負収入'!L304</f>
        <v>82002</v>
      </c>
      <c r="M304" s="135" t="n">
        <f aca="false">SUM(K304:L304)</f>
        <v>164004</v>
      </c>
      <c r="N304" s="439" t="n">
        <f aca="false">'☆掛負収入'!N304</f>
        <v>15716</v>
      </c>
      <c r="O304" s="424" t="n">
        <f aca="false">'☆掛負収入'!O304</f>
        <v>15720</v>
      </c>
      <c r="P304" s="135" t="n">
        <f aca="false">SUM(N304:O304)</f>
        <v>31436</v>
      </c>
    </row>
    <row r="305" customFormat="false" ht="18.75" hidden="false" customHeight="true" outlineLevel="0" collapsed="false">
      <c r="A305" s="121" t="str">
        <f aca="false">'☆掛負収入'!A305</f>
        <v>社会福祉協議会</v>
      </c>
      <c r="B305" s="406" t="n">
        <f aca="false">'☆掛負収入'!B305</f>
        <v>0</v>
      </c>
      <c r="C305" s="135" t="n">
        <f aca="false">'☆掛負収入'!C305</f>
        <v>0</v>
      </c>
      <c r="D305" s="406" t="n">
        <f aca="false">'☆掛負収入'!D305</f>
        <v>256200</v>
      </c>
      <c r="E305" s="439" t="n">
        <f aca="false">'☆掛負収入'!E305</f>
        <v>21000</v>
      </c>
      <c r="F305" s="223" t="n">
        <f aca="false">'☆掛負収入'!F305</f>
        <v>243</v>
      </c>
      <c r="G305" s="181" t="n">
        <f aca="false">SUM(B305:F305)</f>
        <v>277443</v>
      </c>
      <c r="H305" s="594" t="n">
        <f aca="false">'☆掛負収入'!H305</f>
        <v>0</v>
      </c>
      <c r="I305" s="424" t="n">
        <f aca="false">'☆掛負収入'!I305</f>
        <v>148462</v>
      </c>
      <c r="J305" s="135" t="n">
        <f aca="false">SUM(H305:I305)</f>
        <v>148462</v>
      </c>
      <c r="K305" s="439" t="n">
        <f aca="false">'☆掛負収入'!K305</f>
        <v>0</v>
      </c>
      <c r="L305" s="424" t="n">
        <f aca="false">'☆掛負収入'!L305</f>
        <v>10507</v>
      </c>
      <c r="M305" s="135" t="n">
        <f aca="false">SUM(K305:L305)</f>
        <v>10507</v>
      </c>
      <c r="N305" s="439" t="n">
        <f aca="false">'☆掛負収入'!N305</f>
        <v>0</v>
      </c>
      <c r="O305" s="424" t="n">
        <f aca="false">'☆掛負収入'!O305</f>
        <v>3289</v>
      </c>
      <c r="P305" s="135" t="n">
        <f aca="false">SUM(N305:O305)</f>
        <v>3289</v>
      </c>
    </row>
    <row r="306" customFormat="false" ht="18.75" hidden="false" customHeight="true" outlineLevel="0" collapsed="false">
      <c r="A306" s="203" t="s">
        <v>418</v>
      </c>
      <c r="B306" s="595" t="n">
        <f aca="false">'☆掛負収入'!B308</f>
        <v>0</v>
      </c>
      <c r="C306" s="592" t="n">
        <f aca="false">'☆掛負収入'!C308</f>
        <v>0</v>
      </c>
      <c r="D306" s="595" t="n">
        <f aca="false">'☆掛負収入'!D308</f>
        <v>0</v>
      </c>
      <c r="E306" s="440" t="n">
        <f aca="false">'☆掛負収入'!E308</f>
        <v>0</v>
      </c>
      <c r="F306" s="181" t="n">
        <f aca="false">'☆掛負収入'!F308</f>
        <v>0</v>
      </c>
      <c r="G306" s="181" t="n">
        <f aca="false">SUM(B306:F306)</f>
        <v>0</v>
      </c>
      <c r="H306" s="595" t="n">
        <f aca="false">'☆掛負収入'!H308</f>
        <v>0</v>
      </c>
      <c r="I306" s="439" t="n">
        <f aca="false">'☆掛負収入'!I308</f>
        <v>0</v>
      </c>
      <c r="J306" s="135" t="n">
        <f aca="false">SUM(H306:I306)</f>
        <v>0</v>
      </c>
      <c r="K306" s="439" t="n">
        <f aca="false">'☆掛負収入'!K308</f>
        <v>0</v>
      </c>
      <c r="L306" s="424" t="n">
        <f aca="false">'☆掛負収入'!L308</f>
        <v>0</v>
      </c>
      <c r="M306" s="135" t="n">
        <f aca="false">SUM(K306:L306)</f>
        <v>0</v>
      </c>
      <c r="N306" s="439" t="n">
        <f aca="false">'☆掛負収入'!N308</f>
        <v>0</v>
      </c>
      <c r="O306" s="424" t="n">
        <f aca="false">'☆掛負収入'!O308</f>
        <v>0</v>
      </c>
      <c r="P306" s="135" t="n">
        <f aca="false">SUM(N306:O306)</f>
        <v>0</v>
      </c>
    </row>
    <row r="307" customFormat="false" ht="18.75" hidden="false" customHeight="true" outlineLevel="0" collapsed="false">
      <c r="A307" s="121" t="str">
        <f aca="false">'☆掛負収入'!A309</f>
        <v>全国市長会</v>
      </c>
      <c r="B307" s="595" t="n">
        <f aca="false">'☆掛負収入'!B309</f>
        <v>118950</v>
      </c>
      <c r="C307" s="592" t="n">
        <f aca="false">'☆掛負収入'!C309</f>
        <v>9750</v>
      </c>
      <c r="D307" s="595" t="n">
        <f aca="false">'☆掛負収入'!D309</f>
        <v>118950</v>
      </c>
      <c r="E307" s="440" t="n">
        <f aca="false">'☆掛負収入'!E309</f>
        <v>9750</v>
      </c>
      <c r="F307" s="181" t="n">
        <f aca="false">'☆掛負収入'!F309</f>
        <v>112</v>
      </c>
      <c r="G307" s="181" t="n">
        <f aca="false">SUM(B307:F307)</f>
        <v>257512</v>
      </c>
      <c r="H307" s="595" t="n">
        <f aca="false">'☆掛負収入'!H309</f>
        <v>84531</v>
      </c>
      <c r="I307" s="439" t="n">
        <f aca="false">'☆掛負収入'!I309</f>
        <v>84613</v>
      </c>
      <c r="J307" s="135" t="n">
        <f aca="false">SUM(H307:I307)</f>
        <v>169144</v>
      </c>
      <c r="K307" s="439" t="n">
        <f aca="false">'☆掛負収入'!K309</f>
        <v>12877</v>
      </c>
      <c r="L307" s="424" t="n">
        <f aca="false">'☆掛負収入'!L309</f>
        <v>12877</v>
      </c>
      <c r="M307" s="135" t="n">
        <f aca="false">SUM(K307:L307)</f>
        <v>25754</v>
      </c>
      <c r="N307" s="439" t="n">
        <f aca="false">'☆掛負収入'!N309</f>
        <v>1874</v>
      </c>
      <c r="O307" s="424" t="n">
        <f aca="false">'☆掛負収入'!O309</f>
        <v>1874</v>
      </c>
      <c r="P307" s="135" t="n">
        <f aca="false">SUM(N307:O307)</f>
        <v>3748</v>
      </c>
    </row>
    <row r="308" customFormat="false" ht="18.75" hidden="false" customHeight="true" outlineLevel="0" collapsed="false">
      <c r="A308" s="208"/>
      <c r="B308" s="406"/>
      <c r="C308" s="393"/>
      <c r="D308" s="406"/>
      <c r="E308" s="439"/>
      <c r="F308" s="135"/>
      <c r="G308" s="181"/>
      <c r="H308" s="594"/>
      <c r="I308" s="424"/>
      <c r="J308" s="135"/>
      <c r="K308" s="439"/>
      <c r="L308" s="424"/>
      <c r="M308" s="135"/>
      <c r="N308" s="439"/>
      <c r="O308" s="424"/>
      <c r="P308" s="135"/>
    </row>
    <row r="309" customFormat="false" ht="18.75" hidden="false" customHeight="true" outlineLevel="0" collapsed="false">
      <c r="A309" s="208"/>
      <c r="B309" s="595"/>
      <c r="C309" s="366"/>
      <c r="D309" s="595"/>
      <c r="E309" s="596"/>
      <c r="F309" s="393"/>
      <c r="G309" s="181"/>
      <c r="H309" s="595"/>
      <c r="I309" s="440"/>
      <c r="J309" s="135"/>
      <c r="K309" s="596"/>
      <c r="L309" s="440"/>
      <c r="M309" s="135"/>
      <c r="N309" s="596"/>
      <c r="O309" s="440"/>
      <c r="P309" s="135"/>
    </row>
    <row r="310" customFormat="false" ht="18.75" hidden="false" customHeight="true" outlineLevel="0" collapsed="false">
      <c r="A310" s="192"/>
      <c r="B310" s="406"/>
      <c r="C310" s="181"/>
      <c r="D310" s="406"/>
      <c r="E310" s="592"/>
      <c r="F310" s="135"/>
      <c r="G310" s="181"/>
      <c r="H310" s="406"/>
      <c r="I310" s="619"/>
      <c r="J310" s="135"/>
      <c r="K310" s="592"/>
      <c r="L310" s="619"/>
      <c r="M310" s="135"/>
      <c r="N310" s="592"/>
      <c r="O310" s="619"/>
      <c r="P310" s="135"/>
    </row>
    <row r="311" customFormat="false" ht="18.75" hidden="false" customHeight="true" outlineLevel="0" collapsed="false">
      <c r="A311" s="192"/>
      <c r="B311" s="595"/>
      <c r="C311" s="393"/>
      <c r="D311" s="595"/>
      <c r="E311" s="440"/>
      <c r="F311" s="393"/>
      <c r="G311" s="366"/>
      <c r="H311" s="406"/>
      <c r="I311" s="440"/>
      <c r="J311" s="135"/>
      <c r="K311" s="596"/>
      <c r="L311" s="440"/>
      <c r="M311" s="135"/>
      <c r="N311" s="596"/>
      <c r="O311" s="440"/>
      <c r="P311" s="135"/>
    </row>
    <row r="312" customFormat="false" ht="18.75" hidden="false" customHeight="true" outlineLevel="0" collapsed="false">
      <c r="A312" s="605"/>
      <c r="B312" s="622"/>
      <c r="C312" s="253"/>
      <c r="D312" s="499"/>
      <c r="E312" s="500"/>
      <c r="F312" s="271"/>
      <c r="G312" s="621"/>
      <c r="H312" s="622"/>
      <c r="I312" s="623"/>
      <c r="J312" s="623" t="n">
        <f aca="false">SUM(H312:I312)</f>
        <v>0</v>
      </c>
      <c r="K312" s="622"/>
      <c r="L312" s="623"/>
      <c r="M312" s="697" t="n">
        <f aca="false">SUM(K312:L312)</f>
        <v>0</v>
      </c>
      <c r="N312" s="622"/>
      <c r="O312" s="623"/>
      <c r="P312" s="697" t="n">
        <f aca="false">SUM(N312:O312)</f>
        <v>0</v>
      </c>
    </row>
    <row r="313" customFormat="false" ht="18.75" hidden="false" customHeight="true" outlineLevel="0" collapsed="false">
      <c r="A313" s="171" t="str">
        <f aca="false">'☆掛負収入'!A313</f>
        <v>小　計</v>
      </c>
      <c r="B313" s="404" t="n">
        <f aca="false">SUM(B283:B312)</f>
        <v>2698335</v>
      </c>
      <c r="C313" s="175" t="n">
        <f aca="false">SUM(C283:C312)</f>
        <v>221175</v>
      </c>
      <c r="D313" s="404" t="n">
        <f aca="false">SUM(D283:D312)</f>
        <v>8762277</v>
      </c>
      <c r="E313" s="276" t="n">
        <f aca="false">SUM(E283:E312)</f>
        <v>718950</v>
      </c>
      <c r="F313" s="175" t="n">
        <f aca="false">SUM(F283:F312)</f>
        <v>8659</v>
      </c>
      <c r="G313" s="176" t="n">
        <f aca="false">SUM(B313:F313)</f>
        <v>12409396</v>
      </c>
      <c r="H313" s="404" t="n">
        <f aca="false">SUM(H283:H312)</f>
        <v>1568740</v>
      </c>
      <c r="I313" s="174" t="n">
        <f aca="false">SUM(I283:I312)</f>
        <v>5207830</v>
      </c>
      <c r="J313" s="175" t="n">
        <f aca="false">SUM(H313:I313)</f>
        <v>6776570</v>
      </c>
      <c r="K313" s="404" t="n">
        <f aca="false">SUM(K283:K312)</f>
        <v>166295</v>
      </c>
      <c r="L313" s="174" t="n">
        <f aca="false">SUM(L283:L312)</f>
        <v>586180</v>
      </c>
      <c r="M313" s="173" t="n">
        <f aca="false">SUM(K313:L313)</f>
        <v>752475</v>
      </c>
      <c r="N313" s="404" t="n">
        <f aca="false">SUM(N283:N312)</f>
        <v>34776</v>
      </c>
      <c r="O313" s="174" t="n">
        <f aca="false">SUM(O283:O312)</f>
        <v>115161</v>
      </c>
      <c r="P313" s="173" t="n">
        <f aca="false">SUM(N313:O313)</f>
        <v>149937</v>
      </c>
    </row>
    <row r="314" customFormat="false" ht="18.75" hidden="true" customHeight="true" outlineLevel="0" collapsed="false">
      <c r="A314" s="604"/>
      <c r="B314" s="622"/>
      <c r="C314" s="253"/>
      <c r="D314" s="623"/>
      <c r="E314" s="624"/>
      <c r="F314" s="625"/>
      <c r="G314" s="626"/>
      <c r="H314" s="627"/>
      <c r="I314" s="628"/>
      <c r="J314" s="629"/>
      <c r="K314" s="630"/>
      <c r="L314" s="631"/>
      <c r="M314" s="632"/>
      <c r="N314" s="630"/>
      <c r="O314" s="631"/>
      <c r="P314" s="632"/>
    </row>
    <row r="315" customFormat="false" ht="18.75" hidden="true" customHeight="true" outlineLevel="0" collapsed="false">
      <c r="A315" s="633"/>
      <c r="B315" s="606"/>
      <c r="C315" s="608"/>
      <c r="D315" s="623"/>
      <c r="E315" s="624"/>
      <c r="F315" s="253"/>
      <c r="G315" s="621"/>
      <c r="H315" s="634"/>
      <c r="I315" s="635"/>
      <c r="J315" s="383"/>
      <c r="K315" s="636"/>
      <c r="L315" s="637"/>
      <c r="M315" s="638"/>
      <c r="N315" s="636"/>
      <c r="O315" s="637"/>
      <c r="P315" s="638"/>
    </row>
    <row r="316" customFormat="false" ht="18.75" hidden="false" customHeight="true" outlineLevel="0" collapsed="false">
      <c r="A316" s="189" t="str">
        <f aca="false">'☆掛負収入'!A316</f>
        <v>高速交通（株）</v>
      </c>
      <c r="B316" s="464" t="n">
        <f aca="false">'☆掛負収入'!B316</f>
        <v>145485</v>
      </c>
      <c r="C316" s="466" t="n">
        <f aca="false">'☆掛負収入'!C316</f>
        <v>11925</v>
      </c>
      <c r="D316" s="444" t="n">
        <f aca="false">'☆掛負収入'!D316</f>
        <v>145485</v>
      </c>
      <c r="E316" s="447" t="n">
        <f aca="false">'☆掛負収入'!E316</f>
        <v>11925</v>
      </c>
      <c r="F316" s="446" t="n">
        <f aca="false">'☆掛負収入'!F316</f>
        <v>138</v>
      </c>
      <c r="G316" s="366" t="n">
        <f aca="false">SUM(B316:F316)</f>
        <v>314958</v>
      </c>
      <c r="H316" s="640"/>
      <c r="I316" s="640"/>
      <c r="J316" s="640"/>
      <c r="K316" s="640"/>
      <c r="L316" s="640"/>
      <c r="M316" s="640"/>
      <c r="N316" s="640"/>
      <c r="O316" s="640"/>
      <c r="P316" s="640"/>
    </row>
    <row r="317" customFormat="false" ht="18.75" hidden="false" customHeight="true" outlineLevel="0" collapsed="false">
      <c r="A317" s="641" t="s">
        <v>201</v>
      </c>
      <c r="B317" s="642" t="n">
        <f aca="false">'☆掛負収入'!B317</f>
        <v>53985</v>
      </c>
      <c r="C317" s="667" t="n">
        <f aca="false">'☆掛負収入'!C317</f>
        <v>4425</v>
      </c>
      <c r="D317" s="642" t="n">
        <f aca="false">'☆掛負収入'!D317</f>
        <v>53985</v>
      </c>
      <c r="E317" s="693" t="n">
        <f aca="false">'☆掛負収入'!E317</f>
        <v>4425</v>
      </c>
      <c r="F317" s="694" t="n">
        <f aca="false">'☆掛負収入'!F317</f>
        <v>51</v>
      </c>
      <c r="G317" s="366" t="n">
        <f aca="false">SUM(B317:F317)</f>
        <v>116871</v>
      </c>
      <c r="H317" s="640"/>
      <c r="I317" s="640"/>
      <c r="J317" s="640"/>
      <c r="K317" s="640"/>
      <c r="L317" s="640"/>
      <c r="M317" s="640"/>
      <c r="N317" s="640"/>
      <c r="O317" s="640"/>
      <c r="P317" s="640"/>
    </row>
    <row r="318" customFormat="false" ht="18.75" hidden="false" customHeight="true" outlineLevel="0" collapsed="false">
      <c r="A318" s="171" t="str">
        <f aca="false">'☆掛負収入'!A318</f>
        <v>小　計</v>
      </c>
      <c r="B318" s="172" t="n">
        <f aca="false">SUM(B316:B317)</f>
        <v>199470</v>
      </c>
      <c r="C318" s="175" t="n">
        <f aca="false">SUM(C314:C317)</f>
        <v>16350</v>
      </c>
      <c r="D318" s="656" t="n">
        <f aca="false">SUM(D314:D317)</f>
        <v>199470</v>
      </c>
      <c r="E318" s="174" t="n">
        <f aca="false">SUM(E314:E317)</f>
        <v>16350</v>
      </c>
      <c r="F318" s="175" t="n">
        <f aca="false">SUM(F314:F317)</f>
        <v>189</v>
      </c>
      <c r="G318" s="176" t="n">
        <f aca="false">SUM(B318:F318)</f>
        <v>431829</v>
      </c>
      <c r="H318" s="640"/>
      <c r="I318" s="640"/>
      <c r="J318" s="640"/>
      <c r="K318" s="640"/>
      <c r="L318" s="640"/>
      <c r="M318" s="640"/>
      <c r="N318" s="640"/>
      <c r="O318" s="640"/>
      <c r="P318" s="640"/>
    </row>
    <row r="319" customFormat="false" ht="18.75" hidden="false" customHeight="true" outlineLevel="0" collapsed="false">
      <c r="A319" s="100" t="str">
        <f aca="false">'☆掛負収入'!A319</f>
        <v>市職員労働組合</v>
      </c>
      <c r="B319" s="449" t="n">
        <f aca="false">'☆掛負収入'!B319</f>
        <v>29280</v>
      </c>
      <c r="C319" s="223" t="n">
        <f aca="false">'☆掛負収入'!C319</f>
        <v>2400</v>
      </c>
      <c r="D319" s="445" t="n">
        <f aca="false">'☆掛負収入'!D319</f>
        <v>29280</v>
      </c>
      <c r="E319" s="463" t="n">
        <f aca="false">'☆掛負収入'!E319</f>
        <v>2400</v>
      </c>
      <c r="F319" s="196"/>
      <c r="G319" s="181" t="n">
        <f aca="false">SUM(B319:F319)</f>
        <v>63360</v>
      </c>
      <c r="H319" s="594" t="n">
        <f aca="false">'☆掛負収入'!H319</f>
        <v>16595</v>
      </c>
      <c r="I319" s="424" t="n">
        <f aca="false">'☆掛負収入'!I319</f>
        <v>15315</v>
      </c>
      <c r="J319" s="135" t="n">
        <f aca="false">SUM(H319:I319)</f>
        <v>31910</v>
      </c>
      <c r="K319" s="594" t="n">
        <f aca="false">'☆掛負収入'!K319</f>
        <v>2528</v>
      </c>
      <c r="L319" s="424" t="n">
        <f aca="false">'☆掛負収入'!L319</f>
        <v>2528</v>
      </c>
      <c r="M319" s="135" t="n">
        <f aca="false">SUM(K319:L319)</f>
        <v>5056</v>
      </c>
      <c r="N319" s="594" t="n">
        <f aca="false">'☆掛負収入'!N319</f>
        <v>368</v>
      </c>
      <c r="O319" s="424" t="n">
        <f aca="false">'☆掛負収入'!O319</f>
        <v>368</v>
      </c>
      <c r="P319" s="135" t="n">
        <f aca="false">SUM(N319:O319)</f>
        <v>736</v>
      </c>
    </row>
    <row r="320" customFormat="false" ht="18.75" hidden="false" customHeight="true" outlineLevel="0" collapsed="false">
      <c r="A320" s="100" t="str">
        <f aca="false">'☆掛負収入'!A320</f>
        <v>自治労労働組合</v>
      </c>
      <c r="B320" s="449" t="n">
        <f aca="false">'☆掛負収入'!B320</f>
        <v>0</v>
      </c>
      <c r="C320" s="377" t="n">
        <f aca="false">'☆掛負収入'!C320</f>
        <v>0</v>
      </c>
      <c r="D320" s="449" t="n">
        <f aca="false">'☆掛負収入'!D320</f>
        <v>0</v>
      </c>
      <c r="E320" s="463" t="n">
        <f aca="false">'☆掛負収入'!E320</f>
        <v>0</v>
      </c>
      <c r="F320" s="196"/>
      <c r="G320" s="181" t="n">
        <f aca="false">SUM(B320:F320)</f>
        <v>0</v>
      </c>
      <c r="H320" s="594" t="n">
        <f aca="false">'☆掛負収入'!H320</f>
        <v>0</v>
      </c>
      <c r="I320" s="424" t="n">
        <f aca="false">'☆掛負収入'!I320</f>
        <v>0</v>
      </c>
      <c r="J320" s="135" t="n">
        <f aca="false">SUM(H320:I320)</f>
        <v>0</v>
      </c>
      <c r="K320" s="594" t="n">
        <f aca="false">'☆掛負収入'!K320</f>
        <v>0</v>
      </c>
      <c r="L320" s="424" t="n">
        <f aca="false">'☆掛負収入'!L320</f>
        <v>0</v>
      </c>
      <c r="M320" s="135" t="n">
        <f aca="false">SUM(K320:L320)</f>
        <v>0</v>
      </c>
      <c r="N320" s="594" t="n">
        <f aca="false">'☆掛負収入'!N320</f>
        <v>0</v>
      </c>
      <c r="O320" s="424" t="n">
        <f aca="false">'☆掛負収入'!O320</f>
        <v>0</v>
      </c>
      <c r="P320" s="135" t="n">
        <f aca="false">SUM(N320:O320)</f>
        <v>0</v>
      </c>
    </row>
    <row r="321" customFormat="false" ht="18.75" hidden="false" customHeight="true" outlineLevel="0" collapsed="false">
      <c r="A321" s="100" t="str">
        <f aca="false">'☆掛負収入'!A321</f>
        <v>病院労働組合</v>
      </c>
      <c r="B321" s="406"/>
      <c r="C321" s="181"/>
      <c r="D321" s="406"/>
      <c r="E321" s="619"/>
      <c r="F321" s="196"/>
      <c r="G321" s="181" t="n">
        <f aca="false">SUM(B321:F321)</f>
        <v>0</v>
      </c>
      <c r="H321" s="594"/>
      <c r="I321" s="424"/>
      <c r="J321" s="135" t="n">
        <f aca="false">SUM(H321:I321)</f>
        <v>0</v>
      </c>
      <c r="K321" s="594"/>
      <c r="L321" s="424"/>
      <c r="M321" s="135" t="n">
        <f aca="false">SUM(K321:L321)</f>
        <v>0</v>
      </c>
      <c r="N321" s="594"/>
      <c r="O321" s="424"/>
      <c r="P321" s="135" t="n">
        <f aca="false">SUM(N321:O321)</f>
        <v>0</v>
      </c>
    </row>
    <row r="322" customFormat="false" ht="18.75" hidden="false" customHeight="true" outlineLevel="0" collapsed="false">
      <c r="A322" s="277" t="str">
        <f aca="false">'☆掛負収入'!A322</f>
        <v>水道労働組合</v>
      </c>
      <c r="B322" s="648"/>
      <c r="C322" s="419"/>
      <c r="D322" s="648"/>
      <c r="E322" s="598"/>
      <c r="F322" s="271"/>
      <c r="G322" s="181" t="n">
        <f aca="false">SUM(B322:F322)</f>
        <v>0</v>
      </c>
      <c r="H322" s="649"/>
      <c r="I322" s="650"/>
      <c r="J322" s="135" t="n">
        <f aca="false">SUM(H322:I322)</f>
        <v>0</v>
      </c>
      <c r="K322" s="651"/>
      <c r="L322" s="652"/>
      <c r="M322" s="135" t="n">
        <f aca="false">SUM(K322:L322)</f>
        <v>0</v>
      </c>
      <c r="N322" s="651"/>
      <c r="O322" s="652"/>
      <c r="P322" s="135" t="n">
        <f aca="false">SUM(N322:O322)</f>
        <v>0</v>
      </c>
    </row>
    <row r="323" customFormat="false" ht="18.75" hidden="false" customHeight="true" outlineLevel="0" collapsed="false">
      <c r="A323" s="171" t="str">
        <f aca="false">'☆掛負収入'!A323</f>
        <v>小　計</v>
      </c>
      <c r="B323" s="404" t="n">
        <f aca="false">SUM(B319:B322)</f>
        <v>29280</v>
      </c>
      <c r="C323" s="175" t="n">
        <f aca="false">SUM(C319:C322)</f>
        <v>2400</v>
      </c>
      <c r="D323" s="404" t="n">
        <f aca="false">SUM(D319:D322)</f>
        <v>29280</v>
      </c>
      <c r="E323" s="174" t="n">
        <f aca="false">SUM(E319:E322)</f>
        <v>2400</v>
      </c>
      <c r="F323" s="173" t="n">
        <f aca="false">SUM(F319:F322)</f>
        <v>0</v>
      </c>
      <c r="G323" s="172" t="n">
        <f aca="false">SUM(B323:F323)</f>
        <v>63360</v>
      </c>
      <c r="H323" s="404" t="n">
        <f aca="false">SUM(H319:H322)</f>
        <v>16595</v>
      </c>
      <c r="I323" s="174" t="n">
        <f aca="false">SUM(I319:I322)</f>
        <v>15315</v>
      </c>
      <c r="J323" s="175" t="n">
        <f aca="false">SUM(H323:I323)</f>
        <v>31910</v>
      </c>
      <c r="K323" s="172" t="n">
        <f aca="false">SUM(K319:K322)</f>
        <v>2528</v>
      </c>
      <c r="L323" s="173" t="n">
        <f aca="false">SUM(L319:L322)</f>
        <v>2528</v>
      </c>
      <c r="M323" s="175" t="n">
        <f aca="false">SUM(K323:L323)</f>
        <v>5056</v>
      </c>
      <c r="N323" s="172" t="n">
        <f aca="false">SUM(N319:N322)</f>
        <v>368</v>
      </c>
      <c r="O323" s="173" t="n">
        <f aca="false">SUM(O319:O322)</f>
        <v>368</v>
      </c>
      <c r="P323" s="175" t="n">
        <f aca="false">SUM(N323:O323)</f>
        <v>736</v>
      </c>
    </row>
    <row r="324" customFormat="false" ht="18.75" hidden="false" customHeight="true" outlineLevel="0" collapsed="false">
      <c r="A324" s="277" t="str">
        <f aca="false">'☆掛負収入'!A324</f>
        <v>任意継続組合員</v>
      </c>
      <c r="B324" s="256"/>
      <c r="C324" s="498"/>
      <c r="D324" s="499"/>
      <c r="E324" s="500"/>
      <c r="F324" s="271"/>
      <c r="G324" s="268"/>
      <c r="H324" s="653"/>
      <c r="I324" s="257"/>
      <c r="J324" s="258"/>
      <c r="K324" s="499"/>
      <c r="L324" s="654"/>
      <c r="M324" s="267"/>
      <c r="N324" s="499"/>
      <c r="O324" s="654"/>
      <c r="P324" s="267"/>
    </row>
    <row r="325" customFormat="false" ht="30" hidden="false" customHeight="true" outlineLevel="0" collapsed="false">
      <c r="A325" s="655" t="str">
        <f aca="false">'☆掛負収入'!A325</f>
        <v>総　　計</v>
      </c>
      <c r="B325" s="404" t="n">
        <f aca="false">SUM(B282+B313+B318+B323)</f>
        <v>2927085</v>
      </c>
      <c r="C325" s="175" t="n">
        <f aca="false">SUM(C282+C313+C318+C323)</f>
        <v>239925</v>
      </c>
      <c r="D325" s="656" t="n">
        <f aca="false">SUM(D282+D313+D318+D323)</f>
        <v>8991027</v>
      </c>
      <c r="E325" s="174" t="n">
        <f aca="false">SUM(E282+E313+E318+E323)</f>
        <v>737700</v>
      </c>
      <c r="F325" s="176" t="n">
        <f aca="false">SUM(F282+F313+F318+F323)</f>
        <v>8848</v>
      </c>
      <c r="G325" s="172" t="n">
        <f aca="false">SUM(B325:F325)</f>
        <v>12904585</v>
      </c>
      <c r="H325" s="404" t="n">
        <f aca="false">SUM(H282+H313+H318+H323+H324)</f>
        <v>1585335</v>
      </c>
      <c r="I325" s="174" t="n">
        <f aca="false">SUM(I282+I313+I318+I323+I324)</f>
        <v>5223145</v>
      </c>
      <c r="J325" s="175" t="n">
        <f aca="false">SUM(H325:I325)</f>
        <v>6808480</v>
      </c>
      <c r="K325" s="172" t="n">
        <f aca="false">K282+K313+K318+K323+K324</f>
        <v>168823</v>
      </c>
      <c r="L325" s="173" t="n">
        <f aca="false">L282+L313+L318+L323</f>
        <v>588708</v>
      </c>
      <c r="M325" s="175" t="n">
        <f aca="false">SUM(K325:L325)</f>
        <v>757531</v>
      </c>
      <c r="N325" s="172" t="n">
        <f aca="false">N282+N313+N318+N323+N324</f>
        <v>35144</v>
      </c>
      <c r="O325" s="173" t="n">
        <f aca="false">O282+O313+O318+O323</f>
        <v>115529</v>
      </c>
      <c r="P325" s="175" t="n">
        <f aca="false">SUM(N325:O325)</f>
        <v>150673</v>
      </c>
    </row>
    <row r="326" customFormat="false" ht="18.75" hidden="false" customHeight="true" outlineLevel="0" collapsed="false">
      <c r="A326" s="315"/>
      <c r="B326" s="316"/>
      <c r="C326" s="316"/>
      <c r="D326" s="316"/>
      <c r="E326" s="316"/>
      <c r="F326" s="316"/>
      <c r="G326" s="316"/>
      <c r="H326" s="316"/>
      <c r="I326" s="316"/>
      <c r="J326" s="316"/>
      <c r="K326" s="316"/>
      <c r="L326" s="316"/>
      <c r="M326" s="316"/>
      <c r="N326" s="316"/>
      <c r="O326" s="316"/>
      <c r="P326" s="316"/>
    </row>
    <row r="327" customFormat="false" ht="30" hidden="false" customHeight="true" outlineLevel="0" collapsed="false">
      <c r="A327" s="295"/>
      <c r="B327" s="391" t="n">
        <f aca="false">'☆掛負収入'!B327</f>
        <v>46265</v>
      </c>
      <c r="C327" s="391" t="n">
        <f aca="false">'☆掛負収入'!C327</f>
        <v>0</v>
      </c>
      <c r="D327" s="391" t="n">
        <f aca="false">'☆掛負収入'!D327</f>
        <v>0</v>
      </c>
      <c r="E327" s="391" t="n">
        <f aca="false">'☆掛負収入'!E327</f>
        <v>0</v>
      </c>
      <c r="F327" s="391" t="n">
        <f aca="false">'☆掛負収入'!F327</f>
        <v>0</v>
      </c>
      <c r="G327" s="391" t="n">
        <f aca="false">'☆掛負収入'!G327</f>
        <v>0</v>
      </c>
      <c r="H327" s="391" t="n">
        <f aca="false">'☆掛負収入'!H327</f>
        <v>46265</v>
      </c>
      <c r="I327" s="391" t="n">
        <f aca="false">'☆掛負収入'!I327</f>
        <v>0</v>
      </c>
      <c r="J327" s="391" t="n">
        <f aca="false">'☆掛負収入'!J327</f>
        <v>0</v>
      </c>
      <c r="K327" s="391" t="n">
        <f aca="false">'☆掛負収入'!K327</f>
        <v>46265</v>
      </c>
      <c r="L327" s="391" t="n">
        <f aca="false">'☆掛負収入'!L327</f>
        <v>0</v>
      </c>
      <c r="M327" s="391" t="n">
        <f aca="false">'☆掛負収入'!M327</f>
        <v>0</v>
      </c>
      <c r="N327" s="391" t="n">
        <f aca="false">'☆掛負収入'!N327</f>
        <v>46265</v>
      </c>
      <c r="O327" s="391" t="n">
        <f aca="false">'☆掛負収入'!O327</f>
        <v>0</v>
      </c>
      <c r="P327" s="391" t="n">
        <f aca="false">'☆掛負収入'!P327</f>
        <v>0</v>
      </c>
    </row>
    <row r="328" customFormat="false" ht="22.5" hidden="false" customHeight="true" outlineLevel="0" collapsed="false">
      <c r="A328" s="89" t="str">
        <f aca="false">'☆掛負収入'!A328</f>
        <v>区　　分</v>
      </c>
      <c r="B328" s="89" t="str">
        <f aca="false">'☆掛負収入'!B328</f>
        <v>長　期　経　理</v>
      </c>
      <c r="C328" s="89" t="n">
        <f aca="false">'☆掛負収入'!C328</f>
        <v>0</v>
      </c>
      <c r="D328" s="89" t="n">
        <f aca="false">'☆掛負収入'!D328</f>
        <v>0</v>
      </c>
      <c r="E328" s="89" t="n">
        <f aca="false">'☆掛負収入'!E328</f>
        <v>0</v>
      </c>
      <c r="F328" s="89" t="n">
        <f aca="false">'☆掛負収入'!F328</f>
        <v>0</v>
      </c>
      <c r="G328" s="89" t="n">
        <f aca="false">'☆掛負収入'!G328</f>
        <v>0</v>
      </c>
      <c r="H328" s="91" t="str">
        <f aca="false">'☆掛負収入'!H328</f>
        <v>短　期　経　理</v>
      </c>
      <c r="I328" s="91" t="n">
        <f aca="false">'☆掛負収入'!I328</f>
        <v>0</v>
      </c>
      <c r="J328" s="91" t="n">
        <f aca="false">'☆掛負収入'!J328</f>
        <v>0</v>
      </c>
      <c r="K328" s="91" t="str">
        <f aca="false">'☆掛負収入'!K328</f>
        <v>介　護　納　付　金</v>
      </c>
      <c r="L328" s="91" t="n">
        <f aca="false">'☆掛負収入'!L328</f>
        <v>0</v>
      </c>
      <c r="M328" s="91" t="n">
        <f aca="false">'☆掛負収入'!M328</f>
        <v>0</v>
      </c>
      <c r="N328" s="91" t="str">
        <f aca="false">'☆掛負収入'!N328</f>
        <v>子ども・子育て支援納付金</v>
      </c>
      <c r="O328" s="91" t="n">
        <f aca="false">'☆掛負収入'!O328</f>
        <v>0</v>
      </c>
      <c r="P328" s="91" t="n">
        <f aca="false">'☆掛負収入'!P328</f>
        <v>0</v>
      </c>
    </row>
    <row r="329" customFormat="false" ht="22.5" hidden="false" customHeight="true" outlineLevel="0" collapsed="false">
      <c r="A329" s="89" t="n">
        <f aca="false">'☆掛負収入'!A329</f>
        <v>0</v>
      </c>
      <c r="B329" s="92" t="str">
        <f aca="false">'☆掛負収入'!B329</f>
        <v>組合員負担分</v>
      </c>
      <c r="C329" s="92" t="n">
        <f aca="false">'☆掛負収入'!C329</f>
        <v>0</v>
      </c>
      <c r="D329" s="92" t="str">
        <f aca="false">'☆掛負収入'!D329</f>
        <v>事業主負担分</v>
      </c>
      <c r="E329" s="92" t="n">
        <f aca="false">'☆掛負収入'!E329</f>
        <v>0</v>
      </c>
      <c r="F329" s="92" t="n">
        <f aca="false">'☆掛負収入'!F329</f>
        <v>0</v>
      </c>
      <c r="G329" s="586" t="str">
        <f aca="false">'☆掛負収入'!G329</f>
        <v>計</v>
      </c>
      <c r="H329" s="96" t="str">
        <f aca="false">'☆掛負収入'!H329</f>
        <v>掛　金</v>
      </c>
      <c r="I329" s="94" t="str">
        <f aca="false">'☆掛負収入'!I329</f>
        <v>負担金</v>
      </c>
      <c r="J329" s="95" t="str">
        <f aca="false">'☆掛負収入'!J329</f>
        <v>計</v>
      </c>
      <c r="K329" s="96" t="str">
        <f aca="false">'☆掛負収入'!K329</f>
        <v>掛　金</v>
      </c>
      <c r="L329" s="94" t="str">
        <f aca="false">'☆掛負収入'!L329</f>
        <v>負担金</v>
      </c>
      <c r="M329" s="95" t="str">
        <f aca="false">'☆掛負収入'!M329</f>
        <v>計</v>
      </c>
      <c r="N329" s="96" t="str">
        <f aca="false">'☆掛負収入'!N329</f>
        <v>掛　金</v>
      </c>
      <c r="O329" s="94" t="str">
        <f aca="false">'☆掛負収入'!O329</f>
        <v>負担金</v>
      </c>
      <c r="P329" s="95" t="str">
        <f aca="false">'☆掛負収入'!P329</f>
        <v>計</v>
      </c>
    </row>
    <row r="330" customFormat="false" ht="22.5" hidden="false" customHeight="true" outlineLevel="0" collapsed="false">
      <c r="A330" s="89" t="n">
        <f aca="false">'☆掛負収入'!A330</f>
        <v>0</v>
      </c>
      <c r="B330" s="587" t="str">
        <f aca="false">'☆掛負収入'!B330</f>
        <v>厚生年金保険料</v>
      </c>
      <c r="C330" s="588" t="str">
        <f aca="false">'☆掛負収入'!C330</f>
        <v>退職等年金掛金</v>
      </c>
      <c r="D330" s="589" t="str">
        <f aca="false">'☆掛負収入'!D330</f>
        <v>厚生年金保険料</v>
      </c>
      <c r="E330" s="589" t="str">
        <f aca="false">'☆掛負収入'!E330</f>
        <v>退職等年金負担金</v>
      </c>
      <c r="F330" s="590" t="str">
        <f aca="false">'☆掛負収入'!F330</f>
        <v>経過的長期</v>
      </c>
      <c r="G330" s="586" t="n">
        <f aca="false">'☆掛負収入'!G330</f>
        <v>0</v>
      </c>
      <c r="H330" s="96" t="n">
        <f aca="false">'☆掛負収入'!H330</f>
        <v>0</v>
      </c>
      <c r="I330" s="94" t="n">
        <f aca="false">'☆掛負収入'!I330</f>
        <v>0</v>
      </c>
      <c r="J330" s="95" t="n">
        <f aca="false">'☆掛負収入'!J330</f>
        <v>0</v>
      </c>
      <c r="K330" s="96" t="n">
        <f aca="false">'☆掛負収入'!K330</f>
        <v>0</v>
      </c>
      <c r="L330" s="94" t="n">
        <f aca="false">'☆掛負収入'!L330</f>
        <v>0</v>
      </c>
      <c r="M330" s="95" t="n">
        <f aca="false">'☆掛負収入'!M330</f>
        <v>0</v>
      </c>
      <c r="N330" s="96" t="n">
        <f aca="false">'☆掛負収入'!N330</f>
        <v>0</v>
      </c>
      <c r="O330" s="94" t="n">
        <f aca="false">'☆掛負収入'!O330</f>
        <v>0</v>
      </c>
      <c r="P330" s="95" t="n">
        <f aca="false">'☆掛負収入'!P330</f>
        <v>0</v>
      </c>
    </row>
    <row r="331" customFormat="false" ht="18.75" hidden="false" customHeight="true" outlineLevel="0" collapsed="false">
      <c r="A331" s="100" t="str">
        <f aca="false">'☆掛負収入'!A331</f>
        <v>市長部局</v>
      </c>
      <c r="B331" s="591"/>
      <c r="C331" s="364"/>
      <c r="D331" s="592"/>
      <c r="E331" s="592"/>
      <c r="F331" s="184"/>
      <c r="G331" s="364"/>
      <c r="H331" s="591"/>
      <c r="I331" s="593"/>
      <c r="J331" s="181"/>
      <c r="K331" s="594"/>
      <c r="L331" s="593"/>
      <c r="M331" s="181"/>
      <c r="N331" s="594"/>
      <c r="O331" s="593"/>
      <c r="P331" s="181"/>
    </row>
    <row r="332" customFormat="false" ht="18.75" hidden="false" customHeight="true" outlineLevel="0" collapsed="false">
      <c r="A332" s="100" t="str">
        <f aca="false">'☆掛負収入'!A332</f>
        <v>下水道局</v>
      </c>
      <c r="B332" s="406"/>
      <c r="C332" s="181"/>
      <c r="D332" s="592"/>
      <c r="E332" s="592"/>
      <c r="F332" s="135"/>
      <c r="G332" s="181"/>
      <c r="H332" s="594"/>
      <c r="I332" s="424"/>
      <c r="J332" s="135"/>
      <c r="K332" s="595"/>
      <c r="L332" s="596"/>
      <c r="M332" s="135"/>
      <c r="N332" s="595"/>
      <c r="O332" s="596"/>
      <c r="P332" s="135"/>
    </row>
    <row r="333" customFormat="false" ht="18.75" hidden="false" customHeight="true" outlineLevel="0" collapsed="false">
      <c r="A333" s="100" t="str">
        <f aca="false">'☆掛負収入'!A333</f>
        <v>消防局</v>
      </c>
      <c r="B333" s="406"/>
      <c r="C333" s="181"/>
      <c r="D333" s="592"/>
      <c r="E333" s="592"/>
      <c r="F333" s="135"/>
      <c r="G333" s="181"/>
      <c r="H333" s="595"/>
      <c r="I333" s="439"/>
      <c r="J333" s="135"/>
      <c r="K333" s="595"/>
      <c r="L333" s="439"/>
      <c r="M333" s="135"/>
      <c r="N333" s="595"/>
      <c r="O333" s="439"/>
      <c r="P333" s="135"/>
    </row>
    <row r="334" customFormat="false" ht="18.75" hidden="false" customHeight="true" outlineLevel="0" collapsed="false">
      <c r="A334" s="100" t="str">
        <f aca="false">'☆掛負収入'!A334</f>
        <v>議会事務局</v>
      </c>
      <c r="B334" s="406"/>
      <c r="C334" s="181"/>
      <c r="D334" s="592"/>
      <c r="E334" s="592"/>
      <c r="F334" s="135"/>
      <c r="G334" s="181"/>
      <c r="H334" s="406"/>
      <c r="I334" s="439"/>
      <c r="J334" s="135"/>
      <c r="K334" s="406"/>
      <c r="L334" s="439"/>
      <c r="M334" s="135"/>
      <c r="N334" s="406"/>
      <c r="O334" s="439"/>
      <c r="P334" s="135"/>
    </row>
    <row r="335" customFormat="false" ht="18.75" hidden="false" customHeight="true" outlineLevel="0" collapsed="false">
      <c r="A335" s="100" t="str">
        <f aca="false">'☆掛負収入'!A335</f>
        <v>教育委員会（総務課）</v>
      </c>
      <c r="B335" s="406"/>
      <c r="C335" s="181"/>
      <c r="D335" s="592"/>
      <c r="E335" s="592"/>
      <c r="F335" s="135"/>
      <c r="G335" s="181"/>
      <c r="H335" s="406"/>
      <c r="I335" s="439"/>
      <c r="J335" s="135"/>
      <c r="K335" s="406"/>
      <c r="L335" s="439"/>
      <c r="M335" s="135"/>
      <c r="N335" s="406"/>
      <c r="O335" s="439"/>
      <c r="P335" s="135"/>
    </row>
    <row r="336" customFormat="false" ht="18.75" hidden="false" customHeight="true" outlineLevel="0" collapsed="false">
      <c r="A336" s="100" t="str">
        <f aca="false">'☆掛負収入'!A336</f>
        <v>選挙管理委員会</v>
      </c>
      <c r="B336" s="406"/>
      <c r="C336" s="181"/>
      <c r="D336" s="592"/>
      <c r="E336" s="592"/>
      <c r="F336" s="135"/>
      <c r="G336" s="181"/>
      <c r="H336" s="594"/>
      <c r="I336" s="424"/>
      <c r="J336" s="135"/>
      <c r="K336" s="406"/>
      <c r="L336" s="439"/>
      <c r="M336" s="135"/>
      <c r="N336" s="406"/>
      <c r="O336" s="439"/>
      <c r="P336" s="135"/>
    </row>
    <row r="337" customFormat="false" ht="18.75" hidden="false" customHeight="true" outlineLevel="0" collapsed="false">
      <c r="A337" s="100" t="str">
        <f aca="false">'☆掛負収入'!A337</f>
        <v>人事委員会</v>
      </c>
      <c r="B337" s="406"/>
      <c r="C337" s="181"/>
      <c r="D337" s="592"/>
      <c r="E337" s="592"/>
      <c r="F337" s="135"/>
      <c r="G337" s="181"/>
      <c r="H337" s="594"/>
      <c r="I337" s="424"/>
      <c r="J337" s="135"/>
      <c r="K337" s="594"/>
      <c r="L337" s="424"/>
      <c r="M337" s="135"/>
      <c r="N337" s="594"/>
      <c r="O337" s="424"/>
      <c r="P337" s="135"/>
    </row>
    <row r="338" customFormat="false" ht="18.75" hidden="false" customHeight="true" outlineLevel="0" collapsed="false">
      <c r="A338" s="100" t="str">
        <f aca="false">'☆掛負収入'!A338</f>
        <v>監査事務局</v>
      </c>
      <c r="B338" s="406"/>
      <c r="C338" s="181"/>
      <c r="D338" s="592"/>
      <c r="E338" s="592"/>
      <c r="F338" s="135"/>
      <c r="G338" s="181"/>
      <c r="H338" s="594"/>
      <c r="I338" s="424"/>
      <c r="J338" s="135"/>
      <c r="K338" s="594"/>
      <c r="L338" s="424"/>
      <c r="M338" s="135"/>
      <c r="N338" s="594"/>
      <c r="O338" s="424"/>
      <c r="P338" s="135"/>
    </row>
    <row r="339" customFormat="false" ht="18.75" hidden="false" customHeight="true" outlineLevel="0" collapsed="false">
      <c r="A339" s="100" t="str">
        <f aca="false">'☆掛負収入'!A339</f>
        <v>農業委員会</v>
      </c>
      <c r="B339" s="406"/>
      <c r="C339" s="181"/>
      <c r="D339" s="592"/>
      <c r="E339" s="592"/>
      <c r="F339" s="135"/>
      <c r="G339" s="181"/>
      <c r="H339" s="594"/>
      <c r="I339" s="424"/>
      <c r="J339" s="135"/>
      <c r="K339" s="594"/>
      <c r="L339" s="424"/>
      <c r="M339" s="135"/>
      <c r="N339" s="594"/>
      <c r="O339" s="424"/>
      <c r="P339" s="135"/>
    </row>
    <row r="340" customFormat="false" ht="18.75" hidden="false" customHeight="true" outlineLevel="0" collapsed="false">
      <c r="A340" s="100" t="str">
        <f aca="false">'☆掛負収入'!A340</f>
        <v>水道局</v>
      </c>
      <c r="B340" s="406"/>
      <c r="C340" s="181"/>
      <c r="D340" s="592"/>
      <c r="E340" s="592"/>
      <c r="F340" s="135"/>
      <c r="G340" s="181"/>
      <c r="H340" s="594"/>
      <c r="I340" s="424"/>
      <c r="J340" s="135"/>
      <c r="K340" s="594"/>
      <c r="L340" s="424"/>
      <c r="M340" s="135"/>
      <c r="N340" s="594"/>
      <c r="O340" s="424"/>
      <c r="P340" s="135"/>
    </row>
    <row r="341" customFormat="false" ht="18.75" hidden="false" customHeight="true" outlineLevel="0" collapsed="false">
      <c r="A341" s="121" t="str">
        <f aca="false">'☆掛負収入'!A341</f>
        <v>医療政策課(安芸市民)</v>
      </c>
      <c r="B341" s="595"/>
      <c r="C341" s="366"/>
      <c r="D341" s="595"/>
      <c r="E341" s="596"/>
      <c r="F341" s="393"/>
      <c r="G341" s="181"/>
      <c r="H341" s="597"/>
      <c r="I341" s="407"/>
      <c r="J341" s="135"/>
      <c r="K341" s="594"/>
      <c r="L341" s="424"/>
      <c r="M341" s="135"/>
      <c r="N341" s="594"/>
      <c r="O341" s="424"/>
      <c r="P341" s="135"/>
    </row>
    <row r="342" customFormat="false" ht="18.75" hidden="false" customHeight="true" outlineLevel="0" collapsed="false">
      <c r="A342" s="121" t="str">
        <f aca="false">'☆掛負収入'!A342</f>
        <v>教育委員会（教育給与課）</v>
      </c>
      <c r="B342" s="595"/>
      <c r="C342" s="181"/>
      <c r="D342" s="406"/>
      <c r="E342" s="598"/>
      <c r="F342" s="284"/>
      <c r="G342" s="181"/>
      <c r="H342" s="594"/>
      <c r="I342" s="424"/>
      <c r="J342" s="135"/>
      <c r="K342" s="594"/>
      <c r="L342" s="424"/>
      <c r="M342" s="135"/>
      <c r="N342" s="594"/>
      <c r="O342" s="424"/>
      <c r="P342" s="135"/>
    </row>
    <row r="343" customFormat="false" ht="18.75" hidden="true" customHeight="true" outlineLevel="0" collapsed="false">
      <c r="A343" s="599"/>
      <c r="B343" s="600"/>
      <c r="C343" s="210"/>
      <c r="D343" s="600"/>
      <c r="E343" s="601"/>
      <c r="F343" s="196"/>
      <c r="G343" s="687"/>
      <c r="H343" s="602"/>
      <c r="I343" s="603"/>
      <c r="J343" s="603"/>
      <c r="K343" s="602"/>
      <c r="L343" s="603"/>
      <c r="M343" s="195"/>
      <c r="N343" s="602"/>
      <c r="O343" s="603"/>
      <c r="P343" s="195"/>
    </row>
    <row r="344" customFormat="false" ht="18.75" hidden="true" customHeight="true" outlineLevel="0" collapsed="false">
      <c r="A344" s="604"/>
      <c r="B344" s="457"/>
      <c r="C344" s="132"/>
      <c r="D344" s="457"/>
      <c r="E344" s="458"/>
      <c r="F344" s="459"/>
      <c r="G344" s="435"/>
      <c r="H344" s="457"/>
      <c r="I344" s="458"/>
      <c r="J344" s="458"/>
      <c r="K344" s="457"/>
      <c r="L344" s="458"/>
      <c r="M344" s="130"/>
      <c r="N344" s="457"/>
      <c r="O344" s="458"/>
      <c r="P344" s="130"/>
    </row>
    <row r="345" customFormat="false" ht="18.75" hidden="true" customHeight="true" outlineLevel="0" collapsed="false">
      <c r="A345" s="604"/>
      <c r="B345" s="600"/>
      <c r="C345" s="210"/>
      <c r="D345" s="600"/>
      <c r="E345" s="601"/>
      <c r="F345" s="196"/>
      <c r="G345" s="687"/>
      <c r="H345" s="600"/>
      <c r="I345" s="601"/>
      <c r="J345" s="601"/>
      <c r="K345" s="600"/>
      <c r="L345" s="601"/>
      <c r="M345" s="696"/>
      <c r="N345" s="600"/>
      <c r="O345" s="601"/>
      <c r="P345" s="696"/>
    </row>
    <row r="346" customFormat="false" ht="18.75" hidden="true" customHeight="true" outlineLevel="0" collapsed="false">
      <c r="A346" s="605"/>
      <c r="B346" s="606"/>
      <c r="C346" s="607"/>
      <c r="D346" s="606"/>
      <c r="E346" s="490"/>
      <c r="F346" s="608"/>
      <c r="G346" s="689"/>
      <c r="H346" s="457"/>
      <c r="I346" s="609"/>
      <c r="J346" s="609"/>
      <c r="K346" s="457"/>
      <c r="L346" s="458"/>
      <c r="M346" s="130"/>
      <c r="N346" s="457"/>
      <c r="O346" s="458"/>
      <c r="P346" s="130"/>
    </row>
    <row r="347" customFormat="false" ht="18.75" hidden="false" customHeight="true" outlineLevel="0" collapsed="false">
      <c r="A347" s="171" t="str">
        <f aca="false">'☆掛負収入'!A347</f>
        <v>小　計</v>
      </c>
      <c r="B347" s="404"/>
      <c r="C347" s="174"/>
      <c r="D347" s="404"/>
      <c r="E347" s="174"/>
      <c r="F347" s="175"/>
      <c r="G347" s="176"/>
      <c r="H347" s="404"/>
      <c r="I347" s="174"/>
      <c r="J347" s="173"/>
      <c r="K347" s="404"/>
      <c r="L347" s="174"/>
      <c r="M347" s="173"/>
      <c r="N347" s="404"/>
      <c r="O347" s="174"/>
      <c r="P347" s="173"/>
    </row>
    <row r="348" customFormat="false" ht="18.75" hidden="false" customHeight="true" outlineLevel="0" collapsed="false">
      <c r="A348" s="177" t="str">
        <f aca="false">'☆掛負収入'!A348</f>
        <v>地方税共同機構</v>
      </c>
      <c r="B348" s="449" t="n">
        <f aca="false">'☆掛負収入'!B348</f>
        <v>0</v>
      </c>
      <c r="C348" s="377" t="n">
        <f aca="false">'☆掛負収入'!C348</f>
        <v>0</v>
      </c>
      <c r="D348" s="469" t="n">
        <f aca="false">'☆掛負収入'!D348</f>
        <v>0</v>
      </c>
      <c r="E348" s="463" t="n">
        <f aca="false">'☆掛負収入'!E348</f>
        <v>0</v>
      </c>
      <c r="F348" s="223" t="n">
        <f aca="false">'☆掛負収入'!F348</f>
        <v>0</v>
      </c>
      <c r="G348" s="181" t="n">
        <f aca="false">SUM(B348:F348)</f>
        <v>0</v>
      </c>
      <c r="H348" s="594" t="n">
        <f aca="false">'☆掛負収入'!H348</f>
        <v>0</v>
      </c>
      <c r="I348" s="424" t="n">
        <f aca="false">'☆掛負収入'!I348</f>
        <v>0</v>
      </c>
      <c r="J348" s="135" t="n">
        <f aca="false">SUM(H348:I348)</f>
        <v>0</v>
      </c>
      <c r="K348" s="439" t="n">
        <f aca="false">'☆掛負収入'!K348</f>
        <v>0</v>
      </c>
      <c r="L348" s="424" t="n">
        <f aca="false">'☆掛負収入'!L348</f>
        <v>0</v>
      </c>
      <c r="M348" s="135" t="n">
        <f aca="false">SUM(K348:L348)</f>
        <v>0</v>
      </c>
      <c r="N348" s="439" t="n">
        <f aca="false">'☆掛負収入'!N348</f>
        <v>0</v>
      </c>
      <c r="O348" s="424" t="n">
        <f aca="false">'☆掛負収入'!O348</f>
        <v>0</v>
      </c>
      <c r="P348" s="135" t="n">
        <f aca="false">SUM(N348:O348)</f>
        <v>0</v>
      </c>
    </row>
    <row r="349" customFormat="false" ht="18.75" hidden="false" customHeight="true" outlineLevel="0" collapsed="false">
      <c r="A349" s="100" t="str">
        <f aca="false">'☆掛負収入'!A349</f>
        <v>平和文化センター</v>
      </c>
      <c r="B349" s="449" t="n">
        <f aca="false">'☆掛負収入'!B349</f>
        <v>0</v>
      </c>
      <c r="C349" s="377" t="n">
        <f aca="false">'☆掛負収入'!C349</f>
        <v>0</v>
      </c>
      <c r="D349" s="464" t="n">
        <f aca="false">'☆掛負収入'!D349</f>
        <v>779580</v>
      </c>
      <c r="E349" s="452" t="n">
        <f aca="false">'☆掛負収入'!E349</f>
        <v>63900</v>
      </c>
      <c r="F349" s="223" t="n">
        <f aca="false">'☆掛負収入'!F349</f>
        <v>801</v>
      </c>
      <c r="G349" s="181" t="n">
        <f aca="false">SUM(B349:F349)</f>
        <v>844281</v>
      </c>
      <c r="H349" s="594" t="n">
        <f aca="false">'☆掛負収入'!H349</f>
        <v>0</v>
      </c>
      <c r="I349" s="424" t="n">
        <f aca="false">'☆掛負収入'!I349</f>
        <v>440717</v>
      </c>
      <c r="J349" s="135" t="n">
        <f aca="false">SUM(H349:I349)</f>
        <v>440717</v>
      </c>
      <c r="K349" s="439" t="n">
        <f aca="false">'☆掛負収入'!K349</f>
        <v>0</v>
      </c>
      <c r="L349" s="424" t="n">
        <f aca="false">'☆掛負収入'!L349</f>
        <v>54036</v>
      </c>
      <c r="M349" s="135" t="n">
        <f aca="false">SUM(K349:L349)</f>
        <v>54036</v>
      </c>
      <c r="N349" s="439" t="n">
        <f aca="false">'☆掛負収入'!N349</f>
        <v>0</v>
      </c>
      <c r="O349" s="424" t="n">
        <f aca="false">'☆掛負収入'!O349</f>
        <v>9764</v>
      </c>
      <c r="P349" s="135" t="n">
        <f aca="false">SUM(N349:O349)</f>
        <v>9764</v>
      </c>
    </row>
    <row r="350" customFormat="false" ht="18.75" hidden="false" customHeight="true" outlineLevel="0" collapsed="false">
      <c r="A350" s="100" t="str">
        <f aca="false">'☆掛負収入'!A350</f>
        <v>社会福祉事業団</v>
      </c>
      <c r="B350" s="600"/>
      <c r="C350" s="210"/>
      <c r="D350" s="451" t="n">
        <f aca="false">'☆掛負収入'!D350</f>
        <v>2034960</v>
      </c>
      <c r="E350" s="453" t="n">
        <f aca="false">'☆掛負収入'!E350</f>
        <v>166800</v>
      </c>
      <c r="F350" s="223" t="n">
        <f aca="false">'☆掛負収入'!F350</f>
        <v>2038</v>
      </c>
      <c r="G350" s="181" t="n">
        <f aca="false">SUM(B350:F350)</f>
        <v>2203798</v>
      </c>
      <c r="H350" s="602"/>
      <c r="I350" s="424" t="n">
        <f aca="false">'☆掛負収入'!I350</f>
        <v>1310786</v>
      </c>
      <c r="J350" s="135" t="n">
        <f aca="false">SUM(H350:I350)</f>
        <v>1310786</v>
      </c>
      <c r="K350" s="612"/>
      <c r="L350" s="424" t="n">
        <f aca="false">'☆掛負収入'!L350</f>
        <v>143859</v>
      </c>
      <c r="M350" s="135" t="n">
        <f aca="false">SUM(K350:L350)</f>
        <v>143859</v>
      </c>
      <c r="N350" s="612"/>
      <c r="O350" s="424" t="n">
        <f aca="false">'☆掛負収入'!O350</f>
        <v>29034</v>
      </c>
      <c r="P350" s="135" t="n">
        <f aca="false">SUM(N350:O350)</f>
        <v>29034</v>
      </c>
    </row>
    <row r="351" customFormat="false" ht="18.75" hidden="false" customHeight="true" outlineLevel="0" collapsed="false">
      <c r="A351" s="100" t="str">
        <f aca="false">'☆掛負収入'!A351</f>
        <v>原爆障害対策協議会</v>
      </c>
      <c r="B351" s="600"/>
      <c r="C351" s="210"/>
      <c r="D351" s="445" t="n">
        <f aca="false">'☆掛負収入'!D351</f>
        <v>59475</v>
      </c>
      <c r="E351" s="453" t="n">
        <f aca="false">'☆掛負収入'!E351</f>
        <v>4875</v>
      </c>
      <c r="F351" s="223" t="n">
        <f aca="false">'☆掛負収入'!F351</f>
        <v>56</v>
      </c>
      <c r="G351" s="181" t="n">
        <f aca="false">SUM(B351:F351)</f>
        <v>64406</v>
      </c>
      <c r="H351" s="602"/>
      <c r="I351" s="424" t="n">
        <f aca="false">'☆掛負収入'!I351</f>
        <v>36856</v>
      </c>
      <c r="J351" s="135" t="n">
        <f aca="false">SUM(H351:I351)</f>
        <v>36856</v>
      </c>
      <c r="K351" s="612"/>
      <c r="L351" s="424" t="n">
        <f aca="false">'☆掛負収入'!L351</f>
        <v>5609</v>
      </c>
      <c r="M351" s="135" t="n">
        <f aca="false">SUM(K351:L351)</f>
        <v>5609</v>
      </c>
      <c r="N351" s="612"/>
      <c r="O351" s="424" t="n">
        <f aca="false">'☆掛負収入'!O351</f>
        <v>816</v>
      </c>
      <c r="P351" s="135" t="n">
        <f aca="false">SUM(N351:O351)</f>
        <v>816</v>
      </c>
    </row>
    <row r="352" customFormat="false" ht="18.75" hidden="false" customHeight="true" outlineLevel="0" collapsed="false">
      <c r="A352" s="189" t="str">
        <f aca="false">'☆掛負収入'!A352</f>
        <v>産業振興センター</v>
      </c>
      <c r="B352" s="600"/>
      <c r="C352" s="210"/>
      <c r="D352" s="445" t="n">
        <f aca="false">'☆掛負収入'!D352</f>
        <v>339465</v>
      </c>
      <c r="E352" s="453" t="n">
        <f aca="false">'☆掛負収入'!E352</f>
        <v>27825</v>
      </c>
      <c r="F352" s="223" t="n">
        <f aca="false">'☆掛負収入'!F352</f>
        <v>395</v>
      </c>
      <c r="G352" s="181" t="n">
        <f aca="false">SUM(B352:F352)</f>
        <v>367685</v>
      </c>
      <c r="H352" s="602"/>
      <c r="I352" s="424" t="n">
        <f aca="false">'☆掛負収入'!I352</f>
        <v>192628</v>
      </c>
      <c r="J352" s="135" t="n">
        <f aca="false">SUM(H352:I352)</f>
        <v>192628</v>
      </c>
      <c r="K352" s="612"/>
      <c r="L352" s="424" t="n">
        <f aca="false">'☆掛負収入'!L352</f>
        <v>26781</v>
      </c>
      <c r="M352" s="135" t="n">
        <f aca="false">SUM(K352:L352)</f>
        <v>26781</v>
      </c>
      <c r="N352" s="612"/>
      <c r="O352" s="424" t="n">
        <f aca="false">'☆掛負収入'!O352</f>
        <v>4266</v>
      </c>
      <c r="P352" s="135" t="n">
        <f aca="false">SUM(N352:O352)</f>
        <v>4266</v>
      </c>
    </row>
    <row r="353" customFormat="false" ht="18.75" hidden="false" customHeight="true" outlineLevel="0" collapsed="false">
      <c r="A353" s="121" t="str">
        <f aca="false">'☆掛負収入'!A353</f>
        <v>ひろしま産業振興</v>
      </c>
      <c r="B353" s="600"/>
      <c r="C353" s="459"/>
      <c r="D353" s="445" t="n">
        <f aca="false">'☆掛負収入'!D353</f>
        <v>45750</v>
      </c>
      <c r="E353" s="453" t="n">
        <f aca="false">'☆掛負収入'!E353</f>
        <v>3750</v>
      </c>
      <c r="F353" s="454" t="n">
        <f aca="false">'☆掛負収入'!F353</f>
        <v>43</v>
      </c>
      <c r="G353" s="181" t="n">
        <f aca="false">SUM(B353:F353)</f>
        <v>49543</v>
      </c>
      <c r="H353" s="602"/>
      <c r="I353" s="407" t="n">
        <f aca="false">'☆掛負収入'!I353</f>
        <v>25955</v>
      </c>
      <c r="J353" s="135" t="n">
        <f aca="false">SUM(H353:I353)</f>
        <v>25955</v>
      </c>
      <c r="K353" s="612"/>
      <c r="L353" s="407" t="n">
        <f aca="false">'☆掛負収入'!L353</f>
        <v>3950</v>
      </c>
      <c r="M353" s="135" t="n">
        <f aca="false">SUM(K353:L353)</f>
        <v>3950</v>
      </c>
      <c r="N353" s="612"/>
      <c r="O353" s="407" t="n">
        <f aca="false">'☆掛負収入'!O353</f>
        <v>575</v>
      </c>
      <c r="P353" s="135" t="n">
        <f aca="false">SUM(N353:O353)</f>
        <v>575</v>
      </c>
    </row>
    <row r="354" customFormat="false" ht="18.75" hidden="false" customHeight="true" outlineLevel="0" collapsed="false">
      <c r="A354" s="121" t="str">
        <f aca="false">'☆掛負収入'!A354</f>
        <v>都市整備公社　市</v>
      </c>
      <c r="B354" s="600"/>
      <c r="C354" s="459"/>
      <c r="D354" s="451" t="n">
        <f aca="false">'☆掛負収入'!D354</f>
        <v>0</v>
      </c>
      <c r="E354" s="453" t="n">
        <f aca="false">'☆掛負収入'!E354</f>
        <v>0</v>
      </c>
      <c r="F354" s="223" t="n">
        <f aca="false">'☆掛負収入'!F354</f>
        <v>0</v>
      </c>
      <c r="G354" s="181" t="n">
        <f aca="false">SUM(B354:F354)</f>
        <v>0</v>
      </c>
      <c r="H354" s="602"/>
      <c r="I354" s="424" t="n">
        <f aca="false">'☆掛負収入'!I354</f>
        <v>0</v>
      </c>
      <c r="J354" s="135" t="n">
        <f aca="false">SUM(H354:I354)</f>
        <v>0</v>
      </c>
      <c r="K354" s="612"/>
      <c r="L354" s="424" t="n">
        <f aca="false">'☆掛負収入'!L354</f>
        <v>0</v>
      </c>
      <c r="M354" s="135" t="n">
        <f aca="false">SUM(K354:L354)</f>
        <v>0</v>
      </c>
      <c r="N354" s="612"/>
      <c r="O354" s="424" t="n">
        <f aca="false">'☆掛負収入'!O354</f>
        <v>0</v>
      </c>
      <c r="P354" s="135" t="n">
        <f aca="false">SUM(N354:O354)</f>
        <v>0</v>
      </c>
    </row>
    <row r="355" customFormat="false" ht="18.75" hidden="false" customHeight="true" outlineLevel="0" collapsed="false">
      <c r="A355" s="192"/>
      <c r="B355" s="600"/>
      <c r="C355" s="196"/>
      <c r="D355" s="449"/>
      <c r="E355" s="453"/>
      <c r="F355" s="223"/>
      <c r="G355" s="181"/>
      <c r="H355" s="602"/>
      <c r="I355" s="424"/>
      <c r="J355" s="135"/>
      <c r="K355" s="612"/>
      <c r="L355" s="424"/>
      <c r="M355" s="135" t="n">
        <f aca="false">SUM(K355:L355)</f>
        <v>0</v>
      </c>
      <c r="N355" s="612"/>
      <c r="O355" s="424"/>
      <c r="P355" s="135" t="n">
        <f aca="false">SUM(N355:O355)</f>
        <v>0</v>
      </c>
    </row>
    <row r="356" customFormat="false" ht="18.75" hidden="false" customHeight="true" outlineLevel="0" collapsed="false">
      <c r="A356" s="121" t="str">
        <f aca="false">'☆掛負収入'!A356</f>
        <v>日本下水道事業団</v>
      </c>
      <c r="B356" s="451" t="n">
        <f aca="false">'☆掛負収入'!B356</f>
        <v>241560</v>
      </c>
      <c r="C356" s="223" t="n">
        <f aca="false">'☆掛負収入'!C356</f>
        <v>19800</v>
      </c>
      <c r="D356" s="449" t="n">
        <f aca="false">'☆掛負収入'!D356</f>
        <v>241560</v>
      </c>
      <c r="E356" s="453" t="n">
        <f aca="false">'☆掛負収入'!E356</f>
        <v>19800</v>
      </c>
      <c r="F356" s="223" t="n">
        <f aca="false">'☆掛負収入'!F356</f>
        <v>229</v>
      </c>
      <c r="G356" s="181" t="n">
        <f aca="false">SUM(B356:F356)</f>
        <v>522949</v>
      </c>
      <c r="H356" s="594" t="n">
        <f aca="false">'☆掛負収入'!H356</f>
        <v>140019</v>
      </c>
      <c r="I356" s="424" t="n">
        <f aca="false">'☆掛負収入'!I356</f>
        <v>140157</v>
      </c>
      <c r="J356" s="135" t="n">
        <f aca="false">SUM(H356:I356)</f>
        <v>280176</v>
      </c>
      <c r="K356" s="439" t="n">
        <f aca="false">'☆掛負収入'!K356</f>
        <v>10744</v>
      </c>
      <c r="L356" s="424" t="n">
        <f aca="false">'☆掛負収入'!L356</f>
        <v>10744</v>
      </c>
      <c r="M356" s="135" t="n">
        <f aca="false">SUM(K356:L356)</f>
        <v>21488</v>
      </c>
      <c r="N356" s="439" t="n">
        <f aca="false">'☆掛負収入'!N356</f>
        <v>3104</v>
      </c>
      <c r="O356" s="424" t="n">
        <f aca="false">'☆掛負収入'!O356</f>
        <v>3105</v>
      </c>
      <c r="P356" s="135" t="n">
        <f aca="false">SUM(N356:O356)</f>
        <v>6209</v>
      </c>
    </row>
    <row r="357" customFormat="false" ht="18.75" hidden="false" customHeight="true" outlineLevel="0" collapsed="false">
      <c r="A357" s="100" t="str">
        <f aca="false">'☆掛負収入'!A357</f>
        <v>地方公務員災害補償基金本部</v>
      </c>
      <c r="B357" s="451" t="n">
        <f aca="false">'☆掛負収入'!B357</f>
        <v>40260</v>
      </c>
      <c r="C357" s="223" t="n">
        <f aca="false">'☆掛負収入'!C357</f>
        <v>3300</v>
      </c>
      <c r="D357" s="449" t="n">
        <f aca="false">'☆掛負収入'!D357</f>
        <v>40260</v>
      </c>
      <c r="E357" s="453" t="n">
        <f aca="false">'☆掛負収入'!E357</f>
        <v>3300</v>
      </c>
      <c r="F357" s="223" t="n">
        <f aca="false">'☆掛負収入'!F357</f>
        <v>38</v>
      </c>
      <c r="G357" s="181" t="n">
        <f aca="false">SUM(B357:F357)</f>
        <v>87158</v>
      </c>
      <c r="H357" s="594" t="n">
        <f aca="false">'☆掛負収入'!H357</f>
        <v>22818</v>
      </c>
      <c r="I357" s="424" t="n">
        <f aca="false">'☆掛負収入'!I357</f>
        <v>22840</v>
      </c>
      <c r="J357" s="135" t="n">
        <f aca="false">SUM(H357:I357)</f>
        <v>45658</v>
      </c>
      <c r="K357" s="439" t="n">
        <f aca="false">'☆掛負収入'!K357</f>
        <v>0</v>
      </c>
      <c r="L357" s="424" t="n">
        <f aca="false">'☆掛負収入'!L357</f>
        <v>0</v>
      </c>
      <c r="M357" s="135" t="n">
        <f aca="false">SUM(K357:L357)</f>
        <v>0</v>
      </c>
      <c r="N357" s="439" t="n">
        <f aca="false">'☆掛負収入'!N357</f>
        <v>506</v>
      </c>
      <c r="O357" s="424" t="n">
        <f aca="false">'☆掛負収入'!O357</f>
        <v>506</v>
      </c>
      <c r="P357" s="135" t="n">
        <f aca="false">SUM(N357:O357)</f>
        <v>1012</v>
      </c>
    </row>
    <row r="358" customFormat="false" ht="18.75" hidden="false" customHeight="true" outlineLevel="0" collapsed="false">
      <c r="A358" s="197"/>
      <c r="B358" s="449"/>
      <c r="C358" s="223"/>
      <c r="D358" s="449"/>
      <c r="E358" s="453"/>
      <c r="F358" s="223"/>
      <c r="G358" s="181"/>
      <c r="H358" s="594"/>
      <c r="I358" s="424"/>
      <c r="J358" s="135"/>
      <c r="K358" s="439"/>
      <c r="L358" s="424"/>
      <c r="M358" s="135" t="n">
        <f aca="false">SUM(K358:L358)</f>
        <v>0</v>
      </c>
      <c r="N358" s="439"/>
      <c r="O358" s="424"/>
      <c r="P358" s="135" t="n">
        <f aca="false">SUM(N358:O358)</f>
        <v>0</v>
      </c>
    </row>
    <row r="359" customFormat="false" ht="18.75" hidden="false" customHeight="true" outlineLevel="0" collapsed="false">
      <c r="A359" s="100" t="str">
        <f aca="false">'☆掛負収入'!A359</f>
        <v>高速道路公社</v>
      </c>
      <c r="B359" s="464" t="n">
        <f aca="false">'☆掛負収入'!B359</f>
        <v>793305</v>
      </c>
      <c r="C359" s="454" t="n">
        <f aca="false">'☆掛負収入'!C359</f>
        <v>65025</v>
      </c>
      <c r="D359" s="464" t="n">
        <f aca="false">'☆掛負収入'!D359</f>
        <v>793304</v>
      </c>
      <c r="E359" s="470" t="n">
        <f aca="false">'☆掛負収入'!E359</f>
        <v>65024</v>
      </c>
      <c r="F359" s="466" t="n">
        <f aca="false">'☆掛負収入'!F359</f>
        <v>756</v>
      </c>
      <c r="G359" s="181" t="n">
        <f aca="false">SUM(B359:F359)</f>
        <v>1717414</v>
      </c>
      <c r="H359" s="613" t="n">
        <f aca="false">'☆掛負収入'!H359</f>
        <v>449619</v>
      </c>
      <c r="I359" s="614" t="n">
        <f aca="false">'☆掛負収入'!I359</f>
        <v>450061</v>
      </c>
      <c r="J359" s="135" t="n">
        <f aca="false">SUM(H359:I359)</f>
        <v>899680</v>
      </c>
      <c r="K359" s="615" t="n">
        <f aca="false">'☆掛負収入'!K359</f>
        <v>39816</v>
      </c>
      <c r="L359" s="614" t="n">
        <f aca="false">'☆掛負収入'!L359</f>
        <v>39816</v>
      </c>
      <c r="M359" s="135" t="n">
        <f aca="false">SUM(K359:L359)</f>
        <v>79632</v>
      </c>
      <c r="N359" s="615" t="n">
        <f aca="false">'☆掛負収入'!N359</f>
        <v>9966</v>
      </c>
      <c r="O359" s="614" t="n">
        <f aca="false">'☆掛負収入'!O359</f>
        <v>9969</v>
      </c>
      <c r="P359" s="135" t="n">
        <f aca="false">SUM(N359:O359)</f>
        <v>19935</v>
      </c>
    </row>
    <row r="360" customFormat="false" ht="18.75" hidden="false" customHeight="true" outlineLevel="0" collapsed="false">
      <c r="A360" s="100" t="str">
        <f aca="false">'☆掛負収入'!A360</f>
        <v>農林水産振興センタ</v>
      </c>
      <c r="B360" s="457"/>
      <c r="C360" s="459"/>
      <c r="D360" s="451" t="n">
        <f aca="false">'☆掛負収入'!D360</f>
        <v>582855</v>
      </c>
      <c r="E360" s="473" t="n">
        <f aca="false">'☆掛負収入'!E360</f>
        <v>47775</v>
      </c>
      <c r="F360" s="454" t="n">
        <f aca="false">'☆掛負収入'!F360</f>
        <v>579</v>
      </c>
      <c r="G360" s="181" t="n">
        <f aca="false">SUM(B360:F360)</f>
        <v>631209</v>
      </c>
      <c r="H360" s="616"/>
      <c r="I360" s="407" t="n">
        <f aca="false">'☆掛負収入'!I360</f>
        <v>330681</v>
      </c>
      <c r="J360" s="135" t="n">
        <f aca="false">SUM(H360:I360)</f>
        <v>330681</v>
      </c>
      <c r="K360" s="617"/>
      <c r="L360" s="407" t="n">
        <f aca="false">'☆掛負収入'!L360</f>
        <v>28203</v>
      </c>
      <c r="M360" s="135" t="n">
        <f aca="false">SUM(K360:L360)</f>
        <v>28203</v>
      </c>
      <c r="N360" s="617"/>
      <c r="O360" s="407" t="n">
        <f aca="false">'☆掛負収入'!O360</f>
        <v>7324</v>
      </c>
      <c r="P360" s="135" t="n">
        <f aca="false">SUM(N360:O360)</f>
        <v>7324</v>
      </c>
    </row>
    <row r="361" customFormat="false" ht="18.75" hidden="false" customHeight="true" outlineLevel="0" collapsed="false">
      <c r="A361" s="203" t="str">
        <f aca="false">'☆掛負収入'!A361</f>
        <v>文化財団　市長部局</v>
      </c>
      <c r="B361" s="600"/>
      <c r="C361" s="196"/>
      <c r="D361" s="449" t="n">
        <f aca="false">'☆掛負収入'!D361</f>
        <v>1056825</v>
      </c>
      <c r="E361" s="453" t="n">
        <f aca="false">'☆掛負収入'!E361</f>
        <v>86625</v>
      </c>
      <c r="F361" s="454" t="n">
        <f aca="false">'☆掛負収入'!F361</f>
        <v>1000</v>
      </c>
      <c r="G361" s="181" t="n">
        <f aca="false">SUM(B361:F361)</f>
        <v>1144450</v>
      </c>
      <c r="H361" s="602"/>
      <c r="I361" s="407" t="n">
        <f aca="false">'☆掛負収入'!I361</f>
        <v>599038</v>
      </c>
      <c r="J361" s="135" t="n">
        <f aca="false">SUM(H361:I361)</f>
        <v>599038</v>
      </c>
      <c r="K361" s="612"/>
      <c r="L361" s="407" t="n">
        <f aca="false">'☆掛負収入'!L361</f>
        <v>85794</v>
      </c>
      <c r="M361" s="135" t="n">
        <f aca="false">SUM(K361:L361)</f>
        <v>85794</v>
      </c>
      <c r="N361" s="612"/>
      <c r="O361" s="407" t="n">
        <f aca="false">'☆掛負収入'!O361</f>
        <v>13270</v>
      </c>
      <c r="P361" s="135" t="n">
        <f aca="false">SUM(N361:O361)</f>
        <v>13270</v>
      </c>
    </row>
    <row r="362" customFormat="false" ht="18.75" hidden="false" customHeight="true" outlineLevel="0" collapsed="false">
      <c r="A362" s="204"/>
      <c r="B362" s="600"/>
      <c r="C362" s="196"/>
      <c r="D362" s="449"/>
      <c r="E362" s="453"/>
      <c r="F362" s="454"/>
      <c r="G362" s="181"/>
      <c r="H362" s="602"/>
      <c r="I362" s="407"/>
      <c r="J362" s="135"/>
      <c r="K362" s="612"/>
      <c r="L362" s="407"/>
      <c r="M362" s="135" t="n">
        <f aca="false">SUM(K362:L362)</f>
        <v>0</v>
      </c>
      <c r="N362" s="612"/>
      <c r="O362" s="407"/>
      <c r="P362" s="135" t="n">
        <f aca="false">SUM(N362:O362)</f>
        <v>0</v>
      </c>
    </row>
    <row r="363" customFormat="false" ht="18.75" hidden="false" customHeight="true" outlineLevel="0" collapsed="false">
      <c r="A363" s="100" t="str">
        <f aca="false">'☆掛負収入'!A363</f>
        <v>みどり生きもの協会</v>
      </c>
      <c r="B363" s="600"/>
      <c r="C363" s="196"/>
      <c r="D363" s="449" t="n">
        <f aca="false">'☆掛負収入'!D363</f>
        <v>405345</v>
      </c>
      <c r="E363" s="453" t="n">
        <f aca="false">'☆掛負収入'!E363</f>
        <v>33225</v>
      </c>
      <c r="F363" s="454" t="n">
        <f aca="false">'☆掛負収入'!F363</f>
        <v>383</v>
      </c>
      <c r="G363" s="181" t="n">
        <f aca="false">SUM(B363:F363)</f>
        <v>438953</v>
      </c>
      <c r="H363" s="602"/>
      <c r="I363" s="407" t="n">
        <f aca="false">'☆掛負収入'!I363</f>
        <v>229960</v>
      </c>
      <c r="J363" s="135" t="n">
        <f aca="false">SUM(H363:I363)</f>
        <v>229960</v>
      </c>
      <c r="K363" s="612"/>
      <c r="L363" s="407" t="n">
        <f aca="false">'☆掛負収入'!L363</f>
        <v>34997</v>
      </c>
      <c r="M363" s="135" t="n">
        <f aca="false">SUM(K363:L363)</f>
        <v>34997</v>
      </c>
      <c r="N363" s="612"/>
      <c r="O363" s="407" t="n">
        <f aca="false">'☆掛負収入'!O363</f>
        <v>5093</v>
      </c>
      <c r="P363" s="135" t="n">
        <f aca="false">SUM(N363:O363)</f>
        <v>5093</v>
      </c>
    </row>
    <row r="364" customFormat="false" ht="18.75" hidden="false" customHeight="true" outlineLevel="0" collapsed="false">
      <c r="A364" s="121" t="str">
        <f aca="false">'☆掛負収入'!A364</f>
        <v>県下水道公社</v>
      </c>
      <c r="B364" s="449" t="n">
        <f aca="false">'☆掛負収入'!B364</f>
        <v>148230</v>
      </c>
      <c r="C364" s="223" t="n">
        <f aca="false">'☆掛負収入'!C364</f>
        <v>12150</v>
      </c>
      <c r="D364" s="449" t="n">
        <f aca="false">'☆掛負収入'!D364</f>
        <v>148230</v>
      </c>
      <c r="E364" s="453" t="n">
        <f aca="false">'☆掛負収入'!E364</f>
        <v>12150</v>
      </c>
      <c r="F364" s="454" t="n">
        <f aca="false">'☆掛負収入'!F364</f>
        <v>140</v>
      </c>
      <c r="G364" s="181" t="n">
        <f aca="false">SUM(B364:F364)</f>
        <v>320900</v>
      </c>
      <c r="H364" s="594" t="n">
        <f aca="false">'☆掛負収入'!H364</f>
        <v>87123</v>
      </c>
      <c r="I364" s="407" t="n">
        <f aca="false">'☆掛負収入'!I364</f>
        <v>87208</v>
      </c>
      <c r="J364" s="135" t="n">
        <f aca="false">SUM(H364:I364)</f>
        <v>174331</v>
      </c>
      <c r="K364" s="439" t="n">
        <f aca="false">'☆掛負収入'!K364</f>
        <v>10033</v>
      </c>
      <c r="L364" s="407" t="n">
        <f aca="false">'☆掛負収入'!L364</f>
        <v>10033</v>
      </c>
      <c r="M364" s="135" t="n">
        <f aca="false">SUM(K364:L364)</f>
        <v>20066</v>
      </c>
      <c r="N364" s="439" t="n">
        <f aca="false">'☆掛負収入'!N364</f>
        <v>1931</v>
      </c>
      <c r="O364" s="407" t="n">
        <f aca="false">'☆掛負収入'!O364</f>
        <v>1932</v>
      </c>
      <c r="P364" s="135" t="n">
        <f aca="false">SUM(N364:O364)</f>
        <v>3863</v>
      </c>
    </row>
    <row r="365" customFormat="false" ht="18.75" hidden="false" customHeight="true" outlineLevel="0" collapsed="false">
      <c r="A365" s="121" t="str">
        <f aca="false">'☆掛負収入'!A365</f>
        <v>バス協調・共創
プラットフォーム</v>
      </c>
      <c r="B365" s="457"/>
      <c r="C365" s="459"/>
      <c r="D365" s="451" t="n">
        <f aca="false">'☆掛負収入'!D365</f>
        <v>455670</v>
      </c>
      <c r="E365" s="473" t="n">
        <f aca="false">'☆掛負収入'!E365</f>
        <v>37350</v>
      </c>
      <c r="F365" s="454" t="n">
        <f aca="false">'☆掛負収入'!F365</f>
        <v>432</v>
      </c>
      <c r="G365" s="181" t="n">
        <f aca="false">SUM(B365:F365)</f>
        <v>493452</v>
      </c>
      <c r="H365" s="616"/>
      <c r="I365" s="407" t="n">
        <f aca="false">'☆掛負収入'!I365</f>
        <v>267855</v>
      </c>
      <c r="J365" s="135" t="n">
        <f aca="false">SUM(H365:I365)</f>
        <v>267855</v>
      </c>
      <c r="K365" s="617"/>
      <c r="L365" s="407" t="n">
        <f aca="false">'☆掛負収入'!L365</f>
        <v>21725</v>
      </c>
      <c r="M365" s="135" t="n">
        <f aca="false">SUM(K365:L365)</f>
        <v>21725</v>
      </c>
      <c r="N365" s="617"/>
      <c r="O365" s="407" t="n">
        <f aca="false">'☆掛負収入'!O365</f>
        <v>5934</v>
      </c>
      <c r="P365" s="135" t="n">
        <f aca="false">SUM(N365:O365)</f>
        <v>5934</v>
      </c>
    </row>
    <row r="366" customFormat="false" ht="18.75" hidden="false" customHeight="true" outlineLevel="0" collapsed="false">
      <c r="A366" s="121" t="str">
        <f aca="false">'☆掛負収入'!A366</f>
        <v>広島県市長会</v>
      </c>
      <c r="B366" s="449" t="n">
        <f aca="false">'☆掛負収入'!B366</f>
        <v>56730</v>
      </c>
      <c r="C366" s="223" t="n">
        <f aca="false">'☆掛負収入'!C366</f>
        <v>4650</v>
      </c>
      <c r="D366" s="449" t="n">
        <f aca="false">'☆掛負収入'!D366</f>
        <v>56730</v>
      </c>
      <c r="E366" s="453" t="n">
        <f aca="false">'☆掛負収入'!E366</f>
        <v>4650</v>
      </c>
      <c r="F366" s="223" t="n">
        <f aca="false">'☆掛負収入'!F366</f>
        <v>53</v>
      </c>
      <c r="G366" s="181" t="n">
        <f aca="false">SUM(B366:F366)</f>
        <v>122813</v>
      </c>
      <c r="H366" s="594" t="n">
        <f aca="false">'☆掛負収入'!H366</f>
        <v>32153</v>
      </c>
      <c r="I366" s="424" t="n">
        <f aca="false">'☆掛負収入'!I366</f>
        <v>32184</v>
      </c>
      <c r="J366" s="135" t="n">
        <f aca="false">SUM(H366:I366)</f>
        <v>64337</v>
      </c>
      <c r="K366" s="439" t="n">
        <f aca="false">'☆掛負収入'!K366</f>
        <v>4898</v>
      </c>
      <c r="L366" s="424" t="n">
        <f aca="false">'☆掛負収入'!L366</f>
        <v>4898</v>
      </c>
      <c r="M366" s="135" t="n">
        <f aca="false">SUM(K366:L366)</f>
        <v>9796</v>
      </c>
      <c r="N366" s="439" t="n">
        <f aca="false">'☆掛負収入'!N366</f>
        <v>713</v>
      </c>
      <c r="O366" s="424" t="n">
        <f aca="false">'☆掛負収入'!O366</f>
        <v>713</v>
      </c>
      <c r="P366" s="135" t="n">
        <f aca="false">SUM(N366:O366)</f>
        <v>1426</v>
      </c>
    </row>
    <row r="367" customFormat="false" ht="18.75" hidden="false" customHeight="true" outlineLevel="0" collapsed="false">
      <c r="A367" s="189" t="str">
        <f aca="false">'☆掛負収入'!A367</f>
        <v>全国市町村研修財団</v>
      </c>
      <c r="B367" s="451" t="n">
        <f aca="false">'☆掛負収入'!B367</f>
        <v>59475</v>
      </c>
      <c r="C367" s="223" t="n">
        <f aca="false">'☆掛負収入'!C367</f>
        <v>4875</v>
      </c>
      <c r="D367" s="449" t="n">
        <f aca="false">'☆掛負収入'!D367</f>
        <v>59475</v>
      </c>
      <c r="E367" s="453" t="n">
        <f aca="false">'☆掛負収入'!E367</f>
        <v>4875</v>
      </c>
      <c r="F367" s="223" t="n">
        <f aca="false">'☆掛負収入'!F367</f>
        <v>56</v>
      </c>
      <c r="G367" s="181" t="n">
        <f aca="false">SUM(B367:F367)</f>
        <v>128756</v>
      </c>
      <c r="H367" s="594" t="n">
        <f aca="false">'☆掛負収入'!H367</f>
        <v>38895</v>
      </c>
      <c r="I367" s="424" t="n">
        <f aca="false">'☆掛負収入'!I367</f>
        <v>38932</v>
      </c>
      <c r="J367" s="135" t="n">
        <f aca="false">SUM(H367:I367)</f>
        <v>77827</v>
      </c>
      <c r="K367" s="439" t="n">
        <f aca="false">'☆掛負収入'!K367</f>
        <v>5925</v>
      </c>
      <c r="L367" s="424" t="n">
        <f aca="false">'☆掛負収入'!L367</f>
        <v>5925</v>
      </c>
      <c r="M367" s="135" t="n">
        <f aca="false">SUM(K367:L367)</f>
        <v>11850</v>
      </c>
      <c r="N367" s="439" t="n">
        <f aca="false">'☆掛負収入'!N367</f>
        <v>862</v>
      </c>
      <c r="O367" s="424" t="n">
        <f aca="false">'☆掛負収入'!O367</f>
        <v>862</v>
      </c>
      <c r="P367" s="135" t="n">
        <f aca="false">SUM(N367:O367)</f>
        <v>1724</v>
      </c>
    </row>
    <row r="368" customFormat="false" ht="18.75" hidden="false" customHeight="true" outlineLevel="0" collapsed="false">
      <c r="A368" s="189" t="str">
        <f aca="false">'☆掛負収入'!A368</f>
        <v>都市再生機構</v>
      </c>
      <c r="B368" s="449" t="n">
        <f aca="false">'☆掛負収入'!B368</f>
        <v>45750</v>
      </c>
      <c r="C368" s="223" t="n">
        <f aca="false">'☆掛負収入'!C368</f>
        <v>3750</v>
      </c>
      <c r="D368" s="449" t="n">
        <f aca="false">'☆掛負収入'!D368</f>
        <v>45750</v>
      </c>
      <c r="E368" s="453" t="n">
        <f aca="false">'☆掛負収入'!E368</f>
        <v>3750</v>
      </c>
      <c r="F368" s="223" t="n">
        <f aca="false">'☆掛負収入'!F368</f>
        <v>43</v>
      </c>
      <c r="G368" s="181" t="n">
        <f aca="false">SUM(B368:F368)</f>
        <v>99043</v>
      </c>
      <c r="H368" s="594" t="n">
        <f aca="false">'☆掛負収入'!H368</f>
        <v>25930</v>
      </c>
      <c r="I368" s="424" t="n">
        <f aca="false">'☆掛負収入'!I368</f>
        <v>25955</v>
      </c>
      <c r="J368" s="135" t="n">
        <f aca="false">SUM(H368:I368)</f>
        <v>51885</v>
      </c>
      <c r="K368" s="439" t="n">
        <f aca="false">'☆掛負収入'!K368</f>
        <v>0</v>
      </c>
      <c r="L368" s="424" t="n">
        <f aca="false">'☆掛負収入'!L368</f>
        <v>0</v>
      </c>
      <c r="M368" s="135" t="n">
        <f aca="false">SUM(K368:L368)</f>
        <v>0</v>
      </c>
      <c r="N368" s="439" t="n">
        <f aca="false">'☆掛負収入'!N368</f>
        <v>575</v>
      </c>
      <c r="O368" s="424" t="n">
        <f aca="false">'☆掛負収入'!O368</f>
        <v>575</v>
      </c>
      <c r="P368" s="135" t="n">
        <f aca="false">SUM(N368:O368)</f>
        <v>1150</v>
      </c>
    </row>
    <row r="369" customFormat="false" ht="18.75" hidden="false" customHeight="true" outlineLevel="0" collapsed="false">
      <c r="A369" s="121" t="str">
        <f aca="false">'☆掛負収入'!A369</f>
        <v>広島市立大学</v>
      </c>
      <c r="B369" s="406" t="n">
        <f aca="false">'☆掛負収入'!B369</f>
        <v>1231590</v>
      </c>
      <c r="C369" s="135" t="n">
        <f aca="false">'☆掛負収入'!C369</f>
        <v>100950</v>
      </c>
      <c r="D369" s="406" t="n">
        <f aca="false">'☆掛負収入'!D369</f>
        <v>1231590</v>
      </c>
      <c r="E369" s="439" t="n">
        <f aca="false">'☆掛負収入'!E369</f>
        <v>100950</v>
      </c>
      <c r="F369" s="223" t="n">
        <f aca="false">'☆掛負収入'!F369</f>
        <v>1237</v>
      </c>
      <c r="G369" s="181" t="n">
        <f aca="false">SUM(B369:F369)</f>
        <v>2666317</v>
      </c>
      <c r="H369" s="594" t="n">
        <f aca="false">'☆掛負収入'!H369</f>
        <v>708914</v>
      </c>
      <c r="I369" s="424" t="n">
        <f aca="false">'☆掛負収入'!I369</f>
        <v>709649</v>
      </c>
      <c r="J369" s="135" t="n">
        <f aca="false">SUM(H369:I369)</f>
        <v>1418563</v>
      </c>
      <c r="K369" s="439" t="n">
        <f aca="false">'☆掛負収入'!K369</f>
        <v>82002</v>
      </c>
      <c r="L369" s="424" t="n">
        <f aca="false">'☆掛負収入'!L369</f>
        <v>82002</v>
      </c>
      <c r="M369" s="135" t="n">
        <f aca="false">SUM(K369:L369)</f>
        <v>164004</v>
      </c>
      <c r="N369" s="439" t="n">
        <f aca="false">'☆掛負収入'!N369</f>
        <v>15716</v>
      </c>
      <c r="O369" s="424" t="n">
        <f aca="false">'☆掛負収入'!O369</f>
        <v>15720</v>
      </c>
      <c r="P369" s="135" t="n">
        <f aca="false">SUM(N369:O369)</f>
        <v>31436</v>
      </c>
    </row>
    <row r="370" customFormat="false" ht="18.75" hidden="false" customHeight="true" outlineLevel="0" collapsed="false">
      <c r="A370" s="121" t="str">
        <f aca="false">'☆掛負収入'!A370</f>
        <v>社会福祉協議会</v>
      </c>
      <c r="B370" s="406" t="n">
        <f aca="false">'☆掛負収入'!B370</f>
        <v>0</v>
      </c>
      <c r="C370" s="135" t="n">
        <f aca="false">'☆掛負収入'!C370</f>
        <v>0</v>
      </c>
      <c r="D370" s="406" t="n">
        <f aca="false">'☆掛負収入'!D370</f>
        <v>245220</v>
      </c>
      <c r="E370" s="439" t="n">
        <f aca="false">'☆掛負収入'!E370</f>
        <v>20100</v>
      </c>
      <c r="F370" s="223" t="n">
        <f aca="false">'☆掛負収入'!F370</f>
        <v>233</v>
      </c>
      <c r="G370" s="181" t="n">
        <f aca="false">SUM(B370:F370)</f>
        <v>265553</v>
      </c>
      <c r="H370" s="594" t="n">
        <f aca="false">'☆掛負収入'!H370</f>
        <v>0</v>
      </c>
      <c r="I370" s="424" t="n">
        <f aca="false">'☆掛負収入'!I370</f>
        <v>142234</v>
      </c>
      <c r="J370" s="135" t="n">
        <f aca="false">SUM(H370:I370)</f>
        <v>142234</v>
      </c>
      <c r="K370" s="439" t="n">
        <f aca="false">'☆掛負収入'!K370</f>
        <v>0</v>
      </c>
      <c r="L370" s="424" t="n">
        <f aca="false">'☆掛負収入'!L370</f>
        <v>10507</v>
      </c>
      <c r="M370" s="135" t="n">
        <f aca="false">SUM(K370:L370)</f>
        <v>10507</v>
      </c>
      <c r="N370" s="439" t="n">
        <f aca="false">'☆掛負収入'!N370</f>
        <v>0</v>
      </c>
      <c r="O370" s="424" t="n">
        <f aca="false">'☆掛負収入'!O370</f>
        <v>3151</v>
      </c>
      <c r="P370" s="135" t="n">
        <f aca="false">SUM(N370:O370)</f>
        <v>3151</v>
      </c>
    </row>
    <row r="371" customFormat="false" ht="18.75" hidden="false" customHeight="true" outlineLevel="0" collapsed="false">
      <c r="A371" s="203" t="s">
        <v>418</v>
      </c>
      <c r="B371" s="595" t="n">
        <f aca="false">'☆掛負収入'!B373</f>
        <v>0</v>
      </c>
      <c r="C371" s="592" t="n">
        <f aca="false">'☆掛負収入'!C373</f>
        <v>0</v>
      </c>
      <c r="D371" s="595" t="n">
        <f aca="false">'☆掛負収入'!D373</f>
        <v>0</v>
      </c>
      <c r="E371" s="440" t="n">
        <f aca="false">'☆掛負収入'!E373</f>
        <v>0</v>
      </c>
      <c r="F371" s="181" t="n">
        <f aca="false">'☆掛負収入'!F373</f>
        <v>0</v>
      </c>
      <c r="G371" s="181" t="n">
        <f aca="false">SUM(B371:F371)</f>
        <v>0</v>
      </c>
      <c r="H371" s="595" t="n">
        <f aca="false">'☆掛負収入'!H373</f>
        <v>0</v>
      </c>
      <c r="I371" s="439" t="n">
        <f aca="false">'☆掛負収入'!I373</f>
        <v>0</v>
      </c>
      <c r="J371" s="135" t="n">
        <f aca="false">SUM(H371:I371)</f>
        <v>0</v>
      </c>
      <c r="K371" s="439" t="n">
        <f aca="false">'☆掛負収入'!K373</f>
        <v>0</v>
      </c>
      <c r="L371" s="424" t="n">
        <f aca="false">'☆掛負収入'!L373</f>
        <v>0</v>
      </c>
      <c r="M371" s="135" t="n">
        <f aca="false">SUM(K371:L371)</f>
        <v>0</v>
      </c>
      <c r="N371" s="439" t="n">
        <f aca="false">'☆掛負収入'!N373</f>
        <v>0</v>
      </c>
      <c r="O371" s="424" t="n">
        <f aca="false">'☆掛負収入'!O373</f>
        <v>0</v>
      </c>
      <c r="P371" s="135" t="n">
        <f aca="false">SUM(N371:O371)</f>
        <v>0</v>
      </c>
    </row>
    <row r="372" customFormat="false" ht="18.75" hidden="false" customHeight="true" outlineLevel="0" collapsed="false">
      <c r="A372" s="121" t="str">
        <f aca="false">'☆掛負収入'!A374</f>
        <v>全国市長会</v>
      </c>
      <c r="B372" s="595" t="n">
        <f aca="false">'☆掛負収入'!B374</f>
        <v>118950</v>
      </c>
      <c r="C372" s="592" t="n">
        <f aca="false">'☆掛負収入'!C374</f>
        <v>9750</v>
      </c>
      <c r="D372" s="595" t="n">
        <f aca="false">'☆掛負収入'!D374</f>
        <v>118950</v>
      </c>
      <c r="E372" s="440" t="n">
        <f aca="false">'☆掛負収入'!E374</f>
        <v>9750</v>
      </c>
      <c r="F372" s="181" t="n">
        <f aca="false">'☆掛負収入'!F374</f>
        <v>112</v>
      </c>
      <c r="G372" s="181" t="n">
        <f aca="false">SUM(B372:F372)</f>
        <v>257512</v>
      </c>
      <c r="H372" s="595" t="n">
        <f aca="false">'☆掛負収入'!H374</f>
        <v>84531</v>
      </c>
      <c r="I372" s="439" t="n">
        <f aca="false">'☆掛負収入'!I374</f>
        <v>84613</v>
      </c>
      <c r="J372" s="135" t="n">
        <f aca="false">SUM(H372:I372)</f>
        <v>169144</v>
      </c>
      <c r="K372" s="439" t="n">
        <f aca="false">'☆掛負収入'!K374</f>
        <v>12877</v>
      </c>
      <c r="L372" s="424" t="n">
        <f aca="false">'☆掛負収入'!L374</f>
        <v>12877</v>
      </c>
      <c r="M372" s="135" t="n">
        <f aca="false">SUM(K372:L372)</f>
        <v>25754</v>
      </c>
      <c r="N372" s="439" t="n">
        <f aca="false">'☆掛負収入'!N374</f>
        <v>1874</v>
      </c>
      <c r="O372" s="424" t="n">
        <f aca="false">'☆掛負収入'!O374</f>
        <v>1874</v>
      </c>
      <c r="P372" s="135" t="n">
        <f aca="false">SUM(N372:O372)</f>
        <v>3748</v>
      </c>
    </row>
    <row r="373" customFormat="false" ht="18.75" hidden="false" customHeight="true" outlineLevel="0" collapsed="false">
      <c r="A373" s="208"/>
      <c r="B373" s="406"/>
      <c r="C373" s="393"/>
      <c r="D373" s="406"/>
      <c r="E373" s="439"/>
      <c r="F373" s="135"/>
      <c r="G373" s="181"/>
      <c r="H373" s="594"/>
      <c r="I373" s="424"/>
      <c r="J373" s="135"/>
      <c r="K373" s="439"/>
      <c r="L373" s="424"/>
      <c r="M373" s="135"/>
      <c r="N373" s="439"/>
      <c r="O373" s="424"/>
      <c r="P373" s="135"/>
    </row>
    <row r="374" customFormat="false" ht="18.75" hidden="false" customHeight="true" outlineLevel="0" collapsed="false">
      <c r="A374" s="208"/>
      <c r="B374" s="595"/>
      <c r="C374" s="366"/>
      <c r="D374" s="595"/>
      <c r="E374" s="596"/>
      <c r="F374" s="393"/>
      <c r="G374" s="181"/>
      <c r="H374" s="595"/>
      <c r="I374" s="440"/>
      <c r="J374" s="135"/>
      <c r="K374" s="596"/>
      <c r="L374" s="440"/>
      <c r="M374" s="135"/>
      <c r="N374" s="596"/>
      <c r="O374" s="440"/>
      <c r="P374" s="135"/>
    </row>
    <row r="375" customFormat="false" ht="18.75" hidden="false" customHeight="true" outlineLevel="0" collapsed="false">
      <c r="A375" s="192"/>
      <c r="B375" s="406"/>
      <c r="C375" s="181"/>
      <c r="D375" s="406"/>
      <c r="E375" s="592"/>
      <c r="F375" s="135"/>
      <c r="G375" s="181"/>
      <c r="H375" s="406"/>
      <c r="I375" s="619"/>
      <c r="J375" s="135"/>
      <c r="K375" s="592"/>
      <c r="L375" s="619"/>
      <c r="M375" s="135"/>
      <c r="N375" s="592"/>
      <c r="O375" s="619"/>
      <c r="P375" s="135"/>
    </row>
    <row r="376" customFormat="false" ht="18.75" hidden="false" customHeight="true" outlineLevel="0" collapsed="false">
      <c r="A376" s="192"/>
      <c r="B376" s="595"/>
      <c r="C376" s="393"/>
      <c r="D376" s="596"/>
      <c r="E376" s="440"/>
      <c r="F376" s="393"/>
      <c r="G376" s="366"/>
      <c r="H376" s="406"/>
      <c r="I376" s="440"/>
      <c r="J376" s="135"/>
      <c r="K376" s="596"/>
      <c r="L376" s="440"/>
      <c r="M376" s="135"/>
      <c r="N376" s="596"/>
      <c r="O376" s="440"/>
      <c r="P376" s="135"/>
    </row>
    <row r="377" customFormat="false" ht="18.75" hidden="false" customHeight="true" outlineLevel="0" collapsed="false">
      <c r="A377" s="605"/>
      <c r="B377" s="622"/>
      <c r="C377" s="253"/>
      <c r="D377" s="623"/>
      <c r="E377" s="624"/>
      <c r="F377" s="253"/>
      <c r="G377" s="621"/>
      <c r="H377" s="622"/>
      <c r="I377" s="623"/>
      <c r="J377" s="623" t="n">
        <f aca="false">SUM(H377:I377)</f>
        <v>0</v>
      </c>
      <c r="K377" s="622"/>
      <c r="L377" s="623"/>
      <c r="M377" s="697" t="n">
        <f aca="false">SUM(K377:L377)</f>
        <v>0</v>
      </c>
      <c r="N377" s="622"/>
      <c r="O377" s="623"/>
      <c r="P377" s="697" t="n">
        <f aca="false">SUM(N377:O377)</f>
        <v>0</v>
      </c>
    </row>
    <row r="378" customFormat="false" ht="18.75" hidden="false" customHeight="true" outlineLevel="0" collapsed="false">
      <c r="A378" s="171" t="str">
        <f aca="false">'☆掛負収入'!A378</f>
        <v>小　計</v>
      </c>
      <c r="B378" s="404" t="n">
        <f aca="false">SUM(B348:B377)</f>
        <v>2735850</v>
      </c>
      <c r="C378" s="175" t="n">
        <f aca="false">SUM(C348:C377)</f>
        <v>224250</v>
      </c>
      <c r="D378" s="404" t="n">
        <f aca="false">SUM(D348:D377)</f>
        <v>8740994</v>
      </c>
      <c r="E378" s="276" t="n">
        <f aca="false">SUM(E348:E377)</f>
        <v>716474</v>
      </c>
      <c r="F378" s="175" t="n">
        <f aca="false">SUM(F348:F377)</f>
        <v>8624</v>
      </c>
      <c r="G378" s="176" t="n">
        <f aca="false">SUM(B378:F378)</f>
        <v>12426192</v>
      </c>
      <c r="H378" s="404" t="n">
        <f aca="false">SUM(H348:H377)</f>
        <v>1590002</v>
      </c>
      <c r="I378" s="174" t="n">
        <f aca="false">SUM(I348:I377)</f>
        <v>5168309</v>
      </c>
      <c r="J378" s="175" t="n">
        <f aca="false">SUM(H378:I378)</f>
        <v>6758311</v>
      </c>
      <c r="K378" s="404" t="n">
        <f aca="false">SUM(K348:K377)</f>
        <v>166295</v>
      </c>
      <c r="L378" s="174" t="n">
        <f aca="false">SUM(L348:L377)</f>
        <v>581756</v>
      </c>
      <c r="M378" s="173" t="n">
        <f aca="false">SUM(K378:L378)</f>
        <v>748051</v>
      </c>
      <c r="N378" s="404" t="n">
        <f aca="false">SUM(N348:N377)</f>
        <v>35247</v>
      </c>
      <c r="O378" s="174" t="n">
        <f aca="false">SUM(O348:O377)</f>
        <v>114483</v>
      </c>
      <c r="P378" s="173" t="n">
        <f aca="false">SUM(N378:O378)</f>
        <v>149730</v>
      </c>
    </row>
    <row r="379" customFormat="false" ht="18.75" hidden="true" customHeight="true" outlineLevel="0" collapsed="false">
      <c r="A379" s="604"/>
      <c r="B379" s="622"/>
      <c r="C379" s="253"/>
      <c r="D379" s="623"/>
      <c r="E379" s="624"/>
      <c r="F379" s="625"/>
      <c r="G379" s="626"/>
      <c r="H379" s="627"/>
      <c r="I379" s="628"/>
      <c r="J379" s="629"/>
      <c r="K379" s="630"/>
      <c r="L379" s="631"/>
      <c r="M379" s="632"/>
      <c r="N379" s="630"/>
      <c r="O379" s="631"/>
      <c r="P379" s="632"/>
    </row>
    <row r="380" customFormat="false" ht="18.75" hidden="true" customHeight="true" outlineLevel="0" collapsed="false">
      <c r="A380" s="633"/>
      <c r="B380" s="606"/>
      <c r="C380" s="608"/>
      <c r="D380" s="623"/>
      <c r="E380" s="624"/>
      <c r="F380" s="253"/>
      <c r="G380" s="621"/>
      <c r="H380" s="634"/>
      <c r="I380" s="635"/>
      <c r="J380" s="383"/>
      <c r="K380" s="636"/>
      <c r="L380" s="637"/>
      <c r="M380" s="638"/>
      <c r="N380" s="636"/>
      <c r="O380" s="637"/>
      <c r="P380" s="638"/>
    </row>
    <row r="381" customFormat="false" ht="18.75" hidden="false" customHeight="true" outlineLevel="0" collapsed="false">
      <c r="A381" s="189" t="str">
        <f aca="false">'☆掛負収入'!A381</f>
        <v>高速交通（株）</v>
      </c>
      <c r="B381" s="464" t="n">
        <f aca="false">'☆掛負収入'!B381</f>
        <v>145485</v>
      </c>
      <c r="C381" s="466" t="n">
        <f aca="false">'☆掛負収入'!C381</f>
        <v>11925</v>
      </c>
      <c r="D381" s="452" t="n">
        <f aca="false">'☆掛負収入'!D381</f>
        <v>145485</v>
      </c>
      <c r="E381" s="462" t="n">
        <f aca="false">'☆掛負収入'!E381</f>
        <v>11925</v>
      </c>
      <c r="F381" s="454" t="n">
        <f aca="false">'☆掛負収入'!F381</f>
        <v>138</v>
      </c>
      <c r="G381" s="366" t="n">
        <f aca="false">SUM(B381:F381)</f>
        <v>314958</v>
      </c>
      <c r="H381" s="640"/>
      <c r="I381" s="640"/>
      <c r="J381" s="640"/>
      <c r="K381" s="640"/>
      <c r="L381" s="640"/>
      <c r="M381" s="640"/>
      <c r="N381" s="640"/>
      <c r="O381" s="640"/>
      <c r="P381" s="640"/>
    </row>
    <row r="382" customFormat="false" ht="18.75" hidden="false" customHeight="true" outlineLevel="0" collapsed="false">
      <c r="A382" s="641" t="s">
        <v>201</v>
      </c>
      <c r="B382" s="464" t="n">
        <f aca="false">'☆掛負収入'!B382</f>
        <v>53985</v>
      </c>
      <c r="C382" s="466" t="n">
        <f aca="false">'☆掛負収入'!C382</f>
        <v>4425</v>
      </c>
      <c r="D382" s="452" t="n">
        <f aca="false">'☆掛負収入'!D382</f>
        <v>53985</v>
      </c>
      <c r="E382" s="462" t="n">
        <f aca="false">'☆掛負収入'!E382</f>
        <v>4425</v>
      </c>
      <c r="F382" s="454" t="n">
        <f aca="false">'☆掛負収入'!F382</f>
        <v>51</v>
      </c>
      <c r="G382" s="366" t="n">
        <f aca="false">SUM(B382:F382)</f>
        <v>116871</v>
      </c>
      <c r="H382" s="640"/>
      <c r="I382" s="640"/>
      <c r="J382" s="640"/>
      <c r="K382" s="640"/>
      <c r="L382" s="640"/>
      <c r="M382" s="640"/>
      <c r="N382" s="640"/>
      <c r="O382" s="640"/>
      <c r="P382" s="640"/>
    </row>
    <row r="383" customFormat="false" ht="18.75" hidden="false" customHeight="true" outlineLevel="0" collapsed="false">
      <c r="A383" s="171" t="str">
        <f aca="false">'☆掛負収入'!A383</f>
        <v>小　計</v>
      </c>
      <c r="B383" s="172" t="n">
        <f aca="false">SUM(B381:B382)</f>
        <v>199470</v>
      </c>
      <c r="C383" s="175" t="n">
        <f aca="false">SUM(C379:C382)</f>
        <v>16350</v>
      </c>
      <c r="D383" s="656" t="n">
        <f aca="false">SUM(D379:D382)</f>
        <v>199470</v>
      </c>
      <c r="E383" s="174" t="n">
        <f aca="false">SUM(E379:E382)</f>
        <v>16350</v>
      </c>
      <c r="F383" s="175" t="n">
        <f aca="false">SUM(F379:F382)</f>
        <v>189</v>
      </c>
      <c r="G383" s="176" t="n">
        <f aca="false">SUM(B383:F383)</f>
        <v>431829</v>
      </c>
      <c r="H383" s="640"/>
      <c r="I383" s="640"/>
      <c r="J383" s="640"/>
      <c r="K383" s="640"/>
      <c r="L383" s="640"/>
      <c r="M383" s="640"/>
      <c r="N383" s="640"/>
      <c r="O383" s="640"/>
      <c r="P383" s="640"/>
    </row>
    <row r="384" customFormat="false" ht="18.75" hidden="false" customHeight="true" outlineLevel="0" collapsed="false">
      <c r="A384" s="100" t="str">
        <f aca="false">'☆掛負収入'!A384</f>
        <v>市職員労働組合</v>
      </c>
      <c r="B384" s="449" t="n">
        <f aca="false">'☆掛負収入'!B384</f>
        <v>29280</v>
      </c>
      <c r="C384" s="223" t="n">
        <f aca="false">'☆掛負収入'!C384</f>
        <v>2400</v>
      </c>
      <c r="D384" s="445" t="n">
        <f aca="false">'☆掛負収入'!D384</f>
        <v>29280</v>
      </c>
      <c r="E384" s="463" t="n">
        <f aca="false">'☆掛負収入'!E384</f>
        <v>2400</v>
      </c>
      <c r="F384" s="196"/>
      <c r="G384" s="181" t="n">
        <f aca="false">SUM(B384:F384)</f>
        <v>63360</v>
      </c>
      <c r="H384" s="594" t="n">
        <f aca="false">'☆掛負収入'!H384</f>
        <v>16595</v>
      </c>
      <c r="I384" s="424" t="n">
        <f aca="false">'☆掛負収入'!I384</f>
        <v>16611</v>
      </c>
      <c r="J384" s="135" t="n">
        <f aca="false">SUM(H384:I384)</f>
        <v>33206</v>
      </c>
      <c r="K384" s="449" t="n">
        <f aca="false">'☆掛負収入'!K384</f>
        <v>2528</v>
      </c>
      <c r="L384" s="463" t="n">
        <f aca="false">'☆掛負収入'!L384</f>
        <v>2528</v>
      </c>
      <c r="M384" s="446" t="n">
        <f aca="false">SUM(K384:L384)</f>
        <v>5056</v>
      </c>
      <c r="N384" s="449" t="n">
        <f aca="false">'☆掛負収入'!N384</f>
        <v>368</v>
      </c>
      <c r="O384" s="463" t="n">
        <f aca="false">'☆掛負収入'!O384</f>
        <v>368</v>
      </c>
      <c r="P384" s="446" t="n">
        <f aca="false">SUM(N384:O384)</f>
        <v>736</v>
      </c>
    </row>
    <row r="385" customFormat="false" ht="18.75" hidden="false" customHeight="true" outlineLevel="0" collapsed="false">
      <c r="A385" s="100" t="str">
        <f aca="false">'☆掛負収入'!A385</f>
        <v>自治労労働組合</v>
      </c>
      <c r="B385" s="449" t="n">
        <f aca="false">'☆掛負収入'!B385</f>
        <v>0</v>
      </c>
      <c r="C385" s="377" t="n">
        <f aca="false">'☆掛負収入'!C385</f>
        <v>0</v>
      </c>
      <c r="D385" s="449" t="n">
        <f aca="false">'☆掛負収入'!D385</f>
        <v>0</v>
      </c>
      <c r="E385" s="463" t="n">
        <f aca="false">'☆掛負収入'!E385</f>
        <v>0</v>
      </c>
      <c r="F385" s="196"/>
      <c r="G385" s="181" t="n">
        <f aca="false">SUM(B385:F385)</f>
        <v>0</v>
      </c>
      <c r="H385" s="594" t="n">
        <f aca="false">'☆掛負収入'!H385</f>
        <v>0</v>
      </c>
      <c r="I385" s="424" t="n">
        <f aca="false">'☆掛負収入'!I385</f>
        <v>0</v>
      </c>
      <c r="J385" s="135" t="n">
        <f aca="false">SUM(H385:I385)</f>
        <v>0</v>
      </c>
      <c r="K385" s="594" t="n">
        <f aca="false">'☆掛負収入'!K385</f>
        <v>0</v>
      </c>
      <c r="L385" s="424" t="n">
        <f aca="false">'☆掛負収入'!L385</f>
        <v>0</v>
      </c>
      <c r="M385" s="135" t="n">
        <f aca="false">SUM(K385:L385)</f>
        <v>0</v>
      </c>
      <c r="N385" s="594" t="n">
        <f aca="false">'☆掛負収入'!N385</f>
        <v>0</v>
      </c>
      <c r="O385" s="424" t="n">
        <f aca="false">'☆掛負収入'!O385</f>
        <v>0</v>
      </c>
      <c r="P385" s="135" t="n">
        <f aca="false">SUM(N385:O385)</f>
        <v>0</v>
      </c>
    </row>
    <row r="386" customFormat="false" ht="18.75" hidden="false" customHeight="true" outlineLevel="0" collapsed="false">
      <c r="A386" s="100" t="str">
        <f aca="false">'☆掛負収入'!A386</f>
        <v>病院労働組合</v>
      </c>
      <c r="B386" s="406"/>
      <c r="C386" s="181"/>
      <c r="D386" s="406"/>
      <c r="E386" s="619"/>
      <c r="F386" s="196"/>
      <c r="G386" s="181" t="n">
        <f aca="false">SUM(B386:F386)</f>
        <v>0</v>
      </c>
      <c r="H386" s="594"/>
      <c r="I386" s="424"/>
      <c r="J386" s="135" t="n">
        <f aca="false">SUM(H386:I386)</f>
        <v>0</v>
      </c>
      <c r="K386" s="594"/>
      <c r="L386" s="424"/>
      <c r="M386" s="135" t="n">
        <f aca="false">SUM(K386:L386)</f>
        <v>0</v>
      </c>
      <c r="N386" s="594"/>
      <c r="O386" s="424"/>
      <c r="P386" s="135" t="n">
        <f aca="false">SUM(N386:O386)</f>
        <v>0</v>
      </c>
    </row>
    <row r="387" customFormat="false" ht="18.75" hidden="false" customHeight="true" outlineLevel="0" collapsed="false">
      <c r="A387" s="277" t="str">
        <f aca="false">'☆掛負収入'!A387</f>
        <v>水道労働組合</v>
      </c>
      <c r="B387" s="648"/>
      <c r="C387" s="419"/>
      <c r="D387" s="648"/>
      <c r="E387" s="598"/>
      <c r="F387" s="271"/>
      <c r="G387" s="181" t="n">
        <f aca="false">SUM(B387:F387)</f>
        <v>0</v>
      </c>
      <c r="H387" s="649"/>
      <c r="I387" s="650"/>
      <c r="J387" s="135" t="n">
        <f aca="false">SUM(H387:I387)</f>
        <v>0</v>
      </c>
      <c r="K387" s="651"/>
      <c r="L387" s="652"/>
      <c r="M387" s="135" t="n">
        <f aca="false">SUM(K387:L387)</f>
        <v>0</v>
      </c>
      <c r="N387" s="651"/>
      <c r="O387" s="652"/>
      <c r="P387" s="135" t="n">
        <f aca="false">SUM(N387:O387)</f>
        <v>0</v>
      </c>
    </row>
    <row r="388" customFormat="false" ht="18.75" hidden="false" customHeight="true" outlineLevel="0" collapsed="false">
      <c r="A388" s="171" t="str">
        <f aca="false">'☆掛負収入'!A388</f>
        <v>小　計</v>
      </c>
      <c r="B388" s="404" t="n">
        <f aca="false">SUM(B384:B387)</f>
        <v>29280</v>
      </c>
      <c r="C388" s="175" t="n">
        <f aca="false">SUM(C384:C387)</f>
        <v>2400</v>
      </c>
      <c r="D388" s="404" t="n">
        <f aca="false">SUM(D384:D387)</f>
        <v>29280</v>
      </c>
      <c r="E388" s="174" t="n">
        <f aca="false">SUM(E384:E387)</f>
        <v>2400</v>
      </c>
      <c r="F388" s="173" t="n">
        <f aca="false">SUM(F384:F387)</f>
        <v>0</v>
      </c>
      <c r="G388" s="172" t="n">
        <f aca="false">SUM(B388:F388)</f>
        <v>63360</v>
      </c>
      <c r="H388" s="404" t="n">
        <f aca="false">SUM(H384:H387)</f>
        <v>16595</v>
      </c>
      <c r="I388" s="174" t="n">
        <f aca="false">SUM(I384:I387)</f>
        <v>16611</v>
      </c>
      <c r="J388" s="175" t="n">
        <f aca="false">SUM(H388:I388)</f>
        <v>33206</v>
      </c>
      <c r="K388" s="172" t="n">
        <f aca="false">SUM(K384:K387)</f>
        <v>2528</v>
      </c>
      <c r="L388" s="173" t="n">
        <f aca="false">SUM(L384:L387)</f>
        <v>2528</v>
      </c>
      <c r="M388" s="175" t="n">
        <f aca="false">SUM(K388:L388)</f>
        <v>5056</v>
      </c>
      <c r="N388" s="172" t="n">
        <f aca="false">SUM(N384:N387)</f>
        <v>368</v>
      </c>
      <c r="O388" s="173" t="n">
        <f aca="false">SUM(O384:O387)</f>
        <v>368</v>
      </c>
      <c r="P388" s="175" t="n">
        <f aca="false">SUM(N388:O388)</f>
        <v>736</v>
      </c>
    </row>
    <row r="389" customFormat="false" ht="18.75" hidden="false" customHeight="true" outlineLevel="0" collapsed="false">
      <c r="A389" s="277" t="str">
        <f aca="false">'☆掛負収入'!A389</f>
        <v>任意継続組合員</v>
      </c>
      <c r="B389" s="256"/>
      <c r="C389" s="498"/>
      <c r="D389" s="499"/>
      <c r="E389" s="500"/>
      <c r="F389" s="271"/>
      <c r="G389" s="268"/>
      <c r="H389" s="653"/>
      <c r="I389" s="257"/>
      <c r="J389" s="258"/>
      <c r="K389" s="499"/>
      <c r="L389" s="654"/>
      <c r="M389" s="267"/>
      <c r="N389" s="499"/>
      <c r="O389" s="654"/>
      <c r="P389" s="267"/>
    </row>
    <row r="390" customFormat="false" ht="30" hidden="false" customHeight="true" outlineLevel="0" collapsed="false">
      <c r="A390" s="655" t="str">
        <f aca="false">'☆掛負収入'!A390</f>
        <v>総　　計</v>
      </c>
      <c r="B390" s="404" t="n">
        <f aca="false">SUM(B347+B378+B383+B388)</f>
        <v>2964600</v>
      </c>
      <c r="C390" s="175" t="n">
        <f aca="false">SUM(C347+C378+C383+C388)</f>
        <v>243000</v>
      </c>
      <c r="D390" s="656" t="n">
        <f aca="false">SUM(D347+D378+D383+D388)</f>
        <v>8969744</v>
      </c>
      <c r="E390" s="174" t="n">
        <f aca="false">SUM(E347+E378+E383+E388)</f>
        <v>735224</v>
      </c>
      <c r="F390" s="176" t="n">
        <f aca="false">SUM(F347+F378+F383+F388)</f>
        <v>8813</v>
      </c>
      <c r="G390" s="172" t="n">
        <f aca="false">SUM(B390:F390)</f>
        <v>12921381</v>
      </c>
      <c r="H390" s="404" t="n">
        <f aca="false">SUM(H347+H378+H383+H388+H389)</f>
        <v>1606597</v>
      </c>
      <c r="I390" s="174" t="n">
        <f aca="false">SUM(I347+I378+I383+I388+I389)</f>
        <v>5184920</v>
      </c>
      <c r="J390" s="175" t="n">
        <f aca="false">SUM(H390:I390)</f>
        <v>6791517</v>
      </c>
      <c r="K390" s="172" t="n">
        <f aca="false">K347+K378+K383+K388+K389</f>
        <v>168823</v>
      </c>
      <c r="L390" s="173" t="n">
        <f aca="false">L347+L378+L383+L388</f>
        <v>584284</v>
      </c>
      <c r="M390" s="175" t="n">
        <f aca="false">SUM(K390:L390)</f>
        <v>753107</v>
      </c>
      <c r="N390" s="172" t="n">
        <f aca="false">N347+N378+N383+N388+N389</f>
        <v>35615</v>
      </c>
      <c r="O390" s="173" t="n">
        <f aca="false">O347+O378+O383+O388</f>
        <v>114851</v>
      </c>
      <c r="P390" s="175" t="n">
        <f aca="false">SUM(N390:O390)</f>
        <v>150466</v>
      </c>
    </row>
    <row r="391" customFormat="false" ht="18.75" hidden="false" customHeight="true" outlineLevel="0" collapsed="false">
      <c r="A391" s="315"/>
      <c r="B391" s="316"/>
      <c r="C391" s="316"/>
      <c r="D391" s="316"/>
      <c r="E391" s="316"/>
      <c r="F391" s="316"/>
      <c r="G391" s="316"/>
      <c r="H391" s="316"/>
      <c r="I391" s="316"/>
      <c r="J391" s="316"/>
      <c r="K391" s="316"/>
      <c r="L391" s="316"/>
      <c r="M391" s="316"/>
      <c r="N391" s="316"/>
      <c r="O391" s="316"/>
      <c r="P391" s="316"/>
    </row>
    <row r="392" customFormat="false" ht="30" hidden="false" customHeight="true" outlineLevel="0" collapsed="false">
      <c r="A392" s="295"/>
      <c r="B392" s="391" t="n">
        <f aca="false">'☆掛負収入'!B392</f>
        <v>46295</v>
      </c>
      <c r="C392" s="391" t="n">
        <f aca="false">'☆掛負収入'!C392</f>
        <v>0</v>
      </c>
      <c r="D392" s="391" t="n">
        <f aca="false">'☆掛負収入'!D392</f>
        <v>0</v>
      </c>
      <c r="E392" s="391" t="n">
        <f aca="false">'☆掛負収入'!E392</f>
        <v>0</v>
      </c>
      <c r="F392" s="391" t="n">
        <f aca="false">'☆掛負収入'!F392</f>
        <v>0</v>
      </c>
      <c r="G392" s="391" t="n">
        <f aca="false">'☆掛負収入'!G392</f>
        <v>0</v>
      </c>
      <c r="H392" s="391" t="n">
        <f aca="false">'☆掛負収入'!H392</f>
        <v>46295</v>
      </c>
      <c r="I392" s="391" t="n">
        <f aca="false">'☆掛負収入'!I392</f>
        <v>0</v>
      </c>
      <c r="J392" s="391" t="n">
        <f aca="false">'☆掛負収入'!J392</f>
        <v>0</v>
      </c>
      <c r="K392" s="391" t="n">
        <f aca="false">'☆掛負収入'!K392</f>
        <v>46295</v>
      </c>
      <c r="L392" s="391" t="n">
        <f aca="false">'☆掛負収入'!L392</f>
        <v>0</v>
      </c>
      <c r="M392" s="391" t="n">
        <f aca="false">'☆掛負収入'!M392</f>
        <v>0</v>
      </c>
      <c r="N392" s="391" t="n">
        <f aca="false">'☆掛負収入'!N392</f>
        <v>46295</v>
      </c>
      <c r="O392" s="391" t="n">
        <f aca="false">'☆掛負収入'!O392</f>
        <v>0</v>
      </c>
      <c r="P392" s="391" t="n">
        <f aca="false">'☆掛負収入'!P392</f>
        <v>0</v>
      </c>
    </row>
    <row r="393" customFormat="false" ht="22.5" hidden="false" customHeight="true" outlineLevel="0" collapsed="false">
      <c r="A393" s="89" t="str">
        <f aca="false">'☆掛負収入'!A393</f>
        <v>区　　分</v>
      </c>
      <c r="B393" s="89" t="str">
        <f aca="false">'☆掛負収入'!B393</f>
        <v>長　期　経　理</v>
      </c>
      <c r="C393" s="89" t="n">
        <f aca="false">'☆掛負収入'!C393</f>
        <v>0</v>
      </c>
      <c r="D393" s="89" t="n">
        <f aca="false">'☆掛負収入'!D393</f>
        <v>0</v>
      </c>
      <c r="E393" s="89" t="n">
        <f aca="false">'☆掛負収入'!E393</f>
        <v>0</v>
      </c>
      <c r="F393" s="89" t="n">
        <f aca="false">'☆掛負収入'!F393</f>
        <v>0</v>
      </c>
      <c r="G393" s="89" t="n">
        <f aca="false">'☆掛負収入'!G393</f>
        <v>0</v>
      </c>
      <c r="H393" s="91" t="str">
        <f aca="false">'☆掛負収入'!H393</f>
        <v>短　期　経　理</v>
      </c>
      <c r="I393" s="91" t="n">
        <f aca="false">'☆掛負収入'!I393</f>
        <v>0</v>
      </c>
      <c r="J393" s="91" t="n">
        <f aca="false">'☆掛負収入'!J393</f>
        <v>0</v>
      </c>
      <c r="K393" s="91" t="str">
        <f aca="false">'☆掛負収入'!K393</f>
        <v>介　護　納　付　金</v>
      </c>
      <c r="L393" s="91" t="n">
        <f aca="false">'☆掛負収入'!L393</f>
        <v>0</v>
      </c>
      <c r="M393" s="91" t="n">
        <f aca="false">'☆掛負収入'!M393</f>
        <v>0</v>
      </c>
      <c r="N393" s="91" t="str">
        <f aca="false">'☆掛負収入'!N393</f>
        <v>子ども・子育て支援納付金</v>
      </c>
      <c r="O393" s="91" t="n">
        <f aca="false">'☆掛負収入'!O393</f>
        <v>0</v>
      </c>
      <c r="P393" s="91" t="n">
        <f aca="false">'☆掛負収入'!P393</f>
        <v>0</v>
      </c>
    </row>
    <row r="394" customFormat="false" ht="22.5" hidden="false" customHeight="true" outlineLevel="0" collapsed="false">
      <c r="A394" s="89" t="n">
        <f aca="false">'☆掛負収入'!A394</f>
        <v>0</v>
      </c>
      <c r="B394" s="92" t="str">
        <f aca="false">'☆掛負収入'!B394</f>
        <v>組合員負担分</v>
      </c>
      <c r="C394" s="92" t="n">
        <f aca="false">'☆掛負収入'!C394</f>
        <v>0</v>
      </c>
      <c r="D394" s="92" t="str">
        <f aca="false">'☆掛負収入'!D394</f>
        <v>事業主負担分</v>
      </c>
      <c r="E394" s="92" t="n">
        <f aca="false">'☆掛負収入'!E394</f>
        <v>0</v>
      </c>
      <c r="F394" s="92" t="n">
        <f aca="false">'☆掛負収入'!F394</f>
        <v>0</v>
      </c>
      <c r="G394" s="586" t="str">
        <f aca="false">'☆掛負収入'!G394</f>
        <v>計</v>
      </c>
      <c r="H394" s="96" t="str">
        <f aca="false">'☆掛負収入'!H394</f>
        <v>掛　金</v>
      </c>
      <c r="I394" s="94" t="str">
        <f aca="false">'☆掛負収入'!I394</f>
        <v>負担金</v>
      </c>
      <c r="J394" s="95" t="str">
        <f aca="false">'☆掛負収入'!J394</f>
        <v>計</v>
      </c>
      <c r="K394" s="96" t="str">
        <f aca="false">'☆掛負収入'!K394</f>
        <v>掛　金</v>
      </c>
      <c r="L394" s="94" t="str">
        <f aca="false">'☆掛負収入'!L394</f>
        <v>負担金</v>
      </c>
      <c r="M394" s="95" t="str">
        <f aca="false">'☆掛負収入'!M394</f>
        <v>計</v>
      </c>
      <c r="N394" s="96" t="str">
        <f aca="false">'☆掛負収入'!N394</f>
        <v>掛　金</v>
      </c>
      <c r="O394" s="94" t="str">
        <f aca="false">'☆掛負収入'!O394</f>
        <v>負担金</v>
      </c>
      <c r="P394" s="95" t="str">
        <f aca="false">'☆掛負収入'!P394</f>
        <v>計</v>
      </c>
    </row>
    <row r="395" customFormat="false" ht="22.5" hidden="false" customHeight="true" outlineLevel="0" collapsed="false">
      <c r="A395" s="89" t="n">
        <f aca="false">'☆掛負収入'!A395</f>
        <v>0</v>
      </c>
      <c r="B395" s="587" t="str">
        <f aca="false">'☆掛負収入'!B395</f>
        <v>厚生年金保険料</v>
      </c>
      <c r="C395" s="588" t="str">
        <f aca="false">'☆掛負収入'!C395</f>
        <v>退職等年金掛金</v>
      </c>
      <c r="D395" s="589" t="str">
        <f aca="false">'☆掛負収入'!D395</f>
        <v>厚生年金保険料</v>
      </c>
      <c r="E395" s="589" t="str">
        <f aca="false">'☆掛負収入'!E395</f>
        <v>退職等年金負担金</v>
      </c>
      <c r="F395" s="590" t="str">
        <f aca="false">'☆掛負収入'!F395</f>
        <v>経過的長期</v>
      </c>
      <c r="G395" s="586" t="n">
        <f aca="false">'☆掛負収入'!G395</f>
        <v>0</v>
      </c>
      <c r="H395" s="96" t="n">
        <f aca="false">'☆掛負収入'!H395</f>
        <v>0</v>
      </c>
      <c r="I395" s="94" t="n">
        <f aca="false">'☆掛負収入'!I395</f>
        <v>0</v>
      </c>
      <c r="J395" s="95" t="n">
        <f aca="false">'☆掛負収入'!J395</f>
        <v>0</v>
      </c>
      <c r="K395" s="96" t="n">
        <f aca="false">'☆掛負収入'!K395</f>
        <v>0</v>
      </c>
      <c r="L395" s="94" t="n">
        <f aca="false">'☆掛負収入'!L395</f>
        <v>0</v>
      </c>
      <c r="M395" s="95" t="n">
        <f aca="false">'☆掛負収入'!M395</f>
        <v>0</v>
      </c>
      <c r="N395" s="96" t="n">
        <f aca="false">'☆掛負収入'!N395</f>
        <v>0</v>
      </c>
      <c r="O395" s="94" t="n">
        <f aca="false">'☆掛負収入'!O395</f>
        <v>0</v>
      </c>
      <c r="P395" s="95" t="n">
        <f aca="false">'☆掛負収入'!P395</f>
        <v>0</v>
      </c>
    </row>
    <row r="396" customFormat="false" ht="18.75" hidden="false" customHeight="true" outlineLevel="0" collapsed="false">
      <c r="A396" s="100" t="str">
        <f aca="false">'☆掛負収入'!A396</f>
        <v>市長部局</v>
      </c>
      <c r="B396" s="591"/>
      <c r="C396" s="364"/>
      <c r="D396" s="592"/>
      <c r="E396" s="592"/>
      <c r="F396" s="184"/>
      <c r="G396" s="364"/>
      <c r="H396" s="591"/>
      <c r="I396" s="593"/>
      <c r="J396" s="181"/>
      <c r="K396" s="594"/>
      <c r="L396" s="593"/>
      <c r="M396" s="181"/>
      <c r="N396" s="594"/>
      <c r="O396" s="593"/>
      <c r="P396" s="181"/>
    </row>
    <row r="397" customFormat="false" ht="18.75" hidden="false" customHeight="true" outlineLevel="0" collapsed="false">
      <c r="A397" s="100" t="str">
        <f aca="false">'☆掛負収入'!A397</f>
        <v>下水道局</v>
      </c>
      <c r="B397" s="406"/>
      <c r="C397" s="181"/>
      <c r="D397" s="592"/>
      <c r="E397" s="592"/>
      <c r="F397" s="135"/>
      <c r="G397" s="181"/>
      <c r="H397" s="594"/>
      <c r="I397" s="424"/>
      <c r="J397" s="135"/>
      <c r="K397" s="595"/>
      <c r="L397" s="596"/>
      <c r="M397" s="135"/>
      <c r="N397" s="595"/>
      <c r="O397" s="596"/>
      <c r="P397" s="135"/>
    </row>
    <row r="398" customFormat="false" ht="18.75" hidden="false" customHeight="true" outlineLevel="0" collapsed="false">
      <c r="A398" s="100" t="str">
        <f aca="false">'☆掛負収入'!A398</f>
        <v>消防局</v>
      </c>
      <c r="B398" s="406"/>
      <c r="C398" s="181"/>
      <c r="D398" s="592"/>
      <c r="E398" s="592"/>
      <c r="F398" s="135"/>
      <c r="G398" s="181"/>
      <c r="H398" s="595"/>
      <c r="I398" s="439"/>
      <c r="J398" s="135"/>
      <c r="K398" s="595"/>
      <c r="L398" s="439"/>
      <c r="M398" s="135"/>
      <c r="N398" s="595"/>
      <c r="O398" s="439"/>
      <c r="P398" s="135"/>
    </row>
    <row r="399" customFormat="false" ht="18.75" hidden="false" customHeight="true" outlineLevel="0" collapsed="false">
      <c r="A399" s="100" t="str">
        <f aca="false">'☆掛負収入'!A399</f>
        <v>議会事務局</v>
      </c>
      <c r="B399" s="406"/>
      <c r="C399" s="181"/>
      <c r="D399" s="592"/>
      <c r="E399" s="592"/>
      <c r="F399" s="135"/>
      <c r="G399" s="181"/>
      <c r="H399" s="406"/>
      <c r="I399" s="439"/>
      <c r="J399" s="135"/>
      <c r="K399" s="406"/>
      <c r="L399" s="439"/>
      <c r="M399" s="135"/>
      <c r="N399" s="406"/>
      <c r="O399" s="439"/>
      <c r="P399" s="135"/>
    </row>
    <row r="400" customFormat="false" ht="18.75" hidden="false" customHeight="true" outlineLevel="0" collapsed="false">
      <c r="A400" s="100" t="str">
        <f aca="false">'☆掛負収入'!A400</f>
        <v>教育委員会（総務課）</v>
      </c>
      <c r="B400" s="406"/>
      <c r="C400" s="181"/>
      <c r="D400" s="592"/>
      <c r="E400" s="592"/>
      <c r="F400" s="135"/>
      <c r="G400" s="181"/>
      <c r="H400" s="406"/>
      <c r="I400" s="439"/>
      <c r="J400" s="135"/>
      <c r="K400" s="406"/>
      <c r="L400" s="439"/>
      <c r="M400" s="135"/>
      <c r="N400" s="406"/>
      <c r="O400" s="439"/>
      <c r="P400" s="135"/>
    </row>
    <row r="401" customFormat="false" ht="18.75" hidden="false" customHeight="true" outlineLevel="0" collapsed="false">
      <c r="A401" s="100" t="str">
        <f aca="false">'☆掛負収入'!A401</f>
        <v>選挙管理委員会</v>
      </c>
      <c r="B401" s="406"/>
      <c r="C401" s="181"/>
      <c r="D401" s="592"/>
      <c r="E401" s="592"/>
      <c r="F401" s="135"/>
      <c r="G401" s="181"/>
      <c r="H401" s="594"/>
      <c r="I401" s="424"/>
      <c r="J401" s="135"/>
      <c r="K401" s="406"/>
      <c r="L401" s="439"/>
      <c r="M401" s="135"/>
      <c r="N401" s="406"/>
      <c r="O401" s="439"/>
      <c r="P401" s="135"/>
    </row>
    <row r="402" customFormat="false" ht="18.75" hidden="false" customHeight="true" outlineLevel="0" collapsed="false">
      <c r="A402" s="100" t="str">
        <f aca="false">'☆掛負収入'!A402</f>
        <v>人事委員会</v>
      </c>
      <c r="B402" s="406"/>
      <c r="C402" s="181"/>
      <c r="D402" s="592"/>
      <c r="E402" s="592"/>
      <c r="F402" s="135"/>
      <c r="G402" s="181"/>
      <c r="H402" s="594"/>
      <c r="I402" s="424"/>
      <c r="J402" s="135"/>
      <c r="K402" s="594"/>
      <c r="L402" s="424"/>
      <c r="M402" s="135"/>
      <c r="N402" s="594"/>
      <c r="O402" s="424"/>
      <c r="P402" s="135"/>
    </row>
    <row r="403" customFormat="false" ht="18.75" hidden="false" customHeight="true" outlineLevel="0" collapsed="false">
      <c r="A403" s="100" t="str">
        <f aca="false">'☆掛負収入'!A403</f>
        <v>監査事務局</v>
      </c>
      <c r="B403" s="406"/>
      <c r="C403" s="181"/>
      <c r="D403" s="592"/>
      <c r="E403" s="592"/>
      <c r="F403" s="135"/>
      <c r="G403" s="181"/>
      <c r="H403" s="594"/>
      <c r="I403" s="424"/>
      <c r="J403" s="135"/>
      <c r="K403" s="594"/>
      <c r="L403" s="424"/>
      <c r="M403" s="135"/>
      <c r="N403" s="594"/>
      <c r="O403" s="424"/>
      <c r="P403" s="135"/>
    </row>
    <row r="404" customFormat="false" ht="18.75" hidden="false" customHeight="true" outlineLevel="0" collapsed="false">
      <c r="A404" s="100" t="str">
        <f aca="false">'☆掛負収入'!A404</f>
        <v>農業委員会</v>
      </c>
      <c r="B404" s="406"/>
      <c r="C404" s="181"/>
      <c r="D404" s="592"/>
      <c r="E404" s="592"/>
      <c r="F404" s="135"/>
      <c r="G404" s="181"/>
      <c r="H404" s="594"/>
      <c r="I404" s="424"/>
      <c r="J404" s="135"/>
      <c r="K404" s="594"/>
      <c r="L404" s="424"/>
      <c r="M404" s="135"/>
      <c r="N404" s="594"/>
      <c r="O404" s="424"/>
      <c r="P404" s="135"/>
    </row>
    <row r="405" customFormat="false" ht="18.75" hidden="false" customHeight="true" outlineLevel="0" collapsed="false">
      <c r="A405" s="100" t="str">
        <f aca="false">'☆掛負収入'!A405</f>
        <v>水道局</v>
      </c>
      <c r="B405" s="406"/>
      <c r="C405" s="181"/>
      <c r="D405" s="592"/>
      <c r="E405" s="592"/>
      <c r="F405" s="135"/>
      <c r="G405" s="181"/>
      <c r="H405" s="594"/>
      <c r="I405" s="424"/>
      <c r="J405" s="135"/>
      <c r="K405" s="594"/>
      <c r="L405" s="424"/>
      <c r="M405" s="135"/>
      <c r="N405" s="594"/>
      <c r="O405" s="424"/>
      <c r="P405" s="135"/>
    </row>
    <row r="406" customFormat="false" ht="18.75" hidden="false" customHeight="true" outlineLevel="0" collapsed="false">
      <c r="A406" s="121" t="str">
        <f aca="false">'☆掛負収入'!A406</f>
        <v>医療政策課(安芸市民)</v>
      </c>
      <c r="B406" s="595"/>
      <c r="C406" s="366"/>
      <c r="D406" s="595"/>
      <c r="E406" s="596"/>
      <c r="F406" s="393"/>
      <c r="G406" s="181"/>
      <c r="H406" s="597"/>
      <c r="I406" s="407"/>
      <c r="J406" s="135"/>
      <c r="K406" s="594"/>
      <c r="L406" s="424"/>
      <c r="M406" s="135"/>
      <c r="N406" s="594"/>
      <c r="O406" s="424"/>
      <c r="P406" s="135"/>
    </row>
    <row r="407" customFormat="false" ht="18.75" hidden="false" customHeight="true" outlineLevel="0" collapsed="false">
      <c r="A407" s="121" t="str">
        <f aca="false">'☆掛負収入'!A407</f>
        <v>教育委員会（教育給与課）</v>
      </c>
      <c r="B407" s="595"/>
      <c r="C407" s="181"/>
      <c r="D407" s="406"/>
      <c r="E407" s="598"/>
      <c r="F407" s="284"/>
      <c r="G407" s="181"/>
      <c r="H407" s="594"/>
      <c r="I407" s="424"/>
      <c r="J407" s="135"/>
      <c r="K407" s="594"/>
      <c r="L407" s="424"/>
      <c r="M407" s="135"/>
      <c r="N407" s="594"/>
      <c r="O407" s="424"/>
      <c r="P407" s="135"/>
    </row>
    <row r="408" customFormat="false" ht="18.75" hidden="true" customHeight="true" outlineLevel="0" collapsed="false">
      <c r="A408" s="599"/>
      <c r="B408" s="600"/>
      <c r="C408" s="210"/>
      <c r="D408" s="600"/>
      <c r="E408" s="601"/>
      <c r="F408" s="196"/>
      <c r="G408" s="687"/>
      <c r="H408" s="602"/>
      <c r="I408" s="603"/>
      <c r="J408" s="603"/>
      <c r="K408" s="602"/>
      <c r="L408" s="603"/>
      <c r="M408" s="195"/>
      <c r="N408" s="602"/>
      <c r="O408" s="603"/>
      <c r="P408" s="195"/>
    </row>
    <row r="409" customFormat="false" ht="18.75" hidden="true" customHeight="true" outlineLevel="0" collapsed="false">
      <c r="A409" s="604"/>
      <c r="B409" s="457"/>
      <c r="C409" s="132"/>
      <c r="D409" s="457"/>
      <c r="E409" s="458"/>
      <c r="F409" s="459"/>
      <c r="G409" s="435"/>
      <c r="H409" s="457"/>
      <c r="I409" s="458"/>
      <c r="J409" s="458"/>
      <c r="K409" s="457"/>
      <c r="L409" s="458"/>
      <c r="M409" s="130"/>
      <c r="N409" s="457"/>
      <c r="O409" s="458"/>
      <c r="P409" s="130"/>
    </row>
    <row r="410" customFormat="false" ht="18.75" hidden="true" customHeight="true" outlineLevel="0" collapsed="false">
      <c r="A410" s="604"/>
      <c r="B410" s="600"/>
      <c r="C410" s="210"/>
      <c r="D410" s="600"/>
      <c r="E410" s="601"/>
      <c r="F410" s="196"/>
      <c r="G410" s="687"/>
      <c r="H410" s="600"/>
      <c r="I410" s="601"/>
      <c r="J410" s="601"/>
      <c r="K410" s="600"/>
      <c r="L410" s="601"/>
      <c r="M410" s="696"/>
      <c r="N410" s="600"/>
      <c r="O410" s="601"/>
      <c r="P410" s="696"/>
    </row>
    <row r="411" customFormat="false" ht="18.75" hidden="true" customHeight="true" outlineLevel="0" collapsed="false">
      <c r="A411" s="605"/>
      <c r="B411" s="606"/>
      <c r="C411" s="607"/>
      <c r="D411" s="606"/>
      <c r="E411" s="490"/>
      <c r="F411" s="608"/>
      <c r="G411" s="689"/>
      <c r="H411" s="457"/>
      <c r="I411" s="609"/>
      <c r="J411" s="609"/>
      <c r="K411" s="457"/>
      <c r="L411" s="458"/>
      <c r="M411" s="130"/>
      <c r="N411" s="457"/>
      <c r="O411" s="458"/>
      <c r="P411" s="130"/>
    </row>
    <row r="412" customFormat="false" ht="18.75" hidden="false" customHeight="true" outlineLevel="0" collapsed="false">
      <c r="A412" s="171" t="str">
        <f aca="false">'☆掛負収入'!A412</f>
        <v>小　計</v>
      </c>
      <c r="B412" s="404"/>
      <c r="C412" s="174"/>
      <c r="D412" s="404"/>
      <c r="E412" s="174"/>
      <c r="F412" s="175"/>
      <c r="G412" s="176"/>
      <c r="H412" s="404"/>
      <c r="I412" s="174"/>
      <c r="J412" s="173"/>
      <c r="K412" s="404"/>
      <c r="L412" s="174"/>
      <c r="M412" s="173"/>
      <c r="N412" s="404"/>
      <c r="O412" s="174"/>
      <c r="P412" s="173"/>
    </row>
    <row r="413" customFormat="false" ht="18.75" hidden="false" customHeight="true" outlineLevel="0" collapsed="false">
      <c r="A413" s="177" t="str">
        <f aca="false">'☆掛負収入'!A413</f>
        <v>地方税共同機構</v>
      </c>
      <c r="B413" s="449" t="n">
        <f aca="false">'☆掛負収入'!B413</f>
        <v>0</v>
      </c>
      <c r="C413" s="377" t="n">
        <f aca="false">'☆掛負収入'!C413</f>
        <v>0</v>
      </c>
      <c r="D413" s="469" t="n">
        <f aca="false">'☆掛負収入'!D413</f>
        <v>0</v>
      </c>
      <c r="E413" s="463" t="n">
        <f aca="false">'☆掛負収入'!E413</f>
        <v>0</v>
      </c>
      <c r="F413" s="223" t="n">
        <f aca="false">'☆掛負収入'!F413</f>
        <v>0</v>
      </c>
      <c r="G413" s="181" t="n">
        <f aca="false">SUM(B413:F413)</f>
        <v>0</v>
      </c>
      <c r="H413" s="594" t="n">
        <f aca="false">'☆掛負収入'!H413</f>
        <v>0</v>
      </c>
      <c r="I413" s="424" t="n">
        <f aca="false">'☆掛負収入'!I413</f>
        <v>0</v>
      </c>
      <c r="J413" s="135" t="n">
        <f aca="false">SUM(H413:I413)</f>
        <v>0</v>
      </c>
      <c r="K413" s="439" t="n">
        <f aca="false">'☆掛負収入'!K413</f>
        <v>0</v>
      </c>
      <c r="L413" s="424" t="n">
        <f aca="false">'☆掛負収入'!L413</f>
        <v>0</v>
      </c>
      <c r="M413" s="135" t="n">
        <f aca="false">SUM(K413:L413)</f>
        <v>0</v>
      </c>
      <c r="N413" s="439" t="n">
        <f aca="false">'☆掛負収入'!N413</f>
        <v>0</v>
      </c>
      <c r="O413" s="424" t="n">
        <f aca="false">'☆掛負収入'!O413</f>
        <v>0</v>
      </c>
      <c r="P413" s="135" t="n">
        <f aca="false">SUM(N413:O413)</f>
        <v>0</v>
      </c>
    </row>
    <row r="414" customFormat="false" ht="18.75" hidden="false" customHeight="true" outlineLevel="0" collapsed="false">
      <c r="A414" s="100" t="str">
        <f aca="false">'☆掛負収入'!A414</f>
        <v>平和文化センター</v>
      </c>
      <c r="B414" s="449" t="n">
        <f aca="false">'☆掛負収入'!B414</f>
        <v>0</v>
      </c>
      <c r="C414" s="377" t="n">
        <f aca="false">'☆掛負収入'!C414</f>
        <v>0</v>
      </c>
      <c r="D414" s="464" t="n">
        <f aca="false">'☆掛負収入'!D414</f>
        <v>785070</v>
      </c>
      <c r="E414" s="452" t="n">
        <f aca="false">'☆掛負収入'!E414</f>
        <v>64350</v>
      </c>
      <c r="F414" s="223" t="n">
        <f aca="false">'☆掛負収入'!F414</f>
        <v>776</v>
      </c>
      <c r="G414" s="181" t="n">
        <f aca="false">SUM(B414:F414)</f>
        <v>850196</v>
      </c>
      <c r="H414" s="594" t="n">
        <f aca="false">'☆掛負収入'!H414</f>
        <v>0</v>
      </c>
      <c r="I414" s="424" t="n">
        <f aca="false">'☆掛負収入'!I414</f>
        <v>446945</v>
      </c>
      <c r="J414" s="135" t="n">
        <f aca="false">SUM(H414:I414)</f>
        <v>446945</v>
      </c>
      <c r="K414" s="439" t="n">
        <f aca="false">'☆掛負収入'!K414</f>
        <v>0</v>
      </c>
      <c r="L414" s="424" t="n">
        <f aca="false">'☆掛負収入'!L414</f>
        <v>55616</v>
      </c>
      <c r="M414" s="135" t="n">
        <f aca="false">SUM(K414:L414)</f>
        <v>55616</v>
      </c>
      <c r="N414" s="439" t="n">
        <f aca="false">'☆掛負収入'!N414</f>
        <v>0</v>
      </c>
      <c r="O414" s="424" t="n">
        <f aca="false">'☆掛負収入'!O414</f>
        <v>9901</v>
      </c>
      <c r="P414" s="135" t="n">
        <f aca="false">SUM(N414:O414)</f>
        <v>9901</v>
      </c>
    </row>
    <row r="415" customFormat="false" ht="18.75" hidden="false" customHeight="true" outlineLevel="0" collapsed="false">
      <c r="A415" s="100" t="str">
        <f aca="false">'☆掛負収入'!A415</f>
        <v>社会福祉事業団</v>
      </c>
      <c r="B415" s="600"/>
      <c r="C415" s="210"/>
      <c r="D415" s="451" t="n">
        <f aca="false">'☆掛負収入'!D415</f>
        <v>2013915</v>
      </c>
      <c r="E415" s="453" t="n">
        <f aca="false">'☆掛負収入'!E415</f>
        <v>165075</v>
      </c>
      <c r="F415" s="223" t="n">
        <f aca="false">'☆掛負収入'!F415</f>
        <v>2074</v>
      </c>
      <c r="G415" s="181" t="n">
        <f aca="false">SUM(B415:F415)</f>
        <v>2181064</v>
      </c>
      <c r="H415" s="602"/>
      <c r="I415" s="424" t="n">
        <f aca="false">'☆掛負収入'!I415</f>
        <v>1295257</v>
      </c>
      <c r="J415" s="135" t="n">
        <f aca="false">SUM(H415:I415)</f>
        <v>1295257</v>
      </c>
      <c r="K415" s="612"/>
      <c r="L415" s="424" t="n">
        <f aca="false">'☆掛負収入'!L415</f>
        <v>146861</v>
      </c>
      <c r="M415" s="135" t="n">
        <f aca="false">SUM(K415:L415)</f>
        <v>146861</v>
      </c>
      <c r="N415" s="612"/>
      <c r="O415" s="424" t="n">
        <f aca="false">'☆掛負収入'!O415</f>
        <v>28689</v>
      </c>
      <c r="P415" s="135" t="n">
        <f aca="false">SUM(N415:O415)</f>
        <v>28689</v>
      </c>
    </row>
    <row r="416" customFormat="false" ht="18.75" hidden="false" customHeight="true" outlineLevel="0" collapsed="false">
      <c r="A416" s="100" t="str">
        <f aca="false">'☆掛負収入'!A416</f>
        <v>原爆障害対策協議会</v>
      </c>
      <c r="B416" s="600"/>
      <c r="C416" s="210"/>
      <c r="D416" s="445" t="n">
        <f aca="false">'☆掛負収入'!D416</f>
        <v>59475</v>
      </c>
      <c r="E416" s="453" t="n">
        <f aca="false">'☆掛負収入'!E416</f>
        <v>4875</v>
      </c>
      <c r="F416" s="223" t="n">
        <f aca="false">'☆掛負収入'!F416</f>
        <v>56</v>
      </c>
      <c r="G416" s="181" t="n">
        <f aca="false">SUM(B416:F416)</f>
        <v>64406</v>
      </c>
      <c r="H416" s="602"/>
      <c r="I416" s="424" t="n">
        <f aca="false">'☆掛負収入'!I416</f>
        <v>33741</v>
      </c>
      <c r="J416" s="135" t="n">
        <f aca="false">SUM(H416:I416)</f>
        <v>33741</v>
      </c>
      <c r="K416" s="612"/>
      <c r="L416" s="424" t="n">
        <f aca="false">'☆掛負収入'!L416</f>
        <v>5135</v>
      </c>
      <c r="M416" s="135" t="n">
        <f aca="false">SUM(K416:L416)</f>
        <v>5135</v>
      </c>
      <c r="N416" s="612"/>
      <c r="O416" s="424" t="n">
        <f aca="false">'☆掛負収入'!O416</f>
        <v>747</v>
      </c>
      <c r="P416" s="135" t="n">
        <f aca="false">SUM(N416:O416)</f>
        <v>747</v>
      </c>
    </row>
    <row r="417" customFormat="false" ht="18.75" hidden="false" customHeight="true" outlineLevel="0" collapsed="false">
      <c r="A417" s="189" t="str">
        <f aca="false">'☆掛負収入'!A417</f>
        <v>産業振興センター</v>
      </c>
      <c r="B417" s="600"/>
      <c r="C417" s="210"/>
      <c r="D417" s="445" t="n">
        <f aca="false">'☆掛負収入'!D417</f>
        <v>368745</v>
      </c>
      <c r="E417" s="453" t="n">
        <f aca="false">'☆掛負収入'!E417</f>
        <v>30225</v>
      </c>
      <c r="F417" s="223" t="n">
        <f aca="false">'☆掛負収入'!F417</f>
        <v>395</v>
      </c>
      <c r="G417" s="181" t="n">
        <f aca="false">SUM(B417:F417)</f>
        <v>399365</v>
      </c>
      <c r="H417" s="602"/>
      <c r="I417" s="424" t="n">
        <f aca="false">'☆掛負収入'!I417</f>
        <v>209223</v>
      </c>
      <c r="J417" s="135" t="n">
        <f aca="false">SUM(H417:I417)</f>
        <v>209223</v>
      </c>
      <c r="K417" s="612"/>
      <c r="L417" s="424" t="n">
        <f aca="false">'☆掛負収入'!L417</f>
        <v>26781</v>
      </c>
      <c r="M417" s="135" t="n">
        <f aca="false">SUM(K417:L417)</f>
        <v>26781</v>
      </c>
      <c r="N417" s="612"/>
      <c r="O417" s="424" t="n">
        <f aca="false">'☆掛負収入'!O417</f>
        <v>4634</v>
      </c>
      <c r="P417" s="135" t="n">
        <f aca="false">SUM(N417:O417)</f>
        <v>4634</v>
      </c>
    </row>
    <row r="418" customFormat="false" ht="18.75" hidden="false" customHeight="true" outlineLevel="0" collapsed="false">
      <c r="A418" s="121" t="str">
        <f aca="false">'☆掛負収入'!A418</f>
        <v>ひろしま産業振興</v>
      </c>
      <c r="B418" s="600"/>
      <c r="C418" s="459"/>
      <c r="D418" s="445" t="n">
        <f aca="false">'☆掛負収入'!D418</f>
        <v>45750</v>
      </c>
      <c r="E418" s="453" t="n">
        <f aca="false">'☆掛負収入'!E418</f>
        <v>3750</v>
      </c>
      <c r="F418" s="454" t="n">
        <f aca="false">'☆掛負収入'!F418</f>
        <v>43</v>
      </c>
      <c r="G418" s="181" t="n">
        <f aca="false">SUM(B418:F418)</f>
        <v>49543</v>
      </c>
      <c r="H418" s="602"/>
      <c r="I418" s="407" t="n">
        <f aca="false">'☆掛負収入'!I418</f>
        <v>25955</v>
      </c>
      <c r="J418" s="135" t="n">
        <f aca="false">SUM(H418:I418)</f>
        <v>25955</v>
      </c>
      <c r="K418" s="612"/>
      <c r="L418" s="407" t="n">
        <f aca="false">'☆掛負収入'!L418</f>
        <v>3950</v>
      </c>
      <c r="M418" s="135" t="n">
        <f aca="false">SUM(K418:L418)</f>
        <v>3950</v>
      </c>
      <c r="N418" s="612"/>
      <c r="O418" s="407" t="n">
        <f aca="false">'☆掛負収入'!O418</f>
        <v>575</v>
      </c>
      <c r="P418" s="135" t="n">
        <f aca="false">SUM(N418:O418)</f>
        <v>575</v>
      </c>
    </row>
    <row r="419" customFormat="false" ht="18.75" hidden="false" customHeight="true" outlineLevel="0" collapsed="false">
      <c r="A419" s="121" t="str">
        <f aca="false">'☆掛負収入'!A419</f>
        <v>都市整備公社　市</v>
      </c>
      <c r="B419" s="600"/>
      <c r="C419" s="459"/>
      <c r="D419" s="451" t="n">
        <f aca="false">'☆掛負収入'!D419</f>
        <v>0</v>
      </c>
      <c r="E419" s="453" t="n">
        <f aca="false">'☆掛負収入'!E419</f>
        <v>0</v>
      </c>
      <c r="F419" s="223" t="n">
        <f aca="false">'☆掛負収入'!F419</f>
        <v>0</v>
      </c>
      <c r="G419" s="181" t="n">
        <f aca="false">SUM(B419:F419)</f>
        <v>0</v>
      </c>
      <c r="H419" s="602"/>
      <c r="I419" s="424" t="n">
        <f aca="false">'☆掛負収入'!I419</f>
        <v>0</v>
      </c>
      <c r="J419" s="135" t="n">
        <f aca="false">SUM(H419:I419)</f>
        <v>0</v>
      </c>
      <c r="K419" s="612"/>
      <c r="L419" s="424" t="n">
        <f aca="false">'☆掛負収入'!L419</f>
        <v>0</v>
      </c>
      <c r="M419" s="135" t="n">
        <f aca="false">SUM(K419:L419)</f>
        <v>0</v>
      </c>
      <c r="N419" s="612"/>
      <c r="O419" s="424" t="n">
        <f aca="false">'☆掛負収入'!O419</f>
        <v>0</v>
      </c>
      <c r="P419" s="135" t="n">
        <f aca="false">SUM(N419:O419)</f>
        <v>0</v>
      </c>
    </row>
    <row r="420" customFormat="false" ht="18.75" hidden="false" customHeight="true" outlineLevel="0" collapsed="false">
      <c r="A420" s="192"/>
      <c r="B420" s="600"/>
      <c r="C420" s="196"/>
      <c r="D420" s="449"/>
      <c r="E420" s="453"/>
      <c r="F420" s="223"/>
      <c r="G420" s="181"/>
      <c r="H420" s="602"/>
      <c r="I420" s="424"/>
      <c r="J420" s="135"/>
      <c r="K420" s="612"/>
      <c r="L420" s="424"/>
      <c r="M420" s="135" t="n">
        <f aca="false">SUM(K420:L420)</f>
        <v>0</v>
      </c>
      <c r="N420" s="612"/>
      <c r="O420" s="424"/>
      <c r="P420" s="135" t="n">
        <f aca="false">SUM(N420:O420)</f>
        <v>0</v>
      </c>
    </row>
    <row r="421" customFormat="false" ht="18.75" hidden="false" customHeight="true" outlineLevel="0" collapsed="false">
      <c r="A421" s="121" t="str">
        <f aca="false">'☆掛負収入'!A421</f>
        <v>日本下水道事業団</v>
      </c>
      <c r="B421" s="451" t="n">
        <f aca="false">'☆掛負収入'!B421</f>
        <v>247050</v>
      </c>
      <c r="C421" s="223" t="n">
        <f aca="false">'☆掛負収入'!C421</f>
        <v>20250</v>
      </c>
      <c r="D421" s="449" t="n">
        <f aca="false">'☆掛負収入'!D421</f>
        <v>247050</v>
      </c>
      <c r="E421" s="453" t="n">
        <f aca="false">'☆掛負収入'!E421</f>
        <v>20250</v>
      </c>
      <c r="F421" s="223" t="n">
        <f aca="false">'☆掛負収入'!F421</f>
        <v>234</v>
      </c>
      <c r="G421" s="181" t="n">
        <f aca="false">SUM(B421:F421)</f>
        <v>534834</v>
      </c>
      <c r="H421" s="594" t="n">
        <f aca="false">'☆掛負収入'!H421</f>
        <v>140021</v>
      </c>
      <c r="I421" s="424" t="n">
        <f aca="false">'☆掛負収入'!I421</f>
        <v>140157</v>
      </c>
      <c r="J421" s="135" t="n">
        <f aca="false">SUM(H421:I421)</f>
        <v>280178</v>
      </c>
      <c r="K421" s="439" t="n">
        <f aca="false">'☆掛負収入'!K421</f>
        <v>10270</v>
      </c>
      <c r="L421" s="424" t="n">
        <f aca="false">'☆掛負収入'!L421</f>
        <v>10270</v>
      </c>
      <c r="M421" s="135" t="n">
        <f aca="false">SUM(K421:L421)</f>
        <v>20540</v>
      </c>
      <c r="N421" s="439" t="n">
        <f aca="false">'☆掛負収入'!N421</f>
        <v>3104</v>
      </c>
      <c r="O421" s="424" t="n">
        <f aca="false">'☆掛負収入'!O421</f>
        <v>3105</v>
      </c>
      <c r="P421" s="135" t="n">
        <f aca="false">SUM(N421:O421)</f>
        <v>6209</v>
      </c>
    </row>
    <row r="422" customFormat="false" ht="18.75" hidden="false" customHeight="true" outlineLevel="0" collapsed="false">
      <c r="A422" s="100" t="str">
        <f aca="false">'☆掛負収入'!A422</f>
        <v>地方公務員災害補償基金本部</v>
      </c>
      <c r="B422" s="451" t="n">
        <f aca="false">'☆掛負収入'!B422</f>
        <v>43005</v>
      </c>
      <c r="C422" s="223" t="n">
        <f aca="false">'☆掛負収入'!C422</f>
        <v>3525</v>
      </c>
      <c r="D422" s="449" t="n">
        <f aca="false">'☆掛負収入'!D422</f>
        <v>43005</v>
      </c>
      <c r="E422" s="453" t="n">
        <f aca="false">'☆掛負収入'!E422</f>
        <v>3525</v>
      </c>
      <c r="F422" s="223" t="n">
        <f aca="false">'☆掛負収入'!F422</f>
        <v>40</v>
      </c>
      <c r="G422" s="181" t="n">
        <f aca="false">SUM(B422:F422)</f>
        <v>93100</v>
      </c>
      <c r="H422" s="594" t="n">
        <f aca="false">'☆掛負収入'!H422</f>
        <v>24374</v>
      </c>
      <c r="I422" s="424" t="n">
        <f aca="false">'☆掛負収入'!I422</f>
        <v>24397</v>
      </c>
      <c r="J422" s="135" t="n">
        <f aca="false">SUM(H422:I422)</f>
        <v>48771</v>
      </c>
      <c r="K422" s="439" t="n">
        <f aca="false">'☆掛負収入'!K422</f>
        <v>0</v>
      </c>
      <c r="L422" s="424" t="n">
        <f aca="false">'☆掛負収入'!L422</f>
        <v>0</v>
      </c>
      <c r="M422" s="135" t="n">
        <f aca="false">SUM(K422:L422)</f>
        <v>0</v>
      </c>
      <c r="N422" s="439" t="n">
        <f aca="false">'☆掛負収入'!N422</f>
        <v>540</v>
      </c>
      <c r="O422" s="424" t="n">
        <f aca="false">'☆掛負収入'!O422</f>
        <v>540</v>
      </c>
      <c r="P422" s="135" t="n">
        <f aca="false">SUM(N422:O422)</f>
        <v>1080</v>
      </c>
    </row>
    <row r="423" customFormat="false" ht="18.75" hidden="false" customHeight="true" outlineLevel="0" collapsed="false">
      <c r="A423" s="197"/>
      <c r="B423" s="449"/>
      <c r="C423" s="223"/>
      <c r="D423" s="449"/>
      <c r="E423" s="453"/>
      <c r="F423" s="223"/>
      <c r="G423" s="181"/>
      <c r="H423" s="594"/>
      <c r="I423" s="424"/>
      <c r="J423" s="135"/>
      <c r="K423" s="439"/>
      <c r="L423" s="424"/>
      <c r="M423" s="135" t="n">
        <f aca="false">SUM(K423:L423)</f>
        <v>0</v>
      </c>
      <c r="N423" s="439"/>
      <c r="O423" s="424"/>
      <c r="P423" s="135" t="n">
        <f aca="false">SUM(N423:O423)</f>
        <v>0</v>
      </c>
    </row>
    <row r="424" customFormat="false" ht="18.75" hidden="false" customHeight="true" outlineLevel="0" collapsed="false">
      <c r="A424" s="100" t="str">
        <f aca="false">'☆掛負収入'!A424</f>
        <v>高速道路公社</v>
      </c>
      <c r="B424" s="464" t="n">
        <f aca="false">'☆掛負収入'!B424</f>
        <v>816180</v>
      </c>
      <c r="C424" s="454" t="n">
        <f aca="false">'☆掛負収入'!C424</f>
        <v>66900</v>
      </c>
      <c r="D424" s="464" t="n">
        <f aca="false">'☆掛負収入'!D424</f>
        <v>816180</v>
      </c>
      <c r="E424" s="470" t="n">
        <f aca="false">'☆掛負収入'!E424</f>
        <v>66900</v>
      </c>
      <c r="F424" s="466" t="n">
        <f aca="false">'☆掛負収入'!F424</f>
        <v>775</v>
      </c>
      <c r="G424" s="181" t="n">
        <f aca="false">SUM(B424:F424)</f>
        <v>1766935</v>
      </c>
      <c r="H424" s="613" t="n">
        <f aca="false">'☆掛負収入'!H424</f>
        <v>462583</v>
      </c>
      <c r="I424" s="614" t="n">
        <f aca="false">'☆掛負収入'!I424</f>
        <v>463037</v>
      </c>
      <c r="J424" s="135" t="n">
        <f aca="false">SUM(H424:I424)</f>
        <v>925620</v>
      </c>
      <c r="K424" s="615" t="n">
        <f aca="false">'☆掛負収入'!K424</f>
        <v>40527</v>
      </c>
      <c r="L424" s="614" t="n">
        <f aca="false">'☆掛負収入'!L424</f>
        <v>40527</v>
      </c>
      <c r="M424" s="135" t="n">
        <f aca="false">SUM(K424:L424)</f>
        <v>81054</v>
      </c>
      <c r="N424" s="615" t="n">
        <f aca="false">'☆掛負収入'!N424</f>
        <v>10254</v>
      </c>
      <c r="O424" s="614" t="n">
        <f aca="false">'☆掛負収入'!O424</f>
        <v>10258</v>
      </c>
      <c r="P424" s="135" t="n">
        <f aca="false">SUM(N424:O424)</f>
        <v>20512</v>
      </c>
    </row>
    <row r="425" customFormat="false" ht="18.75" hidden="false" customHeight="true" outlineLevel="0" collapsed="false">
      <c r="A425" s="100" t="str">
        <f aca="false">'☆掛負収入'!A425</f>
        <v>農林水産振興センタ</v>
      </c>
      <c r="B425" s="457"/>
      <c r="C425" s="459"/>
      <c r="D425" s="451" t="n">
        <f aca="false">'☆掛負収入'!D425</f>
        <v>570960</v>
      </c>
      <c r="E425" s="473" t="n">
        <f aca="false">'☆掛負収入'!E425</f>
        <v>46800</v>
      </c>
      <c r="F425" s="454" t="n">
        <f aca="false">'☆掛負収入'!F425</f>
        <v>567</v>
      </c>
      <c r="G425" s="181" t="n">
        <f aca="false">SUM(B425:F425)</f>
        <v>618327</v>
      </c>
      <c r="H425" s="616"/>
      <c r="I425" s="407" t="n">
        <f aca="false">'☆掛負収入'!I425</f>
        <v>323933</v>
      </c>
      <c r="J425" s="135" t="n">
        <f aca="false">SUM(H425:I425)</f>
        <v>323933</v>
      </c>
      <c r="K425" s="617"/>
      <c r="L425" s="407" t="n">
        <f aca="false">'☆掛負収入'!L425</f>
        <v>26781</v>
      </c>
      <c r="M425" s="135" t="n">
        <f aca="false">SUM(K425:L425)</f>
        <v>26781</v>
      </c>
      <c r="N425" s="617"/>
      <c r="O425" s="407" t="n">
        <f aca="false">'☆掛負収入'!O425</f>
        <v>7176</v>
      </c>
      <c r="P425" s="135" t="n">
        <f aca="false">SUM(N425:O425)</f>
        <v>7176</v>
      </c>
    </row>
    <row r="426" customFormat="false" ht="18.75" hidden="false" customHeight="true" outlineLevel="0" collapsed="false">
      <c r="A426" s="203" t="str">
        <f aca="false">'☆掛負収入'!A426</f>
        <v>文化財団　市長部局</v>
      </c>
      <c r="B426" s="600"/>
      <c r="C426" s="196"/>
      <c r="D426" s="449" t="n">
        <f aca="false">'☆掛負収入'!D426</f>
        <v>1051335</v>
      </c>
      <c r="E426" s="453" t="n">
        <f aca="false">'☆掛負収入'!E426</f>
        <v>86175</v>
      </c>
      <c r="F426" s="454" t="n">
        <f aca="false">'☆掛負収入'!F426</f>
        <v>996</v>
      </c>
      <c r="G426" s="181" t="n">
        <f aca="false">SUM(B426:F426)</f>
        <v>1138506</v>
      </c>
      <c r="H426" s="602"/>
      <c r="I426" s="407" t="n">
        <f aca="false">'☆掛負収入'!I426</f>
        <v>598000</v>
      </c>
      <c r="J426" s="135" t="n">
        <f aca="false">SUM(H426:I426)</f>
        <v>598000</v>
      </c>
      <c r="K426" s="612"/>
      <c r="L426" s="407" t="n">
        <f aca="false">'☆掛負収入'!L426</f>
        <v>85636</v>
      </c>
      <c r="M426" s="135" t="n">
        <f aca="false">SUM(K426:L426)</f>
        <v>85636</v>
      </c>
      <c r="N426" s="612"/>
      <c r="O426" s="407" t="n">
        <f aca="false">'☆掛負収入'!O426</f>
        <v>13247</v>
      </c>
      <c r="P426" s="135" t="n">
        <f aca="false">SUM(N426:O426)</f>
        <v>13247</v>
      </c>
    </row>
    <row r="427" customFormat="false" ht="18.75" hidden="false" customHeight="true" outlineLevel="0" collapsed="false">
      <c r="A427" s="204"/>
      <c r="B427" s="600"/>
      <c r="C427" s="196"/>
      <c r="D427" s="449"/>
      <c r="E427" s="453"/>
      <c r="F427" s="454"/>
      <c r="G427" s="181"/>
      <c r="H427" s="602"/>
      <c r="I427" s="407"/>
      <c r="J427" s="135"/>
      <c r="K427" s="612"/>
      <c r="L427" s="407"/>
      <c r="M427" s="135" t="n">
        <f aca="false">SUM(K427:L427)</f>
        <v>0</v>
      </c>
      <c r="N427" s="612"/>
      <c r="O427" s="407"/>
      <c r="P427" s="135" t="n">
        <f aca="false">SUM(N427:O427)</f>
        <v>0</v>
      </c>
    </row>
    <row r="428" customFormat="false" ht="18.75" hidden="false" customHeight="true" outlineLevel="0" collapsed="false">
      <c r="A428" s="100" t="str">
        <f aca="false">'☆掛負収入'!A428</f>
        <v>みどり生きもの協会</v>
      </c>
      <c r="B428" s="600"/>
      <c r="C428" s="196"/>
      <c r="D428" s="449" t="n">
        <f aca="false">'☆掛負収入'!D428</f>
        <v>412665</v>
      </c>
      <c r="E428" s="453" t="n">
        <f aca="false">'☆掛負収入'!E428</f>
        <v>33825</v>
      </c>
      <c r="F428" s="454" t="n">
        <f aca="false">'☆掛負収入'!F428</f>
        <v>389</v>
      </c>
      <c r="G428" s="181" t="n">
        <f aca="false">SUM(B428:F428)</f>
        <v>446879</v>
      </c>
      <c r="H428" s="602"/>
      <c r="I428" s="407" t="n">
        <f aca="false">'☆掛負収入'!I428</f>
        <v>234113</v>
      </c>
      <c r="J428" s="135" t="n">
        <f aca="false">SUM(H428:I428)</f>
        <v>234113</v>
      </c>
      <c r="K428" s="612"/>
      <c r="L428" s="407" t="n">
        <f aca="false">'☆掛負収入'!L428</f>
        <v>35629</v>
      </c>
      <c r="M428" s="135" t="n">
        <f aca="false">SUM(K428:L428)</f>
        <v>35629</v>
      </c>
      <c r="N428" s="612"/>
      <c r="O428" s="407" t="n">
        <f aca="false">'☆掛負収入'!O428</f>
        <v>5186</v>
      </c>
      <c r="P428" s="135" t="n">
        <f aca="false">SUM(N428:O428)</f>
        <v>5186</v>
      </c>
    </row>
    <row r="429" customFormat="false" ht="18.75" hidden="false" customHeight="true" outlineLevel="0" collapsed="false">
      <c r="A429" s="121" t="str">
        <f aca="false">'☆掛負収入'!A429</f>
        <v>県下水道公社</v>
      </c>
      <c r="B429" s="449" t="n">
        <f aca="false">'☆掛負収入'!B429</f>
        <v>148230</v>
      </c>
      <c r="C429" s="223" t="n">
        <f aca="false">'☆掛負収入'!C429</f>
        <v>12150</v>
      </c>
      <c r="D429" s="449" t="n">
        <f aca="false">'☆掛負収入'!D429</f>
        <v>148230</v>
      </c>
      <c r="E429" s="453" t="n">
        <f aca="false">'☆掛負収入'!E429</f>
        <v>12150</v>
      </c>
      <c r="F429" s="454" t="n">
        <f aca="false">'☆掛負収入'!F429</f>
        <v>140</v>
      </c>
      <c r="G429" s="181" t="n">
        <f aca="false">SUM(B429:F429)</f>
        <v>320900</v>
      </c>
      <c r="H429" s="594" t="n">
        <f aca="false">'☆掛負収入'!H429</f>
        <v>84012</v>
      </c>
      <c r="I429" s="407" t="n">
        <f aca="false">'☆掛負収入'!I429</f>
        <v>84094</v>
      </c>
      <c r="J429" s="135" t="n">
        <f aca="false">SUM(H429:I429)</f>
        <v>168106</v>
      </c>
      <c r="K429" s="439" t="n">
        <f aca="false">'☆掛負収入'!K429</f>
        <v>9322</v>
      </c>
      <c r="L429" s="407" t="n">
        <f aca="false">'☆掛負収入'!L429</f>
        <v>9322</v>
      </c>
      <c r="M429" s="135" t="n">
        <f aca="false">SUM(K429:L429)</f>
        <v>18644</v>
      </c>
      <c r="N429" s="439" t="n">
        <f aca="false">'☆掛負収入'!N429</f>
        <v>1862</v>
      </c>
      <c r="O429" s="407" t="n">
        <f aca="false">'☆掛負収入'!O429</f>
        <v>1863</v>
      </c>
      <c r="P429" s="135" t="n">
        <f aca="false">SUM(N429:O429)</f>
        <v>3725</v>
      </c>
    </row>
    <row r="430" customFormat="false" ht="18.75" hidden="false" customHeight="true" outlineLevel="0" collapsed="false">
      <c r="A430" s="121" t="str">
        <f aca="false">'☆掛負収入'!A430</f>
        <v>バス協調・共創
プラットフォーム</v>
      </c>
      <c r="B430" s="457"/>
      <c r="C430" s="459"/>
      <c r="D430" s="451" t="n">
        <f aca="false">'☆掛負収入'!D430</f>
        <v>444690</v>
      </c>
      <c r="E430" s="473" t="n">
        <f aca="false">'☆掛負収入'!E430</f>
        <v>36450</v>
      </c>
      <c r="F430" s="454" t="n">
        <f aca="false">'☆掛負収入'!F430</f>
        <v>422</v>
      </c>
      <c r="G430" s="181" t="n">
        <f aca="false">SUM(B430:F430)</f>
        <v>481562</v>
      </c>
      <c r="H430" s="616"/>
      <c r="I430" s="407" t="n">
        <f aca="false">'☆掛負収入'!I430</f>
        <v>261626</v>
      </c>
      <c r="J430" s="135" t="n">
        <f aca="false">SUM(H430:I430)</f>
        <v>261626</v>
      </c>
      <c r="K430" s="617"/>
      <c r="L430" s="407" t="n">
        <f aca="false">'☆掛負収入'!L430</f>
        <v>21251</v>
      </c>
      <c r="M430" s="135" t="n">
        <f aca="false">SUM(K430:L430)</f>
        <v>21251</v>
      </c>
      <c r="N430" s="617"/>
      <c r="O430" s="407" t="n">
        <f aca="false">'☆掛負収入'!O430</f>
        <v>5796</v>
      </c>
      <c r="P430" s="135" t="n">
        <f aca="false">SUM(N430:O430)</f>
        <v>5796</v>
      </c>
    </row>
    <row r="431" customFormat="false" ht="18.75" hidden="false" customHeight="true" outlineLevel="0" collapsed="false">
      <c r="A431" s="121" t="str">
        <f aca="false">'☆掛負収入'!A431</f>
        <v>広島県市長会</v>
      </c>
      <c r="B431" s="449" t="n">
        <f aca="false">'☆掛負収入'!B431</f>
        <v>53985</v>
      </c>
      <c r="C431" s="223" t="n">
        <f aca="false">'☆掛負収入'!C431</f>
        <v>4425</v>
      </c>
      <c r="D431" s="449" t="n">
        <f aca="false">'☆掛負収入'!D431</f>
        <v>53985</v>
      </c>
      <c r="E431" s="453" t="n">
        <f aca="false">'☆掛負収入'!E431</f>
        <v>4425</v>
      </c>
      <c r="F431" s="223" t="n">
        <f aca="false">'☆掛負収入'!F431</f>
        <v>51</v>
      </c>
      <c r="G431" s="181" t="n">
        <f aca="false">SUM(B431:F431)</f>
        <v>116871</v>
      </c>
      <c r="H431" s="594" t="n">
        <f aca="false">'☆掛負収入'!H431</f>
        <v>30597</v>
      </c>
      <c r="I431" s="424" t="n">
        <f aca="false">'☆掛負収入'!I431</f>
        <v>30626</v>
      </c>
      <c r="J431" s="135" t="n">
        <f aca="false">SUM(H431:I431)</f>
        <v>61223</v>
      </c>
      <c r="K431" s="439" t="n">
        <f aca="false">'☆掛負収入'!K431</f>
        <v>4661</v>
      </c>
      <c r="L431" s="424" t="n">
        <f aca="false">'☆掛負収入'!L431</f>
        <v>4661</v>
      </c>
      <c r="M431" s="135" t="n">
        <f aca="false">SUM(K431:L431)</f>
        <v>9322</v>
      </c>
      <c r="N431" s="439" t="n">
        <f aca="false">'☆掛負収入'!N431</f>
        <v>678</v>
      </c>
      <c r="O431" s="424" t="n">
        <f aca="false">'☆掛負収入'!O431</f>
        <v>678</v>
      </c>
      <c r="P431" s="135" t="n">
        <f aca="false">SUM(N431:O431)</f>
        <v>1356</v>
      </c>
    </row>
    <row r="432" customFormat="false" ht="18.75" hidden="false" customHeight="true" outlineLevel="0" collapsed="false">
      <c r="A432" s="189" t="str">
        <f aca="false">'☆掛負収入'!A432</f>
        <v>全国市町村研修財団</v>
      </c>
      <c r="B432" s="451" t="n">
        <f aca="false">'☆掛負収入'!B432</f>
        <v>59475</v>
      </c>
      <c r="C432" s="223" t="n">
        <f aca="false">'☆掛負収入'!C432</f>
        <v>4875</v>
      </c>
      <c r="D432" s="449" t="n">
        <f aca="false">'☆掛負収入'!D432</f>
        <v>59475</v>
      </c>
      <c r="E432" s="453" t="n">
        <f aca="false">'☆掛負収入'!E432</f>
        <v>4875</v>
      </c>
      <c r="F432" s="223" t="n">
        <f aca="false">'☆掛負収入'!F432</f>
        <v>56</v>
      </c>
      <c r="G432" s="181" t="n">
        <f aca="false">SUM(B432:F432)</f>
        <v>128756</v>
      </c>
      <c r="H432" s="594" t="n">
        <f aca="false">'☆掛負収入'!H432</f>
        <v>36820</v>
      </c>
      <c r="I432" s="424" t="n">
        <f aca="false">'☆掛負収入'!I432</f>
        <v>36856</v>
      </c>
      <c r="J432" s="135" t="n">
        <f aca="false">SUM(H432:I432)</f>
        <v>73676</v>
      </c>
      <c r="K432" s="439" t="n">
        <f aca="false">'☆掛負収入'!K432</f>
        <v>5609</v>
      </c>
      <c r="L432" s="424" t="n">
        <f aca="false">'☆掛負収入'!L432</f>
        <v>5609</v>
      </c>
      <c r="M432" s="135" t="n">
        <f aca="false">SUM(K432:L432)</f>
        <v>11218</v>
      </c>
      <c r="N432" s="439" t="n">
        <f aca="false">'☆掛負収入'!N432</f>
        <v>816</v>
      </c>
      <c r="O432" s="424" t="n">
        <f aca="false">'☆掛負収入'!O432</f>
        <v>816</v>
      </c>
      <c r="P432" s="135" t="n">
        <f aca="false">SUM(N432:O432)</f>
        <v>1632</v>
      </c>
    </row>
    <row r="433" customFormat="false" ht="18.75" hidden="false" customHeight="true" outlineLevel="0" collapsed="false">
      <c r="A433" s="189" t="str">
        <f aca="false">'☆掛負収入'!A433</f>
        <v>都市再生機構</v>
      </c>
      <c r="B433" s="449" t="n">
        <f aca="false">'☆掛負収入'!B433</f>
        <v>45750</v>
      </c>
      <c r="C433" s="223" t="n">
        <f aca="false">'☆掛負収入'!C433</f>
        <v>3750</v>
      </c>
      <c r="D433" s="449" t="n">
        <f aca="false">'☆掛負収入'!D433</f>
        <v>45750</v>
      </c>
      <c r="E433" s="453" t="n">
        <f aca="false">'☆掛負収入'!E433</f>
        <v>3750</v>
      </c>
      <c r="F433" s="223" t="n">
        <f aca="false">'☆掛負収入'!F433</f>
        <v>43</v>
      </c>
      <c r="G433" s="181" t="n">
        <f aca="false">SUM(B433:F433)</f>
        <v>99043</v>
      </c>
      <c r="H433" s="594" t="n">
        <f aca="false">'☆掛負収入'!H433</f>
        <v>25930</v>
      </c>
      <c r="I433" s="424" t="n">
        <f aca="false">'☆掛負収入'!I433</f>
        <v>25955</v>
      </c>
      <c r="J433" s="135" t="n">
        <f aca="false">SUM(H433:I433)</f>
        <v>51885</v>
      </c>
      <c r="K433" s="439" t="n">
        <f aca="false">'☆掛負収入'!K433</f>
        <v>0</v>
      </c>
      <c r="L433" s="424" t="n">
        <f aca="false">'☆掛負収入'!L433</f>
        <v>0</v>
      </c>
      <c r="M433" s="135" t="n">
        <f aca="false">SUM(K433:L433)</f>
        <v>0</v>
      </c>
      <c r="N433" s="439" t="n">
        <f aca="false">'☆掛負収入'!N433</f>
        <v>575</v>
      </c>
      <c r="O433" s="424" t="n">
        <f aca="false">'☆掛負収入'!O433</f>
        <v>575</v>
      </c>
      <c r="P433" s="135" t="n">
        <f aca="false">SUM(N433:O433)</f>
        <v>1150</v>
      </c>
    </row>
    <row r="434" customFormat="false" ht="18.75" hidden="false" customHeight="true" outlineLevel="0" collapsed="false">
      <c r="A434" s="121" t="str">
        <f aca="false">'☆掛負収入'!A434</f>
        <v>広島市立大学</v>
      </c>
      <c r="B434" s="406" t="n">
        <f aca="false">'☆掛負収入'!B434</f>
        <v>1236165</v>
      </c>
      <c r="C434" s="135" t="n">
        <f aca="false">'☆掛負収入'!C434</f>
        <v>101325</v>
      </c>
      <c r="D434" s="406" t="n">
        <f aca="false">'☆掛負収入'!D434</f>
        <v>1236165</v>
      </c>
      <c r="E434" s="439" t="n">
        <f aca="false">'☆掛負収入'!E434</f>
        <v>101325</v>
      </c>
      <c r="F434" s="223" t="n">
        <f aca="false">'☆掛負収入'!F434</f>
        <v>1241</v>
      </c>
      <c r="G434" s="181" t="n">
        <f aca="false">SUM(B434:F434)</f>
        <v>2676221</v>
      </c>
      <c r="H434" s="594" t="n">
        <f aca="false">'☆掛負収入'!H434</f>
        <v>702171</v>
      </c>
      <c r="I434" s="424" t="n">
        <f aca="false">'☆掛負収入'!I434</f>
        <v>702901</v>
      </c>
      <c r="J434" s="135" t="n">
        <f aca="false">SUM(H434:I434)</f>
        <v>1405072</v>
      </c>
      <c r="K434" s="439" t="n">
        <f aca="false">'☆掛負収入'!K434</f>
        <v>80185</v>
      </c>
      <c r="L434" s="424" t="n">
        <f aca="false">'☆掛負収入'!L434</f>
        <v>80185</v>
      </c>
      <c r="M434" s="135" t="n">
        <f aca="false">SUM(K434:L434)</f>
        <v>160370</v>
      </c>
      <c r="N434" s="439" t="n">
        <f aca="false">'☆掛負収入'!N434</f>
        <v>15566</v>
      </c>
      <c r="O434" s="424" t="n">
        <f aca="false">'☆掛負収入'!O434</f>
        <v>15571</v>
      </c>
      <c r="P434" s="135" t="n">
        <f aca="false">SUM(N434:O434)</f>
        <v>31137</v>
      </c>
    </row>
    <row r="435" customFormat="false" ht="18.75" hidden="false" customHeight="true" outlineLevel="0" collapsed="false">
      <c r="A435" s="121" t="str">
        <f aca="false">'☆掛負収入'!A435</f>
        <v>社会福祉協議会</v>
      </c>
      <c r="B435" s="406" t="n">
        <f aca="false">'☆掛負収入'!B435</f>
        <v>0</v>
      </c>
      <c r="C435" s="135" t="n">
        <f aca="false">'☆掛負収入'!C435</f>
        <v>0</v>
      </c>
      <c r="D435" s="406" t="n">
        <f aca="false">'☆掛負収入'!D435</f>
        <v>256200</v>
      </c>
      <c r="E435" s="439" t="n">
        <f aca="false">'☆掛負収入'!E435</f>
        <v>21000</v>
      </c>
      <c r="F435" s="223" t="n">
        <f aca="false">'☆掛負収入'!F435</f>
        <v>243</v>
      </c>
      <c r="G435" s="181" t="n">
        <f aca="false">SUM(B435:F435)</f>
        <v>277443</v>
      </c>
      <c r="H435" s="594" t="n">
        <f aca="false">'☆掛負収入'!H435</f>
        <v>0</v>
      </c>
      <c r="I435" s="424" t="n">
        <f aca="false">'☆掛負収入'!I435</f>
        <v>152096</v>
      </c>
      <c r="J435" s="135" t="n">
        <f aca="false">SUM(H435:I435)</f>
        <v>152096</v>
      </c>
      <c r="K435" s="439" t="n">
        <f aca="false">'☆掛負収入'!K435</f>
        <v>0</v>
      </c>
      <c r="L435" s="424" t="n">
        <f aca="false">'☆掛負収入'!L435</f>
        <v>11297</v>
      </c>
      <c r="M435" s="135" t="n">
        <f aca="false">SUM(K435:L435)</f>
        <v>11297</v>
      </c>
      <c r="N435" s="439" t="n">
        <f aca="false">'☆掛負収入'!N435</f>
        <v>0</v>
      </c>
      <c r="O435" s="424" t="n">
        <f aca="false">'☆掛負収入'!O435</f>
        <v>3369</v>
      </c>
      <c r="P435" s="135" t="n">
        <f aca="false">SUM(N435:O435)</f>
        <v>3369</v>
      </c>
    </row>
    <row r="436" customFormat="false" ht="18.75" hidden="false" customHeight="true" outlineLevel="0" collapsed="false">
      <c r="A436" s="203" t="s">
        <v>418</v>
      </c>
      <c r="B436" s="595" t="n">
        <f aca="false">'☆掛負収入'!B438</f>
        <v>0</v>
      </c>
      <c r="C436" s="596" t="n">
        <f aca="false">'☆掛負収入'!C438</f>
        <v>0</v>
      </c>
      <c r="D436" s="595" t="n">
        <f aca="false">'☆掛負収入'!D438</f>
        <v>0</v>
      </c>
      <c r="E436" s="440" t="n">
        <f aca="false">'☆掛負収入'!E438</f>
        <v>0</v>
      </c>
      <c r="F436" s="181" t="n">
        <f aca="false">'☆掛負収入'!F438</f>
        <v>0</v>
      </c>
      <c r="G436" s="181" t="n">
        <f aca="false">SUM(B436:F436)</f>
        <v>0</v>
      </c>
      <c r="H436" s="595" t="n">
        <f aca="false">'☆掛負収入'!H438</f>
        <v>0</v>
      </c>
      <c r="I436" s="439" t="n">
        <f aca="false">'☆掛負収入'!I438</f>
        <v>0</v>
      </c>
      <c r="J436" s="135" t="n">
        <f aca="false">SUM(H436:I436)</f>
        <v>0</v>
      </c>
      <c r="K436" s="439" t="n">
        <f aca="false">'☆掛負収入'!K438</f>
        <v>0</v>
      </c>
      <c r="L436" s="424" t="n">
        <f aca="false">'☆掛負収入'!L438</f>
        <v>0</v>
      </c>
      <c r="M436" s="135" t="n">
        <f aca="false">SUM(K436:L436)</f>
        <v>0</v>
      </c>
      <c r="N436" s="439" t="n">
        <f aca="false">'☆掛負収入'!N438</f>
        <v>0</v>
      </c>
      <c r="O436" s="424" t="n">
        <f aca="false">'☆掛負収入'!O438</f>
        <v>0</v>
      </c>
      <c r="P436" s="135" t="n">
        <f aca="false">SUM(N436:O436)</f>
        <v>0</v>
      </c>
    </row>
    <row r="437" customFormat="false" ht="18.75" hidden="false" customHeight="true" outlineLevel="0" collapsed="false">
      <c r="A437" s="121" t="str">
        <f aca="false">'☆掛負収入'!A439</f>
        <v>全国市長会</v>
      </c>
      <c r="B437" s="595" t="n">
        <f aca="false">'☆掛負収入'!B439</f>
        <v>118950</v>
      </c>
      <c r="C437" s="596" t="n">
        <f aca="false">'☆掛負収入'!C439</f>
        <v>9750</v>
      </c>
      <c r="D437" s="595" t="n">
        <f aca="false">'☆掛負収入'!D439</f>
        <v>118950</v>
      </c>
      <c r="E437" s="440" t="n">
        <f aca="false">'☆掛負収入'!E439</f>
        <v>9750</v>
      </c>
      <c r="F437" s="181" t="n">
        <f aca="false">'☆掛負収入'!F439</f>
        <v>112</v>
      </c>
      <c r="G437" s="181" t="n">
        <f aca="false">SUM(B437:F437)</f>
        <v>257512</v>
      </c>
      <c r="H437" s="595" t="n">
        <f aca="false">'☆掛負収入'!H439</f>
        <v>86605</v>
      </c>
      <c r="I437" s="439" t="n">
        <f aca="false">'☆掛負収入'!I439</f>
        <v>86689</v>
      </c>
      <c r="J437" s="135" t="n">
        <f aca="false">SUM(H437:I437)</f>
        <v>173294</v>
      </c>
      <c r="K437" s="439" t="n">
        <f aca="false">'☆掛負収入'!K439</f>
        <v>13193</v>
      </c>
      <c r="L437" s="424" t="n">
        <f aca="false">'☆掛負収入'!L439</f>
        <v>13193</v>
      </c>
      <c r="M437" s="135" t="n">
        <f aca="false">SUM(K437:L437)</f>
        <v>26386</v>
      </c>
      <c r="N437" s="439" t="n">
        <f aca="false">'☆掛負収入'!N439</f>
        <v>1920</v>
      </c>
      <c r="O437" s="424" t="n">
        <f aca="false">'☆掛負収入'!O439</f>
        <v>1920</v>
      </c>
      <c r="P437" s="135" t="n">
        <f aca="false">SUM(N437:O437)</f>
        <v>3840</v>
      </c>
    </row>
    <row r="438" customFormat="false" ht="18.75" hidden="false" customHeight="true" outlineLevel="0" collapsed="false">
      <c r="A438" s="208"/>
      <c r="B438" s="406"/>
      <c r="C438" s="393"/>
      <c r="D438" s="406"/>
      <c r="E438" s="439"/>
      <c r="F438" s="135"/>
      <c r="G438" s="181"/>
      <c r="H438" s="594"/>
      <c r="I438" s="424"/>
      <c r="J438" s="135"/>
      <c r="K438" s="439"/>
      <c r="L438" s="424"/>
      <c r="M438" s="135"/>
      <c r="N438" s="439"/>
      <c r="O438" s="424"/>
      <c r="P438" s="135"/>
    </row>
    <row r="439" customFormat="false" ht="18.75" hidden="false" customHeight="true" outlineLevel="0" collapsed="false">
      <c r="A439" s="208"/>
      <c r="B439" s="595"/>
      <c r="C439" s="366"/>
      <c r="D439" s="595"/>
      <c r="E439" s="596"/>
      <c r="F439" s="393"/>
      <c r="G439" s="181"/>
      <c r="H439" s="595"/>
      <c r="I439" s="440"/>
      <c r="J439" s="135"/>
      <c r="K439" s="596"/>
      <c r="L439" s="440"/>
      <c r="M439" s="135"/>
      <c r="N439" s="596"/>
      <c r="O439" s="440"/>
      <c r="P439" s="135"/>
    </row>
    <row r="440" customFormat="false" ht="18.75" hidden="false" customHeight="true" outlineLevel="0" collapsed="false">
      <c r="A440" s="192"/>
      <c r="B440" s="406"/>
      <c r="C440" s="181"/>
      <c r="D440" s="406"/>
      <c r="E440" s="592"/>
      <c r="F440" s="135"/>
      <c r="G440" s="181"/>
      <c r="H440" s="406"/>
      <c r="I440" s="619"/>
      <c r="J440" s="135"/>
      <c r="K440" s="592"/>
      <c r="L440" s="619"/>
      <c r="M440" s="135"/>
      <c r="N440" s="592"/>
      <c r="O440" s="619"/>
      <c r="P440" s="135"/>
    </row>
    <row r="441" customFormat="false" ht="18.75" hidden="false" customHeight="true" outlineLevel="0" collapsed="false">
      <c r="A441" s="192"/>
      <c r="B441" s="595"/>
      <c r="C441" s="393"/>
      <c r="D441" s="596"/>
      <c r="E441" s="440"/>
      <c r="F441" s="393"/>
      <c r="G441" s="366"/>
      <c r="H441" s="406"/>
      <c r="I441" s="440"/>
      <c r="J441" s="135"/>
      <c r="K441" s="596"/>
      <c r="L441" s="440"/>
      <c r="M441" s="135"/>
      <c r="N441" s="596"/>
      <c r="O441" s="440"/>
      <c r="P441" s="135"/>
    </row>
    <row r="442" customFormat="false" ht="18.75" hidden="false" customHeight="true" outlineLevel="0" collapsed="false">
      <c r="A442" s="605"/>
      <c r="B442" s="622"/>
      <c r="C442" s="253"/>
      <c r="D442" s="623"/>
      <c r="E442" s="624"/>
      <c r="F442" s="253"/>
      <c r="G442" s="621"/>
      <c r="H442" s="622"/>
      <c r="I442" s="623"/>
      <c r="J442" s="623" t="n">
        <f aca="false">SUM(H442:I442)</f>
        <v>0</v>
      </c>
      <c r="K442" s="622"/>
      <c r="L442" s="623"/>
      <c r="M442" s="697" t="n">
        <f aca="false">SUM(K442:L442)</f>
        <v>0</v>
      </c>
      <c r="N442" s="622"/>
      <c r="O442" s="623"/>
      <c r="P442" s="697" t="n">
        <f aca="false">SUM(N442:O442)</f>
        <v>0</v>
      </c>
    </row>
    <row r="443" customFormat="false" ht="18.75" hidden="false" customHeight="true" outlineLevel="0" collapsed="false">
      <c r="A443" s="171" t="str">
        <f aca="false">'☆掛負収入'!A443</f>
        <v>小　計</v>
      </c>
      <c r="B443" s="404" t="n">
        <f aca="false">SUM(B413:B442)</f>
        <v>2768790</v>
      </c>
      <c r="C443" s="175" t="n">
        <f aca="false">SUM(C413:C442)</f>
        <v>226950</v>
      </c>
      <c r="D443" s="404" t="n">
        <f aca="false">SUM(D413:D442)</f>
        <v>8777595</v>
      </c>
      <c r="E443" s="276" t="n">
        <f aca="false">SUM(E413:E442)</f>
        <v>719475</v>
      </c>
      <c r="F443" s="175" t="n">
        <f aca="false">SUM(F413:F442)</f>
        <v>8653</v>
      </c>
      <c r="G443" s="176" t="n">
        <f aca="false">SUM(B443:F443)</f>
        <v>12501463</v>
      </c>
      <c r="H443" s="404" t="n">
        <f aca="false">SUM(H413:H442)</f>
        <v>1593113</v>
      </c>
      <c r="I443" s="174" t="n">
        <f aca="false">SUM(I413:I442)</f>
        <v>5175601</v>
      </c>
      <c r="J443" s="175" t="n">
        <f aca="false">SUM(H443:I443)</f>
        <v>6768714</v>
      </c>
      <c r="K443" s="404" t="n">
        <f aca="false">SUM(K413:K442)</f>
        <v>163767</v>
      </c>
      <c r="L443" s="174" t="n">
        <f aca="false">SUM(L413:L442)</f>
        <v>582704</v>
      </c>
      <c r="M443" s="173" t="n">
        <f aca="false">SUM(K443:L443)</f>
        <v>746471</v>
      </c>
      <c r="N443" s="404" t="n">
        <f aca="false">SUM(N413:N442)</f>
        <v>35315</v>
      </c>
      <c r="O443" s="174" t="n">
        <f aca="false">SUM(O413:O442)</f>
        <v>114646</v>
      </c>
      <c r="P443" s="173" t="n">
        <f aca="false">SUM(N443:O443)</f>
        <v>149961</v>
      </c>
    </row>
    <row r="444" customFormat="false" ht="18.75" hidden="true" customHeight="true" outlineLevel="0" collapsed="false">
      <c r="A444" s="604"/>
      <c r="B444" s="622"/>
      <c r="C444" s="253"/>
      <c r="D444" s="623"/>
      <c r="E444" s="624"/>
      <c r="F444" s="625"/>
      <c r="G444" s="626"/>
      <c r="H444" s="627"/>
      <c r="I444" s="628"/>
      <c r="J444" s="629"/>
      <c r="K444" s="630"/>
      <c r="L444" s="631"/>
      <c r="M444" s="632"/>
      <c r="N444" s="630"/>
      <c r="O444" s="631"/>
      <c r="P444" s="632"/>
    </row>
    <row r="445" customFormat="false" ht="18.75" hidden="true" customHeight="true" outlineLevel="0" collapsed="false">
      <c r="A445" s="633"/>
      <c r="B445" s="606"/>
      <c r="C445" s="608"/>
      <c r="D445" s="623"/>
      <c r="E445" s="624"/>
      <c r="F445" s="253"/>
      <c r="G445" s="621"/>
      <c r="H445" s="634"/>
      <c r="I445" s="635"/>
      <c r="J445" s="383"/>
      <c r="K445" s="636"/>
      <c r="L445" s="637"/>
      <c r="M445" s="638"/>
      <c r="N445" s="636"/>
      <c r="O445" s="637"/>
      <c r="P445" s="638"/>
    </row>
    <row r="446" customFormat="false" ht="18.75" hidden="false" customHeight="true" outlineLevel="0" collapsed="false">
      <c r="A446" s="189" t="str">
        <f aca="false">'☆掛負収入'!A446</f>
        <v>高速交通（株）</v>
      </c>
      <c r="B446" s="464" t="n">
        <f aca="false">'☆掛負収入'!B446</f>
        <v>142740</v>
      </c>
      <c r="C446" s="466" t="n">
        <f aca="false">'☆掛負収入'!C446</f>
        <v>11700</v>
      </c>
      <c r="D446" s="452" t="n">
        <f aca="false">'☆掛負収入'!D446</f>
        <v>142740</v>
      </c>
      <c r="E446" s="462" t="n">
        <f aca="false">'☆掛負収入'!E446</f>
        <v>11700</v>
      </c>
      <c r="F446" s="454" t="n">
        <f aca="false">'☆掛負収入'!F446</f>
        <v>135</v>
      </c>
      <c r="G446" s="366" t="n">
        <f aca="false">SUM(B446:F446)</f>
        <v>309015</v>
      </c>
      <c r="H446" s="640"/>
      <c r="I446" s="640"/>
      <c r="J446" s="640"/>
      <c r="K446" s="640"/>
      <c r="L446" s="640"/>
      <c r="M446" s="640"/>
      <c r="N446" s="640"/>
      <c r="O446" s="640"/>
      <c r="P446" s="640"/>
    </row>
    <row r="447" customFormat="false" ht="18.75" hidden="false" customHeight="true" outlineLevel="0" collapsed="false">
      <c r="A447" s="641" t="s">
        <v>201</v>
      </c>
      <c r="B447" s="642" t="n">
        <f aca="false">'☆掛負収入'!B447</f>
        <v>53985</v>
      </c>
      <c r="C447" s="667" t="n">
        <f aca="false">'☆掛負収入'!C447</f>
        <v>4425</v>
      </c>
      <c r="D447" s="642" t="n">
        <f aca="false">'☆掛負収入'!D447</f>
        <v>53985</v>
      </c>
      <c r="E447" s="467" t="n">
        <f aca="false">'☆掛負収入'!E447</f>
        <v>4425</v>
      </c>
      <c r="F447" s="667" t="n">
        <f aca="false">'☆掛負収入'!F447</f>
        <v>51</v>
      </c>
      <c r="G447" s="366" t="n">
        <f aca="false">SUM(B447:F447)</f>
        <v>116871</v>
      </c>
      <c r="H447" s="640"/>
      <c r="I447" s="640"/>
      <c r="J447" s="640"/>
      <c r="K447" s="640"/>
      <c r="L447" s="640"/>
      <c r="M447" s="640"/>
      <c r="N447" s="640"/>
      <c r="O447" s="640"/>
      <c r="P447" s="640"/>
    </row>
    <row r="448" customFormat="false" ht="18.75" hidden="false" customHeight="true" outlineLevel="0" collapsed="false">
      <c r="A448" s="171" t="str">
        <f aca="false">'☆掛負収入'!A448</f>
        <v>小　計</v>
      </c>
      <c r="B448" s="172" t="n">
        <f aca="false">SUM(B446:B447)</f>
        <v>196725</v>
      </c>
      <c r="C448" s="175" t="n">
        <f aca="false">SUM(C444:C447)</f>
        <v>16125</v>
      </c>
      <c r="D448" s="656" t="n">
        <f aca="false">SUM(D444:D447)</f>
        <v>196725</v>
      </c>
      <c r="E448" s="174" t="n">
        <f aca="false">SUM(E444:E447)</f>
        <v>16125</v>
      </c>
      <c r="F448" s="176" t="n">
        <f aca="false">SUM(F444:F447)</f>
        <v>186</v>
      </c>
      <c r="G448" s="175" t="n">
        <f aca="false">SUM(B448:F448)</f>
        <v>425886</v>
      </c>
      <c r="H448" s="640"/>
      <c r="I448" s="640"/>
      <c r="J448" s="640"/>
      <c r="K448" s="640"/>
      <c r="L448" s="640"/>
      <c r="M448" s="640"/>
      <c r="N448" s="640"/>
      <c r="O448" s="640"/>
      <c r="P448" s="640"/>
    </row>
    <row r="449" customFormat="false" ht="18.75" hidden="false" customHeight="true" outlineLevel="0" collapsed="false">
      <c r="A449" s="100" t="str">
        <f aca="false">'☆掛負収入'!A449</f>
        <v>市職員労働組合</v>
      </c>
      <c r="B449" s="449" t="n">
        <f aca="false">'☆掛負収入'!B449</f>
        <v>31110</v>
      </c>
      <c r="C449" s="223" t="n">
        <f aca="false">'☆掛負収入'!C449</f>
        <v>2550</v>
      </c>
      <c r="D449" s="445" t="n">
        <f aca="false">'☆掛負収入'!D449</f>
        <v>31110</v>
      </c>
      <c r="E449" s="463" t="n">
        <f aca="false">'☆掛負収入'!E449</f>
        <v>2550</v>
      </c>
      <c r="F449" s="196"/>
      <c r="G449" s="181" t="n">
        <f aca="false">SUM(B449:F449)</f>
        <v>67320</v>
      </c>
      <c r="H449" s="594" t="n">
        <f aca="false">'☆掛負収入'!H449</f>
        <v>17632</v>
      </c>
      <c r="I449" s="424" t="n">
        <f aca="false">'☆掛負収入'!I449</f>
        <v>17649</v>
      </c>
      <c r="J449" s="135" t="n">
        <f aca="false">SUM(H449:I449)</f>
        <v>35281</v>
      </c>
      <c r="K449" s="451" t="n">
        <f aca="false">'☆掛負収入'!K449</f>
        <v>2686</v>
      </c>
      <c r="L449" s="462" t="n">
        <f aca="false">'☆掛負収入'!L449</f>
        <v>2686</v>
      </c>
      <c r="M449" s="446" t="n">
        <f aca="false">SUM(K449:L449)</f>
        <v>5372</v>
      </c>
      <c r="N449" s="451" t="n">
        <f aca="false">'☆掛負収入'!N449</f>
        <v>391</v>
      </c>
      <c r="O449" s="462" t="n">
        <f aca="false">'☆掛負収入'!O449</f>
        <v>391</v>
      </c>
      <c r="P449" s="446" t="n">
        <f aca="false">SUM(N449:O449)</f>
        <v>782</v>
      </c>
    </row>
    <row r="450" customFormat="false" ht="18.75" hidden="false" customHeight="true" outlineLevel="0" collapsed="false">
      <c r="A450" s="100" t="str">
        <f aca="false">'☆掛負収入'!A450</f>
        <v>自治労労働組合</v>
      </c>
      <c r="B450" s="449" t="n">
        <f aca="false">'☆掛負収入'!B450</f>
        <v>0</v>
      </c>
      <c r="C450" s="377" t="n">
        <f aca="false">'☆掛負収入'!C450</f>
        <v>0</v>
      </c>
      <c r="D450" s="449" t="n">
        <f aca="false">'☆掛負収入'!D450</f>
        <v>0</v>
      </c>
      <c r="E450" s="463" t="n">
        <f aca="false">'☆掛負収入'!E450</f>
        <v>0</v>
      </c>
      <c r="F450" s="196"/>
      <c r="G450" s="181" t="n">
        <f aca="false">SUM(B450:F450)</f>
        <v>0</v>
      </c>
      <c r="H450" s="594" t="n">
        <f aca="false">'☆掛負収入'!H450</f>
        <v>0</v>
      </c>
      <c r="I450" s="424" t="n">
        <f aca="false">'☆掛負収入'!I450</f>
        <v>0</v>
      </c>
      <c r="J450" s="135" t="n">
        <f aca="false">SUM(H450:I450)</f>
        <v>0</v>
      </c>
      <c r="K450" s="594" t="n">
        <f aca="false">'☆掛負収入'!K450</f>
        <v>0</v>
      </c>
      <c r="L450" s="424" t="n">
        <f aca="false">'☆掛負収入'!L450</f>
        <v>0</v>
      </c>
      <c r="M450" s="135" t="n">
        <f aca="false">SUM(K450:L450)</f>
        <v>0</v>
      </c>
      <c r="N450" s="594" t="n">
        <f aca="false">'☆掛負収入'!N450</f>
        <v>0</v>
      </c>
      <c r="O450" s="424" t="n">
        <f aca="false">'☆掛負収入'!O450</f>
        <v>0</v>
      </c>
      <c r="P450" s="135" t="n">
        <f aca="false">SUM(N450:O450)</f>
        <v>0</v>
      </c>
    </row>
    <row r="451" customFormat="false" ht="18.75" hidden="false" customHeight="true" outlineLevel="0" collapsed="false">
      <c r="A451" s="100" t="str">
        <f aca="false">'☆掛負収入'!A451</f>
        <v>病院労働組合</v>
      </c>
      <c r="B451" s="406"/>
      <c r="C451" s="181"/>
      <c r="D451" s="406"/>
      <c r="E451" s="619"/>
      <c r="F451" s="196"/>
      <c r="G451" s="181" t="n">
        <f aca="false">SUM(B451:F451)</f>
        <v>0</v>
      </c>
      <c r="H451" s="594"/>
      <c r="I451" s="424"/>
      <c r="J451" s="135" t="n">
        <f aca="false">SUM(H451:I451)</f>
        <v>0</v>
      </c>
      <c r="K451" s="594"/>
      <c r="L451" s="424"/>
      <c r="M451" s="135" t="n">
        <f aca="false">SUM(K451:L451)</f>
        <v>0</v>
      </c>
      <c r="N451" s="594"/>
      <c r="O451" s="424"/>
      <c r="P451" s="135" t="n">
        <f aca="false">SUM(N451:O451)</f>
        <v>0</v>
      </c>
    </row>
    <row r="452" customFormat="false" ht="18.75" hidden="false" customHeight="true" outlineLevel="0" collapsed="false">
      <c r="A452" s="277" t="str">
        <f aca="false">'☆掛負収入'!A452</f>
        <v>水道労働組合</v>
      </c>
      <c r="B452" s="648"/>
      <c r="C452" s="419"/>
      <c r="D452" s="648"/>
      <c r="E452" s="598"/>
      <c r="F452" s="271"/>
      <c r="G452" s="181" t="n">
        <f aca="false">SUM(B452:F452)</f>
        <v>0</v>
      </c>
      <c r="H452" s="649"/>
      <c r="I452" s="650"/>
      <c r="J452" s="135" t="n">
        <f aca="false">SUM(H452:I452)</f>
        <v>0</v>
      </c>
      <c r="K452" s="651"/>
      <c r="L452" s="652"/>
      <c r="M452" s="135" t="n">
        <f aca="false">SUM(K452:L452)</f>
        <v>0</v>
      </c>
      <c r="N452" s="651"/>
      <c r="O452" s="652"/>
      <c r="P452" s="135" t="n">
        <f aca="false">SUM(N452:O452)</f>
        <v>0</v>
      </c>
    </row>
    <row r="453" customFormat="false" ht="18.75" hidden="false" customHeight="true" outlineLevel="0" collapsed="false">
      <c r="A453" s="171" t="str">
        <f aca="false">'☆掛負収入'!A453</f>
        <v>小　計</v>
      </c>
      <c r="B453" s="404" t="n">
        <f aca="false">SUM(B449:B452)</f>
        <v>31110</v>
      </c>
      <c r="C453" s="175" t="n">
        <f aca="false">SUM(C449:C452)</f>
        <v>2550</v>
      </c>
      <c r="D453" s="404" t="n">
        <f aca="false">SUM(D449:D452)</f>
        <v>31110</v>
      </c>
      <c r="E453" s="174" t="n">
        <f aca="false">SUM(E449:E452)</f>
        <v>2550</v>
      </c>
      <c r="F453" s="173" t="n">
        <f aca="false">SUM(F449:F452)</f>
        <v>0</v>
      </c>
      <c r="G453" s="172" t="n">
        <f aca="false">SUM(B453:F453)</f>
        <v>67320</v>
      </c>
      <c r="H453" s="404" t="n">
        <f aca="false">SUM(H449:H452)</f>
        <v>17632</v>
      </c>
      <c r="I453" s="174" t="n">
        <f aca="false">SUM(I449:I452)</f>
        <v>17649</v>
      </c>
      <c r="J453" s="175" t="n">
        <f aca="false">SUM(H453:I453)</f>
        <v>35281</v>
      </c>
      <c r="K453" s="172" t="n">
        <f aca="false">SUM(K449:K452)</f>
        <v>2686</v>
      </c>
      <c r="L453" s="173" t="n">
        <f aca="false">SUM(L449:L452)</f>
        <v>2686</v>
      </c>
      <c r="M453" s="175" t="n">
        <f aca="false">SUM(K453:L453)</f>
        <v>5372</v>
      </c>
      <c r="N453" s="172" t="n">
        <f aca="false">SUM(N449:N452)</f>
        <v>391</v>
      </c>
      <c r="O453" s="173" t="n">
        <f aca="false">SUM(O449:O452)</f>
        <v>391</v>
      </c>
      <c r="P453" s="175" t="n">
        <f aca="false">SUM(N453:O453)</f>
        <v>782</v>
      </c>
    </row>
    <row r="454" customFormat="false" ht="18.75" hidden="false" customHeight="true" outlineLevel="0" collapsed="false">
      <c r="A454" s="277" t="str">
        <f aca="false">'☆掛負収入'!A454</f>
        <v>任意継続組合員</v>
      </c>
      <c r="B454" s="256"/>
      <c r="C454" s="498"/>
      <c r="D454" s="499"/>
      <c r="E454" s="500"/>
      <c r="F454" s="271"/>
      <c r="G454" s="268"/>
      <c r="H454" s="653"/>
      <c r="I454" s="257"/>
      <c r="J454" s="258"/>
      <c r="K454" s="499"/>
      <c r="L454" s="654"/>
      <c r="M454" s="267"/>
      <c r="N454" s="499"/>
      <c r="O454" s="654"/>
      <c r="P454" s="267"/>
    </row>
    <row r="455" customFormat="false" ht="30" hidden="false" customHeight="true" outlineLevel="0" collapsed="false">
      <c r="A455" s="655" t="str">
        <f aca="false">'☆掛負収入'!A455</f>
        <v>総　　計</v>
      </c>
      <c r="B455" s="404" t="n">
        <f aca="false">SUM(B412+B443+B448+B453)</f>
        <v>2996625</v>
      </c>
      <c r="C455" s="175" t="n">
        <f aca="false">SUM(C412+C443+C448+C453)</f>
        <v>245625</v>
      </c>
      <c r="D455" s="656" t="n">
        <f aca="false">SUM(D412+D443+D448+D453)</f>
        <v>9005430</v>
      </c>
      <c r="E455" s="174" t="n">
        <f aca="false">SUM(E412+E443+E448+E453)</f>
        <v>738150</v>
      </c>
      <c r="F455" s="176" t="n">
        <f aca="false">SUM(F412+F443+F448+F453)</f>
        <v>8839</v>
      </c>
      <c r="G455" s="172" t="n">
        <f aca="false">SUM(B455:F455)</f>
        <v>12994669</v>
      </c>
      <c r="H455" s="404" t="n">
        <f aca="false">SUM(H412+H443+H448+H453+H454)</f>
        <v>1610745</v>
      </c>
      <c r="I455" s="174" t="n">
        <f aca="false">SUM(I412+I443+I448+I453+I454)</f>
        <v>5193250</v>
      </c>
      <c r="J455" s="175" t="n">
        <f aca="false">SUM(H455:I455)</f>
        <v>6803995</v>
      </c>
      <c r="K455" s="172" t="n">
        <f aca="false">K412+K443+K448+K453+K454</f>
        <v>166453</v>
      </c>
      <c r="L455" s="173" t="n">
        <f aca="false">L412+L443+L448+L453</f>
        <v>585390</v>
      </c>
      <c r="M455" s="175" t="n">
        <f aca="false">SUM(K455:L455)</f>
        <v>751843</v>
      </c>
      <c r="N455" s="172" t="n">
        <f aca="false">N412+N443+N448+N453+N454</f>
        <v>35706</v>
      </c>
      <c r="O455" s="173" t="n">
        <f aca="false">O412+O443+O448+O453</f>
        <v>115037</v>
      </c>
      <c r="P455" s="175" t="n">
        <f aca="false">SUM(N455:O455)</f>
        <v>150743</v>
      </c>
    </row>
    <row r="456" customFormat="false" ht="18.75" hidden="false" customHeight="true" outlineLevel="0" collapsed="false">
      <c r="A456" s="315"/>
      <c r="B456" s="316"/>
      <c r="C456" s="316"/>
      <c r="D456" s="316"/>
      <c r="E456" s="316"/>
      <c r="F456" s="316"/>
      <c r="G456" s="316"/>
      <c r="H456" s="316"/>
      <c r="I456" s="316"/>
      <c r="J456" s="316"/>
      <c r="K456" s="316"/>
      <c r="L456" s="316"/>
      <c r="M456" s="316"/>
      <c r="N456" s="316"/>
      <c r="O456" s="316"/>
      <c r="P456" s="316"/>
    </row>
    <row r="457" customFormat="false" ht="30" hidden="false" customHeight="true" outlineLevel="0" collapsed="false">
      <c r="A457" s="295"/>
      <c r="B457" s="391" t="n">
        <f aca="false">'☆掛負収入'!B457</f>
        <v>46326</v>
      </c>
      <c r="C457" s="391" t="n">
        <f aca="false">'☆掛負収入'!C457</f>
        <v>0</v>
      </c>
      <c r="D457" s="391" t="n">
        <f aca="false">'☆掛負収入'!D457</f>
        <v>0</v>
      </c>
      <c r="E457" s="391" t="n">
        <f aca="false">'☆掛負収入'!E457</f>
        <v>0</v>
      </c>
      <c r="F457" s="391" t="n">
        <f aca="false">'☆掛負収入'!F457</f>
        <v>0</v>
      </c>
      <c r="G457" s="391" t="n">
        <f aca="false">'☆掛負収入'!G457</f>
        <v>0</v>
      </c>
      <c r="H457" s="391" t="n">
        <f aca="false">'☆掛負収入'!H457</f>
        <v>46326</v>
      </c>
      <c r="I457" s="391" t="n">
        <f aca="false">'☆掛負収入'!I457</f>
        <v>0</v>
      </c>
      <c r="J457" s="391" t="n">
        <f aca="false">'☆掛負収入'!J457</f>
        <v>0</v>
      </c>
      <c r="K457" s="391" t="n">
        <f aca="false">'☆掛負収入'!K457</f>
        <v>46326</v>
      </c>
      <c r="L457" s="391" t="n">
        <f aca="false">'☆掛負収入'!L457</f>
        <v>0</v>
      </c>
      <c r="M457" s="391" t="n">
        <f aca="false">'☆掛負収入'!M457</f>
        <v>0</v>
      </c>
      <c r="N457" s="391" t="n">
        <f aca="false">'☆掛負収入'!N457</f>
        <v>46326</v>
      </c>
      <c r="O457" s="391" t="n">
        <f aca="false">'☆掛負収入'!O457</f>
        <v>0</v>
      </c>
      <c r="P457" s="391" t="n">
        <f aca="false">'☆掛負収入'!P457</f>
        <v>0</v>
      </c>
    </row>
    <row r="458" customFormat="false" ht="22.5" hidden="false" customHeight="true" outlineLevel="0" collapsed="false">
      <c r="A458" s="89" t="str">
        <f aca="false">'☆掛負収入'!A458</f>
        <v>区　　分</v>
      </c>
      <c r="B458" s="89" t="str">
        <f aca="false">'☆掛負収入'!B458</f>
        <v>長　期　経　理</v>
      </c>
      <c r="C458" s="89" t="n">
        <f aca="false">'☆掛負収入'!C458</f>
        <v>0</v>
      </c>
      <c r="D458" s="89" t="n">
        <f aca="false">'☆掛負収入'!D458</f>
        <v>0</v>
      </c>
      <c r="E458" s="89" t="n">
        <f aca="false">'☆掛負収入'!E458</f>
        <v>0</v>
      </c>
      <c r="F458" s="89" t="n">
        <f aca="false">'☆掛負収入'!F458</f>
        <v>0</v>
      </c>
      <c r="G458" s="89" t="n">
        <f aca="false">'☆掛負収入'!G458</f>
        <v>0</v>
      </c>
      <c r="H458" s="91" t="str">
        <f aca="false">'☆掛負収入'!H458</f>
        <v>短　期　経　理</v>
      </c>
      <c r="I458" s="91" t="n">
        <f aca="false">'☆掛負収入'!I458</f>
        <v>0</v>
      </c>
      <c r="J458" s="91" t="n">
        <f aca="false">'☆掛負収入'!J458</f>
        <v>0</v>
      </c>
      <c r="K458" s="91" t="str">
        <f aca="false">'☆掛負収入'!K458</f>
        <v>介　護　納　付　金</v>
      </c>
      <c r="L458" s="91" t="n">
        <f aca="false">'☆掛負収入'!L458</f>
        <v>0</v>
      </c>
      <c r="M458" s="91" t="n">
        <f aca="false">'☆掛負収入'!M458</f>
        <v>0</v>
      </c>
      <c r="N458" s="91" t="str">
        <f aca="false">'☆掛負収入'!N458</f>
        <v>子ども・子育て支援納付金</v>
      </c>
      <c r="O458" s="91" t="n">
        <f aca="false">'☆掛負収入'!O458</f>
        <v>0</v>
      </c>
      <c r="P458" s="91" t="n">
        <f aca="false">'☆掛負収入'!P458</f>
        <v>0</v>
      </c>
    </row>
    <row r="459" customFormat="false" ht="22.5" hidden="false" customHeight="true" outlineLevel="0" collapsed="false">
      <c r="A459" s="89" t="n">
        <f aca="false">'☆掛負収入'!A459</f>
        <v>0</v>
      </c>
      <c r="B459" s="92" t="str">
        <f aca="false">'☆掛負収入'!B459</f>
        <v>組合員負担分</v>
      </c>
      <c r="C459" s="92" t="n">
        <f aca="false">'☆掛負収入'!C459</f>
        <v>0</v>
      </c>
      <c r="D459" s="92" t="str">
        <f aca="false">'☆掛負収入'!D459</f>
        <v>事業主負担分</v>
      </c>
      <c r="E459" s="92" t="n">
        <f aca="false">'☆掛負収入'!E459</f>
        <v>0</v>
      </c>
      <c r="F459" s="92" t="n">
        <f aca="false">'☆掛負収入'!F459</f>
        <v>0</v>
      </c>
      <c r="G459" s="586" t="str">
        <f aca="false">'☆掛負収入'!G459</f>
        <v>計</v>
      </c>
      <c r="H459" s="96" t="str">
        <f aca="false">'☆掛負収入'!H459</f>
        <v>掛　金</v>
      </c>
      <c r="I459" s="94" t="str">
        <f aca="false">'☆掛負収入'!I459</f>
        <v>負担金</v>
      </c>
      <c r="J459" s="95" t="str">
        <f aca="false">'☆掛負収入'!J459</f>
        <v>計</v>
      </c>
      <c r="K459" s="96" t="str">
        <f aca="false">'☆掛負収入'!K459</f>
        <v>掛　金</v>
      </c>
      <c r="L459" s="94" t="str">
        <f aca="false">'☆掛負収入'!L459</f>
        <v>負担金</v>
      </c>
      <c r="M459" s="95" t="str">
        <f aca="false">'☆掛負収入'!M459</f>
        <v>計</v>
      </c>
      <c r="N459" s="96" t="str">
        <f aca="false">'☆掛負収入'!N459</f>
        <v>掛　金</v>
      </c>
      <c r="O459" s="94" t="str">
        <f aca="false">'☆掛負収入'!O459</f>
        <v>負担金</v>
      </c>
      <c r="P459" s="95" t="str">
        <f aca="false">'☆掛負収入'!P459</f>
        <v>計</v>
      </c>
    </row>
    <row r="460" customFormat="false" ht="22.5" hidden="false" customHeight="true" outlineLevel="0" collapsed="false">
      <c r="A460" s="89" t="n">
        <f aca="false">'☆掛負収入'!A460</f>
        <v>0</v>
      </c>
      <c r="B460" s="587" t="str">
        <f aca="false">'☆掛負収入'!B460</f>
        <v>厚生年金保険料</v>
      </c>
      <c r="C460" s="588" t="str">
        <f aca="false">'☆掛負収入'!C460</f>
        <v>退職等年金掛金</v>
      </c>
      <c r="D460" s="589" t="str">
        <f aca="false">'☆掛負収入'!D460</f>
        <v>厚生年金保険料</v>
      </c>
      <c r="E460" s="589" t="str">
        <f aca="false">'☆掛負収入'!E460</f>
        <v>退職等年金負担金</v>
      </c>
      <c r="F460" s="590" t="str">
        <f aca="false">'☆掛負収入'!F460</f>
        <v>経過的長期</v>
      </c>
      <c r="G460" s="586" t="n">
        <f aca="false">'☆掛負収入'!G460</f>
        <v>0</v>
      </c>
      <c r="H460" s="96" t="n">
        <f aca="false">'☆掛負収入'!H460</f>
        <v>0</v>
      </c>
      <c r="I460" s="94" t="n">
        <f aca="false">'☆掛負収入'!I460</f>
        <v>0</v>
      </c>
      <c r="J460" s="95" t="n">
        <f aca="false">'☆掛負収入'!J460</f>
        <v>0</v>
      </c>
      <c r="K460" s="96" t="n">
        <f aca="false">'☆掛負収入'!K460</f>
        <v>0</v>
      </c>
      <c r="L460" s="94" t="n">
        <f aca="false">'☆掛負収入'!L460</f>
        <v>0</v>
      </c>
      <c r="M460" s="95" t="n">
        <f aca="false">'☆掛負収入'!M460</f>
        <v>0</v>
      </c>
      <c r="N460" s="96" t="n">
        <f aca="false">'☆掛負収入'!N460</f>
        <v>0</v>
      </c>
      <c r="O460" s="94" t="n">
        <f aca="false">'☆掛負収入'!O460</f>
        <v>0</v>
      </c>
      <c r="P460" s="95" t="n">
        <f aca="false">'☆掛負収入'!P460</f>
        <v>0</v>
      </c>
    </row>
    <row r="461" customFormat="false" ht="18.75" hidden="false" customHeight="true" outlineLevel="0" collapsed="false">
      <c r="A461" s="100" t="str">
        <f aca="false">'☆掛負収入'!A461</f>
        <v>市長部局</v>
      </c>
      <c r="B461" s="591"/>
      <c r="C461" s="364"/>
      <c r="D461" s="592"/>
      <c r="E461" s="592"/>
      <c r="F461" s="184"/>
      <c r="G461" s="364"/>
      <c r="H461" s="591"/>
      <c r="I461" s="593"/>
      <c r="J461" s="181"/>
      <c r="K461" s="594"/>
      <c r="L461" s="593"/>
      <c r="M461" s="181"/>
      <c r="N461" s="594"/>
      <c r="O461" s="593"/>
      <c r="P461" s="181"/>
    </row>
    <row r="462" customFormat="false" ht="18.75" hidden="false" customHeight="true" outlineLevel="0" collapsed="false">
      <c r="A462" s="100" t="str">
        <f aca="false">'☆掛負収入'!A462</f>
        <v>下水道局</v>
      </c>
      <c r="B462" s="406"/>
      <c r="C462" s="181"/>
      <c r="D462" s="592"/>
      <c r="E462" s="592"/>
      <c r="F462" s="135"/>
      <c r="G462" s="181"/>
      <c r="H462" s="594"/>
      <c r="I462" s="424"/>
      <c r="J462" s="135"/>
      <c r="K462" s="595"/>
      <c r="L462" s="596"/>
      <c r="M462" s="135"/>
      <c r="N462" s="595"/>
      <c r="O462" s="596"/>
      <c r="P462" s="135"/>
    </row>
    <row r="463" customFormat="false" ht="18.75" hidden="false" customHeight="true" outlineLevel="0" collapsed="false">
      <c r="A463" s="100" t="str">
        <f aca="false">'☆掛負収入'!A463</f>
        <v>消防局</v>
      </c>
      <c r="B463" s="406"/>
      <c r="C463" s="181"/>
      <c r="D463" s="592"/>
      <c r="E463" s="592"/>
      <c r="F463" s="135"/>
      <c r="G463" s="181"/>
      <c r="H463" s="595"/>
      <c r="I463" s="439"/>
      <c r="J463" s="135"/>
      <c r="K463" s="595"/>
      <c r="L463" s="439"/>
      <c r="M463" s="135"/>
      <c r="N463" s="595"/>
      <c r="O463" s="439"/>
      <c r="P463" s="135"/>
    </row>
    <row r="464" customFormat="false" ht="18.75" hidden="false" customHeight="true" outlineLevel="0" collapsed="false">
      <c r="A464" s="100" t="str">
        <f aca="false">'☆掛負収入'!A464</f>
        <v>議会事務局</v>
      </c>
      <c r="B464" s="406"/>
      <c r="C464" s="181"/>
      <c r="D464" s="592"/>
      <c r="E464" s="592"/>
      <c r="F464" s="135"/>
      <c r="G464" s="181"/>
      <c r="H464" s="406"/>
      <c r="I464" s="439"/>
      <c r="J464" s="135"/>
      <c r="K464" s="406"/>
      <c r="L464" s="439"/>
      <c r="M464" s="135"/>
      <c r="N464" s="406"/>
      <c r="O464" s="439"/>
      <c r="P464" s="135"/>
    </row>
    <row r="465" customFormat="false" ht="18.75" hidden="false" customHeight="true" outlineLevel="0" collapsed="false">
      <c r="A465" s="100" t="str">
        <f aca="false">'☆掛負収入'!A465</f>
        <v>教育委員会（総務課）</v>
      </c>
      <c r="B465" s="406"/>
      <c r="C465" s="181"/>
      <c r="D465" s="592"/>
      <c r="E465" s="592"/>
      <c r="F465" s="135"/>
      <c r="G465" s="181"/>
      <c r="H465" s="406"/>
      <c r="I465" s="439"/>
      <c r="J465" s="135"/>
      <c r="K465" s="406"/>
      <c r="L465" s="439"/>
      <c r="M465" s="135"/>
      <c r="N465" s="406"/>
      <c r="O465" s="439"/>
      <c r="P465" s="135"/>
    </row>
    <row r="466" customFormat="false" ht="18.75" hidden="false" customHeight="true" outlineLevel="0" collapsed="false">
      <c r="A466" s="100" t="str">
        <f aca="false">'☆掛負収入'!A466</f>
        <v>選挙管理委員会</v>
      </c>
      <c r="B466" s="406"/>
      <c r="C466" s="181"/>
      <c r="D466" s="592"/>
      <c r="E466" s="592"/>
      <c r="F466" s="135"/>
      <c r="G466" s="181"/>
      <c r="H466" s="594"/>
      <c r="I466" s="424"/>
      <c r="J466" s="135"/>
      <c r="K466" s="406"/>
      <c r="L466" s="439"/>
      <c r="M466" s="135"/>
      <c r="N466" s="406"/>
      <c r="O466" s="439"/>
      <c r="P466" s="135"/>
    </row>
    <row r="467" customFormat="false" ht="18.75" hidden="false" customHeight="true" outlineLevel="0" collapsed="false">
      <c r="A467" s="100" t="str">
        <f aca="false">'☆掛負収入'!A467</f>
        <v>人事委員会</v>
      </c>
      <c r="B467" s="406"/>
      <c r="C467" s="181"/>
      <c r="D467" s="592"/>
      <c r="E467" s="592"/>
      <c r="F467" s="135"/>
      <c r="G467" s="181"/>
      <c r="H467" s="594"/>
      <c r="I467" s="424"/>
      <c r="J467" s="135"/>
      <c r="K467" s="594"/>
      <c r="L467" s="424"/>
      <c r="M467" s="135"/>
      <c r="N467" s="594"/>
      <c r="O467" s="424"/>
      <c r="P467" s="135"/>
    </row>
    <row r="468" customFormat="false" ht="18.75" hidden="false" customHeight="true" outlineLevel="0" collapsed="false">
      <c r="A468" s="100" t="str">
        <f aca="false">'☆掛負収入'!A468</f>
        <v>監査事務局</v>
      </c>
      <c r="B468" s="406"/>
      <c r="C468" s="181"/>
      <c r="D468" s="592"/>
      <c r="E468" s="592"/>
      <c r="F468" s="135"/>
      <c r="G468" s="181"/>
      <c r="H468" s="594"/>
      <c r="I468" s="424"/>
      <c r="J468" s="135"/>
      <c r="K468" s="594"/>
      <c r="L468" s="424"/>
      <c r="M468" s="135"/>
      <c r="N468" s="594"/>
      <c r="O468" s="424"/>
      <c r="P468" s="135"/>
    </row>
    <row r="469" customFormat="false" ht="18.75" hidden="false" customHeight="true" outlineLevel="0" collapsed="false">
      <c r="A469" s="100" t="str">
        <f aca="false">'☆掛負収入'!A469</f>
        <v>農業委員会</v>
      </c>
      <c r="B469" s="406"/>
      <c r="C469" s="181"/>
      <c r="D469" s="592"/>
      <c r="E469" s="592"/>
      <c r="F469" s="135"/>
      <c r="G469" s="181"/>
      <c r="H469" s="594"/>
      <c r="I469" s="424"/>
      <c r="J469" s="135"/>
      <c r="K469" s="594"/>
      <c r="L469" s="424"/>
      <c r="M469" s="135"/>
      <c r="N469" s="594"/>
      <c r="O469" s="424"/>
      <c r="P469" s="135"/>
    </row>
    <row r="470" customFormat="false" ht="18.75" hidden="false" customHeight="true" outlineLevel="0" collapsed="false">
      <c r="A470" s="100" t="str">
        <f aca="false">'☆掛負収入'!A470</f>
        <v>水道局</v>
      </c>
      <c r="B470" s="406"/>
      <c r="C470" s="181"/>
      <c r="D470" s="592"/>
      <c r="E470" s="592"/>
      <c r="F470" s="135"/>
      <c r="G470" s="181"/>
      <c r="H470" s="594"/>
      <c r="I470" s="424"/>
      <c r="J470" s="135"/>
      <c r="K470" s="594"/>
      <c r="L470" s="424"/>
      <c r="M470" s="135"/>
      <c r="N470" s="594"/>
      <c r="O470" s="424"/>
      <c r="P470" s="135"/>
    </row>
    <row r="471" customFormat="false" ht="18.75" hidden="false" customHeight="true" outlineLevel="0" collapsed="false">
      <c r="A471" s="121" t="str">
        <f aca="false">'☆掛負収入'!A471</f>
        <v>医療政策課(安芸市民)</v>
      </c>
      <c r="B471" s="595"/>
      <c r="C471" s="366"/>
      <c r="D471" s="595"/>
      <c r="E471" s="596"/>
      <c r="F471" s="393"/>
      <c r="G471" s="181"/>
      <c r="H471" s="597"/>
      <c r="I471" s="407"/>
      <c r="J471" s="135"/>
      <c r="K471" s="594"/>
      <c r="L471" s="424"/>
      <c r="M471" s="135"/>
      <c r="N471" s="594"/>
      <c r="O471" s="424"/>
      <c r="P471" s="135"/>
    </row>
    <row r="472" customFormat="false" ht="18.75" hidden="false" customHeight="true" outlineLevel="0" collapsed="false">
      <c r="A472" s="121" t="str">
        <f aca="false">'☆掛負収入'!A472</f>
        <v>教育委員会（教育給与課）</v>
      </c>
      <c r="B472" s="595"/>
      <c r="C472" s="181"/>
      <c r="D472" s="406"/>
      <c r="E472" s="598"/>
      <c r="F472" s="284"/>
      <c r="G472" s="181"/>
      <c r="H472" s="594"/>
      <c r="I472" s="424"/>
      <c r="J472" s="135"/>
      <c r="K472" s="594"/>
      <c r="L472" s="424"/>
      <c r="M472" s="135"/>
      <c r="N472" s="594"/>
      <c r="O472" s="424"/>
      <c r="P472" s="135"/>
    </row>
    <row r="473" customFormat="false" ht="18.75" hidden="true" customHeight="true" outlineLevel="0" collapsed="false">
      <c r="A473" s="599"/>
      <c r="B473" s="600"/>
      <c r="C473" s="210"/>
      <c r="D473" s="600"/>
      <c r="E473" s="601"/>
      <c r="F473" s="196"/>
      <c r="G473" s="260"/>
      <c r="H473" s="602"/>
      <c r="I473" s="603"/>
      <c r="J473" s="603"/>
      <c r="K473" s="602"/>
      <c r="L473" s="603"/>
      <c r="M473" s="195"/>
      <c r="N473" s="602"/>
      <c r="O473" s="603"/>
      <c r="P473" s="195"/>
    </row>
    <row r="474" customFormat="false" ht="18.75" hidden="true" customHeight="true" outlineLevel="0" collapsed="false">
      <c r="A474" s="604"/>
      <c r="B474" s="457"/>
      <c r="C474" s="132"/>
      <c r="D474" s="457"/>
      <c r="E474" s="458"/>
      <c r="F474" s="459"/>
      <c r="G474" s="441"/>
      <c r="H474" s="457"/>
      <c r="I474" s="458"/>
      <c r="J474" s="458"/>
      <c r="K474" s="457"/>
      <c r="L474" s="458"/>
      <c r="M474" s="130"/>
      <c r="N474" s="457"/>
      <c r="O474" s="458"/>
      <c r="P474" s="130"/>
    </row>
    <row r="475" customFormat="false" ht="18.75" hidden="true" customHeight="true" outlineLevel="0" collapsed="false">
      <c r="A475" s="604"/>
      <c r="B475" s="600"/>
      <c r="C475" s="210"/>
      <c r="D475" s="600"/>
      <c r="E475" s="601"/>
      <c r="F475" s="196"/>
      <c r="G475" s="260"/>
      <c r="H475" s="600"/>
      <c r="I475" s="601"/>
      <c r="J475" s="601"/>
      <c r="K475" s="600"/>
      <c r="L475" s="601"/>
      <c r="M475" s="696"/>
      <c r="N475" s="600"/>
      <c r="O475" s="601"/>
      <c r="P475" s="696"/>
    </row>
    <row r="476" customFormat="false" ht="18.75" hidden="true" customHeight="true" outlineLevel="0" collapsed="false">
      <c r="A476" s="605"/>
      <c r="B476" s="606"/>
      <c r="C476" s="607"/>
      <c r="D476" s="606"/>
      <c r="E476" s="490"/>
      <c r="F476" s="608"/>
      <c r="G476" s="664"/>
      <c r="H476" s="457"/>
      <c r="I476" s="609"/>
      <c r="J476" s="609"/>
      <c r="K476" s="457"/>
      <c r="L476" s="458"/>
      <c r="M476" s="130"/>
      <c r="N476" s="457"/>
      <c r="O476" s="458"/>
      <c r="P476" s="130"/>
    </row>
    <row r="477" customFormat="false" ht="18.75" hidden="false" customHeight="true" outlineLevel="0" collapsed="false">
      <c r="A477" s="171" t="str">
        <f aca="false">'☆掛負収入'!A477</f>
        <v>小　計</v>
      </c>
      <c r="B477" s="404"/>
      <c r="C477" s="174"/>
      <c r="D477" s="404"/>
      <c r="E477" s="174"/>
      <c r="F477" s="175"/>
      <c r="G477" s="176"/>
      <c r="H477" s="404"/>
      <c r="I477" s="174"/>
      <c r="J477" s="173"/>
      <c r="K477" s="404"/>
      <c r="L477" s="174"/>
      <c r="M477" s="173"/>
      <c r="N477" s="404"/>
      <c r="O477" s="174"/>
      <c r="P477" s="173"/>
    </row>
    <row r="478" customFormat="false" ht="18.75" hidden="false" customHeight="true" outlineLevel="0" collapsed="false">
      <c r="A478" s="177" t="str">
        <f aca="false">'☆掛負収入'!A478</f>
        <v>地方税共同機構</v>
      </c>
      <c r="B478" s="449" t="n">
        <f aca="false">'☆掛負収入'!B478</f>
        <v>0</v>
      </c>
      <c r="C478" s="377" t="n">
        <f aca="false">'☆掛負収入'!C478</f>
        <v>0</v>
      </c>
      <c r="D478" s="469" t="n">
        <f aca="false">'☆掛負収入'!D478</f>
        <v>0</v>
      </c>
      <c r="E478" s="463" t="n">
        <f aca="false">'☆掛負収入'!E478</f>
        <v>0</v>
      </c>
      <c r="F478" s="223" t="n">
        <f aca="false">'☆掛負収入'!F478</f>
        <v>0</v>
      </c>
      <c r="G478" s="181" t="n">
        <f aca="false">SUM(B478:F478)</f>
        <v>0</v>
      </c>
      <c r="H478" s="594" t="n">
        <f aca="false">'☆掛負収入'!H478</f>
        <v>0</v>
      </c>
      <c r="I478" s="424" t="n">
        <f aca="false">'☆掛負収入'!I478</f>
        <v>0</v>
      </c>
      <c r="J478" s="135" t="n">
        <f aca="false">SUM(H478:I478)</f>
        <v>0</v>
      </c>
      <c r="K478" s="439" t="n">
        <f aca="false">'☆掛負収入'!K478</f>
        <v>0</v>
      </c>
      <c r="L478" s="424" t="n">
        <f aca="false">'☆掛負収入'!L478</f>
        <v>0</v>
      </c>
      <c r="M478" s="135" t="n">
        <f aca="false">SUM(K478:L478)</f>
        <v>0</v>
      </c>
      <c r="N478" s="439" t="n">
        <f aca="false">'☆掛負収入'!N478</f>
        <v>0</v>
      </c>
      <c r="O478" s="424" t="n">
        <f aca="false">'☆掛負収入'!O478</f>
        <v>0</v>
      </c>
      <c r="P478" s="135" t="n">
        <f aca="false">SUM(N478:O478)</f>
        <v>0</v>
      </c>
    </row>
    <row r="479" customFormat="false" ht="18.75" hidden="false" customHeight="true" outlineLevel="0" collapsed="false">
      <c r="A479" s="100" t="str">
        <f aca="false">'☆掛負収入'!A479</f>
        <v>平和文化センター</v>
      </c>
      <c r="B479" s="449" t="n">
        <f aca="false">'☆掛負収入'!B479</f>
        <v>0</v>
      </c>
      <c r="C479" s="377" t="n">
        <f aca="false">'☆掛負収入'!C479</f>
        <v>0</v>
      </c>
      <c r="D479" s="464" t="n">
        <f aca="false">'☆掛負収入'!D479</f>
        <v>695400</v>
      </c>
      <c r="E479" s="452" t="n">
        <f aca="false">'☆掛負収入'!E479</f>
        <v>57000</v>
      </c>
      <c r="F479" s="223" t="n">
        <f aca="false">'☆掛負収入'!F479</f>
        <v>713</v>
      </c>
      <c r="G479" s="181" t="n">
        <f aca="false">SUM(B479:F479)</f>
        <v>753113</v>
      </c>
      <c r="H479" s="594" t="n">
        <f aca="false">'☆掛負収入'!H479</f>
        <v>0</v>
      </c>
      <c r="I479" s="424" t="n">
        <f aca="false">'☆掛負収入'!I479</f>
        <v>420489</v>
      </c>
      <c r="J479" s="135" t="n">
        <f aca="false">SUM(H479:I479)</f>
        <v>420489</v>
      </c>
      <c r="K479" s="439" t="n">
        <f aca="false">'☆掛負収入'!K479</f>
        <v>0</v>
      </c>
      <c r="L479" s="424" t="n">
        <f aca="false">'☆掛負収入'!L479</f>
        <v>51903</v>
      </c>
      <c r="M479" s="135" t="n">
        <f aca="false">SUM(K479:L479)</f>
        <v>51903</v>
      </c>
      <c r="N479" s="439" t="n">
        <f aca="false">'☆掛負収入'!N479</f>
        <v>0</v>
      </c>
      <c r="O479" s="424" t="n">
        <f aca="false">'☆掛負収入'!O479</f>
        <v>1</v>
      </c>
      <c r="P479" s="135" t="n">
        <f aca="false">SUM(N479:O479)</f>
        <v>1</v>
      </c>
    </row>
    <row r="480" customFormat="false" ht="18.75" hidden="false" customHeight="true" outlineLevel="0" collapsed="false">
      <c r="A480" s="100" t="str">
        <f aca="false">'☆掛負収入'!A480</f>
        <v>社会福祉事業団</v>
      </c>
      <c r="B480" s="600"/>
      <c r="C480" s="210"/>
      <c r="D480" s="451" t="n">
        <f aca="false">'☆掛負収入'!D480</f>
        <v>1881240</v>
      </c>
      <c r="E480" s="453" t="n">
        <f aca="false">'☆掛負収入'!E480</f>
        <v>154200</v>
      </c>
      <c r="F480" s="223" t="n">
        <f aca="false">'☆掛負収入'!F480</f>
        <v>1960</v>
      </c>
      <c r="G480" s="181" t="n">
        <f aca="false">SUM(B480:F480)</f>
        <v>2037400</v>
      </c>
      <c r="H480" s="602"/>
      <c r="I480" s="424" t="n">
        <f aca="false">'☆掛負収入'!I480</f>
        <v>1271974</v>
      </c>
      <c r="J480" s="135" t="n">
        <f aca="false">SUM(H480:I480)</f>
        <v>1271974</v>
      </c>
      <c r="K480" s="612"/>
      <c r="L480" s="424" t="n">
        <f aca="false">'☆掛負収入'!L480</f>
        <v>141252</v>
      </c>
      <c r="M480" s="135" t="n">
        <f aca="false">SUM(K480:L480)</f>
        <v>141252</v>
      </c>
      <c r="N480" s="612"/>
      <c r="O480" s="424" t="n">
        <f aca="false">'☆掛負収入'!O480</f>
        <v>1</v>
      </c>
      <c r="P480" s="135" t="n">
        <f aca="false">SUM(N480:O480)</f>
        <v>1</v>
      </c>
    </row>
    <row r="481" customFormat="false" ht="18.75" hidden="false" customHeight="true" outlineLevel="0" collapsed="false">
      <c r="A481" s="100" t="str">
        <f aca="false">'☆掛負収入'!A481</f>
        <v>原爆障害対策協議会</v>
      </c>
      <c r="B481" s="600"/>
      <c r="C481" s="210"/>
      <c r="D481" s="445" t="n">
        <f aca="false">'☆掛負収入'!D481</f>
        <v>48495</v>
      </c>
      <c r="E481" s="453" t="n">
        <f aca="false">'☆掛負収入'!E481</f>
        <v>3975</v>
      </c>
      <c r="F481" s="223" t="n">
        <f aca="false">'☆掛負収入'!F481</f>
        <v>49</v>
      </c>
      <c r="G481" s="181" t="n">
        <f aca="false">SUM(B481:F481)</f>
        <v>52519</v>
      </c>
      <c r="H481" s="602"/>
      <c r="I481" s="424" t="n">
        <f aca="false">'☆掛負収入'!I481</f>
        <v>29208</v>
      </c>
      <c r="J481" s="135" t="n">
        <f aca="false">SUM(H481:I481)</f>
        <v>29208</v>
      </c>
      <c r="K481" s="612"/>
      <c r="L481" s="424" t="n">
        <f aca="false">'☆掛負収入'!L481</f>
        <v>4187</v>
      </c>
      <c r="M481" s="135" t="n">
        <f aca="false">SUM(K481:L481)</f>
        <v>4187</v>
      </c>
      <c r="N481" s="612"/>
      <c r="O481" s="424" t="n">
        <f aca="false">'☆掛負収入'!O481</f>
        <v>1</v>
      </c>
      <c r="P481" s="135" t="n">
        <f aca="false">SUM(N481:O481)</f>
        <v>1</v>
      </c>
    </row>
    <row r="482" customFormat="false" ht="18.75" hidden="false" customHeight="true" outlineLevel="0" collapsed="false">
      <c r="A482" s="189" t="str">
        <f aca="false">'☆掛負収入'!A482</f>
        <v>産業振興センター</v>
      </c>
      <c r="B482" s="600"/>
      <c r="C482" s="210"/>
      <c r="D482" s="445" t="n">
        <f aca="false">'☆掛負収入'!D482</f>
        <v>425475</v>
      </c>
      <c r="E482" s="453" t="n">
        <f aca="false">'☆掛負収入'!E482</f>
        <v>34875</v>
      </c>
      <c r="F482" s="223" t="n">
        <f aca="false">'☆掛負収入'!F482</f>
        <v>435</v>
      </c>
      <c r="G482" s="181" t="n">
        <f aca="false">SUM(B482:F482)</f>
        <v>460785</v>
      </c>
      <c r="H482" s="602"/>
      <c r="I482" s="424" t="n">
        <f aca="false">'☆掛負収入'!I482</f>
        <v>256260</v>
      </c>
      <c r="J482" s="135" t="n">
        <f aca="false">SUM(H482:I482)</f>
        <v>256260</v>
      </c>
      <c r="K482" s="612"/>
      <c r="L482" s="424" t="n">
        <f aca="false">'☆掛負収入'!L482</f>
        <v>34207</v>
      </c>
      <c r="M482" s="135" t="n">
        <f aca="false">SUM(K482:L482)</f>
        <v>34207</v>
      </c>
      <c r="N482" s="612"/>
      <c r="O482" s="424" t="n">
        <f aca="false">'☆掛負収入'!O482</f>
        <v>1</v>
      </c>
      <c r="P482" s="135" t="n">
        <f aca="false">SUM(N482:O482)</f>
        <v>1</v>
      </c>
    </row>
    <row r="483" customFormat="false" ht="18.75" hidden="false" customHeight="true" outlineLevel="0" collapsed="false">
      <c r="A483" s="121" t="str">
        <f aca="false">'☆掛負収入'!A483</f>
        <v>ひろしま産業振興</v>
      </c>
      <c r="B483" s="600"/>
      <c r="C483" s="459"/>
      <c r="D483" s="445" t="n">
        <f aca="false">'☆掛負収入'!D483</f>
        <v>86010</v>
      </c>
      <c r="E483" s="453" t="n">
        <f aca="false">'☆掛負収入'!E483</f>
        <v>7050</v>
      </c>
      <c r="F483" s="454" t="n">
        <f aca="false">'☆掛負収入'!F483</f>
        <v>88</v>
      </c>
      <c r="G483" s="181" t="n">
        <f aca="false">SUM(B483:F483)</f>
        <v>93148</v>
      </c>
      <c r="H483" s="602"/>
      <c r="I483" s="407" t="n">
        <f aca="false">'☆掛負収入'!I483</f>
        <v>51803</v>
      </c>
      <c r="J483" s="135" t="n">
        <f aca="false">SUM(H483:I483)</f>
        <v>51803</v>
      </c>
      <c r="K483" s="612"/>
      <c r="L483" s="407" t="n">
        <f aca="false">'☆掛負収入'!L483</f>
        <v>7426</v>
      </c>
      <c r="M483" s="135" t="n">
        <f aca="false">SUM(K483:L483)</f>
        <v>7426</v>
      </c>
      <c r="N483" s="612"/>
      <c r="O483" s="407" t="n">
        <f aca="false">'☆掛負収入'!O483</f>
        <v>1</v>
      </c>
      <c r="P483" s="135" t="n">
        <f aca="false">SUM(N483:O483)</f>
        <v>1</v>
      </c>
    </row>
    <row r="484" customFormat="false" ht="18.75" hidden="false" customHeight="true" outlineLevel="0" collapsed="false">
      <c r="A484" s="121" t="str">
        <f aca="false">'☆掛負収入'!A484</f>
        <v>都市整備公社　市</v>
      </c>
      <c r="B484" s="600"/>
      <c r="C484" s="459"/>
      <c r="D484" s="451" t="n">
        <f aca="false">'☆掛負収入'!D484</f>
        <v>48495</v>
      </c>
      <c r="E484" s="453" t="n">
        <f aca="false">'☆掛負収入'!E484</f>
        <v>3975</v>
      </c>
      <c r="F484" s="223" t="n">
        <f aca="false">'☆掛負収入'!F484</f>
        <v>49</v>
      </c>
      <c r="G484" s="181" t="n">
        <f aca="false">SUM(B484:F484)</f>
        <v>52519</v>
      </c>
      <c r="H484" s="602"/>
      <c r="I484" s="424" t="n">
        <f aca="false">'☆掛負収入'!I484</f>
        <v>29208</v>
      </c>
      <c r="J484" s="135" t="n">
        <f aca="false">SUM(H484:I484)</f>
        <v>29208</v>
      </c>
      <c r="K484" s="612"/>
      <c r="L484" s="424" t="n">
        <f aca="false">'☆掛負収入'!L484</f>
        <v>4187</v>
      </c>
      <c r="M484" s="135" t="n">
        <f aca="false">SUM(K484:L484)</f>
        <v>4187</v>
      </c>
      <c r="N484" s="612"/>
      <c r="O484" s="424" t="n">
        <f aca="false">'☆掛負収入'!O484</f>
        <v>1</v>
      </c>
      <c r="P484" s="135" t="n">
        <f aca="false">SUM(N484:O484)</f>
        <v>1</v>
      </c>
    </row>
    <row r="485" customFormat="false" ht="18.75" hidden="false" customHeight="true" outlineLevel="0" collapsed="false">
      <c r="A485" s="192"/>
      <c r="B485" s="600"/>
      <c r="C485" s="196"/>
      <c r="D485" s="449"/>
      <c r="E485" s="453"/>
      <c r="F485" s="223"/>
      <c r="G485" s="181"/>
      <c r="H485" s="602"/>
      <c r="I485" s="424"/>
      <c r="J485" s="135"/>
      <c r="K485" s="612"/>
      <c r="L485" s="424"/>
      <c r="M485" s="135" t="n">
        <f aca="false">SUM(K485:L485)</f>
        <v>0</v>
      </c>
      <c r="N485" s="612"/>
      <c r="O485" s="424"/>
      <c r="P485" s="135" t="n">
        <f aca="false">SUM(N485:O485)</f>
        <v>0</v>
      </c>
    </row>
    <row r="486" customFormat="false" ht="18.75" hidden="false" customHeight="true" outlineLevel="0" collapsed="false">
      <c r="A486" s="121" t="str">
        <f aca="false">'☆掛負収入'!A486</f>
        <v>日本下水道事業団</v>
      </c>
      <c r="B486" s="451" t="n">
        <f aca="false">'☆掛負収入'!B486</f>
        <v>247050</v>
      </c>
      <c r="C486" s="223" t="n">
        <f aca="false">'☆掛負収入'!C486</f>
        <v>20250</v>
      </c>
      <c r="D486" s="449" t="n">
        <f aca="false">'☆掛負収入'!D486</f>
        <v>247050</v>
      </c>
      <c r="E486" s="453" t="n">
        <f aca="false">'☆掛負収入'!E486</f>
        <v>20250</v>
      </c>
      <c r="F486" s="223" t="n">
        <f aca="false">'☆掛負収入'!F486</f>
        <v>234</v>
      </c>
      <c r="G486" s="181" t="n">
        <f aca="false">SUM(B486:F486)</f>
        <v>534834</v>
      </c>
      <c r="H486" s="594" t="n">
        <f aca="false">'☆掛負収入'!H486</f>
        <v>140021</v>
      </c>
      <c r="I486" s="424" t="n">
        <f aca="false">'☆掛負収入'!I486</f>
        <v>140157</v>
      </c>
      <c r="J486" s="135" t="n">
        <f aca="false">SUM(H486:I486)</f>
        <v>280178</v>
      </c>
      <c r="K486" s="439" t="n">
        <f aca="false">'☆掛負収入'!K486</f>
        <v>10270</v>
      </c>
      <c r="L486" s="424" t="n">
        <f aca="false">'☆掛負収入'!L486</f>
        <v>10270</v>
      </c>
      <c r="M486" s="135" t="n">
        <f aca="false">SUM(K486:L486)</f>
        <v>20540</v>
      </c>
      <c r="N486" s="439" t="n">
        <f aca="false">'☆掛負収入'!N486</f>
        <v>3104</v>
      </c>
      <c r="O486" s="424" t="n">
        <f aca="false">'☆掛負収入'!O486</f>
        <v>3105</v>
      </c>
      <c r="P486" s="135" t="n">
        <f aca="false">SUM(N486:O486)</f>
        <v>6209</v>
      </c>
    </row>
    <row r="487" customFormat="false" ht="18.75" hidden="false" customHeight="true" outlineLevel="0" collapsed="false">
      <c r="A487" s="100" t="str">
        <f aca="false">'☆掛負収入'!A487</f>
        <v>地方公務員災害補償基金本部</v>
      </c>
      <c r="B487" s="451" t="n">
        <f aca="false">'☆掛負収入'!B487</f>
        <v>43005</v>
      </c>
      <c r="C487" s="223" t="n">
        <f aca="false">'☆掛負収入'!C487</f>
        <v>3525</v>
      </c>
      <c r="D487" s="449" t="n">
        <f aca="false">'☆掛負収入'!D487</f>
        <v>43005</v>
      </c>
      <c r="E487" s="453" t="n">
        <f aca="false">'☆掛負収入'!E487</f>
        <v>3525</v>
      </c>
      <c r="F487" s="223" t="n">
        <f aca="false">'☆掛負収入'!F487</f>
        <v>40</v>
      </c>
      <c r="G487" s="181" t="n">
        <f aca="false">SUM(B487:F487)</f>
        <v>93100</v>
      </c>
      <c r="H487" s="594" t="n">
        <f aca="false">'☆掛負収入'!H487</f>
        <v>24374</v>
      </c>
      <c r="I487" s="424" t="n">
        <f aca="false">'☆掛負収入'!I487</f>
        <v>24397</v>
      </c>
      <c r="J487" s="135" t="n">
        <f aca="false">SUM(H487:I487)</f>
        <v>48771</v>
      </c>
      <c r="K487" s="439" t="n">
        <f aca="false">'☆掛負収入'!K487</f>
        <v>0</v>
      </c>
      <c r="L487" s="424" t="n">
        <f aca="false">'☆掛負収入'!L487</f>
        <v>0</v>
      </c>
      <c r="M487" s="135" t="n">
        <f aca="false">SUM(K487:L487)</f>
        <v>0</v>
      </c>
      <c r="N487" s="439" t="n">
        <f aca="false">'☆掛負収入'!N487</f>
        <v>540</v>
      </c>
      <c r="O487" s="424" t="n">
        <f aca="false">'☆掛負収入'!O487</f>
        <v>540</v>
      </c>
      <c r="P487" s="135" t="n">
        <f aca="false">SUM(N487:O487)</f>
        <v>1080</v>
      </c>
    </row>
    <row r="488" customFormat="false" ht="18.75" hidden="false" customHeight="true" outlineLevel="0" collapsed="false">
      <c r="A488" s="197"/>
      <c r="B488" s="449"/>
      <c r="C488" s="223"/>
      <c r="D488" s="449"/>
      <c r="E488" s="453"/>
      <c r="F488" s="223"/>
      <c r="G488" s="181"/>
      <c r="H488" s="594"/>
      <c r="I488" s="424"/>
      <c r="J488" s="135"/>
      <c r="K488" s="439"/>
      <c r="L488" s="424"/>
      <c r="M488" s="135" t="n">
        <f aca="false">SUM(K488:L488)</f>
        <v>0</v>
      </c>
      <c r="N488" s="439"/>
      <c r="O488" s="424"/>
      <c r="P488" s="135" t="n">
        <f aca="false">SUM(N488:O488)</f>
        <v>0</v>
      </c>
    </row>
    <row r="489" customFormat="false" ht="18.75" hidden="false" customHeight="true" outlineLevel="0" collapsed="false">
      <c r="A489" s="100" t="str">
        <f aca="false">'☆掛負収入'!A489</f>
        <v>高速道路公社</v>
      </c>
      <c r="B489" s="464" t="n">
        <f aca="false">'☆掛負収入'!B489</f>
        <v>912255</v>
      </c>
      <c r="C489" s="454" t="n">
        <f aca="false">'☆掛負収入'!C489</f>
        <v>74775</v>
      </c>
      <c r="D489" s="464" t="n">
        <f aca="false">'☆掛負収入'!D489</f>
        <v>912255</v>
      </c>
      <c r="E489" s="470" t="n">
        <f aca="false">'☆掛負収入'!E489</f>
        <v>74775</v>
      </c>
      <c r="F489" s="466" t="n">
        <f aca="false">'☆掛負収入'!F489</f>
        <v>936</v>
      </c>
      <c r="G489" s="181" t="n">
        <f aca="false">SUM(B489:F489)</f>
        <v>1974996</v>
      </c>
      <c r="H489" s="613" t="n">
        <f aca="false">'☆掛負収入'!H489</f>
        <v>548442</v>
      </c>
      <c r="I489" s="614" t="n">
        <f aca="false">'☆掛負収入'!I489</f>
        <v>549446</v>
      </c>
      <c r="J489" s="135" t="n">
        <f aca="false">SUM(H489:I489)</f>
        <v>1097888</v>
      </c>
      <c r="K489" s="615" t="n">
        <f aca="false">'☆掛負収入'!K489</f>
        <v>50086</v>
      </c>
      <c r="L489" s="614" t="n">
        <f aca="false">'☆掛負収入'!L489</f>
        <v>50086</v>
      </c>
      <c r="M489" s="135" t="n">
        <f aca="false">SUM(K489:L489)</f>
        <v>100172</v>
      </c>
      <c r="N489" s="615" t="n">
        <f aca="false">'☆掛負収入'!N489</f>
        <v>1</v>
      </c>
      <c r="O489" s="614" t="n">
        <f aca="false">'☆掛負収入'!O489</f>
        <v>1</v>
      </c>
      <c r="P489" s="135" t="n">
        <f aca="false">SUM(N489:O489)</f>
        <v>2</v>
      </c>
    </row>
    <row r="490" customFormat="false" ht="18.75" hidden="false" customHeight="true" outlineLevel="0" collapsed="false">
      <c r="A490" s="100" t="str">
        <f aca="false">'☆掛負収入'!A490</f>
        <v>農林水産振興センタ</v>
      </c>
      <c r="B490" s="457"/>
      <c r="C490" s="459"/>
      <c r="D490" s="451" t="n">
        <f aca="false">'☆掛負収入'!D490</f>
        <v>601155</v>
      </c>
      <c r="E490" s="473" t="n">
        <f aca="false">'☆掛負収入'!E490</f>
        <v>49275</v>
      </c>
      <c r="F490" s="454" t="n">
        <f aca="false">'☆掛負収入'!F490</f>
        <v>613</v>
      </c>
      <c r="G490" s="181" t="n">
        <f aca="false">SUM(B490:F490)</f>
        <v>651043</v>
      </c>
      <c r="H490" s="616"/>
      <c r="I490" s="407" t="n">
        <f aca="false">'☆掛負収入'!I490</f>
        <v>362070</v>
      </c>
      <c r="J490" s="135" t="n">
        <f aca="false">SUM(H490:I490)</f>
        <v>362070</v>
      </c>
      <c r="K490" s="617"/>
      <c r="L490" s="407" t="n">
        <f aca="false">'☆掛負収入'!L490</f>
        <v>27255</v>
      </c>
      <c r="M490" s="135" t="n">
        <f aca="false">SUM(K490:L490)</f>
        <v>27255</v>
      </c>
      <c r="N490" s="617"/>
      <c r="O490" s="407" t="n">
        <f aca="false">'☆掛負収入'!O490</f>
        <v>1</v>
      </c>
      <c r="P490" s="135" t="n">
        <f aca="false">SUM(N490:O490)</f>
        <v>1</v>
      </c>
    </row>
    <row r="491" customFormat="false" ht="18.75" hidden="false" customHeight="true" outlineLevel="0" collapsed="false">
      <c r="A491" s="203" t="str">
        <f aca="false">'☆掛負収入'!A491</f>
        <v>文化財団　市長部局</v>
      </c>
      <c r="B491" s="600"/>
      <c r="C491" s="196"/>
      <c r="D491" s="449" t="n">
        <f aca="false">'☆掛負収入'!D491</f>
        <v>1160220</v>
      </c>
      <c r="E491" s="453" t="n">
        <f aca="false">'☆掛負収入'!E491</f>
        <v>95100</v>
      </c>
      <c r="F491" s="454" t="n">
        <f aca="false">'☆掛負収入'!F491</f>
        <v>1185</v>
      </c>
      <c r="G491" s="181" t="n">
        <f aca="false">SUM(B491:F491)</f>
        <v>1256505</v>
      </c>
      <c r="H491" s="602"/>
      <c r="I491" s="407" t="n">
        <f aca="false">'☆掛負収入'!I491</f>
        <v>698790</v>
      </c>
      <c r="J491" s="135" t="n">
        <f aca="false">SUM(H491:I491)</f>
        <v>698790</v>
      </c>
      <c r="K491" s="612"/>
      <c r="L491" s="407" t="n">
        <f aca="false">'☆掛負収入'!L491</f>
        <v>94721</v>
      </c>
      <c r="M491" s="135" t="n">
        <f aca="false">SUM(K491:L491)</f>
        <v>94721</v>
      </c>
      <c r="N491" s="612"/>
      <c r="O491" s="407" t="n">
        <f aca="false">'☆掛負収入'!O491</f>
        <v>1</v>
      </c>
      <c r="P491" s="135" t="n">
        <f aca="false">SUM(N491:O491)</f>
        <v>1</v>
      </c>
    </row>
    <row r="492" customFormat="false" ht="18.75" hidden="false" customHeight="true" outlineLevel="0" collapsed="false">
      <c r="A492" s="204"/>
      <c r="B492" s="600"/>
      <c r="C492" s="196"/>
      <c r="D492" s="449"/>
      <c r="E492" s="453"/>
      <c r="F492" s="454"/>
      <c r="G492" s="181"/>
      <c r="H492" s="602"/>
      <c r="I492" s="407"/>
      <c r="J492" s="135"/>
      <c r="K492" s="612"/>
      <c r="L492" s="407"/>
      <c r="M492" s="135" t="n">
        <f aca="false">SUM(K492:L492)</f>
        <v>0</v>
      </c>
      <c r="N492" s="612"/>
      <c r="O492" s="407"/>
      <c r="P492" s="135" t="n">
        <f aca="false">SUM(N492:O492)</f>
        <v>0</v>
      </c>
    </row>
    <row r="493" customFormat="false" ht="18.75" hidden="false" customHeight="true" outlineLevel="0" collapsed="false">
      <c r="A493" s="100" t="str">
        <f aca="false">'☆掛負収入'!A493</f>
        <v>みどり生きもの協会</v>
      </c>
      <c r="B493" s="600"/>
      <c r="C493" s="196"/>
      <c r="D493" s="449" t="n">
        <f aca="false">'☆掛負収入'!D493</f>
        <v>394365</v>
      </c>
      <c r="E493" s="453" t="n">
        <f aca="false">'☆掛負収入'!E493</f>
        <v>32325</v>
      </c>
      <c r="F493" s="454" t="n">
        <f aca="false">'☆掛負収入'!F493</f>
        <v>403</v>
      </c>
      <c r="G493" s="181" t="n">
        <f aca="false">SUM(B493:F493)</f>
        <v>427093</v>
      </c>
      <c r="H493" s="602"/>
      <c r="I493" s="407" t="n">
        <f aca="false">'☆掛負収入'!I493</f>
        <v>237523</v>
      </c>
      <c r="J493" s="135" t="n">
        <f aca="false">SUM(H493:I493)</f>
        <v>237523</v>
      </c>
      <c r="K493" s="612"/>
      <c r="L493" s="407" t="n">
        <f aca="false">'☆掛負収入'!L493</f>
        <v>34049</v>
      </c>
      <c r="M493" s="135" t="n">
        <f aca="false">SUM(K493:L493)</f>
        <v>34049</v>
      </c>
      <c r="N493" s="612"/>
      <c r="O493" s="407" t="n">
        <f aca="false">'☆掛負収入'!O493</f>
        <v>1</v>
      </c>
      <c r="P493" s="135" t="n">
        <f aca="false">SUM(N493:O493)</f>
        <v>1</v>
      </c>
    </row>
    <row r="494" customFormat="false" ht="18.75" hidden="false" customHeight="true" outlineLevel="0" collapsed="false">
      <c r="A494" s="121" t="str">
        <f aca="false">'☆掛負収入'!A494</f>
        <v>県下水道公社</v>
      </c>
      <c r="B494" s="449" t="n">
        <f aca="false">'☆掛負収入'!B494</f>
        <v>137250</v>
      </c>
      <c r="C494" s="223" t="n">
        <f aca="false">'☆掛負収入'!C494</f>
        <v>11250</v>
      </c>
      <c r="D494" s="449" t="n">
        <f aca="false">'☆掛負収入'!D494</f>
        <v>137250</v>
      </c>
      <c r="E494" s="453" t="n">
        <f aca="false">'☆掛負収入'!E494</f>
        <v>11250</v>
      </c>
      <c r="F494" s="454" t="n">
        <f aca="false">'☆掛負収入'!F494</f>
        <v>140</v>
      </c>
      <c r="G494" s="181" t="n">
        <f aca="false">SUM(B494:F494)</f>
        <v>297140</v>
      </c>
      <c r="H494" s="594" t="n">
        <f aca="false">'☆掛負収入'!H494</f>
        <v>82514</v>
      </c>
      <c r="I494" s="407" t="n">
        <f aca="false">'☆掛負収入'!I494</f>
        <v>82665</v>
      </c>
      <c r="J494" s="135" t="n">
        <f aca="false">SUM(H494:I494)</f>
        <v>165179</v>
      </c>
      <c r="K494" s="439" t="n">
        <f aca="false">'☆掛負収入'!K494</f>
        <v>8611</v>
      </c>
      <c r="L494" s="407" t="n">
        <f aca="false">'☆掛負収入'!L494</f>
        <v>8611</v>
      </c>
      <c r="M494" s="135" t="n">
        <f aca="false">SUM(K494:L494)</f>
        <v>17222</v>
      </c>
      <c r="N494" s="439" t="n">
        <f aca="false">'☆掛負収入'!N494</f>
        <v>1</v>
      </c>
      <c r="O494" s="407" t="n">
        <f aca="false">'☆掛負収入'!O494</f>
        <v>1</v>
      </c>
      <c r="P494" s="135" t="n">
        <f aca="false">SUM(N494:O494)</f>
        <v>2</v>
      </c>
    </row>
    <row r="495" customFormat="false" ht="18.75" hidden="false" customHeight="true" outlineLevel="0" collapsed="false">
      <c r="A495" s="121" t="str">
        <f aca="false">'☆掛負収入'!A495</f>
        <v>バス協調・共創
プラットフォーム</v>
      </c>
      <c r="B495" s="457"/>
      <c r="C495" s="459"/>
      <c r="D495" s="451" t="n">
        <f aca="false">'☆掛負収入'!D495</f>
        <v>472140</v>
      </c>
      <c r="E495" s="473" t="n">
        <f aca="false">'☆掛負収入'!E495</f>
        <v>38700</v>
      </c>
      <c r="F495" s="454" t="n">
        <f aca="false">'☆掛負収入'!F495</f>
        <v>484</v>
      </c>
      <c r="G495" s="181" t="n">
        <f aca="false">SUM(B495:F495)</f>
        <v>511324</v>
      </c>
      <c r="H495" s="616"/>
      <c r="I495" s="407" t="n">
        <f aca="false">'☆掛負収入'!I495</f>
        <v>289878</v>
      </c>
      <c r="J495" s="135" t="n">
        <f aca="false">SUM(H495:I495)</f>
        <v>289878</v>
      </c>
      <c r="K495" s="617"/>
      <c r="L495" s="407" t="n">
        <f aca="false">'☆掛負収入'!L495</f>
        <v>25517</v>
      </c>
      <c r="M495" s="135" t="n">
        <f aca="false">SUM(K495:L495)</f>
        <v>25517</v>
      </c>
      <c r="N495" s="617"/>
      <c r="O495" s="407" t="n">
        <f aca="false">'☆掛負収入'!O495</f>
        <v>1</v>
      </c>
      <c r="P495" s="135" t="n">
        <f aca="false">SUM(N495:O495)</f>
        <v>1</v>
      </c>
    </row>
    <row r="496" customFormat="false" ht="18.75" hidden="false" customHeight="true" outlineLevel="0" collapsed="false">
      <c r="A496" s="121" t="str">
        <f aca="false">'☆掛負収入'!A496</f>
        <v>広島県市長会</v>
      </c>
      <c r="B496" s="449" t="n">
        <f aca="false">'☆掛負収入'!B496</f>
        <v>53985</v>
      </c>
      <c r="C496" s="223" t="n">
        <f aca="false">'☆掛負収入'!C496</f>
        <v>4425</v>
      </c>
      <c r="D496" s="449" t="n">
        <f aca="false">'☆掛負収入'!D496</f>
        <v>53985</v>
      </c>
      <c r="E496" s="453" t="n">
        <f aca="false">'☆掛負収入'!E496</f>
        <v>4425</v>
      </c>
      <c r="F496" s="223" t="n">
        <f aca="false">'☆掛負収入'!F496</f>
        <v>51</v>
      </c>
      <c r="G496" s="181" t="n">
        <f aca="false">SUM(B496:F496)</f>
        <v>116871</v>
      </c>
      <c r="H496" s="594" t="n">
        <f aca="false">'☆掛負収入'!H496</f>
        <v>30597</v>
      </c>
      <c r="I496" s="424" t="n">
        <f aca="false">'☆掛負収入'!I496</f>
        <v>30626</v>
      </c>
      <c r="J496" s="135" t="n">
        <f aca="false">SUM(H496:I496)</f>
        <v>61223</v>
      </c>
      <c r="K496" s="439" t="n">
        <f aca="false">'☆掛負収入'!K496</f>
        <v>4661</v>
      </c>
      <c r="L496" s="424" t="n">
        <f aca="false">'☆掛負収入'!L496</f>
        <v>4661</v>
      </c>
      <c r="M496" s="135" t="n">
        <f aca="false">SUM(K496:L496)</f>
        <v>9322</v>
      </c>
      <c r="N496" s="439" t="n">
        <f aca="false">'☆掛負収入'!N496</f>
        <v>678</v>
      </c>
      <c r="O496" s="424" t="n">
        <f aca="false">'☆掛負収入'!O496</f>
        <v>678</v>
      </c>
      <c r="P496" s="135" t="n">
        <f aca="false">SUM(N496:O496)</f>
        <v>1356</v>
      </c>
    </row>
    <row r="497" customFormat="false" ht="18.75" hidden="false" customHeight="true" outlineLevel="0" collapsed="false">
      <c r="A497" s="189" t="str">
        <f aca="false">'☆掛負収入'!A497</f>
        <v>全国市町村研修財団</v>
      </c>
      <c r="B497" s="451" t="n">
        <f aca="false">'☆掛負収入'!B497</f>
        <v>59475</v>
      </c>
      <c r="C497" s="223" t="n">
        <f aca="false">'☆掛負収入'!C497</f>
        <v>4875</v>
      </c>
      <c r="D497" s="449" t="n">
        <f aca="false">'☆掛負収入'!D497</f>
        <v>59475</v>
      </c>
      <c r="E497" s="453" t="n">
        <f aca="false">'☆掛負収入'!E497</f>
        <v>4875</v>
      </c>
      <c r="F497" s="223" t="n">
        <f aca="false">'☆掛負収入'!F497</f>
        <v>56</v>
      </c>
      <c r="G497" s="181" t="n">
        <f aca="false">SUM(B497:F497)</f>
        <v>128756</v>
      </c>
      <c r="H497" s="594" t="n">
        <f aca="false">'☆掛負収入'!H497</f>
        <v>36820</v>
      </c>
      <c r="I497" s="424" t="n">
        <f aca="false">'☆掛負収入'!I497</f>
        <v>36856</v>
      </c>
      <c r="J497" s="135" t="n">
        <f aca="false">SUM(H497:I497)</f>
        <v>73676</v>
      </c>
      <c r="K497" s="439" t="n">
        <f aca="false">'☆掛負収入'!K497</f>
        <v>5609</v>
      </c>
      <c r="L497" s="424" t="n">
        <f aca="false">'☆掛負収入'!L497</f>
        <v>5609</v>
      </c>
      <c r="M497" s="135" t="n">
        <f aca="false">SUM(K497:L497)</f>
        <v>11218</v>
      </c>
      <c r="N497" s="439" t="n">
        <f aca="false">'☆掛負収入'!N497</f>
        <v>816</v>
      </c>
      <c r="O497" s="424" t="n">
        <f aca="false">'☆掛負収入'!O497</f>
        <v>816</v>
      </c>
      <c r="P497" s="135" t="n">
        <f aca="false">SUM(N497:O497)</f>
        <v>1632</v>
      </c>
    </row>
    <row r="498" customFormat="false" ht="18.75" hidden="false" customHeight="true" outlineLevel="0" collapsed="false">
      <c r="A498" s="189" t="str">
        <f aca="false">'☆掛負収入'!A498</f>
        <v>都市再生機構</v>
      </c>
      <c r="B498" s="449" t="n">
        <f aca="false">'☆掛負収入'!B498</f>
        <v>45750</v>
      </c>
      <c r="C498" s="223" t="n">
        <f aca="false">'☆掛負収入'!C498</f>
        <v>3750</v>
      </c>
      <c r="D498" s="449" t="n">
        <f aca="false">'☆掛負収入'!D498</f>
        <v>45750</v>
      </c>
      <c r="E498" s="453" t="n">
        <f aca="false">'☆掛負収入'!E498</f>
        <v>3750</v>
      </c>
      <c r="F498" s="223" t="n">
        <f aca="false">'☆掛負収入'!F498</f>
        <v>43</v>
      </c>
      <c r="G498" s="181" t="n">
        <f aca="false">SUM(B498:F498)</f>
        <v>99043</v>
      </c>
      <c r="H498" s="594" t="n">
        <f aca="false">'☆掛負収入'!H498</f>
        <v>25930</v>
      </c>
      <c r="I498" s="424" t="n">
        <f aca="false">'☆掛負収入'!I498</f>
        <v>25955</v>
      </c>
      <c r="J498" s="135" t="n">
        <f aca="false">SUM(H498:I498)</f>
        <v>51885</v>
      </c>
      <c r="K498" s="439" t="n">
        <f aca="false">'☆掛負収入'!K498</f>
        <v>0</v>
      </c>
      <c r="L498" s="424" t="n">
        <f aca="false">'☆掛負収入'!L498</f>
        <v>0</v>
      </c>
      <c r="M498" s="135" t="n">
        <f aca="false">SUM(K498:L498)</f>
        <v>0</v>
      </c>
      <c r="N498" s="439" t="n">
        <f aca="false">'☆掛負収入'!N498</f>
        <v>575</v>
      </c>
      <c r="O498" s="424" t="n">
        <f aca="false">'☆掛負収入'!O498</f>
        <v>575</v>
      </c>
      <c r="P498" s="135" t="n">
        <f aca="false">SUM(N498:O498)</f>
        <v>1150</v>
      </c>
    </row>
    <row r="499" customFormat="false" ht="18.75" hidden="false" customHeight="true" outlineLevel="0" collapsed="false">
      <c r="A499" s="121" t="str">
        <f aca="false">'☆掛負収入'!A499</f>
        <v>広島市立大学</v>
      </c>
      <c r="B499" s="406" t="n">
        <f aca="false">'☆掛負収入'!B499</f>
        <v>1234335</v>
      </c>
      <c r="C499" s="135" t="n">
        <f aca="false">'☆掛負収入'!C499</f>
        <v>101175</v>
      </c>
      <c r="D499" s="406" t="n">
        <f aca="false">'☆掛負収入'!D499</f>
        <v>1234335</v>
      </c>
      <c r="E499" s="439" t="n">
        <f aca="false">'☆掛負収入'!E499</f>
        <v>101175</v>
      </c>
      <c r="F499" s="223" t="n">
        <f aca="false">'☆掛負収入'!F499</f>
        <v>1337</v>
      </c>
      <c r="G499" s="181" t="n">
        <f aca="false">SUM(B499:F499)</f>
        <v>2672357</v>
      </c>
      <c r="H499" s="594" t="n">
        <f aca="false">'☆掛負収入'!H499</f>
        <v>742074</v>
      </c>
      <c r="I499" s="424" t="n">
        <f aca="false">'☆掛負収入'!I499</f>
        <v>743509</v>
      </c>
      <c r="J499" s="135" t="n">
        <f aca="false">SUM(H499:I499)</f>
        <v>1485583</v>
      </c>
      <c r="K499" s="439" t="n">
        <f aca="false">'☆掛負収入'!K499</f>
        <v>64227</v>
      </c>
      <c r="L499" s="424" t="n">
        <f aca="false">'☆掛負収入'!L499</f>
        <v>64227</v>
      </c>
      <c r="M499" s="135" t="n">
        <f aca="false">SUM(K499:L499)</f>
        <v>128454</v>
      </c>
      <c r="N499" s="439" t="n">
        <f aca="false">'☆掛負収入'!N499</f>
        <v>1</v>
      </c>
      <c r="O499" s="424" t="n">
        <f aca="false">'☆掛負収入'!O499</f>
        <v>1</v>
      </c>
      <c r="P499" s="135" t="n">
        <f aca="false">SUM(N499:O499)</f>
        <v>2</v>
      </c>
    </row>
    <row r="500" customFormat="false" ht="18.75" hidden="false" customHeight="true" outlineLevel="0" collapsed="false">
      <c r="A500" s="121" t="str">
        <f aca="false">'☆掛負収入'!A500</f>
        <v>社会福祉協議会</v>
      </c>
      <c r="B500" s="406" t="n">
        <f aca="false">'☆掛負収入'!B500</f>
        <v>0</v>
      </c>
      <c r="C500" s="135" t="n">
        <f aca="false">'☆掛負収入'!C500</f>
        <v>0</v>
      </c>
      <c r="D500" s="406" t="n">
        <f aca="false">'☆掛負収入'!D500</f>
        <v>245220</v>
      </c>
      <c r="E500" s="439" t="n">
        <f aca="false">'☆掛負収入'!E500</f>
        <v>20100</v>
      </c>
      <c r="F500" s="223" t="n">
        <f aca="false">'☆掛負収入'!F500</f>
        <v>251</v>
      </c>
      <c r="G500" s="181" t="n">
        <f aca="false">SUM(B500:F500)</f>
        <v>265571</v>
      </c>
      <c r="H500" s="594" t="n">
        <f aca="false">'☆掛負収入'!H500</f>
        <v>0</v>
      </c>
      <c r="I500" s="424" t="n">
        <f aca="false">'☆掛負収入'!I500</f>
        <v>151001</v>
      </c>
      <c r="J500" s="135" t="n">
        <f aca="false">SUM(H500:I500)</f>
        <v>151001</v>
      </c>
      <c r="K500" s="439" t="n">
        <f aca="false">'☆掛負収入'!K500</f>
        <v>0</v>
      </c>
      <c r="L500" s="424" t="n">
        <f aca="false">'☆掛負収入'!L500</f>
        <v>10744</v>
      </c>
      <c r="M500" s="135" t="n">
        <f aca="false">SUM(K500:L500)</f>
        <v>10744</v>
      </c>
      <c r="N500" s="439" t="n">
        <f aca="false">'☆掛負収入'!N500</f>
        <v>0</v>
      </c>
      <c r="O500" s="424" t="n">
        <f aca="false">'☆掛負収入'!O500</f>
        <v>1</v>
      </c>
      <c r="P500" s="135" t="n">
        <f aca="false">SUM(N500:O500)</f>
        <v>1</v>
      </c>
    </row>
    <row r="501" customFormat="false" ht="18.75" hidden="false" customHeight="true" outlineLevel="0" collapsed="false">
      <c r="A501" s="203" t="s">
        <v>418</v>
      </c>
      <c r="B501" s="595" t="n">
        <f aca="false">'☆掛負収入'!B503</f>
        <v>0</v>
      </c>
      <c r="C501" s="440" t="n">
        <f aca="false">'☆掛負収入'!C503</f>
        <v>0</v>
      </c>
      <c r="D501" s="595" t="n">
        <f aca="false">'☆掛負収入'!D503</f>
        <v>0</v>
      </c>
      <c r="E501" s="440" t="n">
        <f aca="false">'☆掛負収入'!E503</f>
        <v>0</v>
      </c>
      <c r="F501" s="181" t="n">
        <f aca="false">'☆掛負収入'!F503</f>
        <v>0</v>
      </c>
      <c r="G501" s="181" t="n">
        <f aca="false">SUM(B501:F501)</f>
        <v>0</v>
      </c>
      <c r="H501" s="595" t="n">
        <f aca="false">'☆掛負収入'!H503</f>
        <v>0</v>
      </c>
      <c r="I501" s="439" t="n">
        <f aca="false">'☆掛負収入'!I503</f>
        <v>0</v>
      </c>
      <c r="J501" s="135" t="n">
        <f aca="false">SUM(H501:I501)</f>
        <v>0</v>
      </c>
      <c r="K501" s="439" t="n">
        <f aca="false">'☆掛負収入'!K503</f>
        <v>0</v>
      </c>
      <c r="L501" s="424" t="n">
        <f aca="false">'☆掛負収入'!L503</f>
        <v>0</v>
      </c>
      <c r="M501" s="135" t="n">
        <f aca="false">SUM(K501:L501)</f>
        <v>0</v>
      </c>
      <c r="N501" s="439" t="n">
        <f aca="false">'☆掛負収入'!N503</f>
        <v>0</v>
      </c>
      <c r="O501" s="424" t="n">
        <f aca="false">'☆掛負収入'!O503</f>
        <v>0</v>
      </c>
      <c r="P501" s="135" t="n">
        <f aca="false">SUM(N501:O501)</f>
        <v>0</v>
      </c>
    </row>
    <row r="502" customFormat="false" ht="18.75" hidden="false" customHeight="true" outlineLevel="0" collapsed="false">
      <c r="A502" s="121" t="str">
        <f aca="false">'☆掛負収入'!A504</f>
        <v>全国市長会</v>
      </c>
      <c r="B502" s="595" t="n">
        <f aca="false">'☆掛負収入'!B504</f>
        <v>118950</v>
      </c>
      <c r="C502" s="440" t="n">
        <f aca="false">'☆掛負収入'!C504</f>
        <v>9750</v>
      </c>
      <c r="D502" s="595" t="n">
        <f aca="false">'☆掛負収入'!D504</f>
        <v>118950</v>
      </c>
      <c r="E502" s="440" t="n">
        <f aca="false">'☆掛負収入'!E504</f>
        <v>9750</v>
      </c>
      <c r="F502" s="181" t="n">
        <f aca="false">'☆掛負収入'!F504</f>
        <v>112</v>
      </c>
      <c r="G502" s="181" t="n">
        <f aca="false">SUM(B502:F502)</f>
        <v>257512</v>
      </c>
      <c r="H502" s="595" t="n">
        <f aca="false">'☆掛負収入'!H504</f>
        <v>86605</v>
      </c>
      <c r="I502" s="439" t="n">
        <f aca="false">'☆掛負収入'!I504</f>
        <v>86689</v>
      </c>
      <c r="J502" s="135" t="n">
        <f aca="false">SUM(H502:I502)</f>
        <v>173294</v>
      </c>
      <c r="K502" s="439" t="n">
        <f aca="false">'☆掛負収入'!K504</f>
        <v>13193</v>
      </c>
      <c r="L502" s="424" t="n">
        <f aca="false">'☆掛負収入'!L504</f>
        <v>13193</v>
      </c>
      <c r="M502" s="135" t="n">
        <f aca="false">SUM(K502:L502)</f>
        <v>26386</v>
      </c>
      <c r="N502" s="439" t="n">
        <f aca="false">'☆掛負収入'!N504</f>
        <v>1920</v>
      </c>
      <c r="O502" s="424" t="n">
        <f aca="false">'☆掛負収入'!O504</f>
        <v>1920</v>
      </c>
      <c r="P502" s="135" t="n">
        <f aca="false">SUM(N502:O502)</f>
        <v>3840</v>
      </c>
    </row>
    <row r="503" customFormat="false" ht="18.75" hidden="false" customHeight="true" outlineLevel="0" collapsed="false">
      <c r="A503" s="208"/>
      <c r="B503" s="406"/>
      <c r="C503" s="393"/>
      <c r="D503" s="406"/>
      <c r="E503" s="439"/>
      <c r="F503" s="135"/>
      <c r="G503" s="181"/>
      <c r="H503" s="594"/>
      <c r="I503" s="424"/>
      <c r="J503" s="135"/>
      <c r="K503" s="439"/>
      <c r="L503" s="424"/>
      <c r="M503" s="135"/>
      <c r="N503" s="439"/>
      <c r="O503" s="424"/>
      <c r="P503" s="135"/>
    </row>
    <row r="504" customFormat="false" ht="18.75" hidden="false" customHeight="true" outlineLevel="0" collapsed="false">
      <c r="A504" s="208"/>
      <c r="B504" s="595"/>
      <c r="C504" s="366"/>
      <c r="D504" s="595"/>
      <c r="E504" s="596"/>
      <c r="F504" s="393"/>
      <c r="G504" s="181"/>
      <c r="H504" s="595"/>
      <c r="I504" s="440"/>
      <c r="J504" s="135"/>
      <c r="K504" s="596"/>
      <c r="L504" s="440"/>
      <c r="M504" s="135"/>
      <c r="N504" s="596"/>
      <c r="O504" s="440"/>
      <c r="P504" s="135"/>
    </row>
    <row r="505" customFormat="false" ht="18.75" hidden="false" customHeight="true" outlineLevel="0" collapsed="false">
      <c r="A505" s="192"/>
      <c r="B505" s="406"/>
      <c r="C505" s="181"/>
      <c r="D505" s="406"/>
      <c r="E505" s="592"/>
      <c r="F505" s="135"/>
      <c r="G505" s="181"/>
      <c r="H505" s="406"/>
      <c r="I505" s="619"/>
      <c r="J505" s="135"/>
      <c r="K505" s="592"/>
      <c r="L505" s="619"/>
      <c r="M505" s="135"/>
      <c r="N505" s="592"/>
      <c r="O505" s="619"/>
      <c r="P505" s="135"/>
    </row>
    <row r="506" customFormat="false" ht="18.75" hidden="false" customHeight="true" outlineLevel="0" collapsed="false">
      <c r="A506" s="192"/>
      <c r="B506" s="595"/>
      <c r="C506" s="393"/>
      <c r="D506" s="596"/>
      <c r="E506" s="440"/>
      <c r="F506" s="393"/>
      <c r="G506" s="366"/>
      <c r="H506" s="406"/>
      <c r="I506" s="440"/>
      <c r="J506" s="135"/>
      <c r="K506" s="596"/>
      <c r="L506" s="440"/>
      <c r="M506" s="135"/>
      <c r="N506" s="596"/>
      <c r="O506" s="440"/>
      <c r="P506" s="135"/>
    </row>
    <row r="507" customFormat="false" ht="18.75" hidden="false" customHeight="true" outlineLevel="0" collapsed="false">
      <c r="A507" s="605"/>
      <c r="B507" s="622"/>
      <c r="C507" s="253"/>
      <c r="D507" s="623"/>
      <c r="E507" s="624"/>
      <c r="F507" s="253"/>
      <c r="G507" s="621"/>
      <c r="H507" s="622"/>
      <c r="I507" s="623"/>
      <c r="J507" s="623" t="n">
        <f aca="false">SUM(H507:I507)</f>
        <v>0</v>
      </c>
      <c r="K507" s="622"/>
      <c r="L507" s="623"/>
      <c r="M507" s="697" t="n">
        <f aca="false">SUM(K507:L507)</f>
        <v>0</v>
      </c>
      <c r="N507" s="622"/>
      <c r="O507" s="623"/>
      <c r="P507" s="697" t="n">
        <f aca="false">SUM(N507:O507)</f>
        <v>0</v>
      </c>
    </row>
    <row r="508" customFormat="false" ht="18.75" hidden="false" customHeight="true" outlineLevel="0" collapsed="false">
      <c r="A508" s="171" t="str">
        <f aca="false">'☆掛負収入'!A508</f>
        <v>小　計</v>
      </c>
      <c r="B508" s="404" t="n">
        <f aca="false">SUM(B478:B507)</f>
        <v>2852055</v>
      </c>
      <c r="C508" s="175" t="n">
        <f aca="false">SUM(C478:C507)</f>
        <v>233775</v>
      </c>
      <c r="D508" s="404" t="n">
        <f aca="false">SUM(D478:D507)</f>
        <v>8910270</v>
      </c>
      <c r="E508" s="276" t="n">
        <f aca="false">SUM(E478:E507)</f>
        <v>730350</v>
      </c>
      <c r="F508" s="175" t="n">
        <f aca="false">SUM(F478:F507)</f>
        <v>9179</v>
      </c>
      <c r="G508" s="176" t="n">
        <f aca="false">SUM(B508:F508)</f>
        <v>12735629</v>
      </c>
      <c r="H508" s="404" t="n">
        <f aca="false">SUM(H478:H507)</f>
        <v>1717377</v>
      </c>
      <c r="I508" s="174" t="n">
        <f aca="false">SUM(I478:I507)</f>
        <v>5518504</v>
      </c>
      <c r="J508" s="175" t="n">
        <f aca="false">SUM(H508:I508)</f>
        <v>7235881</v>
      </c>
      <c r="K508" s="404" t="n">
        <f aca="false">SUM(K478:K507)</f>
        <v>156657</v>
      </c>
      <c r="L508" s="174" t="n">
        <f aca="false">SUM(L478:L507)</f>
        <v>592105</v>
      </c>
      <c r="M508" s="173" t="n">
        <f aca="false">SUM(K508:L508)</f>
        <v>748762</v>
      </c>
      <c r="N508" s="404" t="n">
        <f aca="false">SUM(N478:N507)</f>
        <v>7636</v>
      </c>
      <c r="O508" s="174" t="n">
        <f aca="false">SUM(O478:O507)</f>
        <v>7648</v>
      </c>
      <c r="P508" s="173" t="n">
        <f aca="false">SUM(N508:O508)</f>
        <v>15284</v>
      </c>
    </row>
    <row r="509" customFormat="false" ht="18.75" hidden="true" customHeight="true" outlineLevel="0" collapsed="false">
      <c r="A509" s="604"/>
      <c r="B509" s="622"/>
      <c r="C509" s="253"/>
      <c r="D509" s="623"/>
      <c r="E509" s="624"/>
      <c r="F509" s="625"/>
      <c r="G509" s="626"/>
      <c r="H509" s="627"/>
      <c r="I509" s="628"/>
      <c r="J509" s="629"/>
      <c r="K509" s="630"/>
      <c r="L509" s="631"/>
      <c r="M509" s="632"/>
      <c r="N509" s="630"/>
      <c r="O509" s="631"/>
      <c r="P509" s="632"/>
    </row>
    <row r="510" customFormat="false" ht="18.75" hidden="true" customHeight="true" outlineLevel="0" collapsed="false">
      <c r="A510" s="633"/>
      <c r="B510" s="606"/>
      <c r="C510" s="608"/>
      <c r="D510" s="623"/>
      <c r="E510" s="624"/>
      <c r="F510" s="253"/>
      <c r="G510" s="621"/>
      <c r="H510" s="634"/>
      <c r="I510" s="635"/>
      <c r="J510" s="383"/>
      <c r="K510" s="636"/>
      <c r="L510" s="637"/>
      <c r="M510" s="638"/>
      <c r="N510" s="636"/>
      <c r="O510" s="637"/>
      <c r="P510" s="638"/>
    </row>
    <row r="511" customFormat="false" ht="18.75" hidden="false" customHeight="true" outlineLevel="0" collapsed="false">
      <c r="A511" s="189" t="str">
        <f aca="false">'☆掛負収入'!A511</f>
        <v>高速交通（株）</v>
      </c>
      <c r="B511" s="464" t="n">
        <f aca="false">'☆掛負収入'!B511</f>
        <v>145485</v>
      </c>
      <c r="C511" s="466" t="n">
        <f aca="false">'☆掛負収入'!C511</f>
        <v>11925</v>
      </c>
      <c r="D511" s="452" t="n">
        <f aca="false">'☆掛負収入'!D511</f>
        <v>145485</v>
      </c>
      <c r="E511" s="462" t="n">
        <f aca="false">'☆掛負収入'!E511</f>
        <v>11925</v>
      </c>
      <c r="F511" s="454" t="n">
        <f aca="false">'☆掛負収入'!F511</f>
        <v>149</v>
      </c>
      <c r="G511" s="366" t="n">
        <f aca="false">SUM(B511:F511)</f>
        <v>314969</v>
      </c>
      <c r="H511" s="640"/>
      <c r="I511" s="640"/>
      <c r="J511" s="640"/>
      <c r="K511" s="640"/>
      <c r="L511" s="640"/>
      <c r="M511" s="640"/>
      <c r="N511" s="640"/>
      <c r="O511" s="640"/>
      <c r="P511" s="640"/>
    </row>
    <row r="512" customFormat="false" ht="18.75" hidden="false" customHeight="true" outlineLevel="0" collapsed="false">
      <c r="A512" s="698" t="str">
        <f aca="false">'☆掛負収入'!A512</f>
        <v>広島駅南口開発（株）</v>
      </c>
      <c r="B512" s="699" t="n">
        <f aca="false">'☆掛負収入'!B512</f>
        <v>53985</v>
      </c>
      <c r="C512" s="700" t="n">
        <f aca="false">'☆掛負収入'!C512</f>
        <v>4425</v>
      </c>
      <c r="D512" s="452" t="n">
        <f aca="false">'☆掛負収入'!D512</f>
        <v>53985</v>
      </c>
      <c r="E512" s="462" t="n">
        <f aca="false">'☆掛負収入'!E512</f>
        <v>4425</v>
      </c>
      <c r="F512" s="454" t="n">
        <f aca="false">'☆掛負収入'!F512</f>
        <v>51</v>
      </c>
      <c r="G512" s="366" t="n">
        <f aca="false">SUM(B512:F512)</f>
        <v>116871</v>
      </c>
      <c r="H512" s="640"/>
      <c r="I512" s="640"/>
      <c r="J512" s="640"/>
      <c r="K512" s="640"/>
      <c r="L512" s="640"/>
      <c r="M512" s="640"/>
      <c r="N512" s="640"/>
      <c r="O512" s="640"/>
      <c r="P512" s="640"/>
    </row>
    <row r="513" customFormat="false" ht="18.75" hidden="false" customHeight="true" outlineLevel="0" collapsed="false">
      <c r="A513" s="171" t="str">
        <f aca="false">'☆掛負収入'!A513</f>
        <v>小　計</v>
      </c>
      <c r="B513" s="172" t="n">
        <f aca="false">SUM(B511:B512)</f>
        <v>199470</v>
      </c>
      <c r="C513" s="175" t="n">
        <f aca="false">SUM(C509:C512)</f>
        <v>16350</v>
      </c>
      <c r="D513" s="656" t="n">
        <f aca="false">SUM(D509:D512)</f>
        <v>199470</v>
      </c>
      <c r="E513" s="174" t="n">
        <f aca="false">SUM(E509:E512)</f>
        <v>16350</v>
      </c>
      <c r="F513" s="176" t="n">
        <f aca="false">SUM(F509:F512)</f>
        <v>200</v>
      </c>
      <c r="G513" s="175" t="n">
        <f aca="false">SUM(B513:F513)</f>
        <v>431840</v>
      </c>
      <c r="H513" s="640"/>
      <c r="I513" s="640"/>
      <c r="J513" s="640"/>
      <c r="K513" s="640"/>
      <c r="L513" s="640"/>
      <c r="M513" s="640"/>
      <c r="N513" s="640"/>
      <c r="O513" s="640"/>
      <c r="P513" s="640"/>
    </row>
    <row r="514" customFormat="false" ht="18.75" hidden="false" customHeight="true" outlineLevel="0" collapsed="false">
      <c r="A514" s="100" t="str">
        <f aca="false">'☆掛負収入'!A514</f>
        <v>市職員労働組合</v>
      </c>
      <c r="B514" s="449" t="n">
        <f aca="false">'☆掛負収入'!B514</f>
        <v>29280</v>
      </c>
      <c r="C514" s="223" t="n">
        <f aca="false">'☆掛負収入'!C514</f>
        <v>2400</v>
      </c>
      <c r="D514" s="445" t="n">
        <f aca="false">'☆掛負収入'!D514</f>
        <v>29280</v>
      </c>
      <c r="E514" s="463" t="n">
        <f aca="false">'☆掛負収入'!E514</f>
        <v>2400</v>
      </c>
      <c r="F514" s="196"/>
      <c r="G514" s="181" t="n">
        <f aca="false">SUM(B514:F514)</f>
        <v>63360</v>
      </c>
      <c r="H514" s="594" t="n">
        <f aca="false">'☆掛負収入'!H514</f>
        <v>17603</v>
      </c>
      <c r="I514" s="424" t="n">
        <f aca="false">'☆掛負収入'!I514</f>
        <v>17635</v>
      </c>
      <c r="J514" s="135" t="n">
        <f aca="false">SUM(H514:I514)</f>
        <v>35238</v>
      </c>
      <c r="K514" s="451" t="n">
        <f aca="false">'☆掛負収入'!K514</f>
        <v>2528</v>
      </c>
      <c r="L514" s="462" t="n">
        <f aca="false">'☆掛負収入'!L514</f>
        <v>2528</v>
      </c>
      <c r="M514" s="446" t="n">
        <f aca="false">SUM(K514:L514)</f>
        <v>5056</v>
      </c>
      <c r="N514" s="451" t="n">
        <f aca="false">'☆掛負収入'!N514</f>
        <v>1</v>
      </c>
      <c r="O514" s="462" t="n">
        <f aca="false">'☆掛負収入'!O514</f>
        <v>1</v>
      </c>
      <c r="P514" s="446" t="n">
        <f aca="false">SUM(N514:O514)</f>
        <v>2</v>
      </c>
    </row>
    <row r="515" customFormat="false" ht="18.75" hidden="false" customHeight="true" outlineLevel="0" collapsed="false">
      <c r="A515" s="100" t="str">
        <f aca="false">'☆掛負収入'!A515</f>
        <v>自治労労働組合</v>
      </c>
      <c r="B515" s="449" t="n">
        <f aca="false">'☆掛負収入'!B515</f>
        <v>0</v>
      </c>
      <c r="C515" s="377" t="n">
        <f aca="false">'☆掛負収入'!C515</f>
        <v>0</v>
      </c>
      <c r="D515" s="449" t="n">
        <f aca="false">'☆掛負収入'!D515</f>
        <v>0</v>
      </c>
      <c r="E515" s="463" t="n">
        <f aca="false">'☆掛負収入'!E515</f>
        <v>0</v>
      </c>
      <c r="F515" s="196"/>
      <c r="G515" s="181" t="n">
        <f aca="false">SUM(B515:F515)</f>
        <v>0</v>
      </c>
      <c r="H515" s="594" t="n">
        <f aca="false">'☆掛負収入'!H515</f>
        <v>0</v>
      </c>
      <c r="I515" s="424" t="n">
        <f aca="false">'☆掛負収入'!I515</f>
        <v>0</v>
      </c>
      <c r="J515" s="135" t="n">
        <f aca="false">SUM(H515:I515)</f>
        <v>0</v>
      </c>
      <c r="K515" s="448" t="n">
        <f aca="false">'☆掛負収入'!K515</f>
        <v>0</v>
      </c>
      <c r="L515" s="450" t="n">
        <f aca="false">'☆掛負収入'!L515</f>
        <v>0</v>
      </c>
      <c r="M515" s="223" t="n">
        <f aca="false">SUM(K515:L515)</f>
        <v>0</v>
      </c>
      <c r="N515" s="448" t="n">
        <f aca="false">'☆掛負収入'!N515</f>
        <v>0</v>
      </c>
      <c r="O515" s="450" t="n">
        <f aca="false">'☆掛負収入'!O515</f>
        <v>0</v>
      </c>
      <c r="P515" s="223" t="n">
        <f aca="false">SUM(N515:O515)</f>
        <v>0</v>
      </c>
    </row>
    <row r="516" customFormat="false" ht="18.75" hidden="false" customHeight="true" outlineLevel="0" collapsed="false">
      <c r="A516" s="100" t="str">
        <f aca="false">'☆掛負収入'!A516</f>
        <v>病院労働組合</v>
      </c>
      <c r="B516" s="449" t="n">
        <f aca="false">'☆掛負収入'!B516</f>
        <v>29280</v>
      </c>
      <c r="C516" s="377" t="n">
        <f aca="false">'☆掛負収入'!C516</f>
        <v>2400</v>
      </c>
      <c r="D516" s="449" t="n">
        <f aca="false">'☆掛負収入'!D516</f>
        <v>29280</v>
      </c>
      <c r="E516" s="463" t="n">
        <f aca="false">'☆掛負収入'!E516</f>
        <v>2400</v>
      </c>
      <c r="F516" s="196"/>
      <c r="G516" s="181" t="n">
        <f aca="false">SUM(B516:F516)</f>
        <v>63360</v>
      </c>
      <c r="H516" s="594" t="n">
        <f aca="false">'☆掛負収入'!H516</f>
        <v>32153</v>
      </c>
      <c r="I516" s="424" t="n">
        <f aca="false">'☆掛負収入'!I516</f>
        <v>32184</v>
      </c>
      <c r="J516" s="135" t="n">
        <f aca="false">SUM(H516:I516)</f>
        <v>64337</v>
      </c>
      <c r="K516" s="448" t="n">
        <f aca="false">'☆掛負収入'!K516</f>
        <v>2370</v>
      </c>
      <c r="L516" s="450" t="n">
        <f aca="false">'☆掛負収入'!L516</f>
        <v>2370</v>
      </c>
      <c r="M516" s="135" t="n">
        <f aca="false">SUM(K516:L516)</f>
        <v>4740</v>
      </c>
      <c r="N516" s="448" t="n">
        <f aca="false">'☆掛負収入'!N516</f>
        <v>713</v>
      </c>
      <c r="O516" s="450" t="n">
        <f aca="false">'☆掛負収入'!O516</f>
        <v>713</v>
      </c>
      <c r="P516" s="135" t="n">
        <f aca="false">SUM(N516:O516)</f>
        <v>1426</v>
      </c>
    </row>
    <row r="517" customFormat="false" ht="18.75" hidden="false" customHeight="true" outlineLevel="0" collapsed="false">
      <c r="A517" s="277" t="str">
        <f aca="false">'☆掛負収入'!A517</f>
        <v>水道労働組合</v>
      </c>
      <c r="B517" s="648"/>
      <c r="C517" s="419"/>
      <c r="D517" s="648"/>
      <c r="E517" s="598"/>
      <c r="F517" s="271"/>
      <c r="G517" s="181" t="n">
        <f aca="false">SUM(B517:F517)</f>
        <v>0</v>
      </c>
      <c r="H517" s="649"/>
      <c r="I517" s="650"/>
      <c r="J517" s="135" t="n">
        <f aca="false">SUM(H517:I517)</f>
        <v>0</v>
      </c>
      <c r="K517" s="651"/>
      <c r="L517" s="652"/>
      <c r="M517" s="135" t="n">
        <f aca="false">SUM(K517:L517)</f>
        <v>0</v>
      </c>
      <c r="N517" s="651"/>
      <c r="O517" s="652"/>
      <c r="P517" s="135" t="n">
        <f aca="false">SUM(N517:O517)</f>
        <v>0</v>
      </c>
    </row>
    <row r="518" customFormat="false" ht="18.75" hidden="false" customHeight="true" outlineLevel="0" collapsed="false">
      <c r="A518" s="171" t="str">
        <f aca="false">'☆掛負収入'!A518</f>
        <v>小　計</v>
      </c>
      <c r="B518" s="404" t="n">
        <f aca="false">SUM(B514:B517)</f>
        <v>58560</v>
      </c>
      <c r="C518" s="175" t="n">
        <f aca="false">SUM(C514:C517)</f>
        <v>4800</v>
      </c>
      <c r="D518" s="404" t="n">
        <f aca="false">SUM(D514:D517)</f>
        <v>58560</v>
      </c>
      <c r="E518" s="174" t="n">
        <f aca="false">SUM(E514:E517)</f>
        <v>4800</v>
      </c>
      <c r="F518" s="173" t="n">
        <f aca="false">SUM(F514:F517)</f>
        <v>0</v>
      </c>
      <c r="G518" s="172" t="n">
        <f aca="false">SUM(B518:F518)</f>
        <v>126720</v>
      </c>
      <c r="H518" s="404" t="n">
        <f aca="false">SUM(H514:H517)</f>
        <v>49756</v>
      </c>
      <c r="I518" s="174" t="n">
        <f aca="false">SUM(I514:I517)</f>
        <v>49819</v>
      </c>
      <c r="J518" s="175" t="n">
        <f aca="false">SUM(H518:I518)</f>
        <v>99575</v>
      </c>
      <c r="K518" s="172" t="n">
        <f aca="false">SUM(K514:K517)</f>
        <v>4898</v>
      </c>
      <c r="L518" s="173" t="n">
        <f aca="false">SUM(L514:L517)</f>
        <v>4898</v>
      </c>
      <c r="M518" s="175" t="n">
        <f aca="false">SUM(K518:L518)</f>
        <v>9796</v>
      </c>
      <c r="N518" s="172" t="n">
        <f aca="false">SUM(N514:N517)</f>
        <v>714</v>
      </c>
      <c r="O518" s="173" t="n">
        <f aca="false">SUM(O514:O517)</f>
        <v>714</v>
      </c>
      <c r="P518" s="175" t="n">
        <f aca="false">SUM(N518:O518)</f>
        <v>1428</v>
      </c>
    </row>
    <row r="519" customFormat="false" ht="18.75" hidden="false" customHeight="true" outlineLevel="0" collapsed="false">
      <c r="A519" s="277" t="str">
        <f aca="false">'☆掛負収入'!A519</f>
        <v>任意継続組合員</v>
      </c>
      <c r="B519" s="256"/>
      <c r="C519" s="498"/>
      <c r="D519" s="499"/>
      <c r="E519" s="500"/>
      <c r="F519" s="271"/>
      <c r="G519" s="268"/>
      <c r="H519" s="653"/>
      <c r="I519" s="257"/>
      <c r="J519" s="258"/>
      <c r="K519" s="499"/>
      <c r="L519" s="654" t="n">
        <f aca="false">'☆掛負収入'!L519</f>
        <v>0</v>
      </c>
      <c r="M519" s="267"/>
      <c r="N519" s="499"/>
      <c r="O519" s="654" t="n">
        <f aca="false">'☆掛負収入'!O519</f>
        <v>0</v>
      </c>
      <c r="P519" s="267"/>
    </row>
    <row r="520" customFormat="false" ht="30" hidden="false" customHeight="true" outlineLevel="0" collapsed="false">
      <c r="A520" s="655" t="str">
        <f aca="false">'☆掛負収入'!A520</f>
        <v>総　　計</v>
      </c>
      <c r="B520" s="404" t="n">
        <f aca="false">SUM(B477+B508+B513+B518)</f>
        <v>3110085</v>
      </c>
      <c r="C520" s="175" t="n">
        <f aca="false">SUM(C477+C508+C513+C518)</f>
        <v>254925</v>
      </c>
      <c r="D520" s="656" t="n">
        <f aca="false">SUM(D477+D508+D513+D518)</f>
        <v>9168300</v>
      </c>
      <c r="E520" s="174" t="n">
        <f aca="false">SUM(E477+E508+E513+E518)</f>
        <v>751500</v>
      </c>
      <c r="F520" s="176" t="n">
        <f aca="false">SUM(F477+F508+F513+F518)</f>
        <v>9379</v>
      </c>
      <c r="G520" s="172" t="n">
        <f aca="false">SUM(B520:F520)</f>
        <v>13294189</v>
      </c>
      <c r="H520" s="404" t="n">
        <f aca="false">SUM(H477+H508+H513+H518+H519)</f>
        <v>1767133</v>
      </c>
      <c r="I520" s="174" t="n">
        <f aca="false">SUM(I477+I508+I513+I518+I519)</f>
        <v>5568323</v>
      </c>
      <c r="J520" s="175" t="n">
        <f aca="false">SUM(H520:I520)</f>
        <v>7335456</v>
      </c>
      <c r="K520" s="172" t="n">
        <f aca="false">K477+K508+K513+K518+K519</f>
        <v>161555</v>
      </c>
      <c r="L520" s="173" t="n">
        <f aca="false">L477+L508+L513+L518</f>
        <v>597003</v>
      </c>
      <c r="M520" s="175" t="n">
        <f aca="false">SUM(K520:L520)</f>
        <v>758558</v>
      </c>
      <c r="N520" s="172" t="n">
        <f aca="false">N477+N508+N513+N518+N519</f>
        <v>8350</v>
      </c>
      <c r="O520" s="173" t="n">
        <f aca="false">O477+O508+O513+O518</f>
        <v>8362</v>
      </c>
      <c r="P520" s="175" t="n">
        <f aca="false">SUM(N520:O520)</f>
        <v>16712</v>
      </c>
    </row>
    <row r="521" customFormat="false" ht="18.75" hidden="false" customHeight="true" outlineLevel="0" collapsed="false">
      <c r="A521" s="315"/>
      <c r="B521" s="316"/>
      <c r="C521" s="316"/>
      <c r="D521" s="316"/>
      <c r="E521" s="316"/>
      <c r="F521" s="316"/>
      <c r="G521" s="316"/>
      <c r="H521" s="316"/>
      <c r="I521" s="316"/>
      <c r="J521" s="316"/>
      <c r="K521" s="316"/>
      <c r="L521" s="316"/>
      <c r="M521" s="316"/>
      <c r="N521" s="316"/>
      <c r="O521" s="316"/>
      <c r="P521" s="316"/>
    </row>
    <row r="522" customFormat="false" ht="30" hidden="false" customHeight="true" outlineLevel="0" collapsed="false">
      <c r="A522" s="295"/>
      <c r="B522" s="391" t="n">
        <f aca="false">'☆掛負収入'!B522</f>
        <v>46356</v>
      </c>
      <c r="C522" s="391" t="n">
        <f aca="false">'☆掛負収入'!C522</f>
        <v>0</v>
      </c>
      <c r="D522" s="391" t="n">
        <f aca="false">'☆掛負収入'!D522</f>
        <v>0</v>
      </c>
      <c r="E522" s="391" t="n">
        <f aca="false">'☆掛負収入'!E522</f>
        <v>0</v>
      </c>
      <c r="F522" s="391" t="n">
        <f aca="false">'☆掛負収入'!F522</f>
        <v>0</v>
      </c>
      <c r="G522" s="391" t="n">
        <f aca="false">'☆掛負収入'!G522</f>
        <v>0</v>
      </c>
      <c r="H522" s="391" t="n">
        <f aca="false">'☆掛負収入'!H522</f>
        <v>46356</v>
      </c>
      <c r="I522" s="391" t="n">
        <f aca="false">'☆掛負収入'!I522</f>
        <v>0</v>
      </c>
      <c r="J522" s="391" t="n">
        <f aca="false">'☆掛負収入'!J522</f>
        <v>0</v>
      </c>
      <c r="K522" s="391" t="n">
        <f aca="false">'☆掛負収入'!K522</f>
        <v>46356</v>
      </c>
      <c r="L522" s="391" t="n">
        <f aca="false">'☆掛負収入'!L522</f>
        <v>0</v>
      </c>
      <c r="M522" s="391" t="n">
        <f aca="false">'☆掛負収入'!M522</f>
        <v>0</v>
      </c>
      <c r="N522" s="391" t="n">
        <f aca="false">'☆掛負収入'!N522</f>
        <v>46356</v>
      </c>
      <c r="O522" s="391" t="n">
        <f aca="false">'☆掛負収入'!O522</f>
        <v>0</v>
      </c>
      <c r="P522" s="391" t="n">
        <f aca="false">'☆掛負収入'!P522</f>
        <v>0</v>
      </c>
    </row>
    <row r="523" customFormat="false" ht="22.5" hidden="false" customHeight="true" outlineLevel="0" collapsed="false">
      <c r="A523" s="89" t="str">
        <f aca="false">'☆掛負収入'!A523</f>
        <v>区　　分</v>
      </c>
      <c r="B523" s="89" t="str">
        <f aca="false">'☆掛負収入'!B523</f>
        <v>長　期　経　理</v>
      </c>
      <c r="C523" s="89" t="n">
        <f aca="false">'☆掛負収入'!C523</f>
        <v>0</v>
      </c>
      <c r="D523" s="89" t="n">
        <f aca="false">'☆掛負収入'!D523</f>
        <v>0</v>
      </c>
      <c r="E523" s="89" t="n">
        <f aca="false">'☆掛負収入'!E523</f>
        <v>0</v>
      </c>
      <c r="F523" s="89" t="n">
        <f aca="false">'☆掛負収入'!F523</f>
        <v>0</v>
      </c>
      <c r="G523" s="89" t="n">
        <f aca="false">'☆掛負収入'!G523</f>
        <v>0</v>
      </c>
      <c r="H523" s="91" t="str">
        <f aca="false">'☆掛負収入'!H523</f>
        <v>短　期　経　理</v>
      </c>
      <c r="I523" s="91" t="n">
        <f aca="false">'☆掛負収入'!I523</f>
        <v>0</v>
      </c>
      <c r="J523" s="91" t="n">
        <f aca="false">'☆掛負収入'!J523</f>
        <v>0</v>
      </c>
      <c r="K523" s="91" t="str">
        <f aca="false">'☆掛負収入'!K523</f>
        <v>介　護　納　付　金</v>
      </c>
      <c r="L523" s="91" t="n">
        <f aca="false">'☆掛負収入'!L523</f>
        <v>0</v>
      </c>
      <c r="M523" s="91" t="n">
        <f aca="false">'☆掛負収入'!M523</f>
        <v>0</v>
      </c>
      <c r="N523" s="91" t="str">
        <f aca="false">'☆掛負収入'!N523</f>
        <v>子ども・子育て支援納付金</v>
      </c>
      <c r="O523" s="91" t="n">
        <f aca="false">'☆掛負収入'!O523</f>
        <v>0</v>
      </c>
      <c r="P523" s="91" t="n">
        <f aca="false">'☆掛負収入'!P523</f>
        <v>0</v>
      </c>
    </row>
    <row r="524" customFormat="false" ht="22.5" hidden="false" customHeight="true" outlineLevel="0" collapsed="false">
      <c r="A524" s="89" t="n">
        <f aca="false">'☆掛負収入'!A524</f>
        <v>0</v>
      </c>
      <c r="B524" s="92" t="str">
        <f aca="false">'☆掛負収入'!B524</f>
        <v>組合員負担分</v>
      </c>
      <c r="C524" s="92" t="n">
        <f aca="false">'☆掛負収入'!C524</f>
        <v>0</v>
      </c>
      <c r="D524" s="92" t="str">
        <f aca="false">'☆掛負収入'!D524</f>
        <v>事業主負担分</v>
      </c>
      <c r="E524" s="92" t="n">
        <f aca="false">'☆掛負収入'!E524</f>
        <v>0</v>
      </c>
      <c r="F524" s="92" t="n">
        <f aca="false">'☆掛負収入'!F524</f>
        <v>0</v>
      </c>
      <c r="G524" s="586" t="str">
        <f aca="false">'☆掛負収入'!G524</f>
        <v>計</v>
      </c>
      <c r="H524" s="96" t="str">
        <f aca="false">'☆掛負収入'!H524</f>
        <v>掛　金</v>
      </c>
      <c r="I524" s="94" t="str">
        <f aca="false">'☆掛負収入'!I524</f>
        <v>負担金</v>
      </c>
      <c r="J524" s="95" t="str">
        <f aca="false">'☆掛負収入'!J524</f>
        <v>計</v>
      </c>
      <c r="K524" s="96" t="str">
        <f aca="false">'☆掛負収入'!K524</f>
        <v>掛　金</v>
      </c>
      <c r="L524" s="94" t="str">
        <f aca="false">'☆掛負収入'!L524</f>
        <v>負担金</v>
      </c>
      <c r="M524" s="95" t="str">
        <f aca="false">'☆掛負収入'!M524</f>
        <v>計</v>
      </c>
      <c r="N524" s="96" t="str">
        <f aca="false">'☆掛負収入'!N524</f>
        <v>掛　金</v>
      </c>
      <c r="O524" s="94" t="str">
        <f aca="false">'☆掛負収入'!O524</f>
        <v>負担金</v>
      </c>
      <c r="P524" s="95" t="str">
        <f aca="false">'☆掛負収入'!P524</f>
        <v>計</v>
      </c>
    </row>
    <row r="525" customFormat="false" ht="22.5" hidden="false" customHeight="true" outlineLevel="0" collapsed="false">
      <c r="A525" s="89" t="n">
        <f aca="false">'☆掛負収入'!A525</f>
        <v>0</v>
      </c>
      <c r="B525" s="587" t="str">
        <f aca="false">'☆掛負収入'!B525</f>
        <v>厚生年金保険料</v>
      </c>
      <c r="C525" s="588" t="str">
        <f aca="false">'☆掛負収入'!C525</f>
        <v>退職等年金掛金</v>
      </c>
      <c r="D525" s="589" t="str">
        <f aca="false">'☆掛負収入'!D525</f>
        <v>厚生年金保険料</v>
      </c>
      <c r="E525" s="589" t="str">
        <f aca="false">'☆掛負収入'!E525</f>
        <v>退職等年金負担金</v>
      </c>
      <c r="F525" s="590" t="str">
        <f aca="false">'☆掛負収入'!F525</f>
        <v>経過的長期</v>
      </c>
      <c r="G525" s="586" t="n">
        <f aca="false">'☆掛負収入'!G525</f>
        <v>0</v>
      </c>
      <c r="H525" s="96" t="n">
        <f aca="false">'☆掛負収入'!H525</f>
        <v>0</v>
      </c>
      <c r="I525" s="94" t="n">
        <f aca="false">'☆掛負収入'!I525</f>
        <v>0</v>
      </c>
      <c r="J525" s="95" t="n">
        <f aca="false">'☆掛負収入'!J525</f>
        <v>0</v>
      </c>
      <c r="K525" s="96" t="n">
        <f aca="false">'☆掛負収入'!K525</f>
        <v>0</v>
      </c>
      <c r="L525" s="94" t="n">
        <f aca="false">'☆掛負収入'!L525</f>
        <v>0</v>
      </c>
      <c r="M525" s="95" t="n">
        <f aca="false">'☆掛負収入'!M525</f>
        <v>0</v>
      </c>
      <c r="N525" s="96" t="n">
        <f aca="false">'☆掛負収入'!N525</f>
        <v>0</v>
      </c>
      <c r="O525" s="94" t="n">
        <f aca="false">'☆掛負収入'!O525</f>
        <v>0</v>
      </c>
      <c r="P525" s="95" t="n">
        <f aca="false">'☆掛負収入'!P525</f>
        <v>0</v>
      </c>
    </row>
    <row r="526" customFormat="false" ht="18.75" hidden="false" customHeight="true" outlineLevel="0" collapsed="false">
      <c r="A526" s="100" t="str">
        <f aca="false">'☆掛負収入'!A526</f>
        <v>市長部局</v>
      </c>
      <c r="B526" s="591"/>
      <c r="C526" s="364"/>
      <c r="D526" s="592"/>
      <c r="E526" s="592"/>
      <c r="F526" s="184"/>
      <c r="G526" s="364"/>
      <c r="H526" s="591"/>
      <c r="I526" s="593"/>
      <c r="J526" s="181"/>
      <c r="K526" s="594"/>
      <c r="L526" s="593"/>
      <c r="M526" s="181"/>
      <c r="N526" s="594"/>
      <c r="O526" s="593"/>
      <c r="P526" s="181"/>
    </row>
    <row r="527" customFormat="false" ht="18.75" hidden="false" customHeight="true" outlineLevel="0" collapsed="false">
      <c r="A527" s="100" t="str">
        <f aca="false">'☆掛負収入'!A527</f>
        <v>下水道局</v>
      </c>
      <c r="B527" s="406"/>
      <c r="C527" s="181"/>
      <c r="D527" s="592"/>
      <c r="E527" s="592"/>
      <c r="F527" s="135"/>
      <c r="G527" s="181"/>
      <c r="H527" s="594"/>
      <c r="I527" s="424"/>
      <c r="J527" s="135"/>
      <c r="K527" s="595"/>
      <c r="L527" s="596"/>
      <c r="M527" s="135"/>
      <c r="N527" s="595"/>
      <c r="O527" s="596"/>
      <c r="P527" s="135"/>
    </row>
    <row r="528" customFormat="false" ht="18.75" hidden="false" customHeight="true" outlineLevel="0" collapsed="false">
      <c r="A528" s="100" t="str">
        <f aca="false">'☆掛負収入'!A528</f>
        <v>消防局</v>
      </c>
      <c r="B528" s="406"/>
      <c r="C528" s="181"/>
      <c r="D528" s="592"/>
      <c r="E528" s="592"/>
      <c r="F528" s="135"/>
      <c r="G528" s="181"/>
      <c r="H528" s="595"/>
      <c r="I528" s="439"/>
      <c r="J528" s="135"/>
      <c r="K528" s="595"/>
      <c r="L528" s="439"/>
      <c r="M528" s="135"/>
      <c r="N528" s="595"/>
      <c r="O528" s="439"/>
      <c r="P528" s="135"/>
    </row>
    <row r="529" customFormat="false" ht="18.75" hidden="false" customHeight="true" outlineLevel="0" collapsed="false">
      <c r="A529" s="100" t="str">
        <f aca="false">'☆掛負収入'!A529</f>
        <v>議会事務局</v>
      </c>
      <c r="B529" s="406"/>
      <c r="C529" s="181"/>
      <c r="D529" s="592"/>
      <c r="E529" s="592"/>
      <c r="F529" s="135"/>
      <c r="G529" s="181"/>
      <c r="H529" s="406"/>
      <c r="I529" s="439"/>
      <c r="J529" s="135"/>
      <c r="K529" s="406"/>
      <c r="L529" s="439"/>
      <c r="M529" s="135"/>
      <c r="N529" s="406"/>
      <c r="O529" s="439"/>
      <c r="P529" s="135"/>
    </row>
    <row r="530" customFormat="false" ht="18.75" hidden="false" customHeight="true" outlineLevel="0" collapsed="false">
      <c r="A530" s="100" t="str">
        <f aca="false">'☆掛負収入'!A530</f>
        <v>教育委員会（総務課）</v>
      </c>
      <c r="B530" s="406"/>
      <c r="C530" s="181"/>
      <c r="D530" s="592"/>
      <c r="E530" s="592"/>
      <c r="F530" s="135"/>
      <c r="G530" s="181"/>
      <c r="H530" s="406"/>
      <c r="I530" s="439"/>
      <c r="J530" s="135"/>
      <c r="K530" s="406"/>
      <c r="L530" s="439"/>
      <c r="M530" s="135"/>
      <c r="N530" s="406"/>
      <c r="O530" s="439"/>
      <c r="P530" s="135"/>
    </row>
    <row r="531" customFormat="false" ht="18.75" hidden="false" customHeight="true" outlineLevel="0" collapsed="false">
      <c r="A531" s="100" t="str">
        <f aca="false">'☆掛負収入'!A531</f>
        <v>選挙管理委員会</v>
      </c>
      <c r="B531" s="406"/>
      <c r="C531" s="181"/>
      <c r="D531" s="592"/>
      <c r="E531" s="592"/>
      <c r="F531" s="135"/>
      <c r="G531" s="181"/>
      <c r="H531" s="594"/>
      <c r="I531" s="424"/>
      <c r="J531" s="135"/>
      <c r="K531" s="406"/>
      <c r="L531" s="439"/>
      <c r="M531" s="135"/>
      <c r="N531" s="406"/>
      <c r="O531" s="439"/>
      <c r="P531" s="135"/>
    </row>
    <row r="532" customFormat="false" ht="18.75" hidden="false" customHeight="true" outlineLevel="0" collapsed="false">
      <c r="A532" s="100" t="str">
        <f aca="false">'☆掛負収入'!A532</f>
        <v>人事委員会</v>
      </c>
      <c r="B532" s="406"/>
      <c r="C532" s="181"/>
      <c r="D532" s="592"/>
      <c r="E532" s="592"/>
      <c r="F532" s="135"/>
      <c r="G532" s="181"/>
      <c r="H532" s="594"/>
      <c r="I532" s="424"/>
      <c r="J532" s="135"/>
      <c r="K532" s="594"/>
      <c r="L532" s="424"/>
      <c r="M532" s="135"/>
      <c r="N532" s="594"/>
      <c r="O532" s="424"/>
      <c r="P532" s="135"/>
    </row>
    <row r="533" customFormat="false" ht="18.75" hidden="false" customHeight="true" outlineLevel="0" collapsed="false">
      <c r="A533" s="100" t="str">
        <f aca="false">'☆掛負収入'!A533</f>
        <v>監査事務局</v>
      </c>
      <c r="B533" s="406"/>
      <c r="C533" s="181"/>
      <c r="D533" s="592"/>
      <c r="E533" s="592"/>
      <c r="F533" s="135"/>
      <c r="G533" s="181"/>
      <c r="H533" s="594"/>
      <c r="I533" s="424"/>
      <c r="J533" s="135"/>
      <c r="K533" s="594"/>
      <c r="L533" s="424"/>
      <c r="M533" s="135"/>
      <c r="N533" s="594"/>
      <c r="O533" s="424"/>
      <c r="P533" s="135"/>
    </row>
    <row r="534" customFormat="false" ht="18.75" hidden="false" customHeight="true" outlineLevel="0" collapsed="false">
      <c r="A534" s="100" t="str">
        <f aca="false">'☆掛負収入'!A534</f>
        <v>農業委員会</v>
      </c>
      <c r="B534" s="406"/>
      <c r="C534" s="181"/>
      <c r="D534" s="592"/>
      <c r="E534" s="592"/>
      <c r="F534" s="135"/>
      <c r="G534" s="181"/>
      <c r="H534" s="594"/>
      <c r="I534" s="424"/>
      <c r="J534" s="135"/>
      <c r="K534" s="594"/>
      <c r="L534" s="424"/>
      <c r="M534" s="135"/>
      <c r="N534" s="594"/>
      <c r="O534" s="424"/>
      <c r="P534" s="135"/>
    </row>
    <row r="535" customFormat="false" ht="18.75" hidden="false" customHeight="true" outlineLevel="0" collapsed="false">
      <c r="A535" s="100" t="str">
        <f aca="false">'☆掛負収入'!A535</f>
        <v>水道局</v>
      </c>
      <c r="B535" s="406"/>
      <c r="C535" s="181"/>
      <c r="D535" s="592"/>
      <c r="E535" s="592"/>
      <c r="F535" s="135"/>
      <c r="G535" s="181"/>
      <c r="H535" s="594"/>
      <c r="I535" s="424"/>
      <c r="J535" s="135"/>
      <c r="K535" s="594"/>
      <c r="L535" s="424"/>
      <c r="M535" s="135"/>
      <c r="N535" s="594"/>
      <c r="O535" s="424"/>
      <c r="P535" s="135"/>
    </row>
    <row r="536" customFormat="false" ht="18.75" hidden="false" customHeight="true" outlineLevel="0" collapsed="false">
      <c r="A536" s="121" t="str">
        <f aca="false">'☆掛負収入'!A536</f>
        <v>医療政策課(安芸市民)</v>
      </c>
      <c r="B536" s="595"/>
      <c r="C536" s="366"/>
      <c r="D536" s="595"/>
      <c r="E536" s="596"/>
      <c r="F536" s="393"/>
      <c r="G536" s="181"/>
      <c r="H536" s="597"/>
      <c r="I536" s="407"/>
      <c r="J536" s="135"/>
      <c r="K536" s="594"/>
      <c r="L536" s="424"/>
      <c r="M536" s="135"/>
      <c r="N536" s="594"/>
      <c r="O536" s="424"/>
      <c r="P536" s="135"/>
    </row>
    <row r="537" customFormat="false" ht="18.75" hidden="false" customHeight="true" outlineLevel="0" collapsed="false">
      <c r="A537" s="121" t="str">
        <f aca="false">'☆掛負収入'!A537</f>
        <v>教育委員会（教育給与課）</v>
      </c>
      <c r="B537" s="701"/>
      <c r="C537" s="702"/>
      <c r="D537" s="703"/>
      <c r="E537" s="704"/>
      <c r="F537" s="705"/>
      <c r="G537" s="181"/>
      <c r="H537" s="706"/>
      <c r="I537" s="424"/>
      <c r="J537" s="135"/>
      <c r="K537" s="594"/>
      <c r="L537" s="424"/>
      <c r="M537" s="135"/>
      <c r="N537" s="594"/>
      <c r="O537" s="424"/>
      <c r="P537" s="135"/>
    </row>
    <row r="538" customFormat="false" ht="18.75" hidden="true" customHeight="true" outlineLevel="0" collapsed="false">
      <c r="A538" s="599"/>
      <c r="B538" s="707"/>
      <c r="C538" s="708"/>
      <c r="D538" s="707"/>
      <c r="E538" s="709"/>
      <c r="F538" s="710"/>
      <c r="G538" s="260"/>
      <c r="H538" s="711"/>
      <c r="I538" s="712"/>
      <c r="J538" s="603"/>
      <c r="K538" s="711"/>
      <c r="L538" s="712"/>
      <c r="M538" s="195"/>
      <c r="N538" s="711"/>
      <c r="O538" s="712"/>
      <c r="P538" s="195"/>
    </row>
    <row r="539" customFormat="false" ht="18.75" hidden="true" customHeight="true" outlineLevel="0" collapsed="false">
      <c r="A539" s="604"/>
      <c r="B539" s="713"/>
      <c r="C539" s="714"/>
      <c r="D539" s="713"/>
      <c r="E539" s="709"/>
      <c r="F539" s="710"/>
      <c r="G539" s="441"/>
      <c r="H539" s="713"/>
      <c r="I539" s="709"/>
      <c r="J539" s="458"/>
      <c r="K539" s="713"/>
      <c r="L539" s="709"/>
      <c r="M539" s="130"/>
      <c r="N539" s="713"/>
      <c r="O539" s="709"/>
      <c r="P539" s="130"/>
    </row>
    <row r="540" customFormat="false" ht="18.75" hidden="true" customHeight="true" outlineLevel="0" collapsed="false">
      <c r="A540" s="604"/>
      <c r="B540" s="707"/>
      <c r="C540" s="708"/>
      <c r="D540" s="707"/>
      <c r="E540" s="715"/>
      <c r="F540" s="716"/>
      <c r="G540" s="260"/>
      <c r="H540" s="707"/>
      <c r="I540" s="715"/>
      <c r="J540" s="601"/>
      <c r="K540" s="707"/>
      <c r="L540" s="715"/>
      <c r="M540" s="696"/>
      <c r="N540" s="707"/>
      <c r="O540" s="715"/>
      <c r="P540" s="696"/>
    </row>
    <row r="541" customFormat="false" ht="18.75" hidden="true" customHeight="true" outlineLevel="0" collapsed="false">
      <c r="A541" s="605"/>
      <c r="B541" s="717"/>
      <c r="C541" s="718"/>
      <c r="D541" s="717"/>
      <c r="E541" s="719"/>
      <c r="F541" s="720"/>
      <c r="G541" s="664"/>
      <c r="H541" s="713"/>
      <c r="I541" s="721"/>
      <c r="J541" s="609"/>
      <c r="K541" s="713"/>
      <c r="L541" s="709"/>
      <c r="M541" s="130"/>
      <c r="N541" s="713"/>
      <c r="O541" s="709"/>
      <c r="P541" s="130"/>
    </row>
    <row r="542" customFormat="false" ht="18.75" hidden="false" customHeight="true" outlineLevel="0" collapsed="false">
      <c r="A542" s="171" t="str">
        <f aca="false">'☆掛負収入'!A542</f>
        <v>小　計</v>
      </c>
      <c r="B542" s="404"/>
      <c r="C542" s="174"/>
      <c r="D542" s="404"/>
      <c r="E542" s="174"/>
      <c r="F542" s="175"/>
      <c r="G542" s="176"/>
      <c r="H542" s="404"/>
      <c r="I542" s="174"/>
      <c r="J542" s="173"/>
      <c r="K542" s="404"/>
      <c r="L542" s="174"/>
      <c r="M542" s="173"/>
      <c r="N542" s="404"/>
      <c r="O542" s="174"/>
      <c r="P542" s="173"/>
    </row>
    <row r="543" customFormat="false" ht="18.75" hidden="false" customHeight="true" outlineLevel="0" collapsed="false">
      <c r="A543" s="177" t="str">
        <f aca="false">'☆掛負収入'!A543</f>
        <v>地方税共同機構</v>
      </c>
      <c r="B543" s="444" t="n">
        <f aca="false">'☆掛負収入'!B543</f>
        <v>0</v>
      </c>
      <c r="C543" s="235" t="n">
        <f aca="false">'☆掛負収入'!C543</f>
        <v>0</v>
      </c>
      <c r="D543" s="611" t="n">
        <f aca="false">'☆掛負収入'!D543</f>
        <v>0</v>
      </c>
      <c r="E543" s="447" t="n">
        <f aca="false">'☆掛負収入'!E543</f>
        <v>0</v>
      </c>
      <c r="F543" s="446" t="n">
        <f aca="false">'☆掛負収入'!F543</f>
        <v>0</v>
      </c>
      <c r="G543" s="181" t="n">
        <f aca="false">SUM(B543:F543)</f>
        <v>0</v>
      </c>
      <c r="H543" s="594" t="n">
        <f aca="false">'☆掛負収入'!H543</f>
        <v>0</v>
      </c>
      <c r="I543" s="424" t="n">
        <f aca="false">'☆掛負収入'!I543</f>
        <v>0</v>
      </c>
      <c r="J543" s="135" t="n">
        <f aca="false">SUM(H543:I543)</f>
        <v>0</v>
      </c>
      <c r="K543" s="439" t="n">
        <f aca="false">'☆掛負収入'!K543</f>
        <v>0</v>
      </c>
      <c r="L543" s="424" t="n">
        <f aca="false">'☆掛負収入'!L543</f>
        <v>0</v>
      </c>
      <c r="M543" s="135" t="n">
        <f aca="false">SUM(K543:L543)</f>
        <v>0</v>
      </c>
      <c r="N543" s="439" t="n">
        <f aca="false">'☆掛負収入'!N543</f>
        <v>0</v>
      </c>
      <c r="O543" s="424" t="n">
        <f aca="false">'☆掛負収入'!O543</f>
        <v>0</v>
      </c>
      <c r="P543" s="135" t="n">
        <f aca="false">SUM(N543:O543)</f>
        <v>0</v>
      </c>
    </row>
    <row r="544" customFormat="false" ht="18.75" hidden="false" customHeight="true" outlineLevel="0" collapsed="false">
      <c r="A544" s="100" t="str">
        <f aca="false">'☆掛負収入'!A544</f>
        <v>平和文化センター</v>
      </c>
      <c r="B544" s="449" t="n">
        <f aca="false">'☆掛負収入'!B544</f>
        <v>0</v>
      </c>
      <c r="C544" s="377" t="n">
        <f aca="false">'☆掛負収入'!C544</f>
        <v>0</v>
      </c>
      <c r="D544" s="464" t="n">
        <f aca="false">'☆掛負収入'!D544</f>
        <v>563640</v>
      </c>
      <c r="E544" s="452" t="n">
        <f aca="false">'☆掛負収入'!E544</f>
        <v>46200</v>
      </c>
      <c r="F544" s="223" t="n">
        <f aca="false">'☆掛負収入'!F544</f>
        <v>713</v>
      </c>
      <c r="G544" s="181" t="n">
        <f aca="false">SUM(B544:F544)</f>
        <v>610553</v>
      </c>
      <c r="H544" s="594" t="n">
        <f aca="false">'☆掛負収入'!H544</f>
        <v>0</v>
      </c>
      <c r="I544" s="424" t="n">
        <f aca="false">'☆掛負収入'!I544</f>
        <v>341129</v>
      </c>
      <c r="J544" s="135" t="n">
        <f aca="false">SUM(H544:I544)</f>
        <v>341129</v>
      </c>
      <c r="K544" s="439" t="n">
        <f aca="false">'☆掛負収入'!K544</f>
        <v>0</v>
      </c>
      <c r="L544" s="424" t="n">
        <f aca="false">'☆掛負収入'!L544</f>
        <v>51903</v>
      </c>
      <c r="M544" s="135" t="n">
        <f aca="false">SUM(K544:L544)</f>
        <v>51903</v>
      </c>
      <c r="N544" s="439" t="n">
        <f aca="false">'☆掛負収入'!N544</f>
        <v>0</v>
      </c>
      <c r="O544" s="424" t="n">
        <f aca="false">'☆掛負収入'!O544</f>
        <v>1</v>
      </c>
      <c r="P544" s="135" t="n">
        <f aca="false">SUM(N544:O544)</f>
        <v>1</v>
      </c>
    </row>
    <row r="545" customFormat="false" ht="18.75" hidden="false" customHeight="true" outlineLevel="0" collapsed="false">
      <c r="A545" s="100" t="str">
        <f aca="false">'☆掛負収入'!A545</f>
        <v>社会福祉事業団</v>
      </c>
      <c r="B545" s="600"/>
      <c r="C545" s="210"/>
      <c r="D545" s="451" t="n">
        <f aca="false">'☆掛負収入'!D545</f>
        <v>1881240</v>
      </c>
      <c r="E545" s="453" t="n">
        <f aca="false">'☆掛負収入'!E545</f>
        <v>154200</v>
      </c>
      <c r="F545" s="223" t="n">
        <f aca="false">'☆掛負収入'!F545</f>
        <v>1960</v>
      </c>
      <c r="G545" s="181" t="n">
        <f aca="false">SUM(B545:F545)</f>
        <v>2037400</v>
      </c>
      <c r="H545" s="602"/>
      <c r="I545" s="424" t="n">
        <f aca="false">'☆掛負収入'!I545</f>
        <v>1271974</v>
      </c>
      <c r="J545" s="135" t="n">
        <f aca="false">SUM(H545:I545)</f>
        <v>1271974</v>
      </c>
      <c r="K545" s="612"/>
      <c r="L545" s="424" t="n">
        <f aca="false">'☆掛負収入'!L545</f>
        <v>141252</v>
      </c>
      <c r="M545" s="135" t="n">
        <f aca="false">SUM(K545:L545)</f>
        <v>141252</v>
      </c>
      <c r="N545" s="612"/>
      <c r="O545" s="424" t="n">
        <f aca="false">'☆掛負収入'!O545</f>
        <v>1</v>
      </c>
      <c r="P545" s="135" t="n">
        <f aca="false">SUM(N545:O545)</f>
        <v>1</v>
      </c>
    </row>
    <row r="546" customFormat="false" ht="18.75" hidden="false" customHeight="true" outlineLevel="0" collapsed="false">
      <c r="A546" s="100" t="str">
        <f aca="false">'☆掛負収入'!A546</f>
        <v>原爆障害対策協議会</v>
      </c>
      <c r="B546" s="600"/>
      <c r="C546" s="210"/>
      <c r="D546" s="445" t="n">
        <f aca="false">'☆掛負収入'!D546</f>
        <v>48495</v>
      </c>
      <c r="E546" s="453" t="n">
        <f aca="false">'☆掛負収入'!E546</f>
        <v>3975</v>
      </c>
      <c r="F546" s="223" t="n">
        <f aca="false">'☆掛負収入'!F546</f>
        <v>49</v>
      </c>
      <c r="G546" s="181" t="n">
        <f aca="false">SUM(B546:F546)</f>
        <v>52519</v>
      </c>
      <c r="H546" s="602"/>
      <c r="I546" s="424" t="n">
        <f aca="false">'☆掛負収入'!I546</f>
        <v>29208</v>
      </c>
      <c r="J546" s="135" t="n">
        <f aca="false">SUM(H546:I546)</f>
        <v>29208</v>
      </c>
      <c r="K546" s="612"/>
      <c r="L546" s="424" t="n">
        <f aca="false">'☆掛負収入'!L546</f>
        <v>4187</v>
      </c>
      <c r="M546" s="135" t="n">
        <f aca="false">SUM(K546:L546)</f>
        <v>4187</v>
      </c>
      <c r="N546" s="612"/>
      <c r="O546" s="424" t="n">
        <f aca="false">'☆掛負収入'!O546</f>
        <v>1</v>
      </c>
      <c r="P546" s="135" t="n">
        <f aca="false">SUM(N546:O546)</f>
        <v>1</v>
      </c>
    </row>
    <row r="547" customFormat="false" ht="18.75" hidden="false" customHeight="true" outlineLevel="0" collapsed="false">
      <c r="A547" s="189" t="str">
        <f aca="false">'☆掛負収入'!A547</f>
        <v>産業振興センター</v>
      </c>
      <c r="B547" s="600"/>
      <c r="C547" s="210"/>
      <c r="D547" s="445" t="n">
        <f aca="false">'☆掛負収入'!D547</f>
        <v>425475</v>
      </c>
      <c r="E547" s="453" t="n">
        <f aca="false">'☆掛負収入'!E547</f>
        <v>34875</v>
      </c>
      <c r="F547" s="223" t="n">
        <f aca="false">'☆掛負収入'!F547</f>
        <v>435</v>
      </c>
      <c r="G547" s="181" t="n">
        <f aca="false">SUM(B547:F547)</f>
        <v>460785</v>
      </c>
      <c r="H547" s="602"/>
      <c r="I547" s="424" t="n">
        <f aca="false">'☆掛負収入'!I547</f>
        <v>256260</v>
      </c>
      <c r="J547" s="135" t="n">
        <f aca="false">SUM(H547:I547)</f>
        <v>256260</v>
      </c>
      <c r="K547" s="612"/>
      <c r="L547" s="424" t="n">
        <f aca="false">'☆掛負収入'!L547</f>
        <v>34207</v>
      </c>
      <c r="M547" s="135" t="n">
        <f aca="false">SUM(K547:L547)</f>
        <v>34207</v>
      </c>
      <c r="N547" s="612"/>
      <c r="O547" s="424" t="n">
        <f aca="false">'☆掛負収入'!O547</f>
        <v>1</v>
      </c>
      <c r="P547" s="135" t="n">
        <f aca="false">SUM(N547:O547)</f>
        <v>1</v>
      </c>
    </row>
    <row r="548" customFormat="false" ht="18.75" hidden="false" customHeight="true" outlineLevel="0" collapsed="false">
      <c r="A548" s="121" t="str">
        <f aca="false">'☆掛負収入'!A548</f>
        <v>ひろしま産業振興</v>
      </c>
      <c r="B548" s="600"/>
      <c r="C548" s="459"/>
      <c r="D548" s="445" t="n">
        <f aca="false">'☆掛負収入'!D548</f>
        <v>86010</v>
      </c>
      <c r="E548" s="453" t="n">
        <f aca="false">'☆掛負収入'!E548</f>
        <v>7050</v>
      </c>
      <c r="F548" s="454" t="n">
        <f aca="false">'☆掛負収入'!F548</f>
        <v>88</v>
      </c>
      <c r="G548" s="181" t="n">
        <f aca="false">SUM(B548:F548)</f>
        <v>93148</v>
      </c>
      <c r="H548" s="602"/>
      <c r="I548" s="407" t="n">
        <f aca="false">'☆掛負収入'!I548</f>
        <v>51803</v>
      </c>
      <c r="J548" s="135" t="n">
        <f aca="false">SUM(H548:I548)</f>
        <v>51803</v>
      </c>
      <c r="K548" s="612"/>
      <c r="L548" s="407" t="n">
        <f aca="false">'☆掛負収入'!L548</f>
        <v>7426</v>
      </c>
      <c r="M548" s="135" t="n">
        <f aca="false">SUM(K548:L548)</f>
        <v>7426</v>
      </c>
      <c r="N548" s="612"/>
      <c r="O548" s="407" t="n">
        <f aca="false">'☆掛負収入'!O548</f>
        <v>1</v>
      </c>
      <c r="P548" s="135" t="n">
        <f aca="false">SUM(N548:O548)</f>
        <v>1</v>
      </c>
    </row>
    <row r="549" customFormat="false" ht="18.75" hidden="false" customHeight="true" outlineLevel="0" collapsed="false">
      <c r="A549" s="121" t="str">
        <f aca="false">'☆掛負収入'!A549</f>
        <v>都市整備公社　市</v>
      </c>
      <c r="B549" s="600"/>
      <c r="C549" s="459"/>
      <c r="D549" s="451" t="n">
        <f aca="false">'☆掛負収入'!D549</f>
        <v>48495</v>
      </c>
      <c r="E549" s="453" t="n">
        <f aca="false">'☆掛負収入'!E549</f>
        <v>3975</v>
      </c>
      <c r="F549" s="223" t="n">
        <f aca="false">'☆掛負収入'!F549</f>
        <v>49</v>
      </c>
      <c r="G549" s="181" t="n">
        <f aca="false">SUM(B549:F549)</f>
        <v>52519</v>
      </c>
      <c r="H549" s="602"/>
      <c r="I549" s="424" t="n">
        <f aca="false">'☆掛負収入'!I549</f>
        <v>29208</v>
      </c>
      <c r="J549" s="135" t="n">
        <f aca="false">SUM(H549:I549)</f>
        <v>29208</v>
      </c>
      <c r="K549" s="612"/>
      <c r="L549" s="424" t="n">
        <f aca="false">'☆掛負収入'!L549</f>
        <v>4187</v>
      </c>
      <c r="M549" s="135" t="n">
        <f aca="false">SUM(K549:L549)</f>
        <v>4187</v>
      </c>
      <c r="N549" s="612"/>
      <c r="O549" s="424" t="n">
        <f aca="false">'☆掛負収入'!O549</f>
        <v>1</v>
      </c>
      <c r="P549" s="135" t="n">
        <f aca="false">SUM(N549:O549)</f>
        <v>1</v>
      </c>
    </row>
    <row r="550" customFormat="false" ht="18.75" hidden="false" customHeight="true" outlineLevel="0" collapsed="false">
      <c r="A550" s="192"/>
      <c r="B550" s="600"/>
      <c r="C550" s="196"/>
      <c r="D550" s="449"/>
      <c r="E550" s="453"/>
      <c r="F550" s="223"/>
      <c r="G550" s="181"/>
      <c r="H550" s="602"/>
      <c r="I550" s="424"/>
      <c r="J550" s="135"/>
      <c r="K550" s="612"/>
      <c r="L550" s="424"/>
      <c r="M550" s="135" t="n">
        <f aca="false">SUM(K550:L550)</f>
        <v>0</v>
      </c>
      <c r="N550" s="612"/>
      <c r="O550" s="424"/>
      <c r="P550" s="135" t="n">
        <f aca="false">SUM(N550:O550)</f>
        <v>0</v>
      </c>
    </row>
    <row r="551" customFormat="false" ht="18.75" hidden="false" customHeight="true" outlineLevel="0" collapsed="false">
      <c r="A551" s="121" t="str">
        <f aca="false">'☆掛負収入'!A551</f>
        <v>日本下水道事業団</v>
      </c>
      <c r="B551" s="451" t="n">
        <f aca="false">'☆掛負収入'!B551</f>
        <v>245220</v>
      </c>
      <c r="C551" s="223" t="n">
        <f aca="false">'☆掛負収入'!C551</f>
        <v>20100</v>
      </c>
      <c r="D551" s="449" t="n">
        <f aca="false">'☆掛負収入'!D551</f>
        <v>245220</v>
      </c>
      <c r="E551" s="453" t="n">
        <f aca="false">'☆掛負収入'!E551</f>
        <v>20100</v>
      </c>
      <c r="F551" s="223" t="n">
        <f aca="false">'☆掛負収入'!F551</f>
        <v>251</v>
      </c>
      <c r="G551" s="181" t="n">
        <f aca="false">SUM(B551:F551)</f>
        <v>530891</v>
      </c>
      <c r="H551" s="594" t="n">
        <f aca="false">'☆掛負収入'!H551</f>
        <v>147425</v>
      </c>
      <c r="I551" s="424" t="n">
        <f aca="false">'☆掛負収入'!I551</f>
        <v>147694</v>
      </c>
      <c r="J551" s="135" t="n">
        <f aca="false">SUM(H551:I551)</f>
        <v>295119</v>
      </c>
      <c r="K551" s="439" t="n">
        <f aca="false">'☆掛負収入'!K551</f>
        <v>9559</v>
      </c>
      <c r="L551" s="424" t="n">
        <f aca="false">'☆掛負収入'!L551</f>
        <v>9559</v>
      </c>
      <c r="M551" s="135" t="n">
        <f aca="false">SUM(K551:L551)</f>
        <v>19118</v>
      </c>
      <c r="N551" s="439" t="n">
        <f aca="false">'☆掛負収入'!N551</f>
        <v>1</v>
      </c>
      <c r="O551" s="424" t="n">
        <f aca="false">'☆掛負収入'!O551</f>
        <v>1</v>
      </c>
      <c r="P551" s="135" t="n">
        <f aca="false">SUM(N551:O551)</f>
        <v>2</v>
      </c>
    </row>
    <row r="552" customFormat="false" ht="18.75" hidden="false" customHeight="true" outlineLevel="0" collapsed="false">
      <c r="A552" s="100" t="str">
        <f aca="false">'☆掛負収入'!A552</f>
        <v>地方公務員災害補償基金本部</v>
      </c>
      <c r="B552" s="451" t="n">
        <f aca="false">'☆掛負収入'!B552</f>
        <v>40260</v>
      </c>
      <c r="C552" s="223" t="n">
        <f aca="false">'☆掛負収入'!C552</f>
        <v>3300</v>
      </c>
      <c r="D552" s="449" t="n">
        <f aca="false">'☆掛負収入'!D552</f>
        <v>40260</v>
      </c>
      <c r="E552" s="453" t="n">
        <f aca="false">'☆掛負収入'!E552</f>
        <v>3300</v>
      </c>
      <c r="F552" s="223" t="n">
        <f aca="false">'☆掛負収入'!F552</f>
        <v>41</v>
      </c>
      <c r="G552" s="181" t="n">
        <f aca="false">SUM(B552:F552)</f>
        <v>87161</v>
      </c>
      <c r="H552" s="594" t="n">
        <f aca="false">'☆掛負収入'!H552</f>
        <v>24204</v>
      </c>
      <c r="I552" s="424" t="n">
        <f aca="false">'☆掛負収入'!I552</f>
        <v>24248</v>
      </c>
      <c r="J552" s="135" t="n">
        <f aca="false">SUM(H552:I552)</f>
        <v>48452</v>
      </c>
      <c r="K552" s="439" t="n">
        <f aca="false">'☆掛負収入'!K552</f>
        <v>0</v>
      </c>
      <c r="L552" s="424" t="n">
        <f aca="false">'☆掛負収入'!L552</f>
        <v>0</v>
      </c>
      <c r="M552" s="135" t="n">
        <f aca="false">SUM(K552:L552)</f>
        <v>0</v>
      </c>
      <c r="N552" s="439" t="n">
        <f aca="false">'☆掛負収入'!N552</f>
        <v>1</v>
      </c>
      <c r="O552" s="424" t="n">
        <f aca="false">'☆掛負収入'!O552</f>
        <v>1</v>
      </c>
      <c r="P552" s="135" t="n">
        <f aca="false">SUM(N552:O552)</f>
        <v>2</v>
      </c>
    </row>
    <row r="553" customFormat="false" ht="18.75" hidden="false" customHeight="true" outlineLevel="0" collapsed="false">
      <c r="A553" s="197"/>
      <c r="B553" s="449"/>
      <c r="C553" s="223"/>
      <c r="D553" s="449"/>
      <c r="E553" s="453"/>
      <c r="F553" s="223"/>
      <c r="G553" s="181"/>
      <c r="H553" s="594"/>
      <c r="I553" s="424"/>
      <c r="J553" s="135"/>
      <c r="K553" s="439"/>
      <c r="L553" s="424"/>
      <c r="M553" s="135" t="n">
        <f aca="false">SUM(K553:L553)</f>
        <v>0</v>
      </c>
      <c r="N553" s="439"/>
      <c r="O553" s="424"/>
      <c r="P553" s="135" t="n">
        <f aca="false">SUM(N553:O553)</f>
        <v>0</v>
      </c>
    </row>
    <row r="554" customFormat="false" ht="18.75" hidden="false" customHeight="true" outlineLevel="0" collapsed="false">
      <c r="A554" s="100" t="str">
        <f aca="false">'☆掛負収入'!A554</f>
        <v>高速道路公社</v>
      </c>
      <c r="B554" s="464" t="n">
        <f aca="false">'☆掛負収入'!B554</f>
        <v>912255</v>
      </c>
      <c r="C554" s="454" t="n">
        <f aca="false">'☆掛負収入'!C554</f>
        <v>74775</v>
      </c>
      <c r="D554" s="464" t="n">
        <f aca="false">'☆掛負収入'!D554</f>
        <v>912255</v>
      </c>
      <c r="E554" s="470" t="n">
        <f aca="false">'☆掛負収入'!E554</f>
        <v>74775</v>
      </c>
      <c r="F554" s="466" t="n">
        <f aca="false">'☆掛負収入'!F554</f>
        <v>936</v>
      </c>
      <c r="G554" s="181" t="n">
        <f aca="false">SUM(B554:F554)</f>
        <v>1974996</v>
      </c>
      <c r="H554" s="613" t="n">
        <f aca="false">'☆掛負収入'!H554</f>
        <v>548442</v>
      </c>
      <c r="I554" s="614" t="n">
        <f aca="false">'☆掛負収入'!I554</f>
        <v>549446</v>
      </c>
      <c r="J554" s="135" t="n">
        <f aca="false">SUM(H554:I554)</f>
        <v>1097888</v>
      </c>
      <c r="K554" s="615" t="n">
        <f aca="false">'☆掛負収入'!K554</f>
        <v>50086</v>
      </c>
      <c r="L554" s="614" t="n">
        <f aca="false">'☆掛負収入'!L554</f>
        <v>50086</v>
      </c>
      <c r="M554" s="135" t="n">
        <f aca="false">SUM(K554:L554)</f>
        <v>100172</v>
      </c>
      <c r="N554" s="615" t="n">
        <f aca="false">'☆掛負収入'!N554</f>
        <v>1</v>
      </c>
      <c r="O554" s="614" t="n">
        <f aca="false">'☆掛負収入'!O554</f>
        <v>1</v>
      </c>
      <c r="P554" s="135" t="n">
        <f aca="false">SUM(N554:O554)</f>
        <v>2</v>
      </c>
    </row>
    <row r="555" customFormat="false" ht="18.75" hidden="false" customHeight="true" outlineLevel="0" collapsed="false">
      <c r="A555" s="100" t="str">
        <f aca="false">'☆掛負収入'!A555</f>
        <v>農林水産振興センタ</v>
      </c>
      <c r="B555" s="457"/>
      <c r="C555" s="459"/>
      <c r="D555" s="451" t="n">
        <f aca="false">'☆掛負収入'!D555</f>
        <v>571875</v>
      </c>
      <c r="E555" s="473" t="n">
        <f aca="false">'☆掛負収入'!E555</f>
        <v>46875</v>
      </c>
      <c r="F555" s="454" t="n">
        <f aca="false">'☆掛負収入'!F555</f>
        <v>613</v>
      </c>
      <c r="G555" s="181" t="n">
        <f aca="false">SUM(B555:F555)</f>
        <v>619363</v>
      </c>
      <c r="H555" s="616"/>
      <c r="I555" s="407" t="n">
        <f aca="false">'☆掛負収入'!I555</f>
        <v>344467</v>
      </c>
      <c r="J555" s="135" t="n">
        <f aca="false">SUM(H555:I555)</f>
        <v>344467</v>
      </c>
      <c r="K555" s="617"/>
      <c r="L555" s="407" t="n">
        <f aca="false">'☆掛負収入'!L555</f>
        <v>27255</v>
      </c>
      <c r="M555" s="135" t="n">
        <f aca="false">SUM(K555:L555)</f>
        <v>27255</v>
      </c>
      <c r="N555" s="617"/>
      <c r="O555" s="407" t="n">
        <f aca="false">'☆掛負収入'!O555</f>
        <v>1</v>
      </c>
      <c r="P555" s="135" t="n">
        <f aca="false">SUM(N555:O555)</f>
        <v>1</v>
      </c>
    </row>
    <row r="556" customFormat="false" ht="18.75" hidden="false" customHeight="true" outlineLevel="0" collapsed="false">
      <c r="A556" s="203" t="str">
        <f aca="false">'☆掛負収入'!A556</f>
        <v>文化財団　市長部局</v>
      </c>
      <c r="B556" s="600"/>
      <c r="C556" s="196"/>
      <c r="D556" s="449" t="n">
        <f aca="false">'☆掛負収入'!D556</f>
        <v>1160220</v>
      </c>
      <c r="E556" s="453" t="n">
        <f aca="false">'☆掛負収入'!E556</f>
        <v>95100</v>
      </c>
      <c r="F556" s="454" t="n">
        <f aca="false">'☆掛負収入'!F556</f>
        <v>1185</v>
      </c>
      <c r="G556" s="181" t="n">
        <f aca="false">SUM(B556:F556)</f>
        <v>1256505</v>
      </c>
      <c r="H556" s="602"/>
      <c r="I556" s="407" t="n">
        <f aca="false">'☆掛負収入'!I556</f>
        <v>698790</v>
      </c>
      <c r="J556" s="135" t="n">
        <f aca="false">SUM(H556:I556)</f>
        <v>698790</v>
      </c>
      <c r="K556" s="612"/>
      <c r="L556" s="407" t="n">
        <f aca="false">'☆掛負収入'!L556</f>
        <v>94721</v>
      </c>
      <c r="M556" s="135" t="n">
        <f aca="false">SUM(K556:L556)</f>
        <v>94721</v>
      </c>
      <c r="N556" s="612"/>
      <c r="O556" s="407" t="n">
        <f aca="false">'☆掛負収入'!O556</f>
        <v>1</v>
      </c>
      <c r="P556" s="135" t="n">
        <f aca="false">SUM(N556:O556)</f>
        <v>1</v>
      </c>
    </row>
    <row r="557" customFormat="false" ht="18.75" hidden="false" customHeight="true" outlineLevel="0" collapsed="false">
      <c r="A557" s="204"/>
      <c r="B557" s="600"/>
      <c r="C557" s="196"/>
      <c r="D557" s="449"/>
      <c r="E557" s="453"/>
      <c r="F557" s="454"/>
      <c r="G557" s="181"/>
      <c r="H557" s="602"/>
      <c r="I557" s="407"/>
      <c r="J557" s="135"/>
      <c r="K557" s="612"/>
      <c r="L557" s="407"/>
      <c r="M557" s="135" t="n">
        <f aca="false">SUM(K557:L557)</f>
        <v>0</v>
      </c>
      <c r="N557" s="612"/>
      <c r="O557" s="407"/>
      <c r="P557" s="135" t="n">
        <f aca="false">SUM(N557:O557)</f>
        <v>0</v>
      </c>
    </row>
    <row r="558" customFormat="false" ht="18.75" hidden="false" customHeight="true" outlineLevel="0" collapsed="false">
      <c r="A558" s="100" t="str">
        <f aca="false">'☆掛負収入'!A558</f>
        <v>みどり生きもの協会</v>
      </c>
      <c r="B558" s="600"/>
      <c r="C558" s="196"/>
      <c r="D558" s="449" t="n">
        <f aca="false">'☆掛負収入'!D558</f>
        <v>394365</v>
      </c>
      <c r="E558" s="453" t="n">
        <f aca="false">'☆掛負収入'!E558</f>
        <v>32325</v>
      </c>
      <c r="F558" s="454" t="n">
        <f aca="false">'☆掛負収入'!F558</f>
        <v>403</v>
      </c>
      <c r="G558" s="181" t="n">
        <f aca="false">SUM(B558:F558)</f>
        <v>427093</v>
      </c>
      <c r="H558" s="602"/>
      <c r="I558" s="407" t="n">
        <f aca="false">'☆掛負収入'!I558</f>
        <v>237523</v>
      </c>
      <c r="J558" s="135" t="n">
        <f aca="false">SUM(H558:I558)</f>
        <v>237523</v>
      </c>
      <c r="K558" s="612"/>
      <c r="L558" s="407" t="n">
        <f aca="false">'☆掛負収入'!L558</f>
        <v>34049</v>
      </c>
      <c r="M558" s="135" t="n">
        <f aca="false">SUM(K558:L558)</f>
        <v>34049</v>
      </c>
      <c r="N558" s="612"/>
      <c r="O558" s="407" t="n">
        <f aca="false">'☆掛負収入'!O558</f>
        <v>1</v>
      </c>
      <c r="P558" s="135" t="n">
        <f aca="false">SUM(N558:O558)</f>
        <v>1</v>
      </c>
    </row>
    <row r="559" customFormat="false" ht="18.75" hidden="false" customHeight="true" outlineLevel="0" collapsed="false">
      <c r="A559" s="121" t="str">
        <f aca="false">'☆掛負収入'!A559</f>
        <v>県下水道公社</v>
      </c>
      <c r="B559" s="449" t="n">
        <f aca="false">'☆掛負収入'!B559</f>
        <v>137250</v>
      </c>
      <c r="C559" s="223" t="n">
        <f aca="false">'☆掛負収入'!C559</f>
        <v>11250</v>
      </c>
      <c r="D559" s="449" t="n">
        <f aca="false">'☆掛負収入'!D559</f>
        <v>137250</v>
      </c>
      <c r="E559" s="453" t="n">
        <f aca="false">'☆掛負収入'!E559</f>
        <v>11250</v>
      </c>
      <c r="F559" s="454" t="n">
        <f aca="false">'☆掛負収入'!F559</f>
        <v>140</v>
      </c>
      <c r="G559" s="181" t="n">
        <f aca="false">SUM(B559:F559)</f>
        <v>297140</v>
      </c>
      <c r="H559" s="594" t="n">
        <f aca="false">'☆掛負収入'!H559</f>
        <v>82514</v>
      </c>
      <c r="I559" s="407" t="n">
        <f aca="false">'☆掛負収入'!I559</f>
        <v>82665</v>
      </c>
      <c r="J559" s="135" t="n">
        <f aca="false">SUM(H559:I559)</f>
        <v>165179</v>
      </c>
      <c r="K559" s="439" t="n">
        <f aca="false">'☆掛負収入'!K559</f>
        <v>8611</v>
      </c>
      <c r="L559" s="407" t="n">
        <f aca="false">'☆掛負収入'!L559</f>
        <v>8611</v>
      </c>
      <c r="M559" s="135" t="n">
        <f aca="false">SUM(K559:L559)</f>
        <v>17222</v>
      </c>
      <c r="N559" s="439" t="n">
        <f aca="false">'☆掛負収入'!N559</f>
        <v>1</v>
      </c>
      <c r="O559" s="407" t="n">
        <f aca="false">'☆掛負収入'!O559</f>
        <v>1</v>
      </c>
      <c r="P559" s="135" t="n">
        <f aca="false">SUM(N559:O559)</f>
        <v>2</v>
      </c>
    </row>
    <row r="560" customFormat="false" ht="18.75" hidden="false" customHeight="true" outlineLevel="0" collapsed="false">
      <c r="A560" s="121" t="str">
        <f aca="false">'☆掛負収入'!A560</f>
        <v>バス協調・共創
プラットフォーム</v>
      </c>
      <c r="B560" s="457"/>
      <c r="C560" s="459"/>
      <c r="D560" s="451" t="n">
        <f aca="false">'☆掛負収入'!D560</f>
        <v>472140</v>
      </c>
      <c r="E560" s="473" t="n">
        <f aca="false">'☆掛負収入'!E560</f>
        <v>38700</v>
      </c>
      <c r="F560" s="454" t="n">
        <f aca="false">'☆掛負収入'!F560</f>
        <v>484</v>
      </c>
      <c r="G560" s="181" t="n">
        <f aca="false">SUM(B560:F560)</f>
        <v>511324</v>
      </c>
      <c r="H560" s="616"/>
      <c r="I560" s="407" t="n">
        <f aca="false">'☆掛負収入'!I560</f>
        <v>289878</v>
      </c>
      <c r="J560" s="135" t="n">
        <f aca="false">SUM(H560:I560)</f>
        <v>289878</v>
      </c>
      <c r="K560" s="617"/>
      <c r="L560" s="407" t="n">
        <f aca="false">'☆掛負収入'!L560</f>
        <v>25517</v>
      </c>
      <c r="M560" s="135" t="n">
        <f aca="false">SUM(K560:L560)</f>
        <v>25517</v>
      </c>
      <c r="N560" s="617"/>
      <c r="O560" s="407" t="n">
        <f aca="false">'☆掛負収入'!O560</f>
        <v>1</v>
      </c>
      <c r="P560" s="135" t="n">
        <f aca="false">SUM(N560:O560)</f>
        <v>1</v>
      </c>
    </row>
    <row r="561" customFormat="false" ht="18.75" hidden="false" customHeight="true" outlineLevel="0" collapsed="false">
      <c r="A561" s="121" t="str">
        <f aca="false">'☆掛負収入'!A561</f>
        <v>広島県市長会</v>
      </c>
      <c r="B561" s="449" t="n">
        <f aca="false">'☆掛負収入'!B561</f>
        <v>56730</v>
      </c>
      <c r="C561" s="223" t="n">
        <f aca="false">'☆掛負収入'!C561</f>
        <v>4650</v>
      </c>
      <c r="D561" s="449" t="n">
        <f aca="false">'☆掛負収入'!D561</f>
        <v>56730</v>
      </c>
      <c r="E561" s="453" t="n">
        <f aca="false">'☆掛負収入'!E561</f>
        <v>4650</v>
      </c>
      <c r="F561" s="223" t="n">
        <f aca="false">'☆掛負収入'!F561</f>
        <v>58</v>
      </c>
      <c r="G561" s="181" t="n">
        <f aca="false">SUM(B561:F561)</f>
        <v>122818</v>
      </c>
      <c r="H561" s="594" t="n">
        <f aca="false">'☆掛負収入'!H561</f>
        <v>34106</v>
      </c>
      <c r="I561" s="424" t="n">
        <f aca="false">'☆掛負収入'!I561</f>
        <v>34168</v>
      </c>
      <c r="J561" s="135" t="n">
        <f aca="false">SUM(H561:I561)</f>
        <v>68274</v>
      </c>
      <c r="K561" s="439" t="n">
        <f aca="false">'☆掛負収入'!K561</f>
        <v>4898</v>
      </c>
      <c r="L561" s="424" t="n">
        <f aca="false">'☆掛負収入'!L561</f>
        <v>4898</v>
      </c>
      <c r="M561" s="135" t="n">
        <f aca="false">SUM(K561:L561)</f>
        <v>9796</v>
      </c>
      <c r="N561" s="439" t="n">
        <f aca="false">'☆掛負収入'!N561</f>
        <v>1</v>
      </c>
      <c r="O561" s="424" t="n">
        <f aca="false">'☆掛負収入'!O561</f>
        <v>1</v>
      </c>
      <c r="P561" s="135" t="n">
        <f aca="false">SUM(N561:O561)</f>
        <v>2</v>
      </c>
    </row>
    <row r="562" customFormat="false" ht="18.75" hidden="false" customHeight="true" outlineLevel="0" collapsed="false">
      <c r="A562" s="189" t="str">
        <f aca="false">'☆掛負収入'!A562</f>
        <v>全国市町村研修財団</v>
      </c>
      <c r="B562" s="451" t="n">
        <f aca="false">'☆掛負収入'!B562</f>
        <v>59475</v>
      </c>
      <c r="C562" s="223" t="n">
        <f aca="false">'☆掛負収入'!C562</f>
        <v>4875</v>
      </c>
      <c r="D562" s="449" t="n">
        <f aca="false">'☆掛負収入'!D562</f>
        <v>59475</v>
      </c>
      <c r="E562" s="453" t="n">
        <f aca="false">'☆掛負収入'!E562</f>
        <v>4875</v>
      </c>
      <c r="F562" s="223" t="n">
        <f aca="false">'☆掛負収入'!F562</f>
        <v>61</v>
      </c>
      <c r="G562" s="181" t="n">
        <f aca="false">SUM(B562:F562)</f>
        <v>128761</v>
      </c>
      <c r="H562" s="594" t="n">
        <f aca="false">'☆掛負収入'!H562</f>
        <v>41257</v>
      </c>
      <c r="I562" s="424" t="n">
        <f aca="false">'☆掛負収入'!I562</f>
        <v>41332</v>
      </c>
      <c r="J562" s="135" t="n">
        <f aca="false">SUM(H562:I562)</f>
        <v>82589</v>
      </c>
      <c r="K562" s="439" t="n">
        <f aca="false">'☆掛負収入'!K562</f>
        <v>5925</v>
      </c>
      <c r="L562" s="424" t="n">
        <f aca="false">'☆掛負収入'!L562</f>
        <v>5925</v>
      </c>
      <c r="M562" s="135" t="n">
        <f aca="false">SUM(K562:L562)</f>
        <v>11850</v>
      </c>
      <c r="N562" s="439" t="n">
        <f aca="false">'☆掛負収入'!N562</f>
        <v>1</v>
      </c>
      <c r="O562" s="424" t="n">
        <f aca="false">'☆掛負収入'!O562</f>
        <v>1</v>
      </c>
      <c r="P562" s="135" t="n">
        <f aca="false">SUM(N562:O562)</f>
        <v>2</v>
      </c>
    </row>
    <row r="563" customFormat="false" ht="18.75" hidden="false" customHeight="true" outlineLevel="0" collapsed="false">
      <c r="A563" s="189" t="str">
        <f aca="false">'☆掛負収入'!A563</f>
        <v>都市再生機構</v>
      </c>
      <c r="B563" s="449" t="n">
        <f aca="false">'☆掛負収入'!B563</f>
        <v>48495</v>
      </c>
      <c r="C563" s="223" t="n">
        <f aca="false">'☆掛負収入'!C563</f>
        <v>3975</v>
      </c>
      <c r="D563" s="449" t="n">
        <f aca="false">'☆掛負収入'!D563</f>
        <v>48495</v>
      </c>
      <c r="E563" s="453" t="n">
        <f aca="false">'☆掛負収入'!E563</f>
        <v>3975</v>
      </c>
      <c r="F563" s="223" t="n">
        <f aca="false">'☆掛負収入'!F563</f>
        <v>49</v>
      </c>
      <c r="G563" s="181" t="n">
        <f aca="false">SUM(B563:F563)</f>
        <v>104989</v>
      </c>
      <c r="H563" s="594" t="n">
        <f aca="false">'☆掛負収入'!H563</f>
        <v>29155</v>
      </c>
      <c r="I563" s="424" t="n">
        <f aca="false">'☆掛負収入'!I563</f>
        <v>29208</v>
      </c>
      <c r="J563" s="135" t="n">
        <f aca="false">SUM(H563:I563)</f>
        <v>58363</v>
      </c>
      <c r="K563" s="439" t="n">
        <f aca="false">'☆掛負収入'!K563</f>
        <v>0</v>
      </c>
      <c r="L563" s="424" t="n">
        <f aca="false">'☆掛負収入'!L563</f>
        <v>0</v>
      </c>
      <c r="M563" s="135" t="n">
        <f aca="false">SUM(K563:L563)</f>
        <v>0</v>
      </c>
      <c r="N563" s="439" t="n">
        <f aca="false">'☆掛負収入'!N563</f>
        <v>1</v>
      </c>
      <c r="O563" s="424" t="n">
        <f aca="false">'☆掛負収入'!O563</f>
        <v>1</v>
      </c>
      <c r="P563" s="135" t="n">
        <f aca="false">SUM(N563:O563)</f>
        <v>2</v>
      </c>
    </row>
    <row r="564" customFormat="false" ht="18.75" hidden="false" customHeight="true" outlineLevel="0" collapsed="false">
      <c r="A564" s="121" t="str">
        <f aca="false">'☆掛負収入'!A564</f>
        <v>広島市立大学</v>
      </c>
      <c r="B564" s="406" t="n">
        <f aca="false">'☆掛負収入'!B564</f>
        <v>1122705</v>
      </c>
      <c r="C564" s="135" t="n">
        <f aca="false">'☆掛負収入'!C564</f>
        <v>92025</v>
      </c>
      <c r="D564" s="406" t="n">
        <f aca="false">'☆掛負収入'!D564</f>
        <v>1122705</v>
      </c>
      <c r="E564" s="439" t="n">
        <f aca="false">'☆掛負収入'!E564</f>
        <v>92025</v>
      </c>
      <c r="F564" s="223" t="n">
        <f aca="false">'☆掛負収入'!F564</f>
        <v>1337</v>
      </c>
      <c r="G564" s="181" t="n">
        <f aca="false">SUM(B564:F564)</f>
        <v>2430797</v>
      </c>
      <c r="H564" s="594" t="n">
        <f aca="false">'☆掛負収入'!H564</f>
        <v>674963</v>
      </c>
      <c r="I564" s="424" t="n">
        <f aca="false">'☆掛負収入'!I564</f>
        <v>676398</v>
      </c>
      <c r="J564" s="135" t="n">
        <f aca="false">SUM(H564:I564)</f>
        <v>1351361</v>
      </c>
      <c r="K564" s="439" t="n">
        <f aca="false">'☆掛負収入'!K564</f>
        <v>64227</v>
      </c>
      <c r="L564" s="424" t="n">
        <f aca="false">'☆掛負収入'!L564</f>
        <v>64227</v>
      </c>
      <c r="M564" s="135" t="n">
        <f aca="false">SUM(K564:L564)</f>
        <v>128454</v>
      </c>
      <c r="N564" s="439" t="n">
        <f aca="false">'☆掛負収入'!N564</f>
        <v>1</v>
      </c>
      <c r="O564" s="424" t="n">
        <f aca="false">'☆掛負収入'!O564</f>
        <v>1</v>
      </c>
      <c r="P564" s="135" t="n">
        <f aca="false">SUM(N564:O564)</f>
        <v>2</v>
      </c>
    </row>
    <row r="565" customFormat="false" ht="18.75" hidden="false" customHeight="true" outlineLevel="0" collapsed="false">
      <c r="A565" s="121" t="str">
        <f aca="false">'☆掛負収入'!A565</f>
        <v>社会福祉協議会</v>
      </c>
      <c r="B565" s="406" t="n">
        <f aca="false">'☆掛負収入'!B565</f>
        <v>0</v>
      </c>
      <c r="C565" s="135" t="n">
        <f aca="false">'☆掛負収入'!C565</f>
        <v>0</v>
      </c>
      <c r="D565" s="406" t="n">
        <f aca="false">'☆掛負収入'!D565</f>
        <v>245220</v>
      </c>
      <c r="E565" s="439" t="n">
        <f aca="false">'☆掛負収入'!E565</f>
        <v>20100</v>
      </c>
      <c r="F565" s="223" t="n">
        <f aca="false">'☆掛負収入'!F565</f>
        <v>251</v>
      </c>
      <c r="G565" s="181" t="n">
        <f aca="false">SUM(B565:F565)</f>
        <v>265571</v>
      </c>
      <c r="H565" s="594" t="n">
        <f aca="false">'☆掛負収入'!H565</f>
        <v>0</v>
      </c>
      <c r="I565" s="424" t="n">
        <f aca="false">'☆掛負収入'!I565</f>
        <v>151001</v>
      </c>
      <c r="J565" s="135" t="n">
        <f aca="false">SUM(H565:I565)</f>
        <v>151001</v>
      </c>
      <c r="K565" s="439" t="n">
        <f aca="false">'☆掛負収入'!K565</f>
        <v>0</v>
      </c>
      <c r="L565" s="424" t="n">
        <f aca="false">'☆掛負収入'!L565</f>
        <v>10744</v>
      </c>
      <c r="M565" s="135" t="n">
        <f aca="false">SUM(K565:L565)</f>
        <v>10744</v>
      </c>
      <c r="N565" s="439" t="n">
        <f aca="false">'☆掛負収入'!N565</f>
        <v>0</v>
      </c>
      <c r="O565" s="424" t="n">
        <f aca="false">'☆掛負収入'!O565</f>
        <v>1</v>
      </c>
      <c r="P565" s="135" t="n">
        <f aca="false">SUM(N565:O565)</f>
        <v>1</v>
      </c>
    </row>
    <row r="566" customFormat="false" ht="18.75" hidden="false" customHeight="true" outlineLevel="0" collapsed="false">
      <c r="A566" s="203" t="s">
        <v>418</v>
      </c>
      <c r="B566" s="595" t="n">
        <f aca="false">'☆掛負収入'!B568</f>
        <v>0</v>
      </c>
      <c r="C566" s="366" t="n">
        <f aca="false">'☆掛負収入'!C568</f>
        <v>0</v>
      </c>
      <c r="D566" s="595" t="n">
        <f aca="false">'☆掛負収入'!D568</f>
        <v>0</v>
      </c>
      <c r="E566" s="596" t="n">
        <f aca="false">'☆掛負収入'!E568</f>
        <v>0</v>
      </c>
      <c r="F566" s="366" t="n">
        <f aca="false">'☆掛負収入'!F568</f>
        <v>0</v>
      </c>
      <c r="G566" s="181" t="n">
        <f aca="false">SUM(B566:F566)</f>
        <v>0</v>
      </c>
      <c r="H566" s="595" t="n">
        <f aca="false">'☆掛負収入'!H568</f>
        <v>0</v>
      </c>
      <c r="I566" s="596" t="n">
        <f aca="false">'☆掛負収入'!I568</f>
        <v>0</v>
      </c>
      <c r="J566" s="135" t="n">
        <f aca="false">SUM(H566:I566)</f>
        <v>0</v>
      </c>
      <c r="K566" s="439" t="n">
        <f aca="false">'☆掛負収入'!K568</f>
        <v>0</v>
      </c>
      <c r="L566" s="424" t="n">
        <f aca="false">'☆掛負収入'!L568</f>
        <v>0</v>
      </c>
      <c r="M566" s="135" t="n">
        <f aca="false">SUM(K566:L566)</f>
        <v>0</v>
      </c>
      <c r="N566" s="439" t="n">
        <f aca="false">'☆掛負収入'!N568</f>
        <v>0</v>
      </c>
      <c r="O566" s="424" t="n">
        <f aca="false">'☆掛負収入'!O568</f>
        <v>0</v>
      </c>
      <c r="P566" s="135" t="n">
        <f aca="false">SUM(N566:O566)</f>
        <v>0</v>
      </c>
    </row>
    <row r="567" customFormat="false" ht="18.75" hidden="false" customHeight="true" outlineLevel="0" collapsed="false">
      <c r="A567" s="121" t="str">
        <f aca="false">'☆掛負収入'!A569</f>
        <v>全国市長会</v>
      </c>
      <c r="B567" s="595" t="n">
        <f aca="false">'☆掛負収入'!B569</f>
        <v>59475</v>
      </c>
      <c r="C567" s="366" t="n">
        <f aca="false">'☆掛負収入'!C569</f>
        <v>4875</v>
      </c>
      <c r="D567" s="595" t="n">
        <f aca="false">'☆掛負収入'!D569</f>
        <v>59475</v>
      </c>
      <c r="E567" s="596" t="n">
        <f aca="false">'☆掛負収入'!E569</f>
        <v>4875</v>
      </c>
      <c r="F567" s="366" t="n">
        <f aca="false">'☆掛負収入'!F569</f>
        <v>61</v>
      </c>
      <c r="G567" s="181" t="n">
        <f aca="false">SUM(B567:F567)</f>
        <v>128761</v>
      </c>
      <c r="H567" s="595" t="n">
        <f aca="false">'☆掛負収入'!H569</f>
        <v>41257</v>
      </c>
      <c r="I567" s="596" t="n">
        <f aca="false">'☆掛負収入'!I569</f>
        <v>41332</v>
      </c>
      <c r="J567" s="135" t="n">
        <f aca="false">SUM(H567:I567)</f>
        <v>82589</v>
      </c>
      <c r="K567" s="439" t="n">
        <f aca="false">'☆掛負収入'!K569</f>
        <v>5925</v>
      </c>
      <c r="L567" s="424" t="n">
        <f aca="false">'☆掛負収入'!L569</f>
        <v>5925</v>
      </c>
      <c r="M567" s="135" t="n">
        <f aca="false">SUM(K567:L567)</f>
        <v>11850</v>
      </c>
      <c r="N567" s="439" t="n">
        <f aca="false">'☆掛負収入'!N569</f>
        <v>1</v>
      </c>
      <c r="O567" s="424" t="n">
        <f aca="false">'☆掛負収入'!O569</f>
        <v>1</v>
      </c>
      <c r="P567" s="135" t="n">
        <f aca="false">SUM(N567:O567)</f>
        <v>2</v>
      </c>
    </row>
    <row r="568" customFormat="false" ht="18.75" hidden="false" customHeight="true" outlineLevel="0" collapsed="false">
      <c r="A568" s="208"/>
      <c r="B568" s="406"/>
      <c r="C568" s="393"/>
      <c r="D568" s="406"/>
      <c r="E568" s="439"/>
      <c r="F568" s="135"/>
      <c r="G568" s="181"/>
      <c r="H568" s="594"/>
      <c r="I568" s="424"/>
      <c r="J568" s="135"/>
      <c r="K568" s="439"/>
      <c r="L568" s="424"/>
      <c r="M568" s="135"/>
      <c r="N568" s="439"/>
      <c r="O568" s="424"/>
      <c r="P568" s="135"/>
    </row>
    <row r="569" customFormat="false" ht="18.75" hidden="false" customHeight="true" outlineLevel="0" collapsed="false">
      <c r="A569" s="208"/>
      <c r="B569" s="595"/>
      <c r="C569" s="366"/>
      <c r="D569" s="595"/>
      <c r="E569" s="596"/>
      <c r="F569" s="393"/>
      <c r="G569" s="181"/>
      <c r="H569" s="595"/>
      <c r="I569" s="440"/>
      <c r="J569" s="135"/>
      <c r="K569" s="596"/>
      <c r="L569" s="440"/>
      <c r="M569" s="135"/>
      <c r="N569" s="596"/>
      <c r="O569" s="440"/>
      <c r="P569" s="135"/>
    </row>
    <row r="570" customFormat="false" ht="18.75" hidden="false" customHeight="true" outlineLevel="0" collapsed="false">
      <c r="A570" s="192"/>
      <c r="B570" s="406"/>
      <c r="C570" s="181"/>
      <c r="D570" s="406"/>
      <c r="E570" s="592"/>
      <c r="F570" s="135"/>
      <c r="G570" s="181"/>
      <c r="H570" s="406"/>
      <c r="I570" s="619"/>
      <c r="J570" s="135"/>
      <c r="K570" s="592"/>
      <c r="L570" s="619"/>
      <c r="M570" s="135"/>
      <c r="N570" s="592"/>
      <c r="O570" s="619"/>
      <c r="P570" s="135"/>
    </row>
    <row r="571" customFormat="false" ht="18.75" hidden="false" customHeight="true" outlineLevel="0" collapsed="false">
      <c r="A571" s="192"/>
      <c r="B571" s="595"/>
      <c r="C571" s="393"/>
      <c r="D571" s="596"/>
      <c r="E571" s="440"/>
      <c r="F571" s="393"/>
      <c r="G571" s="366"/>
      <c r="H571" s="406"/>
      <c r="I571" s="440"/>
      <c r="J571" s="135"/>
      <c r="K571" s="596"/>
      <c r="L571" s="440"/>
      <c r="M571" s="135"/>
      <c r="N571" s="596"/>
      <c r="O571" s="440"/>
      <c r="P571" s="135"/>
    </row>
    <row r="572" customFormat="false" ht="18.75" hidden="false" customHeight="true" outlineLevel="0" collapsed="false">
      <c r="A572" s="605"/>
      <c r="B572" s="722"/>
      <c r="C572" s="723"/>
      <c r="D572" s="724"/>
      <c r="E572" s="725"/>
      <c r="F572" s="723"/>
      <c r="G572" s="621"/>
      <c r="H572" s="726"/>
      <c r="I572" s="727"/>
      <c r="J572" s="623" t="n">
        <f aca="false">SUM(H572:I572)</f>
        <v>0</v>
      </c>
      <c r="K572" s="726"/>
      <c r="L572" s="727"/>
      <c r="M572" s="697" t="n">
        <f aca="false">SUM(K572:L572)</f>
        <v>0</v>
      </c>
      <c r="N572" s="726"/>
      <c r="O572" s="727"/>
      <c r="P572" s="697" t="n">
        <f aca="false">SUM(N572:O572)</f>
        <v>0</v>
      </c>
    </row>
    <row r="573" customFormat="false" ht="18.75" hidden="false" customHeight="true" outlineLevel="0" collapsed="false">
      <c r="A573" s="171" t="str">
        <f aca="false">'☆掛負収入'!A573</f>
        <v>小　計</v>
      </c>
      <c r="B573" s="404" t="n">
        <f aca="false">SUM(B543:B572)</f>
        <v>2681865</v>
      </c>
      <c r="C573" s="175" t="n">
        <f aca="false">SUM(C543:C572)</f>
        <v>219825</v>
      </c>
      <c r="D573" s="404" t="n">
        <f aca="false">SUM(D543:D572)</f>
        <v>8579040</v>
      </c>
      <c r="E573" s="276" t="n">
        <f aca="false">SUM(E543:E572)</f>
        <v>703200</v>
      </c>
      <c r="F573" s="175" t="n">
        <f aca="false">SUM(F543:F572)</f>
        <v>9164</v>
      </c>
      <c r="G573" s="176" t="n">
        <f aca="false">SUM(B573:F573)</f>
        <v>12193094</v>
      </c>
      <c r="H573" s="404" t="n">
        <f aca="false">SUM(H543:H572)</f>
        <v>1623323</v>
      </c>
      <c r="I573" s="174" t="n">
        <f aca="false">SUM(I543:I572)</f>
        <v>5327732</v>
      </c>
      <c r="J573" s="175" t="n">
        <f aca="false">SUM(H573:I573)</f>
        <v>6951055</v>
      </c>
      <c r="K573" s="404" t="n">
        <f aca="false">SUM(K543:K572)</f>
        <v>149231</v>
      </c>
      <c r="L573" s="174" t="n">
        <f aca="false">SUM(L543:L572)</f>
        <v>584679</v>
      </c>
      <c r="M573" s="173" t="n">
        <f aca="false">SUM(K573:L573)</f>
        <v>733910</v>
      </c>
      <c r="N573" s="404" t="n">
        <f aca="false">SUM(N543:N572)</f>
        <v>9</v>
      </c>
      <c r="O573" s="174" t="n">
        <f aca="false">SUM(O543:O572)</f>
        <v>20</v>
      </c>
      <c r="P573" s="173" t="n">
        <f aca="false">SUM(N573:O573)</f>
        <v>29</v>
      </c>
    </row>
    <row r="574" customFormat="false" ht="18.75" hidden="true" customHeight="true" outlineLevel="0" collapsed="false">
      <c r="A574" s="604"/>
      <c r="B574" s="726"/>
      <c r="C574" s="728"/>
      <c r="D574" s="727"/>
      <c r="E574" s="729"/>
      <c r="F574" s="730"/>
      <c r="G574" s="626"/>
      <c r="H574" s="731"/>
      <c r="I574" s="732"/>
      <c r="J574" s="629"/>
      <c r="K574" s="733"/>
      <c r="L574" s="734"/>
      <c r="M574" s="632"/>
      <c r="N574" s="733"/>
      <c r="O574" s="734"/>
      <c r="P574" s="632"/>
    </row>
    <row r="575" customFormat="false" ht="18.75" hidden="true" customHeight="true" outlineLevel="0" collapsed="false">
      <c r="A575" s="633"/>
      <c r="B575" s="717"/>
      <c r="C575" s="720"/>
      <c r="D575" s="727"/>
      <c r="E575" s="729"/>
      <c r="F575" s="728"/>
      <c r="G575" s="621"/>
      <c r="H575" s="735"/>
      <c r="I575" s="736"/>
      <c r="J575" s="383"/>
      <c r="K575" s="737"/>
      <c r="L575" s="738"/>
      <c r="M575" s="638"/>
      <c r="N575" s="737"/>
      <c r="O575" s="738"/>
      <c r="P575" s="638"/>
    </row>
    <row r="576" customFormat="false" ht="18.75" hidden="false" customHeight="true" outlineLevel="0" collapsed="false">
      <c r="A576" s="189" t="str">
        <f aca="false">'☆掛負収入'!A576</f>
        <v>高速交通（株）</v>
      </c>
      <c r="B576" s="464" t="n">
        <f aca="false">'☆掛負収入'!B576</f>
        <v>145485</v>
      </c>
      <c r="C576" s="466" t="n">
        <f aca="false">'☆掛負収入'!C576</f>
        <v>11925</v>
      </c>
      <c r="D576" s="452" t="n">
        <f aca="false">'☆掛負収入'!D576</f>
        <v>145485</v>
      </c>
      <c r="E576" s="462" t="n">
        <f aca="false">'☆掛負収入'!E576</f>
        <v>11925</v>
      </c>
      <c r="F576" s="454" t="n">
        <f aca="false">'☆掛負収入'!F576</f>
        <v>149</v>
      </c>
      <c r="G576" s="366" t="n">
        <f aca="false">SUM(B576:F576)</f>
        <v>314969</v>
      </c>
      <c r="H576" s="640"/>
      <c r="I576" s="640"/>
      <c r="J576" s="640"/>
      <c r="K576" s="640"/>
      <c r="L576" s="640"/>
      <c r="M576" s="640"/>
      <c r="N576" s="640"/>
      <c r="O576" s="640"/>
      <c r="P576" s="640"/>
    </row>
    <row r="577" customFormat="false" ht="18.75" hidden="false" customHeight="true" outlineLevel="0" collapsed="false">
      <c r="A577" s="698" t="str">
        <f aca="false">'☆掛負収入'!A577</f>
        <v>広島駅南口開発（株）</v>
      </c>
      <c r="B577" s="739" t="n">
        <f aca="false">'☆掛負収入'!B577</f>
        <v>53985</v>
      </c>
      <c r="C577" s="740" t="n">
        <f aca="false">'☆掛負収入'!C577</f>
        <v>4425</v>
      </c>
      <c r="D577" s="741" t="n">
        <f aca="false">'☆掛負収入'!D577</f>
        <v>53985</v>
      </c>
      <c r="E577" s="742" t="n">
        <f aca="false">'☆掛負収入'!E577</f>
        <v>4425</v>
      </c>
      <c r="F577" s="743" t="n">
        <f aca="false">'☆掛負収入'!F577</f>
        <v>55</v>
      </c>
      <c r="G577" s="366" t="n">
        <f aca="false">SUM(B577:F577)</f>
        <v>116875</v>
      </c>
      <c r="H577" s="640"/>
      <c r="I577" s="640"/>
      <c r="J577" s="640"/>
      <c r="K577" s="640"/>
      <c r="L577" s="640"/>
      <c r="M577" s="640"/>
      <c r="N577" s="640"/>
      <c r="O577" s="640"/>
      <c r="P577" s="640"/>
    </row>
    <row r="578" customFormat="false" ht="18.75" hidden="false" customHeight="true" outlineLevel="0" collapsed="false">
      <c r="A578" s="171" t="str">
        <f aca="false">'☆掛負収入'!A578</f>
        <v>小　計</v>
      </c>
      <c r="B578" s="172" t="n">
        <f aca="false">SUM(B576:B577)</f>
        <v>199470</v>
      </c>
      <c r="C578" s="175" t="n">
        <f aca="false">SUM(C574:C577)</f>
        <v>16350</v>
      </c>
      <c r="D578" s="656" t="n">
        <f aca="false">SUM(D574:D577)</f>
        <v>199470</v>
      </c>
      <c r="E578" s="174" t="n">
        <f aca="false">SUM(E574:E577)</f>
        <v>16350</v>
      </c>
      <c r="F578" s="176" t="n">
        <f aca="false">SUM(F574:F577)</f>
        <v>204</v>
      </c>
      <c r="G578" s="175" t="n">
        <f aca="false">SUM(B578:F578)</f>
        <v>431844</v>
      </c>
      <c r="H578" s="640"/>
      <c r="I578" s="640"/>
      <c r="J578" s="640"/>
      <c r="K578" s="640"/>
      <c r="L578" s="640"/>
      <c r="M578" s="640"/>
      <c r="N578" s="640"/>
      <c r="O578" s="640"/>
      <c r="P578" s="640"/>
    </row>
    <row r="579" customFormat="false" ht="18.75" hidden="false" customHeight="true" outlineLevel="0" collapsed="false">
      <c r="A579" s="100" t="str">
        <f aca="false">'☆掛負収入'!A579</f>
        <v>市職員労働組合</v>
      </c>
      <c r="B579" s="449" t="n">
        <f aca="false">'☆掛負収入'!B579</f>
        <v>29280</v>
      </c>
      <c r="C579" s="223" t="n">
        <f aca="false">'☆掛負収入'!C579</f>
        <v>2400</v>
      </c>
      <c r="D579" s="445" t="n">
        <f aca="false">'☆掛負収入'!D579</f>
        <v>29280</v>
      </c>
      <c r="E579" s="463" t="n">
        <f aca="false">'☆掛負収入'!E579</f>
        <v>2400</v>
      </c>
      <c r="F579" s="196"/>
      <c r="G579" s="181" t="n">
        <f aca="false">SUM(B579:F579)</f>
        <v>63360</v>
      </c>
      <c r="H579" s="594" t="n">
        <f aca="false">'☆掛負収入'!H579</f>
        <v>17603</v>
      </c>
      <c r="I579" s="424" t="n">
        <f aca="false">'☆掛負収入'!I579</f>
        <v>17635</v>
      </c>
      <c r="J579" s="135" t="n">
        <f aca="false">SUM(H579:I579)</f>
        <v>35238</v>
      </c>
      <c r="K579" s="451" t="n">
        <f aca="false">'☆掛負収入'!K579</f>
        <v>2528</v>
      </c>
      <c r="L579" s="462" t="n">
        <f aca="false">'☆掛負収入'!L579</f>
        <v>2528</v>
      </c>
      <c r="M579" s="446" t="n">
        <f aca="false">SUM(K579:L579)</f>
        <v>5056</v>
      </c>
      <c r="N579" s="451" t="n">
        <f aca="false">'☆掛負収入'!N579</f>
        <v>1</v>
      </c>
      <c r="O579" s="462" t="n">
        <f aca="false">'☆掛負収入'!O579</f>
        <v>1</v>
      </c>
      <c r="P579" s="446" t="n">
        <f aca="false">SUM(N579:O579)</f>
        <v>2</v>
      </c>
    </row>
    <row r="580" customFormat="false" ht="18.75" hidden="false" customHeight="true" outlineLevel="0" collapsed="false">
      <c r="A580" s="100" t="str">
        <f aca="false">'☆掛負収入'!A580</f>
        <v>自治労労働組合</v>
      </c>
      <c r="B580" s="449" t="n">
        <f aca="false">'☆掛負収入'!B580</f>
        <v>0</v>
      </c>
      <c r="C580" s="377" t="n">
        <f aca="false">'☆掛負収入'!C580</f>
        <v>0</v>
      </c>
      <c r="D580" s="449" t="n">
        <f aca="false">'☆掛負収入'!D580</f>
        <v>0</v>
      </c>
      <c r="E580" s="463" t="n">
        <f aca="false">'☆掛負収入'!E580</f>
        <v>0</v>
      </c>
      <c r="F580" s="196"/>
      <c r="G580" s="181" t="n">
        <f aca="false">SUM(B580:F580)</f>
        <v>0</v>
      </c>
      <c r="H580" s="594" t="n">
        <f aca="false">'☆掛負収入'!H580</f>
        <v>0</v>
      </c>
      <c r="I580" s="424" t="n">
        <f aca="false">'☆掛負収入'!I580</f>
        <v>0</v>
      </c>
      <c r="J580" s="135" t="n">
        <f aca="false">SUM(H580:I580)</f>
        <v>0</v>
      </c>
      <c r="K580" s="594" t="n">
        <f aca="false">'☆掛負収入'!K580</f>
        <v>0</v>
      </c>
      <c r="L580" s="424" t="n">
        <f aca="false">'☆掛負収入'!L580</f>
        <v>0</v>
      </c>
      <c r="M580" s="135" t="n">
        <f aca="false">SUM(K580:L580)</f>
        <v>0</v>
      </c>
      <c r="N580" s="594" t="n">
        <f aca="false">'☆掛負収入'!N580</f>
        <v>0</v>
      </c>
      <c r="O580" s="424" t="n">
        <f aca="false">'☆掛負収入'!O580</f>
        <v>0</v>
      </c>
      <c r="P580" s="135" t="n">
        <f aca="false">SUM(N580:O580)</f>
        <v>0</v>
      </c>
    </row>
    <row r="581" customFormat="false" ht="18.75" hidden="false" customHeight="true" outlineLevel="0" collapsed="false">
      <c r="A581" s="100" t="str">
        <f aca="false">'☆掛負収入'!A581</f>
        <v>病院労働組合</v>
      </c>
      <c r="B581" s="449" t="n">
        <f aca="false">'☆掛負収入'!B581</f>
        <v>23790</v>
      </c>
      <c r="C581" s="377" t="n">
        <f aca="false">'☆掛負収入'!C581</f>
        <v>1950</v>
      </c>
      <c r="D581" s="449" t="n">
        <f aca="false">'☆掛負収入'!D581</f>
        <v>23790</v>
      </c>
      <c r="E581" s="463" t="n">
        <f aca="false">'☆掛負収入'!E581</f>
        <v>1950</v>
      </c>
      <c r="F581" s="196"/>
      <c r="G581" s="181" t="n">
        <f aca="false">SUM(B581:F581)</f>
        <v>51480</v>
      </c>
      <c r="H581" s="594" t="n">
        <f aca="false">'☆掛負収入'!H581</f>
        <v>30805</v>
      </c>
      <c r="I581" s="424" t="n">
        <f aca="false">'☆掛負収入'!I581</f>
        <v>30861</v>
      </c>
      <c r="J581" s="135" t="n">
        <f aca="false">SUM(H581:I581)</f>
        <v>61666</v>
      </c>
      <c r="K581" s="594" t="n">
        <f aca="false">'☆掛負収入'!K581</f>
        <v>2370</v>
      </c>
      <c r="L581" s="424" t="n">
        <f aca="false">'☆掛負収入'!L581</f>
        <v>2370</v>
      </c>
      <c r="M581" s="135" t="n">
        <f aca="false">SUM(K581:L581)</f>
        <v>4740</v>
      </c>
      <c r="N581" s="594" t="n">
        <f aca="false">'☆掛負収入'!N581</f>
        <v>1</v>
      </c>
      <c r="O581" s="424" t="n">
        <f aca="false">'☆掛負収入'!O581</f>
        <v>1</v>
      </c>
      <c r="P581" s="135" t="n">
        <f aca="false">SUM(N581:O581)</f>
        <v>2</v>
      </c>
    </row>
    <row r="582" customFormat="false" ht="18.75" hidden="false" customHeight="true" outlineLevel="0" collapsed="false">
      <c r="A582" s="277" t="str">
        <f aca="false">'☆掛負収入'!A582</f>
        <v>水道労働組合</v>
      </c>
      <c r="B582" s="648"/>
      <c r="C582" s="419"/>
      <c r="D582" s="648"/>
      <c r="E582" s="598"/>
      <c r="F582" s="271"/>
      <c r="G582" s="181" t="n">
        <f aca="false">SUM(B582:F582)</f>
        <v>0</v>
      </c>
      <c r="H582" s="649"/>
      <c r="I582" s="650"/>
      <c r="J582" s="135" t="n">
        <f aca="false">SUM(H582:I582)</f>
        <v>0</v>
      </c>
      <c r="K582" s="651"/>
      <c r="L582" s="652"/>
      <c r="M582" s="135" t="n">
        <f aca="false">SUM(K582:L582)</f>
        <v>0</v>
      </c>
      <c r="N582" s="651"/>
      <c r="O582" s="652"/>
      <c r="P582" s="135" t="n">
        <f aca="false">SUM(N582:O582)</f>
        <v>0</v>
      </c>
    </row>
    <row r="583" customFormat="false" ht="18.75" hidden="false" customHeight="true" outlineLevel="0" collapsed="false">
      <c r="A583" s="171" t="str">
        <f aca="false">'☆掛負収入'!A583</f>
        <v>小　計</v>
      </c>
      <c r="B583" s="404" t="n">
        <f aca="false">SUM(B579:B582)</f>
        <v>53070</v>
      </c>
      <c r="C583" s="175" t="n">
        <f aca="false">SUM(C579:C582)</f>
        <v>4350</v>
      </c>
      <c r="D583" s="404" t="n">
        <f aca="false">SUM(D579:D582)</f>
        <v>53070</v>
      </c>
      <c r="E583" s="174" t="n">
        <f aca="false">SUM(E579:E582)</f>
        <v>4350</v>
      </c>
      <c r="F583" s="173" t="n">
        <f aca="false">SUM(F579:F582)</f>
        <v>0</v>
      </c>
      <c r="G583" s="172" t="n">
        <f aca="false">SUM(B583:F583)</f>
        <v>114840</v>
      </c>
      <c r="H583" s="404" t="n">
        <f aca="false">SUM(H579:H582)</f>
        <v>48408</v>
      </c>
      <c r="I583" s="174" t="n">
        <f aca="false">SUM(I579:I582)</f>
        <v>48496</v>
      </c>
      <c r="J583" s="175" t="n">
        <f aca="false">SUM(H583:I583)</f>
        <v>96904</v>
      </c>
      <c r="K583" s="172" t="n">
        <f aca="false">SUM(K579:K582)</f>
        <v>4898</v>
      </c>
      <c r="L583" s="173" t="n">
        <f aca="false">SUM(L579:L582)</f>
        <v>4898</v>
      </c>
      <c r="M583" s="175" t="n">
        <f aca="false">SUM(K583:L583)</f>
        <v>9796</v>
      </c>
      <c r="N583" s="172" t="n">
        <f aca="false">SUM(N579:N582)</f>
        <v>2</v>
      </c>
      <c r="O583" s="173" t="n">
        <f aca="false">SUM(O579:O582)</f>
        <v>2</v>
      </c>
      <c r="P583" s="175" t="n">
        <f aca="false">SUM(N583:O583)</f>
        <v>4</v>
      </c>
    </row>
    <row r="584" customFormat="false" ht="18.75" hidden="false" customHeight="true" outlineLevel="0" collapsed="false">
      <c r="A584" s="277" t="str">
        <f aca="false">'☆掛負収入'!A584</f>
        <v>任意継続組合員</v>
      </c>
      <c r="B584" s="744"/>
      <c r="C584" s="745"/>
      <c r="D584" s="722"/>
      <c r="E584" s="725"/>
      <c r="F584" s="723"/>
      <c r="G584" s="268"/>
      <c r="H584" s="653"/>
      <c r="I584" s="257"/>
      <c r="J584" s="258"/>
      <c r="K584" s="499"/>
      <c r="L584" s="654"/>
      <c r="M584" s="267"/>
      <c r="N584" s="499"/>
      <c r="O584" s="654"/>
      <c r="P584" s="267"/>
    </row>
    <row r="585" customFormat="false" ht="30" hidden="false" customHeight="true" outlineLevel="0" collapsed="false">
      <c r="A585" s="655" t="str">
        <f aca="false">'☆掛負収入'!A585</f>
        <v>総　　計</v>
      </c>
      <c r="B585" s="404" t="n">
        <f aca="false">SUM(B542+B573+B578+B583)</f>
        <v>2934405</v>
      </c>
      <c r="C585" s="175" t="n">
        <f aca="false">SUM(C542+C573+C578+C583)</f>
        <v>240525</v>
      </c>
      <c r="D585" s="656" t="n">
        <f aca="false">SUM(D542+D573+D578+D583)</f>
        <v>8831580</v>
      </c>
      <c r="E585" s="174" t="n">
        <f aca="false">SUM(E542+E573+E578+E583)</f>
        <v>723900</v>
      </c>
      <c r="F585" s="176" t="n">
        <f aca="false">SUM(F542+F573+F578+F583)</f>
        <v>9368</v>
      </c>
      <c r="G585" s="172" t="n">
        <f aca="false">SUM(B585:F585)</f>
        <v>12739778</v>
      </c>
      <c r="H585" s="404" t="n">
        <f aca="false">SUM(H542+H573+H578+H583+H584)</f>
        <v>1671731</v>
      </c>
      <c r="I585" s="174" t="n">
        <f aca="false">SUM(I542+I573+I578+I583+I584)</f>
        <v>5376228</v>
      </c>
      <c r="J585" s="175" t="n">
        <f aca="false">SUM(H585:I585)</f>
        <v>7047959</v>
      </c>
      <c r="K585" s="172" t="n">
        <f aca="false">K542+K573+K578+K583+K584</f>
        <v>154129</v>
      </c>
      <c r="L585" s="173" t="n">
        <f aca="false">L542+L573+L578+L583</f>
        <v>589577</v>
      </c>
      <c r="M585" s="175" t="n">
        <f aca="false">SUM(K585:L585)</f>
        <v>743706</v>
      </c>
      <c r="N585" s="172" t="n">
        <f aca="false">N542+N573+N578+N583+N584</f>
        <v>11</v>
      </c>
      <c r="O585" s="173" t="n">
        <f aca="false">O542+O573+O578+O583</f>
        <v>22</v>
      </c>
      <c r="P585" s="175" t="n">
        <f aca="false">SUM(N585:O585)</f>
        <v>33</v>
      </c>
    </row>
    <row r="586" customFormat="false" ht="18.75" hidden="false" customHeight="true" outlineLevel="0" collapsed="false">
      <c r="A586" s="315"/>
      <c r="B586" s="316"/>
      <c r="C586" s="316"/>
      <c r="D586" s="316"/>
      <c r="E586" s="316"/>
      <c r="F586" s="316"/>
      <c r="G586" s="316"/>
      <c r="H586" s="316"/>
      <c r="I586" s="316"/>
      <c r="J586" s="316"/>
      <c r="K586" s="316"/>
      <c r="L586" s="316"/>
      <c r="M586" s="316"/>
      <c r="N586" s="316"/>
      <c r="O586" s="316"/>
      <c r="P586" s="316"/>
    </row>
    <row r="587" customFormat="false" ht="30" hidden="false" customHeight="true" outlineLevel="0" collapsed="false">
      <c r="A587" s="295"/>
      <c r="B587" s="405" t="n">
        <f aca="false">'☆掛負収入'!B587</f>
        <v>46387</v>
      </c>
      <c r="C587" s="405" t="n">
        <f aca="false">'☆掛負収入'!C587</f>
        <v>0</v>
      </c>
      <c r="D587" s="405" t="n">
        <f aca="false">'☆掛負収入'!D587</f>
        <v>0</v>
      </c>
      <c r="E587" s="405" t="n">
        <f aca="false">'☆掛負収入'!E587</f>
        <v>0</v>
      </c>
      <c r="F587" s="405" t="n">
        <f aca="false">'☆掛負収入'!F587</f>
        <v>0</v>
      </c>
      <c r="G587" s="405" t="n">
        <f aca="false">'☆掛負収入'!G587</f>
        <v>0</v>
      </c>
      <c r="H587" s="405" t="n">
        <f aca="false">'☆掛負収入'!H587</f>
        <v>46387</v>
      </c>
      <c r="I587" s="405" t="n">
        <f aca="false">'☆掛負収入'!I587</f>
        <v>0</v>
      </c>
      <c r="J587" s="405" t="n">
        <f aca="false">'☆掛負収入'!J587</f>
        <v>0</v>
      </c>
      <c r="K587" s="405" t="n">
        <f aca="false">'☆掛負収入'!K587</f>
        <v>46387</v>
      </c>
      <c r="L587" s="405" t="n">
        <f aca="false">'☆掛負収入'!L587</f>
        <v>0</v>
      </c>
      <c r="M587" s="405" t="n">
        <f aca="false">'☆掛負収入'!M587</f>
        <v>0</v>
      </c>
      <c r="N587" s="405" t="n">
        <f aca="false">'☆掛負収入'!N587</f>
        <v>46387</v>
      </c>
      <c r="O587" s="405" t="n">
        <f aca="false">'☆掛負収入'!O587</f>
        <v>0</v>
      </c>
      <c r="P587" s="405" t="n">
        <f aca="false">'☆掛負収入'!P587</f>
        <v>0</v>
      </c>
    </row>
    <row r="588" customFormat="false" ht="22.5" hidden="false" customHeight="true" outlineLevel="0" collapsed="false">
      <c r="A588" s="89" t="str">
        <f aca="false">'☆掛負収入'!A588</f>
        <v>区　　分</v>
      </c>
      <c r="B588" s="89" t="str">
        <f aca="false">'☆掛負収入'!B588</f>
        <v>長　期　経　理</v>
      </c>
      <c r="C588" s="89" t="n">
        <f aca="false">'☆掛負収入'!C588</f>
        <v>0</v>
      </c>
      <c r="D588" s="89" t="n">
        <f aca="false">'☆掛負収入'!D588</f>
        <v>0</v>
      </c>
      <c r="E588" s="89" t="n">
        <f aca="false">'☆掛負収入'!E588</f>
        <v>0</v>
      </c>
      <c r="F588" s="89" t="n">
        <f aca="false">'☆掛負収入'!F588</f>
        <v>0</v>
      </c>
      <c r="G588" s="89" t="n">
        <f aca="false">'☆掛負収入'!G588</f>
        <v>0</v>
      </c>
      <c r="H588" s="91" t="str">
        <f aca="false">'☆掛負収入'!H588</f>
        <v>短　期　経　理</v>
      </c>
      <c r="I588" s="91" t="n">
        <f aca="false">'☆掛負収入'!I588</f>
        <v>0</v>
      </c>
      <c r="J588" s="91" t="n">
        <f aca="false">'☆掛負収入'!J588</f>
        <v>0</v>
      </c>
      <c r="K588" s="91" t="str">
        <f aca="false">'☆掛負収入'!K588</f>
        <v>介　護　納　付　金</v>
      </c>
      <c r="L588" s="91" t="n">
        <f aca="false">'☆掛負収入'!L588</f>
        <v>0</v>
      </c>
      <c r="M588" s="91" t="n">
        <f aca="false">'☆掛負収入'!M588</f>
        <v>0</v>
      </c>
      <c r="N588" s="91" t="str">
        <f aca="false">'☆掛負収入'!N588</f>
        <v>子ども・子育て支援納付金</v>
      </c>
      <c r="O588" s="91" t="n">
        <f aca="false">'☆掛負収入'!O588</f>
        <v>0</v>
      </c>
      <c r="P588" s="91" t="n">
        <f aca="false">'☆掛負収入'!P588</f>
        <v>0</v>
      </c>
    </row>
    <row r="589" customFormat="false" ht="22.5" hidden="false" customHeight="true" outlineLevel="0" collapsed="false">
      <c r="A589" s="89" t="n">
        <f aca="false">'☆掛負収入'!A589</f>
        <v>0</v>
      </c>
      <c r="B589" s="92" t="str">
        <f aca="false">'☆掛負収入'!B589</f>
        <v>組合員負担分</v>
      </c>
      <c r="C589" s="92" t="n">
        <f aca="false">'☆掛負収入'!C589</f>
        <v>0</v>
      </c>
      <c r="D589" s="92" t="str">
        <f aca="false">'☆掛負収入'!D589</f>
        <v>事業主負担分</v>
      </c>
      <c r="E589" s="92" t="n">
        <f aca="false">'☆掛負収入'!E589</f>
        <v>0</v>
      </c>
      <c r="F589" s="92" t="n">
        <f aca="false">'☆掛負収入'!F589</f>
        <v>0</v>
      </c>
      <c r="G589" s="586" t="str">
        <f aca="false">'☆掛負収入'!G589</f>
        <v>計</v>
      </c>
      <c r="H589" s="96" t="str">
        <f aca="false">'☆掛負収入'!H589</f>
        <v>掛　金</v>
      </c>
      <c r="I589" s="94" t="str">
        <f aca="false">'☆掛負収入'!I589</f>
        <v>負担金</v>
      </c>
      <c r="J589" s="95" t="str">
        <f aca="false">'☆掛負収入'!J589</f>
        <v>計</v>
      </c>
      <c r="K589" s="96" t="str">
        <f aca="false">'☆掛負収入'!K589</f>
        <v>掛　金</v>
      </c>
      <c r="L589" s="94" t="str">
        <f aca="false">'☆掛負収入'!L589</f>
        <v>負担金</v>
      </c>
      <c r="M589" s="95" t="str">
        <f aca="false">'☆掛負収入'!M589</f>
        <v>計</v>
      </c>
      <c r="N589" s="96" t="str">
        <f aca="false">'☆掛負収入'!N589</f>
        <v>掛　金</v>
      </c>
      <c r="O589" s="94" t="str">
        <f aca="false">'☆掛負収入'!O589</f>
        <v>負担金</v>
      </c>
      <c r="P589" s="95" t="str">
        <f aca="false">'☆掛負収入'!P589</f>
        <v>計</v>
      </c>
    </row>
    <row r="590" customFormat="false" ht="22.5" hidden="false" customHeight="true" outlineLevel="0" collapsed="false">
      <c r="A590" s="89" t="n">
        <f aca="false">'☆掛負収入'!A590</f>
        <v>0</v>
      </c>
      <c r="B590" s="587" t="str">
        <f aca="false">'☆掛負収入'!B590</f>
        <v>厚生年金保険料</v>
      </c>
      <c r="C590" s="588" t="str">
        <f aca="false">'☆掛負収入'!C590</f>
        <v>退職等年金掛金</v>
      </c>
      <c r="D590" s="589" t="str">
        <f aca="false">'☆掛負収入'!D590</f>
        <v>厚生年金保険料</v>
      </c>
      <c r="E590" s="589" t="str">
        <f aca="false">'☆掛負収入'!E590</f>
        <v>退職等年金負担金</v>
      </c>
      <c r="F590" s="590" t="str">
        <f aca="false">'☆掛負収入'!F590</f>
        <v>経過的長期</v>
      </c>
      <c r="G590" s="586" t="n">
        <f aca="false">'☆掛負収入'!G590</f>
        <v>0</v>
      </c>
      <c r="H590" s="96" t="n">
        <f aca="false">'☆掛負収入'!H590</f>
        <v>0</v>
      </c>
      <c r="I590" s="94" t="n">
        <f aca="false">'☆掛負収入'!I590</f>
        <v>0</v>
      </c>
      <c r="J590" s="95" t="n">
        <f aca="false">'☆掛負収入'!J590</f>
        <v>0</v>
      </c>
      <c r="K590" s="96" t="n">
        <f aca="false">'☆掛負収入'!K590</f>
        <v>0</v>
      </c>
      <c r="L590" s="94" t="n">
        <f aca="false">'☆掛負収入'!L590</f>
        <v>0</v>
      </c>
      <c r="M590" s="95" t="n">
        <f aca="false">'☆掛負収入'!M590</f>
        <v>0</v>
      </c>
      <c r="N590" s="96" t="n">
        <f aca="false">'☆掛負収入'!N590</f>
        <v>0</v>
      </c>
      <c r="O590" s="94" t="n">
        <f aca="false">'☆掛負収入'!O590</f>
        <v>0</v>
      </c>
      <c r="P590" s="95" t="n">
        <f aca="false">'☆掛負収入'!P590</f>
        <v>0</v>
      </c>
    </row>
    <row r="591" customFormat="false" ht="18.75" hidden="false" customHeight="true" outlineLevel="0" collapsed="false">
      <c r="A591" s="100" t="str">
        <f aca="false">'☆掛負収入'!A591</f>
        <v>市長部局</v>
      </c>
      <c r="B591" s="591"/>
      <c r="C591" s="364"/>
      <c r="D591" s="592"/>
      <c r="E591" s="592"/>
      <c r="F591" s="184"/>
      <c r="G591" s="364"/>
      <c r="H591" s="591"/>
      <c r="I591" s="593"/>
      <c r="J591" s="181"/>
      <c r="K591" s="594"/>
      <c r="L591" s="593"/>
      <c r="M591" s="181"/>
      <c r="N591" s="594"/>
      <c r="O591" s="593"/>
      <c r="P591" s="181"/>
    </row>
    <row r="592" customFormat="false" ht="18.75" hidden="false" customHeight="true" outlineLevel="0" collapsed="false">
      <c r="A592" s="100" t="str">
        <f aca="false">'☆掛負収入'!A592</f>
        <v>下水道局</v>
      </c>
      <c r="B592" s="406"/>
      <c r="C592" s="181"/>
      <c r="D592" s="592"/>
      <c r="E592" s="592"/>
      <c r="F592" s="135"/>
      <c r="G592" s="181"/>
      <c r="H592" s="594"/>
      <c r="I592" s="424"/>
      <c r="J592" s="135"/>
      <c r="K592" s="595"/>
      <c r="L592" s="596"/>
      <c r="M592" s="135"/>
      <c r="N592" s="595"/>
      <c r="O592" s="596"/>
      <c r="P592" s="135"/>
    </row>
    <row r="593" customFormat="false" ht="18.75" hidden="false" customHeight="true" outlineLevel="0" collapsed="false">
      <c r="A593" s="100" t="str">
        <f aca="false">'☆掛負収入'!A593</f>
        <v>消防局</v>
      </c>
      <c r="B593" s="406"/>
      <c r="C593" s="181"/>
      <c r="D593" s="592"/>
      <c r="E593" s="592"/>
      <c r="F593" s="135"/>
      <c r="G593" s="181"/>
      <c r="H593" s="595"/>
      <c r="I593" s="439"/>
      <c r="J593" s="135"/>
      <c r="K593" s="595"/>
      <c r="L593" s="439"/>
      <c r="M593" s="135"/>
      <c r="N593" s="595"/>
      <c r="O593" s="439"/>
      <c r="P593" s="135"/>
    </row>
    <row r="594" customFormat="false" ht="18.75" hidden="false" customHeight="true" outlineLevel="0" collapsed="false">
      <c r="A594" s="100" t="str">
        <f aca="false">'☆掛負収入'!A594</f>
        <v>議会事務局</v>
      </c>
      <c r="B594" s="406"/>
      <c r="C594" s="181"/>
      <c r="D594" s="592"/>
      <c r="E594" s="592"/>
      <c r="F594" s="135"/>
      <c r="G594" s="181"/>
      <c r="H594" s="406"/>
      <c r="I594" s="439"/>
      <c r="J594" s="135"/>
      <c r="K594" s="406"/>
      <c r="L594" s="439"/>
      <c r="M594" s="135"/>
      <c r="N594" s="406"/>
      <c r="O594" s="439"/>
      <c r="P594" s="135"/>
    </row>
    <row r="595" customFormat="false" ht="18.75" hidden="false" customHeight="true" outlineLevel="0" collapsed="false">
      <c r="A595" s="100" t="str">
        <f aca="false">'☆掛負収入'!A595</f>
        <v>教育委員会（総務課）</v>
      </c>
      <c r="B595" s="406"/>
      <c r="C595" s="181"/>
      <c r="D595" s="592"/>
      <c r="E595" s="592"/>
      <c r="F595" s="135"/>
      <c r="G595" s="181"/>
      <c r="H595" s="406"/>
      <c r="I595" s="439"/>
      <c r="J595" s="135"/>
      <c r="K595" s="406"/>
      <c r="L595" s="439"/>
      <c r="M595" s="135"/>
      <c r="N595" s="406"/>
      <c r="O595" s="439"/>
      <c r="P595" s="135"/>
    </row>
    <row r="596" customFormat="false" ht="18.75" hidden="false" customHeight="true" outlineLevel="0" collapsed="false">
      <c r="A596" s="100" t="str">
        <f aca="false">'☆掛負収入'!A596</f>
        <v>選挙管理委員会</v>
      </c>
      <c r="B596" s="406"/>
      <c r="C596" s="181"/>
      <c r="D596" s="592"/>
      <c r="E596" s="592"/>
      <c r="F596" s="135"/>
      <c r="G596" s="181"/>
      <c r="H596" s="594"/>
      <c r="I596" s="424"/>
      <c r="J596" s="135"/>
      <c r="K596" s="406"/>
      <c r="L596" s="439"/>
      <c r="M596" s="135"/>
      <c r="N596" s="406"/>
      <c r="O596" s="439"/>
      <c r="P596" s="135"/>
    </row>
    <row r="597" customFormat="false" ht="18.75" hidden="false" customHeight="true" outlineLevel="0" collapsed="false">
      <c r="A597" s="100" t="str">
        <f aca="false">'☆掛負収入'!A597</f>
        <v>人事委員会</v>
      </c>
      <c r="B597" s="406"/>
      <c r="C597" s="181"/>
      <c r="D597" s="592"/>
      <c r="E597" s="592"/>
      <c r="F597" s="135"/>
      <c r="G597" s="181"/>
      <c r="H597" s="594"/>
      <c r="I597" s="424"/>
      <c r="J597" s="135"/>
      <c r="K597" s="594"/>
      <c r="L597" s="424"/>
      <c r="M597" s="135"/>
      <c r="N597" s="594"/>
      <c r="O597" s="424"/>
      <c r="P597" s="135"/>
    </row>
    <row r="598" customFormat="false" ht="18.75" hidden="false" customHeight="true" outlineLevel="0" collapsed="false">
      <c r="A598" s="100" t="str">
        <f aca="false">'☆掛負収入'!A598</f>
        <v>監査事務局</v>
      </c>
      <c r="B598" s="406"/>
      <c r="C598" s="181"/>
      <c r="D598" s="592"/>
      <c r="E598" s="592"/>
      <c r="F598" s="135"/>
      <c r="G598" s="181"/>
      <c r="H598" s="594"/>
      <c r="I598" s="424"/>
      <c r="J598" s="135"/>
      <c r="K598" s="594"/>
      <c r="L598" s="424"/>
      <c r="M598" s="135"/>
      <c r="N598" s="594"/>
      <c r="O598" s="424"/>
      <c r="P598" s="135"/>
    </row>
    <row r="599" customFormat="false" ht="18.75" hidden="false" customHeight="true" outlineLevel="0" collapsed="false">
      <c r="A599" s="100" t="str">
        <f aca="false">'☆掛負収入'!A599</f>
        <v>農業委員会</v>
      </c>
      <c r="B599" s="406"/>
      <c r="C599" s="181"/>
      <c r="D599" s="592"/>
      <c r="E599" s="592"/>
      <c r="F599" s="135"/>
      <c r="G599" s="181"/>
      <c r="H599" s="594"/>
      <c r="I599" s="424"/>
      <c r="J599" s="135"/>
      <c r="K599" s="594"/>
      <c r="L599" s="424"/>
      <c r="M599" s="135"/>
      <c r="N599" s="594"/>
      <c r="O599" s="424"/>
      <c r="P599" s="135"/>
    </row>
    <row r="600" customFormat="false" ht="18.75" hidden="false" customHeight="true" outlineLevel="0" collapsed="false">
      <c r="A600" s="100" t="str">
        <f aca="false">'☆掛負収入'!A600</f>
        <v>水道局</v>
      </c>
      <c r="B600" s="406"/>
      <c r="C600" s="181"/>
      <c r="D600" s="592"/>
      <c r="E600" s="592"/>
      <c r="F600" s="135"/>
      <c r="G600" s="181"/>
      <c r="H600" s="594"/>
      <c r="I600" s="424"/>
      <c r="J600" s="135"/>
      <c r="K600" s="594"/>
      <c r="L600" s="424"/>
      <c r="M600" s="135"/>
      <c r="N600" s="594"/>
      <c r="O600" s="424"/>
      <c r="P600" s="135"/>
    </row>
    <row r="601" customFormat="false" ht="18.75" hidden="false" customHeight="true" outlineLevel="0" collapsed="false">
      <c r="A601" s="121" t="str">
        <f aca="false">'☆掛負収入'!A601</f>
        <v>医療政策課(安芸市民)</v>
      </c>
      <c r="B601" s="595"/>
      <c r="C601" s="366"/>
      <c r="D601" s="595"/>
      <c r="E601" s="596"/>
      <c r="F601" s="393"/>
      <c r="G601" s="181"/>
      <c r="H601" s="597"/>
      <c r="I601" s="407"/>
      <c r="J601" s="135"/>
      <c r="K601" s="594"/>
      <c r="L601" s="424"/>
      <c r="M601" s="135"/>
      <c r="N601" s="594"/>
      <c r="O601" s="424"/>
      <c r="P601" s="135"/>
    </row>
    <row r="602" customFormat="false" ht="18.75" hidden="false" customHeight="true" outlineLevel="0" collapsed="false">
      <c r="A602" s="121" t="str">
        <f aca="false">'☆掛負収入'!A602</f>
        <v>教育委員会（教育給与課）</v>
      </c>
      <c r="B602" s="595"/>
      <c r="C602" s="181"/>
      <c r="D602" s="406"/>
      <c r="E602" s="598"/>
      <c r="F602" s="284"/>
      <c r="G602" s="181"/>
      <c r="H602" s="594"/>
      <c r="I602" s="424"/>
      <c r="J602" s="135"/>
      <c r="K602" s="594"/>
      <c r="L602" s="424"/>
      <c r="M602" s="135"/>
      <c r="N602" s="594"/>
      <c r="O602" s="424"/>
      <c r="P602" s="135"/>
    </row>
    <row r="603" customFormat="false" ht="18.75" hidden="true" customHeight="true" outlineLevel="0" collapsed="false">
      <c r="A603" s="599"/>
      <c r="B603" s="600"/>
      <c r="C603" s="210"/>
      <c r="D603" s="600"/>
      <c r="E603" s="601"/>
      <c r="F603" s="196"/>
      <c r="G603" s="687"/>
      <c r="H603" s="602"/>
      <c r="I603" s="603"/>
      <c r="J603" s="603"/>
      <c r="K603" s="602"/>
      <c r="L603" s="603"/>
      <c r="M603" s="195"/>
      <c r="N603" s="602"/>
      <c r="O603" s="603"/>
      <c r="P603" s="195"/>
    </row>
    <row r="604" customFormat="false" ht="18.75" hidden="true" customHeight="true" outlineLevel="0" collapsed="false">
      <c r="A604" s="604"/>
      <c r="B604" s="457"/>
      <c r="C604" s="132"/>
      <c r="D604" s="457"/>
      <c r="E604" s="458"/>
      <c r="F604" s="459"/>
      <c r="G604" s="435"/>
      <c r="H604" s="457"/>
      <c r="I604" s="458"/>
      <c r="J604" s="458"/>
      <c r="K604" s="457"/>
      <c r="L604" s="458"/>
      <c r="M604" s="130"/>
      <c r="N604" s="457"/>
      <c r="O604" s="458"/>
      <c r="P604" s="130"/>
    </row>
    <row r="605" customFormat="false" ht="18.75" hidden="true" customHeight="true" outlineLevel="0" collapsed="false">
      <c r="A605" s="604"/>
      <c r="B605" s="600"/>
      <c r="C605" s="210"/>
      <c r="D605" s="600"/>
      <c r="E605" s="601"/>
      <c r="F605" s="196"/>
      <c r="G605" s="687"/>
      <c r="H605" s="600"/>
      <c r="I605" s="601"/>
      <c r="J605" s="601"/>
      <c r="K605" s="600"/>
      <c r="L605" s="601"/>
      <c r="M605" s="696"/>
      <c r="N605" s="600"/>
      <c r="O605" s="601"/>
      <c r="P605" s="696"/>
    </row>
    <row r="606" customFormat="false" ht="18.75" hidden="true" customHeight="true" outlineLevel="0" collapsed="false">
      <c r="A606" s="605"/>
      <c r="B606" s="606"/>
      <c r="C606" s="607"/>
      <c r="D606" s="606"/>
      <c r="E606" s="490"/>
      <c r="F606" s="608"/>
      <c r="G606" s="689"/>
      <c r="H606" s="457"/>
      <c r="I606" s="609"/>
      <c r="J606" s="609"/>
      <c r="K606" s="457"/>
      <c r="L606" s="458"/>
      <c r="M606" s="130"/>
      <c r="N606" s="457"/>
      <c r="O606" s="458"/>
      <c r="P606" s="130"/>
    </row>
    <row r="607" customFormat="false" ht="18.75" hidden="false" customHeight="true" outlineLevel="0" collapsed="false">
      <c r="A607" s="171" t="str">
        <f aca="false">'☆掛負収入'!A607</f>
        <v>小　計</v>
      </c>
      <c r="B607" s="404"/>
      <c r="C607" s="174"/>
      <c r="D607" s="404"/>
      <c r="E607" s="174"/>
      <c r="F607" s="175"/>
      <c r="G607" s="176"/>
      <c r="H607" s="404"/>
      <c r="I607" s="174"/>
      <c r="J607" s="173"/>
      <c r="K607" s="404"/>
      <c r="L607" s="174"/>
      <c r="M607" s="173"/>
      <c r="N607" s="404"/>
      <c r="O607" s="174"/>
      <c r="P607" s="173"/>
    </row>
    <row r="608" customFormat="false" ht="18.75" hidden="false" customHeight="true" outlineLevel="0" collapsed="false">
      <c r="A608" s="177" t="str">
        <f aca="false">'☆掛負収入'!A608</f>
        <v>地方税共同機構</v>
      </c>
      <c r="B608" s="449" t="n">
        <f aca="false">'☆掛負収入'!B608</f>
        <v>0</v>
      </c>
      <c r="C608" s="377" t="n">
        <f aca="false">'☆掛負収入'!C608</f>
        <v>0</v>
      </c>
      <c r="D608" s="469" t="n">
        <f aca="false">'☆掛負収入'!D608</f>
        <v>0</v>
      </c>
      <c r="E608" s="463" t="n">
        <f aca="false">'☆掛負収入'!E608</f>
        <v>0</v>
      </c>
      <c r="F608" s="223" t="n">
        <f aca="false">'☆掛負収入'!F608</f>
        <v>0</v>
      </c>
      <c r="G608" s="181" t="n">
        <f aca="false">SUM(B608:F608)</f>
        <v>0</v>
      </c>
      <c r="H608" s="594" t="n">
        <f aca="false">'☆掛負収入'!H608</f>
        <v>0</v>
      </c>
      <c r="I608" s="424" t="n">
        <f aca="false">'☆掛負収入'!I608</f>
        <v>0</v>
      </c>
      <c r="J608" s="135" t="n">
        <f aca="false">SUM(H608:I608)</f>
        <v>0</v>
      </c>
      <c r="K608" s="439" t="n">
        <f aca="false">'☆掛負収入'!K608</f>
        <v>0</v>
      </c>
      <c r="L608" s="424" t="n">
        <f aca="false">'☆掛負収入'!L608</f>
        <v>0</v>
      </c>
      <c r="M608" s="135" t="n">
        <f aca="false">SUM(K608:L608)</f>
        <v>0</v>
      </c>
      <c r="N608" s="439" t="n">
        <f aca="false">'☆掛負収入'!N608</f>
        <v>0</v>
      </c>
      <c r="O608" s="424" t="n">
        <f aca="false">'☆掛負収入'!O608</f>
        <v>0</v>
      </c>
      <c r="P608" s="135" t="n">
        <f aca="false">SUM(N608:O608)</f>
        <v>0</v>
      </c>
    </row>
    <row r="609" customFormat="false" ht="18.75" hidden="false" customHeight="true" outlineLevel="0" collapsed="false">
      <c r="A609" s="100" t="str">
        <f aca="false">'☆掛負収入'!A609</f>
        <v>平和文化センター</v>
      </c>
      <c r="B609" s="449" t="n">
        <f aca="false">'☆掛負収入'!B609</f>
        <v>0</v>
      </c>
      <c r="C609" s="377" t="n">
        <f aca="false">'☆掛負収入'!C609</f>
        <v>0</v>
      </c>
      <c r="D609" s="464" t="n">
        <f aca="false">'☆掛負収入'!D609</f>
        <v>1159671</v>
      </c>
      <c r="E609" s="452" t="n">
        <f aca="false">'☆掛負収入'!E609</f>
        <v>95056</v>
      </c>
      <c r="F609" s="223" t="n">
        <f aca="false">'☆掛負収入'!F609</f>
        <v>1306</v>
      </c>
      <c r="G609" s="181" t="n">
        <f aca="false">SUM(B609:F609)</f>
        <v>1256033</v>
      </c>
      <c r="H609" s="594" t="n">
        <f aca="false">'☆掛負収入'!H609</f>
        <v>0</v>
      </c>
      <c r="I609" s="424" t="n">
        <f aca="false">'☆掛負収入'!I609</f>
        <v>698465</v>
      </c>
      <c r="J609" s="135" t="n">
        <f aca="false">SUM(H609:I609)</f>
        <v>698465</v>
      </c>
      <c r="K609" s="439" t="n">
        <f aca="false">'☆掛負収入'!K609</f>
        <v>0</v>
      </c>
      <c r="L609" s="424" t="n">
        <f aca="false">'☆掛負収入'!L609</f>
        <v>95329</v>
      </c>
      <c r="M609" s="135" t="n">
        <f aca="false">SUM(K609:L609)</f>
        <v>95329</v>
      </c>
      <c r="N609" s="439" t="n">
        <f aca="false">'☆掛負収入'!N609</f>
        <v>0</v>
      </c>
      <c r="O609" s="424" t="n">
        <f aca="false">'☆掛負収入'!O609</f>
        <v>1</v>
      </c>
      <c r="P609" s="135" t="n">
        <f aca="false">SUM(N609:O609)</f>
        <v>1</v>
      </c>
    </row>
    <row r="610" customFormat="false" ht="18.75" hidden="false" customHeight="true" outlineLevel="0" collapsed="false">
      <c r="A610" s="100" t="str">
        <f aca="false">'☆掛負収入'!A610</f>
        <v>社会福祉事業団</v>
      </c>
      <c r="B610" s="600"/>
      <c r="C610" s="210"/>
      <c r="D610" s="451" t="n">
        <f aca="false">'☆掛負収入'!D610</f>
        <v>3806683</v>
      </c>
      <c r="E610" s="453" t="n">
        <f aca="false">'☆掛負収入'!E610</f>
        <v>312018</v>
      </c>
      <c r="F610" s="223" t="n">
        <f aca="false">'☆掛負収入'!F610</f>
        <v>3974</v>
      </c>
      <c r="G610" s="181" t="n">
        <f aca="false">SUM(B610:F610)</f>
        <v>4122675</v>
      </c>
      <c r="H610" s="602"/>
      <c r="I610" s="424" t="n">
        <f aca="false">'☆掛負収入'!I610</f>
        <v>2319101</v>
      </c>
      <c r="J610" s="135" t="n">
        <f aca="false">SUM(H610:I610)</f>
        <v>2319101</v>
      </c>
      <c r="K610" s="612"/>
      <c r="L610" s="424" t="n">
        <f aca="false">'☆掛負収入'!L610</f>
        <v>255827</v>
      </c>
      <c r="M610" s="135" t="n">
        <f aca="false">SUM(K610:L610)</f>
        <v>255827</v>
      </c>
      <c r="N610" s="612"/>
      <c r="O610" s="424" t="n">
        <f aca="false">'☆掛負収入'!O610</f>
        <v>1</v>
      </c>
      <c r="P610" s="135" t="n">
        <f aca="false">SUM(N610:O610)</f>
        <v>1</v>
      </c>
    </row>
    <row r="611" customFormat="false" ht="18.75" hidden="false" customHeight="true" outlineLevel="0" collapsed="false">
      <c r="A611" s="100" t="str">
        <f aca="false">'☆掛負収入'!A611</f>
        <v>原爆障害対策協議会</v>
      </c>
      <c r="B611" s="600"/>
      <c r="C611" s="210"/>
      <c r="D611" s="445" t="n">
        <f aca="false">'☆掛負収入'!D611</f>
        <v>102755</v>
      </c>
      <c r="E611" s="453" t="n">
        <f aca="false">'☆掛負収入'!E611</f>
        <v>8422</v>
      </c>
      <c r="F611" s="223" t="n">
        <f aca="false">'☆掛負収入'!F611</f>
        <v>105</v>
      </c>
      <c r="G611" s="181" t="n">
        <f aca="false">SUM(B611:F611)</f>
        <v>111282</v>
      </c>
      <c r="H611" s="602"/>
      <c r="I611" s="424" t="n">
        <f aca="false">'☆掛負収入'!I611</f>
        <v>61888</v>
      </c>
      <c r="J611" s="135" t="n">
        <f aca="false">SUM(H611:I611)</f>
        <v>61888</v>
      </c>
      <c r="K611" s="612"/>
      <c r="L611" s="424" t="n">
        <f aca="false">'☆掛負収入'!L611</f>
        <v>8871</v>
      </c>
      <c r="M611" s="135" t="n">
        <f aca="false">SUM(K611:L611)</f>
        <v>8871</v>
      </c>
      <c r="N611" s="612"/>
      <c r="O611" s="424" t="n">
        <f aca="false">'☆掛負収入'!O611</f>
        <v>1</v>
      </c>
      <c r="P611" s="135" t="n">
        <f aca="false">SUM(N611:O611)</f>
        <v>1</v>
      </c>
    </row>
    <row r="612" customFormat="false" ht="18.75" hidden="false" customHeight="true" outlineLevel="0" collapsed="false">
      <c r="A612" s="189" t="str">
        <f aca="false">'☆掛負収入'!A612</f>
        <v>産業振興センター</v>
      </c>
      <c r="B612" s="600"/>
      <c r="C612" s="210"/>
      <c r="D612" s="445" t="n">
        <f aca="false">'☆掛負収入'!D612</f>
        <v>847109</v>
      </c>
      <c r="E612" s="453" t="n">
        <f aca="false">'☆掛負収入'!E612</f>
        <v>69435</v>
      </c>
      <c r="F612" s="223" t="n">
        <f aca="false">'☆掛負収入'!F612</f>
        <v>868</v>
      </c>
      <c r="G612" s="181" t="n">
        <f aca="false">SUM(B612:F612)</f>
        <v>917412</v>
      </c>
      <c r="H612" s="602"/>
      <c r="I612" s="424" t="n">
        <f aca="false">'☆掛負収入'!I612</f>
        <v>510207</v>
      </c>
      <c r="J612" s="135" t="n">
        <f aca="false">SUM(H612:I612)</f>
        <v>510207</v>
      </c>
      <c r="K612" s="612"/>
      <c r="L612" s="424" t="n">
        <f aca="false">'☆掛負収入'!L612</f>
        <v>68753</v>
      </c>
      <c r="M612" s="135" t="n">
        <f aca="false">SUM(K612:L612)</f>
        <v>68753</v>
      </c>
      <c r="N612" s="612"/>
      <c r="O612" s="424" t="n">
        <f aca="false">'☆掛負収入'!O612</f>
        <v>1</v>
      </c>
      <c r="P612" s="135" t="n">
        <f aca="false">SUM(N612:O612)</f>
        <v>1</v>
      </c>
    </row>
    <row r="613" customFormat="false" ht="18.75" hidden="false" customHeight="true" outlineLevel="0" collapsed="false">
      <c r="A613" s="121" t="str">
        <f aca="false">'☆掛負収入'!A613</f>
        <v>ひろしま産業振興</v>
      </c>
      <c r="B613" s="600"/>
      <c r="C613" s="459"/>
      <c r="D613" s="445" t="n">
        <f aca="false">'☆掛負収入'!D613</f>
        <v>183641</v>
      </c>
      <c r="E613" s="453" t="n">
        <f aca="false">'☆掛負収入'!E613</f>
        <v>15052</v>
      </c>
      <c r="F613" s="454" t="n">
        <f aca="false">'☆掛負収入'!F613</f>
        <v>188</v>
      </c>
      <c r="G613" s="181" t="n">
        <f aca="false">SUM(B613:F613)</f>
        <v>198881</v>
      </c>
      <c r="H613" s="602"/>
      <c r="I613" s="407" t="n">
        <f aca="false">'☆掛負収入'!I613</f>
        <v>110605</v>
      </c>
      <c r="J613" s="135" t="n">
        <f aca="false">SUM(H613:I613)</f>
        <v>110605</v>
      </c>
      <c r="K613" s="612"/>
      <c r="L613" s="407" t="n">
        <f aca="false">'☆掛負収入'!L613</f>
        <v>15855</v>
      </c>
      <c r="M613" s="135" t="n">
        <f aca="false">SUM(K613:L613)</f>
        <v>15855</v>
      </c>
      <c r="N613" s="612"/>
      <c r="O613" s="407" t="n">
        <f aca="false">'☆掛負収入'!O613</f>
        <v>1</v>
      </c>
      <c r="P613" s="135" t="n">
        <f aca="false">SUM(N613:O613)</f>
        <v>1</v>
      </c>
    </row>
    <row r="614" customFormat="false" ht="18.75" hidden="false" customHeight="true" outlineLevel="0" collapsed="false">
      <c r="A614" s="121" t="str">
        <f aca="false">'☆掛負収入'!A614</f>
        <v>都市整備公社　市</v>
      </c>
      <c r="B614" s="600"/>
      <c r="C614" s="459"/>
      <c r="D614" s="451" t="n">
        <f aca="false">'☆掛負収入'!D614</f>
        <v>103944</v>
      </c>
      <c r="E614" s="453" t="n">
        <f aca="false">'☆掛負収入'!E614</f>
        <v>8520</v>
      </c>
      <c r="F614" s="223" t="n">
        <f aca="false">'☆掛負収入'!F614</f>
        <v>106</v>
      </c>
      <c r="G614" s="181" t="n">
        <f aca="false">SUM(B614:F614)</f>
        <v>112570</v>
      </c>
      <c r="H614" s="602"/>
      <c r="I614" s="424" t="n">
        <f aca="false">'☆掛負収入'!I614</f>
        <v>62604</v>
      </c>
      <c r="J614" s="135" t="n">
        <f aca="false">SUM(H614:I614)</f>
        <v>62604</v>
      </c>
      <c r="K614" s="612"/>
      <c r="L614" s="424" t="n">
        <f aca="false">'☆掛負収入'!L614</f>
        <v>8974</v>
      </c>
      <c r="M614" s="135" t="n">
        <f aca="false">SUM(K614:L614)</f>
        <v>8974</v>
      </c>
      <c r="N614" s="612"/>
      <c r="O614" s="424" t="n">
        <f aca="false">'☆掛負収入'!O614</f>
        <v>1</v>
      </c>
      <c r="P614" s="135" t="n">
        <f aca="false">SUM(N614:O614)</f>
        <v>1</v>
      </c>
    </row>
    <row r="615" customFormat="false" ht="18.75" hidden="false" customHeight="true" outlineLevel="0" collapsed="false">
      <c r="A615" s="192"/>
      <c r="B615" s="600"/>
      <c r="C615" s="196"/>
      <c r="D615" s="449"/>
      <c r="E615" s="453"/>
      <c r="F615" s="223"/>
      <c r="G615" s="181"/>
      <c r="H615" s="602"/>
      <c r="I615" s="424"/>
      <c r="J615" s="135"/>
      <c r="K615" s="612"/>
      <c r="L615" s="424"/>
      <c r="M615" s="135" t="n">
        <f aca="false">SUM(K615:L615)</f>
        <v>0</v>
      </c>
      <c r="N615" s="612"/>
      <c r="O615" s="424"/>
      <c r="P615" s="135" t="n">
        <f aca="false">SUM(N615:O615)</f>
        <v>0</v>
      </c>
    </row>
    <row r="616" customFormat="false" ht="18.75" hidden="false" customHeight="true" outlineLevel="0" collapsed="false">
      <c r="A616" s="121" t="str">
        <f aca="false">'☆掛負収入'!A616</f>
        <v>日本下水道事業団</v>
      </c>
      <c r="B616" s="451" t="n">
        <f aca="false">'☆掛負収入'!B616</f>
        <v>475616</v>
      </c>
      <c r="C616" s="223" t="n">
        <f aca="false">'☆掛負収入'!C616</f>
        <v>38984</v>
      </c>
      <c r="D616" s="449" t="n">
        <f aca="false">'☆掛負収入'!D616</f>
        <v>475618</v>
      </c>
      <c r="E616" s="453" t="n">
        <f aca="false">'☆掛負収入'!E616</f>
        <v>38985</v>
      </c>
      <c r="F616" s="223" t="n">
        <f aca="false">'☆掛負収入'!F616</f>
        <v>488</v>
      </c>
      <c r="G616" s="181" t="n">
        <f aca="false">SUM(B616:F616)</f>
        <v>1029691</v>
      </c>
      <c r="H616" s="594" t="n">
        <f aca="false">'☆掛負収入'!H616</f>
        <v>285940</v>
      </c>
      <c r="I616" s="424" t="n">
        <f aca="false">'☆掛負収入'!I616</f>
        <v>286461</v>
      </c>
      <c r="J616" s="135" t="n">
        <f aca="false">SUM(H616:I616)</f>
        <v>572401</v>
      </c>
      <c r="K616" s="439" t="n">
        <f aca="false">'☆掛負収入'!K616</f>
        <v>19433</v>
      </c>
      <c r="L616" s="424" t="n">
        <f aca="false">'☆掛負収入'!L616</f>
        <v>19434</v>
      </c>
      <c r="M616" s="135" t="n">
        <f aca="false">SUM(K616:L616)</f>
        <v>38867</v>
      </c>
      <c r="N616" s="439" t="n">
        <f aca="false">'☆掛負収入'!N616</f>
        <v>1</v>
      </c>
      <c r="O616" s="424" t="n">
        <f aca="false">'☆掛負収入'!O616</f>
        <v>1</v>
      </c>
      <c r="P616" s="135" t="n">
        <f aca="false">SUM(N616:O616)</f>
        <v>2</v>
      </c>
    </row>
    <row r="617" customFormat="false" ht="18.75" hidden="false" customHeight="true" outlineLevel="0" collapsed="false">
      <c r="A617" s="100" t="str">
        <f aca="false">'☆掛負収入'!A617</f>
        <v>地方公務員災害補償基金本部</v>
      </c>
      <c r="B617" s="451" t="n">
        <f aca="false">'☆掛負収入'!B617</f>
        <v>66246</v>
      </c>
      <c r="C617" s="223" t="n">
        <f aca="false">'☆掛負収入'!C617</f>
        <v>5430</v>
      </c>
      <c r="D617" s="449" t="n">
        <f aca="false">'☆掛負収入'!D617</f>
        <v>66246</v>
      </c>
      <c r="E617" s="453" t="n">
        <f aca="false">'☆掛負収入'!E617</f>
        <v>5430</v>
      </c>
      <c r="F617" s="223" t="n">
        <f aca="false">'☆掛負収入'!F617</f>
        <v>67</v>
      </c>
      <c r="G617" s="181" t="n">
        <f aca="false">SUM(B617:F617)</f>
        <v>143419</v>
      </c>
      <c r="H617" s="594" t="n">
        <f aca="false">'☆掛負収入'!H617</f>
        <v>39827</v>
      </c>
      <c r="I617" s="424" t="n">
        <f aca="false">'☆掛負収入'!I617</f>
        <v>39899</v>
      </c>
      <c r="J617" s="135" t="n">
        <f aca="false">SUM(H617:I617)</f>
        <v>79726</v>
      </c>
      <c r="K617" s="439" t="n">
        <f aca="false">'☆掛負収入'!K617</f>
        <v>0</v>
      </c>
      <c r="L617" s="424" t="n">
        <f aca="false">'☆掛負収入'!L617</f>
        <v>0</v>
      </c>
      <c r="M617" s="135" t="n">
        <f aca="false">SUM(K617:L617)</f>
        <v>0</v>
      </c>
      <c r="N617" s="439" t="n">
        <f aca="false">'☆掛負収入'!N617</f>
        <v>1</v>
      </c>
      <c r="O617" s="424" t="n">
        <f aca="false">'☆掛負収入'!O617</f>
        <v>1</v>
      </c>
      <c r="P617" s="135" t="n">
        <f aca="false">SUM(N617:O617)</f>
        <v>2</v>
      </c>
    </row>
    <row r="618" customFormat="false" ht="18.75" hidden="false" customHeight="true" outlineLevel="0" collapsed="false">
      <c r="A618" s="197"/>
      <c r="B618" s="449"/>
      <c r="C618" s="223"/>
      <c r="D618" s="449"/>
      <c r="E618" s="453"/>
      <c r="F618" s="223"/>
      <c r="G618" s="181"/>
      <c r="H618" s="594"/>
      <c r="I618" s="424"/>
      <c r="J618" s="135"/>
      <c r="K618" s="439"/>
      <c r="L618" s="424"/>
      <c r="M618" s="135" t="n">
        <f aca="false">SUM(K618:L618)</f>
        <v>0</v>
      </c>
      <c r="N618" s="439"/>
      <c r="O618" s="424"/>
      <c r="P618" s="135" t="n">
        <f aca="false">SUM(N618:O618)</f>
        <v>0</v>
      </c>
    </row>
    <row r="619" customFormat="false" ht="18.75" hidden="false" customHeight="true" outlineLevel="0" collapsed="false">
      <c r="A619" s="100" t="str">
        <f aca="false">'☆掛負収入'!A619</f>
        <v>高速道路公社</v>
      </c>
      <c r="B619" s="464" t="n">
        <f aca="false">'☆掛負収入'!B619</f>
        <v>1785344</v>
      </c>
      <c r="C619" s="454" t="n">
        <f aca="false">'☆掛負収入'!C619</f>
        <v>146336</v>
      </c>
      <c r="D619" s="464" t="n">
        <f aca="false">'☆掛負収入'!D619</f>
        <v>1785348</v>
      </c>
      <c r="E619" s="470" t="n">
        <f aca="false">'☆掛負収入'!E619</f>
        <v>146340</v>
      </c>
      <c r="F619" s="466" t="n">
        <f aca="false">'☆掛負収入'!F619</f>
        <v>1832</v>
      </c>
      <c r="G619" s="181" t="n">
        <f aca="false">SUM(B619:F619)</f>
        <v>3865200</v>
      </c>
      <c r="H619" s="613" t="n">
        <f aca="false">'☆掛負収入'!H619</f>
        <v>1073346</v>
      </c>
      <c r="I619" s="614" t="n">
        <f aca="false">'☆掛負収入'!I619</f>
        <v>1075306</v>
      </c>
      <c r="J619" s="135" t="n">
        <f aca="false">SUM(H619:I619)</f>
        <v>2148652</v>
      </c>
      <c r="K619" s="615" t="n">
        <f aca="false">'☆掛負収入'!K619</f>
        <v>104204</v>
      </c>
      <c r="L619" s="614" t="n">
        <f aca="false">'☆掛負収入'!L619</f>
        <v>104208</v>
      </c>
      <c r="M619" s="135" t="n">
        <f aca="false">SUM(K619:L619)</f>
        <v>208412</v>
      </c>
      <c r="N619" s="615" t="n">
        <f aca="false">'☆掛負収入'!N619</f>
        <v>1</v>
      </c>
      <c r="O619" s="614" t="n">
        <f aca="false">'☆掛負収入'!O619</f>
        <v>1</v>
      </c>
      <c r="P619" s="135" t="n">
        <f aca="false">SUM(N619:O619)</f>
        <v>2</v>
      </c>
    </row>
    <row r="620" customFormat="false" ht="18.75" hidden="false" customHeight="true" outlineLevel="0" collapsed="false">
      <c r="A620" s="100" t="str">
        <f aca="false">'☆掛負収入'!A620</f>
        <v>農林水産振興センタ</v>
      </c>
      <c r="B620" s="457"/>
      <c r="C620" s="459"/>
      <c r="D620" s="451" t="n">
        <f aca="false">'☆掛負収入'!D620</f>
        <v>1116024</v>
      </c>
      <c r="E620" s="473" t="n">
        <f aca="false">'☆掛負収入'!E620</f>
        <v>91476</v>
      </c>
      <c r="F620" s="454" t="n">
        <f aca="false">'☆掛負収入'!F620</f>
        <v>1202</v>
      </c>
      <c r="G620" s="181" t="n">
        <f aca="false">SUM(B620:F620)</f>
        <v>1208702</v>
      </c>
      <c r="H620" s="616"/>
      <c r="I620" s="407" t="n">
        <f aca="false">'☆掛負収入'!I620</f>
        <v>672237</v>
      </c>
      <c r="J620" s="135" t="n">
        <f aca="false">SUM(H620:I620)</f>
        <v>672237</v>
      </c>
      <c r="K620" s="617"/>
      <c r="L620" s="407" t="n">
        <f aca="false">'☆掛負収入'!L620</f>
        <v>56215</v>
      </c>
      <c r="M620" s="135" t="n">
        <f aca="false">SUM(K620:L620)</f>
        <v>56215</v>
      </c>
      <c r="N620" s="617"/>
      <c r="O620" s="407" t="n">
        <f aca="false">'☆掛負収入'!O620</f>
        <v>1</v>
      </c>
      <c r="P620" s="135" t="n">
        <f aca="false">SUM(N620:O620)</f>
        <v>1</v>
      </c>
    </row>
    <row r="621" customFormat="false" ht="18.75" hidden="false" customHeight="true" outlineLevel="0" collapsed="false">
      <c r="A621" s="203" t="str">
        <f aca="false">'☆掛負収入'!A621</f>
        <v>文化財団　市長部局</v>
      </c>
      <c r="B621" s="600"/>
      <c r="C621" s="196"/>
      <c r="D621" s="449" t="n">
        <f aca="false">'☆掛負収入'!D621</f>
        <v>2437384</v>
      </c>
      <c r="E621" s="453" t="n">
        <f aca="false">'☆掛負収入'!E621</f>
        <v>199783</v>
      </c>
      <c r="F621" s="454" t="n">
        <f aca="false">'☆掛負収入'!F621</f>
        <v>2496</v>
      </c>
      <c r="G621" s="181" t="n">
        <f aca="false">SUM(B621:F621)</f>
        <v>2639663</v>
      </c>
      <c r="H621" s="602"/>
      <c r="I621" s="407" t="n">
        <f aca="false">'☆掛負収入'!I621</f>
        <v>1468017</v>
      </c>
      <c r="J621" s="135" t="n">
        <f aca="false">SUM(H621:I621)</f>
        <v>1468017</v>
      </c>
      <c r="K621" s="612"/>
      <c r="L621" s="407" t="n">
        <f aca="false">'☆掛負収入'!L621</f>
        <v>199629</v>
      </c>
      <c r="M621" s="135" t="n">
        <f aca="false">SUM(K621:L621)</f>
        <v>199629</v>
      </c>
      <c r="N621" s="612"/>
      <c r="O621" s="407" t="n">
        <f aca="false">'☆掛負収入'!O621</f>
        <v>1</v>
      </c>
      <c r="P621" s="135" t="n">
        <f aca="false">SUM(N621:O621)</f>
        <v>1</v>
      </c>
    </row>
    <row r="622" customFormat="false" ht="18.75" hidden="false" customHeight="true" outlineLevel="0" collapsed="false">
      <c r="A622" s="204"/>
      <c r="B622" s="600"/>
      <c r="C622" s="196"/>
      <c r="D622" s="449"/>
      <c r="E622" s="453"/>
      <c r="F622" s="454"/>
      <c r="G622" s="181"/>
      <c r="H622" s="602"/>
      <c r="I622" s="407"/>
      <c r="J622" s="135"/>
      <c r="K622" s="612"/>
      <c r="L622" s="407"/>
      <c r="M622" s="135" t="n">
        <f aca="false">SUM(K622:L622)</f>
        <v>0</v>
      </c>
      <c r="N622" s="612"/>
      <c r="O622" s="407"/>
      <c r="P622" s="135" t="n">
        <f aca="false">SUM(N622:O622)</f>
        <v>0</v>
      </c>
    </row>
    <row r="623" customFormat="false" ht="18.75" hidden="false" customHeight="true" outlineLevel="0" collapsed="false">
      <c r="A623" s="100" t="str">
        <f aca="false">'☆掛負収入'!A623</f>
        <v>みどり生きもの協会</v>
      </c>
      <c r="B623" s="600"/>
      <c r="C623" s="196"/>
      <c r="D623" s="449" t="n">
        <f aca="false">'☆掛負収入'!D623</f>
        <v>847292</v>
      </c>
      <c r="E623" s="453" t="n">
        <f aca="false">'☆掛負収入'!E623</f>
        <v>69448</v>
      </c>
      <c r="F623" s="454" t="n">
        <f aca="false">'☆掛負収入'!F623</f>
        <v>867</v>
      </c>
      <c r="G623" s="181" t="n">
        <f aca="false">SUM(B623:F623)</f>
        <v>917607</v>
      </c>
      <c r="H623" s="602"/>
      <c r="I623" s="407" t="n">
        <f aca="false">'☆掛負収入'!I623</f>
        <v>510316</v>
      </c>
      <c r="J623" s="135" t="n">
        <f aca="false">SUM(H623:I623)</f>
        <v>510316</v>
      </c>
      <c r="K623" s="612"/>
      <c r="L623" s="407" t="n">
        <f aca="false">'☆掛負収入'!L623</f>
        <v>73152</v>
      </c>
      <c r="M623" s="135" t="n">
        <f aca="false">SUM(K623:L623)</f>
        <v>73152</v>
      </c>
      <c r="N623" s="612"/>
      <c r="O623" s="407" t="n">
        <f aca="false">'☆掛負収入'!O623</f>
        <v>1</v>
      </c>
      <c r="P623" s="135" t="n">
        <f aca="false">SUM(N623:O623)</f>
        <v>1</v>
      </c>
    </row>
    <row r="624" customFormat="false" ht="18.75" hidden="false" customHeight="true" outlineLevel="0" collapsed="false">
      <c r="A624" s="121" t="str">
        <f aca="false">'☆掛負収入'!A624</f>
        <v>県下水道公社</v>
      </c>
      <c r="B624" s="449" t="n">
        <f aca="false">'☆掛負収入'!B624</f>
        <v>281910</v>
      </c>
      <c r="C624" s="223" t="n">
        <f aca="false">'☆掛負収入'!C624</f>
        <v>23106</v>
      </c>
      <c r="D624" s="449" t="n">
        <f aca="false">'☆掛負収入'!D624</f>
        <v>281913</v>
      </c>
      <c r="E624" s="453" t="n">
        <f aca="false">'☆掛負収入'!E624</f>
        <v>23107</v>
      </c>
      <c r="F624" s="454" t="n">
        <f aca="false">'☆掛負収入'!F624</f>
        <v>289</v>
      </c>
      <c r="G624" s="181" t="n">
        <f aca="false">SUM(B624:F624)</f>
        <v>610325</v>
      </c>
      <c r="H624" s="594" t="n">
        <f aca="false">'☆掛負収入'!H624</f>
        <v>169484</v>
      </c>
      <c r="I624" s="407" t="n">
        <f aca="false">'☆掛負収入'!I624</f>
        <v>169793</v>
      </c>
      <c r="J624" s="135" t="n">
        <f aca="false">SUM(H624:I624)</f>
        <v>339277</v>
      </c>
      <c r="K624" s="439" t="n">
        <f aca="false">'☆掛負収入'!K624</f>
        <v>18233</v>
      </c>
      <c r="L624" s="407" t="n">
        <f aca="false">'☆掛負収入'!L624</f>
        <v>18233</v>
      </c>
      <c r="M624" s="135" t="n">
        <f aca="false">SUM(K624:L624)</f>
        <v>36466</v>
      </c>
      <c r="N624" s="439" t="n">
        <f aca="false">'☆掛負収入'!N624</f>
        <v>1</v>
      </c>
      <c r="O624" s="407" t="n">
        <f aca="false">'☆掛負収入'!O624</f>
        <v>1</v>
      </c>
      <c r="P624" s="135" t="n">
        <f aca="false">SUM(N624:O624)</f>
        <v>2</v>
      </c>
    </row>
    <row r="625" customFormat="false" ht="18.75" hidden="false" customHeight="true" outlineLevel="0" collapsed="false">
      <c r="A625" s="121" t="str">
        <f aca="false">'☆掛負収入'!A625</f>
        <v>バス協調・共創
プラットフォーム</v>
      </c>
      <c r="B625" s="457"/>
      <c r="C625" s="459"/>
      <c r="D625" s="451" t="n">
        <f aca="false">'☆掛負収入'!D625</f>
        <v>856624</v>
      </c>
      <c r="E625" s="473" t="n">
        <f aca="false">'☆掛負収入'!E625</f>
        <v>70215</v>
      </c>
      <c r="F625" s="454" t="n">
        <f aca="false">'☆掛負収入'!F625</f>
        <v>879</v>
      </c>
      <c r="G625" s="181" t="n">
        <f aca="false">SUM(B625:F625)</f>
        <v>927718</v>
      </c>
      <c r="H625" s="616"/>
      <c r="I625" s="407" t="n">
        <f aca="false">'☆掛負収入'!I625</f>
        <v>515939</v>
      </c>
      <c r="J625" s="135" t="n">
        <f aca="false">SUM(H625:I625)</f>
        <v>515939</v>
      </c>
      <c r="K625" s="617"/>
      <c r="L625" s="407" t="n">
        <f aca="false">'☆掛負収入'!L625</f>
        <v>49343</v>
      </c>
      <c r="M625" s="135" t="n">
        <f aca="false">SUM(K625:L625)</f>
        <v>49343</v>
      </c>
      <c r="N625" s="617"/>
      <c r="O625" s="407" t="n">
        <f aca="false">'☆掛負収入'!O625</f>
        <v>1</v>
      </c>
      <c r="P625" s="135" t="n">
        <f aca="false">SUM(N625:O625)</f>
        <v>1</v>
      </c>
    </row>
    <row r="626" customFormat="false" ht="18.75" hidden="false" customHeight="true" outlineLevel="0" collapsed="false">
      <c r="A626" s="121" t="str">
        <f aca="false">'☆掛負収入'!A626</f>
        <v>広島県市長会</v>
      </c>
      <c r="B626" s="449" t="n">
        <f aca="false">'☆掛負収入'!B626</f>
        <v>117028</v>
      </c>
      <c r="C626" s="223" t="n">
        <f aca="false">'☆掛負収入'!C626</f>
        <v>9592</v>
      </c>
      <c r="D626" s="449" t="n">
        <f aca="false">'☆掛負収入'!D626</f>
        <v>117029</v>
      </c>
      <c r="E626" s="453" t="n">
        <f aca="false">'☆掛負収入'!E626</f>
        <v>9592</v>
      </c>
      <c r="F626" s="223" t="n">
        <f aca="false">'☆掛負収入'!F626</f>
        <v>120</v>
      </c>
      <c r="G626" s="181" t="n">
        <f aca="false">SUM(B626:F626)</f>
        <v>253361</v>
      </c>
      <c r="H626" s="594" t="n">
        <f aca="false">'☆掛負収入'!H626</f>
        <v>70357</v>
      </c>
      <c r="I626" s="424" t="n">
        <f aca="false">'☆掛負収入'!I626</f>
        <v>70485</v>
      </c>
      <c r="J626" s="135" t="n">
        <f aca="false">SUM(H626:I626)</f>
        <v>140842</v>
      </c>
      <c r="K626" s="439" t="n">
        <f aca="false">'☆掛負収入'!K626</f>
        <v>10104</v>
      </c>
      <c r="L626" s="424" t="n">
        <f aca="false">'☆掛負収入'!L626</f>
        <v>10104</v>
      </c>
      <c r="M626" s="135" t="n">
        <f aca="false">SUM(K626:L626)</f>
        <v>20208</v>
      </c>
      <c r="N626" s="439" t="n">
        <f aca="false">'☆掛負収入'!N626</f>
        <v>1</v>
      </c>
      <c r="O626" s="424" t="n">
        <f aca="false">'☆掛負収入'!O626</f>
        <v>1</v>
      </c>
      <c r="P626" s="135" t="n">
        <f aca="false">SUM(N626:O626)</f>
        <v>2</v>
      </c>
    </row>
    <row r="627" customFormat="false" ht="18.75" hidden="false" customHeight="true" outlineLevel="0" collapsed="false">
      <c r="A627" s="189" t="str">
        <f aca="false">'☆掛負収入'!A627</f>
        <v>全国市町村研修財団</v>
      </c>
      <c r="B627" s="451" t="n">
        <f aca="false">'☆掛負収入'!B627</f>
        <v>137250</v>
      </c>
      <c r="C627" s="223" t="n">
        <f aca="false">'☆掛負収入'!C627</f>
        <v>11250</v>
      </c>
      <c r="D627" s="449" t="n">
        <f aca="false">'☆掛負収入'!D627</f>
        <v>137250</v>
      </c>
      <c r="E627" s="453" t="n">
        <f aca="false">'☆掛負収入'!E627</f>
        <v>11250</v>
      </c>
      <c r="F627" s="223" t="n">
        <f aca="false">'☆掛負収入'!F627</f>
        <v>140</v>
      </c>
      <c r="G627" s="181" t="n">
        <f aca="false">SUM(B627:F627)</f>
        <v>297140</v>
      </c>
      <c r="H627" s="594" t="n">
        <f aca="false">'☆掛負収入'!H627</f>
        <v>85375</v>
      </c>
      <c r="I627" s="424" t="n">
        <f aca="false">'☆掛負収入'!I627</f>
        <v>85530</v>
      </c>
      <c r="J627" s="135" t="n">
        <f aca="false">SUM(H627:I627)</f>
        <v>170905</v>
      </c>
      <c r="K627" s="439" t="n">
        <f aca="false">'☆掛負収入'!K627</f>
        <v>12260</v>
      </c>
      <c r="L627" s="424" t="n">
        <f aca="false">'☆掛負収入'!L627</f>
        <v>12260</v>
      </c>
      <c r="M627" s="135" t="n">
        <f aca="false">SUM(K627:L627)</f>
        <v>24520</v>
      </c>
      <c r="N627" s="439" t="n">
        <f aca="false">'☆掛負収入'!N627</f>
        <v>1</v>
      </c>
      <c r="O627" s="424" t="n">
        <f aca="false">'☆掛負収入'!O627</f>
        <v>1</v>
      </c>
      <c r="P627" s="135" t="n">
        <f aca="false">SUM(N627:O627)</f>
        <v>2</v>
      </c>
    </row>
    <row r="628" customFormat="false" ht="18.75" hidden="false" customHeight="true" outlineLevel="0" collapsed="false">
      <c r="A628" s="189" t="str">
        <f aca="false">'☆掛負収入'!A628</f>
        <v>都市再生機構</v>
      </c>
      <c r="B628" s="449" t="n">
        <f aca="false">'☆掛負収入'!B628</f>
        <v>110989</v>
      </c>
      <c r="C628" s="223" t="n">
        <f aca="false">'☆掛負収入'!C628</f>
        <v>9097</v>
      </c>
      <c r="D628" s="449" t="n">
        <f aca="false">'☆掛負収入'!D628</f>
        <v>110990</v>
      </c>
      <c r="E628" s="453" t="n">
        <f aca="false">'☆掛負収入'!E628</f>
        <v>9097</v>
      </c>
      <c r="F628" s="223" t="n">
        <f aca="false">'☆掛負収入'!F628</f>
        <v>113</v>
      </c>
      <c r="G628" s="181" t="n">
        <f aca="false">SUM(B628:F628)</f>
        <v>240286</v>
      </c>
      <c r="H628" s="594" t="n">
        <f aca="false">'☆掛負収入'!H628</f>
        <v>66727</v>
      </c>
      <c r="I628" s="424" t="n">
        <f aca="false">'☆掛負収入'!I628</f>
        <v>66848</v>
      </c>
      <c r="J628" s="135" t="n">
        <f aca="false">SUM(H628:I628)</f>
        <v>133575</v>
      </c>
      <c r="K628" s="439" t="n">
        <f aca="false">'☆掛負収入'!K628</f>
        <v>0</v>
      </c>
      <c r="L628" s="424" t="n">
        <f aca="false">'☆掛負収入'!L628</f>
        <v>0</v>
      </c>
      <c r="M628" s="135" t="n">
        <f aca="false">SUM(K628:L628)</f>
        <v>0</v>
      </c>
      <c r="N628" s="439" t="n">
        <f aca="false">'☆掛負収入'!N628</f>
        <v>1</v>
      </c>
      <c r="O628" s="424" t="n">
        <f aca="false">'☆掛負収入'!O628</f>
        <v>1</v>
      </c>
      <c r="P628" s="135" t="n">
        <f aca="false">SUM(N628:O628)</f>
        <v>2</v>
      </c>
    </row>
    <row r="629" customFormat="false" ht="18.75" hidden="false" customHeight="true" outlineLevel="0" collapsed="false">
      <c r="A629" s="121" t="str">
        <f aca="false">'☆掛負収入'!A629</f>
        <v>広島市立大学</v>
      </c>
      <c r="B629" s="406" t="n">
        <f aca="false">'☆掛負収入'!B629</f>
        <v>2224906</v>
      </c>
      <c r="C629" s="135" t="n">
        <f aca="false">'☆掛負収入'!C629</f>
        <v>182362</v>
      </c>
      <c r="D629" s="406" t="n">
        <f aca="false">'☆掛負収入'!D629</f>
        <v>2224922</v>
      </c>
      <c r="E629" s="439" t="n">
        <f aca="false">'☆掛負収入'!E629</f>
        <v>182370</v>
      </c>
      <c r="F629" s="223" t="n">
        <f aca="false">'☆掛負収入'!F629</f>
        <v>2370</v>
      </c>
      <c r="G629" s="181" t="n">
        <f aca="false">SUM(B629:F629)</f>
        <v>4816930</v>
      </c>
      <c r="H629" s="594" t="n">
        <f aca="false">'☆掛負収入'!H629</f>
        <v>1337610</v>
      </c>
      <c r="I629" s="424" t="n">
        <f aca="false">'☆掛負収入'!I629</f>
        <v>1340149</v>
      </c>
      <c r="J629" s="135" t="n">
        <f aca="false">SUM(H629:I629)</f>
        <v>2677759</v>
      </c>
      <c r="K629" s="439" t="n">
        <f aca="false">'☆掛負収入'!K629</f>
        <v>125563</v>
      </c>
      <c r="L629" s="424" t="n">
        <f aca="false">'☆掛負収入'!L629</f>
        <v>125570</v>
      </c>
      <c r="M629" s="135" t="n">
        <f aca="false">SUM(K629:L629)</f>
        <v>251133</v>
      </c>
      <c r="N629" s="439" t="n">
        <f aca="false">'☆掛負収入'!N629</f>
        <v>1</v>
      </c>
      <c r="O629" s="424" t="n">
        <f aca="false">'☆掛負収入'!O629</f>
        <v>1</v>
      </c>
      <c r="P629" s="135" t="n">
        <f aca="false">SUM(N629:O629)</f>
        <v>2</v>
      </c>
    </row>
    <row r="630" customFormat="false" ht="18.75" hidden="false" customHeight="true" outlineLevel="0" collapsed="false">
      <c r="A630" s="121" t="str">
        <f aca="false">'☆掛負収入'!A630</f>
        <v>社会福祉協議会</v>
      </c>
      <c r="B630" s="406" t="n">
        <f aca="false">'☆掛負収入'!B630</f>
        <v>0</v>
      </c>
      <c r="C630" s="135" t="n">
        <f aca="false">'☆掛負収入'!C630</f>
        <v>0</v>
      </c>
      <c r="D630" s="406" t="n">
        <f aca="false">'☆掛負収入'!D630</f>
        <v>438378</v>
      </c>
      <c r="E630" s="439" t="n">
        <f aca="false">'☆掛負収入'!E630</f>
        <v>35932</v>
      </c>
      <c r="F630" s="223" t="n">
        <f aca="false">'☆掛負収入'!F630</f>
        <v>449</v>
      </c>
      <c r="G630" s="181" t="n">
        <f aca="false">SUM(B630:F630)</f>
        <v>474759</v>
      </c>
      <c r="H630" s="594" t="n">
        <f aca="false">'☆掛負収入'!H630</f>
        <v>0</v>
      </c>
      <c r="I630" s="424" t="n">
        <f aca="false">'☆掛負収入'!I630</f>
        <v>276211</v>
      </c>
      <c r="J630" s="135" t="n">
        <f aca="false">SUM(H630:I630)</f>
        <v>276211</v>
      </c>
      <c r="K630" s="439" t="n">
        <f aca="false">'☆掛負収入'!K630</f>
        <v>0</v>
      </c>
      <c r="L630" s="424" t="n">
        <f aca="false">'☆掛負収入'!L630</f>
        <v>21622</v>
      </c>
      <c r="M630" s="135" t="n">
        <f aca="false">SUM(K630:L630)</f>
        <v>21622</v>
      </c>
      <c r="N630" s="439" t="n">
        <f aca="false">'☆掛負収入'!N630</f>
        <v>0</v>
      </c>
      <c r="O630" s="424" t="n">
        <f aca="false">'☆掛負収入'!O630</f>
        <v>1</v>
      </c>
      <c r="P630" s="135" t="n">
        <f aca="false">SUM(N630:O630)</f>
        <v>1</v>
      </c>
    </row>
    <row r="631" customFormat="false" ht="18.75" hidden="false" customHeight="true" outlineLevel="0" collapsed="false">
      <c r="A631" s="203" t="s">
        <v>418</v>
      </c>
      <c r="B631" s="406" t="n">
        <f aca="false">'☆掛負収入'!B633</f>
        <v>0</v>
      </c>
      <c r="C631" s="135" t="n">
        <f aca="false">'☆掛負収入'!C633</f>
        <v>0</v>
      </c>
      <c r="D631" s="406" t="n">
        <f aca="false">'☆掛負収入'!D633</f>
        <v>0</v>
      </c>
      <c r="E631" s="439" t="n">
        <f aca="false">'☆掛負収入'!E633</f>
        <v>0</v>
      </c>
      <c r="F631" s="223" t="n">
        <f aca="false">'☆掛負収入'!F633</f>
        <v>0</v>
      </c>
      <c r="G631" s="181" t="n">
        <f aca="false">SUM(B631:F631)</f>
        <v>0</v>
      </c>
      <c r="H631" s="594" t="n">
        <f aca="false">'☆掛負収入'!H633</f>
        <v>0</v>
      </c>
      <c r="I631" s="424" t="n">
        <f aca="false">'☆掛負収入'!I633</f>
        <v>0</v>
      </c>
      <c r="J631" s="135" t="n">
        <f aca="false">SUM(H631:I631)</f>
        <v>0</v>
      </c>
      <c r="K631" s="439" t="n">
        <f aca="false">'☆掛負収入'!K633</f>
        <v>0</v>
      </c>
      <c r="L631" s="424" t="n">
        <f aca="false">'☆掛負収入'!L633</f>
        <v>0</v>
      </c>
      <c r="M631" s="135" t="n">
        <f aca="false">SUM(K631:L631)</f>
        <v>0</v>
      </c>
      <c r="N631" s="439" t="n">
        <f aca="false">'☆掛負収入'!N633</f>
        <v>0</v>
      </c>
      <c r="O631" s="424" t="n">
        <f aca="false">'☆掛負収入'!O633</f>
        <v>0</v>
      </c>
      <c r="P631" s="135" t="n">
        <f aca="false">SUM(N631:O631)</f>
        <v>0</v>
      </c>
    </row>
    <row r="632" customFormat="false" ht="18.75" hidden="false" customHeight="true" outlineLevel="0" collapsed="false">
      <c r="A632" s="121" t="str">
        <f aca="false">'☆掛負収入'!A634</f>
        <v>全国市長会</v>
      </c>
      <c r="B632" s="406" t="n">
        <f aca="false">'☆掛負収入'!B634</f>
        <v>137250</v>
      </c>
      <c r="C632" s="135" t="n">
        <f aca="false">'☆掛負収入'!C634</f>
        <v>11250</v>
      </c>
      <c r="D632" s="406" t="n">
        <f aca="false">'☆掛負収入'!D634</f>
        <v>137250</v>
      </c>
      <c r="E632" s="439" t="n">
        <f aca="false">'☆掛負収入'!E634</f>
        <v>11250</v>
      </c>
      <c r="F632" s="223" t="n">
        <f aca="false">'☆掛負収入'!F634</f>
        <v>140</v>
      </c>
      <c r="G632" s="181" t="n">
        <f aca="false">SUM(B632:F632)</f>
        <v>297140</v>
      </c>
      <c r="H632" s="594" t="n">
        <f aca="false">'☆掛負収入'!H634</f>
        <v>103253</v>
      </c>
      <c r="I632" s="424" t="n">
        <f aca="false">'☆掛負収入'!I634</f>
        <v>103441</v>
      </c>
      <c r="J632" s="135" t="n">
        <f aca="false">SUM(H632:I632)</f>
        <v>206694</v>
      </c>
      <c r="K632" s="439" t="n">
        <f aca="false">'☆掛負収入'!K634</f>
        <v>14828</v>
      </c>
      <c r="L632" s="424" t="n">
        <f aca="false">'☆掛負収入'!L634</f>
        <v>14828</v>
      </c>
      <c r="M632" s="135" t="n">
        <f aca="false">SUM(K632:L632)</f>
        <v>29656</v>
      </c>
      <c r="N632" s="439" t="n">
        <f aca="false">'☆掛負収入'!N634</f>
        <v>1</v>
      </c>
      <c r="O632" s="424" t="n">
        <f aca="false">'☆掛負収入'!O634</f>
        <v>1</v>
      </c>
      <c r="P632" s="135" t="n">
        <f aca="false">SUM(N632:O632)</f>
        <v>2</v>
      </c>
    </row>
    <row r="633" customFormat="false" ht="18.75" hidden="false" customHeight="true" outlineLevel="0" collapsed="false">
      <c r="A633" s="208"/>
      <c r="B633" s="406"/>
      <c r="C633" s="393"/>
      <c r="D633" s="406"/>
      <c r="E633" s="439"/>
      <c r="F633" s="135"/>
      <c r="G633" s="181"/>
      <c r="H633" s="594"/>
      <c r="I633" s="424"/>
      <c r="J633" s="135"/>
      <c r="K633" s="439"/>
      <c r="L633" s="424"/>
      <c r="M633" s="135"/>
      <c r="N633" s="439"/>
      <c r="O633" s="424"/>
      <c r="P633" s="135"/>
    </row>
    <row r="634" customFormat="false" ht="18.75" hidden="false" customHeight="true" outlineLevel="0" collapsed="false">
      <c r="A634" s="208"/>
      <c r="B634" s="595"/>
      <c r="C634" s="366"/>
      <c r="D634" s="595"/>
      <c r="E634" s="596"/>
      <c r="F634" s="393"/>
      <c r="G634" s="181"/>
      <c r="H634" s="595"/>
      <c r="I634" s="440"/>
      <c r="J634" s="135"/>
      <c r="K634" s="596"/>
      <c r="L634" s="440"/>
      <c r="M634" s="135"/>
      <c r="N634" s="596"/>
      <c r="O634" s="440"/>
      <c r="P634" s="135"/>
    </row>
    <row r="635" customFormat="false" ht="18.75" hidden="false" customHeight="true" outlineLevel="0" collapsed="false">
      <c r="A635" s="192"/>
      <c r="B635" s="406"/>
      <c r="C635" s="181"/>
      <c r="D635" s="406"/>
      <c r="E635" s="592"/>
      <c r="F635" s="135"/>
      <c r="G635" s="181"/>
      <c r="H635" s="406"/>
      <c r="I635" s="619"/>
      <c r="J635" s="135"/>
      <c r="K635" s="592"/>
      <c r="L635" s="619"/>
      <c r="M635" s="135"/>
      <c r="N635" s="592"/>
      <c r="O635" s="619"/>
      <c r="P635" s="135"/>
    </row>
    <row r="636" customFormat="false" ht="18.75" hidden="false" customHeight="true" outlineLevel="0" collapsed="false">
      <c r="A636" s="192"/>
      <c r="B636" s="595"/>
      <c r="C636" s="393"/>
      <c r="D636" s="596"/>
      <c r="E636" s="440"/>
      <c r="F636" s="393"/>
      <c r="G636" s="366"/>
      <c r="H636" s="406"/>
      <c r="I636" s="440"/>
      <c r="J636" s="135"/>
      <c r="K636" s="596"/>
      <c r="L636" s="440"/>
      <c r="M636" s="135"/>
      <c r="N636" s="596"/>
      <c r="O636" s="440"/>
      <c r="P636" s="135"/>
    </row>
    <row r="637" customFormat="false" ht="18.75" hidden="false" customHeight="true" outlineLevel="0" collapsed="false">
      <c r="A637" s="605"/>
      <c r="B637" s="622"/>
      <c r="C637" s="253"/>
      <c r="D637" s="623"/>
      <c r="E637" s="624"/>
      <c r="F637" s="608"/>
      <c r="G637" s="621"/>
      <c r="H637" s="622"/>
      <c r="I637" s="623"/>
      <c r="J637" s="623" t="n">
        <f aca="false">SUM(H637:I637)</f>
        <v>0</v>
      </c>
      <c r="K637" s="622"/>
      <c r="L637" s="623"/>
      <c r="M637" s="697" t="n">
        <f aca="false">SUM(K637:L637)</f>
        <v>0</v>
      </c>
      <c r="N637" s="622"/>
      <c r="O637" s="623"/>
      <c r="P637" s="697" t="n">
        <f aca="false">SUM(N637:O637)</f>
        <v>0</v>
      </c>
    </row>
    <row r="638" customFormat="false" ht="18.75" hidden="false" customHeight="true" outlineLevel="0" collapsed="false">
      <c r="A638" s="171" t="str">
        <f aca="false">'☆掛負収入'!A638</f>
        <v>小　計</v>
      </c>
      <c r="B638" s="404" t="n">
        <f aca="false">SUM(B608:B637)</f>
        <v>5336539</v>
      </c>
      <c r="C638" s="175" t="n">
        <f aca="false">SUM(C608:C637)</f>
        <v>437407</v>
      </c>
      <c r="D638" s="404" t="n">
        <f aca="false">SUM(D608:D637)</f>
        <v>17236071</v>
      </c>
      <c r="E638" s="276" t="n">
        <f aca="false">SUM(E608:E637)</f>
        <v>1412778</v>
      </c>
      <c r="F638" s="175" t="n">
        <f aca="false">SUM(F608:F637)</f>
        <v>17999</v>
      </c>
      <c r="G638" s="176" t="n">
        <f aca="false">SUM(B638:F638)</f>
        <v>24440794</v>
      </c>
      <c r="H638" s="404" t="n">
        <f aca="false">SUM(H608:H637)</f>
        <v>3231919</v>
      </c>
      <c r="I638" s="174" t="n">
        <f aca="false">SUM(I608:I637)</f>
        <v>10443502</v>
      </c>
      <c r="J638" s="175" t="n">
        <f aca="false">SUM(H638:I638)</f>
        <v>13675421</v>
      </c>
      <c r="K638" s="404" t="n">
        <f aca="false">SUM(K608:K637)</f>
        <v>304625</v>
      </c>
      <c r="L638" s="174" t="n">
        <f aca="false">SUM(L608:L637)</f>
        <v>1158207</v>
      </c>
      <c r="M638" s="173" t="n">
        <f aca="false">SUM(K638:L638)</f>
        <v>1462832</v>
      </c>
      <c r="N638" s="404" t="n">
        <f aca="false">SUM(N608:N637)</f>
        <v>9</v>
      </c>
      <c r="O638" s="174" t="n">
        <f aca="false">SUM(O608:O637)</f>
        <v>20</v>
      </c>
      <c r="P638" s="173" t="n">
        <f aca="false">SUM(N638:O638)</f>
        <v>29</v>
      </c>
    </row>
    <row r="639" customFormat="false" ht="18.75" hidden="true" customHeight="true" outlineLevel="0" collapsed="false">
      <c r="A639" s="604"/>
      <c r="B639" s="622"/>
      <c r="C639" s="253"/>
      <c r="D639" s="623"/>
      <c r="E639" s="624"/>
      <c r="F639" s="625"/>
      <c r="G639" s="626"/>
      <c r="H639" s="627"/>
      <c r="I639" s="628"/>
      <c r="J639" s="629"/>
      <c r="K639" s="630"/>
      <c r="L639" s="631"/>
      <c r="M639" s="632"/>
      <c r="N639" s="630"/>
      <c r="O639" s="631"/>
      <c r="P639" s="632"/>
    </row>
    <row r="640" customFormat="false" ht="18.75" hidden="true" customHeight="true" outlineLevel="0" collapsed="false">
      <c r="A640" s="633"/>
      <c r="B640" s="606"/>
      <c r="C640" s="608"/>
      <c r="D640" s="623"/>
      <c r="E640" s="624"/>
      <c r="F640" s="253"/>
      <c r="G640" s="621"/>
      <c r="H640" s="634"/>
      <c r="I640" s="635"/>
      <c r="J640" s="383"/>
      <c r="K640" s="636"/>
      <c r="L640" s="637"/>
      <c r="M640" s="638"/>
      <c r="N640" s="636"/>
      <c r="O640" s="637"/>
      <c r="P640" s="638"/>
    </row>
    <row r="641" customFormat="false" ht="18.75" hidden="false" customHeight="true" outlineLevel="0" collapsed="false">
      <c r="A641" s="189" t="str">
        <f aca="false">'☆掛負収入'!A641</f>
        <v>高速交通（株）</v>
      </c>
      <c r="B641" s="464" t="n">
        <f aca="false">'☆掛負収入'!B641</f>
        <v>293806</v>
      </c>
      <c r="C641" s="466" t="n">
        <f aca="false">'☆掛負収入'!C641</f>
        <v>24082</v>
      </c>
      <c r="D641" s="452" t="n">
        <f aca="false">'☆掛負収入'!D641</f>
        <v>293807</v>
      </c>
      <c r="E641" s="462" t="n">
        <f aca="false">'☆掛負収入'!E641</f>
        <v>24082</v>
      </c>
      <c r="F641" s="454" t="n">
        <f aca="false">'☆掛負収入'!F641</f>
        <v>301</v>
      </c>
      <c r="G641" s="366" t="n">
        <f aca="false">SUM(B641:F641)</f>
        <v>636078</v>
      </c>
      <c r="H641" s="640"/>
      <c r="I641" s="640"/>
      <c r="J641" s="640"/>
      <c r="K641" s="640"/>
      <c r="L641" s="640"/>
      <c r="M641" s="640"/>
      <c r="N641" s="640"/>
      <c r="O641" s="640"/>
      <c r="P641" s="640"/>
    </row>
    <row r="642" customFormat="false" ht="18.75" hidden="false" customHeight="true" outlineLevel="0" collapsed="false">
      <c r="A642" s="641" t="s">
        <v>201</v>
      </c>
      <c r="B642" s="464" t="n">
        <f aca="false">'☆掛負収入'!B642</f>
        <v>119773</v>
      </c>
      <c r="C642" s="466" t="n">
        <f aca="false">'☆掛負収入'!C642</f>
        <v>9817</v>
      </c>
      <c r="D642" s="452" t="n">
        <f aca="false">'☆掛負収入'!D642</f>
        <v>119774</v>
      </c>
      <c r="E642" s="462" t="n">
        <f aca="false">'☆掛負収入'!E642</f>
        <v>9817</v>
      </c>
      <c r="F642" s="454" t="n">
        <f aca="false">'☆掛負収入'!F642</f>
        <v>122</v>
      </c>
      <c r="G642" s="366" t="n">
        <f aca="false">SUM(B642:F642)</f>
        <v>259303</v>
      </c>
      <c r="H642" s="640"/>
      <c r="I642" s="640"/>
      <c r="J642" s="640"/>
      <c r="K642" s="640"/>
      <c r="L642" s="640"/>
      <c r="M642" s="640"/>
      <c r="N642" s="640"/>
      <c r="O642" s="640"/>
      <c r="P642" s="640"/>
    </row>
    <row r="643" customFormat="false" ht="18.75" hidden="false" customHeight="true" outlineLevel="0" collapsed="false">
      <c r="A643" s="171" t="str">
        <f aca="false">'☆掛負収入'!A643</f>
        <v>小　計</v>
      </c>
      <c r="B643" s="172" t="n">
        <f aca="false">SUM(B641:B642)</f>
        <v>413579</v>
      </c>
      <c r="C643" s="175" t="n">
        <f aca="false">SUM(C639:C642)</f>
        <v>33899</v>
      </c>
      <c r="D643" s="656" t="n">
        <f aca="false">SUM(D639:D642)</f>
        <v>413581</v>
      </c>
      <c r="E643" s="174" t="n">
        <f aca="false">SUM(E639:E642)</f>
        <v>33899</v>
      </c>
      <c r="F643" s="176" t="n">
        <f aca="false">SUM(F639:F642)</f>
        <v>423</v>
      </c>
      <c r="G643" s="175" t="n">
        <f aca="false">SUM(B643:F643)</f>
        <v>895381</v>
      </c>
      <c r="H643" s="640"/>
      <c r="I643" s="640"/>
      <c r="J643" s="640"/>
      <c r="K643" s="640"/>
      <c r="L643" s="640"/>
      <c r="M643" s="640"/>
      <c r="N643" s="640"/>
      <c r="O643" s="640"/>
      <c r="P643" s="640"/>
    </row>
    <row r="644" customFormat="false" ht="18.75" hidden="false" customHeight="true" outlineLevel="0" collapsed="false">
      <c r="A644" s="100" t="str">
        <f aca="false">'☆掛負収入'!A644</f>
        <v>市職員労働組合</v>
      </c>
      <c r="B644" s="449" t="n">
        <f aca="false">'☆掛負収入'!B644</f>
        <v>27907</v>
      </c>
      <c r="C644" s="223" t="n">
        <f aca="false">'☆掛負収入'!C644</f>
        <v>2287</v>
      </c>
      <c r="D644" s="445" t="n">
        <f aca="false">'☆掛負収入'!D644</f>
        <v>27908</v>
      </c>
      <c r="E644" s="463" t="n">
        <f aca="false">'☆掛負収入'!E644</f>
        <v>2287</v>
      </c>
      <c r="F644" s="196"/>
      <c r="G644" s="181" t="n">
        <f aca="false">SUM(B644:F644)</f>
        <v>60389</v>
      </c>
      <c r="H644" s="594" t="n">
        <f aca="false">'☆掛負収入'!H644</f>
        <v>16778</v>
      </c>
      <c r="I644" s="424" t="n">
        <f aca="false">'☆掛負収入'!I644</f>
        <v>16808</v>
      </c>
      <c r="J644" s="135" t="n">
        <f aca="false">SUM(H644:I644)</f>
        <v>33586</v>
      </c>
      <c r="K644" s="451" t="n">
        <f aca="false">'☆掛負収入'!K644</f>
        <v>2409</v>
      </c>
      <c r="L644" s="462" t="n">
        <f aca="false">'☆掛負収入'!L644</f>
        <v>2409</v>
      </c>
      <c r="M644" s="446" t="n">
        <f aca="false">SUM(K644:L644)</f>
        <v>4818</v>
      </c>
      <c r="N644" s="451" t="n">
        <f aca="false">'☆掛負収入'!N644</f>
        <v>1</v>
      </c>
      <c r="O644" s="462" t="n">
        <f aca="false">'☆掛負収入'!O644</f>
        <v>1</v>
      </c>
      <c r="P644" s="446" t="n">
        <f aca="false">SUM(N644:O644)</f>
        <v>2</v>
      </c>
    </row>
    <row r="645" customFormat="false" ht="18.75" hidden="false" customHeight="true" outlineLevel="0" collapsed="false">
      <c r="A645" s="100" t="str">
        <f aca="false">'☆掛負収入'!A645</f>
        <v>自治労労働組合</v>
      </c>
      <c r="B645" s="449" t="n">
        <f aca="false">'☆掛負収入'!B645</f>
        <v>0</v>
      </c>
      <c r="C645" s="377" t="n">
        <f aca="false">'☆掛負収入'!C645</f>
        <v>0</v>
      </c>
      <c r="D645" s="449" t="n">
        <f aca="false">'☆掛負収入'!D645</f>
        <v>0</v>
      </c>
      <c r="E645" s="463" t="n">
        <f aca="false">'☆掛負収入'!E645</f>
        <v>0</v>
      </c>
      <c r="F645" s="196"/>
      <c r="G645" s="181" t="n">
        <f aca="false">SUM(B645:F645)</f>
        <v>0</v>
      </c>
      <c r="H645" s="594" t="n">
        <f aca="false">'☆掛負収入'!H645</f>
        <v>0</v>
      </c>
      <c r="I645" s="424" t="n">
        <f aca="false">'☆掛負収入'!I645</f>
        <v>0</v>
      </c>
      <c r="J645" s="135" t="n">
        <f aca="false">SUM(H645:I645)</f>
        <v>0</v>
      </c>
      <c r="K645" s="594" t="n">
        <f aca="false">'☆掛負収入'!K645</f>
        <v>0</v>
      </c>
      <c r="L645" s="424" t="n">
        <f aca="false">'☆掛負収入'!L645</f>
        <v>0</v>
      </c>
      <c r="M645" s="135" t="n">
        <f aca="false">SUM(K645:L645)</f>
        <v>0</v>
      </c>
      <c r="N645" s="594" t="n">
        <f aca="false">'☆掛負収入'!N645</f>
        <v>0</v>
      </c>
      <c r="O645" s="424" t="n">
        <f aca="false">'☆掛負収入'!O645</f>
        <v>0</v>
      </c>
      <c r="P645" s="135" t="n">
        <f aca="false">SUM(N645:O645)</f>
        <v>0</v>
      </c>
    </row>
    <row r="646" customFormat="false" ht="18.75" hidden="false" customHeight="true" outlineLevel="0" collapsed="false">
      <c r="A646" s="100" t="str">
        <f aca="false">'☆掛負収入'!A646</f>
        <v>病院労働組合</v>
      </c>
      <c r="B646" s="449" t="n">
        <f aca="false">'☆掛負収入'!B646</f>
        <v>43005</v>
      </c>
      <c r="C646" s="377" t="n">
        <f aca="false">'☆掛負収入'!C646</f>
        <v>3525</v>
      </c>
      <c r="D646" s="449" t="n">
        <f aca="false">'☆掛負収入'!D646</f>
        <v>43005</v>
      </c>
      <c r="E646" s="463" t="n">
        <f aca="false">'☆掛負収入'!E646</f>
        <v>3525</v>
      </c>
      <c r="F646" s="196"/>
      <c r="G646" s="181" t="n">
        <f aca="false">SUM(B646:F646)</f>
        <v>93060</v>
      </c>
      <c r="H646" s="594" t="n">
        <f aca="false">'☆掛負収入'!H646</f>
        <v>39936</v>
      </c>
      <c r="I646" s="424" t="n">
        <f aca="false">'☆掛負収入'!I646</f>
        <v>40009</v>
      </c>
      <c r="J646" s="135" t="n">
        <f aca="false">SUM(H646:I646)</f>
        <v>79945</v>
      </c>
      <c r="K646" s="594" t="n">
        <f aca="false">'☆掛負収入'!K646</f>
        <v>2022</v>
      </c>
      <c r="L646" s="424" t="n">
        <f aca="false">'☆掛負収入'!L646</f>
        <v>2022</v>
      </c>
      <c r="M646" s="135" t="n">
        <f aca="false">SUM(K646:L646)</f>
        <v>4044</v>
      </c>
      <c r="N646" s="594" t="n">
        <f aca="false">'☆掛負収入'!N646</f>
        <v>1</v>
      </c>
      <c r="O646" s="424" t="n">
        <f aca="false">'☆掛負収入'!O646</f>
        <v>1</v>
      </c>
      <c r="P646" s="135" t="n">
        <f aca="false">SUM(N646:O646)</f>
        <v>2</v>
      </c>
    </row>
    <row r="647" customFormat="false" ht="18.75" hidden="false" customHeight="true" outlineLevel="0" collapsed="false">
      <c r="A647" s="277" t="str">
        <f aca="false">'☆掛負収入'!A647</f>
        <v>水道労働組合</v>
      </c>
      <c r="B647" s="648"/>
      <c r="C647" s="419"/>
      <c r="D647" s="648"/>
      <c r="E647" s="598"/>
      <c r="F647" s="271"/>
      <c r="G647" s="181" t="n">
        <f aca="false">SUM(B647:F647)</f>
        <v>0</v>
      </c>
      <c r="H647" s="649"/>
      <c r="I647" s="650"/>
      <c r="J647" s="135" t="n">
        <f aca="false">SUM(H647:I647)</f>
        <v>0</v>
      </c>
      <c r="K647" s="651"/>
      <c r="L647" s="652"/>
      <c r="M647" s="135" t="n">
        <f aca="false">SUM(K647:L647)</f>
        <v>0</v>
      </c>
      <c r="N647" s="651"/>
      <c r="O647" s="652"/>
      <c r="P647" s="135" t="n">
        <f aca="false">SUM(N647:O647)</f>
        <v>0</v>
      </c>
    </row>
    <row r="648" customFormat="false" ht="18.75" hidden="false" customHeight="true" outlineLevel="0" collapsed="false">
      <c r="A648" s="171" t="str">
        <f aca="false">'☆掛負収入'!A648</f>
        <v>小　計</v>
      </c>
      <c r="B648" s="404" t="n">
        <f aca="false">SUM(B644:B647)</f>
        <v>70912</v>
      </c>
      <c r="C648" s="175" t="n">
        <f aca="false">SUM(C644:C647)</f>
        <v>5812</v>
      </c>
      <c r="D648" s="404" t="n">
        <f aca="false">SUM(D644:D647)</f>
        <v>70913</v>
      </c>
      <c r="E648" s="174" t="n">
        <f aca="false">SUM(E644:E647)</f>
        <v>5812</v>
      </c>
      <c r="F648" s="173" t="n">
        <f aca="false">SUM(F644:F647)</f>
        <v>0</v>
      </c>
      <c r="G648" s="172" t="n">
        <f aca="false">SUM(B648:F648)</f>
        <v>153449</v>
      </c>
      <c r="H648" s="404" t="n">
        <f aca="false">SUM(H644:H647)</f>
        <v>56714</v>
      </c>
      <c r="I648" s="174" t="n">
        <f aca="false">SUM(I644:I647)</f>
        <v>56817</v>
      </c>
      <c r="J648" s="175" t="n">
        <f aca="false">SUM(H648:I648)</f>
        <v>113531</v>
      </c>
      <c r="K648" s="172" t="n">
        <f aca="false">SUM(K644:K647)</f>
        <v>4431</v>
      </c>
      <c r="L648" s="173" t="n">
        <f aca="false">SUM(L644:L647)</f>
        <v>4431</v>
      </c>
      <c r="M648" s="175" t="n">
        <f aca="false">SUM(K648:L648)</f>
        <v>8862</v>
      </c>
      <c r="N648" s="172" t="n">
        <f aca="false">SUM(N644:N647)</f>
        <v>2</v>
      </c>
      <c r="O648" s="173" t="n">
        <f aca="false">SUM(O644:O647)</f>
        <v>2</v>
      </c>
      <c r="P648" s="175" t="n">
        <f aca="false">SUM(N648:O648)</f>
        <v>4</v>
      </c>
    </row>
    <row r="649" customFormat="false" ht="18.75" hidden="false" customHeight="true" outlineLevel="0" collapsed="false">
      <c r="A649" s="277" t="str">
        <f aca="false">'☆掛負収入'!A649</f>
        <v>任意継続組合員</v>
      </c>
      <c r="B649" s="256"/>
      <c r="C649" s="498"/>
      <c r="D649" s="499"/>
      <c r="E649" s="500"/>
      <c r="F649" s="271"/>
      <c r="G649" s="268"/>
      <c r="H649" s="653"/>
      <c r="I649" s="257"/>
      <c r="J649" s="258"/>
      <c r="K649" s="499"/>
      <c r="L649" s="654"/>
      <c r="M649" s="267"/>
      <c r="N649" s="499"/>
      <c r="O649" s="654"/>
      <c r="P649" s="267"/>
    </row>
    <row r="650" customFormat="false" ht="30" hidden="false" customHeight="true" outlineLevel="0" collapsed="false">
      <c r="A650" s="655" t="str">
        <f aca="false">'☆掛負収入'!A650</f>
        <v>総　　計</v>
      </c>
      <c r="B650" s="404" t="n">
        <f aca="false">SUM(B607+B638+B643+B648)</f>
        <v>5821030</v>
      </c>
      <c r="C650" s="175" t="n">
        <f aca="false">SUM(C607+C638+C643+C648)</f>
        <v>477118</v>
      </c>
      <c r="D650" s="656" t="n">
        <f aca="false">SUM(D607+D638+D643+D648)</f>
        <v>17720565</v>
      </c>
      <c r="E650" s="174" t="n">
        <f aca="false">SUM(E607+E638+E643+E648)</f>
        <v>1452489</v>
      </c>
      <c r="F650" s="176" t="n">
        <f aca="false">SUM(F607+F638+F643+F648)</f>
        <v>18422</v>
      </c>
      <c r="G650" s="172" t="n">
        <f aca="false">SUM(B650:F650)</f>
        <v>25489624</v>
      </c>
      <c r="H650" s="404" t="n">
        <f aca="false">SUM(H607+H638+H643+H648+H649)</f>
        <v>3288633</v>
      </c>
      <c r="I650" s="174" t="n">
        <f aca="false">SUM(I607+I638+I643+I648+I649)</f>
        <v>10500319</v>
      </c>
      <c r="J650" s="175" t="n">
        <f aca="false">SUM(H650:I650)</f>
        <v>13788952</v>
      </c>
      <c r="K650" s="172" t="n">
        <f aca="false">K607+K638+K643+K648+K649</f>
        <v>309056</v>
      </c>
      <c r="L650" s="173" t="n">
        <f aca="false">L607+L638+L643+L648</f>
        <v>1162638</v>
      </c>
      <c r="M650" s="175" t="n">
        <f aca="false">SUM(K650:L650)</f>
        <v>1471694</v>
      </c>
      <c r="N650" s="172" t="n">
        <f aca="false">N607+N638+N643+N648+N649</f>
        <v>11</v>
      </c>
      <c r="O650" s="173" t="n">
        <f aca="false">O607+O638+O643+O648</f>
        <v>22</v>
      </c>
      <c r="P650" s="175" t="n">
        <f aca="false">SUM(N650:O650)</f>
        <v>33</v>
      </c>
    </row>
    <row r="651" customFormat="false" ht="18.75" hidden="false" customHeight="true" outlineLevel="0" collapsed="false">
      <c r="A651" s="315"/>
      <c r="B651" s="316"/>
      <c r="C651" s="316"/>
      <c r="D651" s="316"/>
      <c r="E651" s="316"/>
      <c r="F651" s="316"/>
      <c r="G651" s="316"/>
      <c r="H651" s="316"/>
      <c r="I651" s="316"/>
      <c r="J651" s="316"/>
      <c r="K651" s="316"/>
      <c r="L651" s="316"/>
      <c r="M651" s="316"/>
      <c r="N651" s="316"/>
      <c r="O651" s="316"/>
      <c r="P651" s="316"/>
    </row>
    <row r="652" customFormat="false" ht="30" hidden="false" customHeight="true" outlineLevel="0" collapsed="false">
      <c r="A652" s="295"/>
      <c r="B652" s="391" t="n">
        <f aca="false">'☆掛負収入'!B652</f>
        <v>46387</v>
      </c>
      <c r="C652" s="391" t="n">
        <f aca="false">'☆掛負収入'!C652</f>
        <v>0</v>
      </c>
      <c r="D652" s="391" t="n">
        <f aca="false">'☆掛負収入'!D652</f>
        <v>0</v>
      </c>
      <c r="E652" s="391" t="n">
        <f aca="false">'☆掛負収入'!E652</f>
        <v>0</v>
      </c>
      <c r="F652" s="391" t="n">
        <f aca="false">'☆掛負収入'!F652</f>
        <v>0</v>
      </c>
      <c r="G652" s="391" t="n">
        <f aca="false">'☆掛負収入'!G652</f>
        <v>0</v>
      </c>
      <c r="H652" s="391" t="n">
        <f aca="false">'☆掛負収入'!H652</f>
        <v>46387</v>
      </c>
      <c r="I652" s="391" t="n">
        <f aca="false">'☆掛負収入'!I652</f>
        <v>0</v>
      </c>
      <c r="J652" s="391" t="n">
        <f aca="false">'☆掛負収入'!J652</f>
        <v>0</v>
      </c>
      <c r="K652" s="391" t="n">
        <f aca="false">'☆掛負収入'!K652</f>
        <v>46387</v>
      </c>
      <c r="L652" s="391" t="n">
        <f aca="false">'☆掛負収入'!L652</f>
        <v>0</v>
      </c>
      <c r="M652" s="391" t="n">
        <f aca="false">'☆掛負収入'!M652</f>
        <v>0</v>
      </c>
      <c r="N652" s="391" t="n">
        <f aca="false">'☆掛負収入'!N652</f>
        <v>46387</v>
      </c>
      <c r="O652" s="391" t="n">
        <f aca="false">'☆掛負収入'!O652</f>
        <v>0</v>
      </c>
      <c r="P652" s="391" t="n">
        <f aca="false">'☆掛負収入'!P652</f>
        <v>0</v>
      </c>
    </row>
    <row r="653" customFormat="false" ht="22.5" hidden="false" customHeight="true" outlineLevel="0" collapsed="false">
      <c r="A653" s="89" t="str">
        <f aca="false">'☆掛負収入'!A653</f>
        <v>区　　分</v>
      </c>
      <c r="B653" s="89" t="str">
        <f aca="false">'☆掛負収入'!B653</f>
        <v>長　期　経　理</v>
      </c>
      <c r="C653" s="89" t="n">
        <f aca="false">'☆掛負収入'!C653</f>
        <v>0</v>
      </c>
      <c r="D653" s="89" t="n">
        <f aca="false">'☆掛負収入'!D653</f>
        <v>0</v>
      </c>
      <c r="E653" s="89" t="n">
        <f aca="false">'☆掛負収入'!E653</f>
        <v>0</v>
      </c>
      <c r="F653" s="89" t="n">
        <f aca="false">'☆掛負収入'!F653</f>
        <v>0</v>
      </c>
      <c r="G653" s="89" t="n">
        <f aca="false">'☆掛負収入'!G653</f>
        <v>0</v>
      </c>
      <c r="H653" s="91" t="str">
        <f aca="false">'☆掛負収入'!H653</f>
        <v>短　期　経　理</v>
      </c>
      <c r="I653" s="91" t="n">
        <f aca="false">'☆掛負収入'!I653</f>
        <v>0</v>
      </c>
      <c r="J653" s="91" t="n">
        <f aca="false">'☆掛負収入'!J653</f>
        <v>0</v>
      </c>
      <c r="K653" s="91" t="str">
        <f aca="false">'☆掛負収入'!K653</f>
        <v>介　護　納　付　金</v>
      </c>
      <c r="L653" s="91" t="n">
        <f aca="false">'☆掛負収入'!L653</f>
        <v>0</v>
      </c>
      <c r="M653" s="91" t="n">
        <f aca="false">'☆掛負収入'!M653</f>
        <v>0</v>
      </c>
      <c r="N653" s="91" t="str">
        <f aca="false">'☆掛負収入'!N653</f>
        <v>子ども・子育て支援納付金</v>
      </c>
      <c r="O653" s="91" t="n">
        <f aca="false">'☆掛負収入'!O653</f>
        <v>0</v>
      </c>
      <c r="P653" s="91" t="n">
        <f aca="false">'☆掛負収入'!P653</f>
        <v>0</v>
      </c>
    </row>
    <row r="654" customFormat="false" ht="22.5" hidden="false" customHeight="true" outlineLevel="0" collapsed="false">
      <c r="A654" s="89" t="n">
        <f aca="false">'☆掛負収入'!A654</f>
        <v>0</v>
      </c>
      <c r="B654" s="92" t="str">
        <f aca="false">'☆掛負収入'!B654</f>
        <v>組合員負担分</v>
      </c>
      <c r="C654" s="92" t="n">
        <f aca="false">'☆掛負収入'!C654</f>
        <v>0</v>
      </c>
      <c r="D654" s="92" t="str">
        <f aca="false">'☆掛負収入'!D654</f>
        <v>事業主負担分</v>
      </c>
      <c r="E654" s="92" t="n">
        <f aca="false">'☆掛負収入'!E654</f>
        <v>0</v>
      </c>
      <c r="F654" s="92" t="n">
        <f aca="false">'☆掛負収入'!F654</f>
        <v>0</v>
      </c>
      <c r="G654" s="586" t="str">
        <f aca="false">'☆掛負収入'!G654</f>
        <v>計</v>
      </c>
      <c r="H654" s="96" t="str">
        <f aca="false">'☆掛負収入'!H654</f>
        <v>掛　金</v>
      </c>
      <c r="I654" s="94" t="str">
        <f aca="false">'☆掛負収入'!I654</f>
        <v>負担金</v>
      </c>
      <c r="J654" s="95" t="str">
        <f aca="false">'☆掛負収入'!J654</f>
        <v>計</v>
      </c>
      <c r="K654" s="96" t="str">
        <f aca="false">'☆掛負収入'!K654</f>
        <v>掛　金</v>
      </c>
      <c r="L654" s="94" t="str">
        <f aca="false">'☆掛負収入'!L654</f>
        <v>負担金</v>
      </c>
      <c r="M654" s="95" t="str">
        <f aca="false">'☆掛負収入'!M654</f>
        <v>計</v>
      </c>
      <c r="N654" s="96" t="str">
        <f aca="false">'☆掛負収入'!N654</f>
        <v>掛　金</v>
      </c>
      <c r="O654" s="94" t="str">
        <f aca="false">'☆掛負収入'!O654</f>
        <v>負担金</v>
      </c>
      <c r="P654" s="95" t="str">
        <f aca="false">'☆掛負収入'!P654</f>
        <v>計</v>
      </c>
    </row>
    <row r="655" customFormat="false" ht="22.5" hidden="false" customHeight="true" outlineLevel="0" collapsed="false">
      <c r="A655" s="89" t="n">
        <f aca="false">'☆掛負収入'!A655</f>
        <v>0</v>
      </c>
      <c r="B655" s="587" t="str">
        <f aca="false">'☆掛負収入'!B655</f>
        <v>厚生年金保険料</v>
      </c>
      <c r="C655" s="588" t="str">
        <f aca="false">'☆掛負収入'!C655</f>
        <v>退職等年金掛金</v>
      </c>
      <c r="D655" s="589" t="str">
        <f aca="false">'☆掛負収入'!D655</f>
        <v>厚生年金保険料</v>
      </c>
      <c r="E655" s="589" t="str">
        <f aca="false">'☆掛負収入'!E655</f>
        <v>退職等年金負担金</v>
      </c>
      <c r="F655" s="590" t="str">
        <f aca="false">'☆掛負収入'!F655</f>
        <v>経過的長期</v>
      </c>
      <c r="G655" s="586" t="n">
        <f aca="false">'☆掛負収入'!G655</f>
        <v>0</v>
      </c>
      <c r="H655" s="96" t="n">
        <f aca="false">'☆掛負収入'!H655</f>
        <v>0</v>
      </c>
      <c r="I655" s="94" t="n">
        <f aca="false">'☆掛負収入'!I655</f>
        <v>0</v>
      </c>
      <c r="J655" s="95" t="n">
        <f aca="false">'☆掛負収入'!J655</f>
        <v>0</v>
      </c>
      <c r="K655" s="96" t="n">
        <f aca="false">'☆掛負収入'!K655</f>
        <v>0</v>
      </c>
      <c r="L655" s="94" t="n">
        <f aca="false">'☆掛負収入'!L655</f>
        <v>0</v>
      </c>
      <c r="M655" s="95" t="n">
        <f aca="false">'☆掛負収入'!M655</f>
        <v>0</v>
      </c>
      <c r="N655" s="96" t="n">
        <f aca="false">'☆掛負収入'!N655</f>
        <v>0</v>
      </c>
      <c r="O655" s="94" t="n">
        <f aca="false">'☆掛負収入'!O655</f>
        <v>0</v>
      </c>
      <c r="P655" s="95" t="n">
        <f aca="false">'☆掛負収入'!P655</f>
        <v>0</v>
      </c>
    </row>
    <row r="656" customFormat="false" ht="18.75" hidden="false" customHeight="true" outlineLevel="0" collapsed="false">
      <c r="A656" s="100" t="str">
        <f aca="false">'☆掛負収入'!A656</f>
        <v>市長部局</v>
      </c>
      <c r="B656" s="591"/>
      <c r="C656" s="364"/>
      <c r="D656" s="592"/>
      <c r="E656" s="592"/>
      <c r="F656" s="184"/>
      <c r="G656" s="364"/>
      <c r="H656" s="591"/>
      <c r="I656" s="593"/>
      <c r="J656" s="181"/>
      <c r="K656" s="594"/>
      <c r="L656" s="593"/>
      <c r="M656" s="181"/>
      <c r="N656" s="594"/>
      <c r="O656" s="593"/>
      <c r="P656" s="181"/>
    </row>
    <row r="657" customFormat="false" ht="18.75" hidden="false" customHeight="true" outlineLevel="0" collapsed="false">
      <c r="A657" s="100" t="str">
        <f aca="false">'☆掛負収入'!A657</f>
        <v>下水道局</v>
      </c>
      <c r="B657" s="406"/>
      <c r="C657" s="181"/>
      <c r="D657" s="592"/>
      <c r="E657" s="592"/>
      <c r="F657" s="135"/>
      <c r="G657" s="181"/>
      <c r="H657" s="594"/>
      <c r="I657" s="424"/>
      <c r="J657" s="135"/>
      <c r="K657" s="595"/>
      <c r="L657" s="596"/>
      <c r="M657" s="135"/>
      <c r="N657" s="595"/>
      <c r="O657" s="596"/>
      <c r="P657" s="135"/>
    </row>
    <row r="658" customFormat="false" ht="18.75" hidden="false" customHeight="true" outlineLevel="0" collapsed="false">
      <c r="A658" s="100" t="str">
        <f aca="false">'☆掛負収入'!A658</f>
        <v>消防局</v>
      </c>
      <c r="B658" s="406"/>
      <c r="C658" s="181"/>
      <c r="D658" s="592"/>
      <c r="E658" s="592"/>
      <c r="F658" s="135"/>
      <c r="G658" s="181"/>
      <c r="H658" s="595"/>
      <c r="I658" s="439"/>
      <c r="J658" s="135"/>
      <c r="K658" s="595"/>
      <c r="L658" s="439"/>
      <c r="M658" s="135"/>
      <c r="N658" s="595"/>
      <c r="O658" s="439"/>
      <c r="P658" s="135"/>
    </row>
    <row r="659" customFormat="false" ht="18.75" hidden="false" customHeight="true" outlineLevel="0" collapsed="false">
      <c r="A659" s="100" t="str">
        <f aca="false">'☆掛負収入'!A659</f>
        <v>議会事務局</v>
      </c>
      <c r="B659" s="406"/>
      <c r="C659" s="181"/>
      <c r="D659" s="592"/>
      <c r="E659" s="592"/>
      <c r="F659" s="135"/>
      <c r="G659" s="181"/>
      <c r="H659" s="406"/>
      <c r="I659" s="439"/>
      <c r="J659" s="135"/>
      <c r="K659" s="406"/>
      <c r="L659" s="439"/>
      <c r="M659" s="135"/>
      <c r="N659" s="406"/>
      <c r="O659" s="439"/>
      <c r="P659" s="135"/>
    </row>
    <row r="660" customFormat="false" ht="18.75" hidden="false" customHeight="true" outlineLevel="0" collapsed="false">
      <c r="A660" s="100" t="str">
        <f aca="false">'☆掛負収入'!A660</f>
        <v>教育委員会（総務課）</v>
      </c>
      <c r="B660" s="406"/>
      <c r="C660" s="181"/>
      <c r="D660" s="592"/>
      <c r="E660" s="592"/>
      <c r="F660" s="135"/>
      <c r="G660" s="181"/>
      <c r="H660" s="406"/>
      <c r="I660" s="439"/>
      <c r="J660" s="135"/>
      <c r="K660" s="406"/>
      <c r="L660" s="439"/>
      <c r="M660" s="135"/>
      <c r="N660" s="406"/>
      <c r="O660" s="439"/>
      <c r="P660" s="135"/>
    </row>
    <row r="661" customFormat="false" ht="18.75" hidden="false" customHeight="true" outlineLevel="0" collapsed="false">
      <c r="A661" s="100" t="str">
        <f aca="false">'☆掛負収入'!A661</f>
        <v>選挙管理委員会</v>
      </c>
      <c r="B661" s="406"/>
      <c r="C661" s="181"/>
      <c r="D661" s="592"/>
      <c r="E661" s="592"/>
      <c r="F661" s="135"/>
      <c r="G661" s="181"/>
      <c r="H661" s="594"/>
      <c r="I661" s="424"/>
      <c r="J661" s="135"/>
      <c r="K661" s="406"/>
      <c r="L661" s="439"/>
      <c r="M661" s="135"/>
      <c r="N661" s="406"/>
      <c r="O661" s="439"/>
      <c r="P661" s="135"/>
    </row>
    <row r="662" customFormat="false" ht="18.75" hidden="false" customHeight="true" outlineLevel="0" collapsed="false">
      <c r="A662" s="100" t="str">
        <f aca="false">'☆掛負収入'!A662</f>
        <v>人事委員会</v>
      </c>
      <c r="B662" s="406"/>
      <c r="C662" s="181"/>
      <c r="D662" s="592"/>
      <c r="E662" s="592"/>
      <c r="F662" s="135"/>
      <c r="G662" s="181"/>
      <c r="H662" s="594"/>
      <c r="I662" s="424"/>
      <c r="J662" s="135"/>
      <c r="K662" s="594"/>
      <c r="L662" s="424"/>
      <c r="M662" s="135"/>
      <c r="N662" s="594"/>
      <c r="O662" s="424"/>
      <c r="P662" s="135"/>
    </row>
    <row r="663" customFormat="false" ht="18.75" hidden="false" customHeight="true" outlineLevel="0" collapsed="false">
      <c r="A663" s="100" t="str">
        <f aca="false">'☆掛負収入'!A663</f>
        <v>監査事務局</v>
      </c>
      <c r="B663" s="406"/>
      <c r="C663" s="181"/>
      <c r="D663" s="592"/>
      <c r="E663" s="592"/>
      <c r="F663" s="135"/>
      <c r="G663" s="181"/>
      <c r="H663" s="594"/>
      <c r="I663" s="424"/>
      <c r="J663" s="135"/>
      <c r="K663" s="594"/>
      <c r="L663" s="424"/>
      <c r="M663" s="135"/>
      <c r="N663" s="594"/>
      <c r="O663" s="424"/>
      <c r="P663" s="135"/>
    </row>
    <row r="664" customFormat="false" ht="18.75" hidden="false" customHeight="true" outlineLevel="0" collapsed="false">
      <c r="A664" s="100" t="str">
        <f aca="false">'☆掛負収入'!A664</f>
        <v>農業委員会</v>
      </c>
      <c r="B664" s="406"/>
      <c r="C664" s="181"/>
      <c r="D664" s="592"/>
      <c r="E664" s="592"/>
      <c r="F664" s="135"/>
      <c r="G664" s="181"/>
      <c r="H664" s="594"/>
      <c r="I664" s="424"/>
      <c r="J664" s="135"/>
      <c r="K664" s="594"/>
      <c r="L664" s="424"/>
      <c r="M664" s="135"/>
      <c r="N664" s="594"/>
      <c r="O664" s="424"/>
      <c r="P664" s="135"/>
    </row>
    <row r="665" customFormat="false" ht="18.75" hidden="false" customHeight="true" outlineLevel="0" collapsed="false">
      <c r="A665" s="100" t="str">
        <f aca="false">'☆掛負収入'!A665</f>
        <v>水道局</v>
      </c>
      <c r="B665" s="406"/>
      <c r="C665" s="181"/>
      <c r="D665" s="592"/>
      <c r="E665" s="592"/>
      <c r="F665" s="135"/>
      <c r="G665" s="181"/>
      <c r="H665" s="594"/>
      <c r="I665" s="424"/>
      <c r="J665" s="135"/>
      <c r="K665" s="594"/>
      <c r="L665" s="424"/>
      <c r="M665" s="135"/>
      <c r="N665" s="594"/>
      <c r="O665" s="424"/>
      <c r="P665" s="135"/>
    </row>
    <row r="666" customFormat="false" ht="18.75" hidden="false" customHeight="true" outlineLevel="0" collapsed="false">
      <c r="A666" s="121" t="str">
        <f aca="false">'☆掛負収入'!A666</f>
        <v>医療政策課(安芸市民)</v>
      </c>
      <c r="B666" s="595"/>
      <c r="C666" s="366"/>
      <c r="D666" s="595"/>
      <c r="E666" s="596"/>
      <c r="F666" s="393"/>
      <c r="G666" s="181"/>
      <c r="H666" s="597"/>
      <c r="I666" s="407"/>
      <c r="J666" s="135"/>
      <c r="K666" s="594"/>
      <c r="L666" s="424"/>
      <c r="M666" s="135"/>
      <c r="N666" s="594"/>
      <c r="O666" s="424"/>
      <c r="P666" s="135"/>
    </row>
    <row r="667" customFormat="false" ht="18.75" hidden="false" customHeight="true" outlineLevel="0" collapsed="false">
      <c r="A667" s="121" t="str">
        <f aca="false">'☆掛負収入'!A667</f>
        <v>教育委員会（教育給与課）</v>
      </c>
      <c r="B667" s="595"/>
      <c r="C667" s="181"/>
      <c r="D667" s="406"/>
      <c r="E667" s="598"/>
      <c r="F667" s="284"/>
      <c r="G667" s="181"/>
      <c r="H667" s="594"/>
      <c r="I667" s="424"/>
      <c r="J667" s="135"/>
      <c r="K667" s="594"/>
      <c r="L667" s="424"/>
      <c r="M667" s="135"/>
      <c r="N667" s="594"/>
      <c r="O667" s="424"/>
      <c r="P667" s="135"/>
    </row>
    <row r="668" customFormat="false" ht="18.75" hidden="true" customHeight="true" outlineLevel="0" collapsed="false">
      <c r="A668" s="599"/>
      <c r="B668" s="600"/>
      <c r="C668" s="210"/>
      <c r="D668" s="600"/>
      <c r="E668" s="601"/>
      <c r="F668" s="196"/>
      <c r="G668" s="687"/>
      <c r="H668" s="602"/>
      <c r="I668" s="603"/>
      <c r="J668" s="603"/>
      <c r="K668" s="602"/>
      <c r="L668" s="603"/>
      <c r="M668" s="195"/>
      <c r="N668" s="602"/>
      <c r="O668" s="603"/>
      <c r="P668" s="195"/>
    </row>
    <row r="669" customFormat="false" ht="18.75" hidden="true" customHeight="true" outlineLevel="0" collapsed="false">
      <c r="A669" s="604"/>
      <c r="B669" s="457"/>
      <c r="C669" s="132"/>
      <c r="D669" s="457"/>
      <c r="E669" s="458"/>
      <c r="F669" s="459"/>
      <c r="G669" s="435"/>
      <c r="H669" s="457"/>
      <c r="I669" s="458"/>
      <c r="J669" s="458"/>
      <c r="K669" s="457"/>
      <c r="L669" s="458"/>
      <c r="M669" s="130"/>
      <c r="N669" s="457"/>
      <c r="O669" s="458"/>
      <c r="P669" s="130"/>
    </row>
    <row r="670" customFormat="false" ht="18.75" hidden="true" customHeight="true" outlineLevel="0" collapsed="false">
      <c r="A670" s="604"/>
      <c r="B670" s="600"/>
      <c r="C670" s="210"/>
      <c r="D670" s="600"/>
      <c r="E670" s="601"/>
      <c r="F670" s="196"/>
      <c r="G670" s="687"/>
      <c r="H670" s="600"/>
      <c r="I670" s="601"/>
      <c r="J670" s="601"/>
      <c r="K670" s="600"/>
      <c r="L670" s="601"/>
      <c r="M670" s="696"/>
      <c r="N670" s="600"/>
      <c r="O670" s="601"/>
      <c r="P670" s="696"/>
    </row>
    <row r="671" customFormat="false" ht="18.75" hidden="true" customHeight="true" outlineLevel="0" collapsed="false">
      <c r="A671" s="605"/>
      <c r="B671" s="606"/>
      <c r="C671" s="607"/>
      <c r="D671" s="606"/>
      <c r="E671" s="490"/>
      <c r="F671" s="608"/>
      <c r="G671" s="689"/>
      <c r="H671" s="457"/>
      <c r="I671" s="609"/>
      <c r="J671" s="609"/>
      <c r="K671" s="457"/>
      <c r="L671" s="458"/>
      <c r="M671" s="130"/>
      <c r="N671" s="457"/>
      <c r="O671" s="458"/>
      <c r="P671" s="130"/>
    </row>
    <row r="672" customFormat="false" ht="18.75" hidden="false" customHeight="true" outlineLevel="0" collapsed="false">
      <c r="A672" s="171" t="str">
        <f aca="false">'☆掛負収入'!A672</f>
        <v>小　計</v>
      </c>
      <c r="B672" s="404"/>
      <c r="C672" s="174"/>
      <c r="D672" s="404"/>
      <c r="E672" s="174"/>
      <c r="F672" s="175"/>
      <c r="G672" s="176"/>
      <c r="H672" s="404"/>
      <c r="I672" s="174"/>
      <c r="J672" s="173"/>
      <c r="K672" s="404"/>
      <c r="L672" s="174"/>
      <c r="M672" s="173"/>
      <c r="N672" s="404"/>
      <c r="O672" s="174"/>
      <c r="P672" s="173"/>
    </row>
    <row r="673" customFormat="false" ht="18.75" hidden="false" customHeight="true" outlineLevel="0" collapsed="false">
      <c r="A673" s="177" t="str">
        <f aca="false">'☆掛負収入'!A673</f>
        <v>地方税共同機構</v>
      </c>
      <c r="B673" s="449" t="n">
        <f aca="false">'☆掛負収入'!B673</f>
        <v>0</v>
      </c>
      <c r="C673" s="377" t="n">
        <f aca="false">'☆掛負収入'!C673</f>
        <v>0</v>
      </c>
      <c r="D673" s="469" t="n">
        <f aca="false">'☆掛負収入'!D673</f>
        <v>0</v>
      </c>
      <c r="E673" s="463" t="n">
        <f aca="false">'☆掛負収入'!E673</f>
        <v>0</v>
      </c>
      <c r="F673" s="223" t="n">
        <f aca="false">'☆掛負収入'!F673</f>
        <v>0</v>
      </c>
      <c r="G673" s="181" t="n">
        <f aca="false">SUM(B673:F673)</f>
        <v>0</v>
      </c>
      <c r="H673" s="594" t="n">
        <f aca="false">'☆掛負収入'!H673</f>
        <v>0</v>
      </c>
      <c r="I673" s="424" t="n">
        <f aca="false">'☆掛負収入'!I673</f>
        <v>0</v>
      </c>
      <c r="J673" s="135" t="n">
        <f aca="false">SUM(H673:I673)</f>
        <v>0</v>
      </c>
      <c r="K673" s="439" t="n">
        <f aca="false">'☆掛負収入'!K673</f>
        <v>0</v>
      </c>
      <c r="L673" s="424" t="n">
        <f aca="false">'☆掛負収入'!L673</f>
        <v>0</v>
      </c>
      <c r="M673" s="135" t="n">
        <f aca="false">SUM(K673:L673)</f>
        <v>0</v>
      </c>
      <c r="N673" s="439" t="n">
        <f aca="false">'☆掛負収入'!N673</f>
        <v>0</v>
      </c>
      <c r="O673" s="424" t="n">
        <f aca="false">'☆掛負収入'!O673</f>
        <v>0</v>
      </c>
      <c r="P673" s="135" t="n">
        <f aca="false">SUM(N673:O673)</f>
        <v>0</v>
      </c>
    </row>
    <row r="674" customFormat="false" ht="18.75" hidden="false" customHeight="true" outlineLevel="0" collapsed="false">
      <c r="A674" s="100" t="str">
        <f aca="false">'☆掛負収入'!A674</f>
        <v>平和文化センター</v>
      </c>
      <c r="B674" s="449" t="n">
        <f aca="false">'☆掛負収入'!B674</f>
        <v>0</v>
      </c>
      <c r="C674" s="377" t="n">
        <f aca="false">'☆掛負収入'!C674</f>
        <v>0</v>
      </c>
      <c r="D674" s="464" t="n">
        <f aca="false">'☆掛負収入'!D674</f>
        <v>629520</v>
      </c>
      <c r="E674" s="452" t="n">
        <f aca="false">'☆掛負収入'!E674</f>
        <v>51600</v>
      </c>
      <c r="F674" s="223" t="n">
        <f aca="false">'☆掛負収入'!F674</f>
        <v>713</v>
      </c>
      <c r="G674" s="181" t="n">
        <f aca="false">SUM(B674:F674)</f>
        <v>681833</v>
      </c>
      <c r="H674" s="594" t="n">
        <f aca="false">'☆掛負収入'!H674</f>
        <v>0</v>
      </c>
      <c r="I674" s="424" t="n">
        <f aca="false">'☆掛負収入'!I674</f>
        <v>380809</v>
      </c>
      <c r="J674" s="135" t="n">
        <f aca="false">SUM(H674:I674)</f>
        <v>380809</v>
      </c>
      <c r="K674" s="439" t="n">
        <f aca="false">'☆掛負収入'!K674</f>
        <v>0</v>
      </c>
      <c r="L674" s="424" t="n">
        <f aca="false">'☆掛負収入'!L674</f>
        <v>51903</v>
      </c>
      <c r="M674" s="135" t="n">
        <f aca="false">SUM(K674:L674)</f>
        <v>51903</v>
      </c>
      <c r="N674" s="439" t="n">
        <f aca="false">'☆掛負収入'!N674</f>
        <v>0</v>
      </c>
      <c r="O674" s="424" t="n">
        <f aca="false">'☆掛負収入'!O674</f>
        <v>1</v>
      </c>
      <c r="P674" s="135" t="n">
        <f aca="false">SUM(N674:O674)</f>
        <v>1</v>
      </c>
    </row>
    <row r="675" customFormat="false" ht="18.75" hidden="false" customHeight="true" outlineLevel="0" collapsed="false">
      <c r="A675" s="100" t="str">
        <f aca="false">'☆掛負収入'!A675</f>
        <v>社会福祉事業団</v>
      </c>
      <c r="B675" s="600"/>
      <c r="C675" s="210"/>
      <c r="D675" s="451" t="n">
        <f aca="false">'☆掛負収入'!D675</f>
        <v>1881240</v>
      </c>
      <c r="E675" s="453" t="n">
        <f aca="false">'☆掛負収入'!E675</f>
        <v>154200</v>
      </c>
      <c r="F675" s="223" t="n">
        <f aca="false">'☆掛負収入'!F675</f>
        <v>1955</v>
      </c>
      <c r="G675" s="181" t="n">
        <f aca="false">SUM(B675:F675)</f>
        <v>2037395</v>
      </c>
      <c r="H675" s="602"/>
      <c r="I675" s="424" t="n">
        <f aca="false">'☆掛負収入'!I675</f>
        <v>1271969</v>
      </c>
      <c r="J675" s="135" t="n">
        <f aca="false">SUM(H675:I675)</f>
        <v>1271969</v>
      </c>
      <c r="K675" s="612"/>
      <c r="L675" s="424" t="n">
        <f aca="false">'☆掛負収入'!L675</f>
        <v>141252</v>
      </c>
      <c r="M675" s="135" t="n">
        <f aca="false">SUM(K675:L675)</f>
        <v>141252</v>
      </c>
      <c r="N675" s="612"/>
      <c r="O675" s="424" t="n">
        <f aca="false">'☆掛負収入'!O675</f>
        <v>1</v>
      </c>
      <c r="P675" s="135" t="n">
        <f aca="false">SUM(N675:O675)</f>
        <v>1</v>
      </c>
    </row>
    <row r="676" customFormat="false" ht="18.75" hidden="false" customHeight="true" outlineLevel="0" collapsed="false">
      <c r="A676" s="100" t="str">
        <f aca="false">'☆掛負収入'!A676</f>
        <v>原爆障害対策協議会</v>
      </c>
      <c r="B676" s="600"/>
      <c r="C676" s="210"/>
      <c r="D676" s="445" t="n">
        <f aca="false">'☆掛負収入'!D676</f>
        <v>48495</v>
      </c>
      <c r="E676" s="453" t="n">
        <f aca="false">'☆掛負収入'!E676</f>
        <v>3975</v>
      </c>
      <c r="F676" s="223" t="n">
        <f aca="false">'☆掛負収入'!F676</f>
        <v>49</v>
      </c>
      <c r="G676" s="181" t="n">
        <f aca="false">SUM(B676:F676)</f>
        <v>52519</v>
      </c>
      <c r="H676" s="602"/>
      <c r="I676" s="424" t="n">
        <f aca="false">'☆掛負収入'!I676</f>
        <v>29208</v>
      </c>
      <c r="J676" s="135" t="n">
        <f aca="false">SUM(H676:I676)</f>
        <v>29208</v>
      </c>
      <c r="K676" s="612"/>
      <c r="L676" s="424" t="n">
        <f aca="false">'☆掛負収入'!L676</f>
        <v>4187</v>
      </c>
      <c r="M676" s="135" t="n">
        <f aca="false">SUM(K676:L676)</f>
        <v>4187</v>
      </c>
      <c r="N676" s="612"/>
      <c r="O676" s="424" t="n">
        <f aca="false">'☆掛負収入'!O676</f>
        <v>1</v>
      </c>
      <c r="P676" s="135" t="n">
        <f aca="false">SUM(N676:O676)</f>
        <v>1</v>
      </c>
    </row>
    <row r="677" customFormat="false" ht="18.75" hidden="false" customHeight="true" outlineLevel="0" collapsed="false">
      <c r="A677" s="189" t="str">
        <f aca="false">'☆掛負収入'!A677</f>
        <v>産業振興センター</v>
      </c>
      <c r="B677" s="600"/>
      <c r="C677" s="210"/>
      <c r="D677" s="445" t="n">
        <f aca="false">'☆掛負収入'!D677</f>
        <v>425475</v>
      </c>
      <c r="E677" s="453" t="n">
        <f aca="false">'☆掛負収入'!E677</f>
        <v>34875</v>
      </c>
      <c r="F677" s="223" t="n">
        <f aca="false">'☆掛負収入'!F677</f>
        <v>435</v>
      </c>
      <c r="G677" s="181" t="n">
        <f aca="false">SUM(B677:F677)</f>
        <v>460785</v>
      </c>
      <c r="H677" s="602"/>
      <c r="I677" s="424" t="n">
        <f aca="false">'☆掛負収入'!I677</f>
        <v>256260</v>
      </c>
      <c r="J677" s="135" t="n">
        <f aca="false">SUM(H677:I677)</f>
        <v>256260</v>
      </c>
      <c r="K677" s="612"/>
      <c r="L677" s="424" t="n">
        <f aca="false">'☆掛負収入'!L677</f>
        <v>34207</v>
      </c>
      <c r="M677" s="135" t="n">
        <f aca="false">SUM(K677:L677)</f>
        <v>34207</v>
      </c>
      <c r="N677" s="612"/>
      <c r="O677" s="424" t="n">
        <f aca="false">'☆掛負収入'!O677</f>
        <v>1</v>
      </c>
      <c r="P677" s="135" t="n">
        <f aca="false">SUM(N677:O677)</f>
        <v>1</v>
      </c>
    </row>
    <row r="678" customFormat="false" ht="18.75" hidden="false" customHeight="true" outlineLevel="0" collapsed="false">
      <c r="A678" s="121" t="str">
        <f aca="false">'☆掛負収入'!A678</f>
        <v>ひろしま産業振興</v>
      </c>
      <c r="B678" s="600"/>
      <c r="C678" s="459"/>
      <c r="D678" s="445" t="n">
        <f aca="false">'☆掛負収入'!D678</f>
        <v>86010</v>
      </c>
      <c r="E678" s="453" t="n">
        <f aca="false">'☆掛負収入'!E678</f>
        <v>7050</v>
      </c>
      <c r="F678" s="454" t="n">
        <f aca="false">'☆掛負収入'!F678</f>
        <v>88</v>
      </c>
      <c r="G678" s="181" t="n">
        <f aca="false">SUM(B678:F678)</f>
        <v>93148</v>
      </c>
      <c r="H678" s="602"/>
      <c r="I678" s="407" t="n">
        <f aca="false">'☆掛負収入'!I678</f>
        <v>51803</v>
      </c>
      <c r="J678" s="135" t="n">
        <f aca="false">SUM(H678:I678)</f>
        <v>51803</v>
      </c>
      <c r="K678" s="612"/>
      <c r="L678" s="407" t="n">
        <f aca="false">'☆掛負収入'!L678</f>
        <v>7426</v>
      </c>
      <c r="M678" s="135" t="n">
        <f aca="false">SUM(K678:L678)</f>
        <v>7426</v>
      </c>
      <c r="N678" s="612"/>
      <c r="O678" s="407" t="n">
        <f aca="false">'☆掛負収入'!O678</f>
        <v>1</v>
      </c>
      <c r="P678" s="135" t="n">
        <f aca="false">SUM(N678:O678)</f>
        <v>1</v>
      </c>
    </row>
    <row r="679" customFormat="false" ht="18.75" hidden="false" customHeight="true" outlineLevel="0" collapsed="false">
      <c r="A679" s="121" t="str">
        <f aca="false">'☆掛負収入'!A679</f>
        <v>都市整備公社　市</v>
      </c>
      <c r="B679" s="600"/>
      <c r="C679" s="459"/>
      <c r="D679" s="451" t="n">
        <f aca="false">'☆掛負収入'!D679</f>
        <v>48495</v>
      </c>
      <c r="E679" s="453" t="n">
        <f aca="false">'☆掛負収入'!E679</f>
        <v>3975</v>
      </c>
      <c r="F679" s="223" t="n">
        <f aca="false">'☆掛負収入'!F679</f>
        <v>49</v>
      </c>
      <c r="G679" s="181" t="n">
        <f aca="false">SUM(B679:F679)</f>
        <v>52519</v>
      </c>
      <c r="H679" s="602"/>
      <c r="I679" s="424" t="n">
        <f aca="false">'☆掛負収入'!I679</f>
        <v>29208</v>
      </c>
      <c r="J679" s="135" t="n">
        <f aca="false">SUM(H679:I679)</f>
        <v>29208</v>
      </c>
      <c r="K679" s="612"/>
      <c r="L679" s="424" t="n">
        <f aca="false">'☆掛負収入'!L679</f>
        <v>4187</v>
      </c>
      <c r="M679" s="135" t="n">
        <f aca="false">SUM(K679:L679)</f>
        <v>4187</v>
      </c>
      <c r="N679" s="612"/>
      <c r="O679" s="424" t="n">
        <f aca="false">'☆掛負収入'!O679</f>
        <v>1</v>
      </c>
      <c r="P679" s="135" t="n">
        <f aca="false">SUM(N679:O679)</f>
        <v>1</v>
      </c>
    </row>
    <row r="680" customFormat="false" ht="18.75" hidden="false" customHeight="true" outlineLevel="0" collapsed="false">
      <c r="A680" s="192"/>
      <c r="B680" s="600"/>
      <c r="C680" s="196"/>
      <c r="D680" s="449"/>
      <c r="E680" s="453"/>
      <c r="F680" s="223"/>
      <c r="G680" s="181"/>
      <c r="H680" s="602"/>
      <c r="I680" s="424"/>
      <c r="J680" s="135"/>
      <c r="K680" s="612"/>
      <c r="L680" s="424"/>
      <c r="M680" s="135" t="n">
        <f aca="false">SUM(K680:L680)</f>
        <v>0</v>
      </c>
      <c r="N680" s="612"/>
      <c r="O680" s="424"/>
      <c r="P680" s="135" t="n">
        <f aca="false">SUM(N680:O680)</f>
        <v>0</v>
      </c>
    </row>
    <row r="681" customFormat="false" ht="18.75" hidden="false" customHeight="true" outlineLevel="0" collapsed="false">
      <c r="A681" s="121" t="str">
        <f aca="false">'☆掛負収入'!A681</f>
        <v>日本下水道事業団</v>
      </c>
      <c r="B681" s="451" t="n">
        <f aca="false">'☆掛負収入'!B681</f>
        <v>245220</v>
      </c>
      <c r="C681" s="223" t="n">
        <f aca="false">'☆掛負収入'!C681</f>
        <v>20100</v>
      </c>
      <c r="D681" s="449" t="n">
        <f aca="false">'☆掛負収入'!D681</f>
        <v>245220</v>
      </c>
      <c r="E681" s="453" t="n">
        <f aca="false">'☆掛負収入'!E681</f>
        <v>20100</v>
      </c>
      <c r="F681" s="223" t="n">
        <f aca="false">'☆掛負収入'!F681</f>
        <v>251</v>
      </c>
      <c r="G681" s="181" t="n">
        <f aca="false">SUM(B681:F681)</f>
        <v>530891</v>
      </c>
      <c r="H681" s="594" t="n">
        <f aca="false">'☆掛負収入'!H681</f>
        <v>147425</v>
      </c>
      <c r="I681" s="424" t="n">
        <f aca="false">'☆掛負収入'!I681</f>
        <v>147694</v>
      </c>
      <c r="J681" s="135" t="n">
        <f aca="false">SUM(H681:I681)</f>
        <v>295119</v>
      </c>
      <c r="K681" s="439" t="n">
        <f aca="false">'☆掛負収入'!K681</f>
        <v>9559</v>
      </c>
      <c r="L681" s="424" t="n">
        <f aca="false">'☆掛負収入'!L681</f>
        <v>9559</v>
      </c>
      <c r="M681" s="135" t="n">
        <f aca="false">SUM(K681:L681)</f>
        <v>19118</v>
      </c>
      <c r="N681" s="439" t="n">
        <f aca="false">'☆掛負収入'!N681</f>
        <v>1</v>
      </c>
      <c r="O681" s="424" t="n">
        <f aca="false">'☆掛負収入'!O681</f>
        <v>1</v>
      </c>
      <c r="P681" s="135" t="n">
        <f aca="false">SUM(N681:O681)</f>
        <v>2</v>
      </c>
    </row>
    <row r="682" customFormat="false" ht="18.75" hidden="false" customHeight="true" outlineLevel="0" collapsed="false">
      <c r="A682" s="100" t="str">
        <f aca="false">'☆掛負収入'!A682</f>
        <v>地方公務員災害補償基金本部</v>
      </c>
      <c r="B682" s="451" t="n">
        <f aca="false">'☆掛負収入'!B682</f>
        <v>40260</v>
      </c>
      <c r="C682" s="223" t="n">
        <f aca="false">'☆掛負収入'!C682</f>
        <v>3300</v>
      </c>
      <c r="D682" s="449" t="n">
        <f aca="false">'☆掛負収入'!D682</f>
        <v>40260</v>
      </c>
      <c r="E682" s="453" t="n">
        <f aca="false">'☆掛負収入'!E682</f>
        <v>3300</v>
      </c>
      <c r="F682" s="223" t="n">
        <f aca="false">'☆掛負収入'!F682</f>
        <v>41</v>
      </c>
      <c r="G682" s="181" t="n">
        <f aca="false">SUM(B682:F682)</f>
        <v>87161</v>
      </c>
      <c r="H682" s="594" t="n">
        <f aca="false">'☆掛負収入'!H682</f>
        <v>24204</v>
      </c>
      <c r="I682" s="424" t="n">
        <f aca="false">'☆掛負収入'!I682</f>
        <v>24248</v>
      </c>
      <c r="J682" s="135" t="n">
        <f aca="false">SUM(H682:I682)</f>
        <v>48452</v>
      </c>
      <c r="K682" s="439" t="n">
        <f aca="false">'☆掛負収入'!K682</f>
        <v>0</v>
      </c>
      <c r="L682" s="424" t="n">
        <f aca="false">'☆掛負収入'!L682</f>
        <v>0</v>
      </c>
      <c r="M682" s="135" t="n">
        <f aca="false">SUM(K682:L682)</f>
        <v>0</v>
      </c>
      <c r="N682" s="439" t="n">
        <f aca="false">'☆掛負収入'!N682</f>
        <v>1</v>
      </c>
      <c r="O682" s="424" t="n">
        <f aca="false">'☆掛負収入'!O682</f>
        <v>1</v>
      </c>
      <c r="P682" s="135" t="n">
        <f aca="false">SUM(N682:O682)</f>
        <v>2</v>
      </c>
    </row>
    <row r="683" customFormat="false" ht="18.75" hidden="false" customHeight="true" outlineLevel="0" collapsed="false">
      <c r="A683" s="197"/>
      <c r="B683" s="449"/>
      <c r="C683" s="223"/>
      <c r="D683" s="449"/>
      <c r="E683" s="453"/>
      <c r="F683" s="223"/>
      <c r="G683" s="181"/>
      <c r="H683" s="594"/>
      <c r="I683" s="424"/>
      <c r="J683" s="135"/>
      <c r="K683" s="439"/>
      <c r="L683" s="424"/>
      <c r="M683" s="135" t="n">
        <f aca="false">SUM(K683:L683)</f>
        <v>0</v>
      </c>
      <c r="N683" s="439"/>
      <c r="O683" s="424"/>
      <c r="P683" s="135" t="n">
        <f aca="false">SUM(N683:O683)</f>
        <v>0</v>
      </c>
    </row>
    <row r="684" customFormat="false" ht="18.75" hidden="false" customHeight="true" outlineLevel="0" collapsed="false">
      <c r="A684" s="100" t="str">
        <f aca="false">'☆掛負収入'!A684</f>
        <v>高速道路公社</v>
      </c>
      <c r="B684" s="464" t="n">
        <f aca="false">'☆掛負収入'!B684</f>
        <v>912255</v>
      </c>
      <c r="C684" s="454" t="n">
        <f aca="false">'☆掛負収入'!C684</f>
        <v>74775</v>
      </c>
      <c r="D684" s="464" t="n">
        <f aca="false">'☆掛負収入'!D684</f>
        <v>912255</v>
      </c>
      <c r="E684" s="470" t="n">
        <f aca="false">'☆掛負収入'!E684</f>
        <v>74775</v>
      </c>
      <c r="F684" s="466" t="n">
        <f aca="false">'☆掛負収入'!F684</f>
        <v>936</v>
      </c>
      <c r="G684" s="181" t="n">
        <f aca="false">SUM(B684:F684)</f>
        <v>1974996</v>
      </c>
      <c r="H684" s="613" t="n">
        <f aca="false">'☆掛負収入'!H684</f>
        <v>548442</v>
      </c>
      <c r="I684" s="614" t="n">
        <f aca="false">'☆掛負収入'!I684</f>
        <v>549446</v>
      </c>
      <c r="J684" s="135" t="n">
        <f aca="false">SUM(H684:I684)</f>
        <v>1097888</v>
      </c>
      <c r="K684" s="615" t="n">
        <f aca="false">'☆掛負収入'!K684</f>
        <v>50086</v>
      </c>
      <c r="L684" s="614" t="n">
        <f aca="false">'☆掛負収入'!L684</f>
        <v>50086</v>
      </c>
      <c r="M684" s="135" t="n">
        <f aca="false">SUM(K684:L684)</f>
        <v>100172</v>
      </c>
      <c r="N684" s="615" t="n">
        <f aca="false">'☆掛負収入'!N684</f>
        <v>1</v>
      </c>
      <c r="O684" s="614" t="n">
        <f aca="false">'☆掛負収入'!O684</f>
        <v>1</v>
      </c>
      <c r="P684" s="135" t="n">
        <f aca="false">SUM(N684:O684)</f>
        <v>2</v>
      </c>
    </row>
    <row r="685" customFormat="false" ht="18.75" hidden="false" customHeight="true" outlineLevel="0" collapsed="false">
      <c r="A685" s="100" t="str">
        <f aca="false">'☆掛負収入'!A685</f>
        <v>農林水産振興センタ</v>
      </c>
      <c r="B685" s="457"/>
      <c r="C685" s="459"/>
      <c r="D685" s="451" t="n">
        <f aca="false">'☆掛負収入'!D685</f>
        <v>571875</v>
      </c>
      <c r="E685" s="473" t="n">
        <f aca="false">'☆掛負収入'!E685</f>
        <v>46875</v>
      </c>
      <c r="F685" s="454" t="n">
        <f aca="false">'☆掛負収入'!F685</f>
        <v>613</v>
      </c>
      <c r="G685" s="181" t="n">
        <f aca="false">SUM(B685:F685)</f>
        <v>619363</v>
      </c>
      <c r="H685" s="616"/>
      <c r="I685" s="407" t="n">
        <f aca="false">'☆掛負収入'!I685</f>
        <v>344467</v>
      </c>
      <c r="J685" s="135" t="n">
        <f aca="false">SUM(H685:I685)</f>
        <v>344467</v>
      </c>
      <c r="K685" s="617"/>
      <c r="L685" s="407" t="n">
        <f aca="false">'☆掛負収入'!L685</f>
        <v>27255</v>
      </c>
      <c r="M685" s="135" t="n">
        <f aca="false">SUM(K685:L685)</f>
        <v>27255</v>
      </c>
      <c r="N685" s="617"/>
      <c r="O685" s="407" t="n">
        <f aca="false">'☆掛負収入'!O685</f>
        <v>1</v>
      </c>
      <c r="P685" s="135" t="n">
        <f aca="false">SUM(N685:O685)</f>
        <v>1</v>
      </c>
    </row>
    <row r="686" customFormat="false" ht="18.75" hidden="false" customHeight="true" outlineLevel="0" collapsed="false">
      <c r="A686" s="203" t="str">
        <f aca="false">'☆掛負収入'!A686</f>
        <v>文化財団　市長部局</v>
      </c>
      <c r="B686" s="600"/>
      <c r="C686" s="196"/>
      <c r="D686" s="449" t="n">
        <f aca="false">'☆掛負収入'!D686</f>
        <v>1160220</v>
      </c>
      <c r="E686" s="453" t="n">
        <f aca="false">'☆掛負収入'!E686</f>
        <v>95100</v>
      </c>
      <c r="F686" s="454" t="n">
        <f aca="false">'☆掛負収入'!F686</f>
        <v>1185</v>
      </c>
      <c r="G686" s="181" t="n">
        <f aca="false">SUM(B686:F686)</f>
        <v>1256505</v>
      </c>
      <c r="H686" s="602"/>
      <c r="I686" s="407" t="n">
        <f aca="false">'☆掛負収入'!I686</f>
        <v>698790</v>
      </c>
      <c r="J686" s="135" t="n">
        <f aca="false">SUM(H686:I686)</f>
        <v>698790</v>
      </c>
      <c r="K686" s="612"/>
      <c r="L686" s="407" t="n">
        <f aca="false">'☆掛負収入'!L686</f>
        <v>94721</v>
      </c>
      <c r="M686" s="135" t="n">
        <f aca="false">SUM(K686:L686)</f>
        <v>94721</v>
      </c>
      <c r="N686" s="612"/>
      <c r="O686" s="407" t="n">
        <f aca="false">'☆掛負収入'!O686</f>
        <v>1</v>
      </c>
      <c r="P686" s="135" t="n">
        <f aca="false">SUM(N686:O686)</f>
        <v>1</v>
      </c>
    </row>
    <row r="687" customFormat="false" ht="18.75" hidden="false" customHeight="true" outlineLevel="0" collapsed="false">
      <c r="A687" s="204"/>
      <c r="B687" s="600"/>
      <c r="C687" s="196"/>
      <c r="D687" s="449"/>
      <c r="E687" s="453"/>
      <c r="F687" s="454"/>
      <c r="G687" s="181"/>
      <c r="H687" s="602"/>
      <c r="I687" s="407"/>
      <c r="J687" s="135"/>
      <c r="K687" s="612"/>
      <c r="L687" s="407"/>
      <c r="M687" s="135" t="n">
        <f aca="false">SUM(K687:L687)</f>
        <v>0</v>
      </c>
      <c r="N687" s="612"/>
      <c r="O687" s="407"/>
      <c r="P687" s="135" t="n">
        <f aca="false">SUM(N687:O687)</f>
        <v>0</v>
      </c>
    </row>
    <row r="688" customFormat="false" ht="18.75" hidden="false" customHeight="true" outlineLevel="0" collapsed="false">
      <c r="A688" s="100" t="str">
        <f aca="false">'☆掛負収入'!A688</f>
        <v>みどり生きもの協会</v>
      </c>
      <c r="B688" s="600"/>
      <c r="C688" s="196"/>
      <c r="D688" s="449" t="n">
        <f aca="false">'☆掛負収入'!D688</f>
        <v>394365</v>
      </c>
      <c r="E688" s="453" t="n">
        <f aca="false">'☆掛負収入'!E688</f>
        <v>32325</v>
      </c>
      <c r="F688" s="454" t="n">
        <f aca="false">'☆掛負収入'!F688</f>
        <v>403</v>
      </c>
      <c r="G688" s="181" t="n">
        <f aca="false">SUM(B688:F688)</f>
        <v>427093</v>
      </c>
      <c r="H688" s="602"/>
      <c r="I688" s="407" t="n">
        <f aca="false">'☆掛負収入'!I688</f>
        <v>237523</v>
      </c>
      <c r="J688" s="135" t="n">
        <f aca="false">SUM(H688:I688)</f>
        <v>237523</v>
      </c>
      <c r="K688" s="612"/>
      <c r="L688" s="407" t="n">
        <f aca="false">'☆掛負収入'!L688</f>
        <v>34049</v>
      </c>
      <c r="M688" s="135" t="n">
        <f aca="false">SUM(K688:L688)</f>
        <v>34049</v>
      </c>
      <c r="N688" s="612"/>
      <c r="O688" s="407" t="n">
        <f aca="false">'☆掛負収入'!O688</f>
        <v>1</v>
      </c>
      <c r="P688" s="135" t="n">
        <f aca="false">SUM(N688:O688)</f>
        <v>1</v>
      </c>
    </row>
    <row r="689" customFormat="false" ht="18.75" hidden="false" customHeight="true" outlineLevel="0" collapsed="false">
      <c r="A689" s="121" t="str">
        <f aca="false">'☆掛負収入'!A689</f>
        <v>県下水道公社</v>
      </c>
      <c r="B689" s="449" t="n">
        <f aca="false">'☆掛負収入'!B689</f>
        <v>137250</v>
      </c>
      <c r="C689" s="223" t="n">
        <f aca="false">'☆掛負収入'!C689</f>
        <v>11250</v>
      </c>
      <c r="D689" s="449" t="n">
        <f aca="false">'☆掛負収入'!D689</f>
        <v>137250</v>
      </c>
      <c r="E689" s="453" t="n">
        <f aca="false">'☆掛負収入'!E689</f>
        <v>11250</v>
      </c>
      <c r="F689" s="454" t="n">
        <f aca="false">'☆掛負収入'!F689</f>
        <v>140</v>
      </c>
      <c r="G689" s="181" t="n">
        <f aca="false">SUM(B689:F689)</f>
        <v>297140</v>
      </c>
      <c r="H689" s="594" t="n">
        <f aca="false">'☆掛負収入'!H689</f>
        <v>82514</v>
      </c>
      <c r="I689" s="407" t="n">
        <f aca="false">'☆掛負収入'!I689</f>
        <v>82665</v>
      </c>
      <c r="J689" s="135" t="n">
        <f aca="false">SUM(H689:I689)</f>
        <v>165179</v>
      </c>
      <c r="K689" s="439" t="n">
        <f aca="false">'☆掛負収入'!K689</f>
        <v>8611</v>
      </c>
      <c r="L689" s="407" t="n">
        <f aca="false">'☆掛負収入'!L689</f>
        <v>8611</v>
      </c>
      <c r="M689" s="135" t="n">
        <f aca="false">SUM(K689:L689)</f>
        <v>17222</v>
      </c>
      <c r="N689" s="439" t="n">
        <f aca="false">'☆掛負収入'!N689</f>
        <v>1</v>
      </c>
      <c r="O689" s="407" t="n">
        <f aca="false">'☆掛負収入'!O689</f>
        <v>1</v>
      </c>
      <c r="P689" s="135" t="n">
        <f aca="false">SUM(N689:O689)</f>
        <v>2</v>
      </c>
    </row>
    <row r="690" customFormat="false" ht="18.75" hidden="false" customHeight="true" outlineLevel="0" collapsed="false">
      <c r="A690" s="121" t="str">
        <f aca="false">'☆掛負収入'!A690</f>
        <v>バス協調・共創
プラットフォーム</v>
      </c>
      <c r="B690" s="457"/>
      <c r="C690" s="459"/>
      <c r="D690" s="451" t="n">
        <f aca="false">'☆掛負収入'!D690</f>
        <v>472140</v>
      </c>
      <c r="E690" s="473" t="n">
        <f aca="false">'☆掛負収入'!E690</f>
        <v>38700</v>
      </c>
      <c r="F690" s="454" t="n">
        <f aca="false">'☆掛負収入'!F690</f>
        <v>484</v>
      </c>
      <c r="G690" s="181" t="n">
        <f aca="false">SUM(B690:F690)</f>
        <v>511324</v>
      </c>
      <c r="H690" s="616"/>
      <c r="I690" s="407" t="n">
        <f aca="false">'☆掛負収入'!I690</f>
        <v>289878</v>
      </c>
      <c r="J690" s="135" t="n">
        <f aca="false">SUM(H690:I690)</f>
        <v>289878</v>
      </c>
      <c r="K690" s="617"/>
      <c r="L690" s="407" t="n">
        <f aca="false">'☆掛負収入'!L690</f>
        <v>25517</v>
      </c>
      <c r="M690" s="135" t="n">
        <f aca="false">SUM(K690:L690)</f>
        <v>25517</v>
      </c>
      <c r="N690" s="617"/>
      <c r="O690" s="407" t="n">
        <f aca="false">'☆掛負収入'!O690</f>
        <v>1</v>
      </c>
      <c r="P690" s="135" t="n">
        <f aca="false">SUM(N690:O690)</f>
        <v>1</v>
      </c>
    </row>
    <row r="691" customFormat="false" ht="18.75" hidden="false" customHeight="true" outlineLevel="0" collapsed="false">
      <c r="A691" s="121" t="str">
        <f aca="false">'☆掛負収入'!A691</f>
        <v>広島県市長会</v>
      </c>
      <c r="B691" s="449" t="n">
        <f aca="false">'☆掛負収入'!B691</f>
        <v>56730</v>
      </c>
      <c r="C691" s="223" t="n">
        <f aca="false">'☆掛負収入'!C691</f>
        <v>4650</v>
      </c>
      <c r="D691" s="449" t="n">
        <f aca="false">'☆掛負収入'!D691</f>
        <v>56730</v>
      </c>
      <c r="E691" s="453" t="n">
        <f aca="false">'☆掛負収入'!E691</f>
        <v>4650</v>
      </c>
      <c r="F691" s="223" t="n">
        <f aca="false">'☆掛負収入'!F691</f>
        <v>58</v>
      </c>
      <c r="G691" s="181" t="n">
        <f aca="false">SUM(B691:F691)</f>
        <v>122818</v>
      </c>
      <c r="H691" s="594" t="n">
        <f aca="false">'☆掛負収入'!H691</f>
        <v>34106</v>
      </c>
      <c r="I691" s="424" t="n">
        <f aca="false">'☆掛負収入'!I691</f>
        <v>34168</v>
      </c>
      <c r="J691" s="135" t="n">
        <f aca="false">SUM(H691:I691)</f>
        <v>68274</v>
      </c>
      <c r="K691" s="439" t="n">
        <f aca="false">'☆掛負収入'!K691</f>
        <v>4898</v>
      </c>
      <c r="L691" s="424" t="n">
        <f aca="false">'☆掛負収入'!L691</f>
        <v>4898</v>
      </c>
      <c r="M691" s="135" t="n">
        <f aca="false">SUM(K691:L691)</f>
        <v>9796</v>
      </c>
      <c r="N691" s="439" t="n">
        <f aca="false">'☆掛負収入'!N691</f>
        <v>1</v>
      </c>
      <c r="O691" s="424" t="n">
        <f aca="false">'☆掛負収入'!O691</f>
        <v>1</v>
      </c>
      <c r="P691" s="135" t="n">
        <f aca="false">SUM(N691:O691)</f>
        <v>2</v>
      </c>
    </row>
    <row r="692" customFormat="false" ht="18.75" hidden="false" customHeight="true" outlineLevel="0" collapsed="false">
      <c r="A692" s="189" t="str">
        <f aca="false">'☆掛負収入'!A692</f>
        <v>全国市町村研修財団</v>
      </c>
      <c r="B692" s="451" t="n">
        <f aca="false">'☆掛負収入'!B692</f>
        <v>59475</v>
      </c>
      <c r="C692" s="223" t="n">
        <f aca="false">'☆掛負収入'!C692</f>
        <v>4875</v>
      </c>
      <c r="D692" s="449" t="n">
        <f aca="false">'☆掛負収入'!D692</f>
        <v>59475</v>
      </c>
      <c r="E692" s="453" t="n">
        <f aca="false">'☆掛負収入'!E692</f>
        <v>4875</v>
      </c>
      <c r="F692" s="223" t="n">
        <f aca="false">'☆掛負収入'!F692</f>
        <v>61</v>
      </c>
      <c r="G692" s="181" t="n">
        <f aca="false">SUM(B692:F692)</f>
        <v>128761</v>
      </c>
      <c r="H692" s="594" t="n">
        <f aca="false">'☆掛負収入'!H692</f>
        <v>41257</v>
      </c>
      <c r="I692" s="424" t="n">
        <f aca="false">'☆掛負収入'!I692</f>
        <v>41332</v>
      </c>
      <c r="J692" s="135" t="n">
        <f aca="false">SUM(H692:I692)</f>
        <v>82589</v>
      </c>
      <c r="K692" s="439" t="n">
        <f aca="false">'☆掛負収入'!K692</f>
        <v>5925</v>
      </c>
      <c r="L692" s="424" t="n">
        <f aca="false">'☆掛負収入'!L692</f>
        <v>5925</v>
      </c>
      <c r="M692" s="135" t="n">
        <f aca="false">SUM(K692:L692)</f>
        <v>11850</v>
      </c>
      <c r="N692" s="439" t="n">
        <f aca="false">'☆掛負収入'!N692</f>
        <v>1</v>
      </c>
      <c r="O692" s="424" t="n">
        <f aca="false">'☆掛負収入'!O692</f>
        <v>1</v>
      </c>
      <c r="P692" s="135" t="n">
        <f aca="false">SUM(N692:O692)</f>
        <v>2</v>
      </c>
    </row>
    <row r="693" customFormat="false" ht="18.75" hidden="false" customHeight="true" outlineLevel="0" collapsed="false">
      <c r="A693" s="189" t="str">
        <f aca="false">'☆掛負収入'!A693</f>
        <v>都市再生機構</v>
      </c>
      <c r="B693" s="449" t="n">
        <f aca="false">'☆掛負収入'!B693</f>
        <v>48495</v>
      </c>
      <c r="C693" s="223" t="n">
        <f aca="false">'☆掛負収入'!C693</f>
        <v>3975</v>
      </c>
      <c r="D693" s="449" t="n">
        <f aca="false">'☆掛負収入'!D693</f>
        <v>48495</v>
      </c>
      <c r="E693" s="453" t="n">
        <f aca="false">'☆掛負収入'!E693</f>
        <v>3975</v>
      </c>
      <c r="F693" s="223" t="n">
        <f aca="false">'☆掛負収入'!F693</f>
        <v>49</v>
      </c>
      <c r="G693" s="181" t="n">
        <f aca="false">SUM(B693:F693)</f>
        <v>104989</v>
      </c>
      <c r="H693" s="594" t="n">
        <f aca="false">'☆掛負収入'!H693</f>
        <v>29155</v>
      </c>
      <c r="I693" s="424" t="n">
        <f aca="false">'☆掛負収入'!I693</f>
        <v>29208</v>
      </c>
      <c r="J693" s="135" t="n">
        <f aca="false">SUM(H693:I693)</f>
        <v>58363</v>
      </c>
      <c r="K693" s="439" t="n">
        <f aca="false">'☆掛負収入'!K693</f>
        <v>0</v>
      </c>
      <c r="L693" s="424" t="n">
        <f aca="false">'☆掛負収入'!L693</f>
        <v>0</v>
      </c>
      <c r="M693" s="135" t="n">
        <f aca="false">SUM(K693:L693)</f>
        <v>0</v>
      </c>
      <c r="N693" s="439" t="n">
        <f aca="false">'☆掛負収入'!N693</f>
        <v>1</v>
      </c>
      <c r="O693" s="424" t="n">
        <f aca="false">'☆掛負収入'!O693</f>
        <v>1</v>
      </c>
      <c r="P693" s="135" t="n">
        <f aca="false">SUM(N693:O693)</f>
        <v>2</v>
      </c>
    </row>
    <row r="694" customFormat="false" ht="18.75" hidden="false" customHeight="true" outlineLevel="0" collapsed="false">
      <c r="A694" s="121" t="str">
        <f aca="false">'☆掛負収入'!A694</f>
        <v>広島市立大学</v>
      </c>
      <c r="B694" s="406" t="n">
        <f aca="false">'☆掛負収入'!B694</f>
        <v>1194075</v>
      </c>
      <c r="C694" s="135" t="n">
        <f aca="false">'☆掛負収入'!C694</f>
        <v>97875</v>
      </c>
      <c r="D694" s="406" t="n">
        <f aca="false">'☆掛負収入'!D694</f>
        <v>1194075</v>
      </c>
      <c r="E694" s="439" t="n">
        <f aca="false">'☆掛負収入'!E694</f>
        <v>97875</v>
      </c>
      <c r="F694" s="223" t="n">
        <f aca="false">'☆掛負収入'!F694</f>
        <v>1337</v>
      </c>
      <c r="G694" s="181" t="n">
        <f aca="false">SUM(B694:F694)</f>
        <v>2585237</v>
      </c>
      <c r="H694" s="594" t="n">
        <f aca="false">'☆掛負収入'!H694</f>
        <v>717870</v>
      </c>
      <c r="I694" s="424" t="n">
        <f aca="false">'☆掛負収入'!I694</f>
        <v>719305</v>
      </c>
      <c r="J694" s="135" t="n">
        <f aca="false">SUM(H694:I694)</f>
        <v>1437175</v>
      </c>
      <c r="K694" s="439" t="n">
        <f aca="false">'☆掛負収入'!K694</f>
        <v>64227</v>
      </c>
      <c r="L694" s="424" t="n">
        <f aca="false">'☆掛負収入'!L694</f>
        <v>64227</v>
      </c>
      <c r="M694" s="135" t="n">
        <f aca="false">SUM(K694:L694)</f>
        <v>128454</v>
      </c>
      <c r="N694" s="439" t="n">
        <f aca="false">'☆掛負収入'!N694</f>
        <v>1</v>
      </c>
      <c r="O694" s="424" t="n">
        <f aca="false">'☆掛負収入'!O694</f>
        <v>1</v>
      </c>
      <c r="P694" s="135" t="n">
        <f aca="false">SUM(N694:O694)</f>
        <v>2</v>
      </c>
    </row>
    <row r="695" customFormat="false" ht="18.75" hidden="false" customHeight="true" outlineLevel="0" collapsed="false">
      <c r="A695" s="121" t="str">
        <f aca="false">'☆掛負収入'!A695</f>
        <v>社会福祉協議会</v>
      </c>
      <c r="B695" s="406" t="n">
        <f aca="false">'☆掛負収入'!B695</f>
        <v>0</v>
      </c>
      <c r="C695" s="135" t="n">
        <f aca="false">'☆掛負収入'!C695</f>
        <v>0</v>
      </c>
      <c r="D695" s="406" t="n">
        <f aca="false">'☆掛負収入'!D695</f>
        <v>245220</v>
      </c>
      <c r="E695" s="439" t="n">
        <f aca="false">'☆掛負収入'!E695</f>
        <v>20100</v>
      </c>
      <c r="F695" s="223" t="n">
        <f aca="false">'☆掛負収入'!F695</f>
        <v>251</v>
      </c>
      <c r="G695" s="181" t="n">
        <f aca="false">SUM(B695:F695)</f>
        <v>265571</v>
      </c>
      <c r="H695" s="594" t="n">
        <f aca="false">'☆掛負収入'!H695</f>
        <v>0</v>
      </c>
      <c r="I695" s="424" t="n">
        <f aca="false">'☆掛負収入'!I695</f>
        <v>151001</v>
      </c>
      <c r="J695" s="135" t="n">
        <f aca="false">SUM(H695:I695)</f>
        <v>151001</v>
      </c>
      <c r="K695" s="439" t="n">
        <f aca="false">'☆掛負収入'!K695</f>
        <v>0</v>
      </c>
      <c r="L695" s="424" t="n">
        <f aca="false">'☆掛負収入'!L695</f>
        <v>10744</v>
      </c>
      <c r="M695" s="135" t="n">
        <f aca="false">SUM(K695:L695)</f>
        <v>10744</v>
      </c>
      <c r="N695" s="439" t="n">
        <f aca="false">'☆掛負収入'!N695</f>
        <v>0</v>
      </c>
      <c r="O695" s="424" t="n">
        <f aca="false">'☆掛負収入'!O695</f>
        <v>1</v>
      </c>
      <c r="P695" s="135" t="n">
        <f aca="false">SUM(N695:O695)</f>
        <v>1</v>
      </c>
    </row>
    <row r="696" customFormat="false" ht="18.75" hidden="false" customHeight="true" outlineLevel="0" collapsed="false">
      <c r="A696" s="203" t="s">
        <v>418</v>
      </c>
      <c r="B696" s="406" t="n">
        <f aca="false">'☆掛負収入'!B698</f>
        <v>0</v>
      </c>
      <c r="C696" s="135" t="n">
        <f aca="false">'☆掛負収入'!C698</f>
        <v>0</v>
      </c>
      <c r="D696" s="406" t="n">
        <f aca="false">'☆掛負収入'!D698</f>
        <v>0</v>
      </c>
      <c r="E696" s="439" t="n">
        <f aca="false">'☆掛負収入'!E698</f>
        <v>0</v>
      </c>
      <c r="F696" s="223" t="n">
        <f aca="false">'☆掛負収入'!F698</f>
        <v>0</v>
      </c>
      <c r="G696" s="181" t="n">
        <f aca="false">SUM(B696:F696)</f>
        <v>0</v>
      </c>
      <c r="H696" s="594" t="n">
        <f aca="false">'☆掛負収入'!H698</f>
        <v>0</v>
      </c>
      <c r="I696" s="424" t="n">
        <f aca="false">'☆掛負収入'!I698</f>
        <v>0</v>
      </c>
      <c r="J696" s="135" t="n">
        <f aca="false">SUM(H696:I696)</f>
        <v>0</v>
      </c>
      <c r="K696" s="439" t="n">
        <f aca="false">'☆掛負収入'!K698</f>
        <v>0</v>
      </c>
      <c r="L696" s="424" t="n">
        <f aca="false">'☆掛負収入'!L698</f>
        <v>0</v>
      </c>
      <c r="M696" s="135" t="n">
        <f aca="false">SUM(K696:L696)</f>
        <v>0</v>
      </c>
      <c r="N696" s="439" t="n">
        <f aca="false">'☆掛負収入'!N698</f>
        <v>0</v>
      </c>
      <c r="O696" s="424" t="n">
        <f aca="false">'☆掛負収入'!O698</f>
        <v>0</v>
      </c>
      <c r="P696" s="135" t="n">
        <f aca="false">SUM(N696:O696)</f>
        <v>0</v>
      </c>
    </row>
    <row r="697" customFormat="false" ht="18.75" hidden="false" customHeight="true" outlineLevel="0" collapsed="false">
      <c r="A697" s="121" t="str">
        <f aca="false">'☆掛負収入'!A699</f>
        <v>全国市長会</v>
      </c>
      <c r="B697" s="406" t="n">
        <f aca="false">'☆掛負収入'!B699</f>
        <v>59475</v>
      </c>
      <c r="C697" s="135" t="n">
        <f aca="false">'☆掛負収入'!C699</f>
        <v>4875</v>
      </c>
      <c r="D697" s="406" t="n">
        <f aca="false">'☆掛負収入'!D699</f>
        <v>59475</v>
      </c>
      <c r="E697" s="439" t="n">
        <f aca="false">'☆掛負収入'!E699</f>
        <v>4875</v>
      </c>
      <c r="F697" s="223" t="n">
        <f aca="false">'☆掛負収入'!F699</f>
        <v>61</v>
      </c>
      <c r="G697" s="181" t="n">
        <f aca="false">SUM(B697:F697)</f>
        <v>128761</v>
      </c>
      <c r="H697" s="594" t="n">
        <f aca="false">'☆掛負収入'!H699</f>
        <v>41257</v>
      </c>
      <c r="I697" s="424" t="n">
        <f aca="false">'☆掛負収入'!I699</f>
        <v>41332</v>
      </c>
      <c r="J697" s="135" t="n">
        <f aca="false">SUM(H697:I697)</f>
        <v>82589</v>
      </c>
      <c r="K697" s="439" t="n">
        <f aca="false">'☆掛負収入'!K699</f>
        <v>5925</v>
      </c>
      <c r="L697" s="424" t="n">
        <f aca="false">'☆掛負収入'!L699</f>
        <v>5925</v>
      </c>
      <c r="M697" s="135" t="n">
        <f aca="false">SUM(K697:L697)</f>
        <v>11850</v>
      </c>
      <c r="N697" s="439" t="n">
        <f aca="false">'☆掛負収入'!N699</f>
        <v>1</v>
      </c>
      <c r="O697" s="424" t="n">
        <f aca="false">'☆掛負収入'!O699</f>
        <v>1</v>
      </c>
      <c r="P697" s="135" t="n">
        <f aca="false">SUM(N697:O697)</f>
        <v>2</v>
      </c>
    </row>
    <row r="698" customFormat="false" ht="18.75" hidden="false" customHeight="true" outlineLevel="0" collapsed="false">
      <c r="A698" s="208"/>
      <c r="B698" s="406"/>
      <c r="C698" s="393"/>
      <c r="D698" s="406"/>
      <c r="E698" s="439"/>
      <c r="F698" s="135"/>
      <c r="G698" s="181"/>
      <c r="H698" s="594"/>
      <c r="I698" s="424"/>
      <c r="J698" s="135"/>
      <c r="K698" s="439"/>
      <c r="L698" s="424"/>
      <c r="M698" s="135"/>
      <c r="N698" s="439"/>
      <c r="O698" s="424"/>
      <c r="P698" s="135"/>
    </row>
    <row r="699" customFormat="false" ht="18.75" hidden="false" customHeight="true" outlineLevel="0" collapsed="false">
      <c r="A699" s="208"/>
      <c r="B699" s="595"/>
      <c r="C699" s="366"/>
      <c r="D699" s="595"/>
      <c r="E699" s="596"/>
      <c r="F699" s="393"/>
      <c r="G699" s="181"/>
      <c r="H699" s="595"/>
      <c r="I699" s="440"/>
      <c r="J699" s="135"/>
      <c r="K699" s="596"/>
      <c r="L699" s="440"/>
      <c r="M699" s="135"/>
      <c r="N699" s="596"/>
      <c r="O699" s="440"/>
      <c r="P699" s="135"/>
    </row>
    <row r="700" customFormat="false" ht="18.75" hidden="false" customHeight="true" outlineLevel="0" collapsed="false">
      <c r="A700" s="192"/>
      <c r="B700" s="406"/>
      <c r="C700" s="181"/>
      <c r="D700" s="406"/>
      <c r="E700" s="592"/>
      <c r="F700" s="135"/>
      <c r="G700" s="181"/>
      <c r="H700" s="406"/>
      <c r="I700" s="619"/>
      <c r="J700" s="135"/>
      <c r="K700" s="592"/>
      <c r="L700" s="619"/>
      <c r="M700" s="135"/>
      <c r="N700" s="592"/>
      <c r="O700" s="619"/>
      <c r="P700" s="135"/>
    </row>
    <row r="701" customFormat="false" ht="18.75" hidden="false" customHeight="true" outlineLevel="0" collapsed="false">
      <c r="A701" s="192"/>
      <c r="B701" s="595"/>
      <c r="C701" s="393"/>
      <c r="D701" s="596"/>
      <c r="E701" s="440"/>
      <c r="F701" s="393"/>
      <c r="G701" s="366"/>
      <c r="H701" s="406"/>
      <c r="I701" s="440"/>
      <c r="J701" s="135"/>
      <c r="K701" s="596"/>
      <c r="L701" s="440"/>
      <c r="M701" s="135"/>
      <c r="N701" s="596"/>
      <c r="O701" s="440"/>
      <c r="P701" s="135"/>
    </row>
    <row r="702" customFormat="false" ht="18.75" hidden="false" customHeight="true" outlineLevel="0" collapsed="false">
      <c r="A702" s="605"/>
      <c r="B702" s="622"/>
      <c r="C702" s="253"/>
      <c r="D702" s="623"/>
      <c r="E702" s="624"/>
      <c r="F702" s="253"/>
      <c r="G702" s="621"/>
      <c r="H702" s="622"/>
      <c r="I702" s="623"/>
      <c r="J702" s="623" t="n">
        <f aca="false">SUM(H702:I702)</f>
        <v>0</v>
      </c>
      <c r="K702" s="622"/>
      <c r="L702" s="623"/>
      <c r="M702" s="697" t="n">
        <f aca="false">SUM(K702:L702)</f>
        <v>0</v>
      </c>
      <c r="N702" s="622"/>
      <c r="O702" s="623"/>
      <c r="P702" s="697" t="n">
        <f aca="false">SUM(N702:O702)</f>
        <v>0</v>
      </c>
    </row>
    <row r="703" customFormat="false" ht="18.75" hidden="false" customHeight="true" outlineLevel="0" collapsed="false">
      <c r="A703" s="171" t="str">
        <f aca="false">'☆掛負収入'!A703</f>
        <v>小　計</v>
      </c>
      <c r="B703" s="404" t="n">
        <f aca="false">SUM(B673:B702)</f>
        <v>2753235</v>
      </c>
      <c r="C703" s="175" t="n">
        <f aca="false">SUM(C673:C702)</f>
        <v>225675</v>
      </c>
      <c r="D703" s="404" t="n">
        <f aca="false">SUM(D673:D702)</f>
        <v>8716290</v>
      </c>
      <c r="E703" s="276" t="n">
        <f aca="false">SUM(E673:E702)</f>
        <v>714450</v>
      </c>
      <c r="F703" s="175" t="n">
        <f aca="false">SUM(F673:F702)</f>
        <v>9159</v>
      </c>
      <c r="G703" s="176" t="n">
        <f aca="false">SUM(B703:F703)</f>
        <v>12418809</v>
      </c>
      <c r="H703" s="404" t="n">
        <f aca="false">SUM(H673:H702)</f>
        <v>1666230</v>
      </c>
      <c r="I703" s="174" t="n">
        <f aca="false">SUM(I673:I702)</f>
        <v>5410314</v>
      </c>
      <c r="J703" s="175" t="n">
        <f aca="false">SUM(H703:I703)</f>
        <v>7076544</v>
      </c>
      <c r="K703" s="404" t="n">
        <f aca="false">SUM(K673:K702)</f>
        <v>149231</v>
      </c>
      <c r="L703" s="174" t="n">
        <f aca="false">SUM(L673:L702)</f>
        <v>584679</v>
      </c>
      <c r="M703" s="173" t="n">
        <f aca="false">SUM(K703:L703)</f>
        <v>733910</v>
      </c>
      <c r="N703" s="404" t="n">
        <f aca="false">SUM(N673:N702)</f>
        <v>9</v>
      </c>
      <c r="O703" s="174" t="n">
        <f aca="false">SUM(O673:O702)</f>
        <v>20</v>
      </c>
      <c r="P703" s="173" t="n">
        <f aca="false">SUM(N703:O703)</f>
        <v>29</v>
      </c>
    </row>
    <row r="704" customFormat="false" ht="18.75" hidden="true" customHeight="true" outlineLevel="0" collapsed="false">
      <c r="A704" s="604"/>
      <c r="B704" s="622"/>
      <c r="C704" s="253"/>
      <c r="D704" s="623"/>
      <c r="E704" s="624"/>
      <c r="F704" s="625"/>
      <c r="G704" s="626"/>
      <c r="H704" s="627"/>
      <c r="I704" s="628"/>
      <c r="J704" s="629"/>
      <c r="K704" s="630"/>
      <c r="L704" s="631"/>
      <c r="M704" s="632"/>
      <c r="N704" s="630"/>
      <c r="O704" s="631"/>
      <c r="P704" s="632"/>
    </row>
    <row r="705" customFormat="false" ht="18.75" hidden="true" customHeight="true" outlineLevel="0" collapsed="false">
      <c r="A705" s="633"/>
      <c r="B705" s="606"/>
      <c r="C705" s="608"/>
      <c r="D705" s="623"/>
      <c r="E705" s="624"/>
      <c r="F705" s="253"/>
      <c r="G705" s="621"/>
      <c r="H705" s="634"/>
      <c r="I705" s="635"/>
      <c r="J705" s="383"/>
      <c r="K705" s="636"/>
      <c r="L705" s="637"/>
      <c r="M705" s="638"/>
      <c r="N705" s="636"/>
      <c r="O705" s="637"/>
      <c r="P705" s="638"/>
    </row>
    <row r="706" customFormat="false" ht="18.75" hidden="false" customHeight="true" outlineLevel="0" collapsed="false">
      <c r="A706" s="189" t="str">
        <f aca="false">'☆掛負収入'!A706</f>
        <v>高速交通（株）</v>
      </c>
      <c r="B706" s="464" t="n">
        <f aca="false">'☆掛負収入'!B706</f>
        <v>145485</v>
      </c>
      <c r="C706" s="466" t="n">
        <f aca="false">'☆掛負収入'!C706</f>
        <v>11925</v>
      </c>
      <c r="D706" s="452" t="n">
        <f aca="false">'☆掛負収入'!D706</f>
        <v>145485</v>
      </c>
      <c r="E706" s="462" t="n">
        <f aca="false">'☆掛負収入'!E706</f>
        <v>11925</v>
      </c>
      <c r="F706" s="454" t="n">
        <f aca="false">'☆掛負収入'!F706</f>
        <v>149</v>
      </c>
      <c r="G706" s="366" t="n">
        <f aca="false">SUM(B706:F706)</f>
        <v>314969</v>
      </c>
      <c r="H706" s="640"/>
      <c r="I706" s="640"/>
      <c r="J706" s="640"/>
      <c r="K706" s="640"/>
      <c r="L706" s="640"/>
      <c r="M706" s="640"/>
      <c r="N706" s="640"/>
      <c r="O706" s="640"/>
      <c r="P706" s="640"/>
    </row>
    <row r="707" customFormat="false" ht="18.75" hidden="false" customHeight="true" outlineLevel="0" collapsed="false">
      <c r="A707" s="641" t="s">
        <v>201</v>
      </c>
      <c r="B707" s="464" t="n">
        <f aca="false">'☆掛負収入'!B707</f>
        <v>53985</v>
      </c>
      <c r="C707" s="466" t="n">
        <f aca="false">'☆掛負収入'!C707</f>
        <v>4425</v>
      </c>
      <c r="D707" s="452" t="n">
        <f aca="false">'☆掛負収入'!D707</f>
        <v>53985</v>
      </c>
      <c r="E707" s="462" t="n">
        <f aca="false">'☆掛負収入'!E707</f>
        <v>4425</v>
      </c>
      <c r="F707" s="454" t="n">
        <f aca="false">'☆掛負収入'!F707</f>
        <v>55</v>
      </c>
      <c r="G707" s="366" t="n">
        <f aca="false">SUM(B707:F707)</f>
        <v>116875</v>
      </c>
      <c r="H707" s="640"/>
      <c r="I707" s="640"/>
      <c r="J707" s="640"/>
      <c r="K707" s="640"/>
      <c r="L707" s="640"/>
      <c r="M707" s="640"/>
      <c r="N707" s="640"/>
      <c r="O707" s="640"/>
      <c r="P707" s="640"/>
    </row>
    <row r="708" customFormat="false" ht="18.75" hidden="false" customHeight="true" outlineLevel="0" collapsed="false">
      <c r="A708" s="171" t="str">
        <f aca="false">'☆掛負収入'!A708</f>
        <v>小　計</v>
      </c>
      <c r="B708" s="172" t="n">
        <f aca="false">SUM(B706:B707)</f>
        <v>199470</v>
      </c>
      <c r="C708" s="175" t="n">
        <f aca="false">SUM(C704:C707)</f>
        <v>16350</v>
      </c>
      <c r="D708" s="656" t="n">
        <f aca="false">SUM(D704:D707)</f>
        <v>199470</v>
      </c>
      <c r="E708" s="174" t="n">
        <f aca="false">SUM(E704:E707)</f>
        <v>16350</v>
      </c>
      <c r="F708" s="176" t="n">
        <f aca="false">SUM(F704:F707)</f>
        <v>204</v>
      </c>
      <c r="G708" s="175" t="n">
        <f aca="false">SUM(B708:F708)</f>
        <v>431844</v>
      </c>
      <c r="H708" s="640"/>
      <c r="I708" s="640"/>
      <c r="J708" s="640"/>
      <c r="K708" s="640"/>
      <c r="L708" s="640"/>
      <c r="M708" s="640"/>
      <c r="N708" s="640"/>
      <c r="O708" s="640"/>
      <c r="P708" s="640"/>
    </row>
    <row r="709" customFormat="false" ht="18.75" hidden="false" customHeight="true" outlineLevel="0" collapsed="false">
      <c r="A709" s="100" t="str">
        <f aca="false">'☆掛負収入'!A709</f>
        <v>市職員労働組合</v>
      </c>
      <c r="B709" s="449" t="n">
        <f aca="false">'☆掛負収入'!B709</f>
        <v>29280</v>
      </c>
      <c r="C709" s="223" t="n">
        <f aca="false">'☆掛負収入'!C709</f>
        <v>2400</v>
      </c>
      <c r="D709" s="445" t="n">
        <f aca="false">'☆掛負収入'!D709</f>
        <v>29280</v>
      </c>
      <c r="E709" s="463" t="n">
        <f aca="false">'☆掛負収入'!E709</f>
        <v>2400</v>
      </c>
      <c r="F709" s="196"/>
      <c r="G709" s="181" t="n">
        <f aca="false">SUM(B709:F709)</f>
        <v>63360</v>
      </c>
      <c r="H709" s="594" t="n">
        <f aca="false">'☆掛負収入'!H709</f>
        <v>17603</v>
      </c>
      <c r="I709" s="424" t="n">
        <f aca="false">'☆掛負収入'!I709</f>
        <v>17635</v>
      </c>
      <c r="J709" s="135" t="n">
        <f aca="false">SUM(H709:I709)</f>
        <v>35238</v>
      </c>
      <c r="K709" s="451" t="n">
        <f aca="false">'☆掛負収入'!K709</f>
        <v>2528</v>
      </c>
      <c r="L709" s="462" t="n">
        <f aca="false">'☆掛負収入'!L709</f>
        <v>2528</v>
      </c>
      <c r="M709" s="446" t="n">
        <f aca="false">SUM(K709:L709)</f>
        <v>5056</v>
      </c>
      <c r="N709" s="451" t="n">
        <f aca="false">'☆掛負収入'!N709</f>
        <v>1</v>
      </c>
      <c r="O709" s="462" t="n">
        <f aca="false">'☆掛負収入'!O709</f>
        <v>1</v>
      </c>
      <c r="P709" s="446" t="n">
        <f aca="false">SUM(N709:O709)</f>
        <v>2</v>
      </c>
    </row>
    <row r="710" customFormat="false" ht="18.75" hidden="false" customHeight="true" outlineLevel="0" collapsed="false">
      <c r="A710" s="100" t="str">
        <f aca="false">'☆掛負収入'!A710</f>
        <v>自治労労働組合</v>
      </c>
      <c r="B710" s="449" t="n">
        <f aca="false">'☆掛負収入'!B710</f>
        <v>0</v>
      </c>
      <c r="C710" s="377" t="n">
        <f aca="false">'☆掛負収入'!C710</f>
        <v>0</v>
      </c>
      <c r="D710" s="449" t="n">
        <f aca="false">'☆掛負収入'!D710</f>
        <v>0</v>
      </c>
      <c r="E710" s="463" t="n">
        <f aca="false">'☆掛負収入'!E710</f>
        <v>0</v>
      </c>
      <c r="F710" s="196"/>
      <c r="G710" s="181" t="n">
        <f aca="false">SUM(B710:F710)</f>
        <v>0</v>
      </c>
      <c r="H710" s="594" t="n">
        <f aca="false">'☆掛負収入'!H710</f>
        <v>0</v>
      </c>
      <c r="I710" s="424" t="n">
        <f aca="false">'☆掛負収入'!I710</f>
        <v>0</v>
      </c>
      <c r="J710" s="135" t="n">
        <f aca="false">SUM(H710:I710)</f>
        <v>0</v>
      </c>
      <c r="K710" s="594" t="n">
        <f aca="false">'☆掛負収入'!K710</f>
        <v>0</v>
      </c>
      <c r="L710" s="424" t="n">
        <f aca="false">'☆掛負収入'!L710</f>
        <v>0</v>
      </c>
      <c r="M710" s="135" t="n">
        <f aca="false">SUM(K710:L710)</f>
        <v>0</v>
      </c>
      <c r="N710" s="594" t="n">
        <f aca="false">'☆掛負収入'!N710</f>
        <v>0</v>
      </c>
      <c r="O710" s="424" t="n">
        <f aca="false">'☆掛負収入'!O710</f>
        <v>0</v>
      </c>
      <c r="P710" s="135" t="n">
        <f aca="false">SUM(N710:O710)</f>
        <v>0</v>
      </c>
    </row>
    <row r="711" customFormat="false" ht="18.75" hidden="false" customHeight="true" outlineLevel="0" collapsed="false">
      <c r="A711" s="100" t="str">
        <f aca="false">'☆掛負収入'!A711</f>
        <v>病院労働組合</v>
      </c>
      <c r="B711" s="449" t="n">
        <f aca="false">'☆掛負収入'!B711</f>
        <v>23790</v>
      </c>
      <c r="C711" s="377" t="n">
        <f aca="false">'☆掛負収入'!C711</f>
        <v>1950</v>
      </c>
      <c r="D711" s="449" t="n">
        <f aca="false">'☆掛負収入'!D711</f>
        <v>23790</v>
      </c>
      <c r="E711" s="463" t="n">
        <f aca="false">'☆掛負収入'!E711</f>
        <v>1950</v>
      </c>
      <c r="F711" s="196"/>
      <c r="G711" s="181" t="n">
        <f aca="false">SUM(B711:F711)</f>
        <v>51480</v>
      </c>
      <c r="H711" s="594" t="n">
        <f aca="false">'☆掛負収入'!H711</f>
        <v>30805</v>
      </c>
      <c r="I711" s="424" t="n">
        <f aca="false">'☆掛負収入'!I711</f>
        <v>30861</v>
      </c>
      <c r="J711" s="135" t="n">
        <f aca="false">SUM(H711:I711)</f>
        <v>61666</v>
      </c>
      <c r="K711" s="594" t="n">
        <f aca="false">'☆掛負収入'!K711</f>
        <v>2370</v>
      </c>
      <c r="L711" s="424" t="n">
        <f aca="false">'☆掛負収入'!L711</f>
        <v>2370</v>
      </c>
      <c r="M711" s="135" t="n">
        <f aca="false">SUM(K711:L711)</f>
        <v>4740</v>
      </c>
      <c r="N711" s="594" t="n">
        <f aca="false">'☆掛負収入'!N711</f>
        <v>1</v>
      </c>
      <c r="O711" s="424" t="n">
        <f aca="false">'☆掛負収入'!O711</f>
        <v>1</v>
      </c>
      <c r="P711" s="135" t="n">
        <f aca="false">SUM(N711:O711)</f>
        <v>2</v>
      </c>
    </row>
    <row r="712" customFormat="false" ht="18.75" hidden="false" customHeight="true" outlineLevel="0" collapsed="false">
      <c r="A712" s="277" t="str">
        <f aca="false">'☆掛負収入'!A712</f>
        <v>水道労働組合</v>
      </c>
      <c r="B712" s="648"/>
      <c r="C712" s="419"/>
      <c r="D712" s="648"/>
      <c r="E712" s="598"/>
      <c r="F712" s="271"/>
      <c r="G712" s="181" t="n">
        <f aca="false">SUM(B712:F712)</f>
        <v>0</v>
      </c>
      <c r="H712" s="649"/>
      <c r="I712" s="650"/>
      <c r="J712" s="135" t="n">
        <f aca="false">SUM(H712:I712)</f>
        <v>0</v>
      </c>
      <c r="K712" s="651"/>
      <c r="L712" s="652"/>
      <c r="M712" s="135" t="n">
        <f aca="false">SUM(K712:L712)</f>
        <v>0</v>
      </c>
      <c r="N712" s="651"/>
      <c r="O712" s="652"/>
      <c r="P712" s="135" t="n">
        <f aca="false">SUM(N712:O712)</f>
        <v>0</v>
      </c>
    </row>
    <row r="713" customFormat="false" ht="18.75" hidden="false" customHeight="true" outlineLevel="0" collapsed="false">
      <c r="A713" s="171" t="str">
        <f aca="false">'☆掛負収入'!A713</f>
        <v>小　計</v>
      </c>
      <c r="B713" s="404" t="n">
        <f aca="false">SUM(B709:B712)</f>
        <v>53070</v>
      </c>
      <c r="C713" s="175" t="n">
        <f aca="false">SUM(C709:C712)</f>
        <v>4350</v>
      </c>
      <c r="D713" s="404" t="n">
        <f aca="false">SUM(D709:D712)</f>
        <v>53070</v>
      </c>
      <c r="E713" s="174" t="n">
        <f aca="false">SUM(E709:E712)</f>
        <v>4350</v>
      </c>
      <c r="F713" s="173" t="n">
        <f aca="false">SUM(F709:F712)</f>
        <v>0</v>
      </c>
      <c r="G713" s="172" t="n">
        <f aca="false">SUM(B713:F713)</f>
        <v>114840</v>
      </c>
      <c r="H713" s="404" t="n">
        <f aca="false">SUM(H709:H712)</f>
        <v>48408</v>
      </c>
      <c r="I713" s="174" t="n">
        <f aca="false">SUM(I709:I712)</f>
        <v>48496</v>
      </c>
      <c r="J713" s="175" t="n">
        <f aca="false">SUM(H713:I713)</f>
        <v>96904</v>
      </c>
      <c r="K713" s="172" t="n">
        <f aca="false">SUM(K709:K712)</f>
        <v>4898</v>
      </c>
      <c r="L713" s="173" t="n">
        <f aca="false">SUM(L709:L712)</f>
        <v>4898</v>
      </c>
      <c r="M713" s="175" t="n">
        <f aca="false">SUM(K713:L713)</f>
        <v>9796</v>
      </c>
      <c r="N713" s="172" t="n">
        <f aca="false">SUM(N709:N712)</f>
        <v>2</v>
      </c>
      <c r="O713" s="173" t="n">
        <f aca="false">SUM(O709:O712)</f>
        <v>2</v>
      </c>
      <c r="P713" s="175" t="n">
        <f aca="false">SUM(N713:O713)</f>
        <v>4</v>
      </c>
    </row>
    <row r="714" customFormat="false" ht="18.75" hidden="false" customHeight="true" outlineLevel="0" collapsed="false">
      <c r="A714" s="277" t="str">
        <f aca="false">'☆掛負収入'!A714</f>
        <v>任意継続組合員</v>
      </c>
      <c r="B714" s="256"/>
      <c r="C714" s="498"/>
      <c r="D714" s="499"/>
      <c r="E714" s="500"/>
      <c r="F714" s="271"/>
      <c r="G714" s="268"/>
      <c r="H714" s="653"/>
      <c r="I714" s="257"/>
      <c r="J714" s="258"/>
      <c r="K714" s="499"/>
      <c r="L714" s="654"/>
      <c r="M714" s="267"/>
      <c r="N714" s="499"/>
      <c r="O714" s="654"/>
      <c r="P714" s="267"/>
    </row>
    <row r="715" customFormat="false" ht="30" hidden="false" customHeight="true" outlineLevel="0" collapsed="false">
      <c r="A715" s="655" t="str">
        <f aca="false">'☆掛負収入'!A715</f>
        <v>総　　計</v>
      </c>
      <c r="B715" s="404" t="n">
        <f aca="false">SUM(B672+B703+B708+B713)</f>
        <v>3005775</v>
      </c>
      <c r="C715" s="175" t="n">
        <f aca="false">SUM(C672+C703+C708+C713)</f>
        <v>246375</v>
      </c>
      <c r="D715" s="656" t="n">
        <f aca="false">SUM(D672+D703+D708+D713)</f>
        <v>8968830</v>
      </c>
      <c r="E715" s="174" t="n">
        <f aca="false">SUM(E672+E703+E708+E713)</f>
        <v>735150</v>
      </c>
      <c r="F715" s="176" t="n">
        <f aca="false">SUM(F672+F703+F708+F713)</f>
        <v>9363</v>
      </c>
      <c r="G715" s="172" t="n">
        <f aca="false">SUM(B715:F715)</f>
        <v>12965493</v>
      </c>
      <c r="H715" s="404" t="n">
        <f aca="false">SUM(H672+H703+H708+H713+H714)</f>
        <v>1714638</v>
      </c>
      <c r="I715" s="174" t="n">
        <f aca="false">SUM(I672+I703+I708+I713+I714)</f>
        <v>5458810</v>
      </c>
      <c r="J715" s="175" t="n">
        <f aca="false">SUM(H715:I715)</f>
        <v>7173448</v>
      </c>
      <c r="K715" s="172" t="n">
        <f aca="false">K672+K703+K708+K713+K714</f>
        <v>154129</v>
      </c>
      <c r="L715" s="173" t="n">
        <f aca="false">L672+L703+L708+L713</f>
        <v>589577</v>
      </c>
      <c r="M715" s="175" t="n">
        <f aca="false">SUM(K715:L715)</f>
        <v>743706</v>
      </c>
      <c r="N715" s="172" t="n">
        <f aca="false">N672+N703+N708+N713+N714</f>
        <v>11</v>
      </c>
      <c r="O715" s="173" t="n">
        <f aca="false">O672+O703+O708+O713</f>
        <v>22</v>
      </c>
      <c r="P715" s="175" t="n">
        <f aca="false">SUM(N715:O715)</f>
        <v>33</v>
      </c>
    </row>
    <row r="716" customFormat="false" ht="18.75" hidden="false" customHeight="true" outlineLevel="0" collapsed="false">
      <c r="A716" s="315"/>
      <c r="B716" s="316"/>
      <c r="C716" s="316"/>
      <c r="D716" s="316"/>
      <c r="E716" s="316"/>
      <c r="F716" s="316"/>
      <c r="G716" s="316"/>
      <c r="H716" s="316"/>
      <c r="I716" s="316"/>
      <c r="J716" s="316"/>
      <c r="K716" s="316"/>
      <c r="L716" s="316"/>
      <c r="M716" s="316"/>
      <c r="N716" s="316"/>
      <c r="O716" s="316"/>
      <c r="P716" s="316"/>
    </row>
    <row r="717" customFormat="false" ht="30" hidden="false" customHeight="true" outlineLevel="0" collapsed="false">
      <c r="A717" s="295"/>
      <c r="B717" s="391" t="n">
        <f aca="false">'☆掛負収入'!B717</f>
        <v>46418</v>
      </c>
      <c r="C717" s="391" t="n">
        <f aca="false">'☆掛負収入'!C717</f>
        <v>0</v>
      </c>
      <c r="D717" s="391" t="n">
        <f aca="false">'☆掛負収入'!D717</f>
        <v>0</v>
      </c>
      <c r="E717" s="391" t="n">
        <f aca="false">'☆掛負収入'!E717</f>
        <v>0</v>
      </c>
      <c r="F717" s="391" t="n">
        <f aca="false">'☆掛負収入'!F717</f>
        <v>0</v>
      </c>
      <c r="G717" s="391" t="n">
        <f aca="false">'☆掛負収入'!G717</f>
        <v>0</v>
      </c>
      <c r="H717" s="391" t="n">
        <f aca="false">'☆掛負収入'!H717</f>
        <v>46418</v>
      </c>
      <c r="I717" s="391" t="n">
        <f aca="false">'☆掛負収入'!I717</f>
        <v>0</v>
      </c>
      <c r="J717" s="391" t="n">
        <f aca="false">'☆掛負収入'!J717</f>
        <v>0</v>
      </c>
      <c r="K717" s="391" t="n">
        <f aca="false">'☆掛負収入'!K717</f>
        <v>46418</v>
      </c>
      <c r="L717" s="391" t="n">
        <f aca="false">'☆掛負収入'!L717</f>
        <v>0</v>
      </c>
      <c r="M717" s="391" t="n">
        <f aca="false">'☆掛負収入'!M717</f>
        <v>0</v>
      </c>
      <c r="N717" s="391" t="n">
        <f aca="false">'☆掛負収入'!N717</f>
        <v>46418</v>
      </c>
      <c r="O717" s="391" t="n">
        <f aca="false">'☆掛負収入'!O717</f>
        <v>0</v>
      </c>
      <c r="P717" s="391" t="n">
        <f aca="false">'☆掛負収入'!P717</f>
        <v>0</v>
      </c>
    </row>
    <row r="718" customFormat="false" ht="22.5" hidden="false" customHeight="true" outlineLevel="0" collapsed="false">
      <c r="A718" s="89" t="str">
        <f aca="false">'☆掛負収入'!A718</f>
        <v>区　　分</v>
      </c>
      <c r="B718" s="89" t="str">
        <f aca="false">'☆掛負収入'!B718</f>
        <v>長　期　経　理</v>
      </c>
      <c r="C718" s="89" t="n">
        <f aca="false">'☆掛負収入'!C718</f>
        <v>0</v>
      </c>
      <c r="D718" s="89" t="n">
        <f aca="false">'☆掛負収入'!D718</f>
        <v>0</v>
      </c>
      <c r="E718" s="89" t="n">
        <f aca="false">'☆掛負収入'!E718</f>
        <v>0</v>
      </c>
      <c r="F718" s="89" t="n">
        <f aca="false">'☆掛負収入'!F718</f>
        <v>0</v>
      </c>
      <c r="G718" s="89" t="n">
        <f aca="false">'☆掛負収入'!G718</f>
        <v>0</v>
      </c>
      <c r="H718" s="91" t="str">
        <f aca="false">'☆掛負収入'!H718</f>
        <v>短　期　経　理</v>
      </c>
      <c r="I718" s="91" t="n">
        <f aca="false">'☆掛負収入'!I718</f>
        <v>0</v>
      </c>
      <c r="J718" s="91" t="n">
        <f aca="false">'☆掛負収入'!J718</f>
        <v>0</v>
      </c>
      <c r="K718" s="91" t="str">
        <f aca="false">'☆掛負収入'!K718</f>
        <v>介　護　納　付　金</v>
      </c>
      <c r="L718" s="91" t="n">
        <f aca="false">'☆掛負収入'!L718</f>
        <v>0</v>
      </c>
      <c r="M718" s="91" t="n">
        <f aca="false">'☆掛負収入'!M718</f>
        <v>0</v>
      </c>
      <c r="N718" s="91" t="str">
        <f aca="false">'☆掛負収入'!N718</f>
        <v>子ども・子育て支援納付金</v>
      </c>
      <c r="O718" s="91" t="n">
        <f aca="false">'☆掛負収入'!O718</f>
        <v>0</v>
      </c>
      <c r="P718" s="91" t="n">
        <f aca="false">'☆掛負収入'!P718</f>
        <v>0</v>
      </c>
    </row>
    <row r="719" customFormat="false" ht="22.5" hidden="false" customHeight="true" outlineLevel="0" collapsed="false">
      <c r="A719" s="89" t="n">
        <f aca="false">'☆掛負収入'!A719</f>
        <v>0</v>
      </c>
      <c r="B719" s="92" t="str">
        <f aca="false">'☆掛負収入'!B719</f>
        <v>組合員負担分</v>
      </c>
      <c r="C719" s="92" t="n">
        <f aca="false">'☆掛負収入'!C719</f>
        <v>0</v>
      </c>
      <c r="D719" s="92" t="str">
        <f aca="false">'☆掛負収入'!D719</f>
        <v>事業主負担分</v>
      </c>
      <c r="E719" s="92" t="n">
        <f aca="false">'☆掛負収入'!E719</f>
        <v>0</v>
      </c>
      <c r="F719" s="92" t="n">
        <f aca="false">'☆掛負収入'!F719</f>
        <v>0</v>
      </c>
      <c r="G719" s="586" t="str">
        <f aca="false">'☆掛負収入'!G719</f>
        <v>計</v>
      </c>
      <c r="H719" s="96" t="str">
        <f aca="false">'☆掛負収入'!H719</f>
        <v>掛　金</v>
      </c>
      <c r="I719" s="94" t="str">
        <f aca="false">'☆掛負収入'!I719</f>
        <v>負担金</v>
      </c>
      <c r="J719" s="95" t="str">
        <f aca="false">'☆掛負収入'!J719</f>
        <v>計</v>
      </c>
      <c r="K719" s="96" t="str">
        <f aca="false">'☆掛負収入'!K719</f>
        <v>掛　金</v>
      </c>
      <c r="L719" s="94" t="str">
        <f aca="false">'☆掛負収入'!L719</f>
        <v>負担金</v>
      </c>
      <c r="M719" s="95" t="str">
        <f aca="false">'☆掛負収入'!M719</f>
        <v>計</v>
      </c>
      <c r="N719" s="96" t="str">
        <f aca="false">'☆掛負収入'!N719</f>
        <v>掛　金</v>
      </c>
      <c r="O719" s="94" t="str">
        <f aca="false">'☆掛負収入'!O719</f>
        <v>負担金</v>
      </c>
      <c r="P719" s="95" t="str">
        <f aca="false">'☆掛負収入'!P719</f>
        <v>計</v>
      </c>
    </row>
    <row r="720" customFormat="false" ht="22.5" hidden="false" customHeight="true" outlineLevel="0" collapsed="false">
      <c r="A720" s="89" t="n">
        <f aca="false">'☆掛負収入'!A720</f>
        <v>0</v>
      </c>
      <c r="B720" s="587" t="str">
        <f aca="false">'☆掛負収入'!B720</f>
        <v>厚生年金保険料</v>
      </c>
      <c r="C720" s="588" t="str">
        <f aca="false">'☆掛負収入'!C720</f>
        <v>退職等年金掛金</v>
      </c>
      <c r="D720" s="589" t="str">
        <f aca="false">'☆掛負収入'!D720</f>
        <v>厚生年金保険料</v>
      </c>
      <c r="E720" s="589" t="str">
        <f aca="false">'☆掛負収入'!E720</f>
        <v>退職等年金負担金</v>
      </c>
      <c r="F720" s="590" t="str">
        <f aca="false">'☆掛負収入'!F720</f>
        <v>経過的長期</v>
      </c>
      <c r="G720" s="586" t="n">
        <f aca="false">'☆掛負収入'!G720</f>
        <v>0</v>
      </c>
      <c r="H720" s="96" t="n">
        <f aca="false">'☆掛負収入'!H720</f>
        <v>0</v>
      </c>
      <c r="I720" s="94" t="n">
        <f aca="false">'☆掛負収入'!I720</f>
        <v>0</v>
      </c>
      <c r="J720" s="95" t="n">
        <f aca="false">'☆掛負収入'!J720</f>
        <v>0</v>
      </c>
      <c r="K720" s="96" t="n">
        <f aca="false">'☆掛負収入'!K720</f>
        <v>0</v>
      </c>
      <c r="L720" s="94" t="n">
        <f aca="false">'☆掛負収入'!L720</f>
        <v>0</v>
      </c>
      <c r="M720" s="95" t="n">
        <f aca="false">'☆掛負収入'!M720</f>
        <v>0</v>
      </c>
      <c r="N720" s="96" t="n">
        <f aca="false">'☆掛負収入'!N720</f>
        <v>0</v>
      </c>
      <c r="O720" s="94" t="n">
        <f aca="false">'☆掛負収入'!O720</f>
        <v>0</v>
      </c>
      <c r="P720" s="95" t="n">
        <f aca="false">'☆掛負収入'!P720</f>
        <v>0</v>
      </c>
    </row>
    <row r="721" customFormat="false" ht="18.75" hidden="false" customHeight="true" outlineLevel="0" collapsed="false">
      <c r="A721" s="100" t="str">
        <f aca="false">'☆掛負収入'!A721</f>
        <v>市長部局</v>
      </c>
      <c r="B721" s="444"/>
      <c r="C721" s="235"/>
      <c r="D721" s="445"/>
      <c r="E721" s="445"/>
      <c r="F721" s="446"/>
      <c r="G721" s="235"/>
      <c r="H721" s="444"/>
      <c r="I721" s="447"/>
      <c r="J721" s="377"/>
      <c r="K721" s="448"/>
      <c r="L721" s="447"/>
      <c r="M721" s="377"/>
      <c r="N721" s="448"/>
      <c r="O721" s="447"/>
      <c r="P721" s="377"/>
    </row>
    <row r="722" customFormat="false" ht="18.75" hidden="false" customHeight="true" outlineLevel="0" collapsed="false">
      <c r="A722" s="100" t="str">
        <f aca="false">'☆掛負収入'!A722</f>
        <v>下水道局</v>
      </c>
      <c r="B722" s="449"/>
      <c r="C722" s="377"/>
      <c r="D722" s="445"/>
      <c r="E722" s="445"/>
      <c r="F722" s="223"/>
      <c r="G722" s="377"/>
      <c r="H722" s="448"/>
      <c r="I722" s="450"/>
      <c r="J722" s="223"/>
      <c r="K722" s="451"/>
      <c r="L722" s="452"/>
      <c r="M722" s="223"/>
      <c r="N722" s="451"/>
      <c r="O722" s="452"/>
      <c r="P722" s="223"/>
    </row>
    <row r="723" customFormat="false" ht="18.75" hidden="false" customHeight="true" outlineLevel="0" collapsed="false">
      <c r="A723" s="100" t="str">
        <f aca="false">'☆掛負収入'!A723</f>
        <v>消防局</v>
      </c>
      <c r="B723" s="406"/>
      <c r="C723" s="181"/>
      <c r="D723" s="592"/>
      <c r="E723" s="592"/>
      <c r="F723" s="135"/>
      <c r="G723" s="181"/>
      <c r="H723" s="595"/>
      <c r="I723" s="439"/>
      <c r="J723" s="135"/>
      <c r="K723" s="595"/>
      <c r="L723" s="439"/>
      <c r="M723" s="135"/>
      <c r="N723" s="595"/>
      <c r="O723" s="439"/>
      <c r="P723" s="135"/>
    </row>
    <row r="724" customFormat="false" ht="18.75" hidden="false" customHeight="true" outlineLevel="0" collapsed="false">
      <c r="A724" s="100" t="str">
        <f aca="false">'☆掛負収入'!A724</f>
        <v>議会事務局</v>
      </c>
      <c r="B724" s="406"/>
      <c r="C724" s="181"/>
      <c r="D724" s="592"/>
      <c r="E724" s="592"/>
      <c r="F724" s="135"/>
      <c r="G724" s="181"/>
      <c r="H724" s="406"/>
      <c r="I724" s="439"/>
      <c r="J724" s="135"/>
      <c r="K724" s="406"/>
      <c r="L724" s="439"/>
      <c r="M724" s="135"/>
      <c r="N724" s="406"/>
      <c r="O724" s="439"/>
      <c r="P724" s="135"/>
    </row>
    <row r="725" customFormat="false" ht="18.75" hidden="false" customHeight="true" outlineLevel="0" collapsed="false">
      <c r="A725" s="100" t="str">
        <f aca="false">'☆掛負収入'!A725</f>
        <v>教育委員会（総務課）</v>
      </c>
      <c r="B725" s="406"/>
      <c r="C725" s="181"/>
      <c r="D725" s="592"/>
      <c r="E725" s="592"/>
      <c r="F725" s="135"/>
      <c r="G725" s="181"/>
      <c r="H725" s="406"/>
      <c r="I725" s="439"/>
      <c r="J725" s="135"/>
      <c r="K725" s="406"/>
      <c r="L725" s="439"/>
      <c r="M725" s="135"/>
      <c r="N725" s="406"/>
      <c r="O725" s="439"/>
      <c r="P725" s="135"/>
    </row>
    <row r="726" customFormat="false" ht="18.75" hidden="false" customHeight="true" outlineLevel="0" collapsed="false">
      <c r="A726" s="100" t="str">
        <f aca="false">'☆掛負収入'!A726</f>
        <v>選挙管理委員会</v>
      </c>
      <c r="B726" s="406"/>
      <c r="C726" s="181"/>
      <c r="D726" s="592"/>
      <c r="E726" s="592"/>
      <c r="F726" s="135"/>
      <c r="G726" s="181"/>
      <c r="H726" s="594"/>
      <c r="I726" s="424"/>
      <c r="J726" s="135"/>
      <c r="K726" s="406"/>
      <c r="L726" s="439"/>
      <c r="M726" s="135"/>
      <c r="N726" s="406"/>
      <c r="O726" s="439"/>
      <c r="P726" s="135"/>
    </row>
    <row r="727" customFormat="false" ht="18.75" hidden="false" customHeight="true" outlineLevel="0" collapsed="false">
      <c r="A727" s="100" t="str">
        <f aca="false">'☆掛負収入'!A727</f>
        <v>人事委員会</v>
      </c>
      <c r="B727" s="406"/>
      <c r="C727" s="181"/>
      <c r="D727" s="592"/>
      <c r="E727" s="592"/>
      <c r="F727" s="135"/>
      <c r="G727" s="181"/>
      <c r="H727" s="594"/>
      <c r="I727" s="424"/>
      <c r="J727" s="135"/>
      <c r="K727" s="594"/>
      <c r="L727" s="424"/>
      <c r="M727" s="135"/>
      <c r="N727" s="594"/>
      <c r="O727" s="424"/>
      <c r="P727" s="135"/>
    </row>
    <row r="728" customFormat="false" ht="18.75" hidden="false" customHeight="true" outlineLevel="0" collapsed="false">
      <c r="A728" s="100" t="str">
        <f aca="false">'☆掛負収入'!A728</f>
        <v>監査事務局</v>
      </c>
      <c r="B728" s="406"/>
      <c r="C728" s="181"/>
      <c r="D728" s="592"/>
      <c r="E728" s="592"/>
      <c r="F728" s="135"/>
      <c r="G728" s="181"/>
      <c r="H728" s="594"/>
      <c r="I728" s="424"/>
      <c r="J728" s="135"/>
      <c r="K728" s="594"/>
      <c r="L728" s="424"/>
      <c r="M728" s="135"/>
      <c r="N728" s="594"/>
      <c r="O728" s="424"/>
      <c r="P728" s="135"/>
    </row>
    <row r="729" customFormat="false" ht="18.75" hidden="false" customHeight="true" outlineLevel="0" collapsed="false">
      <c r="A729" s="100" t="str">
        <f aca="false">'☆掛負収入'!A729</f>
        <v>農業委員会</v>
      </c>
      <c r="B729" s="406"/>
      <c r="C729" s="181"/>
      <c r="D729" s="592"/>
      <c r="E729" s="592"/>
      <c r="F729" s="135"/>
      <c r="G729" s="181"/>
      <c r="H729" s="594"/>
      <c r="I729" s="424"/>
      <c r="J729" s="135"/>
      <c r="K729" s="594"/>
      <c r="L729" s="424"/>
      <c r="M729" s="135"/>
      <c r="N729" s="594"/>
      <c r="O729" s="424"/>
      <c r="P729" s="135"/>
    </row>
    <row r="730" customFormat="false" ht="18.75" hidden="false" customHeight="true" outlineLevel="0" collapsed="false">
      <c r="A730" s="100" t="str">
        <f aca="false">'☆掛負収入'!A730</f>
        <v>水道局</v>
      </c>
      <c r="B730" s="406"/>
      <c r="C730" s="181"/>
      <c r="D730" s="592"/>
      <c r="E730" s="592"/>
      <c r="F730" s="135"/>
      <c r="G730" s="181"/>
      <c r="H730" s="594"/>
      <c r="I730" s="424"/>
      <c r="J730" s="135"/>
      <c r="K730" s="594"/>
      <c r="L730" s="424"/>
      <c r="M730" s="135"/>
      <c r="N730" s="594"/>
      <c r="O730" s="424"/>
      <c r="P730" s="135"/>
    </row>
    <row r="731" customFormat="false" ht="18.75" hidden="false" customHeight="true" outlineLevel="0" collapsed="false">
      <c r="A731" s="121" t="str">
        <f aca="false">'☆掛負収入'!A731</f>
        <v>医療政策課(安芸市民)</v>
      </c>
      <c r="B731" s="595"/>
      <c r="C731" s="366"/>
      <c r="D731" s="595"/>
      <c r="E731" s="596"/>
      <c r="F731" s="393"/>
      <c r="G731" s="181"/>
      <c r="H731" s="597"/>
      <c r="I731" s="407"/>
      <c r="J731" s="135"/>
      <c r="K731" s="594"/>
      <c r="L731" s="424"/>
      <c r="M731" s="135"/>
      <c r="N731" s="594"/>
      <c r="O731" s="424"/>
      <c r="P731" s="135"/>
    </row>
    <row r="732" customFormat="false" ht="18.75" hidden="false" customHeight="true" outlineLevel="0" collapsed="false">
      <c r="A732" s="121" t="str">
        <f aca="false">'☆掛負収入'!A732</f>
        <v>教育委員会（教育給与課）</v>
      </c>
      <c r="B732" s="595"/>
      <c r="C732" s="181"/>
      <c r="D732" s="406"/>
      <c r="E732" s="598"/>
      <c r="F732" s="284"/>
      <c r="G732" s="181"/>
      <c r="H732" s="594"/>
      <c r="I732" s="424"/>
      <c r="J732" s="135"/>
      <c r="K732" s="594"/>
      <c r="L732" s="424"/>
      <c r="M732" s="135"/>
      <c r="N732" s="594"/>
      <c r="O732" s="424"/>
      <c r="P732" s="135"/>
    </row>
    <row r="733" customFormat="false" ht="18.75" hidden="true" customHeight="true" outlineLevel="0" collapsed="false">
      <c r="A733" s="599"/>
      <c r="B733" s="600"/>
      <c r="C733" s="210"/>
      <c r="D733" s="600"/>
      <c r="E733" s="601"/>
      <c r="F733" s="196"/>
      <c r="G733" s="687"/>
      <c r="H733" s="602"/>
      <c r="I733" s="603"/>
      <c r="J733" s="603"/>
      <c r="K733" s="602"/>
      <c r="L733" s="603"/>
      <c r="M733" s="195"/>
      <c r="N733" s="602"/>
      <c r="O733" s="603"/>
      <c r="P733" s="195"/>
    </row>
    <row r="734" customFormat="false" ht="18.75" hidden="true" customHeight="true" outlineLevel="0" collapsed="false">
      <c r="A734" s="604"/>
      <c r="B734" s="457"/>
      <c r="C734" s="132"/>
      <c r="D734" s="457"/>
      <c r="E734" s="458"/>
      <c r="F734" s="459"/>
      <c r="G734" s="435"/>
      <c r="H734" s="457"/>
      <c r="I734" s="458"/>
      <c r="J734" s="458"/>
      <c r="K734" s="457"/>
      <c r="L734" s="458"/>
      <c r="M734" s="130"/>
      <c r="N734" s="457"/>
      <c r="O734" s="458"/>
      <c r="P734" s="130"/>
    </row>
    <row r="735" customFormat="false" ht="18.75" hidden="true" customHeight="true" outlineLevel="0" collapsed="false">
      <c r="A735" s="604"/>
      <c r="B735" s="600"/>
      <c r="C735" s="210"/>
      <c r="D735" s="600"/>
      <c r="E735" s="601"/>
      <c r="F735" s="196"/>
      <c r="G735" s="687"/>
      <c r="H735" s="600"/>
      <c r="I735" s="601"/>
      <c r="J735" s="601"/>
      <c r="K735" s="600"/>
      <c r="L735" s="601"/>
      <c r="M735" s="696"/>
      <c r="N735" s="600"/>
      <c r="O735" s="601"/>
      <c r="P735" s="696"/>
    </row>
    <row r="736" customFormat="false" ht="18.75" hidden="true" customHeight="true" outlineLevel="0" collapsed="false">
      <c r="A736" s="605"/>
      <c r="B736" s="606"/>
      <c r="C736" s="607"/>
      <c r="D736" s="606"/>
      <c r="E736" s="490"/>
      <c r="F736" s="608"/>
      <c r="G736" s="689"/>
      <c r="H736" s="457"/>
      <c r="I736" s="609"/>
      <c r="J736" s="609"/>
      <c r="K736" s="457"/>
      <c r="L736" s="458"/>
      <c r="M736" s="130"/>
      <c r="N736" s="457"/>
      <c r="O736" s="458"/>
      <c r="P736" s="130"/>
    </row>
    <row r="737" customFormat="false" ht="18.75" hidden="false" customHeight="true" outlineLevel="0" collapsed="false">
      <c r="A737" s="171" t="str">
        <f aca="false">'☆掛負収入'!A737</f>
        <v>小　計</v>
      </c>
      <c r="B737" s="404"/>
      <c r="C737" s="174"/>
      <c r="D737" s="404"/>
      <c r="E737" s="174"/>
      <c r="F737" s="175"/>
      <c r="G737" s="176"/>
      <c r="H737" s="404"/>
      <c r="I737" s="174"/>
      <c r="J737" s="173"/>
      <c r="K737" s="404"/>
      <c r="L737" s="174"/>
      <c r="M737" s="173"/>
      <c r="N737" s="404"/>
      <c r="O737" s="174"/>
      <c r="P737" s="173"/>
    </row>
    <row r="738" customFormat="false" ht="18.75" hidden="false" customHeight="true" outlineLevel="0" collapsed="false">
      <c r="A738" s="177" t="str">
        <f aca="false">'☆掛負収入'!A738</f>
        <v>地方税共同機構</v>
      </c>
      <c r="B738" s="449" t="n">
        <f aca="false">'☆掛負収入'!B738</f>
        <v>0</v>
      </c>
      <c r="C738" s="377" t="n">
        <f aca="false">'☆掛負収入'!C738</f>
        <v>0</v>
      </c>
      <c r="D738" s="469" t="n">
        <f aca="false">'☆掛負収入'!D738</f>
        <v>0</v>
      </c>
      <c r="E738" s="463" t="n">
        <f aca="false">'☆掛負収入'!E738</f>
        <v>0</v>
      </c>
      <c r="F738" s="223" t="n">
        <f aca="false">'☆掛負収入'!F738</f>
        <v>0</v>
      </c>
      <c r="G738" s="181" t="n">
        <f aca="false">SUM(B738:F738)</f>
        <v>0</v>
      </c>
      <c r="H738" s="594" t="n">
        <f aca="false">'☆掛負収入'!H738</f>
        <v>0</v>
      </c>
      <c r="I738" s="424" t="n">
        <f aca="false">'☆掛負収入'!I738</f>
        <v>0</v>
      </c>
      <c r="J738" s="135" t="n">
        <f aca="false">SUM(H738:I738)</f>
        <v>0</v>
      </c>
      <c r="K738" s="439" t="n">
        <f aca="false">'☆掛負収入'!K738</f>
        <v>0</v>
      </c>
      <c r="L738" s="424" t="n">
        <f aca="false">'☆掛負収入'!L738</f>
        <v>0</v>
      </c>
      <c r="M738" s="135" t="n">
        <f aca="false">SUM(K738:L738)</f>
        <v>0</v>
      </c>
      <c r="N738" s="439" t="n">
        <f aca="false">'☆掛負収入'!N738</f>
        <v>0</v>
      </c>
      <c r="O738" s="424" t="n">
        <f aca="false">'☆掛負収入'!O738</f>
        <v>0</v>
      </c>
      <c r="P738" s="135" t="n">
        <f aca="false">SUM(N738:O738)</f>
        <v>0</v>
      </c>
    </row>
    <row r="739" customFormat="false" ht="18.75" hidden="false" customHeight="true" outlineLevel="0" collapsed="false">
      <c r="A739" s="100" t="str">
        <f aca="false">'☆掛負収入'!A739</f>
        <v>平和文化センター</v>
      </c>
      <c r="B739" s="449" t="n">
        <f aca="false">'☆掛負収入'!B739</f>
        <v>0</v>
      </c>
      <c r="C739" s="377" t="n">
        <f aca="false">'☆掛負収入'!C739</f>
        <v>0</v>
      </c>
      <c r="D739" s="464" t="n">
        <f aca="false">'☆掛負収入'!D739</f>
        <v>638670</v>
      </c>
      <c r="E739" s="452" t="n">
        <f aca="false">'☆掛負収入'!E739</f>
        <v>52350</v>
      </c>
      <c r="F739" s="223" t="n">
        <f aca="false">'☆掛負収入'!F739</f>
        <v>723</v>
      </c>
      <c r="G739" s="181" t="n">
        <f aca="false">SUM(B739:F739)</f>
        <v>691743</v>
      </c>
      <c r="H739" s="594" t="n">
        <f aca="false">'☆掛負収入'!H739</f>
        <v>0</v>
      </c>
      <c r="I739" s="424" t="n">
        <f aca="false">'☆掛負収入'!I739</f>
        <v>386320</v>
      </c>
      <c r="J739" s="135" t="n">
        <f aca="false">SUM(H739:I739)</f>
        <v>386320</v>
      </c>
      <c r="K739" s="439" t="n">
        <f aca="false">'☆掛負収入'!K739</f>
        <v>0</v>
      </c>
      <c r="L739" s="424" t="n">
        <f aca="false">'☆掛負収入'!L739</f>
        <v>52377</v>
      </c>
      <c r="M739" s="135" t="n">
        <f aca="false">SUM(K739:L739)</f>
        <v>52377</v>
      </c>
      <c r="N739" s="439" t="n">
        <f aca="false">'☆掛負収入'!N739</f>
        <v>0</v>
      </c>
      <c r="O739" s="424" t="n">
        <f aca="false">'☆掛負収入'!O739</f>
        <v>1</v>
      </c>
      <c r="P739" s="135" t="n">
        <f aca="false">SUM(N739:O739)</f>
        <v>1</v>
      </c>
    </row>
    <row r="740" customFormat="false" ht="18.75" hidden="false" customHeight="true" outlineLevel="0" collapsed="false">
      <c r="A740" s="100" t="str">
        <f aca="false">'☆掛負収入'!A740</f>
        <v>社会福祉事業団</v>
      </c>
      <c r="B740" s="600"/>
      <c r="C740" s="210"/>
      <c r="D740" s="451" t="n">
        <f aca="false">'☆掛負収入'!D740</f>
        <v>1886730</v>
      </c>
      <c r="E740" s="453" t="n">
        <f aca="false">'☆掛負収入'!E740</f>
        <v>154650</v>
      </c>
      <c r="F740" s="223" t="n">
        <f aca="false">'☆掛負収入'!F740</f>
        <v>1988</v>
      </c>
      <c r="G740" s="181" t="n">
        <f aca="false">SUM(B740:F740)</f>
        <v>2043368</v>
      </c>
      <c r="H740" s="602"/>
      <c r="I740" s="424" t="n">
        <f aca="false">'☆掛負収入'!I740</f>
        <v>1275306</v>
      </c>
      <c r="J740" s="135" t="n">
        <f aca="false">SUM(H740:I740)</f>
        <v>1275306</v>
      </c>
      <c r="K740" s="612"/>
      <c r="L740" s="424" t="n">
        <f aca="false">'☆掛負収入'!L740</f>
        <v>141252</v>
      </c>
      <c r="M740" s="135" t="n">
        <f aca="false">SUM(K740:L740)</f>
        <v>141252</v>
      </c>
      <c r="N740" s="612"/>
      <c r="O740" s="424" t="n">
        <f aca="false">'☆掛負収入'!O740</f>
        <v>1</v>
      </c>
      <c r="P740" s="135" t="n">
        <f aca="false">SUM(N740:O740)</f>
        <v>1</v>
      </c>
    </row>
    <row r="741" customFormat="false" ht="18.75" hidden="false" customHeight="true" outlineLevel="0" collapsed="false">
      <c r="A741" s="100" t="str">
        <f aca="false">'☆掛負収入'!A741</f>
        <v>原爆障害対策協議会</v>
      </c>
      <c r="B741" s="600"/>
      <c r="C741" s="210"/>
      <c r="D741" s="445" t="n">
        <f aca="false">'☆掛負収入'!D741</f>
        <v>48495</v>
      </c>
      <c r="E741" s="453" t="n">
        <f aca="false">'☆掛負収入'!E741</f>
        <v>3975</v>
      </c>
      <c r="F741" s="223" t="n">
        <f aca="false">'☆掛負収入'!F741</f>
        <v>49</v>
      </c>
      <c r="G741" s="181" t="n">
        <f aca="false">SUM(B741:F741)</f>
        <v>52519</v>
      </c>
      <c r="H741" s="602"/>
      <c r="I741" s="424" t="n">
        <f aca="false">'☆掛負収入'!I741</f>
        <v>29208</v>
      </c>
      <c r="J741" s="135" t="n">
        <f aca="false">SUM(H741:I741)</f>
        <v>29208</v>
      </c>
      <c r="K741" s="612"/>
      <c r="L741" s="424" t="n">
        <f aca="false">'☆掛負収入'!L741</f>
        <v>4187</v>
      </c>
      <c r="M741" s="135" t="n">
        <f aca="false">SUM(K741:L741)</f>
        <v>4187</v>
      </c>
      <c r="N741" s="612"/>
      <c r="O741" s="424" t="n">
        <f aca="false">'☆掛負収入'!O741</f>
        <v>1</v>
      </c>
      <c r="P741" s="135" t="n">
        <f aca="false">SUM(N741:O741)</f>
        <v>1</v>
      </c>
    </row>
    <row r="742" customFormat="false" ht="18.75" hidden="false" customHeight="true" outlineLevel="0" collapsed="false">
      <c r="A742" s="189" t="str">
        <f aca="false">'☆掛負収入'!A742</f>
        <v>産業振興センター</v>
      </c>
      <c r="B742" s="600"/>
      <c r="C742" s="210"/>
      <c r="D742" s="445" t="n">
        <f aca="false">'☆掛負収入'!D742</f>
        <v>425475</v>
      </c>
      <c r="E742" s="453" t="n">
        <f aca="false">'☆掛負収入'!E742</f>
        <v>34875</v>
      </c>
      <c r="F742" s="223" t="n">
        <f aca="false">'☆掛負収入'!F742</f>
        <v>435</v>
      </c>
      <c r="G742" s="181" t="n">
        <f aca="false">SUM(B742:F742)</f>
        <v>460785</v>
      </c>
      <c r="H742" s="602"/>
      <c r="I742" s="424" t="n">
        <f aca="false">'☆掛負収入'!I742</f>
        <v>256260</v>
      </c>
      <c r="J742" s="135" t="n">
        <f aca="false">SUM(H742:I742)</f>
        <v>256260</v>
      </c>
      <c r="K742" s="612"/>
      <c r="L742" s="424" t="n">
        <f aca="false">'☆掛負収入'!L742</f>
        <v>34207</v>
      </c>
      <c r="M742" s="135" t="n">
        <f aca="false">SUM(K742:L742)</f>
        <v>34207</v>
      </c>
      <c r="N742" s="612"/>
      <c r="O742" s="424" t="n">
        <f aca="false">'☆掛負収入'!O742</f>
        <v>1</v>
      </c>
      <c r="P742" s="135" t="n">
        <f aca="false">SUM(N742:O742)</f>
        <v>1</v>
      </c>
    </row>
    <row r="743" customFormat="false" ht="18.75" hidden="false" customHeight="true" outlineLevel="0" collapsed="false">
      <c r="A743" s="121" t="str">
        <f aca="false">'☆掛負収入'!A743</f>
        <v>ひろしま産業振興</v>
      </c>
      <c r="B743" s="600"/>
      <c r="C743" s="459"/>
      <c r="D743" s="445" t="n">
        <f aca="false">'☆掛負収入'!D743</f>
        <v>86010</v>
      </c>
      <c r="E743" s="453" t="n">
        <f aca="false">'☆掛負収入'!E743</f>
        <v>7050</v>
      </c>
      <c r="F743" s="454" t="n">
        <f aca="false">'☆掛負収入'!F743</f>
        <v>88</v>
      </c>
      <c r="G743" s="181" t="n">
        <f aca="false">SUM(B743:F743)</f>
        <v>93148</v>
      </c>
      <c r="H743" s="602"/>
      <c r="I743" s="407" t="n">
        <f aca="false">'☆掛負収入'!I743</f>
        <v>51803</v>
      </c>
      <c r="J743" s="135" t="n">
        <f aca="false">SUM(H743:I743)</f>
        <v>51803</v>
      </c>
      <c r="K743" s="612"/>
      <c r="L743" s="407" t="n">
        <f aca="false">'☆掛負収入'!L743</f>
        <v>7426</v>
      </c>
      <c r="M743" s="135" t="n">
        <f aca="false">SUM(K743:L743)</f>
        <v>7426</v>
      </c>
      <c r="N743" s="612"/>
      <c r="O743" s="407" t="n">
        <f aca="false">'☆掛負収入'!O743</f>
        <v>1</v>
      </c>
      <c r="P743" s="135" t="n">
        <f aca="false">SUM(N743:O743)</f>
        <v>1</v>
      </c>
    </row>
    <row r="744" customFormat="false" ht="18.75" hidden="false" customHeight="true" outlineLevel="0" collapsed="false">
      <c r="A744" s="121" t="str">
        <f aca="false">'☆掛負収入'!A744</f>
        <v>都市整備公社　市</v>
      </c>
      <c r="B744" s="600"/>
      <c r="C744" s="459"/>
      <c r="D744" s="451" t="n">
        <f aca="false">'☆掛負収入'!D744</f>
        <v>48495</v>
      </c>
      <c r="E744" s="453" t="n">
        <f aca="false">'☆掛負収入'!E744</f>
        <v>3975</v>
      </c>
      <c r="F744" s="223" t="n">
        <f aca="false">'☆掛負収入'!F744</f>
        <v>49</v>
      </c>
      <c r="G744" s="181" t="n">
        <f aca="false">SUM(B744:F744)</f>
        <v>52519</v>
      </c>
      <c r="H744" s="602"/>
      <c r="I744" s="424" t="n">
        <f aca="false">'☆掛負収入'!I744</f>
        <v>29208</v>
      </c>
      <c r="J744" s="135" t="n">
        <f aca="false">SUM(H744:I744)</f>
        <v>29208</v>
      </c>
      <c r="K744" s="612"/>
      <c r="L744" s="424" t="n">
        <f aca="false">'☆掛負収入'!L744</f>
        <v>4187</v>
      </c>
      <c r="M744" s="135" t="n">
        <f aca="false">SUM(K744:L744)</f>
        <v>4187</v>
      </c>
      <c r="N744" s="612"/>
      <c r="O744" s="424" t="n">
        <f aca="false">'☆掛負収入'!O744</f>
        <v>1</v>
      </c>
      <c r="P744" s="135" t="n">
        <f aca="false">SUM(N744:O744)</f>
        <v>1</v>
      </c>
    </row>
    <row r="745" customFormat="false" ht="18.75" hidden="false" customHeight="true" outlineLevel="0" collapsed="false">
      <c r="A745" s="192"/>
      <c r="B745" s="600"/>
      <c r="C745" s="196"/>
      <c r="D745" s="449"/>
      <c r="E745" s="453"/>
      <c r="F745" s="223"/>
      <c r="G745" s="181"/>
      <c r="H745" s="602"/>
      <c r="I745" s="424"/>
      <c r="J745" s="135"/>
      <c r="K745" s="612"/>
      <c r="L745" s="424"/>
      <c r="M745" s="135" t="n">
        <f aca="false">SUM(K745:L745)</f>
        <v>0</v>
      </c>
      <c r="N745" s="612"/>
      <c r="O745" s="424"/>
      <c r="P745" s="135" t="n">
        <f aca="false">SUM(N745:O745)</f>
        <v>0</v>
      </c>
    </row>
    <row r="746" customFormat="false" ht="18.75" hidden="false" customHeight="true" outlineLevel="0" collapsed="false">
      <c r="A746" s="121" t="str">
        <f aca="false">'☆掛負収入'!A746</f>
        <v>日本下水道事業団</v>
      </c>
      <c r="B746" s="451" t="n">
        <f aca="false">'☆掛負収入'!B746</f>
        <v>245220</v>
      </c>
      <c r="C746" s="223" t="n">
        <f aca="false">'☆掛負収入'!C746</f>
        <v>20100</v>
      </c>
      <c r="D746" s="449" t="n">
        <f aca="false">'☆掛負収入'!D746</f>
        <v>245220</v>
      </c>
      <c r="E746" s="453" t="n">
        <f aca="false">'☆掛負収入'!E746</f>
        <v>20100</v>
      </c>
      <c r="F746" s="223" t="n">
        <f aca="false">'☆掛負収入'!F746</f>
        <v>251</v>
      </c>
      <c r="G746" s="181" t="n">
        <f aca="false">SUM(B746:F746)</f>
        <v>530891</v>
      </c>
      <c r="H746" s="594" t="n">
        <f aca="false">'☆掛負収入'!H746</f>
        <v>147425</v>
      </c>
      <c r="I746" s="424" t="n">
        <f aca="false">'☆掛負収入'!I746</f>
        <v>147694</v>
      </c>
      <c r="J746" s="135" t="n">
        <f aca="false">SUM(H746:I746)</f>
        <v>295119</v>
      </c>
      <c r="K746" s="439" t="n">
        <f aca="false">'☆掛負収入'!K746</f>
        <v>9559</v>
      </c>
      <c r="L746" s="424" t="n">
        <f aca="false">'☆掛負収入'!L746</f>
        <v>9559</v>
      </c>
      <c r="M746" s="135" t="n">
        <f aca="false">SUM(K746:L746)</f>
        <v>19118</v>
      </c>
      <c r="N746" s="439" t="n">
        <f aca="false">'☆掛負収入'!N746</f>
        <v>1</v>
      </c>
      <c r="O746" s="424" t="n">
        <f aca="false">'☆掛負収入'!O746</f>
        <v>1</v>
      </c>
      <c r="P746" s="135" t="n">
        <f aca="false">SUM(N746:O746)</f>
        <v>2</v>
      </c>
    </row>
    <row r="747" customFormat="false" ht="18.75" hidden="false" customHeight="true" outlineLevel="0" collapsed="false">
      <c r="A747" s="100" t="str">
        <f aca="false">'☆掛負収入'!A747</f>
        <v>地方公務員災害補償基金本部</v>
      </c>
      <c r="B747" s="451" t="n">
        <f aca="false">'☆掛負収入'!B747</f>
        <v>40260</v>
      </c>
      <c r="C747" s="223" t="n">
        <f aca="false">'☆掛負収入'!C747</f>
        <v>3300</v>
      </c>
      <c r="D747" s="449" t="n">
        <f aca="false">'☆掛負収入'!D747</f>
        <v>40260</v>
      </c>
      <c r="E747" s="453" t="n">
        <f aca="false">'☆掛負収入'!E747</f>
        <v>3300</v>
      </c>
      <c r="F747" s="223" t="n">
        <f aca="false">'☆掛負収入'!F747</f>
        <v>41</v>
      </c>
      <c r="G747" s="181" t="n">
        <f aca="false">SUM(B747:F747)</f>
        <v>87161</v>
      </c>
      <c r="H747" s="594" t="n">
        <f aca="false">'☆掛負収入'!H747</f>
        <v>24204</v>
      </c>
      <c r="I747" s="424" t="n">
        <f aca="false">'☆掛負収入'!I747</f>
        <v>24248</v>
      </c>
      <c r="J747" s="135" t="n">
        <f aca="false">SUM(H747:I747)</f>
        <v>48452</v>
      </c>
      <c r="K747" s="439" t="n">
        <f aca="false">'☆掛負収入'!K747</f>
        <v>0</v>
      </c>
      <c r="L747" s="424" t="n">
        <f aca="false">'☆掛負収入'!L747</f>
        <v>0</v>
      </c>
      <c r="M747" s="135" t="n">
        <f aca="false">SUM(K747:L747)</f>
        <v>0</v>
      </c>
      <c r="N747" s="439" t="n">
        <f aca="false">'☆掛負収入'!N747</f>
        <v>1</v>
      </c>
      <c r="O747" s="424" t="n">
        <f aca="false">'☆掛負収入'!O747</f>
        <v>1</v>
      </c>
      <c r="P747" s="135" t="n">
        <f aca="false">SUM(N747:O747)</f>
        <v>2</v>
      </c>
    </row>
    <row r="748" customFormat="false" ht="18.75" hidden="false" customHeight="true" outlineLevel="0" collapsed="false">
      <c r="A748" s="197"/>
      <c r="B748" s="449"/>
      <c r="C748" s="223"/>
      <c r="D748" s="449"/>
      <c r="E748" s="453"/>
      <c r="F748" s="223"/>
      <c r="G748" s="181"/>
      <c r="H748" s="594"/>
      <c r="I748" s="424"/>
      <c r="J748" s="135"/>
      <c r="K748" s="439"/>
      <c r="L748" s="424"/>
      <c r="M748" s="135" t="n">
        <f aca="false">SUM(K748:L748)</f>
        <v>0</v>
      </c>
      <c r="N748" s="439"/>
      <c r="O748" s="424"/>
      <c r="P748" s="135" t="n">
        <f aca="false">SUM(N748:O748)</f>
        <v>0</v>
      </c>
    </row>
    <row r="749" customFormat="false" ht="18.75" hidden="false" customHeight="true" outlineLevel="0" collapsed="false">
      <c r="A749" s="100" t="str">
        <f aca="false">'☆掛負収入'!A749</f>
        <v>高速道路公社</v>
      </c>
      <c r="B749" s="464" t="n">
        <f aca="false">'☆掛負収入'!B749</f>
        <v>923235</v>
      </c>
      <c r="C749" s="454" t="n">
        <f aca="false">'☆掛負収入'!C749</f>
        <v>75675</v>
      </c>
      <c r="D749" s="464" t="n">
        <f aca="false">'☆掛負収入'!D749</f>
        <v>923235</v>
      </c>
      <c r="E749" s="470" t="n">
        <f aca="false">'☆掛負収入'!E749</f>
        <v>75675</v>
      </c>
      <c r="F749" s="466" t="n">
        <f aca="false">'☆掛負収入'!F749</f>
        <v>947</v>
      </c>
      <c r="G749" s="181" t="n">
        <f aca="false">SUM(B749:F749)</f>
        <v>1998767</v>
      </c>
      <c r="H749" s="613" t="n">
        <f aca="false">'☆掛負収入'!H749</f>
        <v>556693</v>
      </c>
      <c r="I749" s="614" t="n">
        <f aca="false">'☆掛負収入'!I749</f>
        <v>557713</v>
      </c>
      <c r="J749" s="135" t="n">
        <f aca="false">SUM(H749:I749)</f>
        <v>1114406</v>
      </c>
      <c r="K749" s="615" t="n">
        <f aca="false">'☆掛負収入'!K749</f>
        <v>50797</v>
      </c>
      <c r="L749" s="614" t="n">
        <f aca="false">'☆掛負収入'!L749</f>
        <v>50797</v>
      </c>
      <c r="M749" s="135" t="n">
        <f aca="false">SUM(K749:L749)</f>
        <v>101594</v>
      </c>
      <c r="N749" s="615" t="n">
        <f aca="false">'☆掛負収入'!N749</f>
        <v>1</v>
      </c>
      <c r="O749" s="614" t="n">
        <f aca="false">'☆掛負収入'!O749</f>
        <v>1</v>
      </c>
      <c r="P749" s="135" t="n">
        <f aca="false">SUM(N749:O749)</f>
        <v>2</v>
      </c>
    </row>
    <row r="750" customFormat="false" ht="18.75" hidden="false" customHeight="true" outlineLevel="0" collapsed="false">
      <c r="A750" s="100" t="str">
        <f aca="false">'☆掛負収入'!A750</f>
        <v>農林水産振興センタ</v>
      </c>
      <c r="B750" s="457"/>
      <c r="C750" s="459"/>
      <c r="D750" s="451" t="n">
        <f aca="false">'☆掛負収入'!D750</f>
        <v>571875</v>
      </c>
      <c r="E750" s="473" t="n">
        <f aca="false">'☆掛負収入'!E750</f>
        <v>46875</v>
      </c>
      <c r="F750" s="454" t="n">
        <f aca="false">'☆掛負収入'!F750</f>
        <v>613</v>
      </c>
      <c r="G750" s="181" t="n">
        <f aca="false">SUM(B750:F750)</f>
        <v>619363</v>
      </c>
      <c r="H750" s="616"/>
      <c r="I750" s="407" t="n">
        <f aca="false">'☆掛負収入'!I750</f>
        <v>344467</v>
      </c>
      <c r="J750" s="135" t="n">
        <f aca="false">SUM(H750:I750)</f>
        <v>344467</v>
      </c>
      <c r="K750" s="617"/>
      <c r="L750" s="407" t="n">
        <f aca="false">'☆掛負収入'!L750</f>
        <v>27255</v>
      </c>
      <c r="M750" s="135" t="n">
        <f aca="false">SUM(K750:L750)</f>
        <v>27255</v>
      </c>
      <c r="N750" s="617"/>
      <c r="O750" s="407" t="n">
        <f aca="false">'☆掛負収入'!O750</f>
        <v>1</v>
      </c>
      <c r="P750" s="135" t="n">
        <f aca="false">SUM(N750:O750)</f>
        <v>1</v>
      </c>
    </row>
    <row r="751" customFormat="false" ht="18.75" hidden="false" customHeight="true" outlineLevel="0" collapsed="false">
      <c r="A751" s="203" t="str">
        <f aca="false">'☆掛負収入'!A751</f>
        <v>文化財団　市長部局</v>
      </c>
      <c r="B751" s="600"/>
      <c r="C751" s="196"/>
      <c r="D751" s="449" t="n">
        <f aca="false">'☆掛負収入'!D751</f>
        <v>1160220</v>
      </c>
      <c r="E751" s="453" t="n">
        <f aca="false">'☆掛負収入'!E751</f>
        <v>95100</v>
      </c>
      <c r="F751" s="454" t="n">
        <f aca="false">'☆掛負収入'!F751</f>
        <v>1185</v>
      </c>
      <c r="G751" s="181" t="n">
        <f aca="false">SUM(B751:F751)</f>
        <v>1256505</v>
      </c>
      <c r="H751" s="602"/>
      <c r="I751" s="407" t="n">
        <f aca="false">'☆掛負収入'!I751</f>
        <v>698790</v>
      </c>
      <c r="J751" s="135" t="n">
        <f aca="false">SUM(H751:I751)</f>
        <v>698790</v>
      </c>
      <c r="K751" s="612"/>
      <c r="L751" s="407" t="n">
        <f aca="false">'☆掛負収入'!L751</f>
        <v>94721</v>
      </c>
      <c r="M751" s="135" t="n">
        <f aca="false">SUM(K751:L751)</f>
        <v>94721</v>
      </c>
      <c r="N751" s="612"/>
      <c r="O751" s="407" t="n">
        <f aca="false">'☆掛負収入'!O751</f>
        <v>1</v>
      </c>
      <c r="P751" s="135" t="n">
        <f aca="false">SUM(N751:O751)</f>
        <v>1</v>
      </c>
    </row>
    <row r="752" customFormat="false" ht="18.75" hidden="false" customHeight="true" outlineLevel="0" collapsed="false">
      <c r="A752" s="204"/>
      <c r="B752" s="600"/>
      <c r="C752" s="196"/>
      <c r="D752" s="449"/>
      <c r="E752" s="453"/>
      <c r="F752" s="454"/>
      <c r="G752" s="181"/>
      <c r="H752" s="602"/>
      <c r="I752" s="407"/>
      <c r="J752" s="135"/>
      <c r="K752" s="612"/>
      <c r="L752" s="407"/>
      <c r="M752" s="135" t="n">
        <f aca="false">SUM(K752:L752)</f>
        <v>0</v>
      </c>
      <c r="N752" s="612"/>
      <c r="O752" s="407"/>
      <c r="P752" s="135" t="n">
        <f aca="false">SUM(N752:O752)</f>
        <v>0</v>
      </c>
    </row>
    <row r="753" customFormat="false" ht="18.75" hidden="false" customHeight="true" outlineLevel="0" collapsed="false">
      <c r="A753" s="100" t="str">
        <f aca="false">'☆掛負収入'!A753</f>
        <v>みどり生きもの協会</v>
      </c>
      <c r="B753" s="600"/>
      <c r="C753" s="196"/>
      <c r="D753" s="449" t="n">
        <f aca="false">'☆掛負収入'!D753</f>
        <v>402600</v>
      </c>
      <c r="E753" s="453" t="n">
        <f aca="false">'☆掛負収入'!E753</f>
        <v>33000</v>
      </c>
      <c r="F753" s="454" t="n">
        <f aca="false">'☆掛負収入'!F753</f>
        <v>412</v>
      </c>
      <c r="G753" s="181" t="n">
        <f aca="false">SUM(B753:F753)</f>
        <v>436012</v>
      </c>
      <c r="H753" s="602"/>
      <c r="I753" s="407" t="n">
        <f aca="false">'☆掛負収入'!I753</f>
        <v>242482</v>
      </c>
      <c r="J753" s="135" t="n">
        <f aca="false">SUM(H753:I753)</f>
        <v>242482</v>
      </c>
      <c r="K753" s="612"/>
      <c r="L753" s="407" t="n">
        <f aca="false">'☆掛負収入'!L753</f>
        <v>34760</v>
      </c>
      <c r="M753" s="135" t="n">
        <f aca="false">SUM(K753:L753)</f>
        <v>34760</v>
      </c>
      <c r="N753" s="612"/>
      <c r="O753" s="407" t="n">
        <f aca="false">'☆掛負収入'!O753</f>
        <v>1</v>
      </c>
      <c r="P753" s="135" t="n">
        <f aca="false">SUM(N753:O753)</f>
        <v>1</v>
      </c>
    </row>
    <row r="754" customFormat="false" ht="18.75" hidden="false" customHeight="true" outlineLevel="0" collapsed="false">
      <c r="A754" s="121" t="str">
        <f aca="false">'☆掛負収入'!A754</f>
        <v>県下水道公社</v>
      </c>
      <c r="B754" s="449" t="n">
        <f aca="false">'☆掛負収入'!B754</f>
        <v>137250</v>
      </c>
      <c r="C754" s="223" t="n">
        <f aca="false">'☆掛負収入'!C754</f>
        <v>11250</v>
      </c>
      <c r="D754" s="449" t="n">
        <f aca="false">'☆掛負収入'!D754</f>
        <v>137250</v>
      </c>
      <c r="E754" s="453" t="n">
        <f aca="false">'☆掛負収入'!E754</f>
        <v>11250</v>
      </c>
      <c r="F754" s="454" t="n">
        <f aca="false">'☆掛負収入'!F754</f>
        <v>140</v>
      </c>
      <c r="G754" s="181" t="n">
        <f aca="false">SUM(B754:F754)</f>
        <v>297140</v>
      </c>
      <c r="H754" s="594" t="n">
        <f aca="false">'☆掛負収入'!H754</f>
        <v>82514</v>
      </c>
      <c r="I754" s="407" t="n">
        <f aca="false">'☆掛負収入'!I754</f>
        <v>82665</v>
      </c>
      <c r="J754" s="135" t="n">
        <f aca="false">SUM(H754:I754)</f>
        <v>165179</v>
      </c>
      <c r="K754" s="439" t="n">
        <f aca="false">'☆掛負収入'!K754</f>
        <v>8611</v>
      </c>
      <c r="L754" s="407" t="n">
        <f aca="false">'☆掛負収入'!L754</f>
        <v>8611</v>
      </c>
      <c r="M754" s="135" t="n">
        <f aca="false">SUM(K754:L754)</f>
        <v>17222</v>
      </c>
      <c r="N754" s="439" t="n">
        <f aca="false">'☆掛負収入'!N754</f>
        <v>1</v>
      </c>
      <c r="O754" s="407" t="n">
        <f aca="false">'☆掛負収入'!O754</f>
        <v>1</v>
      </c>
      <c r="P754" s="135" t="n">
        <f aca="false">SUM(N754:O754)</f>
        <v>2</v>
      </c>
    </row>
    <row r="755" customFormat="false" ht="18.75" hidden="false" customHeight="true" outlineLevel="0" collapsed="false">
      <c r="A755" s="121" t="str">
        <f aca="false">'☆掛負収入'!A755</f>
        <v>バス協調・共創
プラットフォーム</v>
      </c>
      <c r="B755" s="457"/>
      <c r="C755" s="459"/>
      <c r="D755" s="451" t="n">
        <f aca="false">'☆掛負収入'!D755</f>
        <v>477630</v>
      </c>
      <c r="E755" s="473" t="n">
        <f aca="false">'☆掛負収入'!E755</f>
        <v>39150</v>
      </c>
      <c r="F755" s="454" t="n">
        <f aca="false">'☆掛負収入'!F755</f>
        <v>490</v>
      </c>
      <c r="G755" s="181" t="n">
        <f aca="false">SUM(B755:F755)</f>
        <v>517270</v>
      </c>
      <c r="H755" s="616"/>
      <c r="I755" s="407" t="n">
        <f aca="false">'☆掛負収入'!I755</f>
        <v>293185</v>
      </c>
      <c r="J755" s="135" t="n">
        <f aca="false">SUM(H755:I755)</f>
        <v>293185</v>
      </c>
      <c r="K755" s="617"/>
      <c r="L755" s="407" t="n">
        <f aca="false">'☆掛負収入'!L755</f>
        <v>25517</v>
      </c>
      <c r="M755" s="135" t="n">
        <f aca="false">SUM(K755:L755)</f>
        <v>25517</v>
      </c>
      <c r="N755" s="617"/>
      <c r="O755" s="407" t="n">
        <f aca="false">'☆掛負収入'!O755</f>
        <v>1</v>
      </c>
      <c r="P755" s="135" t="n">
        <f aca="false">SUM(N755:O755)</f>
        <v>1</v>
      </c>
    </row>
    <row r="756" customFormat="false" ht="18.75" hidden="false" customHeight="true" outlineLevel="0" collapsed="false">
      <c r="A756" s="121" t="str">
        <f aca="false">'☆掛負収入'!A756</f>
        <v>広島県市長会</v>
      </c>
      <c r="B756" s="449" t="n">
        <f aca="false">'☆掛負収入'!B756</f>
        <v>56730</v>
      </c>
      <c r="C756" s="223" t="n">
        <f aca="false">'☆掛負収入'!C756</f>
        <v>4650</v>
      </c>
      <c r="D756" s="449" t="n">
        <f aca="false">'☆掛負収入'!D756</f>
        <v>56730</v>
      </c>
      <c r="E756" s="453" t="n">
        <f aca="false">'☆掛負収入'!E756</f>
        <v>4650</v>
      </c>
      <c r="F756" s="223" t="n">
        <f aca="false">'☆掛負収入'!F756</f>
        <v>58</v>
      </c>
      <c r="G756" s="181" t="n">
        <f aca="false">SUM(B756:F756)</f>
        <v>122818</v>
      </c>
      <c r="H756" s="594" t="n">
        <f aca="false">'☆掛負収入'!H756</f>
        <v>34106</v>
      </c>
      <c r="I756" s="424" t="n">
        <f aca="false">'☆掛負収入'!I756</f>
        <v>34168</v>
      </c>
      <c r="J756" s="135" t="n">
        <f aca="false">SUM(H756:I756)</f>
        <v>68274</v>
      </c>
      <c r="K756" s="439" t="n">
        <f aca="false">'☆掛負収入'!K756</f>
        <v>4898</v>
      </c>
      <c r="L756" s="424" t="n">
        <f aca="false">'☆掛負収入'!L756</f>
        <v>4898</v>
      </c>
      <c r="M756" s="135" t="n">
        <f aca="false">SUM(K756:L756)</f>
        <v>9796</v>
      </c>
      <c r="N756" s="439" t="n">
        <f aca="false">'☆掛負収入'!N756</f>
        <v>1</v>
      </c>
      <c r="O756" s="424" t="n">
        <f aca="false">'☆掛負収入'!O756</f>
        <v>1</v>
      </c>
      <c r="P756" s="135" t="n">
        <f aca="false">SUM(N756:O756)</f>
        <v>2</v>
      </c>
    </row>
    <row r="757" customFormat="false" ht="18.75" hidden="false" customHeight="true" outlineLevel="0" collapsed="false">
      <c r="A757" s="189" t="str">
        <f aca="false">'☆掛負収入'!A757</f>
        <v>全国市町村研修財団</v>
      </c>
      <c r="B757" s="451" t="n">
        <f aca="false">'☆掛負収入'!B757</f>
        <v>59475</v>
      </c>
      <c r="C757" s="223" t="n">
        <f aca="false">'☆掛負収入'!C757</f>
        <v>4875</v>
      </c>
      <c r="D757" s="449" t="n">
        <f aca="false">'☆掛負収入'!D757</f>
        <v>59475</v>
      </c>
      <c r="E757" s="453" t="n">
        <f aca="false">'☆掛負収入'!E757</f>
        <v>4875</v>
      </c>
      <c r="F757" s="223" t="n">
        <f aca="false">'☆掛負収入'!F757</f>
        <v>61</v>
      </c>
      <c r="G757" s="181" t="n">
        <f aca="false">SUM(B757:F757)</f>
        <v>128761</v>
      </c>
      <c r="H757" s="594" t="n">
        <f aca="false">'☆掛負収入'!H757</f>
        <v>41257</v>
      </c>
      <c r="I757" s="424" t="n">
        <f aca="false">'☆掛負収入'!I757</f>
        <v>41332</v>
      </c>
      <c r="J757" s="135" t="n">
        <f aca="false">SUM(H757:I757)</f>
        <v>82589</v>
      </c>
      <c r="K757" s="439" t="n">
        <f aca="false">'☆掛負収入'!K757</f>
        <v>5925</v>
      </c>
      <c r="L757" s="424" t="n">
        <f aca="false">'☆掛負収入'!L757</f>
        <v>5925</v>
      </c>
      <c r="M757" s="135" t="n">
        <f aca="false">SUM(K757:L757)</f>
        <v>11850</v>
      </c>
      <c r="N757" s="439" t="n">
        <f aca="false">'☆掛負収入'!N757</f>
        <v>1</v>
      </c>
      <c r="O757" s="424" t="n">
        <f aca="false">'☆掛負収入'!O757</f>
        <v>1</v>
      </c>
      <c r="P757" s="135" t="n">
        <f aca="false">SUM(N757:O757)</f>
        <v>2</v>
      </c>
    </row>
    <row r="758" customFormat="false" ht="18.75" hidden="false" customHeight="true" outlineLevel="0" collapsed="false">
      <c r="A758" s="189" t="str">
        <f aca="false">'☆掛負収入'!A758</f>
        <v>都市再生機構</v>
      </c>
      <c r="B758" s="449" t="n">
        <f aca="false">'☆掛負収入'!B758</f>
        <v>53985</v>
      </c>
      <c r="C758" s="223" t="n">
        <f aca="false">'☆掛負収入'!C758</f>
        <v>4425</v>
      </c>
      <c r="D758" s="449" t="n">
        <f aca="false">'☆掛負収入'!D758</f>
        <v>53985</v>
      </c>
      <c r="E758" s="453" t="n">
        <f aca="false">'☆掛負収入'!E758</f>
        <v>4425</v>
      </c>
      <c r="F758" s="223" t="n">
        <f aca="false">'☆掛負収入'!F758</f>
        <v>55</v>
      </c>
      <c r="G758" s="181" t="n">
        <f aca="false">SUM(B758:F758)</f>
        <v>116875</v>
      </c>
      <c r="H758" s="594" t="n">
        <f aca="false">'☆掛負収入'!H758</f>
        <v>32455</v>
      </c>
      <c r="I758" s="424" t="n">
        <f aca="false">'☆掛負収入'!I758</f>
        <v>32514</v>
      </c>
      <c r="J758" s="135" t="n">
        <f aca="false">SUM(H758:I758)</f>
        <v>64969</v>
      </c>
      <c r="K758" s="439" t="n">
        <f aca="false">'☆掛負収入'!K758</f>
        <v>0</v>
      </c>
      <c r="L758" s="424" t="n">
        <f aca="false">'☆掛負収入'!L758</f>
        <v>0</v>
      </c>
      <c r="M758" s="135" t="n">
        <f aca="false">SUM(K758:L758)</f>
        <v>0</v>
      </c>
      <c r="N758" s="439" t="n">
        <f aca="false">'☆掛負収入'!N758</f>
        <v>1</v>
      </c>
      <c r="O758" s="424" t="n">
        <f aca="false">'☆掛負収入'!O758</f>
        <v>1</v>
      </c>
      <c r="P758" s="135" t="n">
        <f aca="false">SUM(N758:O758)</f>
        <v>2</v>
      </c>
    </row>
    <row r="759" customFormat="false" ht="18.75" hidden="false" customHeight="true" outlineLevel="0" collapsed="false">
      <c r="A759" s="121" t="str">
        <f aca="false">'☆掛負収入'!A759</f>
        <v>広島市立大学</v>
      </c>
      <c r="B759" s="406" t="n">
        <f aca="false">'☆掛負収入'!B759</f>
        <v>1197735</v>
      </c>
      <c r="C759" s="135" t="n">
        <f aca="false">'☆掛負収入'!C759</f>
        <v>98175</v>
      </c>
      <c r="D759" s="406" t="n">
        <f aca="false">'☆掛負収入'!D759</f>
        <v>1197735</v>
      </c>
      <c r="E759" s="439" t="n">
        <f aca="false">'☆掛負収入'!E759</f>
        <v>98175</v>
      </c>
      <c r="F759" s="223" t="n">
        <f aca="false">'☆掛負収入'!F759</f>
        <v>1340</v>
      </c>
      <c r="G759" s="181" t="n">
        <f aca="false">SUM(B759:F759)</f>
        <v>2593160</v>
      </c>
      <c r="H759" s="594" t="n">
        <f aca="false">'☆掛負収入'!H759</f>
        <v>720070</v>
      </c>
      <c r="I759" s="424" t="n">
        <f aca="false">'☆掛負収入'!I759</f>
        <v>721509</v>
      </c>
      <c r="J759" s="135" t="n">
        <f aca="false">SUM(H759:I759)</f>
        <v>1441579</v>
      </c>
      <c r="K759" s="439" t="n">
        <f aca="false">'☆掛負収入'!K759</f>
        <v>67940</v>
      </c>
      <c r="L759" s="424" t="n">
        <f aca="false">'☆掛負収入'!L759</f>
        <v>67940</v>
      </c>
      <c r="M759" s="135" t="n">
        <f aca="false">SUM(K759:L759)</f>
        <v>135880</v>
      </c>
      <c r="N759" s="439" t="n">
        <f aca="false">'☆掛負収入'!N759</f>
        <v>1</v>
      </c>
      <c r="O759" s="424" t="n">
        <f aca="false">'☆掛負収入'!O759</f>
        <v>1</v>
      </c>
      <c r="P759" s="135" t="n">
        <f aca="false">SUM(N759:O759)</f>
        <v>2</v>
      </c>
    </row>
    <row r="760" customFormat="false" ht="18.75" hidden="false" customHeight="true" outlineLevel="0" collapsed="false">
      <c r="A760" s="121" t="str">
        <f aca="false">'☆掛負収入'!A760</f>
        <v>社会福祉協議会</v>
      </c>
      <c r="B760" s="406" t="n">
        <f aca="false">'☆掛負収入'!B760</f>
        <v>0</v>
      </c>
      <c r="C760" s="135" t="n">
        <f aca="false">'☆掛負収入'!C760</f>
        <v>0</v>
      </c>
      <c r="D760" s="406" t="n">
        <f aca="false">'☆掛負収入'!D760</f>
        <v>245220</v>
      </c>
      <c r="E760" s="439" t="n">
        <f aca="false">'☆掛負収入'!E760</f>
        <v>20100</v>
      </c>
      <c r="F760" s="223" t="n">
        <f aca="false">'☆掛負収入'!F760</f>
        <v>251</v>
      </c>
      <c r="G760" s="181" t="n">
        <f aca="false">SUM(B760:F760)</f>
        <v>265571</v>
      </c>
      <c r="H760" s="594" t="n">
        <f aca="false">'☆掛負収入'!H760</f>
        <v>0</v>
      </c>
      <c r="I760" s="424" t="n">
        <f aca="false">'☆掛負収入'!I760</f>
        <v>151001</v>
      </c>
      <c r="J760" s="135" t="n">
        <f aca="false">SUM(H760:I760)</f>
        <v>151001</v>
      </c>
      <c r="K760" s="439" t="n">
        <f aca="false">'☆掛負収入'!K760</f>
        <v>0</v>
      </c>
      <c r="L760" s="424" t="n">
        <f aca="false">'☆掛負収入'!L760</f>
        <v>10744</v>
      </c>
      <c r="M760" s="135" t="n">
        <f aca="false">SUM(K760:L760)</f>
        <v>10744</v>
      </c>
      <c r="N760" s="439" t="n">
        <f aca="false">'☆掛負収入'!N760</f>
        <v>0</v>
      </c>
      <c r="O760" s="424" t="n">
        <f aca="false">'☆掛負収入'!O760</f>
        <v>1</v>
      </c>
      <c r="P760" s="135" t="n">
        <f aca="false">SUM(N760:O760)</f>
        <v>1</v>
      </c>
    </row>
    <row r="761" customFormat="false" ht="18.75" hidden="false" customHeight="true" outlineLevel="0" collapsed="false">
      <c r="A761" s="203" t="s">
        <v>418</v>
      </c>
      <c r="B761" s="406" t="n">
        <f aca="false">'☆掛負収入'!B763</f>
        <v>0</v>
      </c>
      <c r="C761" s="135" t="n">
        <f aca="false">'☆掛負収入'!C763</f>
        <v>0</v>
      </c>
      <c r="D761" s="406" t="n">
        <f aca="false">'☆掛負収入'!D763</f>
        <v>0</v>
      </c>
      <c r="E761" s="439" t="n">
        <f aca="false">'☆掛負収入'!E763</f>
        <v>0</v>
      </c>
      <c r="F761" s="223" t="n">
        <f aca="false">'☆掛負収入'!F763</f>
        <v>0</v>
      </c>
      <c r="G761" s="181" t="n">
        <f aca="false">SUM(B761:F761)</f>
        <v>0</v>
      </c>
      <c r="H761" s="594" t="n">
        <f aca="false">'☆掛負収入'!H763</f>
        <v>0</v>
      </c>
      <c r="I761" s="424" t="n">
        <f aca="false">'☆掛負収入'!I763</f>
        <v>0</v>
      </c>
      <c r="J761" s="135" t="n">
        <f aca="false">SUM(H761:I761)</f>
        <v>0</v>
      </c>
      <c r="K761" s="439" t="n">
        <f aca="false">'☆掛負収入'!K763</f>
        <v>0</v>
      </c>
      <c r="L761" s="424" t="n">
        <f aca="false">'☆掛負収入'!L763</f>
        <v>0</v>
      </c>
      <c r="M761" s="135" t="n">
        <f aca="false">SUM(K761:L761)</f>
        <v>0</v>
      </c>
      <c r="N761" s="439" t="n">
        <f aca="false">'☆掛負収入'!N763</f>
        <v>0</v>
      </c>
      <c r="O761" s="424" t="n">
        <f aca="false">'☆掛負収入'!O763</f>
        <v>0</v>
      </c>
      <c r="P761" s="135" t="n">
        <f aca="false">SUM(N761:O761)</f>
        <v>0</v>
      </c>
    </row>
    <row r="762" customFormat="false" ht="18.75" hidden="false" customHeight="true" outlineLevel="0" collapsed="false">
      <c r="A762" s="121" t="str">
        <f aca="false">'☆掛負収入'!A764</f>
        <v>全国市長会</v>
      </c>
      <c r="B762" s="406" t="n">
        <f aca="false">'☆掛負収入'!B764</f>
        <v>59475</v>
      </c>
      <c r="C762" s="135" t="n">
        <f aca="false">'☆掛負収入'!C764</f>
        <v>4875</v>
      </c>
      <c r="D762" s="406" t="n">
        <f aca="false">'☆掛負収入'!D764</f>
        <v>59475</v>
      </c>
      <c r="E762" s="439" t="n">
        <f aca="false">'☆掛負収入'!E764</f>
        <v>4875</v>
      </c>
      <c r="F762" s="223" t="n">
        <f aca="false">'☆掛負収入'!F764</f>
        <v>61</v>
      </c>
      <c r="G762" s="181" t="n">
        <f aca="false">SUM(B762:F762)</f>
        <v>128761</v>
      </c>
      <c r="H762" s="594" t="n">
        <f aca="false">'☆掛負収入'!H764</f>
        <v>41257</v>
      </c>
      <c r="I762" s="424" t="n">
        <f aca="false">'☆掛負収入'!I764</f>
        <v>41332</v>
      </c>
      <c r="J762" s="135" t="n">
        <f aca="false">SUM(H762:I762)</f>
        <v>82589</v>
      </c>
      <c r="K762" s="439" t="n">
        <f aca="false">'☆掛負収入'!K764</f>
        <v>5925</v>
      </c>
      <c r="L762" s="424" t="n">
        <f aca="false">'☆掛負収入'!L764</f>
        <v>5925</v>
      </c>
      <c r="M762" s="135" t="n">
        <f aca="false">SUM(K762:L762)</f>
        <v>11850</v>
      </c>
      <c r="N762" s="439" t="n">
        <f aca="false">'☆掛負収入'!N764</f>
        <v>1</v>
      </c>
      <c r="O762" s="424" t="n">
        <f aca="false">'☆掛負収入'!O764</f>
        <v>1</v>
      </c>
      <c r="P762" s="135" t="n">
        <f aca="false">SUM(N762:O762)</f>
        <v>2</v>
      </c>
    </row>
    <row r="763" customFormat="false" ht="18.75" hidden="false" customHeight="true" outlineLevel="0" collapsed="false">
      <c r="A763" s="208"/>
      <c r="B763" s="406"/>
      <c r="C763" s="393"/>
      <c r="D763" s="406"/>
      <c r="E763" s="439"/>
      <c r="F763" s="135"/>
      <c r="G763" s="181"/>
      <c r="H763" s="594"/>
      <c r="I763" s="424"/>
      <c r="J763" s="135"/>
      <c r="K763" s="439"/>
      <c r="L763" s="424"/>
      <c r="M763" s="135"/>
      <c r="N763" s="439"/>
      <c r="O763" s="424"/>
      <c r="P763" s="135"/>
    </row>
    <row r="764" customFormat="false" ht="18.75" hidden="false" customHeight="true" outlineLevel="0" collapsed="false">
      <c r="A764" s="208"/>
      <c r="B764" s="595"/>
      <c r="C764" s="366"/>
      <c r="D764" s="595"/>
      <c r="E764" s="596"/>
      <c r="F764" s="393"/>
      <c r="G764" s="181"/>
      <c r="H764" s="595"/>
      <c r="I764" s="440"/>
      <c r="J764" s="135"/>
      <c r="K764" s="596"/>
      <c r="L764" s="440"/>
      <c r="M764" s="135"/>
      <c r="N764" s="596"/>
      <c r="O764" s="440"/>
      <c r="P764" s="135"/>
    </row>
    <row r="765" customFormat="false" ht="18.75" hidden="false" customHeight="true" outlineLevel="0" collapsed="false">
      <c r="A765" s="192"/>
      <c r="B765" s="406"/>
      <c r="C765" s="181"/>
      <c r="D765" s="406"/>
      <c r="E765" s="592"/>
      <c r="F765" s="135"/>
      <c r="G765" s="181"/>
      <c r="H765" s="406"/>
      <c r="I765" s="619"/>
      <c r="J765" s="135"/>
      <c r="K765" s="592"/>
      <c r="L765" s="619"/>
      <c r="M765" s="135"/>
      <c r="N765" s="592"/>
      <c r="O765" s="619"/>
      <c r="P765" s="135"/>
    </row>
    <row r="766" customFormat="false" ht="18.75" hidden="false" customHeight="true" outlineLevel="0" collapsed="false">
      <c r="A766" s="192"/>
      <c r="B766" s="595"/>
      <c r="C766" s="393"/>
      <c r="D766" s="596"/>
      <c r="E766" s="440"/>
      <c r="F766" s="393"/>
      <c r="G766" s="366"/>
      <c r="H766" s="406"/>
      <c r="I766" s="440"/>
      <c r="J766" s="135"/>
      <c r="K766" s="596"/>
      <c r="L766" s="440"/>
      <c r="M766" s="135"/>
      <c r="N766" s="596"/>
      <c r="O766" s="440"/>
      <c r="P766" s="135"/>
    </row>
    <row r="767" customFormat="false" ht="18.75" hidden="false" customHeight="true" outlineLevel="0" collapsed="false">
      <c r="A767" s="605"/>
      <c r="B767" s="622"/>
      <c r="C767" s="253"/>
      <c r="D767" s="623"/>
      <c r="E767" s="624"/>
      <c r="F767" s="253"/>
      <c r="G767" s="621"/>
      <c r="H767" s="622"/>
      <c r="I767" s="623"/>
      <c r="J767" s="623" t="n">
        <f aca="false">SUM(H767:I767)</f>
        <v>0</v>
      </c>
      <c r="K767" s="622"/>
      <c r="L767" s="623"/>
      <c r="M767" s="697" t="n">
        <f aca="false">SUM(K767:L767)</f>
        <v>0</v>
      </c>
      <c r="N767" s="622"/>
      <c r="O767" s="623"/>
      <c r="P767" s="697" t="n">
        <f aca="false">SUM(N767:O767)</f>
        <v>0</v>
      </c>
    </row>
    <row r="768" customFormat="false" ht="18.75" hidden="false" customHeight="true" outlineLevel="0" collapsed="false">
      <c r="A768" s="171" t="str">
        <f aca="false">'☆掛負収入'!A768</f>
        <v>小　計</v>
      </c>
      <c r="B768" s="404" t="n">
        <f aca="false">SUM(B738:B767)</f>
        <v>2773365</v>
      </c>
      <c r="C768" s="175" t="n">
        <f aca="false">SUM(C738:C767)</f>
        <v>227325</v>
      </c>
      <c r="D768" s="404" t="n">
        <f aca="false">SUM(D738:D767)</f>
        <v>8764785</v>
      </c>
      <c r="E768" s="276" t="n">
        <f aca="false">SUM(E738:E767)</f>
        <v>718425</v>
      </c>
      <c r="F768" s="175" t="n">
        <f aca="false">SUM(F738:F767)</f>
        <v>9237</v>
      </c>
      <c r="G768" s="176" t="n">
        <f aca="false">SUM(B768:F768)</f>
        <v>12493137</v>
      </c>
      <c r="H768" s="404" t="n">
        <f aca="false">SUM(H738:H767)</f>
        <v>1679981</v>
      </c>
      <c r="I768" s="174" t="n">
        <f aca="false">SUM(I738:I767)</f>
        <v>5441205</v>
      </c>
      <c r="J768" s="175" t="n">
        <f aca="false">SUM(H768:I768)</f>
        <v>7121186</v>
      </c>
      <c r="K768" s="404" t="n">
        <f aca="false">SUM(K738:K767)</f>
        <v>153655</v>
      </c>
      <c r="L768" s="174" t="n">
        <f aca="false">SUM(L738:L767)</f>
        <v>590288</v>
      </c>
      <c r="M768" s="173" t="n">
        <f aca="false">SUM(K768:L768)</f>
        <v>743943</v>
      </c>
      <c r="N768" s="404" t="n">
        <f aca="false">SUM(N738:N767)</f>
        <v>9</v>
      </c>
      <c r="O768" s="174" t="n">
        <f aca="false">SUM(O738:O767)</f>
        <v>20</v>
      </c>
      <c r="P768" s="173" t="n">
        <f aca="false">SUM(N768:O768)</f>
        <v>29</v>
      </c>
    </row>
    <row r="769" customFormat="false" ht="18.75" hidden="false" customHeight="true" outlineLevel="0" collapsed="false">
      <c r="A769" s="604"/>
      <c r="B769" s="622"/>
      <c r="C769" s="253"/>
      <c r="D769" s="677"/>
      <c r="E769" s="678"/>
      <c r="F769" s="625"/>
      <c r="G769" s="626"/>
      <c r="H769" s="627"/>
      <c r="I769" s="628"/>
      <c r="J769" s="629"/>
      <c r="K769" s="630"/>
      <c r="L769" s="631"/>
      <c r="M769" s="632"/>
      <c r="N769" s="630"/>
      <c r="O769" s="631"/>
      <c r="P769" s="632"/>
    </row>
    <row r="770" customFormat="false" ht="18.75" hidden="false" customHeight="true" outlineLevel="0" collapsed="false">
      <c r="A770" s="633"/>
      <c r="B770" s="606"/>
      <c r="C770" s="608"/>
      <c r="D770" s="623"/>
      <c r="E770" s="624"/>
      <c r="F770" s="253"/>
      <c r="G770" s="621"/>
      <c r="H770" s="634"/>
      <c r="I770" s="635"/>
      <c r="J770" s="383"/>
      <c r="K770" s="636"/>
      <c r="L770" s="637"/>
      <c r="M770" s="638"/>
      <c r="N770" s="636"/>
      <c r="O770" s="637"/>
      <c r="P770" s="638"/>
    </row>
    <row r="771" customFormat="false" ht="18.75" hidden="false" customHeight="true" outlineLevel="0" collapsed="false">
      <c r="A771" s="189" t="str">
        <f aca="false">'☆掛負収入'!A771</f>
        <v>高速交通（株）</v>
      </c>
      <c r="B771" s="464" t="n">
        <f aca="false">'☆掛負収入'!B771</f>
        <v>145485</v>
      </c>
      <c r="C771" s="466" t="n">
        <f aca="false">'☆掛負収入'!C771</f>
        <v>11925</v>
      </c>
      <c r="D771" s="452" t="n">
        <f aca="false">'☆掛負収入'!D771</f>
        <v>145485</v>
      </c>
      <c r="E771" s="462" t="n">
        <f aca="false">'☆掛負収入'!E771</f>
        <v>11925</v>
      </c>
      <c r="F771" s="454" t="n">
        <f aca="false">'☆掛負収入'!F771</f>
        <v>149</v>
      </c>
      <c r="G771" s="366" t="n">
        <f aca="false">SUM(B771:F771)</f>
        <v>314969</v>
      </c>
      <c r="H771" s="640"/>
      <c r="I771" s="640"/>
      <c r="J771" s="640"/>
      <c r="K771" s="640"/>
      <c r="L771" s="640"/>
      <c r="M771" s="640"/>
      <c r="N771" s="640"/>
      <c r="O771" s="640"/>
      <c r="P771" s="640"/>
    </row>
    <row r="772" customFormat="false" ht="18.75" hidden="false" customHeight="true" outlineLevel="0" collapsed="false">
      <c r="A772" s="641" t="s">
        <v>201</v>
      </c>
      <c r="B772" s="464" t="n">
        <f aca="false">'☆掛負収入'!B772</f>
        <v>53985</v>
      </c>
      <c r="C772" s="466" t="n">
        <f aca="false">'☆掛負収入'!C772</f>
        <v>4425</v>
      </c>
      <c r="D772" s="452" t="n">
        <f aca="false">'☆掛負収入'!D772</f>
        <v>53985</v>
      </c>
      <c r="E772" s="462" t="n">
        <f aca="false">'☆掛負収入'!E772</f>
        <v>4425</v>
      </c>
      <c r="F772" s="454" t="n">
        <f aca="false">'☆掛負収入'!F772</f>
        <v>55</v>
      </c>
      <c r="G772" s="366" t="n">
        <f aca="false">SUM(B772:F772)</f>
        <v>116875</v>
      </c>
      <c r="H772" s="640"/>
      <c r="I772" s="640"/>
      <c r="J772" s="640"/>
      <c r="K772" s="640"/>
      <c r="L772" s="640"/>
      <c r="M772" s="640"/>
      <c r="N772" s="640"/>
      <c r="O772" s="640"/>
      <c r="P772" s="640"/>
    </row>
    <row r="773" customFormat="false" ht="18.75" hidden="false" customHeight="true" outlineLevel="0" collapsed="false">
      <c r="A773" s="171" t="str">
        <f aca="false">'☆掛負収入'!A773</f>
        <v>小　計</v>
      </c>
      <c r="B773" s="172" t="n">
        <f aca="false">SUM(B771:B772)</f>
        <v>199470</v>
      </c>
      <c r="C773" s="175" t="n">
        <f aca="false">SUM(C769:C772)</f>
        <v>16350</v>
      </c>
      <c r="D773" s="656" t="n">
        <f aca="false">SUM(D769:D772)</f>
        <v>199470</v>
      </c>
      <c r="E773" s="174" t="n">
        <f aca="false">SUM(E769:E772)</f>
        <v>16350</v>
      </c>
      <c r="F773" s="176" t="n">
        <f aca="false">SUM(F769:F772)</f>
        <v>204</v>
      </c>
      <c r="G773" s="175" t="n">
        <f aca="false">SUM(B773:F773)</f>
        <v>431844</v>
      </c>
      <c r="H773" s="640"/>
      <c r="I773" s="640"/>
      <c r="J773" s="640"/>
      <c r="K773" s="640"/>
      <c r="L773" s="640"/>
      <c r="M773" s="640"/>
      <c r="N773" s="640"/>
      <c r="O773" s="640"/>
      <c r="P773" s="640"/>
    </row>
    <row r="774" customFormat="false" ht="18.75" hidden="false" customHeight="true" outlineLevel="0" collapsed="false">
      <c r="A774" s="100" t="str">
        <f aca="false">'☆掛負収入'!A774</f>
        <v>市職員労働組合</v>
      </c>
      <c r="B774" s="449" t="n">
        <f aca="false">'☆掛負収入'!B774</f>
        <v>29280</v>
      </c>
      <c r="C774" s="223" t="n">
        <f aca="false">'☆掛負収入'!C774</f>
        <v>2400</v>
      </c>
      <c r="D774" s="445" t="n">
        <f aca="false">'☆掛負収入'!D774</f>
        <v>29280</v>
      </c>
      <c r="E774" s="463" t="n">
        <f aca="false">'☆掛負収入'!E774</f>
        <v>2400</v>
      </c>
      <c r="F774" s="196"/>
      <c r="G774" s="181" t="n">
        <f aca="false">SUM(B774:F774)</f>
        <v>63360</v>
      </c>
      <c r="H774" s="594" t="n">
        <f aca="false">'☆掛負収入'!H774</f>
        <v>17603</v>
      </c>
      <c r="I774" s="424" t="n">
        <f aca="false">'☆掛負収入'!I774</f>
        <v>17635</v>
      </c>
      <c r="J774" s="135" t="n">
        <f aca="false">SUM(H774:I774)</f>
        <v>35238</v>
      </c>
      <c r="K774" s="451" t="n">
        <f aca="false">'☆掛負収入'!K774</f>
        <v>2528</v>
      </c>
      <c r="L774" s="462" t="n">
        <f aca="false">'☆掛負収入'!L774</f>
        <v>2528</v>
      </c>
      <c r="M774" s="446" t="n">
        <f aca="false">SUM(K774:L774)</f>
        <v>5056</v>
      </c>
      <c r="N774" s="451" t="n">
        <f aca="false">'☆掛負収入'!N774</f>
        <v>1</v>
      </c>
      <c r="O774" s="462" t="n">
        <f aca="false">'☆掛負収入'!O774</f>
        <v>1</v>
      </c>
      <c r="P774" s="446" t="n">
        <f aca="false">SUM(N774:O774)</f>
        <v>2</v>
      </c>
    </row>
    <row r="775" customFormat="false" ht="18.75" hidden="false" customHeight="true" outlineLevel="0" collapsed="false">
      <c r="A775" s="100" t="str">
        <f aca="false">'☆掛負収入'!A775</f>
        <v>自治労労働組合</v>
      </c>
      <c r="B775" s="449" t="n">
        <f aca="false">'☆掛負収入'!B775</f>
        <v>0</v>
      </c>
      <c r="C775" s="377" t="n">
        <f aca="false">'☆掛負収入'!C775</f>
        <v>0</v>
      </c>
      <c r="D775" s="449" t="n">
        <f aca="false">'☆掛負収入'!D775</f>
        <v>0</v>
      </c>
      <c r="E775" s="463" t="n">
        <f aca="false">'☆掛負収入'!E775</f>
        <v>0</v>
      </c>
      <c r="F775" s="196"/>
      <c r="G775" s="181" t="n">
        <f aca="false">SUM(B775:F775)</f>
        <v>0</v>
      </c>
      <c r="H775" s="594" t="n">
        <f aca="false">'☆掛負収入'!H775</f>
        <v>0</v>
      </c>
      <c r="I775" s="424" t="n">
        <f aca="false">'☆掛負収入'!I775</f>
        <v>0</v>
      </c>
      <c r="J775" s="135" t="n">
        <f aca="false">SUM(H775:I775)</f>
        <v>0</v>
      </c>
      <c r="K775" s="594" t="n">
        <f aca="false">'☆掛負収入'!K775</f>
        <v>0</v>
      </c>
      <c r="L775" s="424" t="n">
        <f aca="false">'☆掛負収入'!L775</f>
        <v>0</v>
      </c>
      <c r="M775" s="135" t="n">
        <f aca="false">SUM(K775:L775)</f>
        <v>0</v>
      </c>
      <c r="N775" s="594" t="n">
        <f aca="false">'☆掛負収入'!N775</f>
        <v>0</v>
      </c>
      <c r="O775" s="424" t="n">
        <f aca="false">'☆掛負収入'!O775</f>
        <v>0</v>
      </c>
      <c r="P775" s="135" t="n">
        <f aca="false">SUM(N775:O775)</f>
        <v>0</v>
      </c>
    </row>
    <row r="776" customFormat="false" ht="18.75" hidden="false" customHeight="true" outlineLevel="0" collapsed="false">
      <c r="A776" s="100" t="str">
        <f aca="false">'☆掛負収入'!A776</f>
        <v>病院労働組合</v>
      </c>
      <c r="B776" s="449" t="n">
        <f aca="false">'☆掛負収入'!B776</f>
        <v>27450</v>
      </c>
      <c r="C776" s="377" t="n">
        <f aca="false">'☆掛負収入'!C776</f>
        <v>2250</v>
      </c>
      <c r="D776" s="449" t="n">
        <f aca="false">'☆掛負収入'!D776</f>
        <v>27450</v>
      </c>
      <c r="E776" s="463" t="n">
        <f aca="false">'☆掛負収入'!E776</f>
        <v>2250</v>
      </c>
      <c r="F776" s="196"/>
      <c r="G776" s="181" t="n">
        <f aca="false">SUM(B776:F776)</f>
        <v>59400</v>
      </c>
      <c r="H776" s="594" t="n">
        <f aca="false">'☆掛負収入'!H776</f>
        <v>33006</v>
      </c>
      <c r="I776" s="424" t="n">
        <f aca="false">'☆掛負収入'!I776</f>
        <v>33066</v>
      </c>
      <c r="J776" s="135" t="n">
        <f aca="false">SUM(H776:I776)</f>
        <v>66072</v>
      </c>
      <c r="K776" s="594" t="n">
        <f aca="false">'☆掛負収入'!K776</f>
        <v>2370</v>
      </c>
      <c r="L776" s="424" t="n">
        <f aca="false">'☆掛負収入'!L776</f>
        <v>2370</v>
      </c>
      <c r="M776" s="135" t="n">
        <f aca="false">SUM(K776:L776)</f>
        <v>4740</v>
      </c>
      <c r="N776" s="594" t="n">
        <f aca="false">'☆掛負収入'!N776</f>
        <v>1</v>
      </c>
      <c r="O776" s="424" t="n">
        <f aca="false">'☆掛負収入'!O776</f>
        <v>1</v>
      </c>
      <c r="P776" s="135" t="n">
        <f aca="false">SUM(N776:O776)</f>
        <v>2</v>
      </c>
    </row>
    <row r="777" customFormat="false" ht="18.75" hidden="false" customHeight="true" outlineLevel="0" collapsed="false">
      <c r="A777" s="277" t="str">
        <f aca="false">'☆掛負収入'!A777</f>
        <v>水道労働組合</v>
      </c>
      <c r="B777" s="648"/>
      <c r="C777" s="419"/>
      <c r="D777" s="648"/>
      <c r="E777" s="598"/>
      <c r="F777" s="271"/>
      <c r="G777" s="181" t="n">
        <f aca="false">SUM(B777:F777)</f>
        <v>0</v>
      </c>
      <c r="H777" s="649"/>
      <c r="I777" s="650"/>
      <c r="J777" s="135" t="n">
        <f aca="false">SUM(H777:I777)</f>
        <v>0</v>
      </c>
      <c r="K777" s="651"/>
      <c r="L777" s="652"/>
      <c r="M777" s="135" t="n">
        <f aca="false">SUM(K777:L777)</f>
        <v>0</v>
      </c>
      <c r="N777" s="651"/>
      <c r="O777" s="652"/>
      <c r="P777" s="135" t="n">
        <f aca="false">SUM(N777:O777)</f>
        <v>0</v>
      </c>
    </row>
    <row r="778" customFormat="false" ht="18.75" hidden="false" customHeight="true" outlineLevel="0" collapsed="false">
      <c r="A778" s="171" t="str">
        <f aca="false">'☆掛負収入'!A778</f>
        <v>小　計</v>
      </c>
      <c r="B778" s="404" t="n">
        <f aca="false">SUM(B774:B777)</f>
        <v>56730</v>
      </c>
      <c r="C778" s="175" t="n">
        <f aca="false">SUM(C774:C777)</f>
        <v>4650</v>
      </c>
      <c r="D778" s="404" t="n">
        <f aca="false">SUM(D774:D777)</f>
        <v>56730</v>
      </c>
      <c r="E778" s="174" t="n">
        <f aca="false">SUM(E774:E777)</f>
        <v>4650</v>
      </c>
      <c r="F778" s="173" t="n">
        <f aca="false">SUM(F774:F777)</f>
        <v>0</v>
      </c>
      <c r="G778" s="172" t="n">
        <f aca="false">SUM(B778:F778)</f>
        <v>122760</v>
      </c>
      <c r="H778" s="404" t="n">
        <f aca="false">SUM(H774:H777)</f>
        <v>50609</v>
      </c>
      <c r="I778" s="174" t="n">
        <f aca="false">SUM(I774:I777)</f>
        <v>50701</v>
      </c>
      <c r="J778" s="175" t="n">
        <f aca="false">SUM(H778:I778)</f>
        <v>101310</v>
      </c>
      <c r="K778" s="172" t="n">
        <f aca="false">SUM(K774:K777)</f>
        <v>4898</v>
      </c>
      <c r="L778" s="173" t="n">
        <f aca="false">SUM(L774:L777)</f>
        <v>4898</v>
      </c>
      <c r="M778" s="175" t="n">
        <f aca="false">SUM(K778:L778)</f>
        <v>9796</v>
      </c>
      <c r="N778" s="172" t="n">
        <f aca="false">SUM(N774:N777)</f>
        <v>2</v>
      </c>
      <c r="O778" s="173" t="n">
        <f aca="false">SUM(O774:O777)</f>
        <v>2</v>
      </c>
      <c r="P778" s="175" t="n">
        <f aca="false">SUM(N778:O778)</f>
        <v>4</v>
      </c>
    </row>
    <row r="779" customFormat="false" ht="18.75" hidden="false" customHeight="true" outlineLevel="0" collapsed="false">
      <c r="A779" s="277" t="str">
        <f aca="false">'☆掛負収入'!A779</f>
        <v>任意継続組合員</v>
      </c>
      <c r="B779" s="256"/>
      <c r="C779" s="498"/>
      <c r="D779" s="499"/>
      <c r="E779" s="500"/>
      <c r="F779" s="271"/>
      <c r="G779" s="268"/>
      <c r="H779" s="653"/>
      <c r="I779" s="257"/>
      <c r="J779" s="258"/>
      <c r="K779" s="499"/>
      <c r="L779" s="654"/>
      <c r="M779" s="267"/>
      <c r="N779" s="499"/>
      <c r="O779" s="654"/>
      <c r="P779" s="267"/>
    </row>
    <row r="780" customFormat="false" ht="30" hidden="false" customHeight="true" outlineLevel="0" collapsed="false">
      <c r="A780" s="655" t="str">
        <f aca="false">'☆掛負収入'!A780</f>
        <v>総　　計</v>
      </c>
      <c r="B780" s="404" t="n">
        <f aca="false">SUM(B737+B768+B773+B778)</f>
        <v>3029565</v>
      </c>
      <c r="C780" s="175" t="n">
        <f aca="false">SUM(C737+C768+C773+C778)</f>
        <v>248325</v>
      </c>
      <c r="D780" s="656" t="n">
        <f aca="false">SUM(D737+D768+D773+D778)</f>
        <v>9020985</v>
      </c>
      <c r="E780" s="174" t="n">
        <f aca="false">SUM(E737+E768+E773+E778)</f>
        <v>739425</v>
      </c>
      <c r="F780" s="176" t="n">
        <f aca="false">SUM(F737+F768+F773+F778)</f>
        <v>9441</v>
      </c>
      <c r="G780" s="172" t="n">
        <f aca="false">SUM(B780:F780)</f>
        <v>13047741</v>
      </c>
      <c r="H780" s="404" t="n">
        <f aca="false">SUM(H737+H768+H773+H778+H779)</f>
        <v>1730590</v>
      </c>
      <c r="I780" s="174" t="n">
        <f aca="false">SUM(I737+I768+I773+I778+I779)</f>
        <v>5491906</v>
      </c>
      <c r="J780" s="175" t="n">
        <f aca="false">SUM(H780:I780)</f>
        <v>7222496</v>
      </c>
      <c r="K780" s="172" t="n">
        <f aca="false">K737+K768+K773+K778+K779</f>
        <v>158553</v>
      </c>
      <c r="L780" s="173" t="n">
        <f aca="false">L737+L768+L773+L778</f>
        <v>595186</v>
      </c>
      <c r="M780" s="175" t="n">
        <f aca="false">SUM(K780:L780)</f>
        <v>753739</v>
      </c>
      <c r="N780" s="172" t="n">
        <f aca="false">N737+N768+N773+N778+N779</f>
        <v>11</v>
      </c>
      <c r="O780" s="173" t="n">
        <f aca="false">O737+O768+O773+O778</f>
        <v>22</v>
      </c>
      <c r="P780" s="175" t="n">
        <f aca="false">SUM(N780:O780)</f>
        <v>33</v>
      </c>
    </row>
    <row r="781" customFormat="false" ht="18.75" hidden="false" customHeight="true" outlineLevel="0" collapsed="false">
      <c r="A781" s="315"/>
      <c r="B781" s="316"/>
      <c r="C781" s="316"/>
      <c r="D781" s="316"/>
      <c r="E781" s="316"/>
      <c r="F781" s="316"/>
      <c r="G781" s="316"/>
      <c r="H781" s="316"/>
      <c r="I781" s="316"/>
      <c r="J781" s="316"/>
      <c r="K781" s="316"/>
      <c r="L781" s="316"/>
      <c r="M781" s="316"/>
      <c r="N781" s="316"/>
      <c r="O781" s="316"/>
      <c r="P781" s="316"/>
    </row>
    <row r="782" customFormat="false" ht="30" hidden="false" customHeight="true" outlineLevel="0" collapsed="false">
      <c r="A782" s="295"/>
      <c r="B782" s="391" t="n">
        <f aca="false">'☆掛負収入'!B782</f>
        <v>46446</v>
      </c>
      <c r="C782" s="391" t="n">
        <f aca="false">'☆掛負収入'!C782</f>
        <v>0</v>
      </c>
      <c r="D782" s="391" t="n">
        <f aca="false">'☆掛負収入'!D782</f>
        <v>0</v>
      </c>
      <c r="E782" s="391" t="n">
        <f aca="false">'☆掛負収入'!E782</f>
        <v>0</v>
      </c>
      <c r="F782" s="391" t="n">
        <f aca="false">'☆掛負収入'!F782</f>
        <v>0</v>
      </c>
      <c r="G782" s="391" t="n">
        <f aca="false">'☆掛負収入'!G782</f>
        <v>0</v>
      </c>
      <c r="H782" s="391" t="n">
        <f aca="false">'☆掛負収入'!H782</f>
        <v>46446</v>
      </c>
      <c r="I782" s="391" t="n">
        <f aca="false">'☆掛負収入'!I782</f>
        <v>0</v>
      </c>
      <c r="J782" s="391" t="n">
        <f aca="false">'☆掛負収入'!J782</f>
        <v>0</v>
      </c>
      <c r="K782" s="391" t="n">
        <f aca="false">'☆掛負収入'!K782</f>
        <v>46446</v>
      </c>
      <c r="L782" s="391" t="n">
        <f aca="false">'☆掛負収入'!L782</f>
        <v>0</v>
      </c>
      <c r="M782" s="391" t="n">
        <f aca="false">'☆掛負収入'!M782</f>
        <v>0</v>
      </c>
      <c r="N782" s="391" t="n">
        <f aca="false">'☆掛負収入'!N782</f>
        <v>46446</v>
      </c>
      <c r="O782" s="391" t="n">
        <f aca="false">'☆掛負収入'!O782</f>
        <v>0</v>
      </c>
      <c r="P782" s="391" t="n">
        <f aca="false">'☆掛負収入'!P782</f>
        <v>0</v>
      </c>
    </row>
    <row r="783" customFormat="false" ht="22.5" hidden="false" customHeight="true" outlineLevel="0" collapsed="false">
      <c r="A783" s="89" t="str">
        <f aca="false">'☆掛負収入'!A783</f>
        <v>区　　分</v>
      </c>
      <c r="B783" s="89" t="str">
        <f aca="false">'☆掛負収入'!B783</f>
        <v>長　期　経　理</v>
      </c>
      <c r="C783" s="89" t="n">
        <f aca="false">'☆掛負収入'!C783</f>
        <v>0</v>
      </c>
      <c r="D783" s="89" t="n">
        <f aca="false">'☆掛負収入'!D783</f>
        <v>0</v>
      </c>
      <c r="E783" s="89" t="n">
        <f aca="false">'☆掛負収入'!E783</f>
        <v>0</v>
      </c>
      <c r="F783" s="89" t="n">
        <f aca="false">'☆掛負収入'!F783</f>
        <v>0</v>
      </c>
      <c r="G783" s="89" t="n">
        <f aca="false">'☆掛負収入'!G783</f>
        <v>0</v>
      </c>
      <c r="H783" s="91" t="str">
        <f aca="false">'☆掛負収入'!H783</f>
        <v>短　期　経　理</v>
      </c>
      <c r="I783" s="91" t="n">
        <f aca="false">'☆掛負収入'!I783</f>
        <v>0</v>
      </c>
      <c r="J783" s="91" t="n">
        <f aca="false">'☆掛負収入'!J783</f>
        <v>0</v>
      </c>
      <c r="K783" s="91" t="str">
        <f aca="false">'☆掛負収入'!K783</f>
        <v>介　護　納　付　金</v>
      </c>
      <c r="L783" s="91" t="n">
        <f aca="false">'☆掛負収入'!L783</f>
        <v>0</v>
      </c>
      <c r="M783" s="91" t="n">
        <f aca="false">'☆掛負収入'!M783</f>
        <v>0</v>
      </c>
      <c r="N783" s="91" t="str">
        <f aca="false">'☆掛負収入'!N783</f>
        <v>子ども・子育て支援納付金</v>
      </c>
      <c r="O783" s="91" t="n">
        <f aca="false">'☆掛負収入'!O783</f>
        <v>0</v>
      </c>
      <c r="P783" s="91" t="n">
        <f aca="false">'☆掛負収入'!P783</f>
        <v>0</v>
      </c>
    </row>
    <row r="784" customFormat="false" ht="22.5" hidden="false" customHeight="true" outlineLevel="0" collapsed="false">
      <c r="A784" s="89" t="n">
        <f aca="false">'☆掛負収入'!A784</f>
        <v>0</v>
      </c>
      <c r="B784" s="92" t="str">
        <f aca="false">'☆掛負収入'!B784</f>
        <v>組合員負担分</v>
      </c>
      <c r="C784" s="92" t="n">
        <f aca="false">'☆掛負収入'!C784</f>
        <v>0</v>
      </c>
      <c r="D784" s="92" t="str">
        <f aca="false">'☆掛負収入'!D784</f>
        <v>事業主負担分</v>
      </c>
      <c r="E784" s="92" t="n">
        <f aca="false">'☆掛負収入'!E784</f>
        <v>0</v>
      </c>
      <c r="F784" s="92" t="n">
        <f aca="false">'☆掛負収入'!F784</f>
        <v>0</v>
      </c>
      <c r="G784" s="586" t="str">
        <f aca="false">'☆掛負収入'!G784</f>
        <v>計</v>
      </c>
      <c r="H784" s="96" t="str">
        <f aca="false">'☆掛負収入'!H784</f>
        <v>掛　金</v>
      </c>
      <c r="I784" s="94" t="str">
        <f aca="false">'☆掛負収入'!I784</f>
        <v>負担金</v>
      </c>
      <c r="J784" s="95" t="str">
        <f aca="false">'☆掛負収入'!J784</f>
        <v>計</v>
      </c>
      <c r="K784" s="96" t="str">
        <f aca="false">'☆掛負収入'!K784</f>
        <v>掛　金</v>
      </c>
      <c r="L784" s="94" t="str">
        <f aca="false">'☆掛負収入'!L784</f>
        <v>負担金</v>
      </c>
      <c r="M784" s="95" t="str">
        <f aca="false">'☆掛負収入'!M784</f>
        <v>計</v>
      </c>
      <c r="N784" s="96" t="str">
        <f aca="false">'☆掛負収入'!N784</f>
        <v>掛　金</v>
      </c>
      <c r="O784" s="94" t="str">
        <f aca="false">'☆掛負収入'!O784</f>
        <v>負担金</v>
      </c>
      <c r="P784" s="95" t="str">
        <f aca="false">'☆掛負収入'!P784</f>
        <v>計</v>
      </c>
    </row>
    <row r="785" customFormat="false" ht="22.5" hidden="false" customHeight="true" outlineLevel="0" collapsed="false">
      <c r="A785" s="89" t="n">
        <f aca="false">'☆掛負収入'!A785</f>
        <v>0</v>
      </c>
      <c r="B785" s="587" t="str">
        <f aca="false">'☆掛負収入'!B785</f>
        <v>厚生年金保険料</v>
      </c>
      <c r="C785" s="588" t="str">
        <f aca="false">'☆掛負収入'!C785</f>
        <v>退職等年金掛金</v>
      </c>
      <c r="D785" s="589" t="str">
        <f aca="false">'☆掛負収入'!D785</f>
        <v>厚生年金保険料</v>
      </c>
      <c r="E785" s="589" t="str">
        <f aca="false">'☆掛負収入'!E785</f>
        <v>退職等年金負担金</v>
      </c>
      <c r="F785" s="590" t="str">
        <f aca="false">'☆掛負収入'!F785</f>
        <v>経過的長期</v>
      </c>
      <c r="G785" s="586" t="n">
        <f aca="false">'☆掛負収入'!G785</f>
        <v>0</v>
      </c>
      <c r="H785" s="96" t="n">
        <f aca="false">'☆掛負収入'!H785</f>
        <v>0</v>
      </c>
      <c r="I785" s="94" t="n">
        <f aca="false">'☆掛負収入'!I785</f>
        <v>0</v>
      </c>
      <c r="J785" s="95" t="n">
        <f aca="false">'☆掛負収入'!J785</f>
        <v>0</v>
      </c>
      <c r="K785" s="96" t="n">
        <f aca="false">'☆掛負収入'!K785</f>
        <v>0</v>
      </c>
      <c r="L785" s="94" t="n">
        <f aca="false">'☆掛負収入'!L785</f>
        <v>0</v>
      </c>
      <c r="M785" s="95" t="n">
        <f aca="false">'☆掛負収入'!M785</f>
        <v>0</v>
      </c>
      <c r="N785" s="96" t="n">
        <f aca="false">'☆掛負収入'!N785</f>
        <v>0</v>
      </c>
      <c r="O785" s="94" t="n">
        <f aca="false">'☆掛負収入'!O785</f>
        <v>0</v>
      </c>
      <c r="P785" s="95" t="n">
        <f aca="false">'☆掛負収入'!P785</f>
        <v>0</v>
      </c>
    </row>
    <row r="786" customFormat="false" ht="18.75" hidden="false" customHeight="true" outlineLevel="0" collapsed="false">
      <c r="A786" s="100" t="str">
        <f aca="false">'☆掛負収入'!A786</f>
        <v>市長部局</v>
      </c>
      <c r="B786" s="591"/>
      <c r="C786" s="364"/>
      <c r="D786" s="592"/>
      <c r="E786" s="592"/>
      <c r="F786" s="184"/>
      <c r="G786" s="364"/>
      <c r="H786" s="591"/>
      <c r="I786" s="593"/>
      <c r="J786" s="181"/>
      <c r="K786" s="594"/>
      <c r="L786" s="593"/>
      <c r="M786" s="181"/>
      <c r="N786" s="594"/>
      <c r="O786" s="593"/>
      <c r="P786" s="181"/>
    </row>
    <row r="787" customFormat="false" ht="18.75" hidden="false" customHeight="true" outlineLevel="0" collapsed="false">
      <c r="A787" s="100" t="str">
        <f aca="false">'☆掛負収入'!A787</f>
        <v>下水道局</v>
      </c>
      <c r="B787" s="406"/>
      <c r="C787" s="181"/>
      <c r="D787" s="592"/>
      <c r="E787" s="592"/>
      <c r="F787" s="135"/>
      <c r="G787" s="181"/>
      <c r="H787" s="594"/>
      <c r="I787" s="424"/>
      <c r="J787" s="135"/>
      <c r="K787" s="595"/>
      <c r="L787" s="596"/>
      <c r="M787" s="135"/>
      <c r="N787" s="595"/>
      <c r="O787" s="596"/>
      <c r="P787" s="135"/>
    </row>
    <row r="788" customFormat="false" ht="18.75" hidden="false" customHeight="true" outlineLevel="0" collapsed="false">
      <c r="A788" s="100" t="str">
        <f aca="false">'☆掛負収入'!A788</f>
        <v>消防局</v>
      </c>
      <c r="B788" s="406"/>
      <c r="C788" s="181"/>
      <c r="D788" s="592"/>
      <c r="E788" s="592"/>
      <c r="F788" s="135"/>
      <c r="G788" s="181"/>
      <c r="H788" s="595"/>
      <c r="I788" s="439"/>
      <c r="J788" s="135"/>
      <c r="K788" s="595"/>
      <c r="L788" s="439"/>
      <c r="M788" s="135"/>
      <c r="N788" s="595"/>
      <c r="O788" s="439"/>
      <c r="P788" s="135"/>
    </row>
    <row r="789" customFormat="false" ht="18.75" hidden="false" customHeight="true" outlineLevel="0" collapsed="false">
      <c r="A789" s="100" t="str">
        <f aca="false">'☆掛負収入'!A789</f>
        <v>議会事務局</v>
      </c>
      <c r="B789" s="406"/>
      <c r="C789" s="181"/>
      <c r="D789" s="592"/>
      <c r="E789" s="592"/>
      <c r="F789" s="135"/>
      <c r="G789" s="181"/>
      <c r="H789" s="406"/>
      <c r="I789" s="439"/>
      <c r="J789" s="135"/>
      <c r="K789" s="406"/>
      <c r="L789" s="439"/>
      <c r="M789" s="135"/>
      <c r="N789" s="406"/>
      <c r="O789" s="439"/>
      <c r="P789" s="135"/>
    </row>
    <row r="790" customFormat="false" ht="18.75" hidden="false" customHeight="true" outlineLevel="0" collapsed="false">
      <c r="A790" s="100" t="str">
        <f aca="false">'☆掛負収入'!A790</f>
        <v>教育委員会（総務課）</v>
      </c>
      <c r="B790" s="406"/>
      <c r="C790" s="181"/>
      <c r="D790" s="592"/>
      <c r="E790" s="592"/>
      <c r="F790" s="135"/>
      <c r="G790" s="181"/>
      <c r="H790" s="406"/>
      <c r="I790" s="439"/>
      <c r="J790" s="135"/>
      <c r="K790" s="406"/>
      <c r="L790" s="439"/>
      <c r="M790" s="135"/>
      <c r="N790" s="406"/>
      <c r="O790" s="439"/>
      <c r="P790" s="135"/>
    </row>
    <row r="791" customFormat="false" ht="18.75" hidden="false" customHeight="true" outlineLevel="0" collapsed="false">
      <c r="A791" s="100" t="str">
        <f aca="false">'☆掛負収入'!A791</f>
        <v>選挙管理委員会</v>
      </c>
      <c r="B791" s="406"/>
      <c r="C791" s="181"/>
      <c r="D791" s="592"/>
      <c r="E791" s="592"/>
      <c r="F791" s="135"/>
      <c r="G791" s="181"/>
      <c r="H791" s="594"/>
      <c r="I791" s="424"/>
      <c r="J791" s="135"/>
      <c r="K791" s="406"/>
      <c r="L791" s="439"/>
      <c r="M791" s="135"/>
      <c r="N791" s="406"/>
      <c r="O791" s="439"/>
      <c r="P791" s="135"/>
    </row>
    <row r="792" customFormat="false" ht="18.75" hidden="false" customHeight="true" outlineLevel="0" collapsed="false">
      <c r="A792" s="100" t="str">
        <f aca="false">'☆掛負収入'!A792</f>
        <v>人事委員会</v>
      </c>
      <c r="B792" s="406"/>
      <c r="C792" s="181"/>
      <c r="D792" s="592"/>
      <c r="E792" s="592"/>
      <c r="F792" s="135"/>
      <c r="G792" s="181"/>
      <c r="H792" s="594"/>
      <c r="I792" s="424"/>
      <c r="J792" s="135"/>
      <c r="K792" s="594"/>
      <c r="L792" s="424"/>
      <c r="M792" s="135"/>
      <c r="N792" s="594"/>
      <c r="O792" s="424"/>
      <c r="P792" s="135"/>
    </row>
    <row r="793" customFormat="false" ht="18.75" hidden="false" customHeight="true" outlineLevel="0" collapsed="false">
      <c r="A793" s="100" t="str">
        <f aca="false">'☆掛負収入'!A793</f>
        <v>監査事務局</v>
      </c>
      <c r="B793" s="406"/>
      <c r="C793" s="181"/>
      <c r="D793" s="592"/>
      <c r="E793" s="592"/>
      <c r="F793" s="135"/>
      <c r="G793" s="181"/>
      <c r="H793" s="594"/>
      <c r="I793" s="424"/>
      <c r="J793" s="135"/>
      <c r="K793" s="594"/>
      <c r="L793" s="424"/>
      <c r="M793" s="135"/>
      <c r="N793" s="594"/>
      <c r="O793" s="424"/>
      <c r="P793" s="135"/>
    </row>
    <row r="794" customFormat="false" ht="18.75" hidden="false" customHeight="true" outlineLevel="0" collapsed="false">
      <c r="A794" s="100" t="str">
        <f aca="false">'☆掛負収入'!A794</f>
        <v>農業委員会</v>
      </c>
      <c r="B794" s="406"/>
      <c r="C794" s="181"/>
      <c r="D794" s="592"/>
      <c r="E794" s="592"/>
      <c r="F794" s="135"/>
      <c r="G794" s="181"/>
      <c r="H794" s="594"/>
      <c r="I794" s="424"/>
      <c r="J794" s="135"/>
      <c r="K794" s="594"/>
      <c r="L794" s="424"/>
      <c r="M794" s="135"/>
      <c r="N794" s="594"/>
      <c r="O794" s="424"/>
      <c r="P794" s="135"/>
    </row>
    <row r="795" customFormat="false" ht="18.75" hidden="false" customHeight="true" outlineLevel="0" collapsed="false">
      <c r="A795" s="100" t="str">
        <f aca="false">'☆掛負収入'!A795</f>
        <v>水道局</v>
      </c>
      <c r="B795" s="406"/>
      <c r="C795" s="181"/>
      <c r="D795" s="592"/>
      <c r="E795" s="592"/>
      <c r="F795" s="135"/>
      <c r="G795" s="181"/>
      <c r="H795" s="594"/>
      <c r="I795" s="424"/>
      <c r="J795" s="135"/>
      <c r="K795" s="594"/>
      <c r="L795" s="424"/>
      <c r="M795" s="135"/>
      <c r="N795" s="594"/>
      <c r="O795" s="424"/>
      <c r="P795" s="135"/>
    </row>
    <row r="796" customFormat="false" ht="18.75" hidden="false" customHeight="true" outlineLevel="0" collapsed="false">
      <c r="A796" s="121" t="str">
        <f aca="false">'☆掛負収入'!A796</f>
        <v>医療政策課(安芸市民)</v>
      </c>
      <c r="B796" s="595"/>
      <c r="C796" s="366"/>
      <c r="D796" s="595"/>
      <c r="E796" s="596"/>
      <c r="F796" s="393"/>
      <c r="G796" s="181"/>
      <c r="H796" s="597"/>
      <c r="I796" s="407"/>
      <c r="J796" s="135"/>
      <c r="K796" s="594"/>
      <c r="L796" s="424"/>
      <c r="M796" s="135"/>
      <c r="N796" s="594"/>
      <c r="O796" s="424"/>
      <c r="P796" s="135"/>
    </row>
    <row r="797" customFormat="false" ht="18.75" hidden="false" customHeight="true" outlineLevel="0" collapsed="false">
      <c r="A797" s="121" t="str">
        <f aca="false">'☆掛負収入'!A797</f>
        <v>教育委員会（教育給与課）</v>
      </c>
      <c r="B797" s="595"/>
      <c r="C797" s="181"/>
      <c r="D797" s="406"/>
      <c r="E797" s="598"/>
      <c r="F797" s="284"/>
      <c r="G797" s="181"/>
      <c r="H797" s="594"/>
      <c r="I797" s="424"/>
      <c r="J797" s="135"/>
      <c r="K797" s="594"/>
      <c r="L797" s="424"/>
      <c r="M797" s="135"/>
      <c r="N797" s="594"/>
      <c r="O797" s="424"/>
      <c r="P797" s="135"/>
    </row>
    <row r="798" customFormat="false" ht="18.75" hidden="true" customHeight="true" outlineLevel="0" collapsed="false">
      <c r="A798" s="599"/>
      <c r="B798" s="600"/>
      <c r="C798" s="210"/>
      <c r="D798" s="600"/>
      <c r="E798" s="601"/>
      <c r="F798" s="196"/>
      <c r="G798" s="687"/>
      <c r="H798" s="602"/>
      <c r="I798" s="603"/>
      <c r="J798" s="603"/>
      <c r="K798" s="602"/>
      <c r="L798" s="603"/>
      <c r="M798" s="195"/>
      <c r="N798" s="602"/>
      <c r="O798" s="603"/>
      <c r="P798" s="195"/>
    </row>
    <row r="799" customFormat="false" ht="18.75" hidden="true" customHeight="true" outlineLevel="0" collapsed="false">
      <c r="A799" s="604"/>
      <c r="B799" s="457"/>
      <c r="C799" s="132"/>
      <c r="D799" s="457"/>
      <c r="E799" s="458"/>
      <c r="F799" s="459"/>
      <c r="G799" s="435"/>
      <c r="H799" s="457"/>
      <c r="I799" s="458"/>
      <c r="J799" s="458"/>
      <c r="K799" s="457"/>
      <c r="L799" s="458"/>
      <c r="M799" s="130"/>
      <c r="N799" s="457"/>
      <c r="O799" s="458"/>
      <c r="P799" s="130"/>
    </row>
    <row r="800" customFormat="false" ht="18.75" hidden="true" customHeight="true" outlineLevel="0" collapsed="false">
      <c r="A800" s="604"/>
      <c r="B800" s="600"/>
      <c r="C800" s="210"/>
      <c r="D800" s="600"/>
      <c r="E800" s="601"/>
      <c r="F800" s="196"/>
      <c r="G800" s="687"/>
      <c r="H800" s="600"/>
      <c r="I800" s="601"/>
      <c r="J800" s="601"/>
      <c r="K800" s="600"/>
      <c r="L800" s="601"/>
      <c r="M800" s="696"/>
      <c r="N800" s="600"/>
      <c r="O800" s="601"/>
      <c r="P800" s="696"/>
    </row>
    <row r="801" customFormat="false" ht="18.75" hidden="true" customHeight="true" outlineLevel="0" collapsed="false">
      <c r="A801" s="605"/>
      <c r="B801" s="606"/>
      <c r="C801" s="607"/>
      <c r="D801" s="606"/>
      <c r="E801" s="490"/>
      <c r="F801" s="608"/>
      <c r="G801" s="689"/>
      <c r="H801" s="457"/>
      <c r="I801" s="609"/>
      <c r="J801" s="609"/>
      <c r="K801" s="457"/>
      <c r="L801" s="458"/>
      <c r="M801" s="130"/>
      <c r="N801" s="457"/>
      <c r="O801" s="458"/>
      <c r="P801" s="130"/>
    </row>
    <row r="802" customFormat="false" ht="18.75" hidden="false" customHeight="true" outlineLevel="0" collapsed="false">
      <c r="A802" s="171" t="str">
        <f aca="false">'☆掛負収入'!A802</f>
        <v>小　計</v>
      </c>
      <c r="B802" s="404"/>
      <c r="C802" s="174"/>
      <c r="D802" s="404"/>
      <c r="E802" s="174"/>
      <c r="F802" s="175"/>
      <c r="G802" s="176"/>
      <c r="H802" s="404"/>
      <c r="I802" s="174"/>
      <c r="J802" s="173"/>
      <c r="K802" s="404"/>
      <c r="L802" s="174"/>
      <c r="M802" s="173"/>
      <c r="N802" s="404"/>
      <c r="O802" s="174"/>
      <c r="P802" s="173"/>
    </row>
    <row r="803" customFormat="false" ht="18.75" hidden="false" customHeight="true" outlineLevel="0" collapsed="false">
      <c r="A803" s="177" t="str">
        <f aca="false">'☆掛負収入'!A803</f>
        <v>地方税共同機構</v>
      </c>
      <c r="B803" s="449" t="n">
        <f aca="false">'☆掛負収入'!B803</f>
        <v>0</v>
      </c>
      <c r="C803" s="377" t="n">
        <f aca="false">'☆掛負収入'!C803</f>
        <v>0</v>
      </c>
      <c r="D803" s="469" t="n">
        <f aca="false">'☆掛負収入'!D803</f>
        <v>0</v>
      </c>
      <c r="E803" s="463" t="n">
        <f aca="false">'☆掛負収入'!E803</f>
        <v>0</v>
      </c>
      <c r="F803" s="450" t="n">
        <f aca="false">'☆掛負収入'!F803</f>
        <v>0</v>
      </c>
      <c r="G803" s="666" t="n">
        <f aca="false">SUM(B803:F803)</f>
        <v>0</v>
      </c>
      <c r="H803" s="594" t="n">
        <f aca="false">'☆掛負収入'!H803</f>
        <v>0</v>
      </c>
      <c r="I803" s="424" t="n">
        <f aca="false">'☆掛負収入'!I803</f>
        <v>0</v>
      </c>
      <c r="J803" s="135" t="n">
        <f aca="false">SUM(H803:I803)</f>
        <v>0</v>
      </c>
      <c r="K803" s="439" t="n">
        <f aca="false">'☆掛負収入'!K803</f>
        <v>0</v>
      </c>
      <c r="L803" s="424" t="n">
        <f aca="false">'☆掛負収入'!L803</f>
        <v>0</v>
      </c>
      <c r="M803" s="135" t="n">
        <f aca="false">SUM(K803:L803)</f>
        <v>0</v>
      </c>
      <c r="N803" s="439" t="n">
        <f aca="false">'☆掛負収入'!N803</f>
        <v>0</v>
      </c>
      <c r="O803" s="424" t="n">
        <f aca="false">'☆掛負収入'!O803</f>
        <v>0</v>
      </c>
      <c r="P803" s="135" t="n">
        <f aca="false">SUM(N803:O803)</f>
        <v>0</v>
      </c>
    </row>
    <row r="804" customFormat="false" ht="18.75" hidden="false" customHeight="true" outlineLevel="0" collapsed="false">
      <c r="A804" s="100" t="str">
        <f aca="false">'☆掛負収入'!A804</f>
        <v>平和文化センター</v>
      </c>
      <c r="B804" s="449" t="n">
        <f aca="false">'☆掛負収入'!B804</f>
        <v>0</v>
      </c>
      <c r="C804" s="377" t="n">
        <f aca="false">'☆掛負収入'!C804</f>
        <v>0</v>
      </c>
      <c r="D804" s="464" t="n">
        <f aca="false">'☆掛負収入'!D804</f>
        <v>673440</v>
      </c>
      <c r="E804" s="452" t="n">
        <f aca="false">'☆掛負収入'!E804</f>
        <v>55200</v>
      </c>
      <c r="F804" s="450" t="n">
        <f aca="false">'☆掛負収入'!F804</f>
        <v>758</v>
      </c>
      <c r="G804" s="668" t="n">
        <f aca="false">SUM(B804:F804)</f>
        <v>729398</v>
      </c>
      <c r="H804" s="594" t="n">
        <f aca="false">'☆掛負収入'!H804</f>
        <v>0</v>
      </c>
      <c r="I804" s="424" t="n">
        <f aca="false">'☆掛負収入'!I804</f>
        <v>407262</v>
      </c>
      <c r="J804" s="135" t="n">
        <f aca="false">SUM(H804:I804)</f>
        <v>407262</v>
      </c>
      <c r="K804" s="439" t="n">
        <f aca="false">'☆掛負収入'!K804</f>
        <v>0</v>
      </c>
      <c r="L804" s="424" t="n">
        <f aca="false">'☆掛負収入'!L804</f>
        <v>52377</v>
      </c>
      <c r="M804" s="135" t="n">
        <f aca="false">SUM(K804:L804)</f>
        <v>52377</v>
      </c>
      <c r="N804" s="439" t="n">
        <f aca="false">'☆掛負収入'!N804</f>
        <v>0</v>
      </c>
      <c r="O804" s="424" t="n">
        <f aca="false">'☆掛負収入'!O804</f>
        <v>1</v>
      </c>
      <c r="P804" s="135" t="n">
        <f aca="false">SUM(N804:O804)</f>
        <v>1</v>
      </c>
    </row>
    <row r="805" customFormat="false" ht="18.75" hidden="false" customHeight="true" outlineLevel="0" collapsed="false">
      <c r="A805" s="100" t="str">
        <f aca="false">'☆掛負収入'!A805</f>
        <v>社会福祉事業団</v>
      </c>
      <c r="B805" s="600"/>
      <c r="C805" s="210"/>
      <c r="D805" s="451" t="n">
        <f aca="false">'☆掛負収入'!D805</f>
        <v>1886730</v>
      </c>
      <c r="E805" s="453" t="n">
        <f aca="false">'☆掛負収入'!E805</f>
        <v>154650</v>
      </c>
      <c r="F805" s="450" t="n">
        <f aca="false">'☆掛負収入'!F805</f>
        <v>1988</v>
      </c>
      <c r="G805" s="668" t="n">
        <f aca="false">SUM(B805:F805)</f>
        <v>2043368</v>
      </c>
      <c r="H805" s="602"/>
      <c r="I805" s="424" t="n">
        <f aca="false">'☆掛負収入'!I805</f>
        <v>1275306</v>
      </c>
      <c r="J805" s="135" t="n">
        <f aca="false">SUM(H805:I805)</f>
        <v>1275306</v>
      </c>
      <c r="K805" s="612"/>
      <c r="L805" s="424" t="n">
        <f aca="false">'☆掛負収入'!L805</f>
        <v>141252</v>
      </c>
      <c r="M805" s="135" t="n">
        <f aca="false">SUM(K805:L805)</f>
        <v>141252</v>
      </c>
      <c r="N805" s="612"/>
      <c r="O805" s="424" t="n">
        <f aca="false">'☆掛負収入'!O805</f>
        <v>1</v>
      </c>
      <c r="P805" s="135" t="n">
        <f aca="false">SUM(N805:O805)</f>
        <v>1</v>
      </c>
    </row>
    <row r="806" customFormat="false" ht="18.75" hidden="false" customHeight="true" outlineLevel="0" collapsed="false">
      <c r="A806" s="100" t="str">
        <f aca="false">'☆掛負収入'!A806</f>
        <v>原爆障害対策協議会</v>
      </c>
      <c r="B806" s="600"/>
      <c r="C806" s="210"/>
      <c r="D806" s="445" t="n">
        <f aca="false">'☆掛負収入'!D806</f>
        <v>48495</v>
      </c>
      <c r="E806" s="453" t="n">
        <f aca="false">'☆掛負収入'!E806</f>
        <v>3975</v>
      </c>
      <c r="F806" s="450" t="n">
        <f aca="false">'☆掛負収入'!F806</f>
        <v>49</v>
      </c>
      <c r="G806" s="668" t="n">
        <f aca="false">SUM(B806:F806)</f>
        <v>52519</v>
      </c>
      <c r="H806" s="602"/>
      <c r="I806" s="424" t="n">
        <f aca="false">'☆掛負収入'!I806</f>
        <v>29208</v>
      </c>
      <c r="J806" s="135" t="n">
        <f aca="false">SUM(H806:I806)</f>
        <v>29208</v>
      </c>
      <c r="K806" s="612"/>
      <c r="L806" s="424" t="n">
        <f aca="false">'☆掛負収入'!L806</f>
        <v>4187</v>
      </c>
      <c r="M806" s="135" t="n">
        <f aca="false">SUM(K806:L806)</f>
        <v>4187</v>
      </c>
      <c r="N806" s="612"/>
      <c r="O806" s="424" t="n">
        <f aca="false">'☆掛負収入'!O806</f>
        <v>1</v>
      </c>
      <c r="P806" s="135" t="n">
        <f aca="false">SUM(N806:O806)</f>
        <v>1</v>
      </c>
    </row>
    <row r="807" customFormat="false" ht="18.75" hidden="false" customHeight="true" outlineLevel="0" collapsed="false">
      <c r="A807" s="189" t="str">
        <f aca="false">'☆掛負収入'!A807</f>
        <v>産業振興センター</v>
      </c>
      <c r="B807" s="600"/>
      <c r="C807" s="210"/>
      <c r="D807" s="445" t="n">
        <f aca="false">'☆掛負収入'!D807</f>
        <v>425475</v>
      </c>
      <c r="E807" s="453" t="n">
        <f aca="false">'☆掛負収入'!E807</f>
        <v>34875</v>
      </c>
      <c r="F807" s="450" t="n">
        <f aca="false">'☆掛負収入'!F807</f>
        <v>435</v>
      </c>
      <c r="G807" s="668" t="n">
        <f aca="false">SUM(B807:F807)</f>
        <v>460785</v>
      </c>
      <c r="H807" s="602"/>
      <c r="I807" s="424" t="n">
        <f aca="false">'☆掛負収入'!I807</f>
        <v>256260</v>
      </c>
      <c r="J807" s="135" t="n">
        <f aca="false">SUM(H807:I807)</f>
        <v>256260</v>
      </c>
      <c r="K807" s="612"/>
      <c r="L807" s="424" t="n">
        <f aca="false">'☆掛負収入'!L807</f>
        <v>34207</v>
      </c>
      <c r="M807" s="135" t="n">
        <f aca="false">SUM(K807:L807)</f>
        <v>34207</v>
      </c>
      <c r="N807" s="612"/>
      <c r="O807" s="424" t="n">
        <f aca="false">'☆掛負収入'!O807</f>
        <v>1</v>
      </c>
      <c r="P807" s="135" t="n">
        <f aca="false">SUM(N807:O807)</f>
        <v>1</v>
      </c>
    </row>
    <row r="808" customFormat="false" ht="18.75" hidden="false" customHeight="true" outlineLevel="0" collapsed="false">
      <c r="A808" s="121" t="str">
        <f aca="false">'☆掛負収入'!A808</f>
        <v>ひろしま産業振興</v>
      </c>
      <c r="B808" s="600"/>
      <c r="C808" s="459"/>
      <c r="D808" s="445" t="n">
        <f aca="false">'☆掛負収入'!D808</f>
        <v>86010</v>
      </c>
      <c r="E808" s="453" t="n">
        <f aca="false">'☆掛負収入'!E808</f>
        <v>7050</v>
      </c>
      <c r="F808" s="456" t="n">
        <f aca="false">'☆掛負収入'!F808</f>
        <v>88</v>
      </c>
      <c r="G808" s="668" t="n">
        <f aca="false">SUM(B808:F808)</f>
        <v>93148</v>
      </c>
      <c r="H808" s="602"/>
      <c r="I808" s="407" t="n">
        <f aca="false">'☆掛負収入'!I808</f>
        <v>51803</v>
      </c>
      <c r="J808" s="135" t="n">
        <f aca="false">SUM(H808:I808)</f>
        <v>51803</v>
      </c>
      <c r="K808" s="612"/>
      <c r="L808" s="407" t="n">
        <f aca="false">'☆掛負収入'!L808</f>
        <v>7426</v>
      </c>
      <c r="M808" s="135" t="n">
        <f aca="false">SUM(K808:L808)</f>
        <v>7426</v>
      </c>
      <c r="N808" s="612"/>
      <c r="O808" s="407" t="n">
        <f aca="false">'☆掛負収入'!O808</f>
        <v>1</v>
      </c>
      <c r="P808" s="135" t="n">
        <f aca="false">SUM(N808:O808)</f>
        <v>1</v>
      </c>
    </row>
    <row r="809" customFormat="false" ht="18.75" hidden="false" customHeight="true" outlineLevel="0" collapsed="false">
      <c r="A809" s="121" t="str">
        <f aca="false">'☆掛負収入'!A809</f>
        <v>都市整備公社　市</v>
      </c>
      <c r="B809" s="600"/>
      <c r="C809" s="459"/>
      <c r="D809" s="451" t="n">
        <f aca="false">'☆掛負収入'!D809</f>
        <v>48495</v>
      </c>
      <c r="E809" s="453" t="n">
        <f aca="false">'☆掛負収入'!E809</f>
        <v>3975</v>
      </c>
      <c r="F809" s="450" t="n">
        <f aca="false">'☆掛負収入'!F809</f>
        <v>49</v>
      </c>
      <c r="G809" s="668" t="n">
        <f aca="false">SUM(B809:F809)</f>
        <v>52519</v>
      </c>
      <c r="H809" s="602"/>
      <c r="I809" s="424" t="n">
        <f aca="false">'☆掛負収入'!I809</f>
        <v>29208</v>
      </c>
      <c r="J809" s="135" t="n">
        <f aca="false">SUM(H809:I809)</f>
        <v>29208</v>
      </c>
      <c r="K809" s="612"/>
      <c r="L809" s="424" t="n">
        <f aca="false">'☆掛負収入'!L809</f>
        <v>4187</v>
      </c>
      <c r="M809" s="135" t="n">
        <f aca="false">SUM(K809:L809)</f>
        <v>4187</v>
      </c>
      <c r="N809" s="612"/>
      <c r="O809" s="424" t="n">
        <f aca="false">'☆掛負収入'!O809</f>
        <v>1</v>
      </c>
      <c r="P809" s="135" t="n">
        <f aca="false">SUM(N809:O809)</f>
        <v>1</v>
      </c>
    </row>
    <row r="810" customFormat="false" ht="18.75" hidden="false" customHeight="true" outlineLevel="0" collapsed="false">
      <c r="A810" s="192"/>
      <c r="B810" s="600"/>
      <c r="C810" s="196"/>
      <c r="D810" s="449"/>
      <c r="E810" s="453"/>
      <c r="F810" s="450"/>
      <c r="G810" s="668"/>
      <c r="H810" s="602"/>
      <c r="I810" s="424"/>
      <c r="J810" s="135"/>
      <c r="K810" s="612"/>
      <c r="L810" s="424"/>
      <c r="M810" s="135" t="n">
        <f aca="false">SUM(K810:L810)</f>
        <v>0</v>
      </c>
      <c r="N810" s="612"/>
      <c r="O810" s="424"/>
      <c r="P810" s="135" t="n">
        <f aca="false">SUM(N810:O810)</f>
        <v>0</v>
      </c>
    </row>
    <row r="811" customFormat="false" ht="18.75" hidden="false" customHeight="true" outlineLevel="0" collapsed="false">
      <c r="A811" s="121" t="str">
        <f aca="false">'☆掛負収入'!A811</f>
        <v>日本下水道事業団</v>
      </c>
      <c r="B811" s="451" t="n">
        <f aca="false">'☆掛負収入'!B811</f>
        <v>245220</v>
      </c>
      <c r="C811" s="223" t="n">
        <f aca="false">'☆掛負収入'!C811</f>
        <v>20100</v>
      </c>
      <c r="D811" s="449" t="n">
        <f aca="false">'☆掛負収入'!D811</f>
        <v>245220</v>
      </c>
      <c r="E811" s="453" t="n">
        <f aca="false">'☆掛負収入'!E811</f>
        <v>20100</v>
      </c>
      <c r="F811" s="450" t="n">
        <f aca="false">'☆掛負収入'!F811</f>
        <v>251</v>
      </c>
      <c r="G811" s="668" t="n">
        <f aca="false">SUM(B811:F811)</f>
        <v>530891</v>
      </c>
      <c r="H811" s="594" t="n">
        <f aca="false">'☆掛負収入'!H811</f>
        <v>147425</v>
      </c>
      <c r="I811" s="424" t="n">
        <f aca="false">'☆掛負収入'!I811</f>
        <v>147694</v>
      </c>
      <c r="J811" s="135" t="n">
        <f aca="false">SUM(H811:I811)</f>
        <v>295119</v>
      </c>
      <c r="K811" s="439" t="n">
        <f aca="false">'☆掛負収入'!K811</f>
        <v>9559</v>
      </c>
      <c r="L811" s="424" t="n">
        <f aca="false">'☆掛負収入'!L811</f>
        <v>9559</v>
      </c>
      <c r="M811" s="135" t="n">
        <f aca="false">SUM(K811:L811)</f>
        <v>19118</v>
      </c>
      <c r="N811" s="439" t="n">
        <f aca="false">'☆掛負収入'!N811</f>
        <v>1</v>
      </c>
      <c r="O811" s="424" t="n">
        <f aca="false">'☆掛負収入'!O811</f>
        <v>1</v>
      </c>
      <c r="P811" s="135" t="n">
        <f aca="false">SUM(N811:O811)</f>
        <v>2</v>
      </c>
    </row>
    <row r="812" customFormat="false" ht="18.75" hidden="false" customHeight="true" outlineLevel="0" collapsed="false">
      <c r="A812" s="100" t="str">
        <f aca="false">'☆掛負収入'!A812</f>
        <v>地方公務員災害補償基金本部</v>
      </c>
      <c r="B812" s="451" t="n">
        <f aca="false">'☆掛負収入'!B812</f>
        <v>40260</v>
      </c>
      <c r="C812" s="223" t="n">
        <f aca="false">'☆掛負収入'!C812</f>
        <v>3300</v>
      </c>
      <c r="D812" s="449" t="n">
        <f aca="false">'☆掛負収入'!D812</f>
        <v>40260</v>
      </c>
      <c r="E812" s="453" t="n">
        <f aca="false">'☆掛負収入'!E812</f>
        <v>3300</v>
      </c>
      <c r="F812" s="450" t="n">
        <f aca="false">'☆掛負収入'!F812</f>
        <v>41</v>
      </c>
      <c r="G812" s="668" t="n">
        <f aca="false">SUM(B812:F812)</f>
        <v>87161</v>
      </c>
      <c r="H812" s="594" t="n">
        <f aca="false">'☆掛負収入'!H812</f>
        <v>24204</v>
      </c>
      <c r="I812" s="424" t="n">
        <f aca="false">'☆掛負収入'!I812</f>
        <v>24248</v>
      </c>
      <c r="J812" s="135" t="n">
        <f aca="false">SUM(H812:I812)</f>
        <v>48452</v>
      </c>
      <c r="K812" s="439" t="n">
        <f aca="false">'☆掛負収入'!K812</f>
        <v>0</v>
      </c>
      <c r="L812" s="424" t="n">
        <f aca="false">'☆掛負収入'!L812</f>
        <v>0</v>
      </c>
      <c r="M812" s="135" t="n">
        <f aca="false">SUM(K812:L812)</f>
        <v>0</v>
      </c>
      <c r="N812" s="439" t="n">
        <f aca="false">'☆掛負収入'!N812</f>
        <v>1</v>
      </c>
      <c r="O812" s="424" t="n">
        <f aca="false">'☆掛負収入'!O812</f>
        <v>1</v>
      </c>
      <c r="P812" s="135" t="n">
        <f aca="false">SUM(N812:O812)</f>
        <v>2</v>
      </c>
    </row>
    <row r="813" customFormat="false" ht="18.75" hidden="false" customHeight="true" outlineLevel="0" collapsed="false">
      <c r="A813" s="197"/>
      <c r="B813" s="449"/>
      <c r="C813" s="223"/>
      <c r="D813" s="449"/>
      <c r="E813" s="453"/>
      <c r="F813" s="450"/>
      <c r="G813" s="668"/>
      <c r="H813" s="594"/>
      <c r="I813" s="424"/>
      <c r="J813" s="135"/>
      <c r="K813" s="439"/>
      <c r="L813" s="424"/>
      <c r="M813" s="135" t="n">
        <f aca="false">SUM(K813:L813)</f>
        <v>0</v>
      </c>
      <c r="N813" s="439"/>
      <c r="O813" s="424"/>
      <c r="P813" s="135" t="n">
        <f aca="false">SUM(N813:O813)</f>
        <v>0</v>
      </c>
    </row>
    <row r="814" customFormat="false" ht="18.75" hidden="false" customHeight="true" outlineLevel="0" collapsed="false">
      <c r="A814" s="100" t="str">
        <f aca="false">'☆掛負収入'!A814</f>
        <v>高速道路公社</v>
      </c>
      <c r="B814" s="464" t="n">
        <f aca="false">'☆掛負収入'!B814</f>
        <v>923235</v>
      </c>
      <c r="C814" s="454" t="n">
        <f aca="false">'☆掛負収入'!C814</f>
        <v>75675</v>
      </c>
      <c r="D814" s="464" t="n">
        <f aca="false">'☆掛負収入'!D814</f>
        <v>923235</v>
      </c>
      <c r="E814" s="470" t="n">
        <f aca="false">'☆掛負収入'!E814</f>
        <v>75675</v>
      </c>
      <c r="F814" s="472" t="n">
        <f aca="false">'☆掛負収入'!F814</f>
        <v>947</v>
      </c>
      <c r="G814" s="668" t="n">
        <f aca="false">SUM(B814:F814)</f>
        <v>1998767</v>
      </c>
      <c r="H814" s="613" t="n">
        <f aca="false">'☆掛負収入'!H814</f>
        <v>556693</v>
      </c>
      <c r="I814" s="614" t="n">
        <f aca="false">'☆掛負収入'!I814</f>
        <v>557713</v>
      </c>
      <c r="J814" s="135" t="n">
        <f aca="false">SUM(H814:I814)</f>
        <v>1114406</v>
      </c>
      <c r="K814" s="615" t="n">
        <f aca="false">'☆掛負収入'!K814</f>
        <v>54747</v>
      </c>
      <c r="L814" s="614" t="n">
        <f aca="false">'☆掛負収入'!L814</f>
        <v>54747</v>
      </c>
      <c r="M814" s="135" t="n">
        <f aca="false">SUM(K814:L814)</f>
        <v>109494</v>
      </c>
      <c r="N814" s="615" t="n">
        <f aca="false">'☆掛負収入'!N814</f>
        <v>1</v>
      </c>
      <c r="O814" s="614" t="n">
        <f aca="false">'☆掛負収入'!O814</f>
        <v>1</v>
      </c>
      <c r="P814" s="135" t="n">
        <f aca="false">SUM(N814:O814)</f>
        <v>2</v>
      </c>
    </row>
    <row r="815" customFormat="false" ht="18.75" hidden="false" customHeight="true" outlineLevel="0" collapsed="false">
      <c r="A815" s="100" t="str">
        <f aca="false">'☆掛負収入'!A815</f>
        <v>農林水産振興センタ</v>
      </c>
      <c r="B815" s="457"/>
      <c r="C815" s="459"/>
      <c r="D815" s="451" t="n">
        <f aca="false">'☆掛負収入'!D815</f>
        <v>571875</v>
      </c>
      <c r="E815" s="473" t="n">
        <f aca="false">'☆掛負収入'!E815</f>
        <v>46875</v>
      </c>
      <c r="F815" s="456" t="n">
        <f aca="false">'☆掛負収入'!F815</f>
        <v>613</v>
      </c>
      <c r="G815" s="668" t="n">
        <f aca="false">SUM(B815:F815)</f>
        <v>619363</v>
      </c>
      <c r="H815" s="616"/>
      <c r="I815" s="407" t="n">
        <f aca="false">'☆掛負収入'!I815</f>
        <v>344467</v>
      </c>
      <c r="J815" s="135" t="n">
        <f aca="false">SUM(H815:I815)</f>
        <v>344467</v>
      </c>
      <c r="K815" s="617"/>
      <c r="L815" s="407" t="n">
        <f aca="false">'☆掛負収入'!L815</f>
        <v>27255</v>
      </c>
      <c r="M815" s="135" t="n">
        <f aca="false">SUM(K815:L815)</f>
        <v>27255</v>
      </c>
      <c r="N815" s="617"/>
      <c r="O815" s="407" t="n">
        <f aca="false">'☆掛負収入'!O815</f>
        <v>1</v>
      </c>
      <c r="P815" s="135" t="n">
        <f aca="false">SUM(N815:O815)</f>
        <v>1</v>
      </c>
    </row>
    <row r="816" customFormat="false" ht="18.75" hidden="false" customHeight="true" outlineLevel="0" collapsed="false">
      <c r="A816" s="203" t="str">
        <f aca="false">'☆掛負収入'!A816</f>
        <v>文化財団　市長部局</v>
      </c>
      <c r="B816" s="600"/>
      <c r="C816" s="196"/>
      <c r="D816" s="449" t="n">
        <f aca="false">'☆掛負収入'!D816</f>
        <v>1160220</v>
      </c>
      <c r="E816" s="453" t="n">
        <f aca="false">'☆掛負収入'!E816</f>
        <v>95100</v>
      </c>
      <c r="F816" s="456" t="n">
        <f aca="false">'☆掛負収入'!F816</f>
        <v>1185</v>
      </c>
      <c r="G816" s="668" t="n">
        <f aca="false">SUM(B816:F816)</f>
        <v>1256505</v>
      </c>
      <c r="H816" s="602"/>
      <c r="I816" s="407" t="n">
        <f aca="false">'☆掛負収入'!I816</f>
        <v>698790</v>
      </c>
      <c r="J816" s="135" t="n">
        <f aca="false">SUM(H816:I816)</f>
        <v>698790</v>
      </c>
      <c r="K816" s="612"/>
      <c r="L816" s="407" t="n">
        <f aca="false">'☆掛負収入'!L816</f>
        <v>94721</v>
      </c>
      <c r="M816" s="135" t="n">
        <f aca="false">SUM(K816:L816)</f>
        <v>94721</v>
      </c>
      <c r="N816" s="612"/>
      <c r="O816" s="407" t="n">
        <f aca="false">'☆掛負収入'!O816</f>
        <v>1</v>
      </c>
      <c r="P816" s="135" t="n">
        <f aca="false">SUM(N816:O816)</f>
        <v>1</v>
      </c>
    </row>
    <row r="817" customFormat="false" ht="18.75" hidden="false" customHeight="true" outlineLevel="0" collapsed="false">
      <c r="A817" s="204"/>
      <c r="B817" s="600"/>
      <c r="C817" s="196"/>
      <c r="D817" s="449"/>
      <c r="E817" s="453"/>
      <c r="F817" s="456"/>
      <c r="G817" s="668"/>
      <c r="H817" s="602"/>
      <c r="I817" s="407"/>
      <c r="J817" s="135"/>
      <c r="K817" s="612"/>
      <c r="L817" s="407"/>
      <c r="M817" s="135" t="n">
        <f aca="false">SUM(K817:L817)</f>
        <v>0</v>
      </c>
      <c r="N817" s="612"/>
      <c r="O817" s="407"/>
      <c r="P817" s="135" t="n">
        <f aca="false">SUM(N817:O817)</f>
        <v>0</v>
      </c>
    </row>
    <row r="818" customFormat="false" ht="18.75" hidden="false" customHeight="true" outlineLevel="0" collapsed="false">
      <c r="A818" s="100" t="str">
        <f aca="false">'☆掛負収入'!A818</f>
        <v>みどり生きもの協会</v>
      </c>
      <c r="B818" s="600"/>
      <c r="C818" s="196"/>
      <c r="D818" s="449" t="n">
        <f aca="false">'☆掛負収入'!D818</f>
        <v>402600</v>
      </c>
      <c r="E818" s="453" t="n">
        <f aca="false">'☆掛負収入'!E818</f>
        <v>33000</v>
      </c>
      <c r="F818" s="456" t="n">
        <f aca="false">'☆掛負収入'!F818</f>
        <v>412</v>
      </c>
      <c r="G818" s="668" t="n">
        <f aca="false">SUM(B818:F818)</f>
        <v>436012</v>
      </c>
      <c r="H818" s="602"/>
      <c r="I818" s="407" t="n">
        <f aca="false">'☆掛負収入'!I818</f>
        <v>242482</v>
      </c>
      <c r="J818" s="135" t="n">
        <f aca="false">SUM(H818:I818)</f>
        <v>242482</v>
      </c>
      <c r="K818" s="612"/>
      <c r="L818" s="407" t="n">
        <f aca="false">'☆掛負収入'!L818</f>
        <v>34760</v>
      </c>
      <c r="M818" s="135" t="n">
        <f aca="false">SUM(K818:L818)</f>
        <v>34760</v>
      </c>
      <c r="N818" s="612"/>
      <c r="O818" s="407" t="n">
        <f aca="false">'☆掛負収入'!O818</f>
        <v>1</v>
      </c>
      <c r="P818" s="135" t="n">
        <f aca="false">SUM(N818:O818)</f>
        <v>1</v>
      </c>
    </row>
    <row r="819" customFormat="false" ht="18.75" hidden="false" customHeight="true" outlineLevel="0" collapsed="false">
      <c r="A819" s="121" t="str">
        <f aca="false">'☆掛負収入'!A819</f>
        <v>県下水道公社</v>
      </c>
      <c r="B819" s="449" t="n">
        <f aca="false">'☆掛負収入'!B819</f>
        <v>137250</v>
      </c>
      <c r="C819" s="223" t="n">
        <f aca="false">'☆掛負収入'!C819</f>
        <v>11250</v>
      </c>
      <c r="D819" s="449" t="n">
        <f aca="false">'☆掛負収入'!D819</f>
        <v>137250</v>
      </c>
      <c r="E819" s="453" t="n">
        <f aca="false">'☆掛負収入'!E819</f>
        <v>11250</v>
      </c>
      <c r="F819" s="456" t="n">
        <f aca="false">'☆掛負収入'!F819</f>
        <v>140</v>
      </c>
      <c r="G819" s="668" t="n">
        <f aca="false">SUM(B819:F819)</f>
        <v>297140</v>
      </c>
      <c r="H819" s="594" t="n">
        <f aca="false">'☆掛負収入'!H819</f>
        <v>82514</v>
      </c>
      <c r="I819" s="407" t="n">
        <f aca="false">'☆掛負収入'!I819</f>
        <v>82665</v>
      </c>
      <c r="J819" s="135" t="n">
        <f aca="false">SUM(H819:I819)</f>
        <v>165179</v>
      </c>
      <c r="K819" s="439" t="n">
        <f aca="false">'☆掛負収入'!K819</f>
        <v>8611</v>
      </c>
      <c r="L819" s="407" t="n">
        <f aca="false">'☆掛負収入'!L819</f>
        <v>8611</v>
      </c>
      <c r="M819" s="135" t="n">
        <f aca="false">SUM(K819:L819)</f>
        <v>17222</v>
      </c>
      <c r="N819" s="439" t="n">
        <f aca="false">'☆掛負収入'!N819</f>
        <v>1</v>
      </c>
      <c r="O819" s="407" t="n">
        <f aca="false">'☆掛負収入'!O819</f>
        <v>1</v>
      </c>
      <c r="P819" s="135" t="n">
        <f aca="false">SUM(N819:O819)</f>
        <v>2</v>
      </c>
    </row>
    <row r="820" customFormat="false" ht="18.75" hidden="false" customHeight="true" outlineLevel="0" collapsed="false">
      <c r="A820" s="121" t="str">
        <f aca="false">'☆掛負収入'!A820</f>
        <v>バス協調・共創
プラットフォーム</v>
      </c>
      <c r="B820" s="457"/>
      <c r="C820" s="459"/>
      <c r="D820" s="451" t="n">
        <f aca="false">'☆掛負収入'!D820</f>
        <v>477630</v>
      </c>
      <c r="E820" s="473" t="n">
        <f aca="false">'☆掛負収入'!E820</f>
        <v>39150</v>
      </c>
      <c r="F820" s="456" t="n">
        <f aca="false">'☆掛負収入'!F820</f>
        <v>490</v>
      </c>
      <c r="G820" s="668" t="n">
        <f aca="false">SUM(B820:F820)</f>
        <v>517270</v>
      </c>
      <c r="H820" s="616"/>
      <c r="I820" s="407" t="n">
        <f aca="false">'☆掛負収入'!I820</f>
        <v>293185</v>
      </c>
      <c r="J820" s="135" t="n">
        <f aca="false">SUM(H820:I820)</f>
        <v>293185</v>
      </c>
      <c r="K820" s="617"/>
      <c r="L820" s="407" t="n">
        <f aca="false">'☆掛負収入'!L820</f>
        <v>25517</v>
      </c>
      <c r="M820" s="135" t="n">
        <f aca="false">SUM(K820:L820)</f>
        <v>25517</v>
      </c>
      <c r="N820" s="617"/>
      <c r="O820" s="407" t="n">
        <f aca="false">'☆掛負収入'!O820</f>
        <v>1</v>
      </c>
      <c r="P820" s="135" t="n">
        <f aca="false">SUM(N820:O820)</f>
        <v>1</v>
      </c>
    </row>
    <row r="821" customFormat="false" ht="18.75" hidden="false" customHeight="true" outlineLevel="0" collapsed="false">
      <c r="A821" s="121" t="str">
        <f aca="false">'☆掛負収入'!A821</f>
        <v>広島県市長会</v>
      </c>
      <c r="B821" s="449" t="n">
        <f aca="false">'☆掛負収入'!B821</f>
        <v>56730</v>
      </c>
      <c r="C821" s="223" t="n">
        <f aca="false">'☆掛負収入'!C821</f>
        <v>4650</v>
      </c>
      <c r="D821" s="449" t="n">
        <f aca="false">'☆掛負収入'!D821</f>
        <v>56730</v>
      </c>
      <c r="E821" s="453" t="n">
        <f aca="false">'☆掛負収入'!E821</f>
        <v>4650</v>
      </c>
      <c r="F821" s="450" t="n">
        <f aca="false">'☆掛負収入'!F821</f>
        <v>58</v>
      </c>
      <c r="G821" s="668" t="n">
        <f aca="false">SUM(B821:F821)</f>
        <v>122818</v>
      </c>
      <c r="H821" s="594" t="n">
        <f aca="false">'☆掛負収入'!H821</f>
        <v>34106</v>
      </c>
      <c r="I821" s="424" t="n">
        <f aca="false">'☆掛負収入'!I821</f>
        <v>34168</v>
      </c>
      <c r="J821" s="135" t="n">
        <f aca="false">SUM(H821:I821)</f>
        <v>68274</v>
      </c>
      <c r="K821" s="439" t="n">
        <f aca="false">'☆掛負収入'!K821</f>
        <v>4898</v>
      </c>
      <c r="L821" s="424" t="n">
        <f aca="false">'☆掛負収入'!L821</f>
        <v>4898</v>
      </c>
      <c r="M821" s="135" t="n">
        <f aca="false">SUM(K821:L821)</f>
        <v>9796</v>
      </c>
      <c r="N821" s="439" t="n">
        <f aca="false">'☆掛負収入'!N821</f>
        <v>1</v>
      </c>
      <c r="O821" s="424" t="n">
        <f aca="false">'☆掛負収入'!O821</f>
        <v>1</v>
      </c>
      <c r="P821" s="135" t="n">
        <f aca="false">SUM(N821:O821)</f>
        <v>2</v>
      </c>
    </row>
    <row r="822" customFormat="false" ht="18.75" hidden="false" customHeight="true" outlineLevel="0" collapsed="false">
      <c r="A822" s="189" t="str">
        <f aca="false">'☆掛負収入'!A822</f>
        <v>全国市町村研修財団</v>
      </c>
      <c r="B822" s="451" t="n">
        <f aca="false">'☆掛負収入'!B822</f>
        <v>59475</v>
      </c>
      <c r="C822" s="223" t="n">
        <f aca="false">'☆掛負収入'!C822</f>
        <v>4875</v>
      </c>
      <c r="D822" s="449" t="n">
        <f aca="false">'☆掛負収入'!D822</f>
        <v>59475</v>
      </c>
      <c r="E822" s="453" t="n">
        <f aca="false">'☆掛負収入'!E822</f>
        <v>4875</v>
      </c>
      <c r="F822" s="450" t="n">
        <f aca="false">'☆掛負収入'!F822</f>
        <v>61</v>
      </c>
      <c r="G822" s="668" t="n">
        <f aca="false">SUM(B822:F822)</f>
        <v>128761</v>
      </c>
      <c r="H822" s="594" t="n">
        <f aca="false">'☆掛負収入'!H822</f>
        <v>41257</v>
      </c>
      <c r="I822" s="424" t="n">
        <f aca="false">'☆掛負収入'!I822</f>
        <v>41332</v>
      </c>
      <c r="J822" s="135" t="n">
        <f aca="false">SUM(H822:I822)</f>
        <v>82589</v>
      </c>
      <c r="K822" s="439" t="n">
        <f aca="false">'☆掛負収入'!K822</f>
        <v>5925</v>
      </c>
      <c r="L822" s="424" t="n">
        <f aca="false">'☆掛負収入'!L822</f>
        <v>5925</v>
      </c>
      <c r="M822" s="135" t="n">
        <f aca="false">SUM(K822:L822)</f>
        <v>11850</v>
      </c>
      <c r="N822" s="439" t="n">
        <f aca="false">'☆掛負収入'!N822</f>
        <v>1</v>
      </c>
      <c r="O822" s="424" t="n">
        <f aca="false">'☆掛負収入'!O822</f>
        <v>1</v>
      </c>
      <c r="P822" s="135" t="n">
        <f aca="false">SUM(N822:O822)</f>
        <v>2</v>
      </c>
    </row>
    <row r="823" customFormat="false" ht="18.75" hidden="false" customHeight="true" outlineLevel="0" collapsed="false">
      <c r="A823" s="189" t="str">
        <f aca="false">'☆掛負収入'!A823</f>
        <v>都市再生機構</v>
      </c>
      <c r="B823" s="449" t="n">
        <f aca="false">'☆掛負収入'!B823</f>
        <v>53985</v>
      </c>
      <c r="C823" s="223" t="n">
        <f aca="false">'☆掛負収入'!C823</f>
        <v>4425</v>
      </c>
      <c r="D823" s="449" t="n">
        <f aca="false">'☆掛負収入'!D823</f>
        <v>53985</v>
      </c>
      <c r="E823" s="453" t="n">
        <f aca="false">'☆掛負収入'!E823</f>
        <v>4425</v>
      </c>
      <c r="F823" s="450" t="n">
        <f aca="false">'☆掛負収入'!F823</f>
        <v>55</v>
      </c>
      <c r="G823" s="668" t="n">
        <f aca="false">SUM(B823:F823)</f>
        <v>116875</v>
      </c>
      <c r="H823" s="594" t="n">
        <f aca="false">'☆掛負収入'!H823</f>
        <v>32455</v>
      </c>
      <c r="I823" s="424" t="n">
        <f aca="false">'☆掛負収入'!I823</f>
        <v>32514</v>
      </c>
      <c r="J823" s="135" t="n">
        <f aca="false">SUM(H823:I823)</f>
        <v>64969</v>
      </c>
      <c r="K823" s="439" t="n">
        <f aca="false">'☆掛負収入'!K823</f>
        <v>0</v>
      </c>
      <c r="L823" s="424" t="n">
        <f aca="false">'☆掛負収入'!L823</f>
        <v>0</v>
      </c>
      <c r="M823" s="135" t="n">
        <f aca="false">SUM(K823:L823)</f>
        <v>0</v>
      </c>
      <c r="N823" s="439" t="n">
        <f aca="false">'☆掛負収入'!N823</f>
        <v>1</v>
      </c>
      <c r="O823" s="424" t="n">
        <f aca="false">'☆掛負収入'!O823</f>
        <v>1</v>
      </c>
      <c r="P823" s="135" t="n">
        <f aca="false">SUM(N823:O823)</f>
        <v>2</v>
      </c>
    </row>
    <row r="824" customFormat="false" ht="18.75" hidden="false" customHeight="true" outlineLevel="0" collapsed="false">
      <c r="A824" s="121" t="str">
        <f aca="false">'☆掛負収入'!A824</f>
        <v>広島市立大学</v>
      </c>
      <c r="B824" s="406" t="n">
        <f aca="false">'☆掛負収入'!B824</f>
        <v>1197735</v>
      </c>
      <c r="C824" s="135" t="n">
        <f aca="false">'☆掛負収入'!C824</f>
        <v>98175</v>
      </c>
      <c r="D824" s="406" t="n">
        <f aca="false">'☆掛負収入'!D824</f>
        <v>1197735</v>
      </c>
      <c r="E824" s="439" t="n">
        <f aca="false">'☆掛負収入'!E824</f>
        <v>98175</v>
      </c>
      <c r="F824" s="450" t="n">
        <f aca="false">'☆掛負収入'!F824</f>
        <v>1340</v>
      </c>
      <c r="G824" s="668" t="n">
        <f aca="false">SUM(B824:F824)</f>
        <v>2593160</v>
      </c>
      <c r="H824" s="594" t="n">
        <f aca="false">'☆掛負収入'!H824</f>
        <v>720070</v>
      </c>
      <c r="I824" s="424" t="n">
        <f aca="false">'☆掛負収入'!I824</f>
        <v>721509</v>
      </c>
      <c r="J824" s="135" t="n">
        <f aca="false">SUM(H824:I824)</f>
        <v>1441579</v>
      </c>
      <c r="K824" s="439" t="n">
        <f aca="false">'☆掛負収入'!K824</f>
        <v>67940</v>
      </c>
      <c r="L824" s="424" t="n">
        <f aca="false">'☆掛負収入'!L824</f>
        <v>67940</v>
      </c>
      <c r="M824" s="135" t="n">
        <f aca="false">SUM(K824:L824)</f>
        <v>135880</v>
      </c>
      <c r="N824" s="439" t="n">
        <f aca="false">'☆掛負収入'!N824</f>
        <v>1</v>
      </c>
      <c r="O824" s="424" t="n">
        <f aca="false">'☆掛負収入'!O824</f>
        <v>1</v>
      </c>
      <c r="P824" s="135" t="n">
        <f aca="false">SUM(N824:O824)</f>
        <v>2</v>
      </c>
    </row>
    <row r="825" customFormat="false" ht="18.75" hidden="false" customHeight="true" outlineLevel="0" collapsed="false">
      <c r="A825" s="121" t="str">
        <f aca="false">'☆掛負収入'!A825</f>
        <v>社会福祉協議会</v>
      </c>
      <c r="B825" s="406" t="n">
        <f aca="false">'☆掛負収入'!B825</f>
        <v>0</v>
      </c>
      <c r="C825" s="135" t="n">
        <f aca="false">'☆掛負収入'!C825</f>
        <v>0</v>
      </c>
      <c r="D825" s="406" t="n">
        <f aca="false">'☆掛負収入'!D825</f>
        <v>245220</v>
      </c>
      <c r="E825" s="439" t="n">
        <f aca="false">'☆掛負収入'!E825</f>
        <v>20100</v>
      </c>
      <c r="F825" s="450" t="n">
        <f aca="false">'☆掛負収入'!F825</f>
        <v>251</v>
      </c>
      <c r="G825" s="668" t="n">
        <f aca="false">SUM(B825:F825)</f>
        <v>265571</v>
      </c>
      <c r="H825" s="594" t="n">
        <f aca="false">'☆掛負収入'!H825</f>
        <v>0</v>
      </c>
      <c r="I825" s="424" t="n">
        <f aca="false">'☆掛負収入'!I825</f>
        <v>151001</v>
      </c>
      <c r="J825" s="135" t="n">
        <f aca="false">SUM(H825:I825)</f>
        <v>151001</v>
      </c>
      <c r="K825" s="439" t="n">
        <f aca="false">'☆掛負収入'!K825</f>
        <v>0</v>
      </c>
      <c r="L825" s="424" t="n">
        <f aca="false">'☆掛負収入'!L825</f>
        <v>10744</v>
      </c>
      <c r="M825" s="135" t="n">
        <f aca="false">SUM(K825:L825)</f>
        <v>10744</v>
      </c>
      <c r="N825" s="439" t="n">
        <f aca="false">'☆掛負収入'!N825</f>
        <v>0</v>
      </c>
      <c r="O825" s="424" t="n">
        <f aca="false">'☆掛負収入'!O825</f>
        <v>1</v>
      </c>
      <c r="P825" s="135" t="n">
        <f aca="false">SUM(N825:O825)</f>
        <v>1</v>
      </c>
    </row>
    <row r="826" customFormat="false" ht="18.75" hidden="false" customHeight="true" outlineLevel="0" collapsed="false">
      <c r="A826" s="203" t="s">
        <v>418</v>
      </c>
      <c r="B826" s="595" t="n">
        <f aca="false">'☆掛負収入'!B828</f>
        <v>0</v>
      </c>
      <c r="C826" s="592" t="n">
        <f aca="false">'☆掛負収入'!C828</f>
        <v>0</v>
      </c>
      <c r="D826" s="595" t="n">
        <f aca="false">'☆掛負収入'!D828</f>
        <v>0</v>
      </c>
      <c r="E826" s="440" t="n">
        <f aca="false">'☆掛負収入'!E828</f>
        <v>0</v>
      </c>
      <c r="F826" s="439" t="n">
        <f aca="false">'☆掛負収入'!F828</f>
        <v>0</v>
      </c>
      <c r="G826" s="668" t="n">
        <f aca="false">SUM(B826:F826)</f>
        <v>0</v>
      </c>
      <c r="H826" s="595" t="n">
        <f aca="false">'☆掛負収入'!H828</f>
        <v>0</v>
      </c>
      <c r="I826" s="439" t="n">
        <f aca="false">'☆掛負収入'!I828</f>
        <v>0</v>
      </c>
      <c r="J826" s="135" t="n">
        <f aca="false">SUM(H826:I826)</f>
        <v>0</v>
      </c>
      <c r="K826" s="439" t="n">
        <f aca="false">'☆掛負収入'!K828</f>
        <v>0</v>
      </c>
      <c r="L826" s="424" t="n">
        <f aca="false">'☆掛負収入'!L828</f>
        <v>0</v>
      </c>
      <c r="M826" s="135" t="n">
        <f aca="false">SUM(K826:L826)</f>
        <v>0</v>
      </c>
      <c r="N826" s="439" t="n">
        <f aca="false">'☆掛負収入'!N828</f>
        <v>0</v>
      </c>
      <c r="O826" s="424" t="n">
        <f aca="false">'☆掛負収入'!O828</f>
        <v>0</v>
      </c>
      <c r="P826" s="135" t="n">
        <f aca="false">SUM(N826:O826)</f>
        <v>0</v>
      </c>
    </row>
    <row r="827" customFormat="false" ht="18.75" hidden="false" customHeight="true" outlineLevel="0" collapsed="false">
      <c r="A827" s="121" t="str">
        <f aca="false">'☆掛負収入'!A829</f>
        <v>全国市長会</v>
      </c>
      <c r="B827" s="595" t="n">
        <f aca="false">'☆掛負収入'!B829</f>
        <v>59475</v>
      </c>
      <c r="C827" s="592" t="n">
        <f aca="false">'☆掛負収入'!C829</f>
        <v>4875</v>
      </c>
      <c r="D827" s="595" t="n">
        <f aca="false">'☆掛負収入'!D829</f>
        <v>59475</v>
      </c>
      <c r="E827" s="440" t="n">
        <f aca="false">'☆掛負収入'!E829</f>
        <v>4875</v>
      </c>
      <c r="F827" s="439" t="n">
        <f aca="false">'☆掛負収入'!F829</f>
        <v>61</v>
      </c>
      <c r="G827" s="668" t="n">
        <f aca="false">SUM(B827:F827)</f>
        <v>128761</v>
      </c>
      <c r="H827" s="595" t="n">
        <f aca="false">'☆掛負収入'!H829</f>
        <v>41257</v>
      </c>
      <c r="I827" s="439" t="n">
        <f aca="false">'☆掛負収入'!I829</f>
        <v>41332</v>
      </c>
      <c r="J827" s="135" t="n">
        <f aca="false">SUM(H827:I827)</f>
        <v>82589</v>
      </c>
      <c r="K827" s="439" t="n">
        <f aca="false">'☆掛負収入'!K829</f>
        <v>5925</v>
      </c>
      <c r="L827" s="424" t="n">
        <f aca="false">'☆掛負収入'!L829</f>
        <v>5925</v>
      </c>
      <c r="M827" s="135" t="n">
        <f aca="false">SUM(K827:L827)</f>
        <v>11850</v>
      </c>
      <c r="N827" s="439" t="n">
        <f aca="false">'☆掛負収入'!N829</f>
        <v>1</v>
      </c>
      <c r="O827" s="424" t="n">
        <f aca="false">'☆掛負収入'!O829</f>
        <v>1</v>
      </c>
      <c r="P827" s="135" t="n">
        <f aca="false">SUM(N827:O827)</f>
        <v>2</v>
      </c>
    </row>
    <row r="828" customFormat="false" ht="18.75" hidden="false" customHeight="true" outlineLevel="0" collapsed="false">
      <c r="A828" s="208"/>
      <c r="B828" s="406"/>
      <c r="C828" s="393"/>
      <c r="D828" s="406"/>
      <c r="E828" s="439"/>
      <c r="F828" s="424"/>
      <c r="G828" s="668"/>
      <c r="H828" s="594"/>
      <c r="I828" s="424"/>
      <c r="J828" s="135"/>
      <c r="K828" s="439"/>
      <c r="L828" s="424"/>
      <c r="M828" s="135"/>
      <c r="N828" s="439"/>
      <c r="O828" s="424"/>
      <c r="P828" s="135"/>
    </row>
    <row r="829" customFormat="false" ht="18.75" hidden="false" customHeight="true" outlineLevel="0" collapsed="false">
      <c r="A829" s="208"/>
      <c r="B829" s="595"/>
      <c r="C829" s="366"/>
      <c r="D829" s="595"/>
      <c r="E829" s="596"/>
      <c r="F829" s="407"/>
      <c r="G829" s="668"/>
      <c r="H829" s="595"/>
      <c r="I829" s="440"/>
      <c r="J829" s="135"/>
      <c r="K829" s="596"/>
      <c r="L829" s="440"/>
      <c r="M829" s="135"/>
      <c r="N829" s="596"/>
      <c r="O829" s="440"/>
      <c r="P829" s="135"/>
    </row>
    <row r="830" customFormat="false" ht="18.75" hidden="false" customHeight="true" outlineLevel="0" collapsed="false">
      <c r="A830" s="192"/>
      <c r="B830" s="406"/>
      <c r="C830" s="181"/>
      <c r="D830" s="406"/>
      <c r="E830" s="592"/>
      <c r="F830" s="424"/>
      <c r="G830" s="668"/>
      <c r="H830" s="406"/>
      <c r="I830" s="619"/>
      <c r="J830" s="135"/>
      <c r="K830" s="592"/>
      <c r="L830" s="619"/>
      <c r="M830" s="135"/>
      <c r="N830" s="592"/>
      <c r="O830" s="619"/>
      <c r="P830" s="135"/>
    </row>
    <row r="831" customFormat="false" ht="18.75" hidden="false" customHeight="true" outlineLevel="0" collapsed="false">
      <c r="A831" s="192"/>
      <c r="B831" s="595"/>
      <c r="C831" s="393"/>
      <c r="D831" s="596"/>
      <c r="E831" s="440"/>
      <c r="F831" s="407"/>
      <c r="G831" s="746"/>
      <c r="H831" s="406"/>
      <c r="I831" s="440"/>
      <c r="J831" s="135"/>
      <c r="K831" s="596"/>
      <c r="L831" s="440"/>
      <c r="M831" s="135"/>
      <c r="N831" s="596"/>
      <c r="O831" s="440"/>
      <c r="P831" s="135"/>
    </row>
    <row r="832" customFormat="false" ht="18.75" hidden="false" customHeight="true" outlineLevel="0" collapsed="false">
      <c r="A832" s="605"/>
      <c r="B832" s="622"/>
      <c r="C832" s="253"/>
      <c r="D832" s="623"/>
      <c r="E832" s="624"/>
      <c r="F832" s="253"/>
      <c r="G832" s="621"/>
      <c r="H832" s="622"/>
      <c r="I832" s="623"/>
      <c r="J832" s="623" t="n">
        <f aca="false">SUM(H832:I832)</f>
        <v>0</v>
      </c>
      <c r="K832" s="622"/>
      <c r="L832" s="623"/>
      <c r="M832" s="697" t="n">
        <f aca="false">SUM(K832:L832)</f>
        <v>0</v>
      </c>
      <c r="N832" s="622"/>
      <c r="O832" s="623"/>
      <c r="P832" s="697" t="n">
        <f aca="false">SUM(N832:O832)</f>
        <v>0</v>
      </c>
    </row>
    <row r="833" customFormat="false" ht="18.75" hidden="false" customHeight="true" outlineLevel="0" collapsed="false">
      <c r="A833" s="171" t="str">
        <f aca="false">'☆掛負収入'!A833</f>
        <v>小　計</v>
      </c>
      <c r="B833" s="404" t="n">
        <f aca="false">SUM(B803:B832)</f>
        <v>2773365</v>
      </c>
      <c r="C833" s="175" t="n">
        <f aca="false">SUM(C803:C832)</f>
        <v>227325</v>
      </c>
      <c r="D833" s="404" t="n">
        <f aca="false">SUM(D803:D832)</f>
        <v>8799555</v>
      </c>
      <c r="E833" s="276" t="n">
        <f aca="false">SUM(E803:E832)</f>
        <v>721275</v>
      </c>
      <c r="F833" s="175" t="n">
        <f aca="false">SUM(F803:F832)</f>
        <v>9272</v>
      </c>
      <c r="G833" s="176" t="n">
        <f aca="false">SUM(B833:F833)</f>
        <v>12530792</v>
      </c>
      <c r="H833" s="404" t="n">
        <f aca="false">SUM(H803:H832)</f>
        <v>1679981</v>
      </c>
      <c r="I833" s="174" t="n">
        <f aca="false">SUM(I803:I832)</f>
        <v>5462147</v>
      </c>
      <c r="J833" s="175" t="n">
        <f aca="false">SUM(H833:I833)</f>
        <v>7142128</v>
      </c>
      <c r="K833" s="404" t="n">
        <f aca="false">SUM(K803:K832)</f>
        <v>157605</v>
      </c>
      <c r="L833" s="174" t="n">
        <f aca="false">SUM(L803:L832)</f>
        <v>594238</v>
      </c>
      <c r="M833" s="173" t="n">
        <f aca="false">SUM(K833:L833)</f>
        <v>751843</v>
      </c>
      <c r="N833" s="404" t="n">
        <f aca="false">SUM(N803:N832)</f>
        <v>9</v>
      </c>
      <c r="O833" s="174" t="n">
        <f aca="false">SUM(O803:O832)</f>
        <v>20</v>
      </c>
      <c r="P833" s="173" t="n">
        <f aca="false">SUM(N833:O833)</f>
        <v>29</v>
      </c>
    </row>
    <row r="834" customFormat="false" ht="18.75" hidden="true" customHeight="true" outlineLevel="0" collapsed="false">
      <c r="A834" s="604"/>
      <c r="B834" s="622"/>
      <c r="C834" s="253"/>
      <c r="D834" s="623"/>
      <c r="E834" s="624"/>
      <c r="F834" s="625"/>
      <c r="G834" s="626"/>
      <c r="H834" s="627"/>
      <c r="I834" s="628"/>
      <c r="J834" s="629"/>
      <c r="K834" s="630"/>
      <c r="L834" s="631"/>
      <c r="M834" s="632"/>
      <c r="N834" s="630"/>
      <c r="O834" s="631"/>
      <c r="P834" s="632"/>
    </row>
    <row r="835" customFormat="false" ht="18.75" hidden="true" customHeight="true" outlineLevel="0" collapsed="false">
      <c r="A835" s="633"/>
      <c r="B835" s="606"/>
      <c r="C835" s="608"/>
      <c r="D835" s="623"/>
      <c r="E835" s="624"/>
      <c r="F835" s="253"/>
      <c r="G835" s="621"/>
      <c r="H835" s="634"/>
      <c r="I835" s="635"/>
      <c r="J835" s="383"/>
      <c r="K835" s="636"/>
      <c r="L835" s="637"/>
      <c r="M835" s="638"/>
      <c r="N835" s="636"/>
      <c r="O835" s="637"/>
      <c r="P835" s="638"/>
    </row>
    <row r="836" customFormat="false" ht="18.75" hidden="false" customHeight="true" outlineLevel="0" collapsed="false">
      <c r="A836" s="189" t="str">
        <f aca="false">'☆掛負収入'!A836</f>
        <v>高速交通（株）</v>
      </c>
      <c r="B836" s="464" t="n">
        <f aca="false">'☆掛負収入'!B836</f>
        <v>145485</v>
      </c>
      <c r="C836" s="466" t="n">
        <f aca="false">'☆掛負収入'!C836</f>
        <v>11925</v>
      </c>
      <c r="D836" s="452" t="n">
        <f aca="false">'☆掛負収入'!D836</f>
        <v>145485</v>
      </c>
      <c r="E836" s="462" t="n">
        <f aca="false">'☆掛負収入'!E836</f>
        <v>11925</v>
      </c>
      <c r="F836" s="456" t="n">
        <f aca="false">'☆掛負収入'!F836</f>
        <v>149</v>
      </c>
      <c r="G836" s="666" t="n">
        <f aca="false">SUM(B836:F836)</f>
        <v>314969</v>
      </c>
      <c r="H836" s="640"/>
      <c r="I836" s="640"/>
      <c r="J836" s="640"/>
      <c r="K836" s="640"/>
      <c r="L836" s="640"/>
      <c r="M836" s="640"/>
      <c r="N836" s="640"/>
      <c r="O836" s="640"/>
      <c r="P836" s="640"/>
    </row>
    <row r="837" customFormat="false" ht="18.75" hidden="false" customHeight="true" outlineLevel="0" collapsed="false">
      <c r="A837" s="641" t="s">
        <v>201</v>
      </c>
      <c r="B837" s="642" t="n">
        <f aca="false">'☆掛負収入'!B837</f>
        <v>53985</v>
      </c>
      <c r="C837" s="667" t="n">
        <f aca="false">'☆掛負収入'!C837</f>
        <v>4425</v>
      </c>
      <c r="D837" s="642" t="n">
        <f aca="false">'☆掛負収入'!D837</f>
        <v>53985</v>
      </c>
      <c r="E837" s="467" t="n">
        <f aca="false">'☆掛負収入'!E837</f>
        <v>4425</v>
      </c>
      <c r="F837" s="470" t="n">
        <f aca="false">'☆掛負収入'!F837</f>
        <v>55</v>
      </c>
      <c r="G837" s="392" t="n">
        <f aca="false">SUM(B837:F837)</f>
        <v>116875</v>
      </c>
      <c r="H837" s="640"/>
      <c r="I837" s="640"/>
      <c r="J837" s="640"/>
      <c r="K837" s="640"/>
      <c r="L837" s="640"/>
      <c r="M837" s="640"/>
      <c r="N837" s="640"/>
      <c r="O837" s="640"/>
      <c r="P837" s="640"/>
    </row>
    <row r="838" customFormat="false" ht="18.75" hidden="false" customHeight="true" outlineLevel="0" collapsed="false">
      <c r="A838" s="171" t="str">
        <f aca="false">'☆掛負収入'!A838</f>
        <v>小　計</v>
      </c>
      <c r="B838" s="172" t="n">
        <f aca="false">SUM(B836:B837)</f>
        <v>199470</v>
      </c>
      <c r="C838" s="175" t="n">
        <f aca="false">SUM(C834:C837)</f>
        <v>16350</v>
      </c>
      <c r="D838" s="656" t="n">
        <f aca="false">SUM(D834:D837)</f>
        <v>199470</v>
      </c>
      <c r="E838" s="174" t="n">
        <f aca="false">SUM(E834:E837)</f>
        <v>16350</v>
      </c>
      <c r="F838" s="276" t="n">
        <f aca="false">SUM(F834:F837)</f>
        <v>204</v>
      </c>
      <c r="G838" s="747" t="n">
        <f aca="false">SUM(B838:F838)</f>
        <v>431844</v>
      </c>
      <c r="H838" s="640"/>
      <c r="I838" s="640"/>
      <c r="J838" s="640"/>
      <c r="K838" s="640"/>
      <c r="L838" s="640"/>
      <c r="M838" s="640"/>
      <c r="N838" s="640"/>
      <c r="O838" s="640"/>
      <c r="P838" s="640"/>
    </row>
    <row r="839" customFormat="false" ht="18.75" hidden="false" customHeight="true" outlineLevel="0" collapsed="false">
      <c r="A839" s="100" t="str">
        <f aca="false">'☆掛負収入'!A839</f>
        <v>市職員労働組合</v>
      </c>
      <c r="B839" s="449" t="n">
        <f aca="false">'☆掛負収入'!B839</f>
        <v>29280</v>
      </c>
      <c r="C839" s="223" t="n">
        <f aca="false">'☆掛負収入'!C839</f>
        <v>2400</v>
      </c>
      <c r="D839" s="445" t="n">
        <f aca="false">'☆掛負収入'!D839</f>
        <v>29280</v>
      </c>
      <c r="E839" s="463" t="n">
        <f aca="false">'☆掛負収入'!E839</f>
        <v>2400</v>
      </c>
      <c r="F839" s="196"/>
      <c r="G839" s="181" t="n">
        <f aca="false">SUM(B839:F839)</f>
        <v>63360</v>
      </c>
      <c r="H839" s="594" t="n">
        <f aca="false">'☆掛負収入'!H839</f>
        <v>17603</v>
      </c>
      <c r="I839" s="424" t="n">
        <f aca="false">'☆掛負収入'!I839</f>
        <v>17635</v>
      </c>
      <c r="J839" s="135" t="n">
        <f aca="false">SUM(H839:I839)</f>
        <v>35238</v>
      </c>
      <c r="K839" s="451" t="n">
        <f aca="false">'☆掛負収入'!K839</f>
        <v>2528</v>
      </c>
      <c r="L839" s="462" t="n">
        <f aca="false">'☆掛負収入'!L839</f>
        <v>2528</v>
      </c>
      <c r="M839" s="446" t="n">
        <f aca="false">SUM(K839:L839)</f>
        <v>5056</v>
      </c>
      <c r="N839" s="451" t="n">
        <f aca="false">'☆掛負収入'!N839</f>
        <v>1</v>
      </c>
      <c r="O839" s="462" t="n">
        <f aca="false">'☆掛負収入'!O839</f>
        <v>1</v>
      </c>
      <c r="P839" s="446" t="n">
        <f aca="false">SUM(N839:O839)</f>
        <v>2</v>
      </c>
    </row>
    <row r="840" customFormat="false" ht="18.75" hidden="false" customHeight="true" outlineLevel="0" collapsed="false">
      <c r="A840" s="100" t="str">
        <f aca="false">'☆掛負収入'!A840</f>
        <v>自治労労働組合</v>
      </c>
      <c r="B840" s="449" t="n">
        <f aca="false">'☆掛負収入'!B840</f>
        <v>0</v>
      </c>
      <c r="C840" s="377" t="n">
        <f aca="false">'☆掛負収入'!C840</f>
        <v>0</v>
      </c>
      <c r="D840" s="449" t="n">
        <f aca="false">'☆掛負収入'!D840</f>
        <v>0</v>
      </c>
      <c r="E840" s="463" t="n">
        <f aca="false">'☆掛負収入'!E840</f>
        <v>0</v>
      </c>
      <c r="F840" s="196"/>
      <c r="G840" s="181" t="n">
        <f aca="false">SUM(B840:F840)</f>
        <v>0</v>
      </c>
      <c r="H840" s="594" t="n">
        <f aca="false">'☆掛負収入'!H840</f>
        <v>0</v>
      </c>
      <c r="I840" s="424" t="n">
        <f aca="false">'☆掛負収入'!I840</f>
        <v>0</v>
      </c>
      <c r="J840" s="135" t="n">
        <f aca="false">SUM(H840:I840)</f>
        <v>0</v>
      </c>
      <c r="K840" s="594" t="n">
        <f aca="false">'☆掛負収入'!K840</f>
        <v>0</v>
      </c>
      <c r="L840" s="424" t="n">
        <f aca="false">'☆掛負収入'!L840</f>
        <v>0</v>
      </c>
      <c r="M840" s="135" t="n">
        <f aca="false">SUM(K840:L840)</f>
        <v>0</v>
      </c>
      <c r="N840" s="594" t="n">
        <f aca="false">'☆掛負収入'!N840</f>
        <v>0</v>
      </c>
      <c r="O840" s="424" t="n">
        <f aca="false">'☆掛負収入'!O840</f>
        <v>0</v>
      </c>
      <c r="P840" s="135" t="n">
        <f aca="false">SUM(N840:O840)</f>
        <v>0</v>
      </c>
    </row>
    <row r="841" customFormat="false" ht="18.75" hidden="false" customHeight="true" outlineLevel="0" collapsed="false">
      <c r="A841" s="100" t="str">
        <f aca="false">'☆掛負収入'!A841</f>
        <v>病院労働組合</v>
      </c>
      <c r="B841" s="449" t="n">
        <f aca="false">'☆掛負収入'!B841</f>
        <v>27450</v>
      </c>
      <c r="C841" s="377" t="n">
        <f aca="false">'☆掛負収入'!C841</f>
        <v>2250</v>
      </c>
      <c r="D841" s="449" t="n">
        <f aca="false">'☆掛負収入'!D841</f>
        <v>27450</v>
      </c>
      <c r="E841" s="463" t="n">
        <f aca="false">'☆掛負収入'!E841</f>
        <v>2250</v>
      </c>
      <c r="F841" s="196"/>
      <c r="G841" s="181" t="n">
        <f aca="false">SUM(B841:F841)</f>
        <v>59400</v>
      </c>
      <c r="H841" s="594" t="n">
        <f aca="false">'☆掛負収入'!H841</f>
        <v>33006</v>
      </c>
      <c r="I841" s="424" t="n">
        <f aca="false">'☆掛負収入'!I841</f>
        <v>33066</v>
      </c>
      <c r="J841" s="135" t="n">
        <f aca="false">SUM(H841:I841)</f>
        <v>66072</v>
      </c>
      <c r="K841" s="594" t="n">
        <f aca="false">'☆掛負収入'!K841</f>
        <v>2370</v>
      </c>
      <c r="L841" s="424" t="n">
        <f aca="false">'☆掛負収入'!L841</f>
        <v>2370</v>
      </c>
      <c r="M841" s="135" t="n">
        <f aca="false">SUM(K841:L841)</f>
        <v>4740</v>
      </c>
      <c r="N841" s="594" t="n">
        <f aca="false">'☆掛負収入'!N841</f>
        <v>1</v>
      </c>
      <c r="O841" s="424" t="n">
        <f aca="false">'☆掛負収入'!O841</f>
        <v>1</v>
      </c>
      <c r="P841" s="135" t="n">
        <f aca="false">SUM(N841:O841)</f>
        <v>2</v>
      </c>
    </row>
    <row r="842" customFormat="false" ht="18.75" hidden="false" customHeight="true" outlineLevel="0" collapsed="false">
      <c r="A842" s="277" t="str">
        <f aca="false">'☆掛負収入'!A842</f>
        <v>水道労働組合</v>
      </c>
      <c r="B842" s="648"/>
      <c r="C842" s="419"/>
      <c r="D842" s="648"/>
      <c r="E842" s="598"/>
      <c r="F842" s="271"/>
      <c r="G842" s="181" t="n">
        <f aca="false">SUM(B842:F842)</f>
        <v>0</v>
      </c>
      <c r="H842" s="649"/>
      <c r="I842" s="650"/>
      <c r="J842" s="135" t="n">
        <f aca="false">SUM(H842:I842)</f>
        <v>0</v>
      </c>
      <c r="K842" s="651"/>
      <c r="L842" s="652"/>
      <c r="M842" s="135" t="n">
        <f aca="false">SUM(K842:L842)</f>
        <v>0</v>
      </c>
      <c r="N842" s="651"/>
      <c r="O842" s="652"/>
      <c r="P842" s="135" t="n">
        <f aca="false">SUM(N842:O842)</f>
        <v>0</v>
      </c>
    </row>
    <row r="843" customFormat="false" ht="18.75" hidden="false" customHeight="true" outlineLevel="0" collapsed="false">
      <c r="A843" s="171" t="str">
        <f aca="false">'☆掛負収入'!A843</f>
        <v>小　計</v>
      </c>
      <c r="B843" s="404" t="n">
        <f aca="false">SUM(B839:B842)</f>
        <v>56730</v>
      </c>
      <c r="C843" s="175" t="n">
        <f aca="false">SUM(C839:C842)</f>
        <v>4650</v>
      </c>
      <c r="D843" s="404" t="n">
        <f aca="false">SUM(D839:D842)</f>
        <v>56730</v>
      </c>
      <c r="E843" s="174" t="n">
        <f aca="false">SUM(E839:E842)</f>
        <v>4650</v>
      </c>
      <c r="F843" s="173" t="n">
        <f aca="false">SUM(F839:F842)</f>
        <v>0</v>
      </c>
      <c r="G843" s="172" t="n">
        <f aca="false">SUM(B843:F843)</f>
        <v>122760</v>
      </c>
      <c r="H843" s="404" t="n">
        <f aca="false">SUM(H839:H842)</f>
        <v>50609</v>
      </c>
      <c r="I843" s="174" t="n">
        <f aca="false">SUM(I839:I842)</f>
        <v>50701</v>
      </c>
      <c r="J843" s="175" t="n">
        <f aca="false">SUM(H843:I843)</f>
        <v>101310</v>
      </c>
      <c r="K843" s="172" t="n">
        <f aca="false">SUM(K839:K842)</f>
        <v>4898</v>
      </c>
      <c r="L843" s="173" t="n">
        <f aca="false">SUM(L839:L842)</f>
        <v>4898</v>
      </c>
      <c r="M843" s="175" t="n">
        <f aca="false">SUM(K843:L843)</f>
        <v>9796</v>
      </c>
      <c r="N843" s="172" t="n">
        <f aca="false">SUM(N839:N842)</f>
        <v>2</v>
      </c>
      <c r="O843" s="173" t="n">
        <f aca="false">SUM(O839:O842)</f>
        <v>2</v>
      </c>
      <c r="P843" s="175" t="n">
        <f aca="false">SUM(N843:O843)</f>
        <v>4</v>
      </c>
    </row>
    <row r="844" customFormat="false" ht="18.75" hidden="false" customHeight="true" outlineLevel="0" collapsed="false">
      <c r="A844" s="277" t="str">
        <f aca="false">'☆掛負収入'!A844</f>
        <v>任意継続組合員</v>
      </c>
      <c r="B844" s="256"/>
      <c r="C844" s="498"/>
      <c r="D844" s="499"/>
      <c r="E844" s="500"/>
      <c r="F844" s="271"/>
      <c r="G844" s="268"/>
      <c r="H844" s="653"/>
      <c r="I844" s="257"/>
      <c r="J844" s="258"/>
      <c r="K844" s="499"/>
      <c r="L844" s="654"/>
      <c r="M844" s="267"/>
      <c r="N844" s="499"/>
      <c r="O844" s="654"/>
      <c r="P844" s="267"/>
    </row>
    <row r="845" customFormat="false" ht="30" hidden="false" customHeight="true" outlineLevel="0" collapsed="false">
      <c r="A845" s="655" t="str">
        <f aca="false">'☆掛負収入'!A845</f>
        <v>総　　計</v>
      </c>
      <c r="B845" s="404" t="n">
        <f aca="false">SUM(B802+B833+B838+B843)</f>
        <v>3029565</v>
      </c>
      <c r="C845" s="175" t="n">
        <f aca="false">SUM(C802+C833+C838+C843)</f>
        <v>248325</v>
      </c>
      <c r="D845" s="656" t="n">
        <f aca="false">SUM(D802+D833+D838+D843)</f>
        <v>9055755</v>
      </c>
      <c r="E845" s="174" t="n">
        <f aca="false">SUM(E802+E833+E838+E843)</f>
        <v>742275</v>
      </c>
      <c r="F845" s="176" t="n">
        <f aca="false">SUM(F802+F833+F838+F843)</f>
        <v>9476</v>
      </c>
      <c r="G845" s="172" t="n">
        <f aca="false">SUM(B845:F845)</f>
        <v>13085396</v>
      </c>
      <c r="H845" s="404" t="n">
        <f aca="false">SUM(H802+H833+H838+H843+H844)</f>
        <v>1730590</v>
      </c>
      <c r="I845" s="174" t="n">
        <f aca="false">SUM(I802+I833+I838+I843+I844)</f>
        <v>5512848</v>
      </c>
      <c r="J845" s="175" t="n">
        <f aca="false">SUM(H845:I845)</f>
        <v>7243438</v>
      </c>
      <c r="K845" s="172" t="n">
        <f aca="false">K802+K833+K838+K843+K844</f>
        <v>162503</v>
      </c>
      <c r="L845" s="173" t="n">
        <f aca="false">L802+L833+L838+L843</f>
        <v>599136</v>
      </c>
      <c r="M845" s="175" t="n">
        <f aca="false">SUM(K845:L845)</f>
        <v>761639</v>
      </c>
      <c r="N845" s="172" t="n">
        <f aca="false">N802+N833+N838+N843+N844</f>
        <v>11</v>
      </c>
      <c r="O845" s="173" t="n">
        <f aca="false">O802+O833+O838+O843</f>
        <v>22</v>
      </c>
      <c r="P845" s="175" t="n">
        <f aca="false">SUM(N845:O845)</f>
        <v>33</v>
      </c>
    </row>
    <row r="846" customFormat="false" ht="18.75" hidden="false" customHeight="true" outlineLevel="0" collapsed="false">
      <c r="A846" s="315"/>
      <c r="B846" s="316"/>
      <c r="C846" s="316"/>
      <c r="D846" s="316"/>
      <c r="E846" s="316"/>
      <c r="F846" s="316"/>
      <c r="G846" s="316"/>
      <c r="H846" s="316"/>
      <c r="I846" s="316"/>
      <c r="J846" s="316"/>
      <c r="K846" s="316"/>
      <c r="L846" s="316"/>
      <c r="M846" s="316"/>
      <c r="N846" s="316"/>
      <c r="O846" s="316"/>
      <c r="P846" s="316"/>
    </row>
    <row r="847" customFormat="false" ht="30" hidden="false" customHeight="true" outlineLevel="0" collapsed="false">
      <c r="A847" s="295"/>
      <c r="B847" s="405" t="n">
        <f aca="false">'☆掛負収入'!B847</f>
        <v>46477</v>
      </c>
      <c r="C847" s="405" t="n">
        <f aca="false">'☆掛負収入'!C847</f>
        <v>0</v>
      </c>
      <c r="D847" s="405" t="n">
        <f aca="false">'☆掛負収入'!D847</f>
        <v>0</v>
      </c>
      <c r="E847" s="405" t="n">
        <f aca="false">'☆掛負収入'!E847</f>
        <v>0</v>
      </c>
      <c r="F847" s="405" t="n">
        <f aca="false">'☆掛負収入'!F847</f>
        <v>0</v>
      </c>
      <c r="G847" s="405" t="n">
        <f aca="false">'☆掛負収入'!G847</f>
        <v>0</v>
      </c>
      <c r="H847" s="405" t="n">
        <f aca="false">'☆掛負収入'!H847</f>
        <v>46477</v>
      </c>
      <c r="I847" s="405" t="n">
        <f aca="false">'☆掛負収入'!I847</f>
        <v>0</v>
      </c>
      <c r="J847" s="405" t="n">
        <f aca="false">'☆掛負収入'!J847</f>
        <v>0</v>
      </c>
      <c r="K847" s="405" t="n">
        <f aca="false">'☆掛負収入'!K847</f>
        <v>46477</v>
      </c>
      <c r="L847" s="405" t="n">
        <f aca="false">'☆掛負収入'!L847</f>
        <v>0</v>
      </c>
      <c r="M847" s="405" t="n">
        <f aca="false">'☆掛負収入'!M847</f>
        <v>0</v>
      </c>
      <c r="N847" s="405" t="n">
        <f aca="false">'☆掛負収入'!N847</f>
        <v>46477</v>
      </c>
      <c r="O847" s="405" t="n">
        <f aca="false">'☆掛負収入'!O847</f>
        <v>0</v>
      </c>
      <c r="P847" s="405" t="n">
        <f aca="false">'☆掛負収入'!P847</f>
        <v>0</v>
      </c>
    </row>
    <row r="848" customFormat="false" ht="22.5" hidden="false" customHeight="true" outlineLevel="0" collapsed="false">
      <c r="A848" s="89" t="str">
        <f aca="false">'☆掛負収入'!A848</f>
        <v>区　　分</v>
      </c>
      <c r="B848" s="89" t="str">
        <f aca="false">'☆掛負収入'!B848</f>
        <v>長　期　経　理</v>
      </c>
      <c r="C848" s="89" t="n">
        <f aca="false">'☆掛負収入'!C848</f>
        <v>0</v>
      </c>
      <c r="D848" s="89" t="n">
        <f aca="false">'☆掛負収入'!D848</f>
        <v>0</v>
      </c>
      <c r="E848" s="89" t="n">
        <f aca="false">'☆掛負収入'!E848</f>
        <v>0</v>
      </c>
      <c r="F848" s="89" t="n">
        <f aca="false">'☆掛負収入'!F848</f>
        <v>0</v>
      </c>
      <c r="G848" s="89" t="n">
        <f aca="false">'☆掛負収入'!G848</f>
        <v>0</v>
      </c>
      <c r="H848" s="91" t="str">
        <f aca="false">'☆掛負収入'!H848</f>
        <v>短　期　経　理</v>
      </c>
      <c r="I848" s="91" t="n">
        <f aca="false">'☆掛負収入'!I848</f>
        <v>0</v>
      </c>
      <c r="J848" s="91" t="n">
        <f aca="false">'☆掛負収入'!J848</f>
        <v>0</v>
      </c>
      <c r="K848" s="91" t="str">
        <f aca="false">'☆掛負収入'!K848</f>
        <v>介　護　納　付　金</v>
      </c>
      <c r="L848" s="91" t="n">
        <f aca="false">'☆掛負収入'!L848</f>
        <v>0</v>
      </c>
      <c r="M848" s="91" t="n">
        <f aca="false">'☆掛負収入'!M848</f>
        <v>0</v>
      </c>
      <c r="N848" s="91" t="str">
        <f aca="false">'☆掛負収入'!N848</f>
        <v>子ども・子育て支援納付金</v>
      </c>
      <c r="O848" s="91" t="n">
        <f aca="false">'☆掛負収入'!O848</f>
        <v>0</v>
      </c>
      <c r="P848" s="91" t="n">
        <f aca="false">'☆掛負収入'!P848</f>
        <v>0</v>
      </c>
    </row>
    <row r="849" customFormat="false" ht="22.5" hidden="false" customHeight="true" outlineLevel="0" collapsed="false">
      <c r="A849" s="89" t="n">
        <f aca="false">'☆掛負収入'!A849</f>
        <v>0</v>
      </c>
      <c r="B849" s="92" t="str">
        <f aca="false">'☆掛負収入'!B849</f>
        <v>組合員負担分</v>
      </c>
      <c r="C849" s="92" t="n">
        <f aca="false">'☆掛負収入'!C849</f>
        <v>0</v>
      </c>
      <c r="D849" s="92" t="str">
        <f aca="false">'☆掛負収入'!D849</f>
        <v>事業主負担分</v>
      </c>
      <c r="E849" s="92" t="n">
        <f aca="false">'☆掛負収入'!E849</f>
        <v>0</v>
      </c>
      <c r="F849" s="92" t="n">
        <f aca="false">'☆掛負収入'!F849</f>
        <v>0</v>
      </c>
      <c r="G849" s="586" t="str">
        <f aca="false">'☆掛負収入'!G849</f>
        <v>計</v>
      </c>
      <c r="H849" s="96" t="str">
        <f aca="false">'☆掛負収入'!H849</f>
        <v>掛　金</v>
      </c>
      <c r="I849" s="94" t="str">
        <f aca="false">'☆掛負収入'!I849</f>
        <v>負担金</v>
      </c>
      <c r="J849" s="95" t="str">
        <f aca="false">'☆掛負収入'!J849</f>
        <v>計</v>
      </c>
      <c r="K849" s="96" t="str">
        <f aca="false">'☆掛負収入'!K849</f>
        <v>掛　金</v>
      </c>
      <c r="L849" s="94" t="str">
        <f aca="false">'☆掛負収入'!L849</f>
        <v>負担金</v>
      </c>
      <c r="M849" s="95" t="str">
        <f aca="false">'☆掛負収入'!M849</f>
        <v>計</v>
      </c>
      <c r="N849" s="96" t="str">
        <f aca="false">'☆掛負収入'!N849</f>
        <v>掛　金</v>
      </c>
      <c r="O849" s="94" t="str">
        <f aca="false">'☆掛負収入'!O849</f>
        <v>負担金</v>
      </c>
      <c r="P849" s="95" t="str">
        <f aca="false">'☆掛負収入'!P849</f>
        <v>計</v>
      </c>
    </row>
    <row r="850" customFormat="false" ht="22.5" hidden="false" customHeight="true" outlineLevel="0" collapsed="false">
      <c r="A850" s="89" t="n">
        <f aca="false">'☆掛負収入'!A850</f>
        <v>0</v>
      </c>
      <c r="B850" s="587" t="str">
        <f aca="false">'☆掛負収入'!B850</f>
        <v>厚生年金保険料</v>
      </c>
      <c r="C850" s="588" t="str">
        <f aca="false">'☆掛負収入'!C850</f>
        <v>退職等年金掛金</v>
      </c>
      <c r="D850" s="589" t="str">
        <f aca="false">'☆掛負収入'!D850</f>
        <v>厚生年金保険料</v>
      </c>
      <c r="E850" s="589" t="str">
        <f aca="false">'☆掛負収入'!E850</f>
        <v>退職等年金負担金</v>
      </c>
      <c r="F850" s="590" t="str">
        <f aca="false">'☆掛負収入'!F850</f>
        <v>経過的長期</v>
      </c>
      <c r="G850" s="586" t="n">
        <f aca="false">'☆掛負収入'!G850</f>
        <v>0</v>
      </c>
      <c r="H850" s="96" t="n">
        <f aca="false">'☆掛負収入'!H850</f>
        <v>0</v>
      </c>
      <c r="I850" s="94" t="n">
        <f aca="false">'☆掛負収入'!I850</f>
        <v>0</v>
      </c>
      <c r="J850" s="95" t="n">
        <f aca="false">'☆掛負収入'!J850</f>
        <v>0</v>
      </c>
      <c r="K850" s="96" t="n">
        <f aca="false">'☆掛負収入'!K850</f>
        <v>0</v>
      </c>
      <c r="L850" s="94" t="n">
        <f aca="false">'☆掛負収入'!L850</f>
        <v>0</v>
      </c>
      <c r="M850" s="95" t="n">
        <f aca="false">'☆掛負収入'!M850</f>
        <v>0</v>
      </c>
      <c r="N850" s="96" t="n">
        <f aca="false">'☆掛負収入'!N850</f>
        <v>0</v>
      </c>
      <c r="O850" s="94" t="n">
        <f aca="false">'☆掛負収入'!O850</f>
        <v>0</v>
      </c>
      <c r="P850" s="95" t="n">
        <f aca="false">'☆掛負収入'!P850</f>
        <v>0</v>
      </c>
    </row>
    <row r="851" customFormat="false" ht="18.75" hidden="false" customHeight="true" outlineLevel="0" collapsed="false">
      <c r="A851" s="100" t="str">
        <f aca="false">'☆掛負収入'!A851</f>
        <v>市長部局</v>
      </c>
      <c r="B851" s="591"/>
      <c r="C851" s="364"/>
      <c r="D851" s="592"/>
      <c r="E851" s="592"/>
      <c r="F851" s="184"/>
      <c r="G851" s="364"/>
      <c r="H851" s="591"/>
      <c r="I851" s="593"/>
      <c r="J851" s="181"/>
      <c r="K851" s="594"/>
      <c r="L851" s="593"/>
      <c r="M851" s="181"/>
      <c r="N851" s="594"/>
      <c r="O851" s="593"/>
      <c r="P851" s="181"/>
    </row>
    <row r="852" customFormat="false" ht="18.75" hidden="false" customHeight="true" outlineLevel="0" collapsed="false">
      <c r="A852" s="100" t="str">
        <f aca="false">'☆掛負収入'!A852</f>
        <v>下水道局</v>
      </c>
      <c r="B852" s="406"/>
      <c r="C852" s="181"/>
      <c r="D852" s="592"/>
      <c r="E852" s="592"/>
      <c r="F852" s="135"/>
      <c r="G852" s="181"/>
      <c r="H852" s="594"/>
      <c r="I852" s="424"/>
      <c r="J852" s="135"/>
      <c r="K852" s="595"/>
      <c r="L852" s="596"/>
      <c r="M852" s="135"/>
      <c r="N852" s="595"/>
      <c r="O852" s="596"/>
      <c r="P852" s="135"/>
    </row>
    <row r="853" customFormat="false" ht="18.75" hidden="false" customHeight="true" outlineLevel="0" collapsed="false">
      <c r="A853" s="100" t="str">
        <f aca="false">'☆掛負収入'!A853</f>
        <v>消防局</v>
      </c>
      <c r="B853" s="406"/>
      <c r="C853" s="181"/>
      <c r="D853" s="592"/>
      <c r="E853" s="592"/>
      <c r="F853" s="135"/>
      <c r="G853" s="181"/>
      <c r="H853" s="595"/>
      <c r="I853" s="439"/>
      <c r="J853" s="135"/>
      <c r="K853" s="595"/>
      <c r="L853" s="439"/>
      <c r="M853" s="135"/>
      <c r="N853" s="595"/>
      <c r="O853" s="439"/>
      <c r="P853" s="135"/>
    </row>
    <row r="854" customFormat="false" ht="18.75" hidden="false" customHeight="true" outlineLevel="0" collapsed="false">
      <c r="A854" s="100" t="str">
        <f aca="false">'☆掛負収入'!A854</f>
        <v>議会事務局</v>
      </c>
      <c r="B854" s="406"/>
      <c r="C854" s="181"/>
      <c r="D854" s="592"/>
      <c r="E854" s="592"/>
      <c r="F854" s="135"/>
      <c r="G854" s="181"/>
      <c r="H854" s="406"/>
      <c r="I854" s="439"/>
      <c r="J854" s="135"/>
      <c r="K854" s="406"/>
      <c r="L854" s="439"/>
      <c r="M854" s="135"/>
      <c r="N854" s="406"/>
      <c r="O854" s="439"/>
      <c r="P854" s="135"/>
    </row>
    <row r="855" customFormat="false" ht="18.75" hidden="false" customHeight="true" outlineLevel="0" collapsed="false">
      <c r="A855" s="100" t="str">
        <f aca="false">'☆掛負収入'!A855</f>
        <v>教育委員会（総務課）</v>
      </c>
      <c r="B855" s="406"/>
      <c r="C855" s="181"/>
      <c r="D855" s="592"/>
      <c r="E855" s="592"/>
      <c r="F855" s="135"/>
      <c r="G855" s="181"/>
      <c r="H855" s="406"/>
      <c r="I855" s="439"/>
      <c r="J855" s="135"/>
      <c r="K855" s="406"/>
      <c r="L855" s="439"/>
      <c r="M855" s="135"/>
      <c r="N855" s="406"/>
      <c r="O855" s="439"/>
      <c r="P855" s="135"/>
    </row>
    <row r="856" customFormat="false" ht="18.75" hidden="false" customHeight="true" outlineLevel="0" collapsed="false">
      <c r="A856" s="100" t="str">
        <f aca="false">'☆掛負収入'!A856</f>
        <v>選挙管理委員会</v>
      </c>
      <c r="B856" s="406"/>
      <c r="C856" s="181"/>
      <c r="D856" s="592"/>
      <c r="E856" s="592"/>
      <c r="F856" s="135"/>
      <c r="G856" s="181"/>
      <c r="H856" s="594"/>
      <c r="I856" s="424"/>
      <c r="J856" s="135"/>
      <c r="K856" s="406"/>
      <c r="L856" s="439"/>
      <c r="M856" s="135"/>
      <c r="N856" s="406"/>
      <c r="O856" s="439"/>
      <c r="P856" s="135"/>
    </row>
    <row r="857" customFormat="false" ht="18.75" hidden="false" customHeight="true" outlineLevel="0" collapsed="false">
      <c r="A857" s="100" t="str">
        <f aca="false">'☆掛負収入'!A857</f>
        <v>人事委員会</v>
      </c>
      <c r="B857" s="406"/>
      <c r="C857" s="181"/>
      <c r="D857" s="592"/>
      <c r="E857" s="592"/>
      <c r="F857" s="135"/>
      <c r="G857" s="181"/>
      <c r="H857" s="594"/>
      <c r="I857" s="424"/>
      <c r="J857" s="135"/>
      <c r="K857" s="594"/>
      <c r="L857" s="424"/>
      <c r="M857" s="135"/>
      <c r="N857" s="594"/>
      <c r="O857" s="424"/>
      <c r="P857" s="135"/>
    </row>
    <row r="858" customFormat="false" ht="18.75" hidden="false" customHeight="true" outlineLevel="0" collapsed="false">
      <c r="A858" s="100" t="str">
        <f aca="false">'☆掛負収入'!A858</f>
        <v>監査事務局</v>
      </c>
      <c r="B858" s="406"/>
      <c r="C858" s="181"/>
      <c r="D858" s="592"/>
      <c r="E858" s="592"/>
      <c r="F858" s="135"/>
      <c r="G858" s="181"/>
      <c r="H858" s="594"/>
      <c r="I858" s="424"/>
      <c r="J858" s="135"/>
      <c r="K858" s="594"/>
      <c r="L858" s="424"/>
      <c r="M858" s="135"/>
      <c r="N858" s="594"/>
      <c r="O858" s="424"/>
      <c r="P858" s="135"/>
    </row>
    <row r="859" customFormat="false" ht="18.75" hidden="false" customHeight="true" outlineLevel="0" collapsed="false">
      <c r="A859" s="100" t="str">
        <f aca="false">'☆掛負収入'!A859</f>
        <v>農業委員会</v>
      </c>
      <c r="B859" s="406"/>
      <c r="C859" s="181"/>
      <c r="D859" s="592"/>
      <c r="E859" s="592"/>
      <c r="F859" s="135"/>
      <c r="G859" s="181"/>
      <c r="H859" s="594"/>
      <c r="I859" s="424"/>
      <c r="J859" s="135"/>
      <c r="K859" s="594"/>
      <c r="L859" s="424"/>
      <c r="M859" s="135"/>
      <c r="N859" s="594"/>
      <c r="O859" s="424"/>
      <c r="P859" s="135"/>
    </row>
    <row r="860" customFormat="false" ht="18.75" hidden="false" customHeight="true" outlineLevel="0" collapsed="false">
      <c r="A860" s="100" t="str">
        <f aca="false">'☆掛負収入'!A860</f>
        <v>水道局</v>
      </c>
      <c r="B860" s="406"/>
      <c r="C860" s="181"/>
      <c r="D860" s="592"/>
      <c r="E860" s="592"/>
      <c r="F860" s="393"/>
      <c r="G860" s="181"/>
      <c r="H860" s="594"/>
      <c r="I860" s="424"/>
      <c r="J860" s="135"/>
      <c r="K860" s="594"/>
      <c r="L860" s="424"/>
      <c r="M860" s="135"/>
      <c r="N860" s="594"/>
      <c r="O860" s="424"/>
      <c r="P860" s="135"/>
    </row>
    <row r="861" customFormat="false" ht="18.75" hidden="false" customHeight="true" outlineLevel="0" collapsed="false">
      <c r="A861" s="121" t="str">
        <f aca="false">'☆掛負収入'!A861</f>
        <v>医療政策課(安芸市民)</v>
      </c>
      <c r="B861" s="595"/>
      <c r="C861" s="366"/>
      <c r="D861" s="595"/>
      <c r="E861" s="596"/>
      <c r="F861" s="393"/>
      <c r="G861" s="181"/>
      <c r="H861" s="597"/>
      <c r="I861" s="407"/>
      <c r="J861" s="135"/>
      <c r="K861" s="594"/>
      <c r="L861" s="424"/>
      <c r="M861" s="135"/>
      <c r="N861" s="594"/>
      <c r="O861" s="424"/>
      <c r="P861" s="135"/>
    </row>
    <row r="862" customFormat="false" ht="18.75" hidden="false" customHeight="true" outlineLevel="0" collapsed="false">
      <c r="A862" s="121" t="str">
        <f aca="false">'☆掛負収入'!A862</f>
        <v>教育委員会（教育給与課）</v>
      </c>
      <c r="B862" s="595"/>
      <c r="C862" s="181"/>
      <c r="D862" s="406"/>
      <c r="E862" s="598"/>
      <c r="F862" s="284"/>
      <c r="G862" s="181"/>
      <c r="H862" s="594"/>
      <c r="I862" s="424"/>
      <c r="J862" s="135"/>
      <c r="K862" s="594"/>
      <c r="L862" s="424"/>
      <c r="M862" s="135"/>
      <c r="N862" s="594"/>
      <c r="O862" s="424"/>
      <c r="P862" s="135"/>
    </row>
    <row r="863" customFormat="false" ht="18.75" hidden="true" customHeight="true" outlineLevel="0" collapsed="false">
      <c r="A863" s="599"/>
      <c r="B863" s="600"/>
      <c r="C863" s="210"/>
      <c r="D863" s="600"/>
      <c r="E863" s="601"/>
      <c r="F863" s="196"/>
      <c r="G863" s="687"/>
      <c r="H863" s="602"/>
      <c r="I863" s="603"/>
      <c r="J863" s="603"/>
      <c r="K863" s="602"/>
      <c r="L863" s="603"/>
      <c r="M863" s="195"/>
      <c r="N863" s="602"/>
      <c r="O863" s="603"/>
      <c r="P863" s="195"/>
    </row>
    <row r="864" customFormat="false" ht="18.75" hidden="true" customHeight="true" outlineLevel="0" collapsed="false">
      <c r="A864" s="604"/>
      <c r="B864" s="457"/>
      <c r="C864" s="132"/>
      <c r="D864" s="457"/>
      <c r="E864" s="458"/>
      <c r="F864" s="459"/>
      <c r="G864" s="435"/>
      <c r="H864" s="457"/>
      <c r="I864" s="458"/>
      <c r="J864" s="458"/>
      <c r="K864" s="457"/>
      <c r="L864" s="458"/>
      <c r="M864" s="130"/>
      <c r="N864" s="457"/>
      <c r="O864" s="458"/>
      <c r="P864" s="130"/>
    </row>
    <row r="865" customFormat="false" ht="18.75" hidden="true" customHeight="true" outlineLevel="0" collapsed="false">
      <c r="A865" s="604"/>
      <c r="B865" s="600"/>
      <c r="C865" s="210"/>
      <c r="D865" s="600"/>
      <c r="E865" s="601"/>
      <c r="F865" s="196"/>
      <c r="G865" s="687"/>
      <c r="H865" s="600"/>
      <c r="I865" s="601"/>
      <c r="J865" s="601"/>
      <c r="K865" s="600"/>
      <c r="L865" s="601"/>
      <c r="M865" s="696"/>
      <c r="N865" s="600"/>
      <c r="O865" s="601"/>
      <c r="P865" s="696"/>
    </row>
    <row r="866" customFormat="false" ht="18.75" hidden="true" customHeight="true" outlineLevel="0" collapsed="false">
      <c r="A866" s="605"/>
      <c r="B866" s="606"/>
      <c r="C866" s="607"/>
      <c r="D866" s="606"/>
      <c r="E866" s="490"/>
      <c r="F866" s="608"/>
      <c r="G866" s="689"/>
      <c r="H866" s="457"/>
      <c r="I866" s="609"/>
      <c r="J866" s="609"/>
      <c r="K866" s="457"/>
      <c r="L866" s="458"/>
      <c r="M866" s="130"/>
      <c r="N866" s="457"/>
      <c r="O866" s="458"/>
      <c r="P866" s="130"/>
    </row>
    <row r="867" customFormat="false" ht="18.75" hidden="false" customHeight="true" outlineLevel="0" collapsed="false">
      <c r="A867" s="171" t="str">
        <f aca="false">'☆掛負収入'!A867</f>
        <v>小　計</v>
      </c>
      <c r="B867" s="404"/>
      <c r="C867" s="174"/>
      <c r="D867" s="404"/>
      <c r="E867" s="174"/>
      <c r="F867" s="175"/>
      <c r="G867" s="176"/>
      <c r="H867" s="404"/>
      <c r="I867" s="174"/>
      <c r="J867" s="173"/>
      <c r="K867" s="404"/>
      <c r="L867" s="174"/>
      <c r="M867" s="173"/>
      <c r="N867" s="404"/>
      <c r="O867" s="174"/>
      <c r="P867" s="173"/>
    </row>
    <row r="868" customFormat="false" ht="18.75" hidden="false" customHeight="true" outlineLevel="0" collapsed="false">
      <c r="A868" s="177" t="str">
        <f aca="false">'☆掛負収入'!A868</f>
        <v>地方税共同機構</v>
      </c>
      <c r="B868" s="449" t="n">
        <f aca="false">'☆掛負収入'!B868</f>
        <v>0</v>
      </c>
      <c r="C868" s="377" t="n">
        <f aca="false">'☆掛負収入'!C868</f>
        <v>0</v>
      </c>
      <c r="D868" s="469" t="n">
        <f aca="false">'☆掛負収入'!D868</f>
        <v>0</v>
      </c>
      <c r="E868" s="463" t="n">
        <f aca="false">'☆掛負収入'!E868</f>
        <v>0</v>
      </c>
      <c r="F868" s="450" t="n">
        <f aca="false">'☆掛負収入'!F868</f>
        <v>0</v>
      </c>
      <c r="G868" s="666" t="n">
        <f aca="false">SUM(B868:F868)</f>
        <v>0</v>
      </c>
      <c r="H868" s="594" t="n">
        <f aca="false">'☆掛負収入'!H868</f>
        <v>0</v>
      </c>
      <c r="I868" s="424" t="n">
        <f aca="false">'☆掛負収入'!I868</f>
        <v>0</v>
      </c>
      <c r="J868" s="135" t="n">
        <f aca="false">SUM(H868:I868)</f>
        <v>0</v>
      </c>
      <c r="K868" s="439" t="n">
        <f aca="false">'☆掛負収入'!K868</f>
        <v>0</v>
      </c>
      <c r="L868" s="424" t="n">
        <f aca="false">'☆掛負収入'!L868</f>
        <v>0</v>
      </c>
      <c r="M868" s="135" t="n">
        <f aca="false">SUM(K868:L868)</f>
        <v>0</v>
      </c>
      <c r="N868" s="439" t="n">
        <f aca="false">'☆掛負収入'!N868</f>
        <v>0</v>
      </c>
      <c r="O868" s="424" t="n">
        <f aca="false">'☆掛負収入'!O868</f>
        <v>0</v>
      </c>
      <c r="P868" s="135" t="n">
        <f aca="false">SUM(N868:O868)</f>
        <v>0</v>
      </c>
    </row>
    <row r="869" customFormat="false" ht="18.75" hidden="false" customHeight="true" outlineLevel="0" collapsed="false">
      <c r="A869" s="100" t="str">
        <f aca="false">'☆掛負収入'!A869</f>
        <v>平和文化センター</v>
      </c>
      <c r="B869" s="449" t="n">
        <f aca="false">'☆掛負収入'!B869</f>
        <v>0</v>
      </c>
      <c r="C869" s="377" t="n">
        <f aca="false">'☆掛負収入'!C869</f>
        <v>0</v>
      </c>
      <c r="D869" s="464" t="n">
        <f aca="false">'☆掛負収入'!D869</f>
        <v>266723</v>
      </c>
      <c r="E869" s="452" t="n">
        <f aca="false">'☆掛負収入'!E869</f>
        <v>21863</v>
      </c>
      <c r="F869" s="450" t="n">
        <f aca="false">'☆掛負収入'!F869</f>
        <v>284</v>
      </c>
      <c r="G869" s="668" t="n">
        <f aca="false">SUM(B869:F869)</f>
        <v>288870</v>
      </c>
      <c r="H869" s="448" t="n">
        <f aca="false">'☆掛負収入'!H869</f>
        <v>0</v>
      </c>
      <c r="I869" s="450" t="n">
        <f aca="false">'☆掛負収入'!I869</f>
        <v>160646</v>
      </c>
      <c r="J869" s="135" t="n">
        <f aca="false">SUM(H869:I869)</f>
        <v>160646</v>
      </c>
      <c r="K869" s="453" t="n">
        <f aca="false">'☆掛負収入'!K869</f>
        <v>0</v>
      </c>
      <c r="L869" s="450" t="n">
        <f aca="false">'☆掛負収入'!L869</f>
        <v>20879</v>
      </c>
      <c r="M869" s="135" t="n">
        <f aca="false">SUM(K869:L869)</f>
        <v>20879</v>
      </c>
      <c r="N869" s="453" t="n">
        <f aca="false">'☆掛負収入'!N869</f>
        <v>0</v>
      </c>
      <c r="O869" s="450" t="n">
        <f aca="false">'☆掛負収入'!O869</f>
        <v>1</v>
      </c>
      <c r="P869" s="135" t="n">
        <f aca="false">SUM(N869:O869)</f>
        <v>1</v>
      </c>
    </row>
    <row r="870" customFormat="false" ht="18.75" hidden="false" customHeight="true" outlineLevel="0" collapsed="false">
      <c r="A870" s="100" t="str">
        <f aca="false">'☆掛負収入'!A870</f>
        <v>社会福祉事業団</v>
      </c>
      <c r="B870" s="600"/>
      <c r="C870" s="210"/>
      <c r="D870" s="451" t="n">
        <f aca="false">'☆掛負収入'!D870</f>
        <v>842818</v>
      </c>
      <c r="E870" s="453" t="n">
        <f aca="false">'☆掛負収入'!E870</f>
        <v>69079</v>
      </c>
      <c r="F870" s="450" t="n">
        <f aca="false">'☆掛負収入'!F870</f>
        <v>884</v>
      </c>
      <c r="G870" s="668" t="n">
        <f aca="false">SUM(B870:F870)</f>
        <v>912781</v>
      </c>
      <c r="H870" s="602"/>
      <c r="I870" s="450" t="n">
        <f aca="false">'☆掛負収入'!I870</f>
        <v>507639</v>
      </c>
      <c r="J870" s="135" t="n">
        <f aca="false">SUM(H870:I870)</f>
        <v>507639</v>
      </c>
      <c r="K870" s="612"/>
      <c r="L870" s="450" t="n">
        <f aca="false">'☆掛負収入'!L870</f>
        <v>56123</v>
      </c>
      <c r="M870" s="135" t="n">
        <f aca="false">SUM(K870:L870)</f>
        <v>56123</v>
      </c>
      <c r="N870" s="612"/>
      <c r="O870" s="450" t="n">
        <f aca="false">'☆掛負収入'!O870</f>
        <v>1</v>
      </c>
      <c r="P870" s="135" t="n">
        <f aca="false">SUM(N870:O870)</f>
        <v>1</v>
      </c>
    </row>
    <row r="871" customFormat="false" ht="18.75" hidden="false" customHeight="true" outlineLevel="0" collapsed="false">
      <c r="A871" s="100" t="str">
        <f aca="false">'☆掛負収入'!A871</f>
        <v>原爆障害対策協議会</v>
      </c>
      <c r="B871" s="600"/>
      <c r="C871" s="210"/>
      <c r="D871" s="445" t="n">
        <f aca="false">'☆掛負収入'!D871</f>
        <v>22509</v>
      </c>
      <c r="E871" s="453" t="n">
        <f aca="false">'☆掛負収入'!E871</f>
        <v>1845</v>
      </c>
      <c r="F871" s="450" t="n">
        <f aca="false">'☆掛負収入'!F871</f>
        <v>23</v>
      </c>
      <c r="G871" s="668" t="n">
        <f aca="false">SUM(B871:F871)</f>
        <v>24377</v>
      </c>
      <c r="H871" s="602"/>
      <c r="I871" s="450" t="n">
        <f aca="false">'☆掛負収入'!I871</f>
        <v>13557</v>
      </c>
      <c r="J871" s="135" t="n">
        <f aca="false">SUM(H871:I871)</f>
        <v>13557</v>
      </c>
      <c r="K871" s="612"/>
      <c r="L871" s="450" t="n">
        <f aca="false">'☆掛負収入'!L871</f>
        <v>1943</v>
      </c>
      <c r="M871" s="135" t="n">
        <f aca="false">SUM(K871:L871)</f>
        <v>1943</v>
      </c>
      <c r="N871" s="612"/>
      <c r="O871" s="450" t="n">
        <f aca="false">'☆掛負収入'!O871</f>
        <v>1</v>
      </c>
      <c r="P871" s="135" t="n">
        <f aca="false">SUM(N871:O871)</f>
        <v>1</v>
      </c>
    </row>
    <row r="872" customFormat="false" ht="18.75" hidden="false" customHeight="true" outlineLevel="0" collapsed="false">
      <c r="A872" s="189" t="str">
        <f aca="false">'☆掛負収入'!A872</f>
        <v>産業振興センター</v>
      </c>
      <c r="B872" s="600"/>
      <c r="C872" s="210"/>
      <c r="D872" s="445" t="n">
        <f aca="false">'☆掛負収入'!D872</f>
        <v>185656</v>
      </c>
      <c r="E872" s="453" t="n">
        <f aca="false">'☆掛負収入'!E872</f>
        <v>15217</v>
      </c>
      <c r="F872" s="450" t="n">
        <f aca="false">'☆掛負収入'!F872</f>
        <v>190</v>
      </c>
      <c r="G872" s="668" t="n">
        <f aca="false">SUM(B872:F872)</f>
        <v>201063</v>
      </c>
      <c r="H872" s="602"/>
      <c r="I872" s="450" t="n">
        <f aca="false">'☆掛負収入'!I872</f>
        <v>111817</v>
      </c>
      <c r="J872" s="135" t="n">
        <f aca="false">SUM(H872:I872)</f>
        <v>111817</v>
      </c>
      <c r="K872" s="612"/>
      <c r="L872" s="450" t="n">
        <f aca="false">'☆掛負収入'!L872</f>
        <v>15064</v>
      </c>
      <c r="M872" s="135" t="n">
        <f aca="false">SUM(K872:L872)</f>
        <v>15064</v>
      </c>
      <c r="N872" s="612"/>
      <c r="O872" s="450" t="n">
        <f aca="false">'☆掛負収入'!O872</f>
        <v>1</v>
      </c>
      <c r="P872" s="135" t="n">
        <f aca="false">SUM(N872:O872)</f>
        <v>1</v>
      </c>
    </row>
    <row r="873" customFormat="false" ht="18.75" hidden="false" customHeight="true" outlineLevel="0" collapsed="false">
      <c r="A873" s="121" t="str">
        <f aca="false">'☆掛負収入'!A873</f>
        <v>ひろしま産業振興</v>
      </c>
      <c r="B873" s="600"/>
      <c r="C873" s="459"/>
      <c r="D873" s="445" t="n">
        <f aca="false">'☆掛負収入'!D873</f>
        <v>40352</v>
      </c>
      <c r="E873" s="453" t="n">
        <f aca="false">'☆掛負収入'!E873</f>
        <v>3307</v>
      </c>
      <c r="F873" s="456" t="n">
        <f aca="false">'☆掛負収入'!F873</f>
        <v>41</v>
      </c>
      <c r="G873" s="668" t="n">
        <f aca="false">SUM(B873:F873)</f>
        <v>43700</v>
      </c>
      <c r="H873" s="602"/>
      <c r="I873" s="456" t="n">
        <f aca="false">'☆掛負収入'!I873</f>
        <v>24303</v>
      </c>
      <c r="J873" s="135" t="n">
        <f aca="false">SUM(H873:I873)</f>
        <v>24303</v>
      </c>
      <c r="K873" s="612"/>
      <c r="L873" s="456" t="n">
        <f aca="false">'☆掛負収入'!L873</f>
        <v>3483</v>
      </c>
      <c r="M873" s="135" t="n">
        <f aca="false">SUM(K873:L873)</f>
        <v>3483</v>
      </c>
      <c r="N873" s="612"/>
      <c r="O873" s="456" t="n">
        <f aca="false">'☆掛負収入'!O873</f>
        <v>1</v>
      </c>
      <c r="P873" s="135" t="n">
        <f aca="false">SUM(N873:O873)</f>
        <v>1</v>
      </c>
    </row>
    <row r="874" customFormat="false" ht="18.75" hidden="false" customHeight="true" outlineLevel="0" collapsed="false">
      <c r="A874" s="121" t="str">
        <f aca="false">'☆掛負収入'!A874</f>
        <v>都市整備公社　市</v>
      </c>
      <c r="B874" s="600"/>
      <c r="C874" s="459"/>
      <c r="D874" s="451" t="n">
        <f aca="false">'☆掛負収入'!D874</f>
        <v>22143</v>
      </c>
      <c r="E874" s="453" t="n">
        <f aca="false">'☆掛負収入'!E874</f>
        <v>1815</v>
      </c>
      <c r="F874" s="450" t="n">
        <f aca="false">'☆掛負収入'!F874</f>
        <v>22</v>
      </c>
      <c r="G874" s="668" t="n">
        <f aca="false">SUM(B874:F874)</f>
        <v>23980</v>
      </c>
      <c r="H874" s="602"/>
      <c r="I874" s="450" t="n">
        <f aca="false">'☆掛負収入'!I874</f>
        <v>13336</v>
      </c>
      <c r="J874" s="135" t="n">
        <f aca="false">SUM(H874:I874)</f>
        <v>13336</v>
      </c>
      <c r="K874" s="612"/>
      <c r="L874" s="450" t="n">
        <f aca="false">'☆掛負収入'!L874</f>
        <v>1911</v>
      </c>
      <c r="M874" s="135" t="n">
        <f aca="false">SUM(K874:L874)</f>
        <v>1911</v>
      </c>
      <c r="N874" s="612"/>
      <c r="O874" s="450" t="n">
        <f aca="false">'☆掛負収入'!O874</f>
        <v>1</v>
      </c>
      <c r="P874" s="135" t="n">
        <f aca="false">SUM(N874:O874)</f>
        <v>1</v>
      </c>
    </row>
    <row r="875" customFormat="false" ht="18.75" hidden="false" customHeight="true" outlineLevel="0" collapsed="false">
      <c r="A875" s="192"/>
      <c r="B875" s="600"/>
      <c r="C875" s="196"/>
      <c r="D875" s="449"/>
      <c r="E875" s="453"/>
      <c r="F875" s="450"/>
      <c r="G875" s="668"/>
      <c r="H875" s="602"/>
      <c r="I875" s="450"/>
      <c r="J875" s="135"/>
      <c r="K875" s="612"/>
      <c r="L875" s="450"/>
      <c r="M875" s="135" t="n">
        <f aca="false">SUM(K875:L875)</f>
        <v>0</v>
      </c>
      <c r="N875" s="612"/>
      <c r="O875" s="450"/>
      <c r="P875" s="135" t="n">
        <f aca="false">SUM(N875:O875)</f>
        <v>0</v>
      </c>
    </row>
    <row r="876" customFormat="false" ht="18.75" hidden="false" customHeight="true" outlineLevel="0" collapsed="false">
      <c r="A876" s="121" t="str">
        <f aca="false">'☆掛負収入'!A876</f>
        <v>日本下水道事業団</v>
      </c>
      <c r="B876" s="451" t="n">
        <f aca="false">'☆掛負収入'!B876</f>
        <v>3204</v>
      </c>
      <c r="C876" s="223" t="n">
        <f aca="false">'☆掛負収入'!C876</f>
        <v>264</v>
      </c>
      <c r="D876" s="449" t="n">
        <f aca="false">'☆掛負収入'!D876</f>
        <v>3201</v>
      </c>
      <c r="E876" s="453" t="n">
        <f aca="false">'☆掛負収入'!E876</f>
        <v>262</v>
      </c>
      <c r="F876" s="450" t="n">
        <f aca="false">'☆掛負収入'!F876</f>
        <v>4</v>
      </c>
      <c r="G876" s="668" t="n">
        <f aca="false">SUM(B876:F876)</f>
        <v>6935</v>
      </c>
      <c r="H876" s="594" t="n">
        <f aca="false">'☆掛負収入'!H876</f>
        <v>1926</v>
      </c>
      <c r="I876" s="450" t="n">
        <f aca="false">'☆掛負収入'!I876</f>
        <v>1929</v>
      </c>
      <c r="J876" s="135" t="n">
        <f aca="false">SUM(H876:I876)</f>
        <v>3855</v>
      </c>
      <c r="K876" s="439" t="n">
        <f aca="false">'☆掛負収入'!K876</f>
        <v>47</v>
      </c>
      <c r="L876" s="450" t="n">
        <f aca="false">'☆掛負収入'!L876</f>
        <v>47</v>
      </c>
      <c r="M876" s="135" t="n">
        <f aca="false">SUM(K876:L876)</f>
        <v>94</v>
      </c>
      <c r="N876" s="439" t="n">
        <f aca="false">'☆掛負収入'!N876</f>
        <v>1</v>
      </c>
      <c r="O876" s="450" t="n">
        <f aca="false">'☆掛負収入'!O876</f>
        <v>1</v>
      </c>
      <c r="P876" s="135" t="n">
        <f aca="false">SUM(N876:O876)</f>
        <v>2</v>
      </c>
    </row>
    <row r="877" customFormat="false" ht="18.75" hidden="false" customHeight="true" outlineLevel="0" collapsed="false">
      <c r="A877" s="100" t="str">
        <f aca="false">'☆掛負収入'!A877</f>
        <v>地方公務員災害補償基金本部</v>
      </c>
      <c r="B877" s="451" t="n">
        <f aca="false">'☆掛負収入'!B877</f>
        <v>0</v>
      </c>
      <c r="C877" s="223" t="n">
        <f aca="false">'☆掛負収入'!C877</f>
        <v>0</v>
      </c>
      <c r="D877" s="449" t="n">
        <f aca="false">'☆掛負収入'!D877</f>
        <v>0</v>
      </c>
      <c r="E877" s="453" t="n">
        <f aca="false">'☆掛負収入'!E877</f>
        <v>0</v>
      </c>
      <c r="F877" s="450" t="n">
        <f aca="false">'☆掛負収入'!F877</f>
        <v>0</v>
      </c>
      <c r="G877" s="668" t="n">
        <f aca="false">SUM(B877:F877)</f>
        <v>0</v>
      </c>
      <c r="H877" s="594" t="n">
        <f aca="false">'☆掛負収入'!H877</f>
        <v>0</v>
      </c>
      <c r="I877" s="450" t="n">
        <f aca="false">'☆掛負収入'!I877</f>
        <v>0</v>
      </c>
      <c r="J877" s="135" t="n">
        <f aca="false">SUM(H877:I877)</f>
        <v>0</v>
      </c>
      <c r="K877" s="439" t="n">
        <f aca="false">'☆掛負収入'!K877</f>
        <v>0</v>
      </c>
      <c r="L877" s="450" t="n">
        <f aca="false">'☆掛負収入'!L877</f>
        <v>0</v>
      </c>
      <c r="M877" s="135" t="n">
        <f aca="false">SUM(K877:L877)</f>
        <v>0</v>
      </c>
      <c r="N877" s="439" t="n">
        <f aca="false">'☆掛負収入'!N877</f>
        <v>0</v>
      </c>
      <c r="O877" s="450" t="n">
        <f aca="false">'☆掛負収入'!O877</f>
        <v>0</v>
      </c>
      <c r="P877" s="135" t="n">
        <f aca="false">SUM(N877:O877)</f>
        <v>0</v>
      </c>
    </row>
    <row r="878" customFormat="false" ht="18.75" hidden="false" customHeight="true" outlineLevel="0" collapsed="false">
      <c r="A878" s="197"/>
      <c r="B878" s="449"/>
      <c r="C878" s="223"/>
      <c r="D878" s="449"/>
      <c r="E878" s="453"/>
      <c r="F878" s="450"/>
      <c r="G878" s="668"/>
      <c r="H878" s="448"/>
      <c r="I878" s="450"/>
      <c r="J878" s="135"/>
      <c r="K878" s="439"/>
      <c r="L878" s="424"/>
      <c r="M878" s="135" t="n">
        <f aca="false">SUM(K878:L878)</f>
        <v>0</v>
      </c>
      <c r="N878" s="439"/>
      <c r="O878" s="424"/>
      <c r="P878" s="135" t="n">
        <f aca="false">SUM(N878:O878)</f>
        <v>0</v>
      </c>
    </row>
    <row r="879" customFormat="false" ht="18.75" hidden="false" customHeight="true" outlineLevel="0" collapsed="false">
      <c r="A879" s="100" t="str">
        <f aca="false">'☆掛負収入'!A879</f>
        <v>高速道路公社</v>
      </c>
      <c r="B879" s="464" t="n">
        <f aca="false">'☆掛負収入'!B879</f>
        <v>394542</v>
      </c>
      <c r="C879" s="454" t="n">
        <f aca="false">'☆掛負収入'!C879</f>
        <v>32334</v>
      </c>
      <c r="D879" s="464" t="n">
        <f aca="false">'☆掛負収入'!D879</f>
        <v>394548</v>
      </c>
      <c r="E879" s="470" t="n">
        <f aca="false">'☆掛負収入'!E879</f>
        <v>32340</v>
      </c>
      <c r="F879" s="472" t="n">
        <f aca="false">'☆掛負収入'!F879</f>
        <v>404</v>
      </c>
      <c r="G879" s="668" t="n">
        <f aca="false">SUM(B879:F879)</f>
        <v>854168</v>
      </c>
      <c r="H879" s="471" t="n">
        <f aca="false">'☆掛負収入'!H879</f>
        <v>237194</v>
      </c>
      <c r="I879" s="472" t="n">
        <f aca="false">'☆掛負収入'!I879</f>
        <v>237634</v>
      </c>
      <c r="J879" s="135" t="n">
        <f aca="false">SUM(H879:I879)</f>
        <v>474828</v>
      </c>
      <c r="K879" s="470" t="n">
        <f aca="false">'☆掛負収入'!K879</f>
        <v>24334</v>
      </c>
      <c r="L879" s="472" t="n">
        <f aca="false">'☆掛負収入'!L879</f>
        <v>24339</v>
      </c>
      <c r="M879" s="135" t="n">
        <f aca="false">SUM(K879:L879)</f>
        <v>48673</v>
      </c>
      <c r="N879" s="470" t="n">
        <f aca="false">'☆掛負収入'!N879</f>
        <v>1</v>
      </c>
      <c r="O879" s="472" t="n">
        <f aca="false">'☆掛負収入'!O879</f>
        <v>1</v>
      </c>
      <c r="P879" s="135" t="n">
        <f aca="false">SUM(N879:O879)</f>
        <v>2</v>
      </c>
    </row>
    <row r="880" customFormat="false" ht="18.75" hidden="false" customHeight="true" outlineLevel="0" collapsed="false">
      <c r="A880" s="100" t="str">
        <f aca="false">'☆掛負収入'!A880</f>
        <v>農林水産振興センタ</v>
      </c>
      <c r="B880" s="457"/>
      <c r="C880" s="459"/>
      <c r="D880" s="451" t="n">
        <f aca="false">'☆掛負収入'!D880</f>
        <v>293989</v>
      </c>
      <c r="E880" s="473" t="n">
        <f aca="false">'☆掛負収入'!E880</f>
        <v>24097</v>
      </c>
      <c r="F880" s="456" t="n">
        <f aca="false">'☆掛負収入'!F880</f>
        <v>303</v>
      </c>
      <c r="G880" s="668" t="n">
        <f aca="false">SUM(B880:F880)</f>
        <v>318389</v>
      </c>
      <c r="H880" s="616"/>
      <c r="I880" s="456" t="n">
        <f aca="false">'☆掛負収入'!I880</f>
        <v>177065</v>
      </c>
      <c r="J880" s="135" t="n">
        <f aca="false">SUM(H880:I880)</f>
        <v>177065</v>
      </c>
      <c r="K880" s="617"/>
      <c r="L880" s="456" t="n">
        <f aca="false">'☆掛負収入'!L880</f>
        <v>17681</v>
      </c>
      <c r="M880" s="135" t="n">
        <f aca="false">SUM(K880:L880)</f>
        <v>17681</v>
      </c>
      <c r="N880" s="617"/>
      <c r="O880" s="456" t="n">
        <f aca="false">'☆掛負収入'!O880</f>
        <v>1</v>
      </c>
      <c r="P880" s="135" t="n">
        <f aca="false">SUM(N880:O880)</f>
        <v>1</v>
      </c>
    </row>
    <row r="881" customFormat="false" ht="18.75" hidden="false" customHeight="true" outlineLevel="0" collapsed="false">
      <c r="A881" s="203" t="str">
        <f aca="false">'☆掛負収入'!A881</f>
        <v>文化財団　市長部局</v>
      </c>
      <c r="B881" s="600"/>
      <c r="C881" s="196"/>
      <c r="D881" s="449" t="n">
        <f aca="false">'☆掛負収入'!D881</f>
        <v>535372</v>
      </c>
      <c r="E881" s="453" t="n">
        <f aca="false">'☆掛負収入'!E881</f>
        <v>43880</v>
      </c>
      <c r="F881" s="456" t="n">
        <f aca="false">'☆掛負収入'!F881</f>
        <v>546</v>
      </c>
      <c r="G881" s="668" t="n">
        <f aca="false">SUM(B881:F881)</f>
        <v>579798</v>
      </c>
      <c r="H881" s="602"/>
      <c r="I881" s="456" t="n">
        <f aca="false">'☆掛負収入'!I881</f>
        <v>322445</v>
      </c>
      <c r="J881" s="135" t="n">
        <f aca="false">SUM(H881:I881)</f>
        <v>322445</v>
      </c>
      <c r="K881" s="612"/>
      <c r="L881" s="456" t="n">
        <f aca="false">'☆掛負収入'!L881</f>
        <v>43832</v>
      </c>
      <c r="M881" s="135" t="n">
        <f aca="false">SUM(K881:L881)</f>
        <v>43832</v>
      </c>
      <c r="N881" s="612"/>
      <c r="O881" s="456" t="n">
        <f aca="false">'☆掛負収入'!O881</f>
        <v>1</v>
      </c>
      <c r="P881" s="135" t="n">
        <f aca="false">SUM(N881:O881)</f>
        <v>1</v>
      </c>
    </row>
    <row r="882" customFormat="false" ht="18.75" hidden="false" customHeight="true" outlineLevel="0" collapsed="false">
      <c r="A882" s="204"/>
      <c r="B882" s="600"/>
      <c r="C882" s="196"/>
      <c r="D882" s="449"/>
      <c r="E882" s="453"/>
      <c r="F882" s="456"/>
      <c r="G882" s="668"/>
      <c r="H882" s="602"/>
      <c r="I882" s="456"/>
      <c r="J882" s="135"/>
      <c r="K882" s="612"/>
      <c r="L882" s="456"/>
      <c r="M882" s="135" t="n">
        <f aca="false">SUM(K882:L882)</f>
        <v>0</v>
      </c>
      <c r="N882" s="612"/>
      <c r="O882" s="456"/>
      <c r="P882" s="135" t="n">
        <f aca="false">SUM(N882:O882)</f>
        <v>0</v>
      </c>
    </row>
    <row r="883" customFormat="false" ht="18.75" hidden="false" customHeight="true" outlineLevel="0" collapsed="false">
      <c r="A883" s="100" t="str">
        <f aca="false">'☆掛負収入'!A883</f>
        <v>みどり生きもの協会</v>
      </c>
      <c r="B883" s="600"/>
      <c r="C883" s="196"/>
      <c r="D883" s="449" t="n">
        <f aca="false">'☆掛負収入'!D883</f>
        <v>185565</v>
      </c>
      <c r="E883" s="453" t="n">
        <f aca="false">'☆掛負収入'!E883</f>
        <v>15210</v>
      </c>
      <c r="F883" s="456" t="n">
        <f aca="false">'☆掛負収入'!F883</f>
        <v>188</v>
      </c>
      <c r="G883" s="668" t="n">
        <f aca="false">SUM(B883:F883)</f>
        <v>200963</v>
      </c>
      <c r="H883" s="602"/>
      <c r="I883" s="456" t="n">
        <f aca="false">'☆掛負収入'!I883</f>
        <v>111760</v>
      </c>
      <c r="J883" s="135" t="n">
        <f aca="false">SUM(H883:I883)</f>
        <v>111760</v>
      </c>
      <c r="K883" s="612"/>
      <c r="L883" s="456" t="n">
        <f aca="false">'☆掛負収入'!L883</f>
        <v>16020</v>
      </c>
      <c r="M883" s="135" t="n">
        <f aca="false">SUM(K883:L883)</f>
        <v>16020</v>
      </c>
      <c r="N883" s="612"/>
      <c r="O883" s="456" t="n">
        <f aca="false">'☆掛負収入'!O883</f>
        <v>1</v>
      </c>
      <c r="P883" s="135" t="n">
        <f aca="false">SUM(N883:O883)</f>
        <v>1</v>
      </c>
    </row>
    <row r="884" customFormat="false" ht="18.75" hidden="false" customHeight="true" outlineLevel="0" collapsed="false">
      <c r="A884" s="121" t="str">
        <f aca="false">'☆掛負収入'!A884</f>
        <v>県下水道公社</v>
      </c>
      <c r="B884" s="449" t="n">
        <f aca="false">'☆掛負収入'!B884</f>
        <v>62127</v>
      </c>
      <c r="C884" s="223" t="n">
        <f aca="false">'☆掛負収入'!C884</f>
        <v>5091</v>
      </c>
      <c r="D884" s="449" t="n">
        <f aca="false">'☆掛負収入'!D884</f>
        <v>62130</v>
      </c>
      <c r="E884" s="453" t="n">
        <f aca="false">'☆掛負収入'!E884</f>
        <v>5092</v>
      </c>
      <c r="F884" s="456" t="n">
        <f aca="false">'☆掛負収入'!F884</f>
        <v>63</v>
      </c>
      <c r="G884" s="668" t="n">
        <f aca="false">SUM(B884:F884)</f>
        <v>134503</v>
      </c>
      <c r="H884" s="448" t="n">
        <f aca="false">'☆掛負収入'!H884</f>
        <v>37350</v>
      </c>
      <c r="I884" s="456" t="n">
        <f aca="false">'☆掛負収入'!I884</f>
        <v>37419</v>
      </c>
      <c r="J884" s="135" t="n">
        <f aca="false">SUM(H884:I884)</f>
        <v>74769</v>
      </c>
      <c r="K884" s="453" t="n">
        <f aca="false">'☆掛負収入'!K884</f>
        <v>4012</v>
      </c>
      <c r="L884" s="456" t="n">
        <f aca="false">'☆掛負収入'!L884</f>
        <v>4013</v>
      </c>
      <c r="M884" s="135" t="n">
        <f aca="false">SUM(K884:L884)</f>
        <v>8025</v>
      </c>
      <c r="N884" s="453" t="n">
        <f aca="false">'☆掛負収入'!N884</f>
        <v>1</v>
      </c>
      <c r="O884" s="456" t="n">
        <f aca="false">'☆掛負収入'!O884</f>
        <v>1</v>
      </c>
      <c r="P884" s="135" t="n">
        <f aca="false">SUM(N884:O884)</f>
        <v>2</v>
      </c>
    </row>
    <row r="885" customFormat="false" ht="18.75" hidden="false" customHeight="true" outlineLevel="0" collapsed="false">
      <c r="A885" s="121" t="str">
        <f aca="false">'☆掛負収入'!A885</f>
        <v>バス協調・共創
プラットフォーム</v>
      </c>
      <c r="B885" s="457"/>
      <c r="C885" s="459"/>
      <c r="D885" s="451" t="n">
        <f aca="false">'☆掛負収入'!D885</f>
        <v>0</v>
      </c>
      <c r="E885" s="473" t="n">
        <f aca="false">'☆掛負収入'!E885</f>
        <v>0</v>
      </c>
      <c r="F885" s="456" t="n">
        <f aca="false">'☆掛負収入'!F885</f>
        <v>0</v>
      </c>
      <c r="G885" s="668" t="n">
        <f aca="false">SUM(B885:F885)</f>
        <v>0</v>
      </c>
      <c r="H885" s="616"/>
      <c r="I885" s="456" t="n">
        <f aca="false">'☆掛負収入'!I885</f>
        <v>0</v>
      </c>
      <c r="J885" s="135" t="n">
        <f aca="false">SUM(H885:I885)</f>
        <v>0</v>
      </c>
      <c r="K885" s="617"/>
      <c r="L885" s="456" t="n">
        <f aca="false">'☆掛負収入'!L885</f>
        <v>0</v>
      </c>
      <c r="M885" s="135" t="n">
        <f aca="false">SUM(K885:L885)</f>
        <v>0</v>
      </c>
      <c r="N885" s="617"/>
      <c r="O885" s="456" t="n">
        <f aca="false">'☆掛負収入'!O885</f>
        <v>0</v>
      </c>
      <c r="P885" s="135" t="n">
        <f aca="false">SUM(N885:O885)</f>
        <v>0</v>
      </c>
    </row>
    <row r="886" customFormat="false" ht="18.75" hidden="false" customHeight="true" outlineLevel="0" collapsed="false">
      <c r="A886" s="121" t="str">
        <f aca="false">'☆掛負収入'!A886</f>
        <v>広島県市長会</v>
      </c>
      <c r="B886" s="449" t="n">
        <f aca="false">'☆掛負収入'!B886</f>
        <v>25803</v>
      </c>
      <c r="C886" s="223" t="n">
        <f aca="false">'☆掛負収入'!C886</f>
        <v>2115</v>
      </c>
      <c r="D886" s="449" t="n">
        <f aca="false">'☆掛負収入'!D886</f>
        <v>25803</v>
      </c>
      <c r="E886" s="453" t="n">
        <f aca="false">'☆掛負収入'!E886</f>
        <v>2115</v>
      </c>
      <c r="F886" s="450" t="n">
        <f aca="false">'☆掛負収入'!F886</f>
        <v>26</v>
      </c>
      <c r="G886" s="668" t="n">
        <f aca="false">SUM(B886:F886)</f>
        <v>55862</v>
      </c>
      <c r="H886" s="448" t="n">
        <f aca="false">'☆掛負収入'!H886</f>
        <v>15512</v>
      </c>
      <c r="I886" s="450" t="n">
        <f aca="false">'☆掛負収入'!I886</f>
        <v>15541</v>
      </c>
      <c r="J886" s="135" t="n">
        <f aca="false">SUM(H886:I886)</f>
        <v>31053</v>
      </c>
      <c r="K886" s="453" t="n">
        <f aca="false">'☆掛負収入'!K886</f>
        <v>2227</v>
      </c>
      <c r="L886" s="450" t="n">
        <f aca="false">'☆掛負収入'!L886</f>
        <v>2227</v>
      </c>
      <c r="M886" s="135" t="n">
        <f aca="false">SUM(K886:L886)</f>
        <v>4454</v>
      </c>
      <c r="N886" s="453" t="n">
        <f aca="false">'☆掛負収入'!N886</f>
        <v>1</v>
      </c>
      <c r="O886" s="450" t="n">
        <f aca="false">'☆掛負収入'!O886</f>
        <v>1</v>
      </c>
      <c r="P886" s="135" t="n">
        <f aca="false">SUM(N886:O886)</f>
        <v>2</v>
      </c>
    </row>
    <row r="887" customFormat="false" ht="18.75" hidden="false" customHeight="true" outlineLevel="0" collapsed="false">
      <c r="A887" s="189" t="str">
        <f aca="false">'☆掛負収入'!A887</f>
        <v>全国市町村研修財団</v>
      </c>
      <c r="B887" s="451" t="n">
        <f aca="false">'☆掛負収入'!B887</f>
        <v>0</v>
      </c>
      <c r="C887" s="223" t="n">
        <f aca="false">'☆掛負収入'!C887</f>
        <v>0</v>
      </c>
      <c r="D887" s="449" t="n">
        <f aca="false">'☆掛負収入'!D887</f>
        <v>0</v>
      </c>
      <c r="E887" s="453" t="n">
        <f aca="false">'☆掛負収入'!E887</f>
        <v>0</v>
      </c>
      <c r="F887" s="450" t="n">
        <f aca="false">'☆掛負収入'!F887</f>
        <v>0</v>
      </c>
      <c r="G887" s="668" t="n">
        <f aca="false">SUM(B887:F887)</f>
        <v>0</v>
      </c>
      <c r="H887" s="448" t="n">
        <f aca="false">'☆掛負収入'!H887</f>
        <v>0</v>
      </c>
      <c r="I887" s="450" t="n">
        <f aca="false">'☆掛負収入'!I887</f>
        <v>0</v>
      </c>
      <c r="J887" s="135" t="n">
        <f aca="false">SUM(H887:I887)</f>
        <v>0</v>
      </c>
      <c r="K887" s="453" t="n">
        <f aca="false">'☆掛負収入'!K887</f>
        <v>0</v>
      </c>
      <c r="L887" s="450" t="n">
        <f aca="false">'☆掛負収入'!L887</f>
        <v>0</v>
      </c>
      <c r="M887" s="135" t="n">
        <f aca="false">SUM(K887:L887)</f>
        <v>0</v>
      </c>
      <c r="N887" s="453" t="n">
        <f aca="false">'☆掛負収入'!N887</f>
        <v>0</v>
      </c>
      <c r="O887" s="450" t="n">
        <f aca="false">'☆掛負収入'!O887</f>
        <v>0</v>
      </c>
      <c r="P887" s="135" t="n">
        <f aca="false">SUM(N887:O887)</f>
        <v>0</v>
      </c>
    </row>
    <row r="888" customFormat="false" ht="18.75" hidden="false" customHeight="true" outlineLevel="0" collapsed="false">
      <c r="A888" s="189" t="str">
        <f aca="false">'☆掛負収入'!A888</f>
        <v>都市再生機構</v>
      </c>
      <c r="B888" s="449" t="n">
        <f aca="false">'☆掛負収入'!B888</f>
        <v>0</v>
      </c>
      <c r="C888" s="223" t="n">
        <f aca="false">'☆掛負収入'!C888</f>
        <v>0</v>
      </c>
      <c r="D888" s="449" t="n">
        <f aca="false">'☆掛負収入'!D888</f>
        <v>0</v>
      </c>
      <c r="E888" s="453" t="n">
        <f aca="false">'☆掛負収入'!E888</f>
        <v>0</v>
      </c>
      <c r="F888" s="450" t="n">
        <f aca="false">'☆掛負収入'!F888</f>
        <v>0</v>
      </c>
      <c r="G888" s="668" t="n">
        <f aca="false">SUM(B888:F888)</f>
        <v>0</v>
      </c>
      <c r="H888" s="448" t="n">
        <f aca="false">'☆掛負収入'!H888</f>
        <v>0</v>
      </c>
      <c r="I888" s="450" t="n">
        <f aca="false">'☆掛負収入'!I888</f>
        <v>0</v>
      </c>
      <c r="J888" s="135" t="n">
        <f aca="false">SUM(H888:I888)</f>
        <v>0</v>
      </c>
      <c r="K888" s="453" t="n">
        <f aca="false">'☆掛負収入'!K888</f>
        <v>0</v>
      </c>
      <c r="L888" s="450" t="n">
        <f aca="false">'☆掛負収入'!L888</f>
        <v>0</v>
      </c>
      <c r="M888" s="135" t="n">
        <f aca="false">SUM(K888:L888)</f>
        <v>0</v>
      </c>
      <c r="N888" s="453" t="n">
        <f aca="false">'☆掛負収入'!N888</f>
        <v>0</v>
      </c>
      <c r="O888" s="450" t="n">
        <f aca="false">'☆掛負収入'!O888</f>
        <v>0</v>
      </c>
      <c r="P888" s="135" t="n">
        <f aca="false">SUM(N888:O888)</f>
        <v>0</v>
      </c>
    </row>
    <row r="889" customFormat="false" ht="18.75" hidden="false" customHeight="true" outlineLevel="0" collapsed="false">
      <c r="A889" s="121" t="str">
        <f aca="false">'☆掛負収入'!A889</f>
        <v>広島市立大学</v>
      </c>
      <c r="B889" s="449" t="n">
        <f aca="false">'☆掛負収入'!B889</f>
        <v>489886</v>
      </c>
      <c r="C889" s="223" t="n">
        <f aca="false">'☆掛負収入'!C889</f>
        <v>40150</v>
      </c>
      <c r="D889" s="449" t="n">
        <f aca="false">'☆掛負収入'!D889</f>
        <v>489896</v>
      </c>
      <c r="E889" s="453" t="n">
        <f aca="false">'☆掛負収入'!E889</f>
        <v>40155</v>
      </c>
      <c r="F889" s="450" t="n">
        <f aca="false">'☆掛負収入'!F889</f>
        <v>502</v>
      </c>
      <c r="G889" s="668" t="n">
        <f aca="false">SUM(B889:F889)</f>
        <v>1060589</v>
      </c>
      <c r="H889" s="448" t="n">
        <f aca="false">'☆掛負収入'!H889</f>
        <v>294509</v>
      </c>
      <c r="I889" s="450" t="n">
        <f aca="false">'☆掛負収入'!I889</f>
        <v>295058</v>
      </c>
      <c r="J889" s="135" t="n">
        <f aca="false">SUM(H889:I889)</f>
        <v>589567</v>
      </c>
      <c r="K889" s="439" t="n">
        <f aca="false">'☆掛負収入'!K889</f>
        <v>29009</v>
      </c>
      <c r="L889" s="424" t="n">
        <f aca="false">'☆掛負収入'!L889</f>
        <v>29016</v>
      </c>
      <c r="M889" s="135" t="n">
        <f aca="false">SUM(K889:L889)</f>
        <v>58025</v>
      </c>
      <c r="N889" s="439" t="n">
        <f aca="false">'☆掛負収入'!N889</f>
        <v>1</v>
      </c>
      <c r="O889" s="424" t="n">
        <f aca="false">'☆掛負収入'!O889</f>
        <v>1</v>
      </c>
      <c r="P889" s="135" t="n">
        <f aca="false">SUM(N889:O889)</f>
        <v>2</v>
      </c>
    </row>
    <row r="890" customFormat="false" ht="18.75" hidden="false" customHeight="true" outlineLevel="0" collapsed="false">
      <c r="A890" s="121" t="str">
        <f aca="false">'☆掛負収入'!A890</f>
        <v>社会福祉協議会</v>
      </c>
      <c r="B890" s="449" t="n">
        <f aca="false">'☆掛負収入'!B890</f>
        <v>0</v>
      </c>
      <c r="C890" s="223" t="n">
        <f aca="false">'☆掛負収入'!C890</f>
        <v>0</v>
      </c>
      <c r="D890" s="449" t="n">
        <f aca="false">'☆掛負収入'!D890</f>
        <v>100743</v>
      </c>
      <c r="E890" s="453" t="n">
        <f aca="false">'☆掛負収入'!E890</f>
        <v>8257</v>
      </c>
      <c r="F890" s="450" t="n">
        <f aca="false">'☆掛負収入'!F890</f>
        <v>103</v>
      </c>
      <c r="G890" s="668" t="n">
        <f aca="false">SUM(B890:F890)</f>
        <v>109103</v>
      </c>
      <c r="H890" s="448" t="n">
        <f aca="false">'☆掛負収入'!H890</f>
        <v>0</v>
      </c>
      <c r="I890" s="450" t="n">
        <f aca="false">'☆掛負収入'!I890</f>
        <v>60676</v>
      </c>
      <c r="J890" s="135" t="n">
        <f aca="false">SUM(H890:I890)</f>
        <v>60676</v>
      </c>
      <c r="K890" s="439" t="n">
        <f aca="false">'☆掛負収入'!K890</f>
        <v>0</v>
      </c>
      <c r="L890" s="424" t="n">
        <f aca="false">'☆掛負収入'!L890</f>
        <v>4732</v>
      </c>
      <c r="M890" s="135" t="n">
        <f aca="false">SUM(K890:L890)</f>
        <v>4732</v>
      </c>
      <c r="N890" s="439" t="n">
        <f aca="false">'☆掛負収入'!N890</f>
        <v>0</v>
      </c>
      <c r="O890" s="424" t="n">
        <f aca="false">'☆掛負収入'!O890</f>
        <v>1</v>
      </c>
      <c r="P890" s="135" t="n">
        <f aca="false">SUM(N890:O890)</f>
        <v>1</v>
      </c>
    </row>
    <row r="891" customFormat="false" ht="18.75" hidden="false" customHeight="true" outlineLevel="0" collapsed="false">
      <c r="A891" s="203" t="s">
        <v>418</v>
      </c>
      <c r="B891" s="451" t="n">
        <f aca="false">'☆掛負収入'!B893</f>
        <v>0</v>
      </c>
      <c r="C891" s="445" t="n">
        <f aca="false">'☆掛負収入'!C893</f>
        <v>0</v>
      </c>
      <c r="D891" s="451" t="n">
        <f aca="false">'☆掛負収入'!D893</f>
        <v>0</v>
      </c>
      <c r="E891" s="462" t="n">
        <f aca="false">'☆掛負収入'!E893</f>
        <v>0</v>
      </c>
      <c r="F891" s="453" t="n">
        <f aca="false">'☆掛負収入'!F893</f>
        <v>0</v>
      </c>
      <c r="G891" s="668" t="n">
        <f aca="false">SUM(B891:F891)</f>
        <v>0</v>
      </c>
      <c r="H891" s="462" t="n">
        <f aca="false">'☆掛負収入'!H893</f>
        <v>0</v>
      </c>
      <c r="I891" s="462" t="n">
        <f aca="false">'☆掛負収入'!I893</f>
        <v>0</v>
      </c>
      <c r="J891" s="135" t="n">
        <f aca="false">SUM(H891:I891)</f>
        <v>0</v>
      </c>
      <c r="K891" s="439" t="n">
        <f aca="false">'☆掛負収入'!K893</f>
        <v>0</v>
      </c>
      <c r="L891" s="424" t="n">
        <f aca="false">'☆掛負収入'!L893</f>
        <v>0</v>
      </c>
      <c r="M891" s="135" t="n">
        <f aca="false">SUM(K891:L891)</f>
        <v>0</v>
      </c>
      <c r="N891" s="439" t="n">
        <f aca="false">'☆掛負収入'!N893</f>
        <v>0</v>
      </c>
      <c r="O891" s="424" t="n">
        <f aca="false">'☆掛負収入'!O893</f>
        <v>0</v>
      </c>
      <c r="P891" s="135" t="n">
        <f aca="false">SUM(N891:O891)</f>
        <v>0</v>
      </c>
    </row>
    <row r="892" customFormat="false" ht="18.75" hidden="false" customHeight="true" outlineLevel="0" collapsed="false">
      <c r="A892" s="121" t="str">
        <f aca="false">'☆掛負収入'!A894</f>
        <v>全国市長会</v>
      </c>
      <c r="B892" s="451" t="n">
        <f aca="false">'☆掛負収入'!B894</f>
        <v>0</v>
      </c>
      <c r="C892" s="445" t="n">
        <f aca="false">'☆掛負収入'!C894</f>
        <v>0</v>
      </c>
      <c r="D892" s="451" t="n">
        <f aca="false">'☆掛負収入'!D894</f>
        <v>0</v>
      </c>
      <c r="E892" s="462" t="n">
        <f aca="false">'☆掛負収入'!E894</f>
        <v>0</v>
      </c>
      <c r="F892" s="453" t="n">
        <f aca="false">'☆掛負収入'!F894</f>
        <v>0</v>
      </c>
      <c r="G892" s="668" t="n">
        <f aca="false">SUM(B892:F892)</f>
        <v>0</v>
      </c>
      <c r="H892" s="462" t="n">
        <f aca="false">'☆掛負収入'!H894</f>
        <v>0</v>
      </c>
      <c r="I892" s="462" t="n">
        <f aca="false">'☆掛負収入'!I894</f>
        <v>0</v>
      </c>
      <c r="J892" s="135" t="n">
        <f aca="false">SUM(H892:I892)</f>
        <v>0</v>
      </c>
      <c r="K892" s="439" t="n">
        <f aca="false">'☆掛負収入'!K894</f>
        <v>0</v>
      </c>
      <c r="L892" s="424" t="n">
        <f aca="false">'☆掛負収入'!L894</f>
        <v>0</v>
      </c>
      <c r="M892" s="135" t="n">
        <f aca="false">SUM(K892:L892)</f>
        <v>0</v>
      </c>
      <c r="N892" s="439" t="n">
        <f aca="false">'☆掛負収入'!N894</f>
        <v>0</v>
      </c>
      <c r="O892" s="424" t="n">
        <f aca="false">'☆掛負収入'!O894</f>
        <v>0</v>
      </c>
      <c r="P892" s="135" t="n">
        <f aca="false">SUM(N892:O892)</f>
        <v>0</v>
      </c>
    </row>
    <row r="893" customFormat="false" ht="18.75" hidden="false" customHeight="true" outlineLevel="0" collapsed="false">
      <c r="A893" s="208"/>
      <c r="B893" s="406"/>
      <c r="C893" s="393"/>
      <c r="D893" s="406"/>
      <c r="E893" s="439"/>
      <c r="F893" s="424"/>
      <c r="G893" s="668"/>
      <c r="H893" s="594"/>
      <c r="I893" s="424"/>
      <c r="J893" s="135"/>
      <c r="K893" s="439"/>
      <c r="L893" s="424"/>
      <c r="M893" s="135"/>
      <c r="N893" s="439"/>
      <c r="O893" s="424"/>
      <c r="P893" s="135"/>
    </row>
    <row r="894" customFormat="false" ht="18.75" hidden="false" customHeight="true" outlineLevel="0" collapsed="false">
      <c r="A894" s="208"/>
      <c r="B894" s="595"/>
      <c r="C894" s="366"/>
      <c r="D894" s="595"/>
      <c r="E894" s="596"/>
      <c r="F894" s="407"/>
      <c r="G894" s="668"/>
      <c r="H894" s="595"/>
      <c r="I894" s="440"/>
      <c r="J894" s="135"/>
      <c r="K894" s="596"/>
      <c r="L894" s="440"/>
      <c r="M894" s="135"/>
      <c r="N894" s="596"/>
      <c r="O894" s="440"/>
      <c r="P894" s="135"/>
    </row>
    <row r="895" customFormat="false" ht="18.75" hidden="false" customHeight="true" outlineLevel="0" collapsed="false">
      <c r="A895" s="192"/>
      <c r="B895" s="406"/>
      <c r="C895" s="181"/>
      <c r="D895" s="406"/>
      <c r="E895" s="592"/>
      <c r="F895" s="424"/>
      <c r="G895" s="668"/>
      <c r="H895" s="406"/>
      <c r="I895" s="619"/>
      <c r="J895" s="135"/>
      <c r="K895" s="592"/>
      <c r="L895" s="619"/>
      <c r="M895" s="135"/>
      <c r="N895" s="592"/>
      <c r="O895" s="619"/>
      <c r="P895" s="135"/>
    </row>
    <row r="896" customFormat="false" ht="18.75" hidden="false" customHeight="true" outlineLevel="0" collapsed="false">
      <c r="A896" s="192"/>
      <c r="B896" s="595"/>
      <c r="C896" s="393"/>
      <c r="D896" s="596"/>
      <c r="E896" s="440"/>
      <c r="F896" s="407"/>
      <c r="G896" s="392"/>
      <c r="H896" s="406"/>
      <c r="I896" s="440"/>
      <c r="J896" s="135"/>
      <c r="K896" s="596"/>
      <c r="L896" s="440"/>
      <c r="M896" s="135"/>
      <c r="N896" s="596"/>
      <c r="O896" s="440"/>
      <c r="P896" s="135"/>
    </row>
    <row r="897" customFormat="false" ht="18.75" hidden="false" customHeight="true" outlineLevel="0" collapsed="false">
      <c r="A897" s="605"/>
      <c r="B897" s="622"/>
      <c r="C897" s="253"/>
      <c r="D897" s="623"/>
      <c r="E897" s="624"/>
      <c r="F897" s="670"/>
      <c r="G897" s="671"/>
      <c r="H897" s="622"/>
      <c r="I897" s="623"/>
      <c r="J897" s="623" t="n">
        <f aca="false">SUM(H897:I897)</f>
        <v>0</v>
      </c>
      <c r="K897" s="622"/>
      <c r="L897" s="623"/>
      <c r="M897" s="697" t="n">
        <f aca="false">SUM(K897:L897)</f>
        <v>0</v>
      </c>
      <c r="N897" s="622"/>
      <c r="O897" s="623"/>
      <c r="P897" s="697" t="n">
        <f aca="false">SUM(N897:O897)</f>
        <v>0</v>
      </c>
    </row>
    <row r="898" customFormat="false" ht="18.75" hidden="false" customHeight="true" outlineLevel="0" collapsed="false">
      <c r="A898" s="171" t="str">
        <f aca="false">'☆掛負収入'!A898</f>
        <v>小　計</v>
      </c>
      <c r="B898" s="404" t="n">
        <f aca="false">SUM(B868:B897)</f>
        <v>975562</v>
      </c>
      <c r="C898" s="175" t="n">
        <f aca="false">SUM(C868:C897)</f>
        <v>79954</v>
      </c>
      <c r="D898" s="404" t="n">
        <f aca="false">SUM(D868:D897)</f>
        <v>3471448</v>
      </c>
      <c r="E898" s="276" t="n">
        <f aca="false">SUM(E868:E897)</f>
        <v>284534</v>
      </c>
      <c r="F898" s="175" t="n">
        <f aca="false">SUM(F868:F897)</f>
        <v>3583</v>
      </c>
      <c r="G898" s="176" t="n">
        <f aca="false">SUM(B898:F898)</f>
        <v>4815081</v>
      </c>
      <c r="H898" s="404" t="n">
        <f aca="false">SUM(H868:H897)</f>
        <v>586491</v>
      </c>
      <c r="I898" s="174" t="n">
        <f aca="false">SUM(I868:I897)</f>
        <v>2090825</v>
      </c>
      <c r="J898" s="175" t="n">
        <f aca="false">SUM(H898:I898)</f>
        <v>2677316</v>
      </c>
      <c r="K898" s="404" t="n">
        <f aca="false">SUM(K868:K897)</f>
        <v>59629</v>
      </c>
      <c r="L898" s="174" t="n">
        <f aca="false">SUM(L868:L897)</f>
        <v>241310</v>
      </c>
      <c r="M898" s="173" t="n">
        <f aca="false">SUM(K898:L898)</f>
        <v>300939</v>
      </c>
      <c r="N898" s="404" t="n">
        <f aca="false">SUM(N868:N897)</f>
        <v>5</v>
      </c>
      <c r="O898" s="174" t="n">
        <f aca="false">SUM(O868:O897)</f>
        <v>15</v>
      </c>
      <c r="P898" s="173" t="n">
        <f aca="false">SUM(N898:O898)</f>
        <v>20</v>
      </c>
    </row>
    <row r="899" customFormat="false" ht="18.75" hidden="true" customHeight="true" outlineLevel="0" collapsed="false">
      <c r="A899" s="604"/>
      <c r="B899" s="622"/>
      <c r="C899" s="253"/>
      <c r="D899" s="623"/>
      <c r="E899" s="624"/>
      <c r="F899" s="625"/>
      <c r="G899" s="626"/>
      <c r="H899" s="748"/>
      <c r="I899" s="749"/>
      <c r="J899" s="175" t="n">
        <f aca="false">SUM(H899:I899)</f>
        <v>0</v>
      </c>
      <c r="K899" s="748"/>
      <c r="L899" s="749"/>
      <c r="M899" s="173" t="n">
        <f aca="false">SUM(K899:L899)</f>
        <v>0</v>
      </c>
      <c r="N899" s="748"/>
      <c r="O899" s="749"/>
      <c r="P899" s="173" t="n">
        <f aca="false">SUM(N899:O899)</f>
        <v>0</v>
      </c>
    </row>
    <row r="900" customFormat="false" ht="18.75" hidden="true" customHeight="true" outlineLevel="0" collapsed="false">
      <c r="A900" s="633"/>
      <c r="B900" s="606"/>
      <c r="C900" s="608"/>
      <c r="D900" s="623"/>
      <c r="E900" s="624"/>
      <c r="F900" s="253"/>
      <c r="G900" s="621"/>
      <c r="H900" s="748"/>
      <c r="I900" s="749"/>
      <c r="J900" s="175" t="n">
        <f aca="false">SUM(H900:I900)</f>
        <v>0</v>
      </c>
      <c r="K900" s="748"/>
      <c r="L900" s="749"/>
      <c r="M900" s="173" t="n">
        <f aca="false">SUM(K900:L900)</f>
        <v>0</v>
      </c>
      <c r="N900" s="748"/>
      <c r="O900" s="749"/>
      <c r="P900" s="173" t="n">
        <f aca="false">SUM(N900:O900)</f>
        <v>0</v>
      </c>
    </row>
    <row r="901" customFormat="false" ht="18.75" hidden="false" customHeight="true" outlineLevel="0" collapsed="false">
      <c r="A901" s="682" t="str">
        <f aca="false">'☆掛負収入'!A901</f>
        <v>高速交通（株）</v>
      </c>
      <c r="B901" s="611" t="n">
        <f aca="false">'☆掛負収入'!B901</f>
        <v>63867</v>
      </c>
      <c r="C901" s="691" t="n">
        <f aca="false">'☆掛負収入'!C901</f>
        <v>5235</v>
      </c>
      <c r="D901" s="444" t="n">
        <f aca="false">'☆掛負収入'!D901</f>
        <v>63867</v>
      </c>
      <c r="E901" s="447" t="n">
        <f aca="false">'☆掛負収入'!E901</f>
        <v>5235</v>
      </c>
      <c r="F901" s="446" t="n">
        <f aca="false">'☆掛負収入'!F901</f>
        <v>65</v>
      </c>
      <c r="G901" s="366" t="n">
        <f aca="false">SUM(B901:F901)</f>
        <v>138269</v>
      </c>
      <c r="H901" s="591" t="n">
        <f aca="false">'☆掛負収入'!H901</f>
        <v>0</v>
      </c>
      <c r="I901" s="593" t="n">
        <f aca="false">'☆掛負収入'!I901</f>
        <v>0</v>
      </c>
      <c r="J901" s="135" t="n">
        <f aca="false">SUM(H901:I901)</f>
        <v>0</v>
      </c>
      <c r="K901" s="591" t="n">
        <f aca="false">'☆掛負収入'!K901</f>
        <v>0</v>
      </c>
      <c r="L901" s="593" t="n">
        <f aca="false">'☆掛負収入'!L901</f>
        <v>0</v>
      </c>
      <c r="M901" s="135" t="n">
        <f aca="false">SUM(K901:L901)</f>
        <v>0</v>
      </c>
      <c r="N901" s="591" t="n">
        <f aca="false">'☆掛負収入'!N901</f>
        <v>0</v>
      </c>
      <c r="O901" s="593" t="n">
        <f aca="false">'☆掛負収入'!O901</f>
        <v>0</v>
      </c>
      <c r="P901" s="135" t="n">
        <f aca="false">SUM(N901:O901)</f>
        <v>0</v>
      </c>
    </row>
    <row r="902" customFormat="false" ht="18.75" hidden="false" customHeight="true" outlineLevel="0" collapsed="false">
      <c r="A902" s="641" t="s">
        <v>201</v>
      </c>
      <c r="B902" s="642" t="n">
        <f aca="false">'☆掛負収入'!B902</f>
        <v>26352</v>
      </c>
      <c r="C902" s="468" t="n">
        <f aca="false">'☆掛負収入'!C902</f>
        <v>2160</v>
      </c>
      <c r="D902" s="642" t="n">
        <f aca="false">'☆掛負収入'!D902</f>
        <v>26352</v>
      </c>
      <c r="E902" s="467" t="n">
        <f aca="false">'☆掛負収入'!E902</f>
        <v>2160</v>
      </c>
      <c r="F902" s="468" t="n">
        <f aca="false">'☆掛負収入'!F902</f>
        <v>27</v>
      </c>
      <c r="G902" s="366" t="n">
        <f aca="false">SUM(B902:F902)</f>
        <v>57051</v>
      </c>
      <c r="H902" s="622"/>
      <c r="I902" s="623"/>
      <c r="J902" s="750"/>
      <c r="K902" s="622"/>
      <c r="L902" s="623"/>
      <c r="M902" s="196" t="n">
        <f aca="false">SUM(K902:L902)</f>
        <v>0</v>
      </c>
      <c r="N902" s="622"/>
      <c r="O902" s="623"/>
      <c r="P902" s="196" t="n">
        <f aca="false">SUM(N902:O902)</f>
        <v>0</v>
      </c>
    </row>
    <row r="903" customFormat="false" ht="18.75" hidden="false" customHeight="true" outlineLevel="0" collapsed="false">
      <c r="A903" s="171" t="str">
        <f aca="false">'☆掛負収入'!A903</f>
        <v>小　計</v>
      </c>
      <c r="B903" s="172" t="n">
        <f aca="false">SUM(B901:B902)</f>
        <v>90219</v>
      </c>
      <c r="C903" s="175" t="n">
        <f aca="false">SUM(C899:C902)</f>
        <v>7395</v>
      </c>
      <c r="D903" s="656" t="n">
        <f aca="false">SUM(D899:D902)</f>
        <v>90219</v>
      </c>
      <c r="E903" s="174" t="n">
        <f aca="false">SUM(E899:E902)</f>
        <v>7395</v>
      </c>
      <c r="F903" s="176" t="n">
        <f aca="false">SUM(F899:F902)</f>
        <v>92</v>
      </c>
      <c r="G903" s="175" t="n">
        <f aca="false">SUM(B903:F903)</f>
        <v>195320</v>
      </c>
      <c r="H903" s="172" t="n">
        <f aca="false">'☆掛負収入'!H903</f>
        <v>0</v>
      </c>
      <c r="I903" s="173" t="n">
        <f aca="false">'☆掛負収入'!I903</f>
        <v>0</v>
      </c>
      <c r="J903" s="175" t="n">
        <f aca="false">SUM(H903:I903)</f>
        <v>0</v>
      </c>
      <c r="K903" s="172" t="n">
        <f aca="false">'☆掛負収入'!K903</f>
        <v>0</v>
      </c>
      <c r="L903" s="173" t="n">
        <f aca="false">'☆掛負収入'!L903</f>
        <v>0</v>
      </c>
      <c r="M903" s="173" t="n">
        <f aca="false">SUM(K903:L903)</f>
        <v>0</v>
      </c>
      <c r="N903" s="172" t="n">
        <f aca="false">'☆掛負収入'!N903</f>
        <v>0</v>
      </c>
      <c r="O903" s="173" t="n">
        <f aca="false">'☆掛負収入'!O903</f>
        <v>0</v>
      </c>
      <c r="P903" s="173" t="n">
        <f aca="false">SUM(N903:O903)</f>
        <v>0</v>
      </c>
    </row>
    <row r="904" customFormat="false" ht="18.75" hidden="false" customHeight="true" outlineLevel="0" collapsed="false">
      <c r="A904" s="100" t="str">
        <f aca="false">'☆掛負収入'!A904</f>
        <v>市職員労働組合</v>
      </c>
      <c r="B904" s="449" t="n">
        <f aca="false">'☆掛負収入'!B904</f>
        <v>8509</v>
      </c>
      <c r="C904" s="223" t="n">
        <f aca="false">'☆掛負収入'!C904</f>
        <v>697</v>
      </c>
      <c r="D904" s="445" t="n">
        <f aca="false">'☆掛負収入'!D904</f>
        <v>8510</v>
      </c>
      <c r="E904" s="463" t="n">
        <f aca="false">'☆掛負収入'!E904</f>
        <v>697</v>
      </c>
      <c r="F904" s="196"/>
      <c r="G904" s="181" t="n">
        <f aca="false">SUM(B904:F904)</f>
        <v>18413</v>
      </c>
      <c r="H904" s="448" t="n">
        <f aca="false">'☆掛負収入'!H904</f>
        <v>5115</v>
      </c>
      <c r="I904" s="450" t="n">
        <f aca="false">'☆掛負収入'!I904</f>
        <v>5125</v>
      </c>
      <c r="J904" s="135" t="n">
        <f aca="false">SUM(H904:I904)</f>
        <v>10240</v>
      </c>
      <c r="K904" s="451" t="n">
        <f aca="false">'☆掛負収入'!K904</f>
        <v>734</v>
      </c>
      <c r="L904" s="462" t="n">
        <f aca="false">'☆掛負収入'!L904</f>
        <v>734</v>
      </c>
      <c r="M904" s="135" t="n">
        <f aca="false">SUM(K904:L904)</f>
        <v>1468</v>
      </c>
      <c r="N904" s="451" t="n">
        <f aca="false">'☆掛負収入'!N904</f>
        <v>1</v>
      </c>
      <c r="O904" s="462" t="n">
        <f aca="false">'☆掛負収入'!O904</f>
        <v>1</v>
      </c>
      <c r="P904" s="135" t="n">
        <f aca="false">SUM(N904:O904)</f>
        <v>2</v>
      </c>
    </row>
    <row r="905" customFormat="false" ht="18.75" hidden="false" customHeight="true" outlineLevel="0" collapsed="false">
      <c r="A905" s="100" t="str">
        <f aca="false">'☆掛負収入'!A905</f>
        <v>自治労労働組合</v>
      </c>
      <c r="B905" s="449" t="n">
        <f aca="false">'☆掛負収入'!B905</f>
        <v>0</v>
      </c>
      <c r="C905" s="377" t="n">
        <f aca="false">'☆掛負収入'!C905</f>
        <v>0</v>
      </c>
      <c r="D905" s="449" t="n">
        <f aca="false">'☆掛負収入'!D905</f>
        <v>0</v>
      </c>
      <c r="E905" s="463" t="n">
        <f aca="false">'☆掛負収入'!E905</f>
        <v>0</v>
      </c>
      <c r="F905" s="196"/>
      <c r="G905" s="181" t="n">
        <f aca="false">SUM(B905:F905)</f>
        <v>0</v>
      </c>
      <c r="H905" s="448" t="n">
        <f aca="false">'☆掛負収入'!H905</f>
        <v>0</v>
      </c>
      <c r="I905" s="450" t="n">
        <f aca="false">'☆掛負収入'!I905</f>
        <v>0</v>
      </c>
      <c r="J905" s="135" t="n">
        <f aca="false">SUM(H905:I905)</f>
        <v>0</v>
      </c>
      <c r="K905" s="448" t="n">
        <f aca="false">'☆掛負収入'!K905</f>
        <v>0</v>
      </c>
      <c r="L905" s="450" t="n">
        <f aca="false">'☆掛負収入'!L905</f>
        <v>0</v>
      </c>
      <c r="M905" s="135" t="n">
        <f aca="false">SUM(K905:L905)</f>
        <v>0</v>
      </c>
      <c r="N905" s="448" t="n">
        <f aca="false">'☆掛負収入'!N905</f>
        <v>0</v>
      </c>
      <c r="O905" s="450" t="n">
        <f aca="false">'☆掛負収入'!O905</f>
        <v>0</v>
      </c>
      <c r="P905" s="135" t="n">
        <f aca="false">SUM(N905:O905)</f>
        <v>0</v>
      </c>
    </row>
    <row r="906" customFormat="false" ht="18.75" hidden="false" customHeight="true" outlineLevel="0" collapsed="false">
      <c r="A906" s="100" t="str">
        <f aca="false">'☆掛負収入'!A906</f>
        <v>病院労働組合</v>
      </c>
      <c r="B906" s="449" t="n">
        <f aca="false">'☆掛負収入'!B906</f>
        <v>9516</v>
      </c>
      <c r="C906" s="377" t="n">
        <f aca="false">'☆掛負収入'!C906</f>
        <v>780</v>
      </c>
      <c r="D906" s="449" t="n">
        <f aca="false">'☆掛負収入'!D906</f>
        <v>9516</v>
      </c>
      <c r="E906" s="463" t="n">
        <f aca="false">'☆掛負収入'!E906</f>
        <v>780</v>
      </c>
      <c r="F906" s="196"/>
      <c r="G906" s="181" t="n">
        <f aca="false">SUM(B906:F906)</f>
        <v>20592</v>
      </c>
      <c r="H906" s="448" t="n">
        <f aca="false">'☆掛負収入'!H906</f>
        <v>9791</v>
      </c>
      <c r="I906" s="450" t="n">
        <f aca="false">'☆掛負収入'!I906</f>
        <v>9809</v>
      </c>
      <c r="J906" s="135" t="n">
        <f aca="false">SUM(H906:I906)</f>
        <v>19600</v>
      </c>
      <c r="K906" s="448" t="n">
        <f aca="false">'☆掛負収入'!K906</f>
        <v>584</v>
      </c>
      <c r="L906" s="450" t="n">
        <f aca="false">'☆掛負収入'!L906</f>
        <v>584</v>
      </c>
      <c r="M906" s="135" t="n">
        <f aca="false">SUM(K906:L906)</f>
        <v>1168</v>
      </c>
      <c r="N906" s="448" t="n">
        <f aca="false">'☆掛負収入'!N906</f>
        <v>1</v>
      </c>
      <c r="O906" s="450" t="n">
        <f aca="false">'☆掛負収入'!O906</f>
        <v>1</v>
      </c>
      <c r="P906" s="135" t="n">
        <f aca="false">SUM(N906:O906)</f>
        <v>2</v>
      </c>
    </row>
    <row r="907" customFormat="false" ht="18.75" hidden="false" customHeight="true" outlineLevel="0" collapsed="false">
      <c r="A907" s="277" t="str">
        <f aca="false">'☆掛負収入'!A907</f>
        <v>水道労働組合</v>
      </c>
      <c r="B907" s="491"/>
      <c r="C907" s="492"/>
      <c r="D907" s="491"/>
      <c r="E907" s="467"/>
      <c r="F907" s="271"/>
      <c r="G907" s="181" t="n">
        <f aca="false">SUM(B907:F907)</f>
        <v>0</v>
      </c>
      <c r="H907" s="496"/>
      <c r="I907" s="494"/>
      <c r="J907" s="135" t="n">
        <f aca="false">SUM(H907:I907)</f>
        <v>0</v>
      </c>
      <c r="K907" s="642"/>
      <c r="L907" s="493"/>
      <c r="M907" s="135" t="n">
        <f aca="false">SUM(K907:L907)</f>
        <v>0</v>
      </c>
      <c r="N907" s="642"/>
      <c r="O907" s="493"/>
      <c r="P907" s="135" t="n">
        <f aca="false">SUM(N907:O907)</f>
        <v>0</v>
      </c>
    </row>
    <row r="908" customFormat="false" ht="18.75" hidden="false" customHeight="true" outlineLevel="0" collapsed="false">
      <c r="A908" s="171" t="str">
        <f aca="false">'☆掛負収入'!A908</f>
        <v>小　計</v>
      </c>
      <c r="B908" s="404" t="n">
        <f aca="false">SUM(B904:B907)</f>
        <v>18025</v>
      </c>
      <c r="C908" s="175" t="n">
        <f aca="false">SUM(C904:C907)</f>
        <v>1477</v>
      </c>
      <c r="D908" s="404" t="n">
        <f aca="false">SUM(D904:D907)</f>
        <v>18026</v>
      </c>
      <c r="E908" s="174" t="n">
        <f aca="false">SUM(E904:E907)</f>
        <v>1477</v>
      </c>
      <c r="F908" s="173" t="n">
        <f aca="false">SUM(F904:F907)</f>
        <v>0</v>
      </c>
      <c r="G908" s="172" t="n">
        <f aca="false">SUM(B908:F908)</f>
        <v>39005</v>
      </c>
      <c r="H908" s="404" t="n">
        <f aca="false">SUM(H904:H907)</f>
        <v>14906</v>
      </c>
      <c r="I908" s="174" t="n">
        <f aca="false">SUM(I904:I907)</f>
        <v>14934</v>
      </c>
      <c r="J908" s="175" t="n">
        <f aca="false">SUM(H908:I908)</f>
        <v>29840</v>
      </c>
      <c r="K908" s="172" t="n">
        <f aca="false">SUM(K904:K907)</f>
        <v>1318</v>
      </c>
      <c r="L908" s="173" t="n">
        <f aca="false">SUM(L904:L907)</f>
        <v>1318</v>
      </c>
      <c r="M908" s="175" t="n">
        <f aca="false">SUM(K908:L908)</f>
        <v>2636</v>
      </c>
      <c r="N908" s="172" t="n">
        <f aca="false">SUM(N904:N907)</f>
        <v>2</v>
      </c>
      <c r="O908" s="173" t="n">
        <f aca="false">SUM(O904:O907)</f>
        <v>2</v>
      </c>
      <c r="P908" s="175" t="n">
        <f aca="false">SUM(N908:O908)</f>
        <v>4</v>
      </c>
    </row>
    <row r="909" customFormat="false" ht="18.75" hidden="false" customHeight="true" outlineLevel="0" collapsed="false">
      <c r="A909" s="277" t="str">
        <f aca="false">'☆掛負収入'!A909</f>
        <v>任意継続組合員</v>
      </c>
      <c r="B909" s="256"/>
      <c r="C909" s="498"/>
      <c r="D909" s="499"/>
      <c r="E909" s="500"/>
      <c r="F909" s="271"/>
      <c r="G909" s="268"/>
      <c r="H909" s="653"/>
      <c r="I909" s="257"/>
      <c r="J909" s="258"/>
      <c r="K909" s="499"/>
      <c r="L909" s="654"/>
      <c r="M909" s="267"/>
      <c r="N909" s="499"/>
      <c r="O909" s="654"/>
      <c r="P909" s="267"/>
    </row>
    <row r="910" customFormat="false" ht="30" hidden="false" customHeight="true" outlineLevel="0" collapsed="false">
      <c r="A910" s="655" t="str">
        <f aca="false">'☆掛負収入'!A910</f>
        <v>総　　計</v>
      </c>
      <c r="B910" s="404" t="n">
        <f aca="false">SUM(B867+B898+B903+B908)</f>
        <v>1083806</v>
      </c>
      <c r="C910" s="175" t="n">
        <f aca="false">SUM(C867+C898+C903+C908)</f>
        <v>88826</v>
      </c>
      <c r="D910" s="656" t="n">
        <f aca="false">SUM(D867+D898+D903+D908)</f>
        <v>3579693</v>
      </c>
      <c r="E910" s="174" t="n">
        <f aca="false">SUM(E867+E898+E903+E908)</f>
        <v>293406</v>
      </c>
      <c r="F910" s="176" t="n">
        <f aca="false">SUM(F867+F898+F903+F908)</f>
        <v>3675</v>
      </c>
      <c r="G910" s="172" t="n">
        <f aca="false">SUM(B910:F910)</f>
        <v>5049406</v>
      </c>
      <c r="H910" s="404" t="n">
        <f aca="false">SUM(H867+H898+H903+H908+H909)</f>
        <v>601397</v>
      </c>
      <c r="I910" s="174" t="n">
        <f aca="false">SUM(I867+I898+I903+I908+I909)</f>
        <v>2105759</v>
      </c>
      <c r="J910" s="175" t="n">
        <f aca="false">SUM(H910:I910)</f>
        <v>2707156</v>
      </c>
      <c r="K910" s="172" t="n">
        <f aca="false">K867+K898+K903+K908+K909</f>
        <v>60947</v>
      </c>
      <c r="L910" s="173" t="n">
        <f aca="false">L867+L898+L903+L908</f>
        <v>242628</v>
      </c>
      <c r="M910" s="175" t="n">
        <f aca="false">SUM(K910:L910)</f>
        <v>303575</v>
      </c>
      <c r="N910" s="172" t="n">
        <f aca="false">N867+N898+N903+N908+N909</f>
        <v>7</v>
      </c>
      <c r="O910" s="173" t="n">
        <f aca="false">O867+O898+O903+O908</f>
        <v>17</v>
      </c>
      <c r="P910" s="175" t="n">
        <f aca="false">SUM(N910:O910)</f>
        <v>24</v>
      </c>
    </row>
    <row r="911" customFormat="false" ht="18.75" hidden="false" customHeight="true" outlineLevel="0" collapsed="false">
      <c r="A911" s="315"/>
      <c r="B911" s="316"/>
      <c r="C911" s="316"/>
      <c r="D911" s="316"/>
      <c r="E911" s="316"/>
      <c r="F911" s="316"/>
      <c r="G911" s="316"/>
      <c r="H911" s="316"/>
      <c r="I911" s="316"/>
      <c r="J911" s="316"/>
      <c r="K911" s="316"/>
      <c r="L911" s="316"/>
      <c r="M911" s="316"/>
      <c r="N911" s="316"/>
      <c r="O911" s="316"/>
      <c r="P911" s="316"/>
    </row>
    <row r="912" customFormat="false" ht="30" hidden="false" customHeight="true" outlineLevel="0" collapsed="false">
      <c r="A912" s="295"/>
      <c r="B912" s="391" t="n">
        <f aca="false">'☆掛負収入'!B912</f>
        <v>46477</v>
      </c>
      <c r="C912" s="391" t="n">
        <f aca="false">'☆掛負収入'!C912</f>
        <v>0</v>
      </c>
      <c r="D912" s="391" t="n">
        <f aca="false">'☆掛負収入'!D912</f>
        <v>0</v>
      </c>
      <c r="E912" s="391" t="n">
        <f aca="false">'☆掛負収入'!E912</f>
        <v>0</v>
      </c>
      <c r="F912" s="391" t="n">
        <f aca="false">'☆掛負収入'!F912</f>
        <v>0</v>
      </c>
      <c r="G912" s="391" t="n">
        <f aca="false">'☆掛負収入'!G912</f>
        <v>0</v>
      </c>
      <c r="H912" s="391" t="n">
        <f aca="false">'☆掛負収入'!H912</f>
        <v>46477</v>
      </c>
      <c r="I912" s="391" t="n">
        <f aca="false">'☆掛負収入'!I912</f>
        <v>0</v>
      </c>
      <c r="J912" s="391" t="n">
        <f aca="false">'☆掛負収入'!J912</f>
        <v>0</v>
      </c>
      <c r="K912" s="391" t="n">
        <f aca="false">'☆掛負収入'!K912</f>
        <v>46477</v>
      </c>
      <c r="L912" s="391" t="n">
        <f aca="false">'☆掛負収入'!L912</f>
        <v>0</v>
      </c>
      <c r="M912" s="391" t="n">
        <f aca="false">'☆掛負収入'!M912</f>
        <v>0</v>
      </c>
      <c r="N912" s="391" t="n">
        <f aca="false">'☆掛負収入'!N912</f>
        <v>46477</v>
      </c>
      <c r="O912" s="391" t="n">
        <f aca="false">'☆掛負収入'!O912</f>
        <v>0</v>
      </c>
      <c r="P912" s="391" t="n">
        <f aca="false">'☆掛負収入'!P912</f>
        <v>0</v>
      </c>
    </row>
    <row r="913" customFormat="false" ht="22.5" hidden="false" customHeight="true" outlineLevel="0" collapsed="false">
      <c r="A913" s="89" t="str">
        <f aca="false">'☆掛負収入'!A913</f>
        <v>区　　分</v>
      </c>
      <c r="B913" s="89" t="str">
        <f aca="false">'☆掛負収入'!B913</f>
        <v>長　期　経　理</v>
      </c>
      <c r="C913" s="89" t="n">
        <f aca="false">'☆掛負収入'!C913</f>
        <v>0</v>
      </c>
      <c r="D913" s="89" t="n">
        <f aca="false">'☆掛負収入'!D913</f>
        <v>0</v>
      </c>
      <c r="E913" s="89" t="n">
        <f aca="false">'☆掛負収入'!E913</f>
        <v>0</v>
      </c>
      <c r="F913" s="89" t="n">
        <f aca="false">'☆掛負収入'!F913</f>
        <v>0</v>
      </c>
      <c r="G913" s="89" t="n">
        <f aca="false">'☆掛負収入'!G913</f>
        <v>0</v>
      </c>
      <c r="H913" s="91" t="str">
        <f aca="false">'☆掛負収入'!H913</f>
        <v>短　期　経　理</v>
      </c>
      <c r="I913" s="91" t="n">
        <f aca="false">'☆掛負収入'!I913</f>
        <v>0</v>
      </c>
      <c r="J913" s="91" t="n">
        <f aca="false">'☆掛負収入'!J913</f>
        <v>0</v>
      </c>
      <c r="K913" s="91" t="str">
        <f aca="false">'☆掛負収入'!K913</f>
        <v>介　護　納　付　金</v>
      </c>
      <c r="L913" s="91" t="n">
        <f aca="false">'☆掛負収入'!L913</f>
        <v>0</v>
      </c>
      <c r="M913" s="91" t="n">
        <f aca="false">'☆掛負収入'!M913</f>
        <v>0</v>
      </c>
      <c r="N913" s="91" t="str">
        <f aca="false">'☆掛負収入'!N913</f>
        <v>子ども・子育て支援納付金</v>
      </c>
      <c r="O913" s="91" t="n">
        <f aca="false">'☆掛負収入'!O913</f>
        <v>0</v>
      </c>
      <c r="P913" s="91" t="n">
        <f aca="false">'☆掛負収入'!P913</f>
        <v>0</v>
      </c>
    </row>
    <row r="914" customFormat="false" ht="22.5" hidden="false" customHeight="true" outlineLevel="0" collapsed="false">
      <c r="A914" s="89" t="n">
        <f aca="false">'☆掛負収入'!A914</f>
        <v>0</v>
      </c>
      <c r="B914" s="92" t="str">
        <f aca="false">'☆掛負収入'!B914</f>
        <v>組合員負担分</v>
      </c>
      <c r="C914" s="92" t="n">
        <f aca="false">'☆掛負収入'!C914</f>
        <v>0</v>
      </c>
      <c r="D914" s="92" t="str">
        <f aca="false">'☆掛負収入'!D914</f>
        <v>事業主負担分</v>
      </c>
      <c r="E914" s="92" t="n">
        <f aca="false">'☆掛負収入'!E914</f>
        <v>0</v>
      </c>
      <c r="F914" s="92" t="n">
        <f aca="false">'☆掛負収入'!F914</f>
        <v>0</v>
      </c>
      <c r="G914" s="586" t="str">
        <f aca="false">'☆掛負収入'!G914</f>
        <v>計</v>
      </c>
      <c r="H914" s="96" t="str">
        <f aca="false">'☆掛負収入'!H914</f>
        <v>掛　金</v>
      </c>
      <c r="I914" s="94" t="str">
        <f aca="false">'☆掛負収入'!I914</f>
        <v>負担金</v>
      </c>
      <c r="J914" s="95" t="str">
        <f aca="false">'☆掛負収入'!J914</f>
        <v>計</v>
      </c>
      <c r="K914" s="96" t="str">
        <f aca="false">'☆掛負収入'!K914</f>
        <v>掛　金</v>
      </c>
      <c r="L914" s="94" t="str">
        <f aca="false">'☆掛負収入'!L914</f>
        <v>負担金</v>
      </c>
      <c r="M914" s="95" t="str">
        <f aca="false">'☆掛負収入'!M914</f>
        <v>計</v>
      </c>
      <c r="N914" s="96" t="str">
        <f aca="false">'☆掛負収入'!N914</f>
        <v>掛　金</v>
      </c>
      <c r="O914" s="94" t="str">
        <f aca="false">'☆掛負収入'!O914</f>
        <v>負担金</v>
      </c>
      <c r="P914" s="95" t="str">
        <f aca="false">'☆掛負収入'!P914</f>
        <v>計</v>
      </c>
    </row>
    <row r="915" customFormat="false" ht="22.5" hidden="false" customHeight="true" outlineLevel="0" collapsed="false">
      <c r="A915" s="89" t="n">
        <f aca="false">'☆掛負収入'!A915</f>
        <v>0</v>
      </c>
      <c r="B915" s="587" t="str">
        <f aca="false">'☆掛負収入'!B915</f>
        <v>厚生年金保険料</v>
      </c>
      <c r="C915" s="588" t="str">
        <f aca="false">'☆掛負収入'!C915</f>
        <v>退職等年金掛金</v>
      </c>
      <c r="D915" s="589" t="str">
        <f aca="false">'☆掛負収入'!D915</f>
        <v>厚生年金保険料</v>
      </c>
      <c r="E915" s="589" t="str">
        <f aca="false">'☆掛負収入'!E915</f>
        <v>退職等年金負担金</v>
      </c>
      <c r="F915" s="590" t="str">
        <f aca="false">'☆掛負収入'!F915</f>
        <v>経過的長期</v>
      </c>
      <c r="G915" s="586" t="n">
        <f aca="false">'☆掛負収入'!G915</f>
        <v>0</v>
      </c>
      <c r="H915" s="96" t="n">
        <f aca="false">'☆掛負収入'!H915</f>
        <v>0</v>
      </c>
      <c r="I915" s="94" t="n">
        <f aca="false">'☆掛負収入'!I915</f>
        <v>0</v>
      </c>
      <c r="J915" s="95" t="n">
        <f aca="false">'☆掛負収入'!J915</f>
        <v>0</v>
      </c>
      <c r="K915" s="96" t="n">
        <f aca="false">'☆掛負収入'!K915</f>
        <v>0</v>
      </c>
      <c r="L915" s="94" t="n">
        <f aca="false">'☆掛負収入'!L915</f>
        <v>0</v>
      </c>
      <c r="M915" s="95" t="n">
        <f aca="false">'☆掛負収入'!M915</f>
        <v>0</v>
      </c>
      <c r="N915" s="96" t="n">
        <f aca="false">'☆掛負収入'!N915</f>
        <v>0</v>
      </c>
      <c r="O915" s="94" t="n">
        <f aca="false">'☆掛負収入'!O915</f>
        <v>0</v>
      </c>
      <c r="P915" s="95" t="n">
        <f aca="false">'☆掛負収入'!P915</f>
        <v>0</v>
      </c>
    </row>
    <row r="916" customFormat="false" ht="18.75" hidden="false" customHeight="true" outlineLevel="0" collapsed="false">
      <c r="A916" s="100" t="str">
        <f aca="false">'☆掛負収入'!A916</f>
        <v>市長部局</v>
      </c>
      <c r="B916" s="591"/>
      <c r="C916" s="364"/>
      <c r="D916" s="592"/>
      <c r="E916" s="592"/>
      <c r="F916" s="184"/>
      <c r="G916" s="364"/>
      <c r="H916" s="591"/>
      <c r="I916" s="593"/>
      <c r="J916" s="181"/>
      <c r="K916" s="594"/>
      <c r="L916" s="593"/>
      <c r="M916" s="181"/>
      <c r="N916" s="594"/>
      <c r="O916" s="593"/>
      <c r="P916" s="181"/>
    </row>
    <row r="917" customFormat="false" ht="18.75" hidden="false" customHeight="true" outlineLevel="0" collapsed="false">
      <c r="A917" s="100" t="str">
        <f aca="false">'☆掛負収入'!A917</f>
        <v>下水道局</v>
      </c>
      <c r="B917" s="406"/>
      <c r="C917" s="181"/>
      <c r="D917" s="592"/>
      <c r="E917" s="592"/>
      <c r="F917" s="135"/>
      <c r="G917" s="181"/>
      <c r="H917" s="594"/>
      <c r="I917" s="424"/>
      <c r="J917" s="135"/>
      <c r="K917" s="595"/>
      <c r="L917" s="596"/>
      <c r="M917" s="135"/>
      <c r="N917" s="595"/>
      <c r="O917" s="596"/>
      <c r="P917" s="135"/>
    </row>
    <row r="918" customFormat="false" ht="18.75" hidden="false" customHeight="true" outlineLevel="0" collapsed="false">
      <c r="A918" s="100" t="str">
        <f aca="false">'☆掛負収入'!A918</f>
        <v>消防局</v>
      </c>
      <c r="B918" s="406"/>
      <c r="C918" s="181"/>
      <c r="D918" s="592"/>
      <c r="E918" s="592"/>
      <c r="F918" s="135"/>
      <c r="G918" s="181"/>
      <c r="H918" s="595"/>
      <c r="I918" s="439"/>
      <c r="J918" s="135"/>
      <c r="K918" s="595"/>
      <c r="L918" s="439"/>
      <c r="M918" s="135"/>
      <c r="N918" s="595"/>
      <c r="O918" s="439"/>
      <c r="P918" s="135"/>
    </row>
    <row r="919" customFormat="false" ht="18.75" hidden="false" customHeight="true" outlineLevel="0" collapsed="false">
      <c r="A919" s="100" t="str">
        <f aca="false">'☆掛負収入'!A919</f>
        <v>議会事務局</v>
      </c>
      <c r="B919" s="406"/>
      <c r="C919" s="181"/>
      <c r="D919" s="592"/>
      <c r="E919" s="592"/>
      <c r="F919" s="135"/>
      <c r="G919" s="181"/>
      <c r="H919" s="406"/>
      <c r="I919" s="439"/>
      <c r="J919" s="135"/>
      <c r="K919" s="406"/>
      <c r="L919" s="439"/>
      <c r="M919" s="135"/>
      <c r="N919" s="406"/>
      <c r="O919" s="439"/>
      <c r="P919" s="135"/>
    </row>
    <row r="920" customFormat="false" ht="18.75" hidden="false" customHeight="true" outlineLevel="0" collapsed="false">
      <c r="A920" s="100" t="str">
        <f aca="false">'☆掛負収入'!A920</f>
        <v>教育委員会（総務課）</v>
      </c>
      <c r="B920" s="406"/>
      <c r="C920" s="181"/>
      <c r="D920" s="592"/>
      <c r="E920" s="592"/>
      <c r="F920" s="135"/>
      <c r="G920" s="181"/>
      <c r="H920" s="406"/>
      <c r="I920" s="439"/>
      <c r="J920" s="135"/>
      <c r="K920" s="406"/>
      <c r="L920" s="439"/>
      <c r="M920" s="135"/>
      <c r="N920" s="406"/>
      <c r="O920" s="439"/>
      <c r="P920" s="135"/>
    </row>
    <row r="921" customFormat="false" ht="18.75" hidden="false" customHeight="true" outlineLevel="0" collapsed="false">
      <c r="A921" s="100" t="str">
        <f aca="false">'☆掛負収入'!A921</f>
        <v>選挙管理委員会</v>
      </c>
      <c r="B921" s="406"/>
      <c r="C921" s="181"/>
      <c r="D921" s="592"/>
      <c r="E921" s="592"/>
      <c r="F921" s="135"/>
      <c r="G921" s="181"/>
      <c r="H921" s="594"/>
      <c r="I921" s="424"/>
      <c r="J921" s="135"/>
      <c r="K921" s="406"/>
      <c r="L921" s="439"/>
      <c r="M921" s="135"/>
      <c r="N921" s="406"/>
      <c r="O921" s="439"/>
      <c r="P921" s="135"/>
    </row>
    <row r="922" customFormat="false" ht="18.75" hidden="false" customHeight="true" outlineLevel="0" collapsed="false">
      <c r="A922" s="100" t="str">
        <f aca="false">'☆掛負収入'!A922</f>
        <v>人事委員会</v>
      </c>
      <c r="B922" s="406"/>
      <c r="C922" s="181"/>
      <c r="D922" s="592"/>
      <c r="E922" s="592"/>
      <c r="F922" s="135"/>
      <c r="G922" s="181"/>
      <c r="H922" s="594"/>
      <c r="I922" s="424"/>
      <c r="J922" s="135"/>
      <c r="K922" s="594"/>
      <c r="L922" s="424"/>
      <c r="M922" s="135"/>
      <c r="N922" s="594"/>
      <c r="O922" s="424"/>
      <c r="P922" s="135"/>
    </row>
    <row r="923" customFormat="false" ht="18.75" hidden="false" customHeight="true" outlineLevel="0" collapsed="false">
      <c r="A923" s="100" t="str">
        <f aca="false">'☆掛負収入'!A923</f>
        <v>監査事務局</v>
      </c>
      <c r="B923" s="406"/>
      <c r="C923" s="181"/>
      <c r="D923" s="592"/>
      <c r="E923" s="592"/>
      <c r="F923" s="135"/>
      <c r="G923" s="181"/>
      <c r="H923" s="594"/>
      <c r="I923" s="424"/>
      <c r="J923" s="135"/>
      <c r="K923" s="594"/>
      <c r="L923" s="424"/>
      <c r="M923" s="135"/>
      <c r="N923" s="594"/>
      <c r="O923" s="424"/>
      <c r="P923" s="135"/>
    </row>
    <row r="924" customFormat="false" ht="18.75" hidden="false" customHeight="true" outlineLevel="0" collapsed="false">
      <c r="A924" s="100" t="str">
        <f aca="false">'☆掛負収入'!A924</f>
        <v>農業委員会</v>
      </c>
      <c r="B924" s="406"/>
      <c r="C924" s="181"/>
      <c r="D924" s="592"/>
      <c r="E924" s="592"/>
      <c r="F924" s="135"/>
      <c r="G924" s="181"/>
      <c r="H924" s="594"/>
      <c r="I924" s="424"/>
      <c r="J924" s="135"/>
      <c r="K924" s="594"/>
      <c r="L924" s="424"/>
      <c r="M924" s="135"/>
      <c r="N924" s="594"/>
      <c r="O924" s="424"/>
      <c r="P924" s="135"/>
    </row>
    <row r="925" customFormat="false" ht="18.75" hidden="false" customHeight="true" outlineLevel="0" collapsed="false">
      <c r="A925" s="100" t="str">
        <f aca="false">'☆掛負収入'!A925</f>
        <v>水道局</v>
      </c>
      <c r="B925" s="406"/>
      <c r="C925" s="181"/>
      <c r="D925" s="592"/>
      <c r="E925" s="592"/>
      <c r="F925" s="135"/>
      <c r="G925" s="181"/>
      <c r="H925" s="594"/>
      <c r="I925" s="424"/>
      <c r="J925" s="135"/>
      <c r="K925" s="594"/>
      <c r="L925" s="424"/>
      <c r="M925" s="135"/>
      <c r="N925" s="594"/>
      <c r="O925" s="424"/>
      <c r="P925" s="135"/>
    </row>
    <row r="926" customFormat="false" ht="18.75" hidden="false" customHeight="true" outlineLevel="0" collapsed="false">
      <c r="A926" s="121" t="str">
        <f aca="false">'☆掛負収入'!A926</f>
        <v>医療政策課(安芸市民)</v>
      </c>
      <c r="B926" s="595"/>
      <c r="C926" s="366"/>
      <c r="D926" s="595"/>
      <c r="E926" s="596"/>
      <c r="F926" s="393"/>
      <c r="G926" s="181"/>
      <c r="H926" s="597"/>
      <c r="I926" s="407"/>
      <c r="J926" s="135"/>
      <c r="K926" s="594"/>
      <c r="L926" s="424"/>
      <c r="M926" s="135"/>
      <c r="N926" s="594"/>
      <c r="O926" s="424"/>
      <c r="P926" s="135"/>
    </row>
    <row r="927" customFormat="false" ht="18.75" hidden="false" customHeight="true" outlineLevel="0" collapsed="false">
      <c r="A927" s="121" t="str">
        <f aca="false">'☆掛負収入'!A927</f>
        <v>教育委員会（教育給与課）</v>
      </c>
      <c r="B927" s="595"/>
      <c r="C927" s="181"/>
      <c r="D927" s="406"/>
      <c r="E927" s="598"/>
      <c r="F927" s="284"/>
      <c r="G927" s="181"/>
      <c r="H927" s="594"/>
      <c r="I927" s="424"/>
      <c r="J927" s="135"/>
      <c r="K927" s="594"/>
      <c r="L927" s="424"/>
      <c r="M927" s="135"/>
      <c r="N927" s="594"/>
      <c r="O927" s="424"/>
      <c r="P927" s="135"/>
    </row>
    <row r="928" customFormat="false" ht="18.75" hidden="true" customHeight="true" outlineLevel="0" collapsed="false">
      <c r="A928" s="599"/>
      <c r="B928" s="600"/>
      <c r="C928" s="210"/>
      <c r="D928" s="600"/>
      <c r="E928" s="601"/>
      <c r="F928" s="196"/>
      <c r="G928" s="260"/>
      <c r="H928" s="602"/>
      <c r="I928" s="603"/>
      <c r="J928" s="603"/>
      <c r="K928" s="602"/>
      <c r="L928" s="603"/>
      <c r="M928" s="195"/>
      <c r="N928" s="602"/>
      <c r="O928" s="603"/>
      <c r="P928" s="195"/>
    </row>
    <row r="929" customFormat="false" ht="18.75" hidden="true" customHeight="true" outlineLevel="0" collapsed="false">
      <c r="A929" s="604"/>
      <c r="B929" s="457"/>
      <c r="C929" s="132"/>
      <c r="D929" s="457"/>
      <c r="E929" s="458"/>
      <c r="F929" s="459"/>
      <c r="G929" s="441"/>
      <c r="H929" s="457"/>
      <c r="I929" s="458"/>
      <c r="J929" s="458"/>
      <c r="K929" s="457"/>
      <c r="L929" s="458"/>
      <c r="M929" s="130"/>
      <c r="N929" s="457"/>
      <c r="O929" s="458"/>
      <c r="P929" s="130"/>
    </row>
    <row r="930" customFormat="false" ht="18.75" hidden="true" customHeight="true" outlineLevel="0" collapsed="false">
      <c r="A930" s="604"/>
      <c r="B930" s="600"/>
      <c r="C930" s="210"/>
      <c r="D930" s="600"/>
      <c r="E930" s="601"/>
      <c r="F930" s="196"/>
      <c r="G930" s="260"/>
      <c r="H930" s="600"/>
      <c r="I930" s="601"/>
      <c r="J930" s="601"/>
      <c r="K930" s="600"/>
      <c r="L930" s="601"/>
      <c r="M930" s="696"/>
      <c r="N930" s="600"/>
      <c r="O930" s="601"/>
      <c r="P930" s="696"/>
    </row>
    <row r="931" customFormat="false" ht="18.75" hidden="true" customHeight="true" outlineLevel="0" collapsed="false">
      <c r="A931" s="605"/>
      <c r="B931" s="606"/>
      <c r="C931" s="607"/>
      <c r="D931" s="606"/>
      <c r="E931" s="490"/>
      <c r="F931" s="608"/>
      <c r="G931" s="664"/>
      <c r="H931" s="457"/>
      <c r="I931" s="609"/>
      <c r="J931" s="609"/>
      <c r="K931" s="457"/>
      <c r="L931" s="458"/>
      <c r="M931" s="130"/>
      <c r="N931" s="457"/>
      <c r="O931" s="458"/>
      <c r="P931" s="130"/>
    </row>
    <row r="932" customFormat="false" ht="18.75" hidden="false" customHeight="true" outlineLevel="0" collapsed="false">
      <c r="A932" s="171" t="str">
        <f aca="false">'☆掛負収入'!A932</f>
        <v>小　計</v>
      </c>
      <c r="B932" s="404"/>
      <c r="C932" s="174"/>
      <c r="D932" s="404"/>
      <c r="E932" s="174"/>
      <c r="F932" s="175"/>
      <c r="G932" s="176"/>
      <c r="H932" s="404"/>
      <c r="I932" s="174"/>
      <c r="J932" s="173"/>
      <c r="K932" s="404"/>
      <c r="L932" s="174"/>
      <c r="M932" s="173"/>
      <c r="N932" s="404"/>
      <c r="O932" s="174"/>
      <c r="P932" s="173"/>
    </row>
    <row r="933" customFormat="false" ht="18.75" hidden="false" customHeight="true" outlineLevel="0" collapsed="false">
      <c r="A933" s="177" t="str">
        <f aca="false">'☆掛負収入'!A933</f>
        <v>地方税共同機構</v>
      </c>
      <c r="B933" s="449" t="n">
        <f aca="false">'☆掛負収入'!B933</f>
        <v>0</v>
      </c>
      <c r="C933" s="377" t="n">
        <f aca="false">'☆掛負収入'!C933</f>
        <v>0</v>
      </c>
      <c r="D933" s="469" t="n">
        <f aca="false">'☆掛負収入'!D933</f>
        <v>0</v>
      </c>
      <c r="E933" s="463" t="n">
        <f aca="false">'☆掛負収入'!E933</f>
        <v>0</v>
      </c>
      <c r="F933" s="450" t="n">
        <f aca="false">'☆掛負収入'!F933</f>
        <v>0</v>
      </c>
      <c r="G933" s="666" t="n">
        <f aca="false">SUM(B933:F933)</f>
        <v>0</v>
      </c>
      <c r="H933" s="594" t="n">
        <f aca="false">'☆掛負収入'!H933</f>
        <v>0</v>
      </c>
      <c r="I933" s="424" t="n">
        <f aca="false">'☆掛負収入'!I933</f>
        <v>0</v>
      </c>
      <c r="J933" s="135" t="n">
        <f aca="false">SUM(H933:I933)</f>
        <v>0</v>
      </c>
      <c r="K933" s="439" t="n">
        <f aca="false">'☆掛負収入'!K933</f>
        <v>0</v>
      </c>
      <c r="L933" s="424" t="n">
        <f aca="false">'☆掛負収入'!L933</f>
        <v>0</v>
      </c>
      <c r="M933" s="135" t="n">
        <f aca="false">SUM(K933:L933)</f>
        <v>0</v>
      </c>
      <c r="N933" s="439" t="n">
        <f aca="false">'☆掛負収入'!N933</f>
        <v>0</v>
      </c>
      <c r="O933" s="424" t="n">
        <f aca="false">'☆掛負収入'!O933</f>
        <v>0</v>
      </c>
      <c r="P933" s="135" t="n">
        <f aca="false">SUM(N933:O933)</f>
        <v>0</v>
      </c>
    </row>
    <row r="934" customFormat="false" ht="18.75" hidden="false" customHeight="true" outlineLevel="0" collapsed="false">
      <c r="A934" s="100" t="str">
        <f aca="false">'☆掛負収入'!A934</f>
        <v>平和文化センター</v>
      </c>
      <c r="B934" s="449" t="n">
        <f aca="false">'☆掛負収入'!B934</f>
        <v>45750</v>
      </c>
      <c r="C934" s="377" t="n">
        <f aca="false">'☆掛負収入'!C934</f>
        <v>3750</v>
      </c>
      <c r="D934" s="464" t="n">
        <f aca="false">'☆掛負収入'!D934</f>
        <v>494100</v>
      </c>
      <c r="E934" s="452" t="n">
        <f aca="false">'☆掛負収入'!E934</f>
        <v>40500</v>
      </c>
      <c r="F934" s="450" t="n">
        <f aca="false">'☆掛負収入'!F934</f>
        <v>545</v>
      </c>
      <c r="G934" s="668" t="n">
        <f aca="false">SUM(B934:F934)</f>
        <v>584645</v>
      </c>
      <c r="H934" s="448" t="n">
        <f aca="false">'☆掛負収入'!H934</f>
        <v>27505</v>
      </c>
      <c r="I934" s="450" t="n">
        <f aca="false">'☆掛負収入'!I934</f>
        <v>297625</v>
      </c>
      <c r="J934" s="135" t="n">
        <f aca="false">SUM(H934:I934)</f>
        <v>325130</v>
      </c>
      <c r="K934" s="453" t="n">
        <f aca="false">'☆掛負収入'!K934</f>
        <v>4200</v>
      </c>
      <c r="L934" s="450" t="n">
        <f aca="false">'☆掛負収入'!L934</f>
        <v>35112</v>
      </c>
      <c r="M934" s="135" t="n">
        <f aca="false">SUM(K934:L934)</f>
        <v>39312</v>
      </c>
      <c r="N934" s="453" t="n">
        <f aca="false">'☆掛負収入'!N934</f>
        <v>0</v>
      </c>
      <c r="O934" s="450" t="n">
        <f aca="false">'☆掛負収入'!O934</f>
        <v>1</v>
      </c>
      <c r="P934" s="135" t="n">
        <f aca="false">SUM(N934:O934)</f>
        <v>1</v>
      </c>
    </row>
    <row r="935" customFormat="false" ht="18.75" hidden="false" customHeight="true" outlineLevel="0" collapsed="false">
      <c r="A935" s="100" t="str">
        <f aca="false">'☆掛負収入'!A935</f>
        <v>社会福祉事業団</v>
      </c>
      <c r="B935" s="600"/>
      <c r="C935" s="210"/>
      <c r="D935" s="451" t="n">
        <f aca="false">'☆掛負収入'!D935</f>
        <v>1895880</v>
      </c>
      <c r="E935" s="453" t="n">
        <f aca="false">'☆掛負収入'!E935</f>
        <v>155400</v>
      </c>
      <c r="F935" s="450" t="n">
        <f aca="false">'☆掛負収入'!F935</f>
        <v>1997</v>
      </c>
      <c r="G935" s="668" t="n">
        <f aca="false">SUM(B935:F935)</f>
        <v>2053277</v>
      </c>
      <c r="H935" s="602"/>
      <c r="I935" s="450" t="n">
        <f aca="false">'☆掛負収入'!I935</f>
        <v>1280817</v>
      </c>
      <c r="J935" s="135" t="n">
        <f aca="false">SUM(H935:I935)</f>
        <v>1280817</v>
      </c>
      <c r="K935" s="612"/>
      <c r="L935" s="450" t="n">
        <f aca="false">'☆掛負収入'!L935</f>
        <v>141726</v>
      </c>
      <c r="M935" s="135" t="n">
        <f aca="false">SUM(K935:L935)</f>
        <v>141726</v>
      </c>
      <c r="N935" s="612"/>
      <c r="O935" s="450" t="n">
        <f aca="false">'☆掛負収入'!O935</f>
        <v>1</v>
      </c>
      <c r="P935" s="135" t="n">
        <f aca="false">SUM(N935:O935)</f>
        <v>1</v>
      </c>
    </row>
    <row r="936" customFormat="false" ht="18.75" hidden="false" customHeight="true" outlineLevel="0" collapsed="false">
      <c r="A936" s="100" t="str">
        <f aca="false">'☆掛負収入'!A936</f>
        <v>原爆障害対策協議会</v>
      </c>
      <c r="B936" s="600"/>
      <c r="C936" s="210"/>
      <c r="D936" s="445" t="n">
        <f aca="false">'☆掛負収入'!D936</f>
        <v>48495</v>
      </c>
      <c r="E936" s="453" t="n">
        <f aca="false">'☆掛負収入'!E936</f>
        <v>3975</v>
      </c>
      <c r="F936" s="450" t="n">
        <f aca="false">'☆掛負収入'!F936</f>
        <v>50</v>
      </c>
      <c r="G936" s="668" t="n">
        <f aca="false">SUM(B936:F936)</f>
        <v>52520</v>
      </c>
      <c r="H936" s="602"/>
      <c r="I936" s="450" t="n">
        <f aca="false">'☆掛負収入'!I936</f>
        <v>29208</v>
      </c>
      <c r="J936" s="135" t="n">
        <f aca="false">SUM(H936:I936)</f>
        <v>29208</v>
      </c>
      <c r="K936" s="612"/>
      <c r="L936" s="450" t="n">
        <f aca="false">'☆掛負収入'!L936</f>
        <v>4452</v>
      </c>
      <c r="M936" s="135" t="n">
        <f aca="false">SUM(K936:L936)</f>
        <v>4452</v>
      </c>
      <c r="N936" s="612"/>
      <c r="O936" s="450" t="n">
        <f aca="false">'☆掛負収入'!O936</f>
        <v>1</v>
      </c>
      <c r="P936" s="135" t="n">
        <f aca="false">SUM(N936:O936)</f>
        <v>1</v>
      </c>
    </row>
    <row r="937" customFormat="false" ht="18.75" hidden="false" customHeight="true" outlineLevel="0" collapsed="false">
      <c r="A937" s="189" t="str">
        <f aca="false">'☆掛負収入'!A937</f>
        <v>産業振興センター</v>
      </c>
      <c r="B937" s="600"/>
      <c r="C937" s="210"/>
      <c r="D937" s="445" t="n">
        <f aca="false">'☆掛負収入'!D937</f>
        <v>425475</v>
      </c>
      <c r="E937" s="453" t="n">
        <f aca="false">'☆掛負収入'!E937</f>
        <v>34875</v>
      </c>
      <c r="F937" s="450" t="n">
        <f aca="false">'☆掛負収入'!F937</f>
        <v>435</v>
      </c>
      <c r="G937" s="668" t="n">
        <f aca="false">SUM(B937:F937)</f>
        <v>460785</v>
      </c>
      <c r="H937" s="602"/>
      <c r="I937" s="450" t="n">
        <f aca="false">'☆掛負収入'!I937</f>
        <v>256260</v>
      </c>
      <c r="J937" s="135" t="n">
        <f aca="false">SUM(H937:I937)</f>
        <v>256260</v>
      </c>
      <c r="K937" s="612"/>
      <c r="L937" s="450" t="n">
        <f aca="false">'☆掛負収入'!L937</f>
        <v>34207</v>
      </c>
      <c r="M937" s="135" t="n">
        <f aca="false">SUM(K937:L937)</f>
        <v>34207</v>
      </c>
      <c r="N937" s="612"/>
      <c r="O937" s="450" t="n">
        <f aca="false">'☆掛負収入'!O937</f>
        <v>1</v>
      </c>
      <c r="P937" s="135" t="n">
        <f aca="false">SUM(N937:O937)</f>
        <v>1</v>
      </c>
    </row>
    <row r="938" customFormat="false" ht="18.75" hidden="false" customHeight="true" outlineLevel="0" collapsed="false">
      <c r="A938" s="121" t="str">
        <f aca="false">'☆掛負収入'!A938</f>
        <v>ひろしま産業振興</v>
      </c>
      <c r="B938" s="600"/>
      <c r="C938" s="459"/>
      <c r="D938" s="445" t="n">
        <f aca="false">'☆掛負収入'!D938</f>
        <v>86010</v>
      </c>
      <c r="E938" s="453" t="n">
        <f aca="false">'☆掛負収入'!E938</f>
        <v>7050</v>
      </c>
      <c r="F938" s="456" t="n">
        <f aca="false">'☆掛負収入'!F938</f>
        <v>88</v>
      </c>
      <c r="G938" s="668" t="n">
        <f aca="false">SUM(B938:F938)</f>
        <v>93148</v>
      </c>
      <c r="H938" s="602"/>
      <c r="I938" s="456" t="n">
        <f aca="false">'☆掛負収入'!I938</f>
        <v>51803</v>
      </c>
      <c r="J938" s="135" t="n">
        <f aca="false">SUM(H938:I938)</f>
        <v>51803</v>
      </c>
      <c r="K938" s="612"/>
      <c r="L938" s="456" t="n">
        <f aca="false">'☆掛負収入'!L938</f>
        <v>7426</v>
      </c>
      <c r="M938" s="135" t="n">
        <f aca="false">SUM(K938:L938)</f>
        <v>7426</v>
      </c>
      <c r="N938" s="612"/>
      <c r="O938" s="456" t="n">
        <f aca="false">'☆掛負収入'!O938</f>
        <v>1</v>
      </c>
      <c r="P938" s="135" t="n">
        <f aca="false">SUM(N938:O938)</f>
        <v>1</v>
      </c>
    </row>
    <row r="939" customFormat="false" ht="18.75" hidden="false" customHeight="true" outlineLevel="0" collapsed="false">
      <c r="A939" s="121" t="str">
        <f aca="false">'☆掛負収入'!A939</f>
        <v>都市整備公社　市</v>
      </c>
      <c r="B939" s="600"/>
      <c r="C939" s="459"/>
      <c r="D939" s="451" t="n">
        <f aca="false">'☆掛負収入'!D939</f>
        <v>48495</v>
      </c>
      <c r="E939" s="453" t="n">
        <f aca="false">'☆掛負収入'!E939</f>
        <v>3975</v>
      </c>
      <c r="F939" s="450" t="n">
        <f aca="false">'☆掛負収入'!F939</f>
        <v>49</v>
      </c>
      <c r="G939" s="668" t="n">
        <f aca="false">SUM(B939:F939)</f>
        <v>52519</v>
      </c>
      <c r="H939" s="602"/>
      <c r="I939" s="450" t="n">
        <f aca="false">'☆掛負収入'!I939</f>
        <v>29208</v>
      </c>
      <c r="J939" s="135" t="n">
        <f aca="false">SUM(H939:I939)</f>
        <v>29208</v>
      </c>
      <c r="K939" s="612"/>
      <c r="L939" s="450" t="n">
        <f aca="false">'☆掛負収入'!L939</f>
        <v>4187</v>
      </c>
      <c r="M939" s="135" t="n">
        <f aca="false">SUM(K939:L939)</f>
        <v>4187</v>
      </c>
      <c r="N939" s="612"/>
      <c r="O939" s="450" t="n">
        <f aca="false">'☆掛負収入'!O939</f>
        <v>1</v>
      </c>
      <c r="P939" s="135" t="n">
        <f aca="false">SUM(N939:O939)</f>
        <v>1</v>
      </c>
    </row>
    <row r="940" customFormat="false" ht="18.75" hidden="false" customHeight="true" outlineLevel="0" collapsed="false">
      <c r="A940" s="192"/>
      <c r="B940" s="600"/>
      <c r="C940" s="196"/>
      <c r="D940" s="449"/>
      <c r="E940" s="453"/>
      <c r="F940" s="450"/>
      <c r="G940" s="668"/>
      <c r="H940" s="602"/>
      <c r="I940" s="450"/>
      <c r="J940" s="135"/>
      <c r="K940" s="612"/>
      <c r="L940" s="450"/>
      <c r="M940" s="135" t="n">
        <f aca="false">SUM(K940:L940)</f>
        <v>0</v>
      </c>
      <c r="N940" s="612"/>
      <c r="O940" s="450"/>
      <c r="P940" s="135" t="n">
        <f aca="false">SUM(N940:O940)</f>
        <v>0</v>
      </c>
    </row>
    <row r="941" customFormat="false" ht="18.75" hidden="false" customHeight="true" outlineLevel="0" collapsed="false">
      <c r="A941" s="121" t="str">
        <f aca="false">'☆掛負収入'!A941</f>
        <v>日本下水道事業団</v>
      </c>
      <c r="B941" s="451" t="n">
        <f aca="false">'☆掛負収入'!B941</f>
        <v>245220</v>
      </c>
      <c r="C941" s="223" t="n">
        <f aca="false">'☆掛負収入'!C941</f>
        <v>20100</v>
      </c>
      <c r="D941" s="449" t="n">
        <f aca="false">'☆掛負収入'!D941</f>
        <v>245220</v>
      </c>
      <c r="E941" s="453" t="n">
        <f aca="false">'☆掛負収入'!E941</f>
        <v>20100</v>
      </c>
      <c r="F941" s="450" t="n">
        <f aca="false">'☆掛負収入'!F941</f>
        <v>251</v>
      </c>
      <c r="G941" s="668" t="n">
        <f aca="false">SUM(B941:F941)</f>
        <v>530891</v>
      </c>
      <c r="H941" s="448" t="n">
        <f aca="false">'☆掛負収入'!H941</f>
        <v>147425</v>
      </c>
      <c r="I941" s="450" t="n">
        <f aca="false">'☆掛負収入'!I941</f>
        <v>147694</v>
      </c>
      <c r="J941" s="135" t="n">
        <f aca="false">SUM(H941:I941)</f>
        <v>295119</v>
      </c>
      <c r="K941" s="453" t="n">
        <f aca="false">'☆掛負収入'!K941</f>
        <v>9559</v>
      </c>
      <c r="L941" s="450" t="n">
        <f aca="false">'☆掛負収入'!L941</f>
        <v>9559</v>
      </c>
      <c r="M941" s="135" t="n">
        <f aca="false">SUM(K941:L941)</f>
        <v>19118</v>
      </c>
      <c r="N941" s="453" t="n">
        <f aca="false">'☆掛負収入'!N941</f>
        <v>1</v>
      </c>
      <c r="O941" s="450" t="n">
        <f aca="false">'☆掛負収入'!O941</f>
        <v>1</v>
      </c>
      <c r="P941" s="135" t="n">
        <f aca="false">SUM(N941:O941)</f>
        <v>2</v>
      </c>
    </row>
    <row r="942" customFormat="false" ht="18.75" hidden="false" customHeight="true" outlineLevel="0" collapsed="false">
      <c r="A942" s="100" t="str">
        <f aca="false">'☆掛負収入'!A942</f>
        <v>地方公務員災害補償基金本部</v>
      </c>
      <c r="B942" s="451" t="n">
        <f aca="false">'☆掛負収入'!B942</f>
        <v>40260</v>
      </c>
      <c r="C942" s="223" t="n">
        <f aca="false">'☆掛負収入'!C942</f>
        <v>3300</v>
      </c>
      <c r="D942" s="449" t="n">
        <f aca="false">'☆掛負収入'!D942</f>
        <v>40260</v>
      </c>
      <c r="E942" s="453" t="n">
        <f aca="false">'☆掛負収入'!E942</f>
        <v>3300</v>
      </c>
      <c r="F942" s="450" t="n">
        <f aca="false">'☆掛負収入'!F942</f>
        <v>41</v>
      </c>
      <c r="G942" s="668" t="n">
        <f aca="false">SUM(B942:F942)</f>
        <v>87161</v>
      </c>
      <c r="H942" s="448" t="n">
        <f aca="false">'☆掛負収入'!H942</f>
        <v>24204</v>
      </c>
      <c r="I942" s="450" t="n">
        <f aca="false">'☆掛負収入'!I942</f>
        <v>24248</v>
      </c>
      <c r="J942" s="135" t="n">
        <f aca="false">SUM(H942:I942)</f>
        <v>48452</v>
      </c>
      <c r="K942" s="453" t="n">
        <f aca="false">'☆掛負収入'!K942</f>
        <v>0</v>
      </c>
      <c r="L942" s="450" t="n">
        <f aca="false">'☆掛負収入'!L942</f>
        <v>0</v>
      </c>
      <c r="M942" s="135" t="n">
        <f aca="false">SUM(K942:L942)</f>
        <v>0</v>
      </c>
      <c r="N942" s="453" t="n">
        <f aca="false">'☆掛負収入'!N942</f>
        <v>1</v>
      </c>
      <c r="O942" s="450" t="n">
        <f aca="false">'☆掛負収入'!O942</f>
        <v>1</v>
      </c>
      <c r="P942" s="135" t="n">
        <f aca="false">SUM(N942:O942)</f>
        <v>2</v>
      </c>
    </row>
    <row r="943" customFormat="false" ht="18.75" hidden="false" customHeight="true" outlineLevel="0" collapsed="false">
      <c r="A943" s="197"/>
      <c r="B943" s="449"/>
      <c r="C943" s="223"/>
      <c r="D943" s="449"/>
      <c r="E943" s="453"/>
      <c r="F943" s="450"/>
      <c r="G943" s="668"/>
      <c r="H943" s="594"/>
      <c r="I943" s="450"/>
      <c r="J943" s="135"/>
      <c r="K943" s="439"/>
      <c r="L943" s="424"/>
      <c r="M943" s="135" t="n">
        <f aca="false">SUM(K943:L943)</f>
        <v>0</v>
      </c>
      <c r="N943" s="439"/>
      <c r="O943" s="424"/>
      <c r="P943" s="135" t="n">
        <f aca="false">SUM(N943:O943)</f>
        <v>0</v>
      </c>
    </row>
    <row r="944" customFormat="false" ht="18.75" hidden="false" customHeight="true" outlineLevel="0" collapsed="false">
      <c r="A944" s="100" t="str">
        <f aca="false">'☆掛負収入'!A944</f>
        <v>高速道路公社</v>
      </c>
      <c r="B944" s="464" t="n">
        <f aca="false">'☆掛負収入'!B944</f>
        <v>987285</v>
      </c>
      <c r="C944" s="454" t="n">
        <f aca="false">'☆掛負収入'!C944</f>
        <v>80925</v>
      </c>
      <c r="D944" s="464" t="n">
        <f aca="false">'☆掛負収入'!D944</f>
        <v>987285</v>
      </c>
      <c r="E944" s="470" t="n">
        <f aca="false">'☆掛負収入'!E944</f>
        <v>80925</v>
      </c>
      <c r="F944" s="472" t="n">
        <f aca="false">'☆掛負収入'!F944</f>
        <v>1028</v>
      </c>
      <c r="G944" s="668" t="n">
        <f aca="false">SUM(B944:F944)</f>
        <v>2137448</v>
      </c>
      <c r="H944" s="471" t="n">
        <f aca="false">'☆掛負収入'!H944</f>
        <v>593546</v>
      </c>
      <c r="I944" s="472" t="n">
        <f aca="false">'☆掛負収入'!I944</f>
        <v>594636</v>
      </c>
      <c r="J944" s="135" t="n">
        <f aca="false">SUM(H944:I944)</f>
        <v>1188182</v>
      </c>
      <c r="K944" s="470" t="n">
        <f aca="false">'☆掛負収入'!K944</f>
        <v>68124</v>
      </c>
      <c r="L944" s="472" t="n">
        <f aca="false">'☆掛負収入'!L944</f>
        <v>68124</v>
      </c>
      <c r="M944" s="135" t="n">
        <f aca="false">SUM(K944:L944)</f>
        <v>136248</v>
      </c>
      <c r="N944" s="470" t="n">
        <f aca="false">'☆掛負収入'!N944</f>
        <v>1</v>
      </c>
      <c r="O944" s="472" t="n">
        <f aca="false">'☆掛負収入'!O944</f>
        <v>1</v>
      </c>
      <c r="P944" s="135" t="n">
        <f aca="false">SUM(N944:O944)</f>
        <v>2</v>
      </c>
    </row>
    <row r="945" customFormat="false" ht="18.75" hidden="false" customHeight="true" outlineLevel="0" collapsed="false">
      <c r="A945" s="100" t="str">
        <f aca="false">'☆掛負収入'!A945</f>
        <v>農林水産振興センタ</v>
      </c>
      <c r="B945" s="457"/>
      <c r="C945" s="459"/>
      <c r="D945" s="451" t="n">
        <f aca="false">'☆掛負収入'!D945</f>
        <v>634095</v>
      </c>
      <c r="E945" s="473" t="n">
        <f aca="false">'☆掛負収入'!E945</f>
        <v>51975</v>
      </c>
      <c r="F945" s="456" t="n">
        <f aca="false">'☆掛負収入'!F945</f>
        <v>689</v>
      </c>
      <c r="G945" s="668" t="n">
        <f aca="false">SUM(B945:F945)</f>
        <v>686759</v>
      </c>
      <c r="H945" s="616"/>
      <c r="I945" s="456" t="n">
        <f aca="false">'☆掛負収入'!I945</f>
        <v>381942</v>
      </c>
      <c r="J945" s="135" t="n">
        <f aca="false">SUM(H945:I945)</f>
        <v>381942</v>
      </c>
      <c r="K945" s="617"/>
      <c r="L945" s="407" t="n">
        <f aca="false">'☆掛負収入'!L945</f>
        <v>36120</v>
      </c>
      <c r="M945" s="135" t="n">
        <f aca="false">SUM(K945:L945)</f>
        <v>36120</v>
      </c>
      <c r="N945" s="617"/>
      <c r="O945" s="407" t="n">
        <f aca="false">'☆掛負収入'!O945</f>
        <v>1</v>
      </c>
      <c r="P945" s="135" t="n">
        <f aca="false">SUM(N945:O945)</f>
        <v>1</v>
      </c>
    </row>
    <row r="946" customFormat="false" ht="18.75" hidden="false" customHeight="true" outlineLevel="0" collapsed="false">
      <c r="A946" s="203" t="str">
        <f aca="false">'☆掛負収入'!A946</f>
        <v>文化財団　市長部局</v>
      </c>
      <c r="B946" s="600"/>
      <c r="C946" s="196"/>
      <c r="D946" s="449" t="n">
        <f aca="false">'☆掛負収入'!D946</f>
        <v>1196820</v>
      </c>
      <c r="E946" s="453" t="n">
        <f aca="false">'☆掛負収入'!E946</f>
        <v>98100</v>
      </c>
      <c r="F946" s="456" t="n">
        <f aca="false">'☆掛負収入'!F946</f>
        <v>1224</v>
      </c>
      <c r="G946" s="668" t="n">
        <f aca="false">SUM(B946:F946)</f>
        <v>1296144</v>
      </c>
      <c r="H946" s="602"/>
      <c r="I946" s="456" t="n">
        <f aca="false">'☆掛負収入'!I946</f>
        <v>722488</v>
      </c>
      <c r="J946" s="135" t="n">
        <f aca="false">SUM(H946:I946)</f>
        <v>722488</v>
      </c>
      <c r="K946" s="612"/>
      <c r="L946" s="456" t="n">
        <f aca="false">'☆掛負収入'!L946</f>
        <v>97012</v>
      </c>
      <c r="M946" s="135" t="n">
        <f aca="false">SUM(K946:L946)</f>
        <v>97012</v>
      </c>
      <c r="N946" s="612"/>
      <c r="O946" s="456" t="n">
        <f aca="false">'☆掛負収入'!O946</f>
        <v>1</v>
      </c>
      <c r="P946" s="135" t="n">
        <f aca="false">SUM(N946:O946)</f>
        <v>1</v>
      </c>
    </row>
    <row r="947" customFormat="false" ht="18.75" hidden="false" customHeight="true" outlineLevel="0" collapsed="false">
      <c r="A947" s="204"/>
      <c r="B947" s="600"/>
      <c r="C947" s="196"/>
      <c r="D947" s="449"/>
      <c r="E947" s="453"/>
      <c r="F947" s="456"/>
      <c r="G947" s="668"/>
      <c r="H947" s="602"/>
      <c r="I947" s="456"/>
      <c r="J947" s="135"/>
      <c r="K947" s="612"/>
      <c r="L947" s="456"/>
      <c r="M947" s="135" t="n">
        <f aca="false">SUM(K947:L947)</f>
        <v>0</v>
      </c>
      <c r="N947" s="612"/>
      <c r="O947" s="456"/>
      <c r="P947" s="135" t="n">
        <f aca="false">SUM(N947:O947)</f>
        <v>0</v>
      </c>
    </row>
    <row r="948" customFormat="false" ht="18.75" hidden="false" customHeight="true" outlineLevel="0" collapsed="false">
      <c r="A948" s="100" t="str">
        <f aca="false">'☆掛負収入'!A948</f>
        <v>みどり生きもの協会</v>
      </c>
      <c r="B948" s="600"/>
      <c r="C948" s="196"/>
      <c r="D948" s="449" t="n">
        <f aca="false">'☆掛負収入'!D948</f>
        <v>402600</v>
      </c>
      <c r="E948" s="453" t="n">
        <f aca="false">'☆掛負収入'!E948</f>
        <v>33000</v>
      </c>
      <c r="F948" s="456" t="n">
        <f aca="false">'☆掛負収入'!F948</f>
        <v>412</v>
      </c>
      <c r="G948" s="668" t="n">
        <f aca="false">SUM(B948:F948)</f>
        <v>436012</v>
      </c>
      <c r="H948" s="602"/>
      <c r="I948" s="456" t="n">
        <f aca="false">'☆掛負収入'!I948</f>
        <v>242482</v>
      </c>
      <c r="J948" s="135" t="n">
        <f aca="false">SUM(H948:I948)</f>
        <v>242482</v>
      </c>
      <c r="K948" s="612"/>
      <c r="L948" s="456" t="n">
        <f aca="false">'☆掛負収入'!L948</f>
        <v>34760</v>
      </c>
      <c r="M948" s="135" t="n">
        <f aca="false">SUM(K948:L948)</f>
        <v>34760</v>
      </c>
      <c r="N948" s="612"/>
      <c r="O948" s="456" t="n">
        <f aca="false">'☆掛負収入'!O948</f>
        <v>1</v>
      </c>
      <c r="P948" s="135" t="n">
        <f aca="false">SUM(N948:O948)</f>
        <v>1</v>
      </c>
    </row>
    <row r="949" customFormat="false" ht="18.75" hidden="false" customHeight="true" outlineLevel="0" collapsed="false">
      <c r="A949" s="121" t="str">
        <f aca="false">'☆掛負収入'!A949</f>
        <v>県下水道公社</v>
      </c>
      <c r="B949" s="449" t="n">
        <f aca="false">'☆掛負収入'!B949</f>
        <v>137250</v>
      </c>
      <c r="C949" s="223" t="n">
        <f aca="false">'☆掛負収入'!C949</f>
        <v>11250</v>
      </c>
      <c r="D949" s="449" t="n">
        <f aca="false">'☆掛負収入'!D949</f>
        <v>137250</v>
      </c>
      <c r="E949" s="453" t="n">
        <f aca="false">'☆掛負収入'!E949</f>
        <v>11250</v>
      </c>
      <c r="F949" s="456" t="n">
        <f aca="false">'☆掛負収入'!F949</f>
        <v>140</v>
      </c>
      <c r="G949" s="668" t="n">
        <f aca="false">SUM(B949:F949)</f>
        <v>297140</v>
      </c>
      <c r="H949" s="448" t="n">
        <f aca="false">'☆掛負収入'!H949</f>
        <v>82514</v>
      </c>
      <c r="I949" s="456" t="n">
        <f aca="false">'☆掛負収入'!I949</f>
        <v>82665</v>
      </c>
      <c r="J949" s="135" t="n">
        <f aca="false">SUM(H949:I949)</f>
        <v>165179</v>
      </c>
      <c r="K949" s="453" t="n">
        <f aca="false">'☆掛負収入'!K949</f>
        <v>8611</v>
      </c>
      <c r="L949" s="456" t="n">
        <f aca="false">'☆掛負収入'!L949</f>
        <v>8611</v>
      </c>
      <c r="M949" s="135" t="n">
        <f aca="false">SUM(K949:L949)</f>
        <v>17222</v>
      </c>
      <c r="N949" s="453" t="n">
        <f aca="false">'☆掛負収入'!N949</f>
        <v>1</v>
      </c>
      <c r="O949" s="456" t="n">
        <f aca="false">'☆掛負収入'!O949</f>
        <v>1</v>
      </c>
      <c r="P949" s="135" t="n">
        <f aca="false">SUM(N949:O949)</f>
        <v>2</v>
      </c>
    </row>
    <row r="950" customFormat="false" ht="18.75" hidden="false" customHeight="true" outlineLevel="0" collapsed="false">
      <c r="A950" s="121" t="str">
        <f aca="false">'☆掛負収入'!A950</f>
        <v>バス協調・共創
プラットフォーム</v>
      </c>
      <c r="B950" s="457"/>
      <c r="C950" s="459"/>
      <c r="D950" s="451" t="n">
        <f aca="false">'☆掛負収入'!D950</f>
        <v>48495</v>
      </c>
      <c r="E950" s="473" t="n">
        <f aca="false">'☆掛負収入'!E950</f>
        <v>3975</v>
      </c>
      <c r="F950" s="456" t="n">
        <f aca="false">'☆掛負収入'!F950</f>
        <v>50</v>
      </c>
      <c r="G950" s="668" t="n">
        <f aca="false">SUM(B950:F950)</f>
        <v>52520</v>
      </c>
      <c r="H950" s="616"/>
      <c r="I950" s="456" t="n">
        <f aca="false">'☆掛負収入'!I950</f>
        <v>29208</v>
      </c>
      <c r="J950" s="135" t="n">
        <f aca="false">SUM(H950:I950)</f>
        <v>29208</v>
      </c>
      <c r="K950" s="617" t="n">
        <f aca="false">'☆掛負収入'!K950</f>
        <v>0</v>
      </c>
      <c r="L950" s="456" t="n">
        <f aca="false">'☆掛負収入'!L950</f>
        <v>4452</v>
      </c>
      <c r="M950" s="135" t="n">
        <f aca="false">SUM(K950:L950)</f>
        <v>4452</v>
      </c>
      <c r="N950" s="617" t="n">
        <f aca="false">'☆掛負収入'!N950</f>
        <v>0</v>
      </c>
      <c r="O950" s="456" t="n">
        <f aca="false">'☆掛負収入'!O950</f>
        <v>1</v>
      </c>
      <c r="P950" s="135" t="n">
        <f aca="false">SUM(N950:O950)</f>
        <v>1</v>
      </c>
    </row>
    <row r="951" customFormat="false" ht="18.75" hidden="false" customHeight="true" outlineLevel="0" collapsed="false">
      <c r="A951" s="121" t="str">
        <f aca="false">'☆掛負収入'!A951</f>
        <v>広島県市長会</v>
      </c>
      <c r="B951" s="449" t="n">
        <f aca="false">'☆掛負収入'!B951</f>
        <v>56730</v>
      </c>
      <c r="C951" s="223" t="n">
        <f aca="false">'☆掛負収入'!C951</f>
        <v>4650</v>
      </c>
      <c r="D951" s="449" t="n">
        <f aca="false">'☆掛負収入'!D951</f>
        <v>56730</v>
      </c>
      <c r="E951" s="453" t="n">
        <f aca="false">'☆掛負収入'!E951</f>
        <v>4650</v>
      </c>
      <c r="F951" s="450" t="n">
        <f aca="false">'☆掛負収入'!F951</f>
        <v>58</v>
      </c>
      <c r="G951" s="668" t="n">
        <f aca="false">SUM(B951:F951)</f>
        <v>122818</v>
      </c>
      <c r="H951" s="448" t="n">
        <f aca="false">'☆掛負収入'!H951</f>
        <v>34106</v>
      </c>
      <c r="I951" s="450" t="n">
        <f aca="false">'☆掛負収入'!I951</f>
        <v>34168</v>
      </c>
      <c r="J951" s="135" t="n">
        <f aca="false">SUM(H951:I951)</f>
        <v>68274</v>
      </c>
      <c r="K951" s="439" t="n">
        <f aca="false">'☆掛負収入'!K951</f>
        <v>4898</v>
      </c>
      <c r="L951" s="450" t="n">
        <f aca="false">'☆掛負収入'!L951</f>
        <v>4898</v>
      </c>
      <c r="M951" s="135" t="n">
        <f aca="false">SUM(K951:L951)</f>
        <v>9796</v>
      </c>
      <c r="N951" s="439" t="n">
        <f aca="false">'☆掛負収入'!N951</f>
        <v>1</v>
      </c>
      <c r="O951" s="450" t="n">
        <f aca="false">'☆掛負収入'!O951</f>
        <v>1</v>
      </c>
      <c r="P951" s="135" t="n">
        <f aca="false">SUM(N951:O951)</f>
        <v>2</v>
      </c>
    </row>
    <row r="952" customFormat="false" ht="18.75" hidden="false" customHeight="true" outlineLevel="0" collapsed="false">
      <c r="A952" s="189" t="str">
        <f aca="false">'☆掛負収入'!A952</f>
        <v>全国市町村研修財団</v>
      </c>
      <c r="B952" s="451" t="n">
        <f aca="false">'☆掛負収入'!B952</f>
        <v>59475</v>
      </c>
      <c r="C952" s="223" t="n">
        <f aca="false">'☆掛負収入'!C952</f>
        <v>4875</v>
      </c>
      <c r="D952" s="449" t="n">
        <f aca="false">'☆掛負収入'!D952</f>
        <v>59475</v>
      </c>
      <c r="E952" s="453" t="n">
        <f aca="false">'☆掛負収入'!E952</f>
        <v>4875</v>
      </c>
      <c r="F952" s="450" t="n">
        <f aca="false">'☆掛負収入'!F952</f>
        <v>61</v>
      </c>
      <c r="G952" s="668" t="n">
        <f aca="false">SUM(B952:F952)</f>
        <v>128761</v>
      </c>
      <c r="H952" s="448" t="n">
        <f aca="false">'☆掛負収入'!H952</f>
        <v>41257</v>
      </c>
      <c r="I952" s="450" t="n">
        <f aca="false">'☆掛負収入'!I952</f>
        <v>41332</v>
      </c>
      <c r="J952" s="135" t="n">
        <f aca="false">SUM(H952:I952)</f>
        <v>82589</v>
      </c>
      <c r="K952" s="453" t="n">
        <f aca="false">'☆掛負収入'!K952</f>
        <v>5925</v>
      </c>
      <c r="L952" s="450" t="n">
        <f aca="false">'☆掛負収入'!L952</f>
        <v>5925</v>
      </c>
      <c r="M952" s="135" t="n">
        <f aca="false">SUM(K952:L952)</f>
        <v>11850</v>
      </c>
      <c r="N952" s="453" t="n">
        <f aca="false">'☆掛負収入'!N952</f>
        <v>1</v>
      </c>
      <c r="O952" s="450" t="n">
        <f aca="false">'☆掛負収入'!O952</f>
        <v>1</v>
      </c>
      <c r="P952" s="135" t="n">
        <f aca="false">SUM(N952:O952)</f>
        <v>2</v>
      </c>
    </row>
    <row r="953" customFormat="false" ht="18.75" hidden="false" customHeight="true" outlineLevel="0" collapsed="false">
      <c r="A953" s="189" t="str">
        <f aca="false">'☆掛負収入'!A953</f>
        <v>都市再生機構</v>
      </c>
      <c r="B953" s="449" t="n">
        <f aca="false">'☆掛負収入'!B953</f>
        <v>53985</v>
      </c>
      <c r="C953" s="223" t="n">
        <f aca="false">'☆掛負収入'!C953</f>
        <v>4425</v>
      </c>
      <c r="D953" s="449" t="n">
        <f aca="false">'☆掛負収入'!D953</f>
        <v>53985</v>
      </c>
      <c r="E953" s="453" t="n">
        <f aca="false">'☆掛負収入'!E953</f>
        <v>4425</v>
      </c>
      <c r="F953" s="450" t="n">
        <f aca="false">'☆掛負収入'!F953</f>
        <v>55</v>
      </c>
      <c r="G953" s="668" t="n">
        <f aca="false">SUM(B953:F953)</f>
        <v>116875</v>
      </c>
      <c r="H953" s="448" t="n">
        <f aca="false">'☆掛負収入'!H953</f>
        <v>32455</v>
      </c>
      <c r="I953" s="450" t="n">
        <f aca="false">'☆掛負収入'!I953</f>
        <v>32514</v>
      </c>
      <c r="J953" s="135" t="n">
        <f aca="false">SUM(H953:I953)</f>
        <v>64969</v>
      </c>
      <c r="K953" s="453" t="n">
        <f aca="false">'☆掛負収入'!K953</f>
        <v>0</v>
      </c>
      <c r="L953" s="450" t="n">
        <f aca="false">'☆掛負収入'!L953</f>
        <v>0</v>
      </c>
      <c r="M953" s="135" t="n">
        <f aca="false">SUM(K953:L953)</f>
        <v>0</v>
      </c>
      <c r="N953" s="453" t="n">
        <f aca="false">'☆掛負収入'!N953</f>
        <v>1</v>
      </c>
      <c r="O953" s="450" t="n">
        <f aca="false">'☆掛負収入'!O953</f>
        <v>1</v>
      </c>
      <c r="P953" s="135" t="n">
        <f aca="false">SUM(N953:O953)</f>
        <v>2</v>
      </c>
    </row>
    <row r="954" customFormat="false" ht="18.75" hidden="false" customHeight="true" outlineLevel="0" collapsed="false">
      <c r="A954" s="121" t="str">
        <f aca="false">'☆掛負収入'!A954</f>
        <v>広島市立大学</v>
      </c>
      <c r="B954" s="449" t="n">
        <f aca="false">'☆掛負収入'!B954</f>
        <v>1216950</v>
      </c>
      <c r="C954" s="223" t="n">
        <f aca="false">'☆掛負収入'!C954</f>
        <v>99750</v>
      </c>
      <c r="D954" s="449" t="n">
        <f aca="false">'☆掛負収入'!D954</f>
        <v>1216950</v>
      </c>
      <c r="E954" s="453" t="n">
        <f aca="false">'☆掛負収入'!E954</f>
        <v>99750</v>
      </c>
      <c r="F954" s="450" t="n">
        <f aca="false">'☆掛負収入'!F954</f>
        <v>1360</v>
      </c>
      <c r="G954" s="668" t="n">
        <f aca="false">SUM(B954:F954)</f>
        <v>2634760</v>
      </c>
      <c r="H954" s="448" t="n">
        <f aca="false">'☆掛負収入'!H954</f>
        <v>731621</v>
      </c>
      <c r="I954" s="450" t="n">
        <f aca="false">'☆掛負収入'!I954</f>
        <v>733082</v>
      </c>
      <c r="J954" s="135" t="n">
        <f aca="false">SUM(H954:I954)</f>
        <v>1464703</v>
      </c>
      <c r="K954" s="439" t="n">
        <f aca="false">'☆掛負収入'!K954</f>
        <v>69599</v>
      </c>
      <c r="L954" s="424" t="n">
        <f aca="false">'☆掛負収入'!L954</f>
        <v>69599</v>
      </c>
      <c r="M954" s="135" t="n">
        <f aca="false">SUM(K954:L954)</f>
        <v>139198</v>
      </c>
      <c r="N954" s="439" t="n">
        <f aca="false">'☆掛負収入'!N954</f>
        <v>1</v>
      </c>
      <c r="O954" s="424" t="n">
        <f aca="false">'☆掛負収入'!O954</f>
        <v>1</v>
      </c>
      <c r="P954" s="135" t="n">
        <f aca="false">SUM(N954:O954)</f>
        <v>2</v>
      </c>
    </row>
    <row r="955" customFormat="false" ht="18.75" hidden="false" customHeight="true" outlineLevel="0" collapsed="false">
      <c r="A955" s="121" t="str">
        <f aca="false">'☆掛負収入'!A955</f>
        <v>社会福祉協議会</v>
      </c>
      <c r="B955" s="449" t="n">
        <f aca="false">'☆掛負収入'!B955</f>
        <v>0</v>
      </c>
      <c r="C955" s="223" t="n">
        <f aca="false">'☆掛負収入'!C955</f>
        <v>0</v>
      </c>
      <c r="D955" s="449" t="n">
        <f aca="false">'☆掛負収入'!D955</f>
        <v>245220</v>
      </c>
      <c r="E955" s="453" t="n">
        <f aca="false">'☆掛負収入'!E955</f>
        <v>20100</v>
      </c>
      <c r="F955" s="450" t="n">
        <f aca="false">'☆掛負収入'!F955</f>
        <v>251</v>
      </c>
      <c r="G955" s="668" t="n">
        <f aca="false">SUM(B955:F955)</f>
        <v>265571</v>
      </c>
      <c r="H955" s="448" t="n">
        <f aca="false">'☆掛負収入'!H955</f>
        <v>0</v>
      </c>
      <c r="I955" s="450" t="n">
        <f aca="false">'☆掛負収入'!I955</f>
        <v>151001</v>
      </c>
      <c r="J955" s="135" t="n">
        <f aca="false">SUM(H955:I955)</f>
        <v>151001</v>
      </c>
      <c r="K955" s="439" t="n">
        <f aca="false">'☆掛負収入'!K955</f>
        <v>0</v>
      </c>
      <c r="L955" s="424" t="n">
        <f aca="false">'☆掛負収入'!L955</f>
        <v>10744</v>
      </c>
      <c r="M955" s="135" t="n">
        <f aca="false">SUM(K955:L955)</f>
        <v>10744</v>
      </c>
      <c r="N955" s="439" t="n">
        <f aca="false">'☆掛負収入'!N955</f>
        <v>0</v>
      </c>
      <c r="O955" s="424" t="n">
        <f aca="false">'☆掛負収入'!O955</f>
        <v>1</v>
      </c>
      <c r="P955" s="135" t="n">
        <f aca="false">SUM(N955:O955)</f>
        <v>1</v>
      </c>
    </row>
    <row r="956" customFormat="false" ht="18.75" hidden="false" customHeight="true" outlineLevel="0" collapsed="false">
      <c r="A956" s="203" t="s">
        <v>418</v>
      </c>
      <c r="B956" s="451" t="n">
        <f aca="false">'☆掛負収入'!B958</f>
        <v>0</v>
      </c>
      <c r="C956" s="445" t="n">
        <f aca="false">'☆掛負収入'!C958</f>
        <v>0</v>
      </c>
      <c r="D956" s="451" t="n">
        <f aca="false">'☆掛負収入'!D958</f>
        <v>0</v>
      </c>
      <c r="E956" s="462" t="n">
        <f aca="false">'☆掛負収入'!E958</f>
        <v>0</v>
      </c>
      <c r="F956" s="453" t="n">
        <f aca="false">'☆掛負収入'!F958</f>
        <v>0</v>
      </c>
      <c r="G956" s="668" t="n">
        <f aca="false">SUM(B956:F956)</f>
        <v>0</v>
      </c>
      <c r="H956" s="462" t="n">
        <f aca="false">'☆掛負収入'!H958</f>
        <v>0</v>
      </c>
      <c r="I956" s="462" t="n">
        <f aca="false">'☆掛負収入'!I958</f>
        <v>0</v>
      </c>
      <c r="J956" s="135" t="n">
        <f aca="false">SUM(H956:I956)</f>
        <v>0</v>
      </c>
      <c r="K956" s="439" t="n">
        <f aca="false">'☆掛負収入'!K958</f>
        <v>0</v>
      </c>
      <c r="L956" s="424" t="n">
        <f aca="false">'☆掛負収入'!L958</f>
        <v>0</v>
      </c>
      <c r="M956" s="135" t="n">
        <f aca="false">SUM(K956:L956)</f>
        <v>0</v>
      </c>
      <c r="N956" s="439" t="n">
        <f aca="false">'☆掛負収入'!N958</f>
        <v>0</v>
      </c>
      <c r="O956" s="424" t="n">
        <f aca="false">'☆掛負収入'!O958</f>
        <v>0</v>
      </c>
      <c r="P956" s="135" t="n">
        <f aca="false">SUM(N956:O956)</f>
        <v>0</v>
      </c>
    </row>
    <row r="957" customFormat="false" ht="18.75" hidden="false" customHeight="true" outlineLevel="0" collapsed="false">
      <c r="A957" s="121" t="str">
        <f aca="false">'☆掛負収入'!A959</f>
        <v>全国市長会</v>
      </c>
      <c r="B957" s="451" t="n">
        <f aca="false">'☆掛負収入'!B959</f>
        <v>59475</v>
      </c>
      <c r="C957" s="445" t="n">
        <f aca="false">'☆掛負収入'!C959</f>
        <v>4875</v>
      </c>
      <c r="D957" s="451" t="n">
        <f aca="false">'☆掛負収入'!D959</f>
        <v>59475</v>
      </c>
      <c r="E957" s="462" t="n">
        <f aca="false">'☆掛負収入'!E959</f>
        <v>4875</v>
      </c>
      <c r="F957" s="453" t="n">
        <f aca="false">'☆掛負収入'!F959</f>
        <v>61</v>
      </c>
      <c r="G957" s="668" t="n">
        <f aca="false">SUM(B957:F957)</f>
        <v>128761</v>
      </c>
      <c r="H957" s="462" t="n">
        <f aca="false">'☆掛負収入'!H959</f>
        <v>41257</v>
      </c>
      <c r="I957" s="462" t="n">
        <f aca="false">'☆掛負収入'!I959</f>
        <v>41332</v>
      </c>
      <c r="J957" s="135" t="n">
        <f aca="false">SUM(H957:I957)</f>
        <v>82589</v>
      </c>
      <c r="K957" s="439" t="n">
        <f aca="false">'☆掛負収入'!K959</f>
        <v>5925</v>
      </c>
      <c r="L957" s="424" t="n">
        <f aca="false">'☆掛負収入'!L959</f>
        <v>5925</v>
      </c>
      <c r="M957" s="135" t="n">
        <f aca="false">SUM(K957:L957)</f>
        <v>11850</v>
      </c>
      <c r="N957" s="439" t="n">
        <f aca="false">'☆掛負収入'!N959</f>
        <v>1</v>
      </c>
      <c r="O957" s="424" t="n">
        <f aca="false">'☆掛負収入'!O959</f>
        <v>1</v>
      </c>
      <c r="P957" s="135" t="n">
        <f aca="false">SUM(N957:O957)</f>
        <v>2</v>
      </c>
    </row>
    <row r="958" customFormat="false" ht="18.75" hidden="false" customHeight="true" outlineLevel="0" collapsed="false">
      <c r="A958" s="208"/>
      <c r="B958" s="406"/>
      <c r="C958" s="393"/>
      <c r="D958" s="449"/>
      <c r="E958" s="453"/>
      <c r="F958" s="450"/>
      <c r="G958" s="668"/>
      <c r="H958" s="594"/>
      <c r="I958" s="424"/>
      <c r="J958" s="135"/>
      <c r="K958" s="439"/>
      <c r="L958" s="424"/>
      <c r="M958" s="135"/>
      <c r="N958" s="439"/>
      <c r="O958" s="424"/>
      <c r="P958" s="135"/>
    </row>
    <row r="959" customFormat="false" ht="18.75" hidden="false" customHeight="true" outlineLevel="0" collapsed="false">
      <c r="A959" s="208"/>
      <c r="B959" s="595"/>
      <c r="C959" s="366"/>
      <c r="D959" s="595"/>
      <c r="E959" s="596"/>
      <c r="F959" s="407"/>
      <c r="G959" s="668"/>
      <c r="H959" s="595"/>
      <c r="I959" s="440"/>
      <c r="J959" s="135"/>
      <c r="K959" s="596"/>
      <c r="L959" s="440"/>
      <c r="M959" s="135"/>
      <c r="N959" s="596"/>
      <c r="O959" s="440"/>
      <c r="P959" s="135"/>
    </row>
    <row r="960" customFormat="false" ht="18.75" hidden="false" customHeight="true" outlineLevel="0" collapsed="false">
      <c r="A960" s="192"/>
      <c r="B960" s="406"/>
      <c r="C960" s="181"/>
      <c r="D960" s="406"/>
      <c r="E960" s="592"/>
      <c r="F960" s="424"/>
      <c r="G960" s="668"/>
      <c r="H960" s="406"/>
      <c r="I960" s="619"/>
      <c r="J960" s="135"/>
      <c r="K960" s="592"/>
      <c r="L960" s="619"/>
      <c r="M960" s="135"/>
      <c r="N960" s="592"/>
      <c r="O960" s="619"/>
      <c r="P960" s="135"/>
    </row>
    <row r="961" customFormat="false" ht="18.75" hidden="false" customHeight="true" outlineLevel="0" collapsed="false">
      <c r="A961" s="192"/>
      <c r="B961" s="595"/>
      <c r="C961" s="393"/>
      <c r="D961" s="596"/>
      <c r="E961" s="440"/>
      <c r="F961" s="407"/>
      <c r="G961" s="392"/>
      <c r="H961" s="406"/>
      <c r="I961" s="440"/>
      <c r="J961" s="135"/>
      <c r="K961" s="596"/>
      <c r="L961" s="440"/>
      <c r="M961" s="135"/>
      <c r="N961" s="596"/>
      <c r="O961" s="440"/>
      <c r="P961" s="135"/>
    </row>
    <row r="962" customFormat="false" ht="18.75" hidden="false" customHeight="true" outlineLevel="0" collapsed="false">
      <c r="A962" s="605"/>
      <c r="B962" s="622"/>
      <c r="C962" s="253"/>
      <c r="D962" s="623"/>
      <c r="E962" s="624"/>
      <c r="F962" s="670"/>
      <c r="G962" s="671"/>
      <c r="H962" s="622"/>
      <c r="I962" s="623"/>
      <c r="J962" s="623" t="n">
        <f aca="false">SUM(H962:I962)</f>
        <v>0</v>
      </c>
      <c r="K962" s="622"/>
      <c r="L962" s="623"/>
      <c r="M962" s="697" t="n">
        <f aca="false">SUM(K962:L962)</f>
        <v>0</v>
      </c>
      <c r="N962" s="622"/>
      <c r="O962" s="623"/>
      <c r="P962" s="697" t="n">
        <f aca="false">SUM(N962:O962)</f>
        <v>0</v>
      </c>
    </row>
    <row r="963" customFormat="false" ht="18.75" hidden="false" customHeight="true" outlineLevel="0" collapsed="false">
      <c r="A963" s="171" t="str">
        <f aca="false">'☆掛負収入'!A963</f>
        <v>小　計</v>
      </c>
      <c r="B963" s="404" t="n">
        <f aca="false">SUM(B933:B962)</f>
        <v>2902380</v>
      </c>
      <c r="C963" s="175" t="n">
        <f aca="false">SUM(C933:C962)</f>
        <v>237900</v>
      </c>
      <c r="D963" s="404" t="n">
        <f aca="false">SUM(D933:D962)</f>
        <v>8382315</v>
      </c>
      <c r="E963" s="276" t="n">
        <f aca="false">SUM(E933:E962)</f>
        <v>687075</v>
      </c>
      <c r="F963" s="175" t="n">
        <f aca="false">SUM(F933:F962)</f>
        <v>8845</v>
      </c>
      <c r="G963" s="176" t="n">
        <f aca="false">SUM(B963:F963)</f>
        <v>12218515</v>
      </c>
      <c r="H963" s="404" t="n">
        <f aca="false">SUM(H933:H962)</f>
        <v>1755890</v>
      </c>
      <c r="I963" s="174" t="n">
        <f aca="false">SUM(I933:I962)</f>
        <v>5203713</v>
      </c>
      <c r="J963" s="175" t="n">
        <f aca="false">SUM(H963:I963)</f>
        <v>6959603</v>
      </c>
      <c r="K963" s="404" t="n">
        <f aca="false">SUM(K933:K962)</f>
        <v>176841</v>
      </c>
      <c r="L963" s="174" t="n">
        <f aca="false">SUM(L933:L962)</f>
        <v>582839</v>
      </c>
      <c r="M963" s="173" t="n">
        <f aca="false">SUM(K963:L963)</f>
        <v>759680</v>
      </c>
      <c r="N963" s="404" t="n">
        <f aca="false">SUM(N933:N962)</f>
        <v>9</v>
      </c>
      <c r="O963" s="174" t="n">
        <f aca="false">SUM(O933:O962)</f>
        <v>20</v>
      </c>
      <c r="P963" s="173" t="n">
        <f aca="false">SUM(N963:O963)</f>
        <v>29</v>
      </c>
    </row>
    <row r="964" customFormat="false" ht="18.75" hidden="true" customHeight="true" outlineLevel="0" collapsed="false">
      <c r="A964" s="604"/>
      <c r="B964" s="622"/>
      <c r="C964" s="253"/>
      <c r="D964" s="623"/>
      <c r="E964" s="624"/>
      <c r="F964" s="625"/>
      <c r="G964" s="626"/>
      <c r="H964" s="748"/>
      <c r="I964" s="749"/>
      <c r="J964" s="175" t="n">
        <f aca="false">SUM(H964:I964)</f>
        <v>0</v>
      </c>
      <c r="K964" s="748"/>
      <c r="L964" s="749"/>
      <c r="M964" s="173" t="n">
        <f aca="false">SUM(K964:L964)</f>
        <v>0</v>
      </c>
      <c r="N964" s="748"/>
      <c r="O964" s="749"/>
      <c r="P964" s="173" t="n">
        <f aca="false">SUM(N964:O964)</f>
        <v>0</v>
      </c>
    </row>
    <row r="965" customFormat="false" ht="18.75" hidden="true" customHeight="true" outlineLevel="0" collapsed="false">
      <c r="A965" s="633"/>
      <c r="B965" s="606"/>
      <c r="C965" s="608"/>
      <c r="D965" s="623"/>
      <c r="E965" s="624"/>
      <c r="F965" s="253"/>
      <c r="G965" s="621"/>
      <c r="H965" s="748"/>
      <c r="I965" s="749"/>
      <c r="J965" s="175" t="n">
        <f aca="false">SUM(H965:I965)</f>
        <v>0</v>
      </c>
      <c r="K965" s="748"/>
      <c r="L965" s="749"/>
      <c r="M965" s="173" t="n">
        <f aca="false">SUM(K965:L965)</f>
        <v>0</v>
      </c>
      <c r="N965" s="748"/>
      <c r="O965" s="749"/>
      <c r="P965" s="173" t="n">
        <f aca="false">SUM(N965:O965)</f>
        <v>0</v>
      </c>
    </row>
    <row r="966" customFormat="false" ht="18.75" hidden="false" customHeight="true" outlineLevel="0" collapsed="false">
      <c r="A966" s="189" t="str">
        <f aca="false">'☆掛負収入'!A966</f>
        <v>高速交通（株）</v>
      </c>
      <c r="B966" s="464" t="n">
        <f aca="false">'☆掛負収入'!B966</f>
        <v>185745</v>
      </c>
      <c r="C966" s="466" t="n">
        <f aca="false">'☆掛負収入'!C966</f>
        <v>15225</v>
      </c>
      <c r="D966" s="452" t="n">
        <f aca="false">'☆掛負収入'!D966</f>
        <v>185745</v>
      </c>
      <c r="E966" s="462" t="n">
        <f aca="false">'☆掛負収入'!E966</f>
        <v>15225</v>
      </c>
      <c r="F966" s="456" t="n">
        <f aca="false">'☆掛負収入'!F966</f>
        <v>193</v>
      </c>
      <c r="G966" s="666" t="n">
        <f aca="false">SUM(B966:F966)</f>
        <v>402133</v>
      </c>
      <c r="H966" s="444" t="n">
        <f aca="false">'☆掛負収入'!H966</f>
        <v>0</v>
      </c>
      <c r="I966" s="447" t="n">
        <f aca="false">'☆掛負収入'!I966</f>
        <v>0</v>
      </c>
      <c r="J966" s="135" t="n">
        <f aca="false">SUM(H966:I966)</f>
        <v>0</v>
      </c>
      <c r="K966" s="591" t="n">
        <f aca="false">'☆掛負収入'!K966</f>
        <v>0</v>
      </c>
      <c r="L966" s="593" t="n">
        <f aca="false">'☆掛負収入'!L966</f>
        <v>0</v>
      </c>
      <c r="M966" s="135" t="n">
        <f aca="false">SUM(K966:L966)</f>
        <v>0</v>
      </c>
      <c r="N966" s="591" t="n">
        <f aca="false">'☆掛負収入'!N966</f>
        <v>0</v>
      </c>
      <c r="O966" s="593" t="n">
        <f aca="false">'☆掛負収入'!O966</f>
        <v>0</v>
      </c>
      <c r="P966" s="135" t="n">
        <f aca="false">SUM(N966:O966)</f>
        <v>0</v>
      </c>
    </row>
    <row r="967" customFormat="false" ht="18.75" hidden="false" customHeight="true" outlineLevel="0" collapsed="false">
      <c r="A967" s="641" t="s">
        <v>201</v>
      </c>
      <c r="B967" s="642" t="n">
        <f aca="false">'☆掛負収入'!B967</f>
        <v>53985</v>
      </c>
      <c r="C967" s="667" t="n">
        <f aca="false">'☆掛負収入'!C967</f>
        <v>4425</v>
      </c>
      <c r="D967" s="642" t="n">
        <f aca="false">'☆掛負収入'!D967</f>
        <v>53985</v>
      </c>
      <c r="E967" s="467" t="n">
        <f aca="false">'☆掛負収入'!E967</f>
        <v>4425</v>
      </c>
      <c r="F967" s="470" t="n">
        <f aca="false">'☆掛負収入'!F967</f>
        <v>55</v>
      </c>
      <c r="G967" s="392" t="n">
        <f aca="false">SUM(B967:F967)</f>
        <v>116875</v>
      </c>
      <c r="H967" s="622"/>
      <c r="I967" s="623"/>
      <c r="J967" s="175" t="n">
        <f aca="false">SUM(H967:I967)</f>
        <v>0</v>
      </c>
      <c r="K967" s="622"/>
      <c r="L967" s="623"/>
      <c r="M967" s="751"/>
      <c r="N967" s="622"/>
      <c r="O967" s="623"/>
      <c r="P967" s="751"/>
    </row>
    <row r="968" customFormat="false" ht="18.75" hidden="false" customHeight="true" outlineLevel="0" collapsed="false">
      <c r="A968" s="171" t="str">
        <f aca="false">'☆掛負収入'!A968</f>
        <v>小　計</v>
      </c>
      <c r="B968" s="172" t="n">
        <f aca="false">SUM(B966:B967)</f>
        <v>239730</v>
      </c>
      <c r="C968" s="175" t="n">
        <f aca="false">SUM(C964:C967)</f>
        <v>19650</v>
      </c>
      <c r="D968" s="656" t="n">
        <f aca="false">SUM(D964:D967)</f>
        <v>239730</v>
      </c>
      <c r="E968" s="174" t="n">
        <f aca="false">SUM(E964:E967)</f>
        <v>19650</v>
      </c>
      <c r="F968" s="276" t="n">
        <f aca="false">SUM(F964:F967)</f>
        <v>248</v>
      </c>
      <c r="G968" s="747" t="n">
        <f aca="false">SUM(B968:F968)</f>
        <v>519008</v>
      </c>
      <c r="H968" s="172" t="n">
        <f aca="false">'☆掛負収入'!H968</f>
        <v>0</v>
      </c>
      <c r="I968" s="173" t="n">
        <f aca="false">'☆掛負収入'!I968</f>
        <v>0</v>
      </c>
      <c r="J968" s="173" t="n">
        <f aca="false">SUM(H968:I968)</f>
        <v>0</v>
      </c>
      <c r="K968" s="172" t="n">
        <f aca="false">'☆掛負収入'!K968</f>
        <v>0</v>
      </c>
      <c r="L968" s="173" t="n">
        <f aca="false">'☆掛負収入'!L968</f>
        <v>0</v>
      </c>
      <c r="M968" s="173" t="n">
        <f aca="false">SUM(K968:L968)</f>
        <v>0</v>
      </c>
      <c r="N968" s="172" t="n">
        <f aca="false">'☆掛負収入'!N968</f>
        <v>0</v>
      </c>
      <c r="O968" s="173" t="n">
        <f aca="false">'☆掛負収入'!O968</f>
        <v>0</v>
      </c>
      <c r="P968" s="173" t="n">
        <f aca="false">SUM(N968:O968)</f>
        <v>0</v>
      </c>
    </row>
    <row r="969" customFormat="false" ht="18.75" hidden="false" customHeight="true" outlineLevel="0" collapsed="false">
      <c r="A969" s="100" t="str">
        <f aca="false">'☆掛負収入'!A969</f>
        <v>市職員労働組合</v>
      </c>
      <c r="B969" s="449" t="n">
        <f aca="false">'☆掛負収入'!B969</f>
        <v>29280</v>
      </c>
      <c r="C969" s="223" t="n">
        <f aca="false">'☆掛負収入'!C969</f>
        <v>2400</v>
      </c>
      <c r="D969" s="445" t="n">
        <f aca="false">'☆掛負収入'!D969</f>
        <v>29280</v>
      </c>
      <c r="E969" s="463" t="n">
        <f aca="false">'☆掛負収入'!E969</f>
        <v>2400</v>
      </c>
      <c r="F969" s="196"/>
      <c r="G969" s="181" t="n">
        <f aca="false">SUM(B969:F969)</f>
        <v>63360</v>
      </c>
      <c r="H969" s="448" t="n">
        <f aca="false">'☆掛負収入'!H969</f>
        <v>17603</v>
      </c>
      <c r="I969" s="450" t="n">
        <f aca="false">'☆掛負収入'!I969</f>
        <v>17635</v>
      </c>
      <c r="J969" s="135" t="n">
        <f aca="false">SUM(H969:I969)</f>
        <v>35238</v>
      </c>
      <c r="K969" s="451" t="n">
        <f aca="false">'☆掛負収入'!K969</f>
        <v>2528</v>
      </c>
      <c r="L969" s="462" t="n">
        <f aca="false">'☆掛負収入'!L969</f>
        <v>2528</v>
      </c>
      <c r="M969" s="184" t="n">
        <f aca="false">SUM(K969:L969)</f>
        <v>5056</v>
      </c>
      <c r="N969" s="451" t="n">
        <f aca="false">'☆掛負収入'!N969</f>
        <v>1</v>
      </c>
      <c r="O969" s="462" t="n">
        <f aca="false">'☆掛負収入'!O969</f>
        <v>1</v>
      </c>
      <c r="P969" s="184" t="n">
        <f aca="false">SUM(N969:O969)</f>
        <v>2</v>
      </c>
    </row>
    <row r="970" customFormat="false" ht="18.75" hidden="false" customHeight="true" outlineLevel="0" collapsed="false">
      <c r="A970" s="100" t="str">
        <f aca="false">'☆掛負収入'!A970</f>
        <v>自治労労働組合</v>
      </c>
      <c r="B970" s="449" t="n">
        <f aca="false">'☆掛負収入'!B970</f>
        <v>0</v>
      </c>
      <c r="C970" s="377" t="n">
        <f aca="false">'☆掛負収入'!C970</f>
        <v>0</v>
      </c>
      <c r="D970" s="449" t="n">
        <f aca="false">'☆掛負収入'!D970</f>
        <v>0</v>
      </c>
      <c r="E970" s="463" t="n">
        <f aca="false">'☆掛負収入'!E970</f>
        <v>0</v>
      </c>
      <c r="F970" s="196"/>
      <c r="G970" s="181" t="n">
        <f aca="false">SUM(B970:F970)</f>
        <v>0</v>
      </c>
      <c r="H970" s="448" t="n">
        <f aca="false">'☆掛負収入'!H970</f>
        <v>0</v>
      </c>
      <c r="I970" s="450" t="n">
        <f aca="false">'☆掛負収入'!I970</f>
        <v>0</v>
      </c>
      <c r="J970" s="135" t="n">
        <f aca="false">SUM(H970:I970)</f>
        <v>0</v>
      </c>
      <c r="K970" s="448" t="n">
        <f aca="false">'☆掛負収入'!K970</f>
        <v>0</v>
      </c>
      <c r="L970" s="450" t="n">
        <f aca="false">'☆掛負収入'!L970</f>
        <v>0</v>
      </c>
      <c r="M970" s="135" t="n">
        <f aca="false">SUM(K970:L970)</f>
        <v>0</v>
      </c>
      <c r="N970" s="448" t="n">
        <f aca="false">'☆掛負収入'!N970</f>
        <v>0</v>
      </c>
      <c r="O970" s="450" t="n">
        <f aca="false">'☆掛負収入'!O970</f>
        <v>0</v>
      </c>
      <c r="P970" s="135" t="n">
        <f aca="false">SUM(N970:O970)</f>
        <v>0</v>
      </c>
    </row>
    <row r="971" customFormat="false" ht="18.75" hidden="false" customHeight="true" outlineLevel="0" collapsed="false">
      <c r="A971" s="100" t="str">
        <f aca="false">'☆掛負収入'!A971</f>
        <v>病院労働組合</v>
      </c>
      <c r="B971" s="449" t="n">
        <f aca="false">'☆掛負収入'!B971</f>
        <v>27450</v>
      </c>
      <c r="C971" s="377" t="n">
        <f aca="false">'☆掛負収入'!C971</f>
        <v>2250</v>
      </c>
      <c r="D971" s="449" t="n">
        <f aca="false">'☆掛負収入'!D971</f>
        <v>27450</v>
      </c>
      <c r="E971" s="463" t="n">
        <f aca="false">'☆掛負収入'!E971</f>
        <v>2250</v>
      </c>
      <c r="F971" s="196"/>
      <c r="G971" s="181" t="n">
        <f aca="false">SUM(B971:F971)</f>
        <v>59400</v>
      </c>
      <c r="H971" s="448" t="n">
        <f aca="false">'☆掛負収入'!H971</f>
        <v>33006</v>
      </c>
      <c r="I971" s="450" t="n">
        <f aca="false">'☆掛負収入'!I971</f>
        <v>33066</v>
      </c>
      <c r="J971" s="135" t="n">
        <f aca="false">SUM(H971:I971)</f>
        <v>66072</v>
      </c>
      <c r="K971" s="448" t="n">
        <f aca="false">'☆掛負収入'!K971</f>
        <v>2370</v>
      </c>
      <c r="L971" s="450" t="n">
        <f aca="false">'☆掛負収入'!L971</f>
        <v>2370</v>
      </c>
      <c r="M971" s="135" t="n">
        <f aca="false">SUM(K971:L971)</f>
        <v>4740</v>
      </c>
      <c r="N971" s="448" t="n">
        <f aca="false">'☆掛負収入'!N971</f>
        <v>1</v>
      </c>
      <c r="O971" s="450" t="n">
        <f aca="false">'☆掛負収入'!O971</f>
        <v>1</v>
      </c>
      <c r="P971" s="135" t="n">
        <f aca="false">SUM(N971:O971)</f>
        <v>2</v>
      </c>
    </row>
    <row r="972" customFormat="false" ht="18.75" hidden="false" customHeight="true" outlineLevel="0" collapsed="false">
      <c r="A972" s="277" t="str">
        <f aca="false">'☆掛負収入'!A972</f>
        <v>水道労働組合</v>
      </c>
      <c r="B972" s="491"/>
      <c r="C972" s="492"/>
      <c r="D972" s="491"/>
      <c r="E972" s="467"/>
      <c r="F972" s="271"/>
      <c r="G972" s="181" t="n">
        <f aca="false">SUM(B972:F972)</f>
        <v>0</v>
      </c>
      <c r="H972" s="496"/>
      <c r="I972" s="494"/>
      <c r="J972" s="135" t="n">
        <f aca="false">SUM(H972:I972)</f>
        <v>0</v>
      </c>
      <c r="K972" s="642"/>
      <c r="L972" s="493"/>
      <c r="M972" s="135" t="n">
        <f aca="false">SUM(K972:L972)</f>
        <v>0</v>
      </c>
      <c r="N972" s="642"/>
      <c r="O972" s="493"/>
      <c r="P972" s="135" t="n">
        <f aca="false">SUM(N972:O972)</f>
        <v>0</v>
      </c>
    </row>
    <row r="973" customFormat="false" ht="18.75" hidden="false" customHeight="true" outlineLevel="0" collapsed="false">
      <c r="A973" s="171" t="str">
        <f aca="false">'☆掛負収入'!A973</f>
        <v>小　計</v>
      </c>
      <c r="B973" s="404" t="n">
        <f aca="false">SUM(B969:B972)</f>
        <v>56730</v>
      </c>
      <c r="C973" s="175" t="n">
        <f aca="false">SUM(C969:C972)</f>
        <v>4650</v>
      </c>
      <c r="D973" s="404" t="n">
        <f aca="false">SUM(D969:D972)</f>
        <v>56730</v>
      </c>
      <c r="E973" s="174" t="n">
        <f aca="false">SUM(E969:E972)</f>
        <v>4650</v>
      </c>
      <c r="F973" s="173" t="n">
        <f aca="false">SUM(F969:F972)</f>
        <v>0</v>
      </c>
      <c r="G973" s="172" t="n">
        <f aca="false">SUM(B973:F973)</f>
        <v>122760</v>
      </c>
      <c r="H973" s="404" t="n">
        <f aca="false">SUM(H969:H972)</f>
        <v>50609</v>
      </c>
      <c r="I973" s="174" t="n">
        <f aca="false">SUM(I969:I972)</f>
        <v>50701</v>
      </c>
      <c r="J973" s="175" t="n">
        <f aca="false">SUM(H973:I973)</f>
        <v>101310</v>
      </c>
      <c r="K973" s="172" t="n">
        <f aca="false">SUM(K969:K972)</f>
        <v>4898</v>
      </c>
      <c r="L973" s="173" t="n">
        <f aca="false">SUM(L969:L972)</f>
        <v>4898</v>
      </c>
      <c r="M973" s="175" t="n">
        <f aca="false">SUM(K973:L973)</f>
        <v>9796</v>
      </c>
      <c r="N973" s="172" t="n">
        <f aca="false">SUM(N969:N972)</f>
        <v>2</v>
      </c>
      <c r="O973" s="173" t="n">
        <f aca="false">SUM(O969:O972)</f>
        <v>2</v>
      </c>
      <c r="P973" s="175" t="n">
        <f aca="false">SUM(N973:O973)</f>
        <v>4</v>
      </c>
    </row>
    <row r="974" customFormat="false" ht="18.75" hidden="false" customHeight="true" outlineLevel="0" collapsed="false">
      <c r="A974" s="277" t="str">
        <f aca="false">'☆掛負収入'!A974</f>
        <v>任意継続組合員</v>
      </c>
      <c r="B974" s="256"/>
      <c r="C974" s="498"/>
      <c r="D974" s="499"/>
      <c r="E974" s="500"/>
      <c r="F974" s="271"/>
      <c r="G974" s="268"/>
      <c r="H974" s="653"/>
      <c r="I974" s="257"/>
      <c r="J974" s="258"/>
      <c r="K974" s="499"/>
      <c r="L974" s="654"/>
      <c r="M974" s="267"/>
      <c r="N974" s="499"/>
      <c r="O974" s="654"/>
      <c r="P974" s="267"/>
    </row>
    <row r="975" customFormat="false" ht="30" hidden="false" customHeight="true" outlineLevel="0" collapsed="false">
      <c r="A975" s="655" t="str">
        <f aca="false">'☆掛負収入'!A975</f>
        <v>総　　計</v>
      </c>
      <c r="B975" s="404" t="n">
        <f aca="false">SUM(B932+B963+B968+B973)</f>
        <v>3198840</v>
      </c>
      <c r="C975" s="175" t="n">
        <f aca="false">SUM(C932+C963+C968+C973)</f>
        <v>262200</v>
      </c>
      <c r="D975" s="656" t="n">
        <f aca="false">SUM(D932+D963+D968+D973)</f>
        <v>8678775</v>
      </c>
      <c r="E975" s="174" t="n">
        <f aca="false">SUM(E932+E963+E968+E973)</f>
        <v>711375</v>
      </c>
      <c r="F975" s="176" t="n">
        <f aca="false">SUM(F932+F963+F968+F973)</f>
        <v>9093</v>
      </c>
      <c r="G975" s="172" t="n">
        <f aca="false">SUM(B975:F975)</f>
        <v>12860283</v>
      </c>
      <c r="H975" s="404" t="n">
        <f aca="false">SUM(H932+H963+H968+H973+H974)</f>
        <v>1806499</v>
      </c>
      <c r="I975" s="174" t="n">
        <f aca="false">SUM(I932+I963+I968+I973+I974)</f>
        <v>5254414</v>
      </c>
      <c r="J975" s="175" t="n">
        <f aca="false">SUM(H975:I975)</f>
        <v>7060913</v>
      </c>
      <c r="K975" s="172" t="n">
        <f aca="false">K932+K963+K968+K973+K974</f>
        <v>181739</v>
      </c>
      <c r="L975" s="173" t="n">
        <f aca="false">L932+L963+L968+L973</f>
        <v>587737</v>
      </c>
      <c r="M975" s="175" t="n">
        <f aca="false">SUM(K975:L975)</f>
        <v>769476</v>
      </c>
      <c r="N975" s="172" t="n">
        <f aca="false">N932+N963+N968+N973+N974</f>
        <v>11</v>
      </c>
      <c r="O975" s="173" t="n">
        <f aca="false">O932+O963+O968+O973</f>
        <v>22</v>
      </c>
      <c r="P975" s="175" t="n">
        <f aca="false">SUM(N975:O975)</f>
        <v>33</v>
      </c>
    </row>
    <row r="976" customFormat="false" ht="18.75" hidden="false" customHeight="true" outlineLevel="0" collapsed="false">
      <c r="A976" s="315"/>
      <c r="B976" s="316"/>
      <c r="C976" s="316"/>
      <c r="D976" s="316"/>
      <c r="E976" s="316"/>
      <c r="F976" s="316"/>
      <c r="G976" s="316"/>
      <c r="H976" s="316"/>
      <c r="I976" s="316"/>
      <c r="J976" s="316"/>
      <c r="K976" s="316"/>
      <c r="L976" s="316"/>
      <c r="M976" s="316"/>
      <c r="N976" s="316"/>
      <c r="O976" s="316"/>
      <c r="P976" s="316"/>
    </row>
    <row r="977" customFormat="false" ht="30" hidden="false" customHeight="true" outlineLevel="0" collapsed="false">
      <c r="A977" s="295"/>
      <c r="B977" s="752" t="str">
        <f aca="false">'☆掛負収入'!B977</f>
        <v>令和8年度</v>
      </c>
      <c r="C977" s="752"/>
      <c r="D977" s="753" t="str">
        <f aca="false">'☆掛負収入'!D977</f>
        <v>給与改定差額分（賞与）　6月分 </v>
      </c>
      <c r="E977" s="753"/>
      <c r="F977" s="753"/>
      <c r="G977" s="753"/>
      <c r="H977" s="752" t="str">
        <f aca="false">B977</f>
        <v>令和8年度</v>
      </c>
      <c r="I977" s="754" t="str">
        <f aca="false">D977</f>
        <v>給与改定差額分（賞与）　6月分 </v>
      </c>
      <c r="J977" s="754"/>
      <c r="K977" s="752" t="str">
        <f aca="false">H977</f>
        <v>令和8年度</v>
      </c>
      <c r="L977" s="754" t="str">
        <f aca="false">I977</f>
        <v>給与改定差額分（賞与）　6月分 </v>
      </c>
      <c r="M977" s="754"/>
      <c r="N977" s="752" t="str">
        <f aca="false">K977</f>
        <v>令和8年度</v>
      </c>
      <c r="O977" s="754" t="str">
        <f aca="false">L977</f>
        <v>給与改定差額分（賞与）　6月分 </v>
      </c>
      <c r="P977" s="754"/>
    </row>
    <row r="978" customFormat="false" ht="22.5" hidden="false" customHeight="true" outlineLevel="0" collapsed="false">
      <c r="A978" s="89" t="str">
        <f aca="false">'☆掛負収入'!A978</f>
        <v>区　　分</v>
      </c>
      <c r="B978" s="89" t="str">
        <f aca="false">'☆掛負収入'!B978</f>
        <v>長　期　経　理</v>
      </c>
      <c r="C978" s="89" t="n">
        <f aca="false">'☆掛負収入'!C978</f>
        <v>0</v>
      </c>
      <c r="D978" s="89" t="n">
        <f aca="false">'☆掛負収入'!D978</f>
        <v>0</v>
      </c>
      <c r="E978" s="89" t="n">
        <f aca="false">'☆掛負収入'!E978</f>
        <v>0</v>
      </c>
      <c r="F978" s="89" t="n">
        <f aca="false">'☆掛負収入'!F978</f>
        <v>0</v>
      </c>
      <c r="G978" s="89" t="n">
        <f aca="false">'☆掛負収入'!G978</f>
        <v>0</v>
      </c>
      <c r="H978" s="91" t="str">
        <f aca="false">'☆掛負収入'!H978</f>
        <v>短　期　経　理</v>
      </c>
      <c r="I978" s="91" t="n">
        <f aca="false">'☆掛負収入'!I978</f>
        <v>0</v>
      </c>
      <c r="J978" s="91" t="n">
        <f aca="false">'☆掛負収入'!J978</f>
        <v>0</v>
      </c>
      <c r="K978" s="91" t="str">
        <f aca="false">'☆掛負収入'!K978</f>
        <v>介　護　納　付　金</v>
      </c>
      <c r="L978" s="91" t="n">
        <f aca="false">'☆掛負収入'!L978</f>
        <v>0</v>
      </c>
      <c r="M978" s="91" t="n">
        <f aca="false">'☆掛負収入'!M978</f>
        <v>0</v>
      </c>
      <c r="N978" s="91" t="str">
        <f aca="false">'☆掛負収入'!N978</f>
        <v>子ども・子育て支援納付金</v>
      </c>
      <c r="O978" s="91" t="n">
        <f aca="false">'☆掛負収入'!O978</f>
        <v>0</v>
      </c>
      <c r="P978" s="91" t="n">
        <f aca="false">'☆掛負収入'!P978</f>
        <v>0</v>
      </c>
    </row>
    <row r="979" customFormat="false" ht="22.5" hidden="false" customHeight="true" outlineLevel="0" collapsed="false">
      <c r="A979" s="89" t="n">
        <f aca="false">'☆掛負収入'!A979</f>
        <v>0</v>
      </c>
      <c r="B979" s="92" t="str">
        <f aca="false">'☆掛負収入'!B979</f>
        <v>組合員負担分</v>
      </c>
      <c r="C979" s="92" t="n">
        <f aca="false">'☆掛負収入'!C979</f>
        <v>0</v>
      </c>
      <c r="D979" s="92" t="str">
        <f aca="false">'☆掛負収入'!D979</f>
        <v>事業主負担分</v>
      </c>
      <c r="E979" s="92" t="n">
        <f aca="false">'☆掛負収入'!E979</f>
        <v>0</v>
      </c>
      <c r="F979" s="92" t="n">
        <f aca="false">'☆掛負収入'!F979</f>
        <v>0</v>
      </c>
      <c r="G979" s="586" t="str">
        <f aca="false">'☆掛負収入'!G979</f>
        <v>計</v>
      </c>
      <c r="H979" s="96" t="str">
        <f aca="false">'☆掛負収入'!H979</f>
        <v>掛　金</v>
      </c>
      <c r="I979" s="94" t="str">
        <f aca="false">'☆掛負収入'!I979</f>
        <v>負担金</v>
      </c>
      <c r="J979" s="95" t="str">
        <f aca="false">'☆掛負収入'!J979</f>
        <v>計</v>
      </c>
      <c r="K979" s="96" t="str">
        <f aca="false">'☆掛負収入'!K979</f>
        <v>掛　金</v>
      </c>
      <c r="L979" s="94" t="str">
        <f aca="false">'☆掛負収入'!L979</f>
        <v>負担金</v>
      </c>
      <c r="M979" s="95" t="str">
        <f aca="false">'☆掛負収入'!M979</f>
        <v>計</v>
      </c>
      <c r="N979" s="96" t="str">
        <f aca="false">'☆掛負収入'!N979</f>
        <v>掛　金</v>
      </c>
      <c r="O979" s="94" t="str">
        <f aca="false">'☆掛負収入'!O979</f>
        <v>負担金</v>
      </c>
      <c r="P979" s="95" t="str">
        <f aca="false">'☆掛負収入'!P979</f>
        <v>計</v>
      </c>
    </row>
    <row r="980" customFormat="false" ht="22.5" hidden="false" customHeight="true" outlineLevel="0" collapsed="false">
      <c r="A980" s="89" t="n">
        <f aca="false">'☆掛負収入'!A980</f>
        <v>0</v>
      </c>
      <c r="B980" s="587" t="str">
        <f aca="false">'☆掛負収入'!B980</f>
        <v>厚生年金保険料</v>
      </c>
      <c r="C980" s="588" t="str">
        <f aca="false">'☆掛負収入'!C980</f>
        <v>退職等年金掛金</v>
      </c>
      <c r="D980" s="589" t="str">
        <f aca="false">'☆掛負収入'!D980</f>
        <v>厚生年金保険料</v>
      </c>
      <c r="E980" s="589" t="str">
        <f aca="false">'☆掛負収入'!E980</f>
        <v>退職等年金負担金</v>
      </c>
      <c r="F980" s="590" t="str">
        <f aca="false">'☆掛負収入'!F980</f>
        <v>経過的長期</v>
      </c>
      <c r="G980" s="586" t="n">
        <f aca="false">'☆掛負収入'!G980</f>
        <v>0</v>
      </c>
      <c r="H980" s="96" t="n">
        <f aca="false">'☆掛負収入'!H980</f>
        <v>0</v>
      </c>
      <c r="I980" s="94" t="n">
        <f aca="false">'☆掛負収入'!I980</f>
        <v>0</v>
      </c>
      <c r="J980" s="95" t="n">
        <f aca="false">'☆掛負収入'!J980</f>
        <v>0</v>
      </c>
      <c r="K980" s="96" t="n">
        <f aca="false">'☆掛負収入'!K980</f>
        <v>0</v>
      </c>
      <c r="L980" s="94" t="n">
        <f aca="false">'☆掛負収入'!L980</f>
        <v>0</v>
      </c>
      <c r="M980" s="95" t="n">
        <f aca="false">'☆掛負収入'!M980</f>
        <v>0</v>
      </c>
      <c r="N980" s="96" t="n">
        <f aca="false">'☆掛負収入'!N980</f>
        <v>0</v>
      </c>
      <c r="O980" s="94" t="n">
        <f aca="false">'☆掛負収入'!O980</f>
        <v>0</v>
      </c>
      <c r="P980" s="95" t="n">
        <f aca="false">'☆掛負収入'!P980</f>
        <v>0</v>
      </c>
    </row>
    <row r="981" customFormat="false" ht="18.75" hidden="false" customHeight="true" outlineLevel="0" collapsed="false">
      <c r="A981" s="100" t="str">
        <f aca="false">'☆掛負収入'!A981</f>
        <v>市長部局</v>
      </c>
      <c r="B981" s="591"/>
      <c r="C981" s="364"/>
      <c r="D981" s="592"/>
      <c r="E981" s="592"/>
      <c r="F981" s="184"/>
      <c r="G981" s="364"/>
      <c r="H981" s="591"/>
      <c r="I981" s="593"/>
      <c r="J981" s="181"/>
      <c r="K981" s="594"/>
      <c r="L981" s="593"/>
      <c r="M981" s="181"/>
      <c r="N981" s="594"/>
      <c r="O981" s="593"/>
      <c r="P981" s="181"/>
    </row>
    <row r="982" customFormat="false" ht="18.75" hidden="false" customHeight="true" outlineLevel="0" collapsed="false">
      <c r="A982" s="100" t="str">
        <f aca="false">'☆掛負収入'!A982</f>
        <v>下水道局</v>
      </c>
      <c r="B982" s="406"/>
      <c r="C982" s="181"/>
      <c r="D982" s="592"/>
      <c r="E982" s="592"/>
      <c r="F982" s="135"/>
      <c r="G982" s="181"/>
      <c r="H982" s="594"/>
      <c r="I982" s="424"/>
      <c r="J982" s="135"/>
      <c r="K982" s="595"/>
      <c r="L982" s="596"/>
      <c r="M982" s="135"/>
      <c r="N982" s="595"/>
      <c r="O982" s="596"/>
      <c r="P982" s="135"/>
    </row>
    <row r="983" customFormat="false" ht="18.75" hidden="false" customHeight="true" outlineLevel="0" collapsed="false">
      <c r="A983" s="100" t="str">
        <f aca="false">'☆掛負収入'!A983</f>
        <v>消防局</v>
      </c>
      <c r="B983" s="406"/>
      <c r="C983" s="181"/>
      <c r="D983" s="592"/>
      <c r="E983" s="592"/>
      <c r="F983" s="135"/>
      <c r="G983" s="181"/>
      <c r="H983" s="595"/>
      <c r="I983" s="439"/>
      <c r="J983" s="135"/>
      <c r="K983" s="595"/>
      <c r="L983" s="439"/>
      <c r="M983" s="135"/>
      <c r="N983" s="595"/>
      <c r="O983" s="439"/>
      <c r="P983" s="135"/>
    </row>
    <row r="984" customFormat="false" ht="18.75" hidden="false" customHeight="true" outlineLevel="0" collapsed="false">
      <c r="A984" s="100" t="str">
        <f aca="false">'☆掛負収入'!A984</f>
        <v>議会事務局</v>
      </c>
      <c r="B984" s="406"/>
      <c r="C984" s="181"/>
      <c r="D984" s="592"/>
      <c r="E984" s="592"/>
      <c r="F984" s="135"/>
      <c r="G984" s="181"/>
      <c r="H984" s="406"/>
      <c r="I984" s="439"/>
      <c r="J984" s="135"/>
      <c r="K984" s="406"/>
      <c r="L984" s="439"/>
      <c r="M984" s="135"/>
      <c r="N984" s="406"/>
      <c r="O984" s="439"/>
      <c r="P984" s="135"/>
    </row>
    <row r="985" customFormat="false" ht="18.75" hidden="false" customHeight="true" outlineLevel="0" collapsed="false">
      <c r="A985" s="100" t="str">
        <f aca="false">'☆掛負収入'!A985</f>
        <v>教育委員会（総務課）</v>
      </c>
      <c r="B985" s="406"/>
      <c r="C985" s="181"/>
      <c r="D985" s="592"/>
      <c r="E985" s="592"/>
      <c r="F985" s="135"/>
      <c r="G985" s="181"/>
      <c r="H985" s="406"/>
      <c r="I985" s="439"/>
      <c r="J985" s="135"/>
      <c r="K985" s="406"/>
      <c r="L985" s="439"/>
      <c r="M985" s="135"/>
      <c r="N985" s="406"/>
      <c r="O985" s="439"/>
      <c r="P985" s="135"/>
    </row>
    <row r="986" customFormat="false" ht="18.75" hidden="false" customHeight="true" outlineLevel="0" collapsed="false">
      <c r="A986" s="100" t="str">
        <f aca="false">'☆掛負収入'!A986</f>
        <v>選挙管理委員会</v>
      </c>
      <c r="B986" s="406"/>
      <c r="C986" s="181"/>
      <c r="D986" s="592"/>
      <c r="E986" s="592"/>
      <c r="F986" s="135"/>
      <c r="G986" s="181"/>
      <c r="H986" s="594"/>
      <c r="I986" s="424"/>
      <c r="J986" s="135"/>
      <c r="K986" s="406"/>
      <c r="L986" s="439"/>
      <c r="M986" s="135"/>
      <c r="N986" s="406"/>
      <c r="O986" s="439"/>
      <c r="P986" s="135"/>
    </row>
    <row r="987" customFormat="false" ht="18.75" hidden="false" customHeight="true" outlineLevel="0" collapsed="false">
      <c r="A987" s="100" t="str">
        <f aca="false">'☆掛負収入'!A987</f>
        <v>人事委員会</v>
      </c>
      <c r="B987" s="406"/>
      <c r="C987" s="181"/>
      <c r="D987" s="592"/>
      <c r="E987" s="592"/>
      <c r="F987" s="135"/>
      <c r="G987" s="181"/>
      <c r="H987" s="594"/>
      <c r="I987" s="424"/>
      <c r="J987" s="135"/>
      <c r="K987" s="594"/>
      <c r="L987" s="424"/>
      <c r="M987" s="135"/>
      <c r="N987" s="594"/>
      <c r="O987" s="424"/>
      <c r="P987" s="135"/>
    </row>
    <row r="988" customFormat="false" ht="18.75" hidden="false" customHeight="true" outlineLevel="0" collapsed="false">
      <c r="A988" s="100" t="str">
        <f aca="false">'☆掛負収入'!A988</f>
        <v>監査事務局</v>
      </c>
      <c r="B988" s="406"/>
      <c r="C988" s="181"/>
      <c r="D988" s="592"/>
      <c r="E988" s="592"/>
      <c r="F988" s="135"/>
      <c r="G988" s="181"/>
      <c r="H988" s="594"/>
      <c r="I988" s="424"/>
      <c r="J988" s="135"/>
      <c r="K988" s="594"/>
      <c r="L988" s="424"/>
      <c r="M988" s="135"/>
      <c r="N988" s="594"/>
      <c r="O988" s="424"/>
      <c r="P988" s="135"/>
    </row>
    <row r="989" customFormat="false" ht="18.75" hidden="false" customHeight="true" outlineLevel="0" collapsed="false">
      <c r="A989" s="100" t="str">
        <f aca="false">'☆掛負収入'!A989</f>
        <v>農業委員会</v>
      </c>
      <c r="B989" s="406"/>
      <c r="C989" s="181"/>
      <c r="D989" s="592"/>
      <c r="E989" s="592"/>
      <c r="F989" s="135"/>
      <c r="G989" s="181"/>
      <c r="H989" s="594"/>
      <c r="I989" s="424"/>
      <c r="J989" s="135"/>
      <c r="K989" s="594"/>
      <c r="L989" s="424"/>
      <c r="M989" s="135"/>
      <c r="N989" s="594"/>
      <c r="O989" s="424"/>
      <c r="P989" s="135"/>
    </row>
    <row r="990" customFormat="false" ht="18.75" hidden="false" customHeight="true" outlineLevel="0" collapsed="false">
      <c r="A990" s="100" t="str">
        <f aca="false">'☆掛負収入'!A990</f>
        <v>水道局</v>
      </c>
      <c r="B990" s="406"/>
      <c r="C990" s="181"/>
      <c r="D990" s="592"/>
      <c r="E990" s="592"/>
      <c r="F990" s="135"/>
      <c r="G990" s="181"/>
      <c r="H990" s="594"/>
      <c r="I990" s="424"/>
      <c r="J990" s="135"/>
      <c r="K990" s="594"/>
      <c r="L990" s="424"/>
      <c r="M990" s="135"/>
      <c r="N990" s="594"/>
      <c r="O990" s="424"/>
      <c r="P990" s="135"/>
    </row>
    <row r="991" customFormat="false" ht="18.75" hidden="false" customHeight="true" outlineLevel="0" collapsed="false">
      <c r="A991" s="121" t="str">
        <f aca="false">'☆掛負収入'!A991</f>
        <v>医療政策課(安芸市民)</v>
      </c>
      <c r="B991" s="595"/>
      <c r="C991" s="366"/>
      <c r="D991" s="595"/>
      <c r="E991" s="596"/>
      <c r="F991" s="393"/>
      <c r="G991" s="181"/>
      <c r="H991" s="597"/>
      <c r="I991" s="407"/>
      <c r="J991" s="135"/>
      <c r="K991" s="594"/>
      <c r="L991" s="424"/>
      <c r="M991" s="135"/>
      <c r="N991" s="594"/>
      <c r="O991" s="424"/>
      <c r="P991" s="135"/>
    </row>
    <row r="992" customFormat="false" ht="18.75" hidden="false" customHeight="true" outlineLevel="0" collapsed="false">
      <c r="A992" s="121" t="str">
        <f aca="false">'☆掛負収入'!A992</f>
        <v>教育委員会（教育給与課）</v>
      </c>
      <c r="B992" s="595"/>
      <c r="C992" s="181"/>
      <c r="D992" s="406"/>
      <c r="E992" s="598"/>
      <c r="F992" s="284"/>
      <c r="G992" s="181"/>
      <c r="H992" s="594"/>
      <c r="I992" s="424"/>
      <c r="J992" s="135"/>
      <c r="K992" s="594"/>
      <c r="L992" s="424"/>
      <c r="M992" s="135"/>
      <c r="N992" s="594"/>
      <c r="O992" s="424"/>
      <c r="P992" s="135"/>
    </row>
    <row r="993" customFormat="false" ht="18.75" hidden="true" customHeight="true" outlineLevel="0" collapsed="false">
      <c r="A993" s="599"/>
      <c r="B993" s="600"/>
      <c r="C993" s="210"/>
      <c r="D993" s="600"/>
      <c r="E993" s="601"/>
      <c r="F993" s="196"/>
      <c r="G993" s="687"/>
      <c r="H993" s="602"/>
      <c r="I993" s="603"/>
      <c r="J993" s="603"/>
      <c r="K993" s="602"/>
      <c r="L993" s="603"/>
      <c r="M993" s="195"/>
      <c r="N993" s="602"/>
      <c r="O993" s="603"/>
      <c r="P993" s="195"/>
    </row>
    <row r="994" customFormat="false" ht="18.75" hidden="true" customHeight="true" outlineLevel="0" collapsed="false">
      <c r="A994" s="604"/>
      <c r="B994" s="457"/>
      <c r="C994" s="132"/>
      <c r="D994" s="457"/>
      <c r="E994" s="458"/>
      <c r="F994" s="459"/>
      <c r="G994" s="435"/>
      <c r="H994" s="457"/>
      <c r="I994" s="458"/>
      <c r="J994" s="458"/>
      <c r="K994" s="457"/>
      <c r="L994" s="458"/>
      <c r="M994" s="130"/>
      <c r="N994" s="457"/>
      <c r="O994" s="458"/>
      <c r="P994" s="130"/>
    </row>
    <row r="995" customFormat="false" ht="18.75" hidden="true" customHeight="true" outlineLevel="0" collapsed="false">
      <c r="A995" s="604"/>
      <c r="B995" s="600"/>
      <c r="C995" s="210"/>
      <c r="D995" s="600"/>
      <c r="E995" s="601"/>
      <c r="F995" s="196"/>
      <c r="G995" s="687"/>
      <c r="H995" s="600"/>
      <c r="I995" s="601"/>
      <c r="J995" s="601"/>
      <c r="K995" s="600"/>
      <c r="L995" s="601"/>
      <c r="M995" s="696"/>
      <c r="N995" s="600"/>
      <c r="O995" s="601"/>
      <c r="P995" s="696"/>
    </row>
    <row r="996" customFormat="false" ht="18.75" hidden="true" customHeight="true" outlineLevel="0" collapsed="false">
      <c r="A996" s="605"/>
      <c r="B996" s="606"/>
      <c r="C996" s="607"/>
      <c r="D996" s="606"/>
      <c r="E996" s="490"/>
      <c r="F996" s="608"/>
      <c r="G996" s="689"/>
      <c r="H996" s="457"/>
      <c r="I996" s="609"/>
      <c r="J996" s="609"/>
      <c r="K996" s="457"/>
      <c r="L996" s="458"/>
      <c r="M996" s="130"/>
      <c r="N996" s="457"/>
      <c r="O996" s="458"/>
      <c r="P996" s="130"/>
    </row>
    <row r="997" customFormat="false" ht="18.75" hidden="false" customHeight="true" outlineLevel="0" collapsed="false">
      <c r="A997" s="171" t="str">
        <f aca="false">'☆掛負収入'!A997</f>
        <v>市長部局等　計</v>
      </c>
      <c r="B997" s="404"/>
      <c r="C997" s="174"/>
      <c r="D997" s="404"/>
      <c r="E997" s="174"/>
      <c r="F997" s="175"/>
      <c r="G997" s="176"/>
      <c r="H997" s="404"/>
      <c r="I997" s="174"/>
      <c r="J997" s="173"/>
      <c r="K997" s="404"/>
      <c r="L997" s="174"/>
      <c r="M997" s="173"/>
      <c r="N997" s="404"/>
      <c r="O997" s="174"/>
      <c r="P997" s="173"/>
    </row>
    <row r="998" customFormat="false" ht="18.75" hidden="false" customHeight="true" outlineLevel="0" collapsed="false">
      <c r="A998" s="177" t="str">
        <f aca="false">'☆掛負収入'!A998</f>
        <v>地方税共同機構</v>
      </c>
      <c r="B998" s="449" t="n">
        <f aca="false">'☆掛負収入'!B998</f>
        <v>0</v>
      </c>
      <c r="C998" s="377" t="n">
        <f aca="false">'☆掛負収入'!C998</f>
        <v>0</v>
      </c>
      <c r="D998" s="469" t="n">
        <f aca="false">'☆掛負収入'!D998</f>
        <v>0</v>
      </c>
      <c r="E998" s="463" t="n">
        <f aca="false">'☆掛負収入'!E998</f>
        <v>0</v>
      </c>
      <c r="F998" s="450" t="n">
        <f aca="false">'☆掛負収入'!F998</f>
        <v>0</v>
      </c>
      <c r="G998" s="666" t="n">
        <f aca="false">SUM(B998:F998)</f>
        <v>0</v>
      </c>
      <c r="H998" s="594" t="n">
        <f aca="false">'☆掛負収入'!H998</f>
        <v>0</v>
      </c>
      <c r="I998" s="424" t="n">
        <f aca="false">'☆掛負収入'!I998</f>
        <v>0</v>
      </c>
      <c r="J998" s="135" t="n">
        <f aca="false">SUM(H998:I998)</f>
        <v>0</v>
      </c>
      <c r="K998" s="439" t="n">
        <f aca="false">'☆掛負収入'!K998</f>
        <v>0</v>
      </c>
      <c r="L998" s="424" t="n">
        <f aca="false">'☆掛負収入'!L998</f>
        <v>0</v>
      </c>
      <c r="M998" s="135" t="n">
        <f aca="false">SUM(K998:L998)</f>
        <v>0</v>
      </c>
      <c r="N998" s="439" t="n">
        <f aca="false">'☆掛負収入'!N998</f>
        <v>0</v>
      </c>
      <c r="O998" s="424" t="n">
        <f aca="false">'☆掛負収入'!O998</f>
        <v>0</v>
      </c>
      <c r="P998" s="135" t="n">
        <f aca="false">SUM(N998:O998)</f>
        <v>0</v>
      </c>
    </row>
    <row r="999" customFormat="false" ht="18.75" hidden="false" customHeight="true" outlineLevel="0" collapsed="false">
      <c r="A999" s="100" t="str">
        <f aca="false">'☆掛負収入'!A999</f>
        <v>平和文化センター</v>
      </c>
      <c r="B999" s="449" t="n">
        <f aca="false">'☆掛負収入'!B999</f>
        <v>0</v>
      </c>
      <c r="C999" s="377" t="n">
        <f aca="false">'☆掛負収入'!C999</f>
        <v>0</v>
      </c>
      <c r="D999" s="464" t="n">
        <f aca="false">'☆掛負収入'!D999</f>
        <v>35318</v>
      </c>
      <c r="E999" s="452" t="n">
        <f aca="false">'☆掛負収入'!E999</f>
        <v>2894</v>
      </c>
      <c r="F999" s="450" t="n">
        <f aca="false">'☆掛負収入'!F999</f>
        <v>39</v>
      </c>
      <c r="G999" s="668" t="n">
        <f aca="false">SUM(B999:F999)</f>
        <v>38251</v>
      </c>
      <c r="H999" s="594" t="n">
        <f aca="false">'☆掛負収入'!H999</f>
        <v>0</v>
      </c>
      <c r="I999" s="450" t="n">
        <f aca="false">'☆掛負収入'!I999</f>
        <v>23174</v>
      </c>
      <c r="J999" s="135" t="n">
        <f aca="false">SUM(H999:I999)</f>
        <v>23174</v>
      </c>
      <c r="K999" s="439" t="n">
        <f aca="false">'☆掛負収入'!K999</f>
        <v>0</v>
      </c>
      <c r="L999" s="424" t="n">
        <f aca="false">'☆掛負収入'!L999</f>
        <v>2583</v>
      </c>
      <c r="M999" s="135" t="n">
        <f aca="false">SUM(K999:L999)</f>
        <v>2583</v>
      </c>
      <c r="N999" s="439" t="n">
        <f aca="false">'☆掛負収入'!N999</f>
        <v>0</v>
      </c>
      <c r="O999" s="424" t="n">
        <f aca="false">'☆掛負収入'!O999</f>
        <v>1</v>
      </c>
      <c r="P999" s="135" t="n">
        <f aca="false">SUM(N999:O999)</f>
        <v>1</v>
      </c>
    </row>
    <row r="1000" customFormat="false" ht="18.75" hidden="false" customHeight="true" outlineLevel="0" collapsed="false">
      <c r="A1000" s="100" t="str">
        <f aca="false">'☆掛負収入'!A1000</f>
        <v>社会福祉事業団</v>
      </c>
      <c r="B1000" s="600"/>
      <c r="C1000" s="210"/>
      <c r="D1000" s="451" t="n">
        <f aca="false">'☆掛負収入'!D1000</f>
        <v>98681</v>
      </c>
      <c r="E1000" s="453" t="n">
        <f aca="false">'☆掛負収入'!E1000</f>
        <v>8089</v>
      </c>
      <c r="F1000" s="450" t="n">
        <f aca="false">'☆掛負収入'!F1000</f>
        <v>100</v>
      </c>
      <c r="G1000" s="668" t="n">
        <f aca="false">SUM(B1000:F1000)</f>
        <v>106870</v>
      </c>
      <c r="H1000" s="602"/>
      <c r="I1000" s="450" t="n">
        <f aca="false">'☆掛負収入'!I1000</f>
        <v>66823</v>
      </c>
      <c r="J1000" s="135" t="n">
        <f aca="false">SUM(H1000:I1000)</f>
        <v>66823</v>
      </c>
      <c r="K1000" s="453" t="n">
        <f aca="false">'☆掛負収入'!K1000</f>
        <v>0</v>
      </c>
      <c r="L1000" s="450" t="n">
        <f aca="false">'☆掛負収入'!L1000</f>
        <v>6660</v>
      </c>
      <c r="M1000" s="135" t="n">
        <f aca="false">SUM(K1000:L1000)</f>
        <v>6660</v>
      </c>
      <c r="N1000" s="453" t="n">
        <f aca="false">'☆掛負収入'!N1000</f>
        <v>0</v>
      </c>
      <c r="O1000" s="450" t="n">
        <f aca="false">'☆掛負収入'!O1000</f>
        <v>1</v>
      </c>
      <c r="P1000" s="135" t="n">
        <f aca="false">SUM(N1000:O1000)</f>
        <v>1</v>
      </c>
    </row>
    <row r="1001" customFormat="false" ht="18.75" hidden="false" customHeight="true" outlineLevel="0" collapsed="false">
      <c r="A1001" s="100" t="str">
        <f aca="false">'☆掛負収入'!A1001</f>
        <v>原爆障害対策協議会</v>
      </c>
      <c r="B1001" s="600"/>
      <c r="C1001" s="210"/>
      <c r="D1001" s="445" t="n">
        <f aca="false">'☆掛負収入'!D1001</f>
        <v>2562</v>
      </c>
      <c r="E1001" s="453" t="n">
        <f aca="false">'☆掛負収入'!E1001</f>
        <v>210</v>
      </c>
      <c r="F1001" s="450" t="n">
        <f aca="false">'☆掛負収入'!F1001</f>
        <v>3</v>
      </c>
      <c r="G1001" s="668" t="n">
        <f aca="false">SUM(B1001:F1001)</f>
        <v>2775</v>
      </c>
      <c r="H1001" s="602"/>
      <c r="I1001" s="450" t="n">
        <f aca="false">'☆掛負収入'!I1001</f>
        <v>1543</v>
      </c>
      <c r="J1001" s="135" t="n">
        <f aca="false">SUM(H1001:I1001)</f>
        <v>1543</v>
      </c>
      <c r="K1001" s="612"/>
      <c r="L1001" s="450" t="n">
        <f aca="false">'☆掛負収入'!L1001</f>
        <v>221</v>
      </c>
      <c r="M1001" s="135" t="n">
        <f aca="false">SUM(K1001:L1001)</f>
        <v>221</v>
      </c>
      <c r="N1001" s="612"/>
      <c r="O1001" s="450" t="n">
        <f aca="false">'☆掛負収入'!O1001</f>
        <v>1</v>
      </c>
      <c r="P1001" s="135" t="n">
        <f aca="false">SUM(N1001:O1001)</f>
        <v>1</v>
      </c>
    </row>
    <row r="1002" customFormat="false" ht="18.75" hidden="false" customHeight="true" outlineLevel="0" collapsed="false">
      <c r="A1002" s="189" t="str">
        <f aca="false">'☆掛負収入'!A1002</f>
        <v>産業振興センター</v>
      </c>
      <c r="B1002" s="600"/>
      <c r="C1002" s="210"/>
      <c r="D1002" s="445" t="n">
        <f aca="false">'☆掛負収入'!D1002</f>
        <v>21914</v>
      </c>
      <c r="E1002" s="453" t="n">
        <f aca="false">'☆掛負収入'!E1002</f>
        <v>1796</v>
      </c>
      <c r="F1002" s="450" t="n">
        <f aca="false">'☆掛負収入'!F1002</f>
        <v>21</v>
      </c>
      <c r="G1002" s="668" t="n">
        <f aca="false">SUM(B1002:F1002)</f>
        <v>23731</v>
      </c>
      <c r="H1002" s="602"/>
      <c r="I1002" s="450" t="n">
        <f aca="false">'☆掛負収入'!I1002</f>
        <v>13199</v>
      </c>
      <c r="J1002" s="135" t="n">
        <f aca="false">SUM(H1002:I1002)</f>
        <v>13199</v>
      </c>
      <c r="K1002" s="612"/>
      <c r="L1002" s="450" t="n">
        <f aca="false">'☆掛負収入'!L1002</f>
        <v>1749</v>
      </c>
      <c r="M1002" s="135" t="n">
        <f aca="false">SUM(K1002:L1002)</f>
        <v>1749</v>
      </c>
      <c r="N1002" s="612"/>
      <c r="O1002" s="450" t="n">
        <f aca="false">'☆掛負収入'!O1002</f>
        <v>1</v>
      </c>
      <c r="P1002" s="135" t="n">
        <f aca="false">SUM(N1002:O1002)</f>
        <v>1</v>
      </c>
    </row>
    <row r="1003" customFormat="false" ht="18.75" hidden="false" customHeight="true" outlineLevel="0" collapsed="false">
      <c r="A1003" s="121" t="str">
        <f aca="false">'☆掛負収入'!A1003</f>
        <v>ひろしま産業振興</v>
      </c>
      <c r="B1003" s="600"/>
      <c r="C1003" s="459"/>
      <c r="D1003" s="445" t="n">
        <f aca="false">'☆掛負収入'!D1003</f>
        <v>4941</v>
      </c>
      <c r="E1003" s="453" t="n">
        <f aca="false">'☆掛負収入'!E1003</f>
        <v>405</v>
      </c>
      <c r="F1003" s="456" t="n">
        <f aca="false">'☆掛負収入'!F1003</f>
        <v>5</v>
      </c>
      <c r="G1003" s="668" t="n">
        <f aca="false">SUM(B1003:F1003)</f>
        <v>5351</v>
      </c>
      <c r="H1003" s="602"/>
      <c r="I1003" s="456" t="n">
        <f aca="false">'☆掛負収入'!I1003</f>
        <v>2976</v>
      </c>
      <c r="J1003" s="135" t="n">
        <f aca="false">SUM(H1003:I1003)</f>
        <v>2976</v>
      </c>
      <c r="K1003" s="612"/>
      <c r="L1003" s="456" t="n">
        <f aca="false">'☆掛負収入'!L1003</f>
        <v>426</v>
      </c>
      <c r="M1003" s="135" t="n">
        <f aca="false">SUM(K1003:L1003)</f>
        <v>426</v>
      </c>
      <c r="N1003" s="612"/>
      <c r="O1003" s="456" t="n">
        <f aca="false">'☆掛負収入'!O1003</f>
        <v>1</v>
      </c>
      <c r="P1003" s="135" t="n">
        <f aca="false">SUM(N1003:O1003)</f>
        <v>1</v>
      </c>
    </row>
    <row r="1004" customFormat="false" ht="18.75" hidden="false" customHeight="true" outlineLevel="0" collapsed="false">
      <c r="A1004" s="121" t="str">
        <f aca="false">'☆掛負収入'!A1004</f>
        <v>都市整備公社　市</v>
      </c>
      <c r="B1004" s="600"/>
      <c r="C1004" s="459"/>
      <c r="D1004" s="451" t="n">
        <f aca="false">'☆掛負収入'!D1004</f>
        <v>2608</v>
      </c>
      <c r="E1004" s="453" t="n">
        <f aca="false">'☆掛負収入'!E1004</f>
        <v>213</v>
      </c>
      <c r="F1004" s="450" t="n">
        <f aca="false">'☆掛負収入'!F1004</f>
        <v>3</v>
      </c>
      <c r="G1004" s="668" t="n">
        <f aca="false">SUM(B1004:F1004)</f>
        <v>2824</v>
      </c>
      <c r="H1004" s="602"/>
      <c r="I1004" s="450" t="n">
        <f aca="false">'☆掛負収入'!I1004</f>
        <v>1571</v>
      </c>
      <c r="J1004" s="135" t="n">
        <f aca="false">SUM(H1004:I1004)</f>
        <v>1571</v>
      </c>
      <c r="K1004" s="612"/>
      <c r="L1004" s="450" t="n">
        <f aca="false">'☆掛負収入'!L1004</f>
        <v>225</v>
      </c>
      <c r="M1004" s="135" t="n">
        <f aca="false">SUM(K1004:L1004)</f>
        <v>225</v>
      </c>
      <c r="N1004" s="612"/>
      <c r="O1004" s="450" t="n">
        <f aca="false">'☆掛負収入'!O1004</f>
        <v>1</v>
      </c>
      <c r="P1004" s="135" t="n">
        <f aca="false">SUM(N1004:O1004)</f>
        <v>1</v>
      </c>
    </row>
    <row r="1005" customFormat="false" ht="18.75" hidden="false" customHeight="true" outlineLevel="0" collapsed="false">
      <c r="A1005" s="192"/>
      <c r="B1005" s="600"/>
      <c r="C1005" s="196"/>
      <c r="D1005" s="449"/>
      <c r="E1005" s="453"/>
      <c r="F1005" s="450"/>
      <c r="G1005" s="668"/>
      <c r="H1005" s="602"/>
      <c r="I1005" s="450"/>
      <c r="J1005" s="135"/>
      <c r="K1005" s="612"/>
      <c r="L1005" s="450"/>
      <c r="M1005" s="135" t="n">
        <f aca="false">SUM(K1005:L1005)</f>
        <v>0</v>
      </c>
      <c r="N1005" s="612"/>
      <c r="O1005" s="450"/>
      <c r="P1005" s="135" t="n">
        <f aca="false">SUM(N1005:O1005)</f>
        <v>0</v>
      </c>
    </row>
    <row r="1006" customFormat="false" ht="18.75" hidden="false" customHeight="true" outlineLevel="0" collapsed="false">
      <c r="A1006" s="121" t="str">
        <f aca="false">'☆掛負収入'!A1006</f>
        <v>日本下水道事業団</v>
      </c>
      <c r="B1006" s="451" t="n">
        <f aca="false">'☆掛負収入'!B1006</f>
        <v>20541</v>
      </c>
      <c r="C1006" s="223" t="n">
        <f aca="false">'☆掛負収入'!C1006</f>
        <v>1683</v>
      </c>
      <c r="D1006" s="449" t="n">
        <f aca="false">'☆掛負収入'!D1006</f>
        <v>20542</v>
      </c>
      <c r="E1006" s="453" t="n">
        <f aca="false">'☆掛負収入'!E1006</f>
        <v>1683</v>
      </c>
      <c r="F1006" s="450" t="n">
        <f aca="false">'☆掛負収入'!F1006</f>
        <v>20</v>
      </c>
      <c r="G1006" s="668" t="n">
        <f aca="false">SUM(B1006:F1006)</f>
        <v>44469</v>
      </c>
      <c r="H1006" s="448" t="n">
        <f aca="false">'☆掛負収入'!H1006</f>
        <v>12350</v>
      </c>
      <c r="I1006" s="450" t="n">
        <f aca="false">'☆掛負収入'!I1006</f>
        <v>12372</v>
      </c>
      <c r="J1006" s="135" t="n">
        <f aca="false">SUM(H1006:I1006)</f>
        <v>24722</v>
      </c>
      <c r="K1006" s="453" t="n">
        <f aca="false">'☆掛負収入'!K1006</f>
        <v>668</v>
      </c>
      <c r="L1006" s="450" t="n">
        <f aca="false">'☆掛負収入'!L1006</f>
        <v>667</v>
      </c>
      <c r="M1006" s="135" t="n">
        <f aca="false">SUM(K1006:L1006)</f>
        <v>1335</v>
      </c>
      <c r="N1006" s="453" t="n">
        <f aca="false">'☆掛負収入'!N1006</f>
        <v>1</v>
      </c>
      <c r="O1006" s="450" t="n">
        <f aca="false">'☆掛負収入'!O1006</f>
        <v>1</v>
      </c>
      <c r="P1006" s="135" t="n">
        <f aca="false">SUM(N1006:O1006)</f>
        <v>2</v>
      </c>
    </row>
    <row r="1007" customFormat="false" ht="18.75" hidden="false" customHeight="true" outlineLevel="0" collapsed="false">
      <c r="A1007" s="100" t="str">
        <f aca="false">'☆掛負収入'!A1007</f>
        <v>地方公務員災害補償基金本部</v>
      </c>
      <c r="B1007" s="451" t="n">
        <f aca="false">'☆掛負収入'!B1007</f>
        <v>3156</v>
      </c>
      <c r="C1007" s="223" t="n">
        <f aca="false">'☆掛負収入'!C1007</f>
        <v>258</v>
      </c>
      <c r="D1007" s="449" t="n">
        <f aca="false">'☆掛負収入'!D1007</f>
        <v>3157</v>
      </c>
      <c r="E1007" s="453" t="n">
        <f aca="false">'☆掛負収入'!E1007</f>
        <v>258</v>
      </c>
      <c r="F1007" s="450" t="n">
        <f aca="false">'☆掛負収入'!F1007</f>
        <v>3</v>
      </c>
      <c r="G1007" s="668" t="n">
        <f aca="false">SUM(B1007:F1007)</f>
        <v>6832</v>
      </c>
      <c r="H1007" s="448" t="n">
        <f aca="false">'☆掛負収入'!H1007</f>
        <v>1897</v>
      </c>
      <c r="I1007" s="450" t="n">
        <f aca="false">'☆掛負収入'!I1007</f>
        <v>1901</v>
      </c>
      <c r="J1007" s="135" t="n">
        <f aca="false">SUM(H1007:I1007)</f>
        <v>3798</v>
      </c>
      <c r="K1007" s="453" t="n">
        <f aca="false">'☆掛負収入'!K1007</f>
        <v>0</v>
      </c>
      <c r="L1007" s="450" t="n">
        <f aca="false">'☆掛負収入'!L1007</f>
        <v>0</v>
      </c>
      <c r="M1007" s="135" t="n">
        <f aca="false">SUM(K1007:L1007)</f>
        <v>0</v>
      </c>
      <c r="N1007" s="453" t="n">
        <f aca="false">'☆掛負収入'!N1007</f>
        <v>1</v>
      </c>
      <c r="O1007" s="450" t="n">
        <f aca="false">'☆掛負収入'!O1007</f>
        <v>1</v>
      </c>
      <c r="P1007" s="135" t="n">
        <f aca="false">SUM(N1007:O1007)</f>
        <v>2</v>
      </c>
    </row>
    <row r="1008" customFormat="false" ht="18.75" hidden="false" customHeight="true" outlineLevel="0" collapsed="false">
      <c r="A1008" s="197"/>
      <c r="B1008" s="449"/>
      <c r="C1008" s="223"/>
      <c r="D1008" s="449"/>
      <c r="E1008" s="453"/>
      <c r="F1008" s="450"/>
      <c r="G1008" s="668"/>
      <c r="H1008" s="594"/>
      <c r="I1008" s="450"/>
      <c r="J1008" s="135"/>
      <c r="K1008" s="439"/>
      <c r="L1008" s="424"/>
      <c r="M1008" s="135" t="n">
        <f aca="false">SUM(K1008:L1008)</f>
        <v>0</v>
      </c>
      <c r="N1008" s="439"/>
      <c r="O1008" s="424"/>
      <c r="P1008" s="135" t="n">
        <f aca="false">SUM(N1008:O1008)</f>
        <v>0</v>
      </c>
    </row>
    <row r="1009" customFormat="false" ht="18.75" hidden="false" customHeight="true" outlineLevel="0" collapsed="false">
      <c r="A1009" s="100" t="str">
        <f aca="false">'☆掛負収入'!A1009</f>
        <v>高速道路公社</v>
      </c>
      <c r="B1009" s="464" t="n">
        <f aca="false">'☆掛負収入'!B1009</f>
        <v>47211</v>
      </c>
      <c r="C1009" s="454" t="n">
        <f aca="false">'☆掛負収入'!C1009</f>
        <v>3867</v>
      </c>
      <c r="D1009" s="464" t="n">
        <f aca="false">'☆掛負収入'!D1009</f>
        <v>47214</v>
      </c>
      <c r="E1009" s="470" t="n">
        <f aca="false">'☆掛負収入'!E1009</f>
        <v>3869</v>
      </c>
      <c r="F1009" s="472" t="n">
        <f aca="false">'☆掛負収入'!F1009</f>
        <v>49</v>
      </c>
      <c r="G1009" s="668" t="n">
        <f aca="false">SUM(B1009:F1009)</f>
        <v>102210</v>
      </c>
      <c r="H1009" s="471" t="n">
        <f aca="false">'☆掛負収入'!H1009</f>
        <v>29266</v>
      </c>
      <c r="I1009" s="472" t="n">
        <f aca="false">'☆掛負収入'!I1009</f>
        <v>29319</v>
      </c>
      <c r="J1009" s="135" t="n">
        <f aca="false">SUM(H1009:I1009)</f>
        <v>58585</v>
      </c>
      <c r="K1009" s="470" t="n">
        <f aca="false">'☆掛負収入'!K1009</f>
        <v>2587</v>
      </c>
      <c r="L1009" s="472" t="n">
        <f aca="false">'☆掛負収入'!L1009</f>
        <v>2587</v>
      </c>
      <c r="M1009" s="135" t="n">
        <f aca="false">SUM(K1009:L1009)</f>
        <v>5174</v>
      </c>
      <c r="N1009" s="470" t="n">
        <f aca="false">'☆掛負収入'!N1009</f>
        <v>1</v>
      </c>
      <c r="O1009" s="472" t="n">
        <f aca="false">'☆掛負収入'!O1009</f>
        <v>1</v>
      </c>
      <c r="P1009" s="135" t="n">
        <f aca="false">SUM(N1009:O1009)</f>
        <v>2</v>
      </c>
    </row>
    <row r="1010" customFormat="false" ht="18.75" hidden="false" customHeight="true" outlineLevel="0" collapsed="false">
      <c r="A1010" s="100" t="str">
        <f aca="false">'☆掛負収入'!A1010</f>
        <v>農林水産振興センタ</v>
      </c>
      <c r="B1010" s="457"/>
      <c r="C1010" s="459"/>
      <c r="D1010" s="451" t="n">
        <f aca="false">'☆掛負収入'!D1010</f>
        <v>31613</v>
      </c>
      <c r="E1010" s="473" t="n">
        <f aca="false">'☆掛負収入'!E1010</f>
        <v>2591</v>
      </c>
      <c r="F1010" s="456" t="n">
        <f aca="false">'☆掛負収入'!F1010</f>
        <v>34</v>
      </c>
      <c r="G1010" s="668" t="n">
        <f aca="false">SUM(B1010:F1010)</f>
        <v>34238</v>
      </c>
      <c r="H1010" s="616"/>
      <c r="I1010" s="456" t="n">
        <f aca="false">'☆掛負収入'!I1010</f>
        <v>19041</v>
      </c>
      <c r="J1010" s="135" t="n">
        <f aca="false">SUM(H1010:I1010)</f>
        <v>19041</v>
      </c>
      <c r="K1010" s="617"/>
      <c r="L1010" s="456" t="n">
        <f aca="false">'☆掛負収入'!L1010</f>
        <v>1434</v>
      </c>
      <c r="M1010" s="135" t="n">
        <f aca="false">SUM(K1010:L1010)</f>
        <v>1434</v>
      </c>
      <c r="N1010" s="617"/>
      <c r="O1010" s="456" t="n">
        <f aca="false">'☆掛負収入'!O1010</f>
        <v>1</v>
      </c>
      <c r="P1010" s="135" t="n">
        <f aca="false">SUM(N1010:O1010)</f>
        <v>1</v>
      </c>
    </row>
    <row r="1011" customFormat="false" ht="18.75" hidden="false" customHeight="true" outlineLevel="0" collapsed="false">
      <c r="A1011" s="203" t="str">
        <f aca="false">'☆掛負収入'!A1011</f>
        <v>文化財団　市長部局</v>
      </c>
      <c r="B1011" s="600"/>
      <c r="C1011" s="196"/>
      <c r="D1011" s="449" t="n">
        <f aca="false">'☆掛負収入'!D1011</f>
        <v>64508</v>
      </c>
      <c r="E1011" s="453" t="n">
        <f aca="false">'☆掛負収入'!E1011</f>
        <v>5287</v>
      </c>
      <c r="F1011" s="456" t="n">
        <f aca="false">'☆掛負収入'!F1011</f>
        <v>67</v>
      </c>
      <c r="G1011" s="668" t="n">
        <f aca="false">SUM(B1011:F1011)</f>
        <v>69862</v>
      </c>
      <c r="H1011" s="602"/>
      <c r="I1011" s="456" t="n">
        <f aca="false">'☆掛負収入'!I1011</f>
        <v>38852</v>
      </c>
      <c r="J1011" s="135" t="n">
        <f aca="false">SUM(H1011:I1011)</f>
        <v>38852</v>
      </c>
      <c r="K1011" s="612"/>
      <c r="L1011" s="456" t="n">
        <f aca="false">'☆掛負収入'!L1011</f>
        <v>5218</v>
      </c>
      <c r="M1011" s="135" t="n">
        <f aca="false">SUM(K1011:L1011)</f>
        <v>5218</v>
      </c>
      <c r="N1011" s="612"/>
      <c r="O1011" s="456" t="n">
        <f aca="false">'☆掛負収入'!O1011</f>
        <v>1</v>
      </c>
      <c r="P1011" s="135" t="n">
        <f aca="false">SUM(N1011:O1011)</f>
        <v>1</v>
      </c>
    </row>
    <row r="1012" customFormat="false" ht="18.75" hidden="false" customHeight="true" outlineLevel="0" collapsed="false">
      <c r="A1012" s="204"/>
      <c r="B1012" s="600"/>
      <c r="C1012" s="196"/>
      <c r="D1012" s="449"/>
      <c r="E1012" s="453"/>
      <c r="F1012" s="456"/>
      <c r="G1012" s="668"/>
      <c r="H1012" s="602"/>
      <c r="I1012" s="456"/>
      <c r="J1012" s="135"/>
      <c r="K1012" s="612"/>
      <c r="L1012" s="456"/>
      <c r="M1012" s="135" t="n">
        <f aca="false">SUM(K1012:L1012)</f>
        <v>0</v>
      </c>
      <c r="N1012" s="612"/>
      <c r="O1012" s="456"/>
      <c r="P1012" s="135" t="n">
        <f aca="false">SUM(N1012:O1012)</f>
        <v>0</v>
      </c>
    </row>
    <row r="1013" customFormat="false" ht="18.75" hidden="false" customHeight="true" outlineLevel="0" collapsed="false">
      <c r="A1013" s="100" t="str">
        <f aca="false">'☆掛負収入'!A1013</f>
        <v>みどり生きもの協会</v>
      </c>
      <c r="B1013" s="600"/>
      <c r="C1013" s="196"/>
      <c r="D1013" s="449" t="n">
        <f aca="false">'☆掛負収入'!D1013</f>
        <v>22739</v>
      </c>
      <c r="E1013" s="453" t="n">
        <f aca="false">'☆掛負収入'!E1013</f>
        <v>1864</v>
      </c>
      <c r="F1013" s="456" t="n">
        <f aca="false">'☆掛負収入'!F1013</f>
        <v>23</v>
      </c>
      <c r="G1013" s="668" t="n">
        <f aca="false">SUM(B1013:F1013)</f>
        <v>24626</v>
      </c>
      <c r="H1013" s="602"/>
      <c r="I1013" s="456" t="n">
        <f aca="false">'☆掛負収入'!I1013</f>
        <v>13694</v>
      </c>
      <c r="J1013" s="135" t="n">
        <f aca="false">SUM(H1013:I1013)</f>
        <v>13694</v>
      </c>
      <c r="K1013" s="612"/>
      <c r="L1013" s="456" t="n">
        <f aca="false">'☆掛負収入'!L1013</f>
        <v>1964</v>
      </c>
      <c r="M1013" s="135" t="n">
        <f aca="false">SUM(K1013:L1013)</f>
        <v>1964</v>
      </c>
      <c r="N1013" s="612"/>
      <c r="O1013" s="456" t="n">
        <f aca="false">'☆掛負収入'!O1013</f>
        <v>1</v>
      </c>
      <c r="P1013" s="135" t="n">
        <f aca="false">SUM(N1013:O1013)</f>
        <v>1</v>
      </c>
    </row>
    <row r="1014" customFormat="false" ht="18.75" hidden="false" customHeight="true" outlineLevel="0" collapsed="false">
      <c r="A1014" s="121" t="str">
        <f aca="false">'☆掛負収入'!A1014</f>
        <v>県下水道公社</v>
      </c>
      <c r="B1014" s="449" t="n">
        <f aca="false">'☆掛負収入'!B1014</f>
        <v>7778</v>
      </c>
      <c r="C1014" s="223" t="n">
        <f aca="false">'☆掛負収入'!C1014</f>
        <v>638</v>
      </c>
      <c r="D1014" s="449" t="n">
        <f aca="false">'☆掛負収入'!D1014</f>
        <v>7777</v>
      </c>
      <c r="E1014" s="453" t="n">
        <f aca="false">'☆掛負収入'!E1014</f>
        <v>638</v>
      </c>
      <c r="F1014" s="456" t="n">
        <f aca="false">'☆掛負収入'!F1014</f>
        <v>8</v>
      </c>
      <c r="G1014" s="668" t="n">
        <f aca="false">SUM(B1014:F1014)</f>
        <v>16839</v>
      </c>
      <c r="H1014" s="448" t="n">
        <f aca="false">'☆掛負収入'!H1014</f>
        <v>4675</v>
      </c>
      <c r="I1014" s="456" t="n">
        <f aca="false">'☆掛負収入'!I1014</f>
        <v>4685</v>
      </c>
      <c r="J1014" s="135" t="n">
        <f aca="false">SUM(H1014:I1014)</f>
        <v>9360</v>
      </c>
      <c r="K1014" s="453" t="n">
        <f aca="false">'☆掛負収入'!K1014</f>
        <v>466</v>
      </c>
      <c r="L1014" s="456" t="n">
        <f aca="false">'☆掛負収入'!L1014</f>
        <v>466</v>
      </c>
      <c r="M1014" s="135" t="n">
        <f aca="false">SUM(K1014:L1014)</f>
        <v>932</v>
      </c>
      <c r="N1014" s="453" t="n">
        <f aca="false">'☆掛負収入'!N1014</f>
        <v>1</v>
      </c>
      <c r="O1014" s="456" t="n">
        <f aca="false">'☆掛負収入'!O1014</f>
        <v>1</v>
      </c>
      <c r="P1014" s="135" t="n">
        <f aca="false">SUM(N1014:O1014)</f>
        <v>2</v>
      </c>
    </row>
    <row r="1015" customFormat="false" ht="18.75" hidden="false" customHeight="true" outlineLevel="0" collapsed="false">
      <c r="A1015" s="121" t="str">
        <f aca="false">'☆掛負収入'!A1015</f>
        <v>バス協調・共創
プラットフォーム</v>
      </c>
      <c r="B1015" s="457"/>
      <c r="C1015" s="459"/>
      <c r="D1015" s="451" t="n">
        <f aca="false">'☆掛負収入'!D1015</f>
        <v>21640</v>
      </c>
      <c r="E1015" s="473" t="n">
        <f aca="false">'☆掛負収入'!E1015</f>
        <v>1773</v>
      </c>
      <c r="F1015" s="456" t="n">
        <f aca="false">'☆掛負収入'!F1015</f>
        <v>22</v>
      </c>
      <c r="G1015" s="668" t="n">
        <f aca="false">SUM(B1015:F1015)</f>
        <v>23435</v>
      </c>
      <c r="H1015" s="616"/>
      <c r="I1015" s="456" t="n">
        <f aca="false">'☆掛負収入'!I1015</f>
        <v>14191</v>
      </c>
      <c r="J1015" s="135" t="n">
        <f aca="false">SUM(H1015:I1015)</f>
        <v>14191</v>
      </c>
      <c r="K1015" s="617"/>
      <c r="L1015" s="456" t="n">
        <f aca="false">'☆掛負収入'!L1015</f>
        <v>1220</v>
      </c>
      <c r="M1015" s="135" t="n">
        <f aca="false">SUM(K1015:L1015)</f>
        <v>1220</v>
      </c>
      <c r="N1015" s="617"/>
      <c r="O1015" s="456" t="n">
        <f aca="false">'☆掛負収入'!O1015</f>
        <v>1</v>
      </c>
      <c r="P1015" s="135" t="n">
        <f aca="false">SUM(N1015:O1015)</f>
        <v>1</v>
      </c>
    </row>
    <row r="1016" customFormat="false" ht="18.75" hidden="false" customHeight="true" outlineLevel="0" collapsed="false">
      <c r="A1016" s="121" t="str">
        <f aca="false">'☆掛負収入'!A1016</f>
        <v>広島県市長会</v>
      </c>
      <c r="B1016" s="449" t="n">
        <f aca="false">'☆掛負収入'!B1016</f>
        <v>2837</v>
      </c>
      <c r="C1016" s="223" t="n">
        <f aca="false">'☆掛負収入'!C1016</f>
        <v>233</v>
      </c>
      <c r="D1016" s="449" t="n">
        <f aca="false">'☆掛負収入'!D1016</f>
        <v>2836</v>
      </c>
      <c r="E1016" s="453" t="n">
        <f aca="false">'☆掛負収入'!E1016</f>
        <v>233</v>
      </c>
      <c r="F1016" s="450" t="n">
        <f aca="false">'☆掛負収入'!F1016</f>
        <v>3</v>
      </c>
      <c r="G1016" s="668" t="n">
        <f aca="false">SUM(B1016:F1016)</f>
        <v>6142</v>
      </c>
      <c r="H1016" s="594" t="n">
        <f aca="false">'☆掛負収入'!H1016</f>
        <v>1706</v>
      </c>
      <c r="I1016" s="450" t="n">
        <f aca="false">'☆掛負収入'!I1016</f>
        <v>1709</v>
      </c>
      <c r="J1016" s="135" t="n">
        <f aca="false">SUM(H1016:I1016)</f>
        <v>3415</v>
      </c>
      <c r="K1016" s="439" t="n">
        <f aca="false">'☆掛負収入'!K1016</f>
        <v>245</v>
      </c>
      <c r="L1016" s="450" t="n">
        <f aca="false">'☆掛負収入'!L1016</f>
        <v>245</v>
      </c>
      <c r="M1016" s="135" t="n">
        <f aca="false">SUM(K1016:L1016)</f>
        <v>490</v>
      </c>
      <c r="N1016" s="439" t="n">
        <f aca="false">'☆掛負収入'!N1016</f>
        <v>1</v>
      </c>
      <c r="O1016" s="450" t="n">
        <f aca="false">'☆掛負収入'!O1016</f>
        <v>1</v>
      </c>
      <c r="P1016" s="135" t="n">
        <f aca="false">SUM(N1016:O1016)</f>
        <v>2</v>
      </c>
    </row>
    <row r="1017" customFormat="false" ht="18.75" hidden="false" customHeight="true" outlineLevel="0" collapsed="false">
      <c r="A1017" s="189" t="str">
        <f aca="false">'☆掛負収入'!A1017</f>
        <v>全国市町村研修財団</v>
      </c>
      <c r="B1017" s="451" t="n">
        <f aca="false">'☆掛負収入'!B1017</f>
        <v>1052</v>
      </c>
      <c r="C1017" s="223" t="n">
        <f aca="false">'☆掛負収入'!C1017</f>
        <v>86</v>
      </c>
      <c r="D1017" s="449" t="n">
        <f aca="false">'☆掛負収入'!D1017</f>
        <v>1052</v>
      </c>
      <c r="E1017" s="453" t="n">
        <f aca="false">'☆掛負収入'!E1017</f>
        <v>86</v>
      </c>
      <c r="F1017" s="450" t="n">
        <f aca="false">'☆掛負収入'!F1017</f>
        <v>1</v>
      </c>
      <c r="G1017" s="668" t="n">
        <f aca="false">SUM(B1017:F1017)</f>
        <v>2277</v>
      </c>
      <c r="H1017" s="448" t="n">
        <f aca="false">'☆掛負収入'!H1017</f>
        <v>3026</v>
      </c>
      <c r="I1017" s="450" t="n">
        <f aca="false">'☆掛負収入'!I1017</f>
        <v>3031</v>
      </c>
      <c r="J1017" s="135" t="n">
        <f aca="false">SUM(H1017:I1017)</f>
        <v>6057</v>
      </c>
      <c r="K1017" s="453" t="n">
        <f aca="false">'☆掛負収入'!K1017</f>
        <v>434</v>
      </c>
      <c r="L1017" s="450" t="n">
        <f aca="false">'☆掛負収入'!L1017</f>
        <v>434</v>
      </c>
      <c r="M1017" s="135" t="n">
        <f aca="false">SUM(K1017:L1017)</f>
        <v>868</v>
      </c>
      <c r="N1017" s="453" t="n">
        <f aca="false">'☆掛負収入'!N1017</f>
        <v>1</v>
      </c>
      <c r="O1017" s="450" t="n">
        <f aca="false">'☆掛負収入'!O1017</f>
        <v>1</v>
      </c>
      <c r="P1017" s="135" t="n">
        <f aca="false">SUM(N1017:O1017)</f>
        <v>2</v>
      </c>
    </row>
    <row r="1018" customFormat="false" ht="18.75" hidden="false" customHeight="true" outlineLevel="0" collapsed="false">
      <c r="A1018" s="189" t="str">
        <f aca="false">'☆掛負収入'!A1018</f>
        <v>都市再生機構</v>
      </c>
      <c r="B1018" s="449" t="n">
        <f aca="false">'☆掛負収入'!B1018</f>
        <v>1875</v>
      </c>
      <c r="C1018" s="223" t="n">
        <f aca="false">'☆掛負収入'!C1018</f>
        <v>153</v>
      </c>
      <c r="D1018" s="449" t="n">
        <f aca="false">'☆掛負収入'!D1018</f>
        <v>1876</v>
      </c>
      <c r="E1018" s="453" t="n">
        <f aca="false">'☆掛負収入'!E1018</f>
        <v>153</v>
      </c>
      <c r="F1018" s="450" t="n">
        <f aca="false">'☆掛負収入'!F1018</f>
        <v>2</v>
      </c>
      <c r="G1018" s="668" t="n">
        <f aca="false">SUM(B1018:F1018)</f>
        <v>4059</v>
      </c>
      <c r="H1018" s="448" t="n">
        <f aca="false">'☆掛負収入'!H1018</f>
        <v>1128</v>
      </c>
      <c r="I1018" s="450" t="n">
        <f aca="false">'☆掛負収入'!I1018</f>
        <v>1130</v>
      </c>
      <c r="J1018" s="135" t="n">
        <f aca="false">SUM(H1018:I1018)</f>
        <v>2258</v>
      </c>
      <c r="K1018" s="453" t="n">
        <f aca="false">'☆掛負収入'!K1018</f>
        <v>0</v>
      </c>
      <c r="L1018" s="450" t="n">
        <f aca="false">'☆掛負収入'!L1018</f>
        <v>0</v>
      </c>
      <c r="M1018" s="135" t="n">
        <f aca="false">SUM(K1018:L1018)</f>
        <v>0</v>
      </c>
      <c r="N1018" s="453" t="n">
        <f aca="false">'☆掛負収入'!N1018</f>
        <v>1</v>
      </c>
      <c r="O1018" s="450" t="n">
        <f aca="false">'☆掛負収入'!O1018</f>
        <v>1</v>
      </c>
      <c r="P1018" s="135" t="n">
        <f aca="false">SUM(N1018:O1018)</f>
        <v>2</v>
      </c>
    </row>
    <row r="1019" customFormat="false" ht="18.75" hidden="false" customHeight="true" outlineLevel="0" collapsed="false">
      <c r="A1019" s="121" t="str">
        <f aca="false">'☆掛負収入'!A1019</f>
        <v>広島市立大学</v>
      </c>
      <c r="B1019" s="449" t="n">
        <f aca="false">'☆掛負収入'!B1019</f>
        <v>66200</v>
      </c>
      <c r="C1019" s="223" t="n">
        <f aca="false">'☆掛負収入'!C1019</f>
        <v>5426</v>
      </c>
      <c r="D1019" s="449" t="n">
        <f aca="false">'☆掛負収入'!D1019</f>
        <v>66200</v>
      </c>
      <c r="E1019" s="453" t="n">
        <f aca="false">'☆掛負収入'!E1019</f>
        <v>5426</v>
      </c>
      <c r="F1019" s="450" t="n">
        <f aca="false">'☆掛負収入'!F1019</f>
        <v>71</v>
      </c>
      <c r="G1019" s="668" t="n">
        <f aca="false">SUM(B1019:F1019)</f>
        <v>143323</v>
      </c>
      <c r="H1019" s="448" t="n">
        <f aca="false">'☆掛負収入'!H1019</f>
        <v>39799</v>
      </c>
      <c r="I1019" s="450" t="n">
        <f aca="false">'☆掛負収入'!I1019</f>
        <v>39874</v>
      </c>
      <c r="J1019" s="135" t="n">
        <f aca="false">SUM(H1019:I1019)</f>
        <v>79673</v>
      </c>
      <c r="K1019" s="439" t="n">
        <f aca="false">'☆掛負収入'!K1019</f>
        <v>3368</v>
      </c>
      <c r="L1019" s="424" t="n">
        <f aca="false">'☆掛負収入'!L1019</f>
        <v>3369</v>
      </c>
      <c r="M1019" s="135" t="n">
        <f aca="false">SUM(K1019:L1019)</f>
        <v>6737</v>
      </c>
      <c r="N1019" s="439" t="n">
        <f aca="false">'☆掛負収入'!N1019</f>
        <v>1</v>
      </c>
      <c r="O1019" s="424" t="n">
        <f aca="false">'☆掛負収入'!O1019</f>
        <v>1</v>
      </c>
      <c r="P1019" s="135" t="n">
        <f aca="false">SUM(N1019:O1019)</f>
        <v>2</v>
      </c>
    </row>
    <row r="1020" customFormat="false" ht="18.75" hidden="false" customHeight="true" outlineLevel="0" collapsed="false">
      <c r="A1020" s="121" t="str">
        <f aca="false">'☆掛負収入'!A1020</f>
        <v>社会福祉協議会</v>
      </c>
      <c r="B1020" s="449" t="n">
        <f aca="false">'☆掛負収入'!B1020</f>
        <v>0</v>
      </c>
      <c r="C1020" s="223" t="n">
        <f aca="false">'☆掛負収入'!C1020</f>
        <v>0</v>
      </c>
      <c r="D1020" s="449" t="n">
        <f aca="false">'☆掛負収入'!D1020</f>
        <v>9652</v>
      </c>
      <c r="E1020" s="453" t="n">
        <f aca="false">'☆掛負収入'!E1020</f>
        <v>791</v>
      </c>
      <c r="F1020" s="450" t="n">
        <f aca="false">'☆掛負収入'!F1020</f>
        <v>10</v>
      </c>
      <c r="G1020" s="668" t="n">
        <f aca="false">SUM(B1020:F1020)</f>
        <v>10453</v>
      </c>
      <c r="H1020" s="448" t="n">
        <f aca="false">'☆掛負収入'!H1020</f>
        <v>0</v>
      </c>
      <c r="I1020" s="450" t="n">
        <f aca="false">'☆掛負収入'!I1020</f>
        <v>7853</v>
      </c>
      <c r="J1020" s="135" t="n">
        <f aca="false">SUM(H1020:I1020)</f>
        <v>7853</v>
      </c>
      <c r="K1020" s="439" t="n">
        <f aca="false">'☆掛負収入'!K1020</f>
        <v>0</v>
      </c>
      <c r="L1020" s="424" t="n">
        <f aca="false">'☆掛負収入'!L1020</f>
        <v>513</v>
      </c>
      <c r="M1020" s="135" t="n">
        <f aca="false">SUM(K1020:L1020)</f>
        <v>513</v>
      </c>
      <c r="N1020" s="439" t="n">
        <f aca="false">'☆掛負収入'!N1020</f>
        <v>0</v>
      </c>
      <c r="O1020" s="424" t="n">
        <f aca="false">'☆掛負収入'!O1020</f>
        <v>1</v>
      </c>
      <c r="P1020" s="135" t="n">
        <f aca="false">SUM(N1020:O1020)</f>
        <v>1</v>
      </c>
    </row>
    <row r="1021" customFormat="false" ht="18.75" hidden="false" customHeight="true" outlineLevel="0" collapsed="false">
      <c r="A1021" s="203" t="s">
        <v>418</v>
      </c>
      <c r="B1021" s="451" t="n">
        <f aca="false">'☆掛負収入'!B1023</f>
        <v>0</v>
      </c>
      <c r="C1021" s="445" t="n">
        <f aca="false">'☆掛負収入'!C1023</f>
        <v>0</v>
      </c>
      <c r="D1021" s="451" t="n">
        <f aca="false">'☆掛負収入'!D1023</f>
        <v>0</v>
      </c>
      <c r="E1021" s="462" t="n">
        <f aca="false">'☆掛負収入'!E1023</f>
        <v>0</v>
      </c>
      <c r="F1021" s="453" t="n">
        <f aca="false">'☆掛負収入'!F1023</f>
        <v>0</v>
      </c>
      <c r="G1021" s="668" t="n">
        <f aca="false">SUM(B1021:F1021)</f>
        <v>0</v>
      </c>
      <c r="H1021" s="462" t="n">
        <f aca="false">'☆掛負収入'!H1023</f>
        <v>0</v>
      </c>
      <c r="I1021" s="462" t="n">
        <f aca="false">'☆掛負収入'!I1023</f>
        <v>0</v>
      </c>
      <c r="J1021" s="135" t="n">
        <f aca="false">SUM(H1021:I1021)</f>
        <v>0</v>
      </c>
      <c r="K1021" s="439" t="n">
        <f aca="false">'☆掛負収入'!K1023</f>
        <v>0</v>
      </c>
      <c r="L1021" s="424" t="n">
        <f aca="false">'☆掛負収入'!L1023</f>
        <v>0</v>
      </c>
      <c r="M1021" s="135" t="n">
        <f aca="false">SUM(K1021:L1021)</f>
        <v>0</v>
      </c>
      <c r="N1021" s="439" t="n">
        <f aca="false">'☆掛負収入'!N1023</f>
        <v>0</v>
      </c>
      <c r="O1021" s="424" t="n">
        <f aca="false">'☆掛負収入'!O1023</f>
        <v>0</v>
      </c>
      <c r="P1021" s="135" t="n">
        <f aca="false">SUM(N1021:O1021)</f>
        <v>0</v>
      </c>
    </row>
    <row r="1022" customFormat="false" ht="18.75" hidden="false" customHeight="true" outlineLevel="0" collapsed="false">
      <c r="A1022" s="121" t="str">
        <f aca="false">'☆掛負収入'!A1024</f>
        <v>全国市長会</v>
      </c>
      <c r="B1022" s="451" t="n">
        <f aca="false">'☆掛負収入'!B1024</f>
        <v>0</v>
      </c>
      <c r="C1022" s="445" t="n">
        <f aca="false">'☆掛負収入'!C1024</f>
        <v>0</v>
      </c>
      <c r="D1022" s="451" t="n">
        <f aca="false">'☆掛負収入'!D1024</f>
        <v>0</v>
      </c>
      <c r="E1022" s="462" t="n">
        <f aca="false">'☆掛負収入'!E1024</f>
        <v>0</v>
      </c>
      <c r="F1022" s="453" t="n">
        <f aca="false">'☆掛負収入'!F1024</f>
        <v>0</v>
      </c>
      <c r="G1022" s="668" t="n">
        <f aca="false">SUM(B1022:F1022)</f>
        <v>0</v>
      </c>
      <c r="H1022" s="462" t="n">
        <f aca="false">'☆掛負収入'!H1024</f>
        <v>3906</v>
      </c>
      <c r="I1022" s="462" t="n">
        <f aca="false">'☆掛負収入'!I1024</f>
        <v>3912</v>
      </c>
      <c r="J1022" s="135" t="n">
        <f aca="false">SUM(H1022:I1022)</f>
        <v>7818</v>
      </c>
      <c r="K1022" s="439" t="n">
        <f aca="false">'☆掛負収入'!K1024</f>
        <v>561</v>
      </c>
      <c r="L1022" s="424" t="n">
        <f aca="false">'☆掛負収入'!L1024</f>
        <v>561</v>
      </c>
      <c r="M1022" s="135" t="n">
        <f aca="false">SUM(K1022:L1022)</f>
        <v>1122</v>
      </c>
      <c r="N1022" s="439" t="n">
        <f aca="false">'☆掛負収入'!N1024</f>
        <v>1</v>
      </c>
      <c r="O1022" s="424" t="n">
        <f aca="false">'☆掛負収入'!O1024</f>
        <v>1</v>
      </c>
      <c r="P1022" s="135" t="n">
        <f aca="false">SUM(N1022:O1022)</f>
        <v>2</v>
      </c>
    </row>
    <row r="1023" customFormat="false" ht="18.75" hidden="false" customHeight="true" outlineLevel="0" collapsed="false">
      <c r="A1023" s="208"/>
      <c r="B1023" s="406"/>
      <c r="C1023" s="393"/>
      <c r="D1023" s="406"/>
      <c r="E1023" s="439"/>
      <c r="F1023" s="424"/>
      <c r="G1023" s="668"/>
      <c r="H1023" s="594"/>
      <c r="I1023" s="424"/>
      <c r="J1023" s="135"/>
      <c r="K1023" s="439"/>
      <c r="L1023" s="424"/>
      <c r="M1023" s="135"/>
      <c r="N1023" s="439"/>
      <c r="O1023" s="424"/>
      <c r="P1023" s="135"/>
    </row>
    <row r="1024" customFormat="false" ht="18.75" hidden="false" customHeight="true" outlineLevel="0" collapsed="false">
      <c r="A1024" s="208"/>
      <c r="B1024" s="595"/>
      <c r="C1024" s="366"/>
      <c r="D1024" s="595"/>
      <c r="E1024" s="596"/>
      <c r="F1024" s="407"/>
      <c r="G1024" s="668"/>
      <c r="H1024" s="595"/>
      <c r="I1024" s="440"/>
      <c r="J1024" s="135"/>
      <c r="K1024" s="596"/>
      <c r="L1024" s="440"/>
      <c r="M1024" s="135"/>
      <c r="N1024" s="596"/>
      <c r="O1024" s="440"/>
      <c r="P1024" s="135"/>
    </row>
    <row r="1025" customFormat="false" ht="18.75" hidden="false" customHeight="true" outlineLevel="0" collapsed="false">
      <c r="A1025" s="192"/>
      <c r="B1025" s="406"/>
      <c r="C1025" s="181"/>
      <c r="D1025" s="406"/>
      <c r="E1025" s="592"/>
      <c r="F1025" s="424"/>
      <c r="G1025" s="668"/>
      <c r="H1025" s="406"/>
      <c r="I1025" s="619"/>
      <c r="J1025" s="135"/>
      <c r="K1025" s="592"/>
      <c r="L1025" s="619"/>
      <c r="M1025" s="135"/>
      <c r="N1025" s="592"/>
      <c r="O1025" s="619"/>
      <c r="P1025" s="135"/>
    </row>
    <row r="1026" customFormat="false" ht="18.75" hidden="false" customHeight="true" outlineLevel="0" collapsed="false">
      <c r="A1026" s="192"/>
      <c r="B1026" s="595"/>
      <c r="C1026" s="393"/>
      <c r="D1026" s="596"/>
      <c r="E1026" s="440"/>
      <c r="F1026" s="407"/>
      <c r="G1026" s="392"/>
      <c r="H1026" s="406"/>
      <c r="I1026" s="440"/>
      <c r="J1026" s="135"/>
      <c r="K1026" s="596"/>
      <c r="L1026" s="440"/>
      <c r="M1026" s="135"/>
      <c r="N1026" s="596"/>
      <c r="O1026" s="440"/>
      <c r="P1026" s="135"/>
    </row>
    <row r="1027" customFormat="false" ht="18.75" hidden="false" customHeight="true" outlineLevel="0" collapsed="false">
      <c r="A1027" s="605"/>
      <c r="B1027" s="622"/>
      <c r="C1027" s="253"/>
      <c r="D1027" s="623"/>
      <c r="E1027" s="624"/>
      <c r="F1027" s="670"/>
      <c r="G1027" s="671"/>
      <c r="H1027" s="622"/>
      <c r="I1027" s="623"/>
      <c r="J1027" s="623"/>
      <c r="K1027" s="622"/>
      <c r="L1027" s="623"/>
      <c r="M1027" s="697" t="n">
        <f aca="false">SUM(K1027:L1027)</f>
        <v>0</v>
      </c>
      <c r="N1027" s="622"/>
      <c r="O1027" s="623"/>
      <c r="P1027" s="697" t="n">
        <f aca="false">SUM(N1027:O1027)</f>
        <v>0</v>
      </c>
    </row>
    <row r="1028" customFormat="false" ht="18.75" hidden="false" customHeight="true" outlineLevel="0" collapsed="false">
      <c r="A1028" s="171" t="str">
        <f aca="false">'☆掛負収入'!A1028</f>
        <v>派遣団体　計</v>
      </c>
      <c r="B1028" s="404" t="n">
        <f aca="false">SUM(B998:B1027)</f>
        <v>150650</v>
      </c>
      <c r="C1028" s="175" t="n">
        <f aca="false">SUM(C998:C1027)</f>
        <v>12344</v>
      </c>
      <c r="D1028" s="404" t="n">
        <f aca="false">SUM(D998:D1027)</f>
        <v>466830</v>
      </c>
      <c r="E1028" s="276" t="n">
        <f aca="false">SUM(E998:E1027)</f>
        <v>38259</v>
      </c>
      <c r="F1028" s="175" t="n">
        <f aca="false">SUM(F998:F1027)</f>
        <v>484</v>
      </c>
      <c r="G1028" s="176" t="n">
        <f aca="false">SUM(B1028:F1028)</f>
        <v>668567</v>
      </c>
      <c r="H1028" s="404" t="n">
        <f aca="false">SUM(H998:H1027)</f>
        <v>97753</v>
      </c>
      <c r="I1028" s="174" t="n">
        <f aca="false">SUM(I998:I1027)</f>
        <v>300850</v>
      </c>
      <c r="J1028" s="175" t="n">
        <f aca="false">SUM(H1028:I1028)</f>
        <v>398603</v>
      </c>
      <c r="K1028" s="404" t="n">
        <f aca="false">SUM(K998:K1027)</f>
        <v>8329</v>
      </c>
      <c r="L1028" s="174" t="n">
        <f aca="false">SUM(L998:L1027)</f>
        <v>30542</v>
      </c>
      <c r="M1028" s="173" t="n">
        <f aca="false">SUM(K1028:L1028)</f>
        <v>38871</v>
      </c>
      <c r="N1028" s="404" t="n">
        <f aca="false">SUM(N998:N1027)</f>
        <v>9</v>
      </c>
      <c r="O1028" s="174" t="n">
        <f aca="false">SUM(O998:O1027)</f>
        <v>20</v>
      </c>
      <c r="P1028" s="173" t="n">
        <f aca="false">SUM(N1028:O1028)</f>
        <v>29</v>
      </c>
    </row>
    <row r="1029" customFormat="false" ht="18.75" hidden="true" customHeight="true" outlineLevel="0" collapsed="false">
      <c r="A1029" s="604"/>
      <c r="B1029" s="622"/>
      <c r="C1029" s="253"/>
      <c r="D1029" s="623"/>
      <c r="E1029" s="624"/>
      <c r="F1029" s="625"/>
      <c r="G1029" s="626"/>
      <c r="H1029" s="627"/>
      <c r="I1029" s="628"/>
      <c r="J1029" s="629"/>
      <c r="K1029" s="630"/>
      <c r="L1029" s="631"/>
      <c r="M1029" s="632"/>
      <c r="N1029" s="630"/>
      <c r="O1029" s="631"/>
      <c r="P1029" s="632"/>
    </row>
    <row r="1030" customFormat="false" ht="18.75" hidden="true" customHeight="true" outlineLevel="0" collapsed="false">
      <c r="A1030" s="633"/>
      <c r="B1030" s="606"/>
      <c r="C1030" s="608"/>
      <c r="D1030" s="623"/>
      <c r="E1030" s="624"/>
      <c r="F1030" s="253"/>
      <c r="G1030" s="621"/>
      <c r="H1030" s="634"/>
      <c r="I1030" s="635"/>
      <c r="J1030" s="383"/>
      <c r="K1030" s="636"/>
      <c r="L1030" s="637"/>
      <c r="M1030" s="638"/>
      <c r="N1030" s="636"/>
      <c r="O1030" s="637"/>
      <c r="P1030" s="638"/>
    </row>
    <row r="1031" customFormat="false" ht="18.75" hidden="false" customHeight="true" outlineLevel="0" collapsed="false">
      <c r="A1031" s="189" t="str">
        <f aca="false">'☆掛負収入'!A1031</f>
        <v>高速交通（株）</v>
      </c>
      <c r="B1031" s="464" t="n">
        <f aca="false">'☆掛負収入'!B1031</f>
        <v>4941</v>
      </c>
      <c r="C1031" s="466" t="n">
        <f aca="false">'☆掛負収入'!C1031</f>
        <v>405</v>
      </c>
      <c r="D1031" s="452" t="n">
        <f aca="false">'☆掛負収入'!D1031</f>
        <v>4941</v>
      </c>
      <c r="E1031" s="462" t="n">
        <f aca="false">'☆掛負収入'!E1031</f>
        <v>405</v>
      </c>
      <c r="F1031" s="456" t="n">
        <f aca="false">'☆掛負収入'!F1031</f>
        <v>5</v>
      </c>
      <c r="G1031" s="666" t="n">
        <f aca="false">SUM(B1031:F1031)</f>
        <v>10697</v>
      </c>
      <c r="H1031" s="634"/>
      <c r="I1031" s="635"/>
      <c r="J1031" s="755"/>
      <c r="K1031" s="636"/>
      <c r="L1031" s="637"/>
      <c r="M1031" s="751"/>
      <c r="N1031" s="636"/>
      <c r="O1031" s="637"/>
      <c r="P1031" s="751"/>
    </row>
    <row r="1032" customFormat="false" ht="18.75" hidden="false" customHeight="true" outlineLevel="0" collapsed="false">
      <c r="A1032" s="641" t="s">
        <v>201</v>
      </c>
      <c r="B1032" s="642" t="n">
        <f aca="false">'☆掛負収入'!B1032</f>
        <v>3019</v>
      </c>
      <c r="C1032" s="667" t="n">
        <f aca="false">'☆掛負収入'!C1032</f>
        <v>247</v>
      </c>
      <c r="D1032" s="642" t="n">
        <f aca="false">'☆掛負収入'!D1032</f>
        <v>3019</v>
      </c>
      <c r="E1032" s="467" t="n">
        <f aca="false">'☆掛負収入'!E1032</f>
        <v>247</v>
      </c>
      <c r="F1032" s="470" t="n">
        <f aca="false">'☆掛負収入'!F1032</f>
        <v>3</v>
      </c>
      <c r="G1032" s="746" t="n">
        <f aca="false">SUM(B1032:F1032)</f>
        <v>6535</v>
      </c>
      <c r="H1032" s="634"/>
      <c r="I1032" s="635"/>
      <c r="J1032" s="755"/>
      <c r="K1032" s="636"/>
      <c r="L1032" s="637"/>
      <c r="M1032" s="751"/>
      <c r="N1032" s="636"/>
      <c r="O1032" s="637"/>
      <c r="P1032" s="751"/>
    </row>
    <row r="1033" customFormat="false" ht="18.75" hidden="false" customHeight="true" outlineLevel="0" collapsed="false">
      <c r="A1033" s="171" t="str">
        <f aca="false">'☆掛負収入'!A1033</f>
        <v>株式会社　計</v>
      </c>
      <c r="B1033" s="172" t="n">
        <f aca="false">SUM(B1031:B1032)</f>
        <v>7960</v>
      </c>
      <c r="C1033" s="175" t="n">
        <f aca="false">SUM(C1029:C1032)</f>
        <v>652</v>
      </c>
      <c r="D1033" s="656" t="n">
        <f aca="false">SUM(D1029:D1032)</f>
        <v>7960</v>
      </c>
      <c r="E1033" s="174" t="n">
        <f aca="false">SUM(E1029:E1032)</f>
        <v>652</v>
      </c>
      <c r="F1033" s="176" t="n">
        <f aca="false">SUM(F1029:F1032)</f>
        <v>8</v>
      </c>
      <c r="G1033" s="175" t="n">
        <f aca="false">SUM(B1033:F1033)</f>
        <v>17232</v>
      </c>
      <c r="H1033" s="649"/>
      <c r="I1033" s="652"/>
      <c r="J1033" s="756"/>
      <c r="K1033" s="757"/>
      <c r="L1033" s="758"/>
      <c r="M1033" s="759"/>
      <c r="N1033" s="757"/>
      <c r="O1033" s="758"/>
      <c r="P1033" s="759"/>
    </row>
    <row r="1034" customFormat="false" ht="18.75" hidden="false" customHeight="true" outlineLevel="0" collapsed="false">
      <c r="A1034" s="100" t="str">
        <f aca="false">'☆掛負収入'!A1034</f>
        <v>市職員労働組合</v>
      </c>
      <c r="B1034" s="449" t="n">
        <f aca="false">'☆掛負収入'!B1034</f>
        <v>3385</v>
      </c>
      <c r="C1034" s="223" t="n">
        <f aca="false">'☆掛負収入'!C1034</f>
        <v>277</v>
      </c>
      <c r="D1034" s="445" t="n">
        <f aca="false">'☆掛負収入'!D1034</f>
        <v>3385</v>
      </c>
      <c r="E1034" s="463" t="n">
        <f aca="false">'☆掛負収入'!E1034</f>
        <v>277</v>
      </c>
      <c r="F1034" s="223" t="n">
        <f aca="false">'☆掛負収入'!F1034</f>
        <v>0</v>
      </c>
      <c r="G1034" s="181" t="n">
        <f aca="false">SUM(B1034:F1034)</f>
        <v>7324</v>
      </c>
      <c r="H1034" s="448" t="n">
        <f aca="false">'☆掛負収入'!H1034</f>
        <v>2035</v>
      </c>
      <c r="I1034" s="450" t="n">
        <f aca="false">'☆掛負収入'!I1034</f>
        <v>2039</v>
      </c>
      <c r="J1034" s="135" t="n">
        <f aca="false">SUM(H1034:I1034)</f>
        <v>4074</v>
      </c>
      <c r="K1034" s="451" t="n">
        <f aca="false">'☆掛負収入'!K1034</f>
        <v>292</v>
      </c>
      <c r="L1034" s="462" t="n">
        <f aca="false">'☆掛負収入'!L1034</f>
        <v>292</v>
      </c>
      <c r="M1034" s="446" t="n">
        <f aca="false">'☆掛負収入'!M1034</f>
        <v>584</v>
      </c>
      <c r="N1034" s="451" t="n">
        <f aca="false">'☆掛負収入'!N1034</f>
        <v>1</v>
      </c>
      <c r="O1034" s="462" t="n">
        <f aca="false">'☆掛負収入'!O1034</f>
        <v>1</v>
      </c>
      <c r="P1034" s="446" t="n">
        <f aca="false">'☆掛負収入'!P1034</f>
        <v>2</v>
      </c>
    </row>
    <row r="1035" customFormat="false" ht="18.75" hidden="false" customHeight="true" outlineLevel="0" collapsed="false">
      <c r="A1035" s="100" t="str">
        <f aca="false">'☆掛負収入'!A1035</f>
        <v>自治労労働組合</v>
      </c>
      <c r="B1035" s="449" t="n">
        <f aca="false">'☆掛負収入'!B1035</f>
        <v>0</v>
      </c>
      <c r="C1035" s="377" t="n">
        <f aca="false">'☆掛負収入'!C1035</f>
        <v>0</v>
      </c>
      <c r="D1035" s="449" t="n">
        <f aca="false">'☆掛負収入'!D1035</f>
        <v>0</v>
      </c>
      <c r="E1035" s="463" t="n">
        <f aca="false">'☆掛負収入'!E1035</f>
        <v>0</v>
      </c>
      <c r="F1035" s="223" t="n">
        <f aca="false">'☆掛負収入'!F1035</f>
        <v>0</v>
      </c>
      <c r="G1035" s="181" t="n">
        <f aca="false">SUM(B1035:F1035)</f>
        <v>0</v>
      </c>
      <c r="H1035" s="448" t="n">
        <f aca="false">'☆掛負収入'!H1035</f>
        <v>0</v>
      </c>
      <c r="I1035" s="450" t="n">
        <f aca="false">'☆掛負収入'!I1035</f>
        <v>0</v>
      </c>
      <c r="J1035" s="135" t="n">
        <f aca="false">SUM(H1035:I1035)</f>
        <v>0</v>
      </c>
      <c r="K1035" s="448" t="n">
        <f aca="false">'☆掛負収入'!K1035</f>
        <v>0</v>
      </c>
      <c r="L1035" s="450" t="n">
        <f aca="false">'☆掛負収入'!L1035</f>
        <v>0</v>
      </c>
      <c r="M1035" s="135" t="n">
        <f aca="false">SUM(K1035:L1035)</f>
        <v>0</v>
      </c>
      <c r="N1035" s="448" t="n">
        <f aca="false">'☆掛負収入'!N1035</f>
        <v>0</v>
      </c>
      <c r="O1035" s="450" t="n">
        <f aca="false">'☆掛負収入'!O1035</f>
        <v>0</v>
      </c>
      <c r="P1035" s="135" t="n">
        <f aca="false">SUM(N1035:O1035)</f>
        <v>0</v>
      </c>
    </row>
    <row r="1036" customFormat="false" ht="18.75" hidden="false" customHeight="true" outlineLevel="0" collapsed="false">
      <c r="A1036" s="100" t="str">
        <f aca="false">'☆掛負収入'!A1036</f>
        <v>病院労働組合</v>
      </c>
      <c r="B1036" s="449"/>
      <c r="C1036" s="377"/>
      <c r="D1036" s="449"/>
      <c r="E1036" s="463"/>
      <c r="F1036" s="223"/>
      <c r="G1036" s="181" t="n">
        <f aca="false">SUM(B1036:F1036)</f>
        <v>0</v>
      </c>
      <c r="H1036" s="448"/>
      <c r="I1036" s="450"/>
      <c r="J1036" s="135" t="n">
        <f aca="false">SUM(H1036:I1036)</f>
        <v>0</v>
      </c>
      <c r="K1036" s="448"/>
      <c r="L1036" s="450"/>
      <c r="M1036" s="135" t="n">
        <f aca="false">SUM(K1036:L1036)</f>
        <v>0</v>
      </c>
      <c r="N1036" s="448"/>
      <c r="O1036" s="450"/>
      <c r="P1036" s="135" t="n">
        <f aca="false">SUM(N1036:O1036)</f>
        <v>0</v>
      </c>
    </row>
    <row r="1037" customFormat="false" ht="18.75" hidden="false" customHeight="true" outlineLevel="0" collapsed="false">
      <c r="A1037" s="277" t="str">
        <f aca="false">'☆掛負収入'!A1037</f>
        <v>水道労働組合</v>
      </c>
      <c r="B1037" s="491"/>
      <c r="C1037" s="492"/>
      <c r="D1037" s="491"/>
      <c r="E1037" s="467"/>
      <c r="F1037" s="495"/>
      <c r="G1037" s="181" t="n">
        <f aca="false">SUM(B1037:F1037)</f>
        <v>0</v>
      </c>
      <c r="H1037" s="496"/>
      <c r="I1037" s="494"/>
      <c r="J1037" s="135" t="n">
        <f aca="false">SUM(H1037:I1037)</f>
        <v>0</v>
      </c>
      <c r="K1037" s="642"/>
      <c r="L1037" s="493"/>
      <c r="M1037" s="135" t="n">
        <f aca="false">SUM(K1037:L1037)</f>
        <v>0</v>
      </c>
      <c r="N1037" s="642"/>
      <c r="O1037" s="493"/>
      <c r="P1037" s="135" t="n">
        <f aca="false">SUM(N1037:O1037)</f>
        <v>0</v>
      </c>
    </row>
    <row r="1038" customFormat="false" ht="18.75" hidden="false" customHeight="true" outlineLevel="0" collapsed="false">
      <c r="A1038" s="171" t="str">
        <f aca="false">'☆掛負収入'!A1038</f>
        <v>労働組合　計</v>
      </c>
      <c r="B1038" s="404" t="n">
        <f aca="false">SUM(B1034:B1037)</f>
        <v>3385</v>
      </c>
      <c r="C1038" s="175" t="n">
        <f aca="false">SUM(C1034:C1037)</f>
        <v>277</v>
      </c>
      <c r="D1038" s="404" t="n">
        <f aca="false">SUM(D1034:D1037)</f>
        <v>3385</v>
      </c>
      <c r="E1038" s="174" t="n">
        <f aca="false">SUM(E1034:E1037)</f>
        <v>277</v>
      </c>
      <c r="F1038" s="173" t="n">
        <f aca="false">SUM(F1034:F1037)</f>
        <v>0</v>
      </c>
      <c r="G1038" s="172" t="n">
        <f aca="false">SUM(B1038:F1038)</f>
        <v>7324</v>
      </c>
      <c r="H1038" s="404" t="n">
        <f aca="false">SUM(H1034:H1037)</f>
        <v>2035</v>
      </c>
      <c r="I1038" s="174" t="n">
        <f aca="false">SUM(I1034:I1037)</f>
        <v>2039</v>
      </c>
      <c r="J1038" s="175" t="n">
        <f aca="false">SUM(H1038:I1038)</f>
        <v>4074</v>
      </c>
      <c r="K1038" s="173" t="n">
        <f aca="false">SUM(K1034:K1037)</f>
        <v>292</v>
      </c>
      <c r="L1038" s="173" t="n">
        <f aca="false">SUM(L1034:L1037)</f>
        <v>292</v>
      </c>
      <c r="M1038" s="175" t="n">
        <f aca="false">SUM(K1038:L1038)</f>
        <v>584</v>
      </c>
      <c r="N1038" s="173" t="n">
        <f aca="false">SUM(N1034:N1037)</f>
        <v>1</v>
      </c>
      <c r="O1038" s="173" t="n">
        <f aca="false">SUM(O1034:O1037)</f>
        <v>1</v>
      </c>
      <c r="P1038" s="175" t="n">
        <f aca="false">SUM(N1038:O1038)</f>
        <v>2</v>
      </c>
    </row>
    <row r="1039" customFormat="false" ht="18.75" hidden="false" customHeight="true" outlineLevel="0" collapsed="false">
      <c r="A1039" s="277" t="str">
        <f aca="false">'☆掛負収入'!A1039</f>
        <v>任意継続組合員</v>
      </c>
      <c r="B1039" s="256"/>
      <c r="C1039" s="498"/>
      <c r="D1039" s="499"/>
      <c r="E1039" s="500"/>
      <c r="F1039" s="271"/>
      <c r="G1039" s="268"/>
      <c r="H1039" s="653"/>
      <c r="I1039" s="257"/>
      <c r="J1039" s="257"/>
      <c r="K1039" s="672"/>
      <c r="L1039" s="654"/>
      <c r="M1039" s="267"/>
      <c r="N1039" s="672"/>
      <c r="O1039" s="654"/>
      <c r="P1039" s="267"/>
    </row>
    <row r="1040" customFormat="false" ht="30" hidden="false" customHeight="true" outlineLevel="0" collapsed="false">
      <c r="A1040" s="655" t="str">
        <f aca="false">'☆掛負収入'!A1040</f>
        <v>総　　計</v>
      </c>
      <c r="B1040" s="404" t="n">
        <f aca="false">SUM(B997+B1028+B1033+B1038)</f>
        <v>161995</v>
      </c>
      <c r="C1040" s="175" t="n">
        <f aca="false">SUM(C997+C1028+C1033+C1038)</f>
        <v>13273</v>
      </c>
      <c r="D1040" s="656" t="n">
        <f aca="false">SUM(D997+D1028+D1033+D1038)</f>
        <v>478175</v>
      </c>
      <c r="E1040" s="174" t="n">
        <f aca="false">SUM(E997+E1028+E1033+E1038)</f>
        <v>39188</v>
      </c>
      <c r="F1040" s="176" t="n">
        <f aca="false">SUM(F997+F1028+F1033+F1038)</f>
        <v>492</v>
      </c>
      <c r="G1040" s="172" t="n">
        <f aca="false">SUM(B1040:F1040)</f>
        <v>693123</v>
      </c>
      <c r="H1040" s="404" t="n">
        <f aca="false">SUM(H997+H1028+H1033+H1038+H1039)</f>
        <v>99788</v>
      </c>
      <c r="I1040" s="174" t="n">
        <f aca="false">SUM(I997+I1028+I1033+I1038+I1039)</f>
        <v>302889</v>
      </c>
      <c r="J1040" s="175" t="n">
        <f aca="false">SUM(H1040:I1040)</f>
        <v>402677</v>
      </c>
      <c r="K1040" s="173" t="n">
        <f aca="false">K997+K1028+K1033+K1038+K1039</f>
        <v>8621</v>
      </c>
      <c r="L1040" s="173" t="n">
        <f aca="false">L997+L1028+L1033+L1038</f>
        <v>30834</v>
      </c>
      <c r="M1040" s="175" t="n">
        <f aca="false">SUM(K1040:L1040)</f>
        <v>39455</v>
      </c>
      <c r="N1040" s="173" t="n">
        <f aca="false">N997+N1028+N1033+N1038+N1039</f>
        <v>10</v>
      </c>
      <c r="O1040" s="173" t="n">
        <f aca="false">O997+O1028+O1033+O1038</f>
        <v>21</v>
      </c>
      <c r="P1040" s="175" t="n">
        <f aca="false">SUM(N1040:O1040)</f>
        <v>31</v>
      </c>
    </row>
    <row r="1041" customFormat="false" ht="18.75" hidden="false" customHeight="true" outlineLevel="0" collapsed="false">
      <c r="A1041" s="315"/>
      <c r="B1041" s="316"/>
      <c r="C1041" s="316"/>
      <c r="D1041" s="316"/>
      <c r="E1041" s="316"/>
      <c r="F1041" s="316"/>
      <c r="G1041" s="316"/>
      <c r="H1041" s="316"/>
      <c r="I1041" s="316"/>
      <c r="J1041" s="316"/>
      <c r="K1041" s="316"/>
      <c r="L1041" s="316"/>
      <c r="M1041" s="316"/>
      <c r="N1041" s="316"/>
      <c r="O1041" s="316"/>
      <c r="P1041" s="316"/>
    </row>
    <row r="1042" customFormat="false" ht="30" hidden="false" customHeight="true" outlineLevel="0" collapsed="false">
      <c r="A1042" s="295"/>
      <c r="B1042" s="752" t="str">
        <f aca="false">'☆掛負収入'!B1042</f>
        <v>令和8年度</v>
      </c>
      <c r="C1042" s="752"/>
      <c r="D1042" s="753" t="str">
        <f aca="false">'☆掛負収入'!D1042</f>
        <v>給与改定差額分（賞与）　12月分 </v>
      </c>
      <c r="E1042" s="753"/>
      <c r="F1042" s="753"/>
      <c r="G1042" s="753"/>
      <c r="H1042" s="752" t="str">
        <f aca="false">B1042</f>
        <v>令和8年度</v>
      </c>
      <c r="I1042" s="754" t="str">
        <f aca="false">D1042</f>
        <v>給与改定差額分（賞与）　12月分 </v>
      </c>
      <c r="J1042" s="754"/>
      <c r="K1042" s="752" t="str">
        <f aca="false">H1042</f>
        <v>令和8年度</v>
      </c>
      <c r="L1042" s="754" t="str">
        <f aca="false">I1042</f>
        <v>給与改定差額分（賞与）　12月分 </v>
      </c>
      <c r="M1042" s="754"/>
      <c r="N1042" s="752" t="str">
        <f aca="false">K1042</f>
        <v>令和8年度</v>
      </c>
      <c r="O1042" s="754" t="str">
        <f aca="false">L1042</f>
        <v>給与改定差額分（賞与）　12月分 </v>
      </c>
      <c r="P1042" s="754"/>
    </row>
    <row r="1043" customFormat="false" ht="22.5" hidden="false" customHeight="true" outlineLevel="0" collapsed="false">
      <c r="A1043" s="89" t="str">
        <f aca="false">'☆掛負収入'!A1043</f>
        <v>区　　分</v>
      </c>
      <c r="B1043" s="89" t="str">
        <f aca="false">'☆掛負収入'!B1043</f>
        <v>長　期　経　理</v>
      </c>
      <c r="C1043" s="89" t="n">
        <f aca="false">'☆掛負収入'!C1043</f>
        <v>0</v>
      </c>
      <c r="D1043" s="89" t="n">
        <f aca="false">'☆掛負収入'!D1043</f>
        <v>0</v>
      </c>
      <c r="E1043" s="89" t="n">
        <f aca="false">'☆掛負収入'!E1043</f>
        <v>0</v>
      </c>
      <c r="F1043" s="89" t="n">
        <f aca="false">'☆掛負収入'!F1043</f>
        <v>0</v>
      </c>
      <c r="G1043" s="89" t="n">
        <f aca="false">'☆掛負収入'!G1043</f>
        <v>0</v>
      </c>
      <c r="H1043" s="91" t="str">
        <f aca="false">'☆掛負収入'!H1043</f>
        <v>短　期　経　理</v>
      </c>
      <c r="I1043" s="91" t="n">
        <f aca="false">'☆掛負収入'!I1043</f>
        <v>0</v>
      </c>
      <c r="J1043" s="91" t="n">
        <f aca="false">'☆掛負収入'!J1043</f>
        <v>0</v>
      </c>
      <c r="K1043" s="91" t="str">
        <f aca="false">'☆掛負収入'!K1043</f>
        <v>介　護　納　付　金</v>
      </c>
      <c r="L1043" s="91" t="n">
        <f aca="false">'☆掛負収入'!L1043</f>
        <v>0</v>
      </c>
      <c r="M1043" s="91" t="n">
        <f aca="false">'☆掛負収入'!M1043</f>
        <v>0</v>
      </c>
      <c r="N1043" s="91" t="str">
        <f aca="false">'☆掛負収入'!N1043</f>
        <v>子ども・子育て支援納付金</v>
      </c>
      <c r="O1043" s="91" t="n">
        <f aca="false">'☆掛負収入'!O1043</f>
        <v>0</v>
      </c>
      <c r="P1043" s="91" t="n">
        <f aca="false">'☆掛負収入'!P1043</f>
        <v>0</v>
      </c>
    </row>
    <row r="1044" customFormat="false" ht="22.5" hidden="false" customHeight="true" outlineLevel="0" collapsed="false">
      <c r="A1044" s="89" t="n">
        <f aca="false">'☆掛負収入'!A1044</f>
        <v>0</v>
      </c>
      <c r="B1044" s="92" t="str">
        <f aca="false">'☆掛負収入'!B1044</f>
        <v>組合員負担分</v>
      </c>
      <c r="C1044" s="92" t="n">
        <f aca="false">'☆掛負収入'!C1044</f>
        <v>0</v>
      </c>
      <c r="D1044" s="92" t="str">
        <f aca="false">'☆掛負収入'!D1044</f>
        <v>事業主負担分</v>
      </c>
      <c r="E1044" s="92" t="n">
        <f aca="false">'☆掛負収入'!E1044</f>
        <v>0</v>
      </c>
      <c r="F1044" s="92" t="n">
        <f aca="false">'☆掛負収入'!F1044</f>
        <v>0</v>
      </c>
      <c r="G1044" s="586" t="str">
        <f aca="false">'☆掛負収入'!G1044</f>
        <v>計</v>
      </c>
      <c r="H1044" s="96" t="str">
        <f aca="false">'☆掛負収入'!H1044</f>
        <v>掛　金</v>
      </c>
      <c r="I1044" s="94" t="str">
        <f aca="false">'☆掛負収入'!I1044</f>
        <v>負担金</v>
      </c>
      <c r="J1044" s="95" t="str">
        <f aca="false">'☆掛負収入'!J1044</f>
        <v>計</v>
      </c>
      <c r="K1044" s="96" t="str">
        <f aca="false">'☆掛負収入'!K1044</f>
        <v>掛　金</v>
      </c>
      <c r="L1044" s="94" t="str">
        <f aca="false">'☆掛負収入'!L1044</f>
        <v>負担金</v>
      </c>
      <c r="M1044" s="95" t="str">
        <f aca="false">'☆掛負収入'!M1044</f>
        <v>計</v>
      </c>
      <c r="N1044" s="96" t="str">
        <f aca="false">'☆掛負収入'!N1044</f>
        <v>掛　金</v>
      </c>
      <c r="O1044" s="94" t="str">
        <f aca="false">'☆掛負収入'!O1044</f>
        <v>負担金</v>
      </c>
      <c r="P1044" s="95" t="str">
        <f aca="false">'☆掛負収入'!P1044</f>
        <v>計</v>
      </c>
    </row>
    <row r="1045" customFormat="false" ht="22.5" hidden="false" customHeight="true" outlineLevel="0" collapsed="false">
      <c r="A1045" s="89" t="n">
        <f aca="false">'☆掛負収入'!A1045</f>
        <v>0</v>
      </c>
      <c r="B1045" s="587" t="str">
        <f aca="false">'☆掛負収入'!B1045</f>
        <v>厚生年金保険料</v>
      </c>
      <c r="C1045" s="588" t="str">
        <f aca="false">'☆掛負収入'!C1045</f>
        <v>退職等年金掛金</v>
      </c>
      <c r="D1045" s="589" t="str">
        <f aca="false">'☆掛負収入'!D1045</f>
        <v>厚生年金保険料</v>
      </c>
      <c r="E1045" s="589" t="str">
        <f aca="false">'☆掛負収入'!E1045</f>
        <v>退職等年金負担金</v>
      </c>
      <c r="F1045" s="590" t="str">
        <f aca="false">'☆掛負収入'!F1045</f>
        <v>経過的長期</v>
      </c>
      <c r="G1045" s="586" t="n">
        <f aca="false">'☆掛負収入'!G1045</f>
        <v>0</v>
      </c>
      <c r="H1045" s="96" t="n">
        <f aca="false">'☆掛負収入'!H1045</f>
        <v>0</v>
      </c>
      <c r="I1045" s="94" t="n">
        <f aca="false">'☆掛負収入'!I1045</f>
        <v>0</v>
      </c>
      <c r="J1045" s="95" t="n">
        <f aca="false">'☆掛負収入'!J1045</f>
        <v>0</v>
      </c>
      <c r="K1045" s="96" t="n">
        <f aca="false">'☆掛負収入'!K1045</f>
        <v>0</v>
      </c>
      <c r="L1045" s="94" t="n">
        <f aca="false">'☆掛負収入'!L1045</f>
        <v>0</v>
      </c>
      <c r="M1045" s="95" t="n">
        <f aca="false">'☆掛負収入'!M1045</f>
        <v>0</v>
      </c>
      <c r="N1045" s="96" t="n">
        <f aca="false">'☆掛負収入'!N1045</f>
        <v>0</v>
      </c>
      <c r="O1045" s="94" t="n">
        <f aca="false">'☆掛負収入'!O1045</f>
        <v>0</v>
      </c>
      <c r="P1045" s="95" t="n">
        <f aca="false">'☆掛負収入'!P1045</f>
        <v>0</v>
      </c>
    </row>
    <row r="1046" customFormat="false" ht="18.75" hidden="false" customHeight="true" outlineLevel="0" collapsed="false">
      <c r="A1046" s="100" t="str">
        <f aca="false">'☆掛負収入'!A1046</f>
        <v>市長部局</v>
      </c>
      <c r="B1046" s="591"/>
      <c r="C1046" s="364"/>
      <c r="D1046" s="592"/>
      <c r="E1046" s="592"/>
      <c r="F1046" s="184"/>
      <c r="G1046" s="364"/>
      <c r="H1046" s="591"/>
      <c r="I1046" s="593"/>
      <c r="J1046" s="181"/>
      <c r="K1046" s="594"/>
      <c r="L1046" s="593"/>
      <c r="M1046" s="181"/>
      <c r="N1046" s="594"/>
      <c r="O1046" s="593"/>
      <c r="P1046" s="181"/>
    </row>
    <row r="1047" customFormat="false" ht="18.75" hidden="false" customHeight="true" outlineLevel="0" collapsed="false">
      <c r="A1047" s="100" t="str">
        <f aca="false">'☆掛負収入'!A1047</f>
        <v>下水道局</v>
      </c>
      <c r="B1047" s="406"/>
      <c r="C1047" s="181"/>
      <c r="D1047" s="592"/>
      <c r="E1047" s="592"/>
      <c r="F1047" s="135"/>
      <c r="G1047" s="181"/>
      <c r="H1047" s="594"/>
      <c r="I1047" s="424"/>
      <c r="J1047" s="135"/>
      <c r="K1047" s="595"/>
      <c r="L1047" s="596"/>
      <c r="M1047" s="135"/>
      <c r="N1047" s="595"/>
      <c r="O1047" s="596"/>
      <c r="P1047" s="135"/>
    </row>
    <row r="1048" customFormat="false" ht="18.75" hidden="false" customHeight="true" outlineLevel="0" collapsed="false">
      <c r="A1048" s="100" t="str">
        <f aca="false">'☆掛負収入'!A1048</f>
        <v>消防局</v>
      </c>
      <c r="B1048" s="406"/>
      <c r="C1048" s="181"/>
      <c r="D1048" s="592"/>
      <c r="E1048" s="592"/>
      <c r="F1048" s="135"/>
      <c r="G1048" s="181"/>
      <c r="H1048" s="595"/>
      <c r="I1048" s="439"/>
      <c r="J1048" s="135"/>
      <c r="K1048" s="595"/>
      <c r="L1048" s="439"/>
      <c r="M1048" s="135"/>
      <c r="N1048" s="595"/>
      <c r="O1048" s="439"/>
      <c r="P1048" s="135"/>
    </row>
    <row r="1049" customFormat="false" ht="18.75" hidden="false" customHeight="true" outlineLevel="0" collapsed="false">
      <c r="A1049" s="100" t="str">
        <f aca="false">'☆掛負収入'!A1049</f>
        <v>議会事務局</v>
      </c>
      <c r="B1049" s="406"/>
      <c r="C1049" s="181"/>
      <c r="D1049" s="592"/>
      <c r="E1049" s="592"/>
      <c r="F1049" s="135"/>
      <c r="G1049" s="181"/>
      <c r="H1049" s="406"/>
      <c r="I1049" s="439"/>
      <c r="J1049" s="135"/>
      <c r="K1049" s="406"/>
      <c r="L1049" s="439"/>
      <c r="M1049" s="135"/>
      <c r="N1049" s="406"/>
      <c r="O1049" s="439"/>
      <c r="P1049" s="135"/>
    </row>
    <row r="1050" customFormat="false" ht="18.75" hidden="false" customHeight="true" outlineLevel="0" collapsed="false">
      <c r="A1050" s="100" t="str">
        <f aca="false">'☆掛負収入'!A1050</f>
        <v>教育委員会（総務課）</v>
      </c>
      <c r="B1050" s="406"/>
      <c r="C1050" s="181"/>
      <c r="D1050" s="592"/>
      <c r="E1050" s="592"/>
      <c r="F1050" s="135"/>
      <c r="G1050" s="181"/>
      <c r="H1050" s="406"/>
      <c r="I1050" s="439"/>
      <c r="J1050" s="135"/>
      <c r="K1050" s="406"/>
      <c r="L1050" s="439"/>
      <c r="M1050" s="135"/>
      <c r="N1050" s="406"/>
      <c r="O1050" s="439"/>
      <c r="P1050" s="135"/>
    </row>
    <row r="1051" customFormat="false" ht="18.75" hidden="false" customHeight="true" outlineLevel="0" collapsed="false">
      <c r="A1051" s="100" t="str">
        <f aca="false">'☆掛負収入'!A1051</f>
        <v>選挙管理委員会</v>
      </c>
      <c r="B1051" s="406"/>
      <c r="C1051" s="181"/>
      <c r="D1051" s="592"/>
      <c r="E1051" s="592"/>
      <c r="F1051" s="135"/>
      <c r="G1051" s="181"/>
      <c r="H1051" s="594"/>
      <c r="I1051" s="424"/>
      <c r="J1051" s="135"/>
      <c r="K1051" s="406"/>
      <c r="L1051" s="439"/>
      <c r="M1051" s="135"/>
      <c r="N1051" s="406"/>
      <c r="O1051" s="439"/>
      <c r="P1051" s="135"/>
    </row>
    <row r="1052" customFormat="false" ht="18.75" hidden="false" customHeight="true" outlineLevel="0" collapsed="false">
      <c r="A1052" s="100" t="str">
        <f aca="false">'☆掛負収入'!A1052</f>
        <v>人事委員会</v>
      </c>
      <c r="B1052" s="406"/>
      <c r="C1052" s="181"/>
      <c r="D1052" s="592"/>
      <c r="E1052" s="592"/>
      <c r="F1052" s="135"/>
      <c r="G1052" s="181"/>
      <c r="H1052" s="594"/>
      <c r="I1052" s="424"/>
      <c r="J1052" s="135"/>
      <c r="K1052" s="594"/>
      <c r="L1052" s="424"/>
      <c r="M1052" s="135"/>
      <c r="N1052" s="594"/>
      <c r="O1052" s="424"/>
      <c r="P1052" s="135"/>
    </row>
    <row r="1053" customFormat="false" ht="18.75" hidden="false" customHeight="true" outlineLevel="0" collapsed="false">
      <c r="A1053" s="100" t="str">
        <f aca="false">'☆掛負収入'!A1053</f>
        <v>監査事務局</v>
      </c>
      <c r="B1053" s="406"/>
      <c r="C1053" s="181"/>
      <c r="D1053" s="592"/>
      <c r="E1053" s="592"/>
      <c r="F1053" s="135"/>
      <c r="G1053" s="181"/>
      <c r="H1053" s="594"/>
      <c r="I1053" s="424"/>
      <c r="J1053" s="135"/>
      <c r="K1053" s="594"/>
      <c r="L1053" s="424"/>
      <c r="M1053" s="135"/>
      <c r="N1053" s="594"/>
      <c r="O1053" s="424"/>
      <c r="P1053" s="135"/>
    </row>
    <row r="1054" customFormat="false" ht="18.75" hidden="false" customHeight="true" outlineLevel="0" collapsed="false">
      <c r="A1054" s="100" t="str">
        <f aca="false">'☆掛負収入'!A1054</f>
        <v>農業委員会</v>
      </c>
      <c r="B1054" s="406"/>
      <c r="C1054" s="181"/>
      <c r="D1054" s="592"/>
      <c r="E1054" s="592"/>
      <c r="F1054" s="135"/>
      <c r="G1054" s="181"/>
      <c r="H1054" s="594"/>
      <c r="I1054" s="424"/>
      <c r="J1054" s="135"/>
      <c r="K1054" s="594"/>
      <c r="L1054" s="424"/>
      <c r="M1054" s="135"/>
      <c r="N1054" s="594"/>
      <c r="O1054" s="424"/>
      <c r="P1054" s="135"/>
    </row>
    <row r="1055" customFormat="false" ht="18.75" hidden="false" customHeight="true" outlineLevel="0" collapsed="false">
      <c r="A1055" s="100" t="str">
        <f aca="false">'☆掛負収入'!A1055</f>
        <v>水道局</v>
      </c>
      <c r="B1055" s="406"/>
      <c r="C1055" s="181"/>
      <c r="D1055" s="592"/>
      <c r="E1055" s="592"/>
      <c r="F1055" s="135"/>
      <c r="G1055" s="181"/>
      <c r="H1055" s="594"/>
      <c r="I1055" s="424"/>
      <c r="J1055" s="135"/>
      <c r="K1055" s="594"/>
      <c r="L1055" s="424"/>
      <c r="M1055" s="135"/>
      <c r="N1055" s="594"/>
      <c r="O1055" s="424"/>
      <c r="P1055" s="135"/>
    </row>
    <row r="1056" customFormat="false" ht="18.75" hidden="false" customHeight="true" outlineLevel="0" collapsed="false">
      <c r="A1056" s="121" t="str">
        <f aca="false">'☆掛負収入'!A1056</f>
        <v>医療政策課(安芸市民)</v>
      </c>
      <c r="B1056" s="595"/>
      <c r="C1056" s="366"/>
      <c r="D1056" s="595"/>
      <c r="E1056" s="596"/>
      <c r="F1056" s="393"/>
      <c r="G1056" s="181"/>
      <c r="H1056" s="597"/>
      <c r="I1056" s="407"/>
      <c r="J1056" s="135"/>
      <c r="K1056" s="594"/>
      <c r="L1056" s="424"/>
      <c r="M1056" s="135"/>
      <c r="N1056" s="594"/>
      <c r="O1056" s="424"/>
      <c r="P1056" s="135"/>
    </row>
    <row r="1057" customFormat="false" ht="18.75" hidden="false" customHeight="true" outlineLevel="0" collapsed="false">
      <c r="A1057" s="121" t="str">
        <f aca="false">'☆掛負収入'!A1057</f>
        <v>教育委員会（教育給与課）</v>
      </c>
      <c r="B1057" s="595"/>
      <c r="C1057" s="181"/>
      <c r="D1057" s="406"/>
      <c r="E1057" s="760"/>
      <c r="F1057" s="380"/>
      <c r="G1057" s="181"/>
      <c r="H1057" s="594"/>
      <c r="I1057" s="424"/>
      <c r="J1057" s="135"/>
      <c r="K1057" s="594"/>
      <c r="L1057" s="424"/>
      <c r="M1057" s="135"/>
      <c r="N1057" s="594"/>
      <c r="O1057" s="424"/>
      <c r="P1057" s="135"/>
    </row>
    <row r="1058" customFormat="false" ht="18.75" hidden="true" customHeight="true" outlineLevel="0" collapsed="false">
      <c r="A1058" s="599"/>
      <c r="B1058" s="600"/>
      <c r="C1058" s="210"/>
      <c r="D1058" s="600"/>
      <c r="E1058" s="458"/>
      <c r="F1058" s="459"/>
      <c r="G1058" s="687"/>
      <c r="H1058" s="602"/>
      <c r="I1058" s="603"/>
      <c r="J1058" s="603"/>
      <c r="K1058" s="602"/>
      <c r="L1058" s="603"/>
      <c r="M1058" s="195"/>
      <c r="N1058" s="602"/>
      <c r="O1058" s="603"/>
      <c r="P1058" s="195"/>
    </row>
    <row r="1059" customFormat="false" ht="18.75" hidden="true" customHeight="true" outlineLevel="0" collapsed="false">
      <c r="A1059" s="604"/>
      <c r="B1059" s="457"/>
      <c r="C1059" s="132"/>
      <c r="D1059" s="457"/>
      <c r="E1059" s="458"/>
      <c r="F1059" s="459"/>
      <c r="G1059" s="435"/>
      <c r="H1059" s="457"/>
      <c r="I1059" s="458"/>
      <c r="J1059" s="458"/>
      <c r="K1059" s="457"/>
      <c r="L1059" s="458"/>
      <c r="M1059" s="130"/>
      <c r="N1059" s="457"/>
      <c r="O1059" s="458"/>
      <c r="P1059" s="130"/>
    </row>
    <row r="1060" customFormat="false" ht="18.75" hidden="true" customHeight="true" outlineLevel="0" collapsed="false">
      <c r="A1060" s="604"/>
      <c r="B1060" s="600"/>
      <c r="C1060" s="210"/>
      <c r="D1060" s="600"/>
      <c r="E1060" s="601"/>
      <c r="F1060" s="196"/>
      <c r="G1060" s="687"/>
      <c r="H1060" s="600"/>
      <c r="I1060" s="601"/>
      <c r="J1060" s="601"/>
      <c r="K1060" s="600"/>
      <c r="L1060" s="601"/>
      <c r="M1060" s="696"/>
      <c r="N1060" s="600"/>
      <c r="O1060" s="601"/>
      <c r="P1060" s="696"/>
    </row>
    <row r="1061" customFormat="false" ht="18.75" hidden="true" customHeight="true" outlineLevel="0" collapsed="false">
      <c r="A1061" s="605"/>
      <c r="B1061" s="606"/>
      <c r="C1061" s="607"/>
      <c r="D1061" s="606"/>
      <c r="E1061" s="490"/>
      <c r="F1061" s="608"/>
      <c r="G1061" s="689"/>
      <c r="H1061" s="457"/>
      <c r="I1061" s="609"/>
      <c r="J1061" s="609"/>
      <c r="K1061" s="457"/>
      <c r="L1061" s="458"/>
      <c r="M1061" s="130"/>
      <c r="N1061" s="457"/>
      <c r="O1061" s="458"/>
      <c r="P1061" s="130"/>
    </row>
    <row r="1062" customFormat="false" ht="18.75" hidden="false" customHeight="true" outlineLevel="0" collapsed="false">
      <c r="A1062" s="171" t="str">
        <f aca="false">'☆掛負収入'!A1062</f>
        <v>市長部局等　計</v>
      </c>
      <c r="B1062" s="404"/>
      <c r="C1062" s="174"/>
      <c r="D1062" s="404"/>
      <c r="E1062" s="174"/>
      <c r="F1062" s="175"/>
      <c r="G1062" s="176"/>
      <c r="H1062" s="404"/>
      <c r="I1062" s="174"/>
      <c r="J1062" s="173"/>
      <c r="K1062" s="404"/>
      <c r="L1062" s="174"/>
      <c r="M1062" s="173"/>
      <c r="N1062" s="404"/>
      <c r="O1062" s="174"/>
      <c r="P1062" s="173"/>
    </row>
    <row r="1063" customFormat="false" ht="18.75" hidden="false" customHeight="true" outlineLevel="0" collapsed="false">
      <c r="A1063" s="177" t="str">
        <f aca="false">'☆掛負収入'!A1063</f>
        <v>地方税共同機構</v>
      </c>
      <c r="B1063" s="449" t="n">
        <f aca="false">'☆掛負収入'!B1063</f>
        <v>0</v>
      </c>
      <c r="C1063" s="377" t="n">
        <f aca="false">'☆掛負収入'!C1063</f>
        <v>0</v>
      </c>
      <c r="D1063" s="469" t="n">
        <f aca="false">'☆掛負収入'!D1063</f>
        <v>0</v>
      </c>
      <c r="E1063" s="463" t="n">
        <f aca="false">'☆掛負収入'!E1063</f>
        <v>0</v>
      </c>
      <c r="F1063" s="450" t="n">
        <f aca="false">'☆掛負収入'!F1063</f>
        <v>0</v>
      </c>
      <c r="G1063" s="666" t="n">
        <f aca="false">SUM(B1063:F1063)</f>
        <v>0</v>
      </c>
      <c r="H1063" s="594" t="n">
        <f aca="false">'☆掛負収入'!H1063</f>
        <v>0</v>
      </c>
      <c r="I1063" s="424" t="n">
        <f aca="false">'☆掛負収入'!I1063</f>
        <v>0</v>
      </c>
      <c r="J1063" s="135" t="n">
        <f aca="false">SUM(H1063:I1063)</f>
        <v>0</v>
      </c>
      <c r="K1063" s="439" t="n">
        <f aca="false">'☆掛負収入'!K1063</f>
        <v>0</v>
      </c>
      <c r="L1063" s="424" t="n">
        <f aca="false">'☆掛負収入'!L1063</f>
        <v>0</v>
      </c>
      <c r="M1063" s="135" t="n">
        <f aca="false">SUM(K1063:L1063)</f>
        <v>0</v>
      </c>
      <c r="N1063" s="439" t="n">
        <f aca="false">'☆掛負収入'!N1063</f>
        <v>0</v>
      </c>
      <c r="O1063" s="424" t="n">
        <f aca="false">'☆掛負収入'!O1063</f>
        <v>0</v>
      </c>
      <c r="P1063" s="135" t="n">
        <f aca="false">SUM(N1063:O1063)</f>
        <v>0</v>
      </c>
    </row>
    <row r="1064" customFormat="false" ht="18.75" hidden="false" customHeight="true" outlineLevel="0" collapsed="false">
      <c r="A1064" s="100" t="str">
        <f aca="false">'☆掛負収入'!A1064</f>
        <v>平和文化センター</v>
      </c>
      <c r="B1064" s="449" t="n">
        <f aca="false">'☆掛負収入'!B1064</f>
        <v>0</v>
      </c>
      <c r="C1064" s="377" t="n">
        <f aca="false">'☆掛負収入'!C1064</f>
        <v>0</v>
      </c>
      <c r="D1064" s="464" t="n">
        <f aca="false">'☆掛負収入'!D1064</f>
        <v>35318</v>
      </c>
      <c r="E1064" s="452" t="n">
        <f aca="false">'☆掛負収入'!E1064</f>
        <v>2895</v>
      </c>
      <c r="F1064" s="450" t="n">
        <f aca="false">'☆掛負収入'!F1064</f>
        <v>40</v>
      </c>
      <c r="G1064" s="668" t="n">
        <f aca="false">SUM(B1064:F1064)</f>
        <v>38253</v>
      </c>
      <c r="H1064" s="594" t="n">
        <f aca="false">'☆掛負収入'!H1064</f>
        <v>0</v>
      </c>
      <c r="I1064" s="450" t="n">
        <f aca="false">'☆掛負収入'!I1064</f>
        <v>23174</v>
      </c>
      <c r="J1064" s="135" t="n">
        <f aca="false">SUM(H1064:I1064)</f>
        <v>23174</v>
      </c>
      <c r="K1064" s="439" t="n">
        <f aca="false">'☆掛負収入'!K1064</f>
        <v>0</v>
      </c>
      <c r="L1064" s="424" t="n">
        <f aca="false">'☆掛負収入'!L1064</f>
        <v>2584</v>
      </c>
      <c r="M1064" s="135" t="n">
        <f aca="false">SUM(K1064:L1064)</f>
        <v>2584</v>
      </c>
      <c r="N1064" s="439" t="n">
        <f aca="false">'☆掛負収入'!N1064</f>
        <v>0</v>
      </c>
      <c r="O1064" s="424" t="n">
        <f aca="false">'☆掛負収入'!O1064</f>
        <v>1</v>
      </c>
      <c r="P1064" s="135" t="n">
        <f aca="false">SUM(N1064:O1064)</f>
        <v>1</v>
      </c>
    </row>
    <row r="1065" customFormat="false" ht="18.75" hidden="false" customHeight="true" outlineLevel="0" collapsed="false">
      <c r="A1065" s="100" t="str">
        <f aca="false">'☆掛負収入'!A1065</f>
        <v>社会福祉事業団</v>
      </c>
      <c r="B1065" s="600"/>
      <c r="C1065" s="210"/>
      <c r="D1065" s="451" t="n">
        <f aca="false">'☆掛負収入'!D1065</f>
        <v>98681</v>
      </c>
      <c r="E1065" s="453" t="n">
        <f aca="false">'☆掛負収入'!E1065</f>
        <v>8090</v>
      </c>
      <c r="F1065" s="450" t="n">
        <f aca="false">'☆掛負収入'!F1065</f>
        <v>101</v>
      </c>
      <c r="G1065" s="668" t="n">
        <f aca="false">SUM(B1065:F1065)</f>
        <v>106872</v>
      </c>
      <c r="H1065" s="602"/>
      <c r="I1065" s="450" t="n">
        <f aca="false">'☆掛負収入'!I1065</f>
        <v>66823</v>
      </c>
      <c r="J1065" s="135" t="n">
        <f aca="false">SUM(H1065:I1065)</f>
        <v>66823</v>
      </c>
      <c r="K1065" s="612"/>
      <c r="L1065" s="450" t="n">
        <f aca="false">'☆掛負収入'!L1065</f>
        <v>6661</v>
      </c>
      <c r="M1065" s="135" t="n">
        <f aca="false">SUM(K1065:L1065)</f>
        <v>6661</v>
      </c>
      <c r="N1065" s="612"/>
      <c r="O1065" s="450" t="n">
        <f aca="false">'☆掛負収入'!O1065</f>
        <v>1</v>
      </c>
      <c r="P1065" s="135" t="n">
        <f aca="false">SUM(N1065:O1065)</f>
        <v>1</v>
      </c>
    </row>
    <row r="1066" customFormat="false" ht="18.75" hidden="false" customHeight="true" outlineLevel="0" collapsed="false">
      <c r="A1066" s="100" t="str">
        <f aca="false">'☆掛負収入'!A1066</f>
        <v>原爆障害対策協議会</v>
      </c>
      <c r="B1066" s="600"/>
      <c r="C1066" s="210"/>
      <c r="D1066" s="445" t="n">
        <f aca="false">'☆掛負収入'!D1066</f>
        <v>2562</v>
      </c>
      <c r="E1066" s="453" t="n">
        <f aca="false">'☆掛負収入'!E1066</f>
        <v>210</v>
      </c>
      <c r="F1066" s="450" t="n">
        <f aca="false">'☆掛負収入'!F1066</f>
        <v>3</v>
      </c>
      <c r="G1066" s="668" t="n">
        <f aca="false">SUM(B1066:F1066)</f>
        <v>2775</v>
      </c>
      <c r="H1066" s="602"/>
      <c r="I1066" s="450" t="n">
        <f aca="false">'☆掛負収入'!I1066</f>
        <v>1543</v>
      </c>
      <c r="J1066" s="135" t="n">
        <f aca="false">SUM(H1066:I1066)</f>
        <v>1543</v>
      </c>
      <c r="K1066" s="612"/>
      <c r="L1066" s="450" t="n">
        <f aca="false">'☆掛負収入'!L1066</f>
        <v>221</v>
      </c>
      <c r="M1066" s="135" t="n">
        <f aca="false">SUM(K1066:L1066)</f>
        <v>221</v>
      </c>
      <c r="N1066" s="612"/>
      <c r="O1066" s="450" t="n">
        <f aca="false">'☆掛負収入'!O1066</f>
        <v>1</v>
      </c>
      <c r="P1066" s="135" t="n">
        <f aca="false">SUM(N1066:O1066)</f>
        <v>1</v>
      </c>
    </row>
    <row r="1067" customFormat="false" ht="18.75" hidden="false" customHeight="true" outlineLevel="0" collapsed="false">
      <c r="A1067" s="189" t="str">
        <f aca="false">'☆掛負収入'!A1067</f>
        <v>産業振興センター</v>
      </c>
      <c r="B1067" s="600"/>
      <c r="C1067" s="210"/>
      <c r="D1067" s="445" t="n">
        <f aca="false">'☆掛負収入'!D1067</f>
        <v>21915</v>
      </c>
      <c r="E1067" s="453" t="n">
        <f aca="false">'☆掛負収入'!E1067</f>
        <v>1796</v>
      </c>
      <c r="F1067" s="450" t="n">
        <f aca="false">'☆掛負収入'!F1067</f>
        <v>22</v>
      </c>
      <c r="G1067" s="668" t="n">
        <f aca="false">SUM(B1067:F1067)</f>
        <v>23733</v>
      </c>
      <c r="H1067" s="602"/>
      <c r="I1067" s="450" t="n">
        <f aca="false">'☆掛負収入'!I1067</f>
        <v>13199</v>
      </c>
      <c r="J1067" s="135" t="n">
        <f aca="false">SUM(H1067:I1067)</f>
        <v>13199</v>
      </c>
      <c r="K1067" s="612"/>
      <c r="L1067" s="450" t="n">
        <f aca="false">'☆掛負収入'!L1067</f>
        <v>1750</v>
      </c>
      <c r="M1067" s="135" t="n">
        <f aca="false">SUM(K1067:L1067)</f>
        <v>1750</v>
      </c>
      <c r="N1067" s="612"/>
      <c r="O1067" s="450" t="n">
        <f aca="false">'☆掛負収入'!O1067</f>
        <v>1</v>
      </c>
      <c r="P1067" s="135" t="n">
        <f aca="false">SUM(N1067:O1067)</f>
        <v>1</v>
      </c>
    </row>
    <row r="1068" customFormat="false" ht="18.75" hidden="false" customHeight="true" outlineLevel="0" collapsed="false">
      <c r="A1068" s="121" t="str">
        <f aca="false">'☆掛負収入'!A1068</f>
        <v>ひろしま産業振興</v>
      </c>
      <c r="B1068" s="600"/>
      <c r="C1068" s="459"/>
      <c r="D1068" s="445" t="n">
        <f aca="false">'☆掛負収入'!D1068</f>
        <v>4941</v>
      </c>
      <c r="E1068" s="453" t="n">
        <f aca="false">'☆掛負収入'!E1068</f>
        <v>405</v>
      </c>
      <c r="F1068" s="456" t="n">
        <f aca="false">'☆掛負収入'!F1068</f>
        <v>5</v>
      </c>
      <c r="G1068" s="668" t="n">
        <f aca="false">SUM(B1068:F1068)</f>
        <v>5351</v>
      </c>
      <c r="H1068" s="602"/>
      <c r="I1068" s="456" t="n">
        <f aca="false">'☆掛負収入'!I1068</f>
        <v>2976</v>
      </c>
      <c r="J1068" s="135" t="n">
        <f aca="false">SUM(H1068:I1068)</f>
        <v>2976</v>
      </c>
      <c r="K1068" s="612"/>
      <c r="L1068" s="456" t="n">
        <f aca="false">'☆掛負収入'!L1068</f>
        <v>426</v>
      </c>
      <c r="M1068" s="135" t="n">
        <f aca="false">SUM(K1068:L1068)</f>
        <v>426</v>
      </c>
      <c r="N1068" s="612"/>
      <c r="O1068" s="456" t="n">
        <f aca="false">'☆掛負収入'!O1068</f>
        <v>1</v>
      </c>
      <c r="P1068" s="135" t="n">
        <f aca="false">SUM(N1068:O1068)</f>
        <v>1</v>
      </c>
    </row>
    <row r="1069" customFormat="false" ht="18.75" hidden="false" customHeight="true" outlineLevel="0" collapsed="false">
      <c r="A1069" s="121" t="str">
        <f aca="false">'☆掛負収入'!A1069</f>
        <v>都市整備公社　市</v>
      </c>
      <c r="B1069" s="600"/>
      <c r="C1069" s="459"/>
      <c r="D1069" s="451" t="n">
        <f aca="false">'☆掛負収入'!D1069</f>
        <v>2608</v>
      </c>
      <c r="E1069" s="453" t="n">
        <f aca="false">'☆掛負収入'!E1069</f>
        <v>214</v>
      </c>
      <c r="F1069" s="450" t="n">
        <f aca="false">'☆掛負収入'!F1069</f>
        <v>3</v>
      </c>
      <c r="G1069" s="668" t="n">
        <f aca="false">SUM(B1069:F1069)</f>
        <v>2825</v>
      </c>
      <c r="H1069" s="602"/>
      <c r="I1069" s="450" t="n">
        <f aca="false">'☆掛負収入'!I1069</f>
        <v>1571</v>
      </c>
      <c r="J1069" s="135" t="n">
        <f aca="false">SUM(H1069:I1069)</f>
        <v>1571</v>
      </c>
      <c r="K1069" s="612"/>
      <c r="L1069" s="450" t="n">
        <f aca="false">'☆掛負収入'!L1069</f>
        <v>225</v>
      </c>
      <c r="M1069" s="135" t="n">
        <f aca="false">SUM(K1069:L1069)</f>
        <v>225</v>
      </c>
      <c r="N1069" s="612"/>
      <c r="O1069" s="450" t="n">
        <f aca="false">'☆掛負収入'!O1069</f>
        <v>1</v>
      </c>
      <c r="P1069" s="135" t="n">
        <f aca="false">SUM(N1069:O1069)</f>
        <v>1</v>
      </c>
    </row>
    <row r="1070" customFormat="false" ht="18.75" hidden="false" customHeight="true" outlineLevel="0" collapsed="false">
      <c r="A1070" s="192"/>
      <c r="B1070" s="600"/>
      <c r="C1070" s="196"/>
      <c r="D1070" s="449"/>
      <c r="E1070" s="453"/>
      <c r="F1070" s="450"/>
      <c r="G1070" s="668"/>
      <c r="H1070" s="602"/>
      <c r="I1070" s="450"/>
      <c r="J1070" s="135"/>
      <c r="K1070" s="612"/>
      <c r="L1070" s="450"/>
      <c r="M1070" s="135" t="n">
        <f aca="false">SUM(K1070:L1070)</f>
        <v>0</v>
      </c>
      <c r="N1070" s="612"/>
      <c r="O1070" s="450"/>
      <c r="P1070" s="135" t="n">
        <f aca="false">SUM(N1070:O1070)</f>
        <v>0</v>
      </c>
    </row>
    <row r="1071" customFormat="false" ht="18.75" hidden="false" customHeight="true" outlineLevel="0" collapsed="false">
      <c r="A1071" s="121" t="str">
        <f aca="false">'☆掛負収入'!A1071</f>
        <v>日本下水道事業団</v>
      </c>
      <c r="B1071" s="451" t="n">
        <f aca="false">'☆掛負収入'!B1071</f>
        <v>20542</v>
      </c>
      <c r="C1071" s="223" t="n">
        <f aca="false">'☆掛負収入'!C1071</f>
        <v>1684</v>
      </c>
      <c r="D1071" s="449" t="n">
        <f aca="false">'☆掛負収入'!D1071</f>
        <v>20542</v>
      </c>
      <c r="E1071" s="453" t="n">
        <f aca="false">'☆掛負収入'!E1071</f>
        <v>1684</v>
      </c>
      <c r="F1071" s="450" t="n">
        <f aca="false">'☆掛負収入'!F1071</f>
        <v>21</v>
      </c>
      <c r="G1071" s="668" t="n">
        <f aca="false">SUM(B1071:F1071)</f>
        <v>44473</v>
      </c>
      <c r="H1071" s="448" t="n">
        <f aca="false">'☆掛負収入'!H1071</f>
        <v>12350</v>
      </c>
      <c r="I1071" s="450" t="n">
        <f aca="false">'☆掛負収入'!I1071</f>
        <v>12373</v>
      </c>
      <c r="J1071" s="135" t="n">
        <f aca="false">SUM(H1071:I1071)</f>
        <v>24723</v>
      </c>
      <c r="K1071" s="453" t="n">
        <f aca="false">'☆掛負収入'!K1071</f>
        <v>668</v>
      </c>
      <c r="L1071" s="450" t="n">
        <f aca="false">'☆掛負収入'!L1071</f>
        <v>668</v>
      </c>
      <c r="M1071" s="135" t="n">
        <f aca="false">SUM(K1071:L1071)</f>
        <v>1336</v>
      </c>
      <c r="N1071" s="453" t="n">
        <f aca="false">'☆掛負収入'!N1071</f>
        <v>1</v>
      </c>
      <c r="O1071" s="450" t="n">
        <f aca="false">'☆掛負収入'!O1071</f>
        <v>1</v>
      </c>
      <c r="P1071" s="135" t="n">
        <f aca="false">SUM(N1071:O1071)</f>
        <v>2</v>
      </c>
    </row>
    <row r="1072" customFormat="false" ht="18.75" hidden="false" customHeight="true" outlineLevel="0" collapsed="false">
      <c r="A1072" s="100" t="str">
        <f aca="false">'☆掛負収入'!A1072</f>
        <v>地方公務員災害補償基金本部</v>
      </c>
      <c r="B1072" s="451" t="n">
        <f aca="false">'☆掛負収入'!B1072</f>
        <v>3157</v>
      </c>
      <c r="C1072" s="223" t="n">
        <f aca="false">'☆掛負収入'!C1072</f>
        <v>259</v>
      </c>
      <c r="D1072" s="449" t="n">
        <f aca="false">'☆掛負収入'!D1072</f>
        <v>3157</v>
      </c>
      <c r="E1072" s="453" t="n">
        <f aca="false">'☆掛負収入'!E1072</f>
        <v>259</v>
      </c>
      <c r="F1072" s="450" t="n">
        <f aca="false">'☆掛負収入'!F1072</f>
        <v>4</v>
      </c>
      <c r="G1072" s="668" t="n">
        <f aca="false">SUM(B1072:F1072)</f>
        <v>6836</v>
      </c>
      <c r="H1072" s="448" t="n">
        <f aca="false">'☆掛負収入'!H1072</f>
        <v>1898</v>
      </c>
      <c r="I1072" s="450" t="n">
        <f aca="false">'☆掛負収入'!I1072</f>
        <v>1902</v>
      </c>
      <c r="J1072" s="135" t="n">
        <f aca="false">SUM(H1072:I1072)</f>
        <v>3800</v>
      </c>
      <c r="K1072" s="453" t="n">
        <f aca="false">'☆掛負収入'!K1072</f>
        <v>0</v>
      </c>
      <c r="L1072" s="450" t="n">
        <f aca="false">'☆掛負収入'!L1072</f>
        <v>0</v>
      </c>
      <c r="M1072" s="135" t="n">
        <f aca="false">SUM(K1072:L1072)</f>
        <v>0</v>
      </c>
      <c r="N1072" s="453" t="n">
        <f aca="false">'☆掛負収入'!N1072</f>
        <v>1</v>
      </c>
      <c r="O1072" s="450" t="n">
        <f aca="false">'☆掛負収入'!O1072</f>
        <v>1</v>
      </c>
      <c r="P1072" s="135" t="n">
        <f aca="false">SUM(N1072:O1072)</f>
        <v>2</v>
      </c>
    </row>
    <row r="1073" customFormat="false" ht="18.75" hidden="false" customHeight="true" outlineLevel="0" collapsed="false">
      <c r="A1073" s="197"/>
      <c r="B1073" s="449"/>
      <c r="C1073" s="223"/>
      <c r="D1073" s="449"/>
      <c r="E1073" s="453"/>
      <c r="F1073" s="450"/>
      <c r="G1073" s="668"/>
      <c r="H1073" s="594"/>
      <c r="I1073" s="450"/>
      <c r="J1073" s="135"/>
      <c r="K1073" s="439"/>
      <c r="L1073" s="424"/>
      <c r="M1073" s="135" t="n">
        <f aca="false">SUM(K1073:L1073)</f>
        <v>0</v>
      </c>
      <c r="N1073" s="439"/>
      <c r="O1073" s="424"/>
      <c r="P1073" s="135" t="n">
        <f aca="false">SUM(N1073:O1073)</f>
        <v>0</v>
      </c>
    </row>
    <row r="1074" customFormat="false" ht="18.75" hidden="false" customHeight="true" outlineLevel="0" collapsed="false">
      <c r="A1074" s="100" t="str">
        <f aca="false">'☆掛負収入'!A1074</f>
        <v>高速道路公社</v>
      </c>
      <c r="B1074" s="464" t="n">
        <f aca="false">'☆掛負収入'!B1074</f>
        <v>47212</v>
      </c>
      <c r="C1074" s="454" t="n">
        <f aca="false">'☆掛負収入'!C1074</f>
        <v>3868</v>
      </c>
      <c r="D1074" s="464" t="n">
        <f aca="false">'☆掛負収入'!D1074</f>
        <v>47214</v>
      </c>
      <c r="E1074" s="470" t="n">
        <f aca="false">'☆掛負収入'!E1074</f>
        <v>3870</v>
      </c>
      <c r="F1074" s="472" t="n">
        <f aca="false">'☆掛負収入'!F1074</f>
        <v>50</v>
      </c>
      <c r="G1074" s="668" t="n">
        <f aca="false">SUM(B1074:F1074)</f>
        <v>102214</v>
      </c>
      <c r="H1074" s="471" t="n">
        <f aca="false">'☆掛負収入'!H1074</f>
        <v>29266</v>
      </c>
      <c r="I1074" s="472" t="n">
        <f aca="false">'☆掛負収入'!I1074</f>
        <v>29320</v>
      </c>
      <c r="J1074" s="135" t="n">
        <f aca="false">SUM(H1074:I1074)</f>
        <v>58586</v>
      </c>
      <c r="K1074" s="470" t="n">
        <f aca="false">'☆掛負収入'!K1074</f>
        <v>2587</v>
      </c>
      <c r="L1074" s="472" t="n">
        <f aca="false">'☆掛負収入'!L1074</f>
        <v>2588</v>
      </c>
      <c r="M1074" s="135" t="n">
        <f aca="false">SUM(K1074:L1074)</f>
        <v>5175</v>
      </c>
      <c r="N1074" s="470" t="n">
        <f aca="false">'☆掛負収入'!N1074</f>
        <v>1</v>
      </c>
      <c r="O1074" s="472" t="n">
        <f aca="false">'☆掛負収入'!O1074</f>
        <v>1</v>
      </c>
      <c r="P1074" s="135" t="n">
        <f aca="false">SUM(N1074:O1074)</f>
        <v>2</v>
      </c>
    </row>
    <row r="1075" customFormat="false" ht="18.75" hidden="false" customHeight="true" outlineLevel="0" collapsed="false">
      <c r="A1075" s="100" t="str">
        <f aca="false">'☆掛負収入'!A1075</f>
        <v>農林水産振興センタ</v>
      </c>
      <c r="B1075" s="457"/>
      <c r="C1075" s="459"/>
      <c r="D1075" s="451" t="n">
        <f aca="false">'☆掛負収入'!D1075</f>
        <v>31614</v>
      </c>
      <c r="E1075" s="473" t="n">
        <f aca="false">'☆掛負収入'!E1075</f>
        <v>2592</v>
      </c>
      <c r="F1075" s="456" t="n">
        <f aca="false">'☆掛負収入'!F1075</f>
        <v>34</v>
      </c>
      <c r="G1075" s="668" t="n">
        <f aca="false">SUM(B1075:F1075)</f>
        <v>34240</v>
      </c>
      <c r="H1075" s="616"/>
      <c r="I1075" s="456" t="n">
        <f aca="false">'☆掛負収入'!I1075</f>
        <v>19042</v>
      </c>
      <c r="J1075" s="135" t="n">
        <f aca="false">SUM(H1075:I1075)</f>
        <v>19042</v>
      </c>
      <c r="K1075" s="617"/>
      <c r="L1075" s="456" t="n">
        <f aca="false">'☆掛負収入'!L1075</f>
        <v>1434</v>
      </c>
      <c r="M1075" s="135" t="n">
        <f aca="false">SUM(K1075:L1075)</f>
        <v>1434</v>
      </c>
      <c r="N1075" s="617"/>
      <c r="O1075" s="456" t="n">
        <f aca="false">'☆掛負収入'!O1075</f>
        <v>1</v>
      </c>
      <c r="P1075" s="135" t="n">
        <f aca="false">SUM(N1075:O1075)</f>
        <v>1</v>
      </c>
    </row>
    <row r="1076" customFormat="false" ht="18.75" hidden="false" customHeight="true" outlineLevel="0" collapsed="false">
      <c r="A1076" s="203" t="str">
        <f aca="false">'☆掛負収入'!A1076</f>
        <v>文化財団　市長部局</v>
      </c>
      <c r="B1076" s="600"/>
      <c r="C1076" s="196"/>
      <c r="D1076" s="449" t="n">
        <f aca="false">'☆掛負収入'!D1076</f>
        <v>64508</v>
      </c>
      <c r="E1076" s="453" t="n">
        <f aca="false">'☆掛負収入'!E1076</f>
        <v>5287</v>
      </c>
      <c r="F1076" s="456" t="n">
        <f aca="false">'☆掛負収入'!F1076</f>
        <v>67</v>
      </c>
      <c r="G1076" s="668" t="n">
        <f aca="false">SUM(B1076:F1076)</f>
        <v>69862</v>
      </c>
      <c r="H1076" s="602"/>
      <c r="I1076" s="456" t="n">
        <f aca="false">'☆掛負収入'!I1076</f>
        <v>38853</v>
      </c>
      <c r="J1076" s="135" t="n">
        <f aca="false">SUM(H1076:I1076)</f>
        <v>38853</v>
      </c>
      <c r="K1076" s="612"/>
      <c r="L1076" s="456" t="n">
        <f aca="false">'☆掛負収入'!L1076</f>
        <v>5218</v>
      </c>
      <c r="M1076" s="135" t="n">
        <f aca="false">SUM(K1076:L1076)</f>
        <v>5218</v>
      </c>
      <c r="N1076" s="612"/>
      <c r="O1076" s="456" t="n">
        <f aca="false">'☆掛負収入'!O1076</f>
        <v>1</v>
      </c>
      <c r="P1076" s="135" t="n">
        <f aca="false">SUM(N1076:O1076)</f>
        <v>1</v>
      </c>
    </row>
    <row r="1077" customFormat="false" ht="18.75" hidden="false" customHeight="true" outlineLevel="0" collapsed="false">
      <c r="A1077" s="204"/>
      <c r="B1077" s="600"/>
      <c r="C1077" s="196"/>
      <c r="D1077" s="449"/>
      <c r="E1077" s="453"/>
      <c r="F1077" s="456"/>
      <c r="G1077" s="668"/>
      <c r="H1077" s="602"/>
      <c r="I1077" s="456"/>
      <c r="J1077" s="135"/>
      <c r="K1077" s="612"/>
      <c r="L1077" s="456"/>
      <c r="M1077" s="135" t="n">
        <f aca="false">SUM(K1077:L1077)</f>
        <v>0</v>
      </c>
      <c r="N1077" s="612"/>
      <c r="O1077" s="456"/>
      <c r="P1077" s="135" t="n">
        <f aca="false">SUM(N1077:O1077)</f>
        <v>0</v>
      </c>
    </row>
    <row r="1078" customFormat="false" ht="18.75" hidden="false" customHeight="true" outlineLevel="0" collapsed="false">
      <c r="A1078" s="100" t="str">
        <f aca="false">'☆掛負収入'!A1078</f>
        <v>みどり生きもの協会</v>
      </c>
      <c r="B1078" s="600"/>
      <c r="C1078" s="196"/>
      <c r="D1078" s="449" t="n">
        <f aca="false">'☆掛負収入'!D1078</f>
        <v>22739</v>
      </c>
      <c r="E1078" s="453" t="n">
        <f aca="false">'☆掛負収入'!E1078</f>
        <v>1865</v>
      </c>
      <c r="F1078" s="456" t="n">
        <f aca="false">'☆掛負収入'!F1078</f>
        <v>23</v>
      </c>
      <c r="G1078" s="668" t="n">
        <f aca="false">SUM(B1078:F1078)</f>
        <v>24627</v>
      </c>
      <c r="H1078" s="602"/>
      <c r="I1078" s="456" t="n">
        <f aca="false">'☆掛負収入'!I1078</f>
        <v>13695</v>
      </c>
      <c r="J1078" s="135" t="n">
        <f aca="false">SUM(H1078:I1078)</f>
        <v>13695</v>
      </c>
      <c r="K1078" s="612"/>
      <c r="L1078" s="456" t="n">
        <f aca="false">'☆掛負収入'!L1078</f>
        <v>1965</v>
      </c>
      <c r="M1078" s="135" t="n">
        <f aca="false">SUM(K1078:L1078)</f>
        <v>1965</v>
      </c>
      <c r="N1078" s="612"/>
      <c r="O1078" s="456" t="n">
        <f aca="false">'☆掛負収入'!O1078</f>
        <v>1</v>
      </c>
      <c r="P1078" s="135" t="n">
        <f aca="false">SUM(N1078:O1078)</f>
        <v>1</v>
      </c>
    </row>
    <row r="1079" customFormat="false" ht="18.75" hidden="false" customHeight="true" outlineLevel="0" collapsed="false">
      <c r="A1079" s="121" t="str">
        <f aca="false">'☆掛負収入'!A1079</f>
        <v>県下水道公社</v>
      </c>
      <c r="B1079" s="449" t="n">
        <f aca="false">'☆掛負収入'!B1079</f>
        <v>7778</v>
      </c>
      <c r="C1079" s="223" t="n">
        <f aca="false">'☆掛負収入'!C1079</f>
        <v>638</v>
      </c>
      <c r="D1079" s="449" t="n">
        <f aca="false">'☆掛負収入'!D1079</f>
        <v>7777</v>
      </c>
      <c r="E1079" s="453" t="n">
        <f aca="false">'☆掛負収入'!E1079</f>
        <v>638</v>
      </c>
      <c r="F1079" s="456" t="n">
        <f aca="false">'☆掛負収入'!F1079</f>
        <v>8</v>
      </c>
      <c r="G1079" s="668" t="n">
        <f aca="false">SUM(B1079:F1079)</f>
        <v>16839</v>
      </c>
      <c r="H1079" s="448" t="n">
        <f aca="false">'☆掛負収入'!H1079</f>
        <v>4675</v>
      </c>
      <c r="I1079" s="456" t="n">
        <f aca="false">'☆掛負収入'!I1079</f>
        <v>4685</v>
      </c>
      <c r="J1079" s="135" t="n">
        <f aca="false">SUM(H1079:I1079)</f>
        <v>9360</v>
      </c>
      <c r="K1079" s="453" t="n">
        <f aca="false">'☆掛負収入'!K1079</f>
        <v>466</v>
      </c>
      <c r="L1079" s="456" t="n">
        <f aca="false">'☆掛負収入'!L1079</f>
        <v>466</v>
      </c>
      <c r="M1079" s="135" t="n">
        <f aca="false">SUM(K1079:L1079)</f>
        <v>932</v>
      </c>
      <c r="N1079" s="453" t="n">
        <f aca="false">'☆掛負収入'!N1079</f>
        <v>1</v>
      </c>
      <c r="O1079" s="456" t="n">
        <f aca="false">'☆掛負収入'!O1079</f>
        <v>1</v>
      </c>
      <c r="P1079" s="135" t="n">
        <f aca="false">SUM(N1079:O1079)</f>
        <v>2</v>
      </c>
    </row>
    <row r="1080" customFormat="false" ht="18.75" hidden="false" customHeight="true" outlineLevel="0" collapsed="false">
      <c r="A1080" s="121" t="str">
        <f aca="false">'☆掛負収入'!A1080</f>
        <v>バス協調・共創
プラットフォーム</v>
      </c>
      <c r="B1080" s="457"/>
      <c r="C1080" s="459"/>
      <c r="D1080" s="451" t="n">
        <f aca="false">'☆掛負収入'!D1080</f>
        <v>21640</v>
      </c>
      <c r="E1080" s="473" t="n">
        <f aca="false">'☆掛負収入'!E1080</f>
        <v>1774</v>
      </c>
      <c r="F1080" s="456" t="n">
        <f aca="false">'☆掛負収入'!F1080</f>
        <v>22</v>
      </c>
      <c r="G1080" s="668" t="n">
        <f aca="false">SUM(B1080:F1080)</f>
        <v>23436</v>
      </c>
      <c r="H1080" s="616"/>
      <c r="I1080" s="456" t="n">
        <f aca="false">'☆掛負収入'!I1080</f>
        <v>14191</v>
      </c>
      <c r="J1080" s="135" t="n">
        <f aca="false">SUM(H1080:I1080)</f>
        <v>14191</v>
      </c>
      <c r="K1080" s="617"/>
      <c r="L1080" s="456" t="n">
        <f aca="false">'☆掛負収入'!L1080</f>
        <v>1221</v>
      </c>
      <c r="M1080" s="135" t="n">
        <f aca="false">SUM(K1080:L1080)</f>
        <v>1221</v>
      </c>
      <c r="N1080" s="617"/>
      <c r="O1080" s="456" t="n">
        <f aca="false">'☆掛負収入'!O1080</f>
        <v>1</v>
      </c>
      <c r="P1080" s="135" t="n">
        <f aca="false">SUM(N1080:O1080)</f>
        <v>1</v>
      </c>
    </row>
    <row r="1081" customFormat="false" ht="18.75" hidden="false" customHeight="true" outlineLevel="0" collapsed="false">
      <c r="A1081" s="121" t="str">
        <f aca="false">'☆掛負収入'!A1081</f>
        <v>広島県市長会</v>
      </c>
      <c r="B1081" s="449" t="n">
        <f aca="false">'☆掛負収入'!B1081</f>
        <v>2837</v>
      </c>
      <c r="C1081" s="223" t="n">
        <f aca="false">'☆掛負収入'!C1081</f>
        <v>233</v>
      </c>
      <c r="D1081" s="449" t="n">
        <f aca="false">'☆掛負収入'!D1081</f>
        <v>2836</v>
      </c>
      <c r="E1081" s="453" t="n">
        <f aca="false">'☆掛負収入'!E1081</f>
        <v>233</v>
      </c>
      <c r="F1081" s="450" t="n">
        <f aca="false">'☆掛負収入'!F1081</f>
        <v>3</v>
      </c>
      <c r="G1081" s="668" t="n">
        <f aca="false">SUM(B1081:F1081)</f>
        <v>6142</v>
      </c>
      <c r="H1081" s="594" t="n">
        <f aca="false">'☆掛負収入'!H1081</f>
        <v>1706</v>
      </c>
      <c r="I1081" s="450" t="n">
        <f aca="false">'☆掛負収入'!I1081</f>
        <v>1709</v>
      </c>
      <c r="J1081" s="135" t="n">
        <f aca="false">SUM(H1081:I1081)</f>
        <v>3415</v>
      </c>
      <c r="K1081" s="439" t="n">
        <f aca="false">'☆掛負収入'!K1081</f>
        <v>245</v>
      </c>
      <c r="L1081" s="450" t="n">
        <f aca="false">'☆掛負収入'!L1081</f>
        <v>245</v>
      </c>
      <c r="M1081" s="135" t="n">
        <f aca="false">SUM(K1081:L1081)</f>
        <v>490</v>
      </c>
      <c r="N1081" s="439" t="n">
        <f aca="false">'☆掛負収入'!N1081</f>
        <v>1</v>
      </c>
      <c r="O1081" s="450" t="n">
        <f aca="false">'☆掛負収入'!O1081</f>
        <v>1</v>
      </c>
      <c r="P1081" s="135" t="n">
        <f aca="false">SUM(N1081:O1081)</f>
        <v>2</v>
      </c>
    </row>
    <row r="1082" customFormat="false" ht="18.75" hidden="false" customHeight="true" outlineLevel="0" collapsed="false">
      <c r="A1082" s="189" t="str">
        <f aca="false">'☆掛負収入'!A1082</f>
        <v>全国市町村研修財団</v>
      </c>
      <c r="B1082" s="451" t="n">
        <f aca="false">'☆掛負収入'!B1082</f>
        <v>1053</v>
      </c>
      <c r="C1082" s="223" t="n">
        <f aca="false">'☆掛負収入'!C1082</f>
        <v>87</v>
      </c>
      <c r="D1082" s="449" t="n">
        <f aca="false">'☆掛負収入'!D1082</f>
        <v>1052</v>
      </c>
      <c r="E1082" s="453" t="n">
        <f aca="false">'☆掛負収入'!E1082</f>
        <v>87</v>
      </c>
      <c r="F1082" s="450" t="n">
        <f aca="false">'☆掛負収入'!F1082</f>
        <v>1</v>
      </c>
      <c r="G1082" s="668" t="n">
        <f aca="false">SUM(B1082:F1082)</f>
        <v>2280</v>
      </c>
      <c r="H1082" s="448" t="n">
        <f aca="false">'☆掛負収入'!H1082</f>
        <v>3026</v>
      </c>
      <c r="I1082" s="450" t="n">
        <f aca="false">'☆掛負収入'!I1082</f>
        <v>3031</v>
      </c>
      <c r="J1082" s="135" t="n">
        <f aca="false">SUM(H1082:I1082)</f>
        <v>6057</v>
      </c>
      <c r="K1082" s="453" t="n">
        <f aca="false">'☆掛負収入'!K1082</f>
        <v>435</v>
      </c>
      <c r="L1082" s="450" t="n">
        <f aca="false">'☆掛負収入'!L1082</f>
        <v>435</v>
      </c>
      <c r="M1082" s="135" t="n">
        <f aca="false">SUM(K1082:L1082)</f>
        <v>870</v>
      </c>
      <c r="N1082" s="453" t="n">
        <f aca="false">'☆掛負収入'!N1082</f>
        <v>1</v>
      </c>
      <c r="O1082" s="450" t="n">
        <f aca="false">'☆掛負収入'!O1082</f>
        <v>1</v>
      </c>
      <c r="P1082" s="135" t="n">
        <f aca="false">SUM(N1082:O1082)</f>
        <v>2</v>
      </c>
    </row>
    <row r="1083" customFormat="false" ht="18.75" hidden="false" customHeight="true" outlineLevel="0" collapsed="false">
      <c r="A1083" s="189" t="str">
        <f aca="false">'☆掛負収入'!A1083</f>
        <v>都市再生機構</v>
      </c>
      <c r="B1083" s="449" t="n">
        <f aca="false">'☆掛負収入'!B1083</f>
        <v>1876</v>
      </c>
      <c r="C1083" s="223" t="n">
        <f aca="false">'☆掛負収入'!C1083</f>
        <v>154</v>
      </c>
      <c r="D1083" s="449" t="n">
        <f aca="false">'☆掛負収入'!D1083</f>
        <v>1876</v>
      </c>
      <c r="E1083" s="453" t="n">
        <f aca="false">'☆掛負収入'!E1083</f>
        <v>154</v>
      </c>
      <c r="F1083" s="450" t="n">
        <f aca="false">'☆掛負収入'!F1083</f>
        <v>2</v>
      </c>
      <c r="G1083" s="668" t="n">
        <f aca="false">SUM(B1083:F1083)</f>
        <v>4062</v>
      </c>
      <c r="H1083" s="448" t="n">
        <f aca="false">'☆掛負収入'!H1083</f>
        <v>1128</v>
      </c>
      <c r="I1083" s="450" t="n">
        <f aca="false">'☆掛負収入'!I1083</f>
        <v>1130</v>
      </c>
      <c r="J1083" s="135" t="n">
        <f aca="false">SUM(H1083:I1083)</f>
        <v>2258</v>
      </c>
      <c r="K1083" s="453" t="n">
        <f aca="false">'☆掛負収入'!K1083</f>
        <v>0</v>
      </c>
      <c r="L1083" s="450" t="n">
        <f aca="false">'☆掛負収入'!L1083</f>
        <v>0</v>
      </c>
      <c r="M1083" s="135" t="n">
        <f aca="false">SUM(K1083:L1083)</f>
        <v>0</v>
      </c>
      <c r="N1083" s="453" t="n">
        <f aca="false">'☆掛負収入'!N1083</f>
        <v>1</v>
      </c>
      <c r="O1083" s="450" t="n">
        <f aca="false">'☆掛負収入'!O1083</f>
        <v>1</v>
      </c>
      <c r="P1083" s="135" t="n">
        <f aca="false">SUM(N1083:O1083)</f>
        <v>2</v>
      </c>
    </row>
    <row r="1084" customFormat="false" ht="18.75" hidden="false" customHeight="true" outlineLevel="0" collapsed="false">
      <c r="A1084" s="121" t="str">
        <f aca="false">'☆掛負収入'!A1084</f>
        <v>広島市立大学</v>
      </c>
      <c r="B1084" s="449" t="n">
        <f aca="false">'☆掛負収入'!B1084</f>
        <v>66201</v>
      </c>
      <c r="C1084" s="223" t="n">
        <f aca="false">'☆掛負収入'!C1084</f>
        <v>5427</v>
      </c>
      <c r="D1084" s="449" t="n">
        <f aca="false">'☆掛負収入'!D1084</f>
        <v>66201</v>
      </c>
      <c r="E1084" s="453" t="n">
        <f aca="false">'☆掛負収入'!E1084</f>
        <v>5427</v>
      </c>
      <c r="F1084" s="450" t="n">
        <f aca="false">'☆掛負収入'!F1084</f>
        <v>71</v>
      </c>
      <c r="G1084" s="668" t="n">
        <f aca="false">SUM(B1084:F1084)</f>
        <v>143327</v>
      </c>
      <c r="H1084" s="448" t="n">
        <f aca="false">'☆掛負収入'!H1084</f>
        <v>39799</v>
      </c>
      <c r="I1084" s="450" t="n">
        <f aca="false">'☆掛負収入'!I1084</f>
        <v>39874</v>
      </c>
      <c r="J1084" s="135" t="n">
        <f aca="false">SUM(H1084:I1084)</f>
        <v>79673</v>
      </c>
      <c r="K1084" s="439" t="n">
        <f aca="false">'☆掛負収入'!K1084</f>
        <v>3369</v>
      </c>
      <c r="L1084" s="424" t="n">
        <f aca="false">'☆掛負収入'!L1084</f>
        <v>3369</v>
      </c>
      <c r="M1084" s="135" t="n">
        <f aca="false">SUM(K1084:L1084)</f>
        <v>6738</v>
      </c>
      <c r="N1084" s="439" t="n">
        <f aca="false">'☆掛負収入'!N1084</f>
        <v>1</v>
      </c>
      <c r="O1084" s="424" t="n">
        <f aca="false">'☆掛負収入'!O1084</f>
        <v>1</v>
      </c>
      <c r="P1084" s="135" t="n">
        <f aca="false">SUM(N1084:O1084)</f>
        <v>2</v>
      </c>
    </row>
    <row r="1085" customFormat="false" ht="18.75" hidden="false" customHeight="true" outlineLevel="0" collapsed="false">
      <c r="A1085" s="121" t="str">
        <f aca="false">'☆掛負収入'!A1085</f>
        <v>社会福祉協議会</v>
      </c>
      <c r="B1085" s="449" t="n">
        <f aca="false">'☆掛負収入'!B1085</f>
        <v>0</v>
      </c>
      <c r="C1085" s="223" t="n">
        <f aca="false">'☆掛負収入'!C1085</f>
        <v>0</v>
      </c>
      <c r="D1085" s="449" t="n">
        <f aca="false">'☆掛負収入'!D1085</f>
        <v>9653</v>
      </c>
      <c r="E1085" s="453" t="n">
        <f aca="false">'☆掛負収入'!E1085</f>
        <v>792</v>
      </c>
      <c r="F1085" s="450" t="n">
        <f aca="false">'☆掛負収入'!F1085</f>
        <v>10</v>
      </c>
      <c r="G1085" s="668" t="n">
        <f aca="false">SUM(B1085:F1085)</f>
        <v>10455</v>
      </c>
      <c r="H1085" s="448" t="n">
        <f aca="false">'☆掛負収入'!H1085</f>
        <v>0</v>
      </c>
      <c r="I1085" s="450" t="n">
        <f aca="false">'☆掛負収入'!I1085</f>
        <v>7853</v>
      </c>
      <c r="J1085" s="135" t="n">
        <f aca="false">SUM(H1085:I1085)</f>
        <v>7853</v>
      </c>
      <c r="K1085" s="439" t="n">
        <f aca="false">'☆掛負収入'!K1085</f>
        <v>0</v>
      </c>
      <c r="L1085" s="424" t="n">
        <f aca="false">'☆掛負収入'!L1085</f>
        <v>513</v>
      </c>
      <c r="M1085" s="135" t="n">
        <f aca="false">SUM(K1085:L1085)</f>
        <v>513</v>
      </c>
      <c r="N1085" s="439" t="n">
        <f aca="false">'☆掛負収入'!N1085</f>
        <v>0</v>
      </c>
      <c r="O1085" s="424" t="n">
        <f aca="false">'☆掛負収入'!O1085</f>
        <v>1</v>
      </c>
      <c r="P1085" s="135" t="n">
        <f aca="false">SUM(N1085:O1085)</f>
        <v>1</v>
      </c>
    </row>
    <row r="1086" customFormat="false" ht="18.75" hidden="false" customHeight="true" outlineLevel="0" collapsed="false">
      <c r="A1086" s="203" t="s">
        <v>418</v>
      </c>
      <c r="B1086" s="451" t="n">
        <f aca="false">'☆掛負収入'!B1088</f>
        <v>0</v>
      </c>
      <c r="C1086" s="445" t="n">
        <f aca="false">'☆掛負収入'!C1088</f>
        <v>0</v>
      </c>
      <c r="D1086" s="451" t="n">
        <f aca="false">'☆掛負収入'!D1088</f>
        <v>0</v>
      </c>
      <c r="E1086" s="462" t="n">
        <f aca="false">'☆掛負収入'!E1088</f>
        <v>0</v>
      </c>
      <c r="F1086" s="453" t="n">
        <f aca="false">'☆掛負収入'!F1088</f>
        <v>0</v>
      </c>
      <c r="G1086" s="668" t="n">
        <f aca="false">SUM(B1086:F1086)</f>
        <v>0</v>
      </c>
      <c r="H1086" s="462" t="n">
        <f aca="false">'☆掛負収入'!H1088</f>
        <v>0</v>
      </c>
      <c r="I1086" s="462" t="n">
        <f aca="false">'☆掛負収入'!I1088</f>
        <v>0</v>
      </c>
      <c r="J1086" s="135" t="n">
        <f aca="false">SUM(H1086:I1086)</f>
        <v>0</v>
      </c>
      <c r="K1086" s="439" t="n">
        <f aca="false">'☆掛負収入'!K1088</f>
        <v>0</v>
      </c>
      <c r="L1086" s="424" t="n">
        <f aca="false">'☆掛負収入'!L1088</f>
        <v>0</v>
      </c>
      <c r="M1086" s="135" t="n">
        <f aca="false">SUM(K1086:L1086)</f>
        <v>0</v>
      </c>
      <c r="N1086" s="439" t="n">
        <f aca="false">'☆掛負収入'!N1088</f>
        <v>0</v>
      </c>
      <c r="O1086" s="424" t="n">
        <f aca="false">'☆掛負収入'!O1088</f>
        <v>0</v>
      </c>
      <c r="P1086" s="135" t="n">
        <f aca="false">SUM(N1086:O1086)</f>
        <v>0</v>
      </c>
    </row>
    <row r="1087" customFormat="false" ht="18.75" hidden="false" customHeight="true" outlineLevel="0" collapsed="false">
      <c r="A1087" s="121" t="str">
        <f aca="false">'☆掛負収入'!A1089</f>
        <v>全国市長会</v>
      </c>
      <c r="B1087" s="451" t="n">
        <f aca="false">'☆掛負収入'!B1089</f>
        <v>0</v>
      </c>
      <c r="C1087" s="445" t="n">
        <f aca="false">'☆掛負収入'!C1089</f>
        <v>0</v>
      </c>
      <c r="D1087" s="451" t="n">
        <f aca="false">'☆掛負収入'!D1089</f>
        <v>0</v>
      </c>
      <c r="E1087" s="462" t="n">
        <f aca="false">'☆掛負収入'!E1089</f>
        <v>0</v>
      </c>
      <c r="F1087" s="453" t="n">
        <f aca="false">'☆掛負収入'!F1089</f>
        <v>0</v>
      </c>
      <c r="G1087" s="668" t="n">
        <f aca="false">SUM(B1087:F1087)</f>
        <v>0</v>
      </c>
      <c r="H1087" s="462" t="n">
        <f aca="false">'☆掛負収入'!H1089</f>
        <v>3906</v>
      </c>
      <c r="I1087" s="462" t="n">
        <f aca="false">'☆掛負収入'!I1089</f>
        <v>3913</v>
      </c>
      <c r="J1087" s="135" t="n">
        <f aca="false">SUM(H1087:I1087)</f>
        <v>7819</v>
      </c>
      <c r="K1087" s="439" t="n">
        <f aca="false">'☆掛負収入'!K1089</f>
        <v>561</v>
      </c>
      <c r="L1087" s="424" t="n">
        <f aca="false">'☆掛負収入'!L1089</f>
        <v>561</v>
      </c>
      <c r="M1087" s="135" t="n">
        <f aca="false">SUM(K1087:L1087)</f>
        <v>1122</v>
      </c>
      <c r="N1087" s="439" t="n">
        <f aca="false">'☆掛負収入'!N1089</f>
        <v>1</v>
      </c>
      <c r="O1087" s="424" t="n">
        <f aca="false">'☆掛負収入'!O1089</f>
        <v>1</v>
      </c>
      <c r="P1087" s="135" t="n">
        <f aca="false">SUM(N1087:O1087)</f>
        <v>2</v>
      </c>
    </row>
    <row r="1088" customFormat="false" ht="18.75" hidden="false" customHeight="true" outlineLevel="0" collapsed="false">
      <c r="A1088" s="208"/>
      <c r="B1088" s="406"/>
      <c r="C1088" s="393"/>
      <c r="D1088" s="406"/>
      <c r="E1088" s="439"/>
      <c r="F1088" s="424"/>
      <c r="G1088" s="668"/>
      <c r="H1088" s="594"/>
      <c r="I1088" s="450"/>
      <c r="J1088" s="135"/>
      <c r="K1088" s="439"/>
      <c r="L1088" s="424"/>
      <c r="M1088" s="135"/>
      <c r="N1088" s="439"/>
      <c r="O1088" s="424"/>
      <c r="P1088" s="135"/>
    </row>
    <row r="1089" customFormat="false" ht="18.75" hidden="false" customHeight="true" outlineLevel="0" collapsed="false">
      <c r="A1089" s="208"/>
      <c r="B1089" s="595"/>
      <c r="C1089" s="366"/>
      <c r="D1089" s="595"/>
      <c r="E1089" s="596"/>
      <c r="F1089" s="407"/>
      <c r="G1089" s="668"/>
      <c r="H1089" s="595"/>
      <c r="I1089" s="440"/>
      <c r="J1089" s="135"/>
      <c r="K1089" s="596"/>
      <c r="L1089" s="440"/>
      <c r="M1089" s="135"/>
      <c r="N1089" s="596"/>
      <c r="O1089" s="440"/>
      <c r="P1089" s="135"/>
    </row>
    <row r="1090" customFormat="false" ht="18.75" hidden="false" customHeight="true" outlineLevel="0" collapsed="false">
      <c r="A1090" s="192"/>
      <c r="B1090" s="406"/>
      <c r="C1090" s="181"/>
      <c r="D1090" s="406"/>
      <c r="E1090" s="592"/>
      <c r="F1090" s="424"/>
      <c r="G1090" s="668"/>
      <c r="H1090" s="406"/>
      <c r="I1090" s="619"/>
      <c r="J1090" s="135"/>
      <c r="K1090" s="592"/>
      <c r="L1090" s="619"/>
      <c r="M1090" s="135"/>
      <c r="N1090" s="592"/>
      <c r="O1090" s="619"/>
      <c r="P1090" s="135"/>
    </row>
    <row r="1091" customFormat="false" ht="18.75" hidden="false" customHeight="true" outlineLevel="0" collapsed="false">
      <c r="A1091" s="192"/>
      <c r="B1091" s="595"/>
      <c r="C1091" s="393"/>
      <c r="D1091" s="596"/>
      <c r="E1091" s="440"/>
      <c r="F1091" s="407"/>
      <c r="G1091" s="392"/>
      <c r="H1091" s="406"/>
      <c r="I1091" s="440"/>
      <c r="J1091" s="135"/>
      <c r="K1091" s="596"/>
      <c r="L1091" s="440"/>
      <c r="M1091" s="135"/>
      <c r="N1091" s="596"/>
      <c r="O1091" s="440"/>
      <c r="P1091" s="135"/>
    </row>
    <row r="1092" customFormat="false" ht="18.75" hidden="false" customHeight="true" outlineLevel="0" collapsed="false">
      <c r="A1092" s="605"/>
      <c r="B1092" s="622"/>
      <c r="C1092" s="253"/>
      <c r="D1092" s="623"/>
      <c r="E1092" s="624"/>
      <c r="F1092" s="761"/>
      <c r="G1092" s="671"/>
      <c r="H1092" s="622"/>
      <c r="I1092" s="623"/>
      <c r="J1092" s="623" t="n">
        <f aca="false">SUM(H1092:I1092)</f>
        <v>0</v>
      </c>
      <c r="K1092" s="622"/>
      <c r="L1092" s="623"/>
      <c r="M1092" s="697" t="n">
        <f aca="false">SUM(K1092:L1092)</f>
        <v>0</v>
      </c>
      <c r="N1092" s="622"/>
      <c r="O1092" s="623"/>
      <c r="P1092" s="697" t="n">
        <f aca="false">SUM(N1092:O1092)</f>
        <v>0</v>
      </c>
    </row>
    <row r="1093" customFormat="false" ht="18.75" hidden="false" customHeight="true" outlineLevel="0" collapsed="false">
      <c r="A1093" s="171" t="str">
        <f aca="false">'☆掛負収入'!A1093</f>
        <v>派遣団体　計</v>
      </c>
      <c r="B1093" s="404" t="n">
        <f aca="false">SUM(B1063:B1092)</f>
        <v>150656</v>
      </c>
      <c r="C1093" s="175" t="n">
        <f aca="false">SUM(C1063:C1092)</f>
        <v>12350</v>
      </c>
      <c r="D1093" s="404" t="n">
        <f aca="false">SUM(D1063:D1092)</f>
        <v>466834</v>
      </c>
      <c r="E1093" s="276" t="n">
        <f aca="false">SUM(E1063:E1092)</f>
        <v>38272</v>
      </c>
      <c r="F1093" s="175" t="n">
        <f aca="false">SUM(F1063:F1092)</f>
        <v>490</v>
      </c>
      <c r="G1093" s="176" t="n">
        <f aca="false">SUM(B1093:F1093)</f>
        <v>668602</v>
      </c>
      <c r="H1093" s="404" t="n">
        <f aca="false">SUM(H1063:H1092)</f>
        <v>97754</v>
      </c>
      <c r="I1093" s="174" t="n">
        <f aca="false">SUM(I1063:I1092)</f>
        <v>300857</v>
      </c>
      <c r="J1093" s="175" t="n">
        <f aca="false">SUM(H1093:I1093)</f>
        <v>398611</v>
      </c>
      <c r="K1093" s="404" t="n">
        <f aca="false">SUM(K1063:K1092)</f>
        <v>8331</v>
      </c>
      <c r="L1093" s="174" t="n">
        <f aca="false">SUM(L1063:L1092)</f>
        <v>30550</v>
      </c>
      <c r="M1093" s="173" t="n">
        <f aca="false">SUM(K1093:L1093)</f>
        <v>38881</v>
      </c>
      <c r="N1093" s="404" t="n">
        <f aca="false">SUM(N1063:N1092)</f>
        <v>9</v>
      </c>
      <c r="O1093" s="174" t="n">
        <f aca="false">SUM(O1063:O1092)</f>
        <v>20</v>
      </c>
      <c r="P1093" s="173" t="n">
        <f aca="false">SUM(N1093:O1093)</f>
        <v>29</v>
      </c>
    </row>
    <row r="1094" customFormat="false" ht="18.75" hidden="true" customHeight="true" outlineLevel="0" collapsed="false">
      <c r="A1094" s="604"/>
      <c r="B1094" s="622"/>
      <c r="C1094" s="253"/>
      <c r="D1094" s="623"/>
      <c r="E1094" s="624"/>
      <c r="F1094" s="625"/>
      <c r="G1094" s="626"/>
      <c r="H1094" s="627"/>
      <c r="I1094" s="628"/>
      <c r="J1094" s="629"/>
      <c r="K1094" s="630"/>
      <c r="L1094" s="631"/>
      <c r="M1094" s="632"/>
      <c r="N1094" s="630"/>
      <c r="O1094" s="631"/>
      <c r="P1094" s="632"/>
    </row>
    <row r="1095" customFormat="false" ht="18.75" hidden="true" customHeight="true" outlineLevel="0" collapsed="false">
      <c r="A1095" s="633"/>
      <c r="B1095" s="606"/>
      <c r="C1095" s="608"/>
      <c r="D1095" s="623"/>
      <c r="E1095" s="624"/>
      <c r="F1095" s="253"/>
      <c r="G1095" s="621"/>
      <c r="H1095" s="634"/>
      <c r="I1095" s="635"/>
      <c r="J1095" s="383"/>
      <c r="K1095" s="636"/>
      <c r="L1095" s="637"/>
      <c r="M1095" s="638"/>
      <c r="N1095" s="636"/>
      <c r="O1095" s="637"/>
      <c r="P1095" s="638"/>
    </row>
    <row r="1096" customFormat="false" ht="18.75" hidden="false" customHeight="true" outlineLevel="0" collapsed="false">
      <c r="A1096" s="189" t="str">
        <f aca="false">'☆掛負収入'!A1096</f>
        <v>高速交通（株）</v>
      </c>
      <c r="B1096" s="464" t="n">
        <f aca="false">'☆掛負収入'!B1096</f>
        <v>4941</v>
      </c>
      <c r="C1096" s="466" t="n">
        <f aca="false">'☆掛負収入'!C1096</f>
        <v>405</v>
      </c>
      <c r="D1096" s="452" t="n">
        <f aca="false">'☆掛負収入'!D1096</f>
        <v>4941</v>
      </c>
      <c r="E1096" s="462" t="n">
        <f aca="false">'☆掛負収入'!E1096</f>
        <v>405</v>
      </c>
      <c r="F1096" s="454" t="n">
        <f aca="false">'☆掛負収入'!F1096</f>
        <v>5</v>
      </c>
      <c r="G1096" s="366" t="n">
        <f aca="false">SUM(B1096:F1096)</f>
        <v>10697</v>
      </c>
      <c r="H1096" s="634"/>
      <c r="I1096" s="635"/>
      <c r="J1096" s="755"/>
      <c r="K1096" s="636"/>
      <c r="L1096" s="637"/>
      <c r="M1096" s="751"/>
      <c r="N1096" s="636"/>
      <c r="O1096" s="637"/>
      <c r="P1096" s="751"/>
    </row>
    <row r="1097" customFormat="false" ht="18.75" hidden="false" customHeight="true" outlineLevel="0" collapsed="false">
      <c r="A1097" s="641" t="s">
        <v>201</v>
      </c>
      <c r="B1097" s="464" t="n">
        <f aca="false">'☆掛負収入'!B1097</f>
        <v>3020</v>
      </c>
      <c r="C1097" s="466" t="n">
        <f aca="false">'☆掛負収入'!C1097</f>
        <v>248</v>
      </c>
      <c r="D1097" s="452" t="n">
        <f aca="false">'☆掛負収入'!D1097</f>
        <v>3020</v>
      </c>
      <c r="E1097" s="462" t="n">
        <f aca="false">'☆掛負収入'!E1097</f>
        <v>248</v>
      </c>
      <c r="F1097" s="454" t="n">
        <f aca="false">'☆掛負収入'!F1097</f>
        <v>3</v>
      </c>
      <c r="G1097" s="366" t="n">
        <f aca="false">SUM(B1097:F1097)</f>
        <v>6539</v>
      </c>
      <c r="H1097" s="634"/>
      <c r="I1097" s="635"/>
      <c r="J1097" s="755"/>
      <c r="K1097" s="636"/>
      <c r="L1097" s="637"/>
      <c r="M1097" s="751"/>
      <c r="N1097" s="636"/>
      <c r="O1097" s="637"/>
      <c r="P1097" s="751"/>
    </row>
    <row r="1098" customFormat="false" ht="18.75" hidden="false" customHeight="true" outlineLevel="0" collapsed="false">
      <c r="A1098" s="171" t="str">
        <f aca="false">'☆掛負収入'!A1098</f>
        <v>株式会社　計</v>
      </c>
      <c r="B1098" s="172" t="n">
        <f aca="false">SUM(B1096:B1097)</f>
        <v>7961</v>
      </c>
      <c r="C1098" s="175" t="n">
        <f aca="false">SUM(C1094:C1097)</f>
        <v>653</v>
      </c>
      <c r="D1098" s="656" t="n">
        <f aca="false">SUM(D1094:D1097)</f>
        <v>7961</v>
      </c>
      <c r="E1098" s="174" t="n">
        <f aca="false">SUM(E1094:E1097)</f>
        <v>653</v>
      </c>
      <c r="F1098" s="176" t="n">
        <f aca="false">SUM(F1094:F1097)</f>
        <v>8</v>
      </c>
      <c r="G1098" s="175" t="n">
        <f aca="false">SUM(B1098:F1098)</f>
        <v>17236</v>
      </c>
      <c r="H1098" s="649"/>
      <c r="I1098" s="652"/>
      <c r="J1098" s="756"/>
      <c r="K1098" s="757"/>
      <c r="L1098" s="758"/>
      <c r="M1098" s="759"/>
      <c r="N1098" s="757"/>
      <c r="O1098" s="758"/>
      <c r="P1098" s="759"/>
    </row>
    <row r="1099" customFormat="false" ht="18.75" hidden="false" customHeight="true" outlineLevel="0" collapsed="false">
      <c r="A1099" s="100" t="str">
        <f aca="false">'☆掛負収入'!A1099</f>
        <v>市職員労働組合</v>
      </c>
      <c r="B1099" s="449" t="n">
        <f aca="false">'☆掛負収入'!B1099</f>
        <v>3386</v>
      </c>
      <c r="C1099" s="223" t="n">
        <f aca="false">'☆掛負収入'!C1099</f>
        <v>278</v>
      </c>
      <c r="D1099" s="445" t="n">
        <f aca="false">'☆掛負収入'!D1099</f>
        <v>3386</v>
      </c>
      <c r="E1099" s="463" t="n">
        <f aca="false">'☆掛負収入'!E1099</f>
        <v>278</v>
      </c>
      <c r="F1099" s="223" t="n">
        <f aca="false">'☆掛負収入'!F1099</f>
        <v>0</v>
      </c>
      <c r="G1099" s="181" t="n">
        <f aca="false">SUM(B1099:F1099)</f>
        <v>7328</v>
      </c>
      <c r="H1099" s="448" t="n">
        <f aca="false">'☆掛負収入'!H1099</f>
        <v>2035</v>
      </c>
      <c r="I1099" s="450" t="n">
        <f aca="false">'☆掛負収入'!I1099</f>
        <v>2039</v>
      </c>
      <c r="J1099" s="135" t="n">
        <f aca="false">SUM(H1099:I1099)</f>
        <v>4074</v>
      </c>
      <c r="K1099" s="451" t="n">
        <f aca="false">'☆掛負収入'!K1099</f>
        <v>293</v>
      </c>
      <c r="L1099" s="462" t="n">
        <f aca="false">'☆掛負収入'!L1099</f>
        <v>293</v>
      </c>
      <c r="M1099" s="135" t="n">
        <f aca="false">'☆掛負収入'!M1099</f>
        <v>586</v>
      </c>
      <c r="N1099" s="451" t="n">
        <f aca="false">'☆掛負収入'!N1099</f>
        <v>1</v>
      </c>
      <c r="O1099" s="462" t="n">
        <f aca="false">'☆掛負収入'!O1099</f>
        <v>1</v>
      </c>
      <c r="P1099" s="135" t="n">
        <f aca="false">'☆掛負収入'!P1099</f>
        <v>2</v>
      </c>
    </row>
    <row r="1100" customFormat="false" ht="18.75" hidden="false" customHeight="true" outlineLevel="0" collapsed="false">
      <c r="A1100" s="100" t="str">
        <f aca="false">'☆掛負収入'!A1100</f>
        <v>自治労労働組合</v>
      </c>
      <c r="B1100" s="449" t="n">
        <f aca="false">'☆掛負収入'!B1100</f>
        <v>0</v>
      </c>
      <c r="C1100" s="377" t="n">
        <f aca="false">'☆掛負収入'!C1100</f>
        <v>0</v>
      </c>
      <c r="D1100" s="449" t="n">
        <f aca="false">'☆掛負収入'!D1100</f>
        <v>0</v>
      </c>
      <c r="E1100" s="463" t="n">
        <f aca="false">'☆掛負収入'!E1100</f>
        <v>0</v>
      </c>
      <c r="F1100" s="223" t="n">
        <f aca="false">'☆掛負収入'!F1100</f>
        <v>0</v>
      </c>
      <c r="G1100" s="181" t="n">
        <f aca="false">SUM(B1100:F1100)</f>
        <v>0</v>
      </c>
      <c r="H1100" s="448" t="n">
        <f aca="false">'☆掛負収入'!H1100</f>
        <v>0</v>
      </c>
      <c r="I1100" s="450" t="n">
        <f aca="false">'☆掛負収入'!I1100</f>
        <v>0</v>
      </c>
      <c r="J1100" s="135" t="n">
        <f aca="false">SUM(H1100:I1100)</f>
        <v>0</v>
      </c>
      <c r="K1100" s="448" t="n">
        <f aca="false">'☆掛負収入'!K1100</f>
        <v>0</v>
      </c>
      <c r="L1100" s="450" t="n">
        <f aca="false">'☆掛負収入'!L1100</f>
        <v>0</v>
      </c>
      <c r="M1100" s="135" t="n">
        <f aca="false">SUM(K1100:L1100)</f>
        <v>0</v>
      </c>
      <c r="N1100" s="448" t="n">
        <f aca="false">'☆掛負収入'!N1100</f>
        <v>0</v>
      </c>
      <c r="O1100" s="450" t="n">
        <f aca="false">'☆掛負収入'!O1100</f>
        <v>0</v>
      </c>
      <c r="P1100" s="135" t="n">
        <f aca="false">SUM(N1100:O1100)</f>
        <v>0</v>
      </c>
    </row>
    <row r="1101" customFormat="false" ht="18.75" hidden="false" customHeight="true" outlineLevel="0" collapsed="false">
      <c r="A1101" s="100" t="str">
        <f aca="false">'☆掛負収入'!A1101</f>
        <v>病院労働組合</v>
      </c>
      <c r="B1101" s="449"/>
      <c r="C1101" s="377"/>
      <c r="D1101" s="449"/>
      <c r="E1101" s="463"/>
      <c r="F1101" s="223"/>
      <c r="G1101" s="181" t="n">
        <f aca="false">SUM(B1101:F1101)</f>
        <v>0</v>
      </c>
      <c r="H1101" s="448"/>
      <c r="I1101" s="450"/>
      <c r="J1101" s="135" t="n">
        <f aca="false">SUM(H1101:I1101)</f>
        <v>0</v>
      </c>
      <c r="K1101" s="448"/>
      <c r="L1101" s="450"/>
      <c r="M1101" s="135" t="n">
        <f aca="false">SUM(K1101:L1101)</f>
        <v>0</v>
      </c>
      <c r="N1101" s="448"/>
      <c r="O1101" s="450"/>
      <c r="P1101" s="135" t="n">
        <f aca="false">SUM(N1101:O1101)</f>
        <v>0</v>
      </c>
    </row>
    <row r="1102" customFormat="false" ht="18.75" hidden="false" customHeight="true" outlineLevel="0" collapsed="false">
      <c r="A1102" s="277" t="str">
        <f aca="false">'☆掛負収入'!A1102</f>
        <v>水道労働組合</v>
      </c>
      <c r="B1102" s="491"/>
      <c r="C1102" s="492"/>
      <c r="D1102" s="491"/>
      <c r="E1102" s="467"/>
      <c r="F1102" s="495"/>
      <c r="G1102" s="181" t="n">
        <f aca="false">SUM(B1102:F1102)</f>
        <v>0</v>
      </c>
      <c r="H1102" s="496"/>
      <c r="I1102" s="494"/>
      <c r="J1102" s="135" t="n">
        <f aca="false">SUM(H1102:I1102)</f>
        <v>0</v>
      </c>
      <c r="K1102" s="642"/>
      <c r="L1102" s="493"/>
      <c r="M1102" s="135" t="n">
        <f aca="false">SUM(K1102:L1102)</f>
        <v>0</v>
      </c>
      <c r="N1102" s="642"/>
      <c r="O1102" s="493"/>
      <c r="P1102" s="135" t="n">
        <f aca="false">SUM(N1102:O1102)</f>
        <v>0</v>
      </c>
    </row>
    <row r="1103" customFormat="false" ht="18.75" hidden="false" customHeight="true" outlineLevel="0" collapsed="false">
      <c r="A1103" s="171" t="str">
        <f aca="false">'☆掛負収入'!A1103</f>
        <v>労働組合　計</v>
      </c>
      <c r="B1103" s="404" t="n">
        <f aca="false">SUM(B1099:B1102)</f>
        <v>3386</v>
      </c>
      <c r="C1103" s="175" t="n">
        <f aca="false">SUM(C1099:C1102)</f>
        <v>278</v>
      </c>
      <c r="D1103" s="404" t="n">
        <f aca="false">SUM(D1099:D1102)</f>
        <v>3386</v>
      </c>
      <c r="E1103" s="174" t="n">
        <f aca="false">SUM(E1099:E1102)</f>
        <v>278</v>
      </c>
      <c r="F1103" s="173" t="n">
        <f aca="false">SUM(F1099:F1102)</f>
        <v>0</v>
      </c>
      <c r="G1103" s="172" t="n">
        <f aca="false">SUM(B1103:F1103)</f>
        <v>7328</v>
      </c>
      <c r="H1103" s="404" t="n">
        <f aca="false">SUM(H1099:H1102)</f>
        <v>2035</v>
      </c>
      <c r="I1103" s="174" t="n">
        <f aca="false">SUM(I1099:I1102)</f>
        <v>2039</v>
      </c>
      <c r="J1103" s="175" t="n">
        <f aca="false">SUM(H1103:I1103)</f>
        <v>4074</v>
      </c>
      <c r="K1103" s="173" t="n">
        <f aca="false">SUM(K1099:K1102)</f>
        <v>293</v>
      </c>
      <c r="L1103" s="173" t="n">
        <f aca="false">SUM(L1099:L1102)</f>
        <v>293</v>
      </c>
      <c r="M1103" s="175" t="n">
        <f aca="false">SUM(K1103:L1103)</f>
        <v>586</v>
      </c>
      <c r="N1103" s="173" t="n">
        <f aca="false">SUM(N1099:N1102)</f>
        <v>1</v>
      </c>
      <c r="O1103" s="173" t="n">
        <f aca="false">SUM(O1099:O1102)</f>
        <v>1</v>
      </c>
      <c r="P1103" s="175" t="n">
        <f aca="false">SUM(N1103:O1103)</f>
        <v>2</v>
      </c>
    </row>
    <row r="1104" customFormat="false" ht="18.75" hidden="false" customHeight="true" outlineLevel="0" collapsed="false">
      <c r="A1104" s="277" t="str">
        <f aca="false">'☆掛負収入'!A1104</f>
        <v>任意継続組合員</v>
      </c>
      <c r="B1104" s="256"/>
      <c r="C1104" s="498"/>
      <c r="D1104" s="499"/>
      <c r="E1104" s="500"/>
      <c r="F1104" s="271"/>
      <c r="G1104" s="268"/>
      <c r="H1104" s="653"/>
      <c r="I1104" s="257"/>
      <c r="J1104" s="257"/>
      <c r="K1104" s="672"/>
      <c r="L1104" s="654"/>
      <c r="M1104" s="267"/>
      <c r="N1104" s="672"/>
      <c r="O1104" s="654"/>
      <c r="P1104" s="267"/>
    </row>
    <row r="1105" customFormat="false" ht="30" hidden="false" customHeight="true" outlineLevel="0" collapsed="false">
      <c r="A1105" s="655" t="str">
        <f aca="false">'☆掛負収入'!A1105</f>
        <v>総　　計</v>
      </c>
      <c r="B1105" s="404" t="n">
        <f aca="false">SUM(B1062+B1093+B1098+B1103)</f>
        <v>162003</v>
      </c>
      <c r="C1105" s="175" t="n">
        <f aca="false">SUM(C1062+C1093+C1098+C1103)</f>
        <v>13281</v>
      </c>
      <c r="D1105" s="656" t="n">
        <f aca="false">SUM(D1062+D1093+D1098+D1103)</f>
        <v>478181</v>
      </c>
      <c r="E1105" s="174" t="n">
        <f aca="false">SUM(E1062+E1093+E1098+E1103)</f>
        <v>39203</v>
      </c>
      <c r="F1105" s="176" t="n">
        <f aca="false">SUM(F1062+F1093+F1098+F1103)</f>
        <v>498</v>
      </c>
      <c r="G1105" s="172" t="n">
        <f aca="false">SUM(B1105:F1105)</f>
        <v>693166</v>
      </c>
      <c r="H1105" s="404" t="n">
        <f aca="false">SUM(H1062+H1093+H1098+H1103+H1104)</f>
        <v>99789</v>
      </c>
      <c r="I1105" s="174" t="n">
        <f aca="false">SUM(I1062+I1093+I1098+I1103+I1104)</f>
        <v>302896</v>
      </c>
      <c r="J1105" s="175" t="n">
        <f aca="false">SUM(H1105:I1105)</f>
        <v>402685</v>
      </c>
      <c r="K1105" s="173" t="n">
        <f aca="false">K1062+K1093+K1098+K1103+K1104</f>
        <v>8624</v>
      </c>
      <c r="L1105" s="173" t="n">
        <f aca="false">L1062+L1093+L1098+L1103</f>
        <v>30843</v>
      </c>
      <c r="M1105" s="175" t="n">
        <f aca="false">SUM(K1105:L1105)</f>
        <v>39467</v>
      </c>
      <c r="N1105" s="173" t="n">
        <f aca="false">N1062+N1093+N1098+N1103+N1104</f>
        <v>10</v>
      </c>
      <c r="O1105" s="173" t="n">
        <f aca="false">O1062+O1093+O1098+O1103</f>
        <v>21</v>
      </c>
      <c r="P1105" s="175" t="n">
        <f aca="false">SUM(N1105:O1105)</f>
        <v>31</v>
      </c>
    </row>
    <row r="1106" customFormat="false" ht="17.25" hidden="true" customHeight="false" outlineLevel="0" collapsed="false"/>
    <row r="1107" customFormat="false" ht="17.25" hidden="true" customHeight="false" outlineLevel="0" collapsed="false"/>
    <row r="1108" customFormat="false" ht="17.25" hidden="true" customHeight="false" outlineLevel="0" collapsed="false"/>
    <row r="1109" customFormat="false" ht="17.25" hidden="true" customHeight="false" outlineLevel="0" collapsed="false"/>
    <row r="1110" customFormat="false" ht="17.25" hidden="true" customHeight="false" outlineLevel="0" collapsed="false"/>
    <row r="1111" customFormat="false" ht="17.25" hidden="true" customHeight="false" outlineLevel="0" collapsed="false"/>
    <row r="1112" customFormat="false" ht="17.25" hidden="true" customHeight="false" outlineLevel="0" collapsed="false"/>
    <row r="1113" customFormat="false" ht="17.25" hidden="true" customHeight="false" outlineLevel="0" collapsed="false"/>
    <row r="1114" customFormat="false" ht="17.25" hidden="true" customHeight="false" outlineLevel="0" collapsed="false"/>
    <row r="1115" customFormat="false" ht="17.25" hidden="true" customHeight="false" outlineLevel="0" collapsed="false"/>
    <row r="1116" customFormat="false" ht="17.25" hidden="true" customHeight="false" outlineLevel="0" collapsed="false"/>
    <row r="1117" customFormat="false" ht="17.25" hidden="true" customHeight="false" outlineLevel="0" collapsed="false"/>
    <row r="1118" customFormat="false" ht="17.25" hidden="true" customHeight="false" outlineLevel="0" collapsed="false"/>
    <row r="1119" customFormat="false" ht="17.25" hidden="true" customHeight="false" outlineLevel="0" collapsed="false"/>
    <row r="1120" customFormat="false" ht="17.25" hidden="true" customHeight="false" outlineLevel="0" collapsed="false"/>
    <row r="1121" customFormat="false" ht="17.25" hidden="true" customHeight="false" outlineLevel="0" collapsed="false"/>
    <row r="1122" customFormat="false" ht="17.25" hidden="true" customHeight="false" outlineLevel="0" collapsed="false"/>
    <row r="1123" customFormat="false" ht="17.25" hidden="true" customHeight="false" outlineLevel="0" collapsed="false"/>
    <row r="1124" customFormat="false" ht="17.25" hidden="true" customHeight="false" outlineLevel="0" collapsed="false"/>
    <row r="1125" customFormat="false" ht="17.25" hidden="true" customHeight="false" outlineLevel="0" collapsed="false"/>
    <row r="1126" customFormat="false" ht="17.25" hidden="true" customHeight="false" outlineLevel="0" collapsed="false"/>
    <row r="1127" customFormat="false" ht="17.25" hidden="true" customHeight="false" outlineLevel="0" collapsed="false"/>
    <row r="1128" customFormat="false" ht="17.25" hidden="true" customHeight="false" outlineLevel="0" collapsed="false"/>
    <row r="1129" customFormat="false" ht="30" hidden="false" customHeight="true" outlineLevel="0" collapsed="false">
      <c r="A1129" s="295"/>
      <c r="B1129" s="752" t="str">
        <f aca="false">'☆掛負収入'!B1129</f>
        <v>令和8年度</v>
      </c>
      <c r="C1129" s="752"/>
      <c r="D1129" s="753" t="str">
        <f aca="false">'☆掛負収入'!D1129</f>
        <v>給与改定差額分（賞与）　6月+12月分 </v>
      </c>
      <c r="E1129" s="753"/>
      <c r="F1129" s="753"/>
      <c r="G1129" s="753"/>
      <c r="H1129" s="752" t="str">
        <f aca="false">B1129</f>
        <v>令和8年度</v>
      </c>
      <c r="I1129" s="754" t="str">
        <f aca="false">D1129</f>
        <v>給与改定差額分（賞与）　6月+12月分 </v>
      </c>
      <c r="J1129" s="754"/>
      <c r="K1129" s="752" t="str">
        <f aca="false">H1129</f>
        <v>令和8年度</v>
      </c>
      <c r="L1129" s="754" t="str">
        <f aca="false">I1129</f>
        <v>給与改定差額分（賞与）　6月+12月分 </v>
      </c>
      <c r="M1129" s="754"/>
      <c r="N1129" s="752" t="str">
        <f aca="false">K1129</f>
        <v>令和8年度</v>
      </c>
      <c r="O1129" s="754" t="str">
        <f aca="false">L1129</f>
        <v>給与改定差額分（賞与）　6月+12月分 </v>
      </c>
      <c r="P1129" s="754"/>
    </row>
    <row r="1130" customFormat="false" ht="22.5" hidden="false" customHeight="true" outlineLevel="0" collapsed="false">
      <c r="A1130" s="89" t="str">
        <f aca="false">'☆掛負収入'!A1130</f>
        <v>区　　分</v>
      </c>
      <c r="B1130" s="89" t="str">
        <f aca="false">'☆掛負収入'!B1130</f>
        <v>長　期　経　理</v>
      </c>
      <c r="C1130" s="89" t="n">
        <f aca="false">'☆掛負収入'!C1130</f>
        <v>0</v>
      </c>
      <c r="D1130" s="89" t="n">
        <f aca="false">'☆掛負収入'!D1130</f>
        <v>0</v>
      </c>
      <c r="E1130" s="89" t="n">
        <f aca="false">'☆掛負収入'!E1130</f>
        <v>0</v>
      </c>
      <c r="F1130" s="89" t="n">
        <f aca="false">'☆掛負収入'!F1130</f>
        <v>0</v>
      </c>
      <c r="G1130" s="89" t="n">
        <f aca="false">'☆掛負収入'!G1130</f>
        <v>0</v>
      </c>
      <c r="H1130" s="91" t="str">
        <f aca="false">'☆掛負収入'!H1130</f>
        <v>短　期　経　理</v>
      </c>
      <c r="I1130" s="91" t="n">
        <f aca="false">'☆掛負収入'!I1130</f>
        <v>0</v>
      </c>
      <c r="J1130" s="91" t="n">
        <f aca="false">'☆掛負収入'!J1130</f>
        <v>0</v>
      </c>
      <c r="K1130" s="91" t="str">
        <f aca="false">'☆掛負収入'!K1130</f>
        <v>介　護　納　付　金</v>
      </c>
      <c r="L1130" s="91" t="n">
        <f aca="false">'☆掛負収入'!L1130</f>
        <v>0</v>
      </c>
      <c r="M1130" s="91" t="n">
        <f aca="false">'☆掛負収入'!M1130</f>
        <v>0</v>
      </c>
      <c r="N1130" s="91" t="str">
        <f aca="false">'☆掛負収入'!N1130</f>
        <v>子ども・子育て支援納付金</v>
      </c>
      <c r="O1130" s="91" t="n">
        <f aca="false">'☆掛負収入'!O1130</f>
        <v>0</v>
      </c>
      <c r="P1130" s="91" t="n">
        <f aca="false">'☆掛負収入'!P1130</f>
        <v>0</v>
      </c>
    </row>
    <row r="1131" customFormat="false" ht="22.5" hidden="false" customHeight="true" outlineLevel="0" collapsed="false">
      <c r="A1131" s="89" t="n">
        <f aca="false">'☆掛負収入'!A1131</f>
        <v>0</v>
      </c>
      <c r="B1131" s="92" t="str">
        <f aca="false">'☆掛負収入'!B1131</f>
        <v>組合員負担分</v>
      </c>
      <c r="C1131" s="92" t="n">
        <f aca="false">'☆掛負収入'!C1131</f>
        <v>0</v>
      </c>
      <c r="D1131" s="92" t="str">
        <f aca="false">'☆掛負収入'!D1131</f>
        <v>事業主負担分</v>
      </c>
      <c r="E1131" s="92" t="n">
        <f aca="false">'☆掛負収入'!E1131</f>
        <v>0</v>
      </c>
      <c r="F1131" s="92" t="n">
        <f aca="false">'☆掛負収入'!F1131</f>
        <v>0</v>
      </c>
      <c r="G1131" s="586" t="str">
        <f aca="false">'☆掛負収入'!G1131</f>
        <v>計</v>
      </c>
      <c r="H1131" s="96" t="str">
        <f aca="false">'☆掛負収入'!H1131</f>
        <v>掛　金</v>
      </c>
      <c r="I1131" s="94" t="str">
        <f aca="false">'☆掛負収入'!I1131</f>
        <v>負担金</v>
      </c>
      <c r="J1131" s="95" t="str">
        <f aca="false">'☆掛負収入'!J1131</f>
        <v>計</v>
      </c>
      <c r="K1131" s="96" t="str">
        <f aca="false">'☆掛負収入'!K1131</f>
        <v>掛　金</v>
      </c>
      <c r="L1131" s="94" t="str">
        <f aca="false">'☆掛負収入'!L1131</f>
        <v>負担金</v>
      </c>
      <c r="M1131" s="95" t="str">
        <f aca="false">'☆掛負収入'!M1131</f>
        <v>計</v>
      </c>
      <c r="N1131" s="96" t="str">
        <f aca="false">'☆掛負収入'!N1131</f>
        <v>掛　金</v>
      </c>
      <c r="O1131" s="94" t="str">
        <f aca="false">'☆掛負収入'!O1131</f>
        <v>負担金</v>
      </c>
      <c r="P1131" s="95" t="str">
        <f aca="false">'☆掛負収入'!P1131</f>
        <v>計</v>
      </c>
    </row>
    <row r="1132" customFormat="false" ht="22.5" hidden="false" customHeight="true" outlineLevel="0" collapsed="false">
      <c r="A1132" s="89" t="n">
        <f aca="false">'☆掛負収入'!A1132</f>
        <v>0</v>
      </c>
      <c r="B1132" s="587" t="str">
        <f aca="false">'☆掛負収入'!B1132</f>
        <v>厚生年金保険料</v>
      </c>
      <c r="C1132" s="588" t="str">
        <f aca="false">'☆掛負収入'!C1132</f>
        <v>退職等年金掛金</v>
      </c>
      <c r="D1132" s="589" t="str">
        <f aca="false">'☆掛負収入'!D1132</f>
        <v>厚生年金保険料</v>
      </c>
      <c r="E1132" s="589" t="str">
        <f aca="false">'☆掛負収入'!E1132</f>
        <v>退職等年金負担金</v>
      </c>
      <c r="F1132" s="590" t="str">
        <f aca="false">'☆掛負収入'!F1132</f>
        <v>経過的長期</v>
      </c>
      <c r="G1132" s="586" t="n">
        <f aca="false">'☆掛負収入'!G1132</f>
        <v>0</v>
      </c>
      <c r="H1132" s="96" t="n">
        <f aca="false">'☆掛負収入'!H1132</f>
        <v>0</v>
      </c>
      <c r="I1132" s="94" t="n">
        <f aca="false">'☆掛負収入'!I1132</f>
        <v>0</v>
      </c>
      <c r="J1132" s="95" t="n">
        <f aca="false">'☆掛負収入'!J1132</f>
        <v>0</v>
      </c>
      <c r="K1132" s="96" t="n">
        <f aca="false">'☆掛負収入'!K1132</f>
        <v>0</v>
      </c>
      <c r="L1132" s="94" t="n">
        <f aca="false">'☆掛負収入'!L1132</f>
        <v>0</v>
      </c>
      <c r="M1132" s="95" t="n">
        <f aca="false">'☆掛負収入'!M1132</f>
        <v>0</v>
      </c>
      <c r="N1132" s="96" t="n">
        <f aca="false">'☆掛負収入'!N1132</f>
        <v>0</v>
      </c>
      <c r="O1132" s="94" t="n">
        <f aca="false">'☆掛負収入'!O1132</f>
        <v>0</v>
      </c>
      <c r="P1132" s="95" t="n">
        <f aca="false">'☆掛負収入'!P1132</f>
        <v>0</v>
      </c>
    </row>
    <row r="1133" customFormat="false" ht="18.75" hidden="false" customHeight="true" outlineLevel="0" collapsed="false">
      <c r="A1133" s="100" t="str">
        <f aca="false">'☆掛負収入'!A1133</f>
        <v>市長部局</v>
      </c>
      <c r="B1133" s="591"/>
      <c r="C1133" s="364"/>
      <c r="D1133" s="592"/>
      <c r="E1133" s="592"/>
      <c r="F1133" s="184"/>
      <c r="G1133" s="364"/>
      <c r="H1133" s="591"/>
      <c r="I1133" s="593"/>
      <c r="J1133" s="181"/>
      <c r="K1133" s="594"/>
      <c r="L1133" s="593"/>
      <c r="M1133" s="181"/>
      <c r="N1133" s="594"/>
      <c r="O1133" s="593"/>
      <c r="P1133" s="181"/>
    </row>
    <row r="1134" customFormat="false" ht="18.75" hidden="false" customHeight="true" outlineLevel="0" collapsed="false">
      <c r="A1134" s="100" t="str">
        <f aca="false">'☆掛負収入'!A1134</f>
        <v>下水道局</v>
      </c>
      <c r="B1134" s="406"/>
      <c r="C1134" s="181"/>
      <c r="D1134" s="592"/>
      <c r="E1134" s="592"/>
      <c r="F1134" s="135"/>
      <c r="G1134" s="181"/>
      <c r="H1134" s="594"/>
      <c r="I1134" s="424"/>
      <c r="J1134" s="135"/>
      <c r="K1134" s="595"/>
      <c r="L1134" s="596"/>
      <c r="M1134" s="135"/>
      <c r="N1134" s="595"/>
      <c r="O1134" s="596"/>
      <c r="P1134" s="135"/>
    </row>
    <row r="1135" customFormat="false" ht="18.75" hidden="false" customHeight="true" outlineLevel="0" collapsed="false">
      <c r="A1135" s="100" t="str">
        <f aca="false">'☆掛負収入'!A1135</f>
        <v>消防局</v>
      </c>
      <c r="B1135" s="406"/>
      <c r="C1135" s="181"/>
      <c r="D1135" s="592"/>
      <c r="E1135" s="592"/>
      <c r="F1135" s="135"/>
      <c r="G1135" s="181"/>
      <c r="H1135" s="595"/>
      <c r="I1135" s="439"/>
      <c r="J1135" s="135"/>
      <c r="K1135" s="595"/>
      <c r="L1135" s="439"/>
      <c r="M1135" s="135"/>
      <c r="N1135" s="595"/>
      <c r="O1135" s="439"/>
      <c r="P1135" s="135"/>
    </row>
    <row r="1136" customFormat="false" ht="18.75" hidden="false" customHeight="true" outlineLevel="0" collapsed="false">
      <c r="A1136" s="100" t="str">
        <f aca="false">'☆掛負収入'!A1136</f>
        <v>議会事務局</v>
      </c>
      <c r="B1136" s="406"/>
      <c r="C1136" s="181"/>
      <c r="D1136" s="592"/>
      <c r="E1136" s="592"/>
      <c r="F1136" s="135"/>
      <c r="G1136" s="181"/>
      <c r="H1136" s="406"/>
      <c r="I1136" s="439"/>
      <c r="J1136" s="135"/>
      <c r="K1136" s="406"/>
      <c r="L1136" s="439"/>
      <c r="M1136" s="135"/>
      <c r="N1136" s="406"/>
      <c r="O1136" s="439"/>
      <c r="P1136" s="135"/>
    </row>
    <row r="1137" customFormat="false" ht="18.75" hidden="false" customHeight="true" outlineLevel="0" collapsed="false">
      <c r="A1137" s="100" t="str">
        <f aca="false">'☆掛負収入'!A1137</f>
        <v>教育委員会</v>
      </c>
      <c r="B1137" s="406"/>
      <c r="C1137" s="181"/>
      <c r="D1137" s="592"/>
      <c r="E1137" s="592"/>
      <c r="F1137" s="135"/>
      <c r="G1137" s="181"/>
      <c r="H1137" s="406"/>
      <c r="I1137" s="439"/>
      <c r="J1137" s="135"/>
      <c r="K1137" s="406"/>
      <c r="L1137" s="439"/>
      <c r="M1137" s="135"/>
      <c r="N1137" s="406"/>
      <c r="O1137" s="439"/>
      <c r="P1137" s="135"/>
    </row>
    <row r="1138" customFormat="false" ht="18.75" hidden="false" customHeight="true" outlineLevel="0" collapsed="false">
      <c r="A1138" s="100" t="str">
        <f aca="false">'☆掛負収入'!A1138</f>
        <v>選挙管理委員会</v>
      </c>
      <c r="B1138" s="406"/>
      <c r="C1138" s="181"/>
      <c r="D1138" s="592"/>
      <c r="E1138" s="592"/>
      <c r="F1138" s="135"/>
      <c r="G1138" s="181"/>
      <c r="H1138" s="594"/>
      <c r="I1138" s="424"/>
      <c r="J1138" s="135"/>
      <c r="K1138" s="406"/>
      <c r="L1138" s="439"/>
      <c r="M1138" s="135"/>
      <c r="N1138" s="406"/>
      <c r="O1138" s="439"/>
      <c r="P1138" s="135"/>
    </row>
    <row r="1139" customFormat="false" ht="18.75" hidden="false" customHeight="true" outlineLevel="0" collapsed="false">
      <c r="A1139" s="100" t="str">
        <f aca="false">'☆掛負収入'!A1139</f>
        <v>人事委員会</v>
      </c>
      <c r="B1139" s="406"/>
      <c r="C1139" s="181"/>
      <c r="D1139" s="592"/>
      <c r="E1139" s="592"/>
      <c r="F1139" s="135"/>
      <c r="G1139" s="181"/>
      <c r="H1139" s="594"/>
      <c r="I1139" s="424"/>
      <c r="J1139" s="135"/>
      <c r="K1139" s="594"/>
      <c r="L1139" s="424"/>
      <c r="M1139" s="135"/>
      <c r="N1139" s="594"/>
      <c r="O1139" s="424"/>
      <c r="P1139" s="135"/>
    </row>
    <row r="1140" customFormat="false" ht="18.75" hidden="false" customHeight="true" outlineLevel="0" collapsed="false">
      <c r="A1140" s="100" t="str">
        <f aca="false">'☆掛負収入'!A1140</f>
        <v>監査事務局</v>
      </c>
      <c r="B1140" s="406"/>
      <c r="C1140" s="181"/>
      <c r="D1140" s="592"/>
      <c r="E1140" s="592"/>
      <c r="F1140" s="135"/>
      <c r="G1140" s="181"/>
      <c r="H1140" s="594"/>
      <c r="I1140" s="424"/>
      <c r="J1140" s="135"/>
      <c r="K1140" s="594"/>
      <c r="L1140" s="424"/>
      <c r="M1140" s="135"/>
      <c r="N1140" s="594"/>
      <c r="O1140" s="424"/>
      <c r="P1140" s="135"/>
    </row>
    <row r="1141" customFormat="false" ht="18.75" hidden="false" customHeight="true" outlineLevel="0" collapsed="false">
      <c r="A1141" s="100" t="str">
        <f aca="false">'☆掛負収入'!A1141</f>
        <v>農業委員会</v>
      </c>
      <c r="B1141" s="406"/>
      <c r="C1141" s="181"/>
      <c r="D1141" s="592"/>
      <c r="E1141" s="592"/>
      <c r="F1141" s="135"/>
      <c r="G1141" s="181"/>
      <c r="H1141" s="594"/>
      <c r="I1141" s="424"/>
      <c r="J1141" s="135"/>
      <c r="K1141" s="594"/>
      <c r="L1141" s="424"/>
      <c r="M1141" s="135"/>
      <c r="N1141" s="594"/>
      <c r="O1141" s="424"/>
      <c r="P1141" s="135"/>
    </row>
    <row r="1142" customFormat="false" ht="18.75" hidden="false" customHeight="true" outlineLevel="0" collapsed="false">
      <c r="A1142" s="100" t="str">
        <f aca="false">'☆掛負収入'!A1142</f>
        <v>水道局</v>
      </c>
      <c r="B1142" s="406"/>
      <c r="C1142" s="181"/>
      <c r="D1142" s="592"/>
      <c r="E1142" s="592"/>
      <c r="F1142" s="135"/>
      <c r="G1142" s="181"/>
      <c r="H1142" s="594"/>
      <c r="I1142" s="424"/>
      <c r="J1142" s="135"/>
      <c r="K1142" s="594"/>
      <c r="L1142" s="424"/>
      <c r="M1142" s="135"/>
      <c r="N1142" s="594"/>
      <c r="O1142" s="424"/>
      <c r="P1142" s="135"/>
    </row>
    <row r="1143" customFormat="false" ht="18.75" hidden="false" customHeight="true" outlineLevel="0" collapsed="false">
      <c r="A1143" s="121" t="str">
        <f aca="false">'☆掛負収入'!A1143</f>
        <v>医療政策課(安芸市民)</v>
      </c>
      <c r="B1143" s="595"/>
      <c r="C1143" s="366"/>
      <c r="D1143" s="595"/>
      <c r="E1143" s="596"/>
      <c r="F1143" s="393"/>
      <c r="G1143" s="181"/>
      <c r="H1143" s="597"/>
      <c r="I1143" s="407"/>
      <c r="J1143" s="135"/>
      <c r="K1143" s="594"/>
      <c r="L1143" s="424"/>
      <c r="M1143" s="135"/>
      <c r="N1143" s="594"/>
      <c r="O1143" s="424"/>
      <c r="P1143" s="135"/>
    </row>
    <row r="1144" customFormat="false" ht="18.75" hidden="false" customHeight="true" outlineLevel="0" collapsed="false">
      <c r="A1144" s="121" t="str">
        <f aca="false">'☆掛負収入'!A1144</f>
        <v>教育委員会（教育給与課）</v>
      </c>
      <c r="B1144" s="595"/>
      <c r="C1144" s="181"/>
      <c r="D1144" s="406"/>
      <c r="E1144" s="760"/>
      <c r="F1144" s="380"/>
      <c r="G1144" s="181"/>
      <c r="H1144" s="594"/>
      <c r="I1144" s="424"/>
      <c r="J1144" s="135"/>
      <c r="K1144" s="594"/>
      <c r="L1144" s="424"/>
      <c r="M1144" s="135"/>
      <c r="N1144" s="594"/>
      <c r="O1144" s="424"/>
      <c r="P1144" s="135"/>
    </row>
    <row r="1145" customFormat="false" ht="18.75" hidden="true" customHeight="true" outlineLevel="0" collapsed="false">
      <c r="A1145" s="599"/>
      <c r="B1145" s="600"/>
      <c r="C1145" s="210"/>
      <c r="D1145" s="600"/>
      <c r="E1145" s="458"/>
      <c r="F1145" s="459"/>
      <c r="G1145" s="687"/>
      <c r="H1145" s="602"/>
      <c r="I1145" s="603"/>
      <c r="J1145" s="603"/>
      <c r="K1145" s="602"/>
      <c r="L1145" s="603"/>
      <c r="M1145" s="195"/>
      <c r="N1145" s="602"/>
      <c r="O1145" s="603"/>
      <c r="P1145" s="195"/>
    </row>
    <row r="1146" customFormat="false" ht="18.75" hidden="true" customHeight="true" outlineLevel="0" collapsed="false">
      <c r="A1146" s="604"/>
      <c r="B1146" s="457"/>
      <c r="C1146" s="132"/>
      <c r="D1146" s="457"/>
      <c r="E1146" s="458"/>
      <c r="F1146" s="459"/>
      <c r="G1146" s="435"/>
      <c r="H1146" s="457"/>
      <c r="I1146" s="458"/>
      <c r="J1146" s="458"/>
      <c r="K1146" s="457"/>
      <c r="L1146" s="458"/>
      <c r="M1146" s="130"/>
      <c r="N1146" s="457"/>
      <c r="O1146" s="458"/>
      <c r="P1146" s="130"/>
    </row>
    <row r="1147" customFormat="false" ht="18.75" hidden="true" customHeight="true" outlineLevel="0" collapsed="false">
      <c r="A1147" s="604"/>
      <c r="B1147" s="600"/>
      <c r="C1147" s="210"/>
      <c r="D1147" s="600"/>
      <c r="E1147" s="601"/>
      <c r="F1147" s="196"/>
      <c r="G1147" s="687"/>
      <c r="H1147" s="600"/>
      <c r="I1147" s="601"/>
      <c r="J1147" s="601"/>
      <c r="K1147" s="600"/>
      <c r="L1147" s="601"/>
      <c r="M1147" s="696"/>
      <c r="N1147" s="600"/>
      <c r="O1147" s="601"/>
      <c r="P1147" s="696"/>
    </row>
    <row r="1148" customFormat="false" ht="18.75" hidden="true" customHeight="true" outlineLevel="0" collapsed="false">
      <c r="A1148" s="605"/>
      <c r="B1148" s="606"/>
      <c r="C1148" s="607"/>
      <c r="D1148" s="606"/>
      <c r="E1148" s="490"/>
      <c r="F1148" s="608"/>
      <c r="G1148" s="689"/>
      <c r="H1148" s="457"/>
      <c r="I1148" s="609"/>
      <c r="J1148" s="609"/>
      <c r="K1148" s="457"/>
      <c r="L1148" s="458"/>
      <c r="M1148" s="130"/>
      <c r="N1148" s="457"/>
      <c r="O1148" s="458"/>
      <c r="P1148" s="130"/>
    </row>
    <row r="1149" customFormat="false" ht="18.75" hidden="false" customHeight="true" outlineLevel="0" collapsed="false">
      <c r="A1149" s="171" t="str">
        <f aca="false">'☆掛負収入'!A1149</f>
        <v>小　計</v>
      </c>
      <c r="B1149" s="404"/>
      <c r="C1149" s="174"/>
      <c r="D1149" s="404"/>
      <c r="E1149" s="174"/>
      <c r="F1149" s="175"/>
      <c r="G1149" s="176"/>
      <c r="H1149" s="404"/>
      <c r="I1149" s="174"/>
      <c r="J1149" s="173"/>
      <c r="K1149" s="404"/>
      <c r="L1149" s="174"/>
      <c r="M1149" s="173"/>
      <c r="N1149" s="404"/>
      <c r="O1149" s="174"/>
      <c r="P1149" s="173"/>
    </row>
    <row r="1150" customFormat="false" ht="18.75" hidden="false" customHeight="true" outlineLevel="0" collapsed="false">
      <c r="A1150" s="177" t="str">
        <f aca="false">'☆掛負収入'!A1150</f>
        <v>地方税共同機構</v>
      </c>
      <c r="B1150" s="449" t="n">
        <f aca="false">'☆掛負収入'!B1150</f>
        <v>0</v>
      </c>
      <c r="C1150" s="377" t="n">
        <f aca="false">'☆掛負収入'!C1150</f>
        <v>0</v>
      </c>
      <c r="D1150" s="469" t="n">
        <f aca="false">'☆掛負収入'!D1150</f>
        <v>0</v>
      </c>
      <c r="E1150" s="463" t="n">
        <f aca="false">'☆掛負収入'!E1150</f>
        <v>0</v>
      </c>
      <c r="F1150" s="450" t="n">
        <f aca="false">'☆掛負収入'!F1150</f>
        <v>0</v>
      </c>
      <c r="G1150" s="666" t="n">
        <f aca="false">SUM(B1150:F1150)</f>
        <v>0</v>
      </c>
      <c r="H1150" s="594" t="n">
        <f aca="false">'☆掛負収入'!H1150</f>
        <v>0</v>
      </c>
      <c r="I1150" s="424" t="n">
        <f aca="false">'☆掛負収入'!I1150</f>
        <v>0</v>
      </c>
      <c r="J1150" s="135" t="n">
        <f aca="false">SUM(H1150:I1150)</f>
        <v>0</v>
      </c>
      <c r="K1150" s="439" t="n">
        <f aca="false">'☆掛負収入'!K1150</f>
        <v>0</v>
      </c>
      <c r="L1150" s="424" t="n">
        <f aca="false">'☆掛負収入'!L1150</f>
        <v>0</v>
      </c>
      <c r="M1150" s="135" t="n">
        <f aca="false">SUM(K1150:L1150)</f>
        <v>0</v>
      </c>
      <c r="N1150" s="439" t="n">
        <f aca="false">'☆掛負収入'!N1150</f>
        <v>0</v>
      </c>
      <c r="O1150" s="424" t="n">
        <f aca="false">'☆掛負収入'!O1150</f>
        <v>0</v>
      </c>
      <c r="P1150" s="135" t="n">
        <f aca="false">SUM(N1150:O1150)</f>
        <v>0</v>
      </c>
    </row>
    <row r="1151" customFormat="false" ht="18.75" hidden="false" customHeight="true" outlineLevel="0" collapsed="false">
      <c r="A1151" s="100" t="str">
        <f aca="false">'☆掛負収入'!A1151</f>
        <v>平和文化センター</v>
      </c>
      <c r="B1151" s="449" t="n">
        <f aca="false">'☆掛負収入'!B1151</f>
        <v>0</v>
      </c>
      <c r="C1151" s="377" t="n">
        <f aca="false">'☆掛負収入'!C1151</f>
        <v>0</v>
      </c>
      <c r="D1151" s="464" t="n">
        <f aca="false">'☆掛負収入'!D1151</f>
        <v>70636</v>
      </c>
      <c r="E1151" s="452" t="n">
        <f aca="false">'☆掛負収入'!E1151</f>
        <v>5789</v>
      </c>
      <c r="F1151" s="450" t="n">
        <f aca="false">'☆掛負収入'!F1151</f>
        <v>79</v>
      </c>
      <c r="G1151" s="668" t="n">
        <f aca="false">SUM(B1151:F1151)</f>
        <v>76504</v>
      </c>
      <c r="H1151" s="594" t="n">
        <f aca="false">'☆掛負収入'!H1151</f>
        <v>0</v>
      </c>
      <c r="I1151" s="450" t="n">
        <f aca="false">'☆掛負収入'!I1151</f>
        <v>46348</v>
      </c>
      <c r="J1151" s="135" t="n">
        <f aca="false">SUM(H1151:I1151)</f>
        <v>46348</v>
      </c>
      <c r="K1151" s="439" t="n">
        <f aca="false">'☆掛負収入'!K1151</f>
        <v>0</v>
      </c>
      <c r="L1151" s="424" t="n">
        <f aca="false">'☆掛負収入'!L1151</f>
        <v>5167</v>
      </c>
      <c r="M1151" s="135" t="n">
        <f aca="false">SUM(K1151:L1151)</f>
        <v>5167</v>
      </c>
      <c r="N1151" s="439" t="n">
        <f aca="false">'☆掛負収入'!N1151</f>
        <v>0</v>
      </c>
      <c r="O1151" s="424" t="n">
        <f aca="false">'☆掛負収入'!O1151</f>
        <v>2</v>
      </c>
      <c r="P1151" s="135" t="n">
        <f aca="false">SUM(N1151:O1151)</f>
        <v>2</v>
      </c>
    </row>
    <row r="1152" customFormat="false" ht="18.75" hidden="false" customHeight="true" outlineLevel="0" collapsed="false">
      <c r="A1152" s="100" t="str">
        <f aca="false">'☆掛負収入'!A1152</f>
        <v>社会福祉事業団</v>
      </c>
      <c r="B1152" s="600"/>
      <c r="C1152" s="210"/>
      <c r="D1152" s="451" t="n">
        <f aca="false">'☆掛負収入'!D1152</f>
        <v>197362</v>
      </c>
      <c r="E1152" s="453" t="n">
        <f aca="false">'☆掛負収入'!E1152</f>
        <v>16179</v>
      </c>
      <c r="F1152" s="450" t="n">
        <f aca="false">'☆掛負収入'!F1152</f>
        <v>201</v>
      </c>
      <c r="G1152" s="668" t="n">
        <f aca="false">SUM(B1152:F1152)</f>
        <v>213742</v>
      </c>
      <c r="H1152" s="602"/>
      <c r="I1152" s="450" t="n">
        <f aca="false">'☆掛負収入'!I1152</f>
        <v>133646</v>
      </c>
      <c r="J1152" s="135" t="n">
        <f aca="false">SUM(H1152:I1152)</f>
        <v>133646</v>
      </c>
      <c r="K1152" s="612"/>
      <c r="L1152" s="450" t="n">
        <f aca="false">'☆掛負収入'!L1152</f>
        <v>13321</v>
      </c>
      <c r="M1152" s="135" t="n">
        <f aca="false">SUM(K1152:L1152)</f>
        <v>13321</v>
      </c>
      <c r="N1152" s="612"/>
      <c r="O1152" s="450" t="n">
        <f aca="false">'☆掛負収入'!O1152</f>
        <v>2</v>
      </c>
      <c r="P1152" s="135" t="n">
        <f aca="false">SUM(N1152:O1152)</f>
        <v>2</v>
      </c>
    </row>
    <row r="1153" customFormat="false" ht="18.75" hidden="false" customHeight="true" outlineLevel="0" collapsed="false">
      <c r="A1153" s="100" t="str">
        <f aca="false">'☆掛負収入'!A1153</f>
        <v>原爆障害対策協議会</v>
      </c>
      <c r="B1153" s="600"/>
      <c r="C1153" s="210"/>
      <c r="D1153" s="445" t="n">
        <f aca="false">'☆掛負収入'!D1153</f>
        <v>5124</v>
      </c>
      <c r="E1153" s="453" t="n">
        <f aca="false">'☆掛負収入'!E1153</f>
        <v>420</v>
      </c>
      <c r="F1153" s="450" t="n">
        <f aca="false">'☆掛負収入'!F1153</f>
        <v>6</v>
      </c>
      <c r="G1153" s="668" t="n">
        <f aca="false">SUM(B1153:F1153)</f>
        <v>5550</v>
      </c>
      <c r="H1153" s="602"/>
      <c r="I1153" s="450" t="n">
        <f aca="false">'☆掛負収入'!I1153</f>
        <v>3086</v>
      </c>
      <c r="J1153" s="135" t="n">
        <f aca="false">SUM(H1153:I1153)</f>
        <v>3086</v>
      </c>
      <c r="K1153" s="612"/>
      <c r="L1153" s="450" t="n">
        <f aca="false">'☆掛負収入'!L1153</f>
        <v>442</v>
      </c>
      <c r="M1153" s="135" t="n">
        <f aca="false">SUM(K1153:L1153)</f>
        <v>442</v>
      </c>
      <c r="N1153" s="612"/>
      <c r="O1153" s="450" t="n">
        <f aca="false">'☆掛負収入'!O1153</f>
        <v>2</v>
      </c>
      <c r="P1153" s="135" t="n">
        <f aca="false">SUM(N1153:O1153)</f>
        <v>2</v>
      </c>
    </row>
    <row r="1154" customFormat="false" ht="18.75" hidden="false" customHeight="true" outlineLevel="0" collapsed="false">
      <c r="A1154" s="189" t="str">
        <f aca="false">'☆掛負収入'!A1154</f>
        <v>産業振興センター</v>
      </c>
      <c r="B1154" s="600"/>
      <c r="C1154" s="210"/>
      <c r="D1154" s="445" t="n">
        <f aca="false">'☆掛負収入'!D1154</f>
        <v>43829</v>
      </c>
      <c r="E1154" s="453" t="n">
        <f aca="false">'☆掛負収入'!E1154</f>
        <v>3592</v>
      </c>
      <c r="F1154" s="450" t="n">
        <f aca="false">'☆掛負収入'!F1154</f>
        <v>43</v>
      </c>
      <c r="G1154" s="668" t="n">
        <f aca="false">SUM(B1154:F1154)</f>
        <v>47464</v>
      </c>
      <c r="H1154" s="602"/>
      <c r="I1154" s="450" t="n">
        <f aca="false">'☆掛負収入'!I1154</f>
        <v>26398</v>
      </c>
      <c r="J1154" s="135" t="n">
        <f aca="false">SUM(H1154:I1154)</f>
        <v>26398</v>
      </c>
      <c r="K1154" s="612"/>
      <c r="L1154" s="450" t="n">
        <f aca="false">'☆掛負収入'!L1154</f>
        <v>3499</v>
      </c>
      <c r="M1154" s="135" t="n">
        <f aca="false">SUM(K1154:L1154)</f>
        <v>3499</v>
      </c>
      <c r="N1154" s="612"/>
      <c r="O1154" s="450" t="n">
        <f aca="false">'☆掛負収入'!O1154</f>
        <v>2</v>
      </c>
      <c r="P1154" s="135" t="n">
        <f aca="false">SUM(N1154:O1154)</f>
        <v>2</v>
      </c>
    </row>
    <row r="1155" customFormat="false" ht="18.75" hidden="false" customHeight="true" outlineLevel="0" collapsed="false">
      <c r="A1155" s="121" t="str">
        <f aca="false">'☆掛負収入'!A1155</f>
        <v>ひろしま産業振興</v>
      </c>
      <c r="B1155" s="600"/>
      <c r="C1155" s="459"/>
      <c r="D1155" s="445" t="n">
        <f aca="false">'☆掛負収入'!D1155</f>
        <v>9882</v>
      </c>
      <c r="E1155" s="453" t="n">
        <f aca="false">'☆掛負収入'!E1155</f>
        <v>810</v>
      </c>
      <c r="F1155" s="456" t="n">
        <f aca="false">'☆掛負収入'!F1155</f>
        <v>10</v>
      </c>
      <c r="G1155" s="668" t="n">
        <f aca="false">SUM(B1155:F1155)</f>
        <v>10702</v>
      </c>
      <c r="H1155" s="602"/>
      <c r="I1155" s="456" t="n">
        <f aca="false">'☆掛負収入'!I1155</f>
        <v>5952</v>
      </c>
      <c r="J1155" s="135" t="n">
        <f aca="false">SUM(H1155:I1155)</f>
        <v>5952</v>
      </c>
      <c r="K1155" s="612"/>
      <c r="L1155" s="456" t="n">
        <f aca="false">'☆掛負収入'!L1155</f>
        <v>852</v>
      </c>
      <c r="M1155" s="135" t="n">
        <f aca="false">SUM(K1155:L1155)</f>
        <v>852</v>
      </c>
      <c r="N1155" s="612"/>
      <c r="O1155" s="456" t="n">
        <f aca="false">'☆掛負収入'!O1155</f>
        <v>2</v>
      </c>
      <c r="P1155" s="135" t="n">
        <f aca="false">SUM(N1155:O1155)</f>
        <v>2</v>
      </c>
    </row>
    <row r="1156" customFormat="false" ht="18.75" hidden="false" customHeight="true" outlineLevel="0" collapsed="false">
      <c r="A1156" s="121" t="str">
        <f aca="false">'☆掛負収入'!A1156</f>
        <v>都市整備公社　市</v>
      </c>
      <c r="B1156" s="600"/>
      <c r="C1156" s="459"/>
      <c r="D1156" s="451" t="n">
        <f aca="false">'☆掛負収入'!D1156</f>
        <v>5216</v>
      </c>
      <c r="E1156" s="453" t="n">
        <f aca="false">'☆掛負収入'!E1156</f>
        <v>427</v>
      </c>
      <c r="F1156" s="450" t="n">
        <f aca="false">'☆掛負収入'!F1156</f>
        <v>6</v>
      </c>
      <c r="G1156" s="668" t="n">
        <f aca="false">SUM(B1156:F1156)</f>
        <v>5649</v>
      </c>
      <c r="H1156" s="602"/>
      <c r="I1156" s="450" t="n">
        <f aca="false">'☆掛負収入'!I1156</f>
        <v>3142</v>
      </c>
      <c r="J1156" s="135" t="n">
        <f aca="false">SUM(H1156:I1156)</f>
        <v>3142</v>
      </c>
      <c r="K1156" s="612"/>
      <c r="L1156" s="450" t="n">
        <f aca="false">'☆掛負収入'!L1156</f>
        <v>450</v>
      </c>
      <c r="M1156" s="135" t="n">
        <f aca="false">SUM(K1156:L1156)</f>
        <v>450</v>
      </c>
      <c r="N1156" s="612"/>
      <c r="O1156" s="450" t="n">
        <f aca="false">'☆掛負収入'!O1156</f>
        <v>2</v>
      </c>
      <c r="P1156" s="135" t="n">
        <f aca="false">SUM(N1156:O1156)</f>
        <v>2</v>
      </c>
    </row>
    <row r="1157" customFormat="false" ht="18.75" hidden="false" customHeight="true" outlineLevel="0" collapsed="false">
      <c r="A1157" s="192"/>
      <c r="B1157" s="600"/>
      <c r="C1157" s="196"/>
      <c r="D1157" s="449"/>
      <c r="E1157" s="453"/>
      <c r="F1157" s="450"/>
      <c r="G1157" s="668"/>
      <c r="H1157" s="602"/>
      <c r="I1157" s="450"/>
      <c r="J1157" s="135"/>
      <c r="K1157" s="612"/>
      <c r="L1157" s="450"/>
      <c r="M1157" s="135" t="n">
        <f aca="false">SUM(K1157:L1157)</f>
        <v>0</v>
      </c>
      <c r="N1157" s="612"/>
      <c r="O1157" s="450"/>
      <c r="P1157" s="135" t="n">
        <f aca="false">SUM(N1157:O1157)</f>
        <v>0</v>
      </c>
    </row>
    <row r="1158" customFormat="false" ht="18.75" hidden="false" customHeight="true" outlineLevel="0" collapsed="false">
      <c r="A1158" s="121" t="str">
        <f aca="false">'☆掛負収入'!A1158</f>
        <v>日本下水道事業団</v>
      </c>
      <c r="B1158" s="451" t="n">
        <f aca="false">'☆掛負収入'!B1158</f>
        <v>41083</v>
      </c>
      <c r="C1158" s="223" t="n">
        <f aca="false">'☆掛負収入'!C1158</f>
        <v>3367</v>
      </c>
      <c r="D1158" s="449" t="n">
        <f aca="false">'☆掛負収入'!D1158</f>
        <v>41084</v>
      </c>
      <c r="E1158" s="453" t="n">
        <f aca="false">'☆掛負収入'!E1158</f>
        <v>3367</v>
      </c>
      <c r="F1158" s="450" t="n">
        <f aca="false">'☆掛負収入'!F1158</f>
        <v>41</v>
      </c>
      <c r="G1158" s="668" t="n">
        <f aca="false">SUM(B1158:F1158)</f>
        <v>88942</v>
      </c>
      <c r="H1158" s="448" t="n">
        <f aca="false">'☆掛負収入'!H1158</f>
        <v>24700</v>
      </c>
      <c r="I1158" s="450" t="n">
        <f aca="false">'☆掛負収入'!I1158</f>
        <v>24745</v>
      </c>
      <c r="J1158" s="135" t="n">
        <f aca="false">SUM(H1158:I1158)</f>
        <v>49445</v>
      </c>
      <c r="K1158" s="453" t="n">
        <f aca="false">'☆掛負収入'!K1158</f>
        <v>1336</v>
      </c>
      <c r="L1158" s="450" t="n">
        <f aca="false">'☆掛負収入'!L1158</f>
        <v>1335</v>
      </c>
      <c r="M1158" s="135" t="n">
        <f aca="false">SUM(K1158:L1158)</f>
        <v>2671</v>
      </c>
      <c r="N1158" s="453" t="n">
        <f aca="false">'☆掛負収入'!N1158</f>
        <v>2</v>
      </c>
      <c r="O1158" s="450" t="n">
        <f aca="false">'☆掛負収入'!O1158</f>
        <v>2</v>
      </c>
      <c r="P1158" s="135" t="n">
        <f aca="false">SUM(N1158:O1158)</f>
        <v>4</v>
      </c>
    </row>
    <row r="1159" customFormat="false" ht="18.75" hidden="false" customHeight="true" outlineLevel="0" collapsed="false">
      <c r="A1159" s="100" t="str">
        <f aca="false">'☆掛負収入'!A1159</f>
        <v>地方公務員災害補償基金本部</v>
      </c>
      <c r="B1159" s="451" t="n">
        <f aca="false">'☆掛負収入'!B1159</f>
        <v>6313</v>
      </c>
      <c r="C1159" s="223" t="n">
        <f aca="false">'☆掛負収入'!C1159</f>
        <v>517</v>
      </c>
      <c r="D1159" s="449" t="n">
        <f aca="false">'☆掛負収入'!D1159</f>
        <v>6314</v>
      </c>
      <c r="E1159" s="453" t="n">
        <f aca="false">'☆掛負収入'!E1159</f>
        <v>517</v>
      </c>
      <c r="F1159" s="450" t="n">
        <f aca="false">'☆掛負収入'!F1159</f>
        <v>7</v>
      </c>
      <c r="G1159" s="668" t="n">
        <f aca="false">SUM(B1159:F1159)</f>
        <v>13668</v>
      </c>
      <c r="H1159" s="448" t="n">
        <f aca="false">'☆掛負収入'!H1159</f>
        <v>3795</v>
      </c>
      <c r="I1159" s="450" t="n">
        <f aca="false">'☆掛負収入'!I1159</f>
        <v>3803</v>
      </c>
      <c r="J1159" s="135" t="n">
        <f aca="false">SUM(H1159:I1159)</f>
        <v>7598</v>
      </c>
      <c r="K1159" s="453" t="n">
        <f aca="false">'☆掛負収入'!K1159</f>
        <v>0</v>
      </c>
      <c r="L1159" s="450" t="n">
        <f aca="false">'☆掛負収入'!L1159</f>
        <v>0</v>
      </c>
      <c r="M1159" s="135" t="n">
        <f aca="false">SUM(K1159:L1159)</f>
        <v>0</v>
      </c>
      <c r="N1159" s="453" t="n">
        <f aca="false">'☆掛負収入'!N1159</f>
        <v>2</v>
      </c>
      <c r="O1159" s="450" t="n">
        <f aca="false">'☆掛負収入'!O1159</f>
        <v>2</v>
      </c>
      <c r="P1159" s="135" t="n">
        <f aca="false">SUM(N1159:O1159)</f>
        <v>4</v>
      </c>
    </row>
    <row r="1160" customFormat="false" ht="18.75" hidden="false" customHeight="true" outlineLevel="0" collapsed="false">
      <c r="A1160" s="197"/>
      <c r="B1160" s="449"/>
      <c r="C1160" s="223"/>
      <c r="D1160" s="449"/>
      <c r="E1160" s="453"/>
      <c r="F1160" s="450"/>
      <c r="G1160" s="668"/>
      <c r="H1160" s="594"/>
      <c r="I1160" s="450"/>
      <c r="J1160" s="135"/>
      <c r="K1160" s="439"/>
      <c r="L1160" s="424"/>
      <c r="M1160" s="135" t="n">
        <f aca="false">SUM(K1160:L1160)</f>
        <v>0</v>
      </c>
      <c r="N1160" s="439"/>
      <c r="O1160" s="424"/>
      <c r="P1160" s="135" t="n">
        <f aca="false">SUM(N1160:O1160)</f>
        <v>0</v>
      </c>
    </row>
    <row r="1161" customFormat="false" ht="18.75" hidden="false" customHeight="true" outlineLevel="0" collapsed="false">
      <c r="A1161" s="100" t="str">
        <f aca="false">'☆掛負収入'!A1161</f>
        <v>高速道路公社</v>
      </c>
      <c r="B1161" s="464" t="n">
        <f aca="false">'☆掛負収入'!B1161</f>
        <v>94423</v>
      </c>
      <c r="C1161" s="454" t="n">
        <f aca="false">'☆掛負収入'!C1161</f>
        <v>7735</v>
      </c>
      <c r="D1161" s="464" t="n">
        <f aca="false">'☆掛負収入'!D1161</f>
        <v>94428</v>
      </c>
      <c r="E1161" s="470" t="n">
        <f aca="false">'☆掛負収入'!E1161</f>
        <v>7739</v>
      </c>
      <c r="F1161" s="472" t="n">
        <f aca="false">'☆掛負収入'!F1161</f>
        <v>99</v>
      </c>
      <c r="G1161" s="668" t="n">
        <f aca="false">SUM(B1161:F1161)</f>
        <v>204424</v>
      </c>
      <c r="H1161" s="471" t="n">
        <f aca="false">'☆掛負収入'!H1161</f>
        <v>58532</v>
      </c>
      <c r="I1161" s="472" t="n">
        <f aca="false">'☆掛負収入'!I1161</f>
        <v>58639</v>
      </c>
      <c r="J1161" s="135" t="n">
        <f aca="false">SUM(H1161:I1161)</f>
        <v>117171</v>
      </c>
      <c r="K1161" s="470" t="n">
        <f aca="false">'☆掛負収入'!K1161</f>
        <v>5174</v>
      </c>
      <c r="L1161" s="472" t="n">
        <f aca="false">'☆掛負収入'!L1161</f>
        <v>5175</v>
      </c>
      <c r="M1161" s="135" t="n">
        <f aca="false">SUM(K1161:L1161)</f>
        <v>10349</v>
      </c>
      <c r="N1161" s="470" t="n">
        <f aca="false">'☆掛負収入'!N1161</f>
        <v>2</v>
      </c>
      <c r="O1161" s="472" t="n">
        <f aca="false">'☆掛負収入'!O1161</f>
        <v>2</v>
      </c>
      <c r="P1161" s="135" t="n">
        <f aca="false">SUM(N1161:O1161)</f>
        <v>4</v>
      </c>
    </row>
    <row r="1162" customFormat="false" ht="18.75" hidden="false" customHeight="true" outlineLevel="0" collapsed="false">
      <c r="A1162" s="100" t="str">
        <f aca="false">'☆掛負収入'!A1162</f>
        <v>農林水産振興センタ</v>
      </c>
      <c r="B1162" s="457"/>
      <c r="C1162" s="459"/>
      <c r="D1162" s="451" t="n">
        <f aca="false">'☆掛負収入'!D1162</f>
        <v>63227</v>
      </c>
      <c r="E1162" s="473" t="n">
        <f aca="false">'☆掛負収入'!E1162</f>
        <v>5183</v>
      </c>
      <c r="F1162" s="456" t="n">
        <f aca="false">'☆掛負収入'!F1162</f>
        <v>68</v>
      </c>
      <c r="G1162" s="668" t="n">
        <f aca="false">SUM(B1162:F1162)</f>
        <v>68478</v>
      </c>
      <c r="H1162" s="616"/>
      <c r="I1162" s="456" t="n">
        <f aca="false">'☆掛負収入'!I1162</f>
        <v>38083</v>
      </c>
      <c r="J1162" s="135" t="n">
        <f aca="false">SUM(H1162:I1162)</f>
        <v>38083</v>
      </c>
      <c r="K1162" s="617"/>
      <c r="L1162" s="456" t="n">
        <f aca="false">'☆掛負収入'!L1162</f>
        <v>2868</v>
      </c>
      <c r="M1162" s="135" t="n">
        <f aca="false">SUM(K1162:L1162)</f>
        <v>2868</v>
      </c>
      <c r="N1162" s="617"/>
      <c r="O1162" s="456" t="n">
        <f aca="false">'☆掛負収入'!O1162</f>
        <v>2</v>
      </c>
      <c r="P1162" s="135" t="n">
        <f aca="false">SUM(N1162:O1162)</f>
        <v>2</v>
      </c>
    </row>
    <row r="1163" customFormat="false" ht="18.75" hidden="false" customHeight="true" outlineLevel="0" collapsed="false">
      <c r="A1163" s="203" t="str">
        <f aca="false">'☆掛負収入'!A1163</f>
        <v>文化財団　市長部局</v>
      </c>
      <c r="B1163" s="600"/>
      <c r="C1163" s="196"/>
      <c r="D1163" s="449" t="n">
        <f aca="false">'☆掛負収入'!D1163</f>
        <v>129016</v>
      </c>
      <c r="E1163" s="453" t="n">
        <f aca="false">'☆掛負収入'!E1163</f>
        <v>10574</v>
      </c>
      <c r="F1163" s="456" t="n">
        <f aca="false">'☆掛負収入'!F1163</f>
        <v>134</v>
      </c>
      <c r="G1163" s="668" t="n">
        <f aca="false">SUM(B1163:F1163)</f>
        <v>139724</v>
      </c>
      <c r="H1163" s="602"/>
      <c r="I1163" s="456" t="n">
        <f aca="false">'☆掛負収入'!I1163</f>
        <v>77705</v>
      </c>
      <c r="J1163" s="135" t="n">
        <f aca="false">SUM(H1163:I1163)</f>
        <v>77705</v>
      </c>
      <c r="K1163" s="612"/>
      <c r="L1163" s="456" t="n">
        <f aca="false">'☆掛負収入'!L1163</f>
        <v>10436</v>
      </c>
      <c r="M1163" s="135" t="n">
        <f aca="false">SUM(K1163:L1163)</f>
        <v>10436</v>
      </c>
      <c r="N1163" s="612"/>
      <c r="O1163" s="456" t="n">
        <f aca="false">'☆掛負収入'!O1163</f>
        <v>2</v>
      </c>
      <c r="P1163" s="135" t="n">
        <f aca="false">SUM(N1163:O1163)</f>
        <v>2</v>
      </c>
    </row>
    <row r="1164" customFormat="false" ht="18.75" hidden="false" customHeight="true" outlineLevel="0" collapsed="false">
      <c r="A1164" s="204"/>
      <c r="B1164" s="600"/>
      <c r="C1164" s="196"/>
      <c r="D1164" s="449"/>
      <c r="E1164" s="453"/>
      <c r="F1164" s="456"/>
      <c r="G1164" s="668"/>
      <c r="H1164" s="602"/>
      <c r="I1164" s="456"/>
      <c r="J1164" s="135"/>
      <c r="K1164" s="612"/>
      <c r="L1164" s="456"/>
      <c r="M1164" s="135" t="n">
        <f aca="false">SUM(K1164:L1164)</f>
        <v>0</v>
      </c>
      <c r="N1164" s="612"/>
      <c r="O1164" s="456"/>
      <c r="P1164" s="135" t="n">
        <f aca="false">SUM(N1164:O1164)</f>
        <v>0</v>
      </c>
    </row>
    <row r="1165" customFormat="false" ht="18.75" hidden="false" customHeight="true" outlineLevel="0" collapsed="false">
      <c r="A1165" s="100" t="str">
        <f aca="false">'☆掛負収入'!A1165</f>
        <v>みどり生きもの協会</v>
      </c>
      <c r="B1165" s="600"/>
      <c r="C1165" s="196"/>
      <c r="D1165" s="449" t="n">
        <f aca="false">'☆掛負収入'!D1165</f>
        <v>45478</v>
      </c>
      <c r="E1165" s="453" t="n">
        <f aca="false">'☆掛負収入'!E1165</f>
        <v>3729</v>
      </c>
      <c r="F1165" s="456" t="n">
        <f aca="false">'☆掛負収入'!F1165</f>
        <v>46</v>
      </c>
      <c r="G1165" s="668" t="n">
        <f aca="false">SUM(B1165:F1165)</f>
        <v>49253</v>
      </c>
      <c r="H1165" s="602"/>
      <c r="I1165" s="456" t="n">
        <f aca="false">'☆掛負収入'!I1165</f>
        <v>27389</v>
      </c>
      <c r="J1165" s="135" t="n">
        <f aca="false">SUM(H1165:I1165)</f>
        <v>27389</v>
      </c>
      <c r="K1165" s="612"/>
      <c r="L1165" s="456" t="n">
        <f aca="false">'☆掛負収入'!L1165</f>
        <v>3929</v>
      </c>
      <c r="M1165" s="135" t="n">
        <f aca="false">SUM(K1165:L1165)</f>
        <v>3929</v>
      </c>
      <c r="N1165" s="612"/>
      <c r="O1165" s="456" t="n">
        <f aca="false">'☆掛負収入'!O1165</f>
        <v>2</v>
      </c>
      <c r="P1165" s="135" t="n">
        <f aca="false">SUM(N1165:O1165)</f>
        <v>2</v>
      </c>
    </row>
    <row r="1166" customFormat="false" ht="18.75" hidden="false" customHeight="true" outlineLevel="0" collapsed="false">
      <c r="A1166" s="121" t="str">
        <f aca="false">'☆掛負収入'!A1166</f>
        <v>県下水道公社</v>
      </c>
      <c r="B1166" s="449" t="n">
        <f aca="false">'☆掛負収入'!B1166</f>
        <v>15556</v>
      </c>
      <c r="C1166" s="223" t="n">
        <f aca="false">'☆掛負収入'!C1166</f>
        <v>1276</v>
      </c>
      <c r="D1166" s="449" t="n">
        <f aca="false">'☆掛負収入'!D1166</f>
        <v>15554</v>
      </c>
      <c r="E1166" s="453" t="n">
        <f aca="false">'☆掛負収入'!E1166</f>
        <v>1276</v>
      </c>
      <c r="F1166" s="456" t="n">
        <f aca="false">'☆掛負収入'!F1166</f>
        <v>16</v>
      </c>
      <c r="G1166" s="668" t="n">
        <f aca="false">SUM(B1166:F1166)</f>
        <v>33678</v>
      </c>
      <c r="H1166" s="448" t="n">
        <f aca="false">'☆掛負収入'!H1166</f>
        <v>9350</v>
      </c>
      <c r="I1166" s="456" t="n">
        <f aca="false">'☆掛負収入'!I1166</f>
        <v>9370</v>
      </c>
      <c r="J1166" s="135" t="n">
        <f aca="false">SUM(H1166:I1166)</f>
        <v>18720</v>
      </c>
      <c r="K1166" s="453" t="n">
        <f aca="false">'☆掛負収入'!K1166</f>
        <v>932</v>
      </c>
      <c r="L1166" s="456" t="n">
        <f aca="false">'☆掛負収入'!L1166</f>
        <v>932</v>
      </c>
      <c r="M1166" s="135" t="n">
        <f aca="false">SUM(K1166:L1166)</f>
        <v>1864</v>
      </c>
      <c r="N1166" s="453" t="n">
        <f aca="false">'☆掛負収入'!N1166</f>
        <v>2</v>
      </c>
      <c r="O1166" s="456" t="n">
        <f aca="false">'☆掛負収入'!O1166</f>
        <v>2</v>
      </c>
      <c r="P1166" s="135" t="n">
        <f aca="false">SUM(N1166:O1166)</f>
        <v>4</v>
      </c>
    </row>
    <row r="1167" customFormat="false" ht="18.75" hidden="false" customHeight="true" outlineLevel="0" collapsed="false">
      <c r="A1167" s="121" t="str">
        <f aca="false">'☆掛負収入'!A1167</f>
        <v>バス協調・共創
プラットフォーム</v>
      </c>
      <c r="B1167" s="457"/>
      <c r="C1167" s="459"/>
      <c r="D1167" s="451" t="n">
        <f aca="false">'☆掛負収入'!D1167</f>
        <v>43280</v>
      </c>
      <c r="E1167" s="473" t="n">
        <f aca="false">'☆掛負収入'!E1167</f>
        <v>3547</v>
      </c>
      <c r="F1167" s="456" t="n">
        <f aca="false">'☆掛負収入'!F1167</f>
        <v>44</v>
      </c>
      <c r="G1167" s="668" t="n">
        <f aca="false">SUM(B1167:F1167)</f>
        <v>46871</v>
      </c>
      <c r="H1167" s="616"/>
      <c r="I1167" s="456" t="n">
        <f aca="false">'☆掛負収入'!I1167</f>
        <v>28382</v>
      </c>
      <c r="J1167" s="135" t="n">
        <f aca="false">SUM(H1167:I1167)</f>
        <v>28382</v>
      </c>
      <c r="K1167" s="617"/>
      <c r="L1167" s="456" t="n">
        <f aca="false">'☆掛負収入'!L1167</f>
        <v>2441</v>
      </c>
      <c r="M1167" s="135" t="n">
        <f aca="false">SUM(K1167:L1167)</f>
        <v>2441</v>
      </c>
      <c r="N1167" s="617"/>
      <c r="O1167" s="456" t="n">
        <f aca="false">'☆掛負収入'!O1167</f>
        <v>2</v>
      </c>
      <c r="P1167" s="135" t="n">
        <f aca="false">SUM(N1167:O1167)</f>
        <v>2</v>
      </c>
    </row>
    <row r="1168" customFormat="false" ht="18.75" hidden="false" customHeight="true" outlineLevel="0" collapsed="false">
      <c r="A1168" s="121" t="str">
        <f aca="false">'☆掛負収入'!A1168</f>
        <v>広島県市長会</v>
      </c>
      <c r="B1168" s="449" t="n">
        <f aca="false">'☆掛負収入'!B1168</f>
        <v>5674</v>
      </c>
      <c r="C1168" s="223" t="n">
        <f aca="false">'☆掛負収入'!C1168</f>
        <v>466</v>
      </c>
      <c r="D1168" s="449" t="n">
        <f aca="false">'☆掛負収入'!D1168</f>
        <v>5672</v>
      </c>
      <c r="E1168" s="453" t="n">
        <f aca="false">'☆掛負収入'!E1168</f>
        <v>466</v>
      </c>
      <c r="F1168" s="450" t="n">
        <f aca="false">'☆掛負収入'!F1168</f>
        <v>6</v>
      </c>
      <c r="G1168" s="668" t="n">
        <f aca="false">SUM(B1168:F1168)</f>
        <v>12284</v>
      </c>
      <c r="H1168" s="594" t="n">
        <f aca="false">'☆掛負収入'!H1168</f>
        <v>3412</v>
      </c>
      <c r="I1168" s="450" t="n">
        <f aca="false">'☆掛負収入'!I1168</f>
        <v>3418</v>
      </c>
      <c r="J1168" s="135" t="n">
        <f aca="false">SUM(H1168:I1168)</f>
        <v>6830</v>
      </c>
      <c r="K1168" s="439" t="n">
        <f aca="false">'☆掛負収入'!K1168</f>
        <v>490</v>
      </c>
      <c r="L1168" s="450" t="n">
        <f aca="false">'☆掛負収入'!L1168</f>
        <v>490</v>
      </c>
      <c r="M1168" s="135" t="n">
        <f aca="false">SUM(K1168:L1168)</f>
        <v>980</v>
      </c>
      <c r="N1168" s="439" t="n">
        <f aca="false">'☆掛負収入'!N1168</f>
        <v>2</v>
      </c>
      <c r="O1168" s="450" t="n">
        <f aca="false">'☆掛負収入'!O1168</f>
        <v>2</v>
      </c>
      <c r="P1168" s="135" t="n">
        <f aca="false">SUM(N1168:O1168)</f>
        <v>4</v>
      </c>
    </row>
    <row r="1169" customFormat="false" ht="18.75" hidden="false" customHeight="true" outlineLevel="0" collapsed="false">
      <c r="A1169" s="189" t="str">
        <f aca="false">'☆掛負収入'!A1169</f>
        <v>全国市町村研修財団</v>
      </c>
      <c r="B1169" s="451" t="n">
        <f aca="false">'☆掛負収入'!B1169</f>
        <v>2105</v>
      </c>
      <c r="C1169" s="223" t="n">
        <f aca="false">'☆掛負収入'!C1169</f>
        <v>173</v>
      </c>
      <c r="D1169" s="449" t="n">
        <f aca="false">'☆掛負収入'!D1169</f>
        <v>2104</v>
      </c>
      <c r="E1169" s="453" t="n">
        <f aca="false">'☆掛負収入'!E1169</f>
        <v>173</v>
      </c>
      <c r="F1169" s="450" t="n">
        <f aca="false">'☆掛負収入'!F1169</f>
        <v>2</v>
      </c>
      <c r="G1169" s="668" t="n">
        <f aca="false">SUM(B1169:F1169)</f>
        <v>4557</v>
      </c>
      <c r="H1169" s="448" t="n">
        <f aca="false">'☆掛負収入'!H1169</f>
        <v>6052</v>
      </c>
      <c r="I1169" s="450" t="n">
        <f aca="false">'☆掛負収入'!I1169</f>
        <v>6062</v>
      </c>
      <c r="J1169" s="135" t="n">
        <f aca="false">SUM(H1169:I1169)</f>
        <v>12114</v>
      </c>
      <c r="K1169" s="453" t="n">
        <f aca="false">'☆掛負収入'!K1169</f>
        <v>869</v>
      </c>
      <c r="L1169" s="450" t="n">
        <f aca="false">'☆掛負収入'!L1169</f>
        <v>869</v>
      </c>
      <c r="M1169" s="135" t="n">
        <f aca="false">SUM(K1169:L1169)</f>
        <v>1738</v>
      </c>
      <c r="N1169" s="453" t="n">
        <f aca="false">'☆掛負収入'!N1169</f>
        <v>2</v>
      </c>
      <c r="O1169" s="450" t="n">
        <f aca="false">'☆掛負収入'!O1169</f>
        <v>2</v>
      </c>
      <c r="P1169" s="135" t="n">
        <f aca="false">SUM(N1169:O1169)</f>
        <v>4</v>
      </c>
    </row>
    <row r="1170" customFormat="false" ht="18.75" hidden="false" customHeight="true" outlineLevel="0" collapsed="false">
      <c r="A1170" s="189" t="str">
        <f aca="false">'☆掛負収入'!A1170</f>
        <v>都市再生機構</v>
      </c>
      <c r="B1170" s="449" t="n">
        <f aca="false">'☆掛負収入'!B1170</f>
        <v>3751</v>
      </c>
      <c r="C1170" s="223" t="n">
        <f aca="false">'☆掛負収入'!C1170</f>
        <v>307</v>
      </c>
      <c r="D1170" s="449" t="n">
        <f aca="false">'☆掛負収入'!D1170</f>
        <v>3752</v>
      </c>
      <c r="E1170" s="453" t="n">
        <f aca="false">'☆掛負収入'!E1170</f>
        <v>307</v>
      </c>
      <c r="F1170" s="450" t="n">
        <f aca="false">'☆掛負収入'!F1170</f>
        <v>4</v>
      </c>
      <c r="G1170" s="668" t="n">
        <f aca="false">SUM(B1170:F1170)</f>
        <v>8121</v>
      </c>
      <c r="H1170" s="448" t="n">
        <f aca="false">'☆掛負収入'!H1170</f>
        <v>2256</v>
      </c>
      <c r="I1170" s="450" t="n">
        <f aca="false">'☆掛負収入'!I1170</f>
        <v>2260</v>
      </c>
      <c r="J1170" s="135" t="n">
        <f aca="false">SUM(H1170:I1170)</f>
        <v>4516</v>
      </c>
      <c r="K1170" s="453" t="n">
        <f aca="false">'☆掛負収入'!K1170</f>
        <v>0</v>
      </c>
      <c r="L1170" s="450" t="n">
        <f aca="false">'☆掛負収入'!L1170</f>
        <v>0</v>
      </c>
      <c r="M1170" s="135" t="n">
        <f aca="false">SUM(K1170:L1170)</f>
        <v>0</v>
      </c>
      <c r="N1170" s="453" t="n">
        <f aca="false">'☆掛負収入'!N1170</f>
        <v>2</v>
      </c>
      <c r="O1170" s="450" t="n">
        <f aca="false">'☆掛負収入'!O1170</f>
        <v>2</v>
      </c>
      <c r="P1170" s="135" t="n">
        <f aca="false">SUM(N1170:O1170)</f>
        <v>4</v>
      </c>
    </row>
    <row r="1171" customFormat="false" ht="18.75" hidden="false" customHeight="true" outlineLevel="0" collapsed="false">
      <c r="A1171" s="121" t="str">
        <f aca="false">'☆掛負収入'!A1171</f>
        <v>広島市立大学</v>
      </c>
      <c r="B1171" s="449" t="n">
        <f aca="false">'☆掛負収入'!B1171</f>
        <v>132401</v>
      </c>
      <c r="C1171" s="223" t="n">
        <f aca="false">'☆掛負収入'!C1171</f>
        <v>10853</v>
      </c>
      <c r="D1171" s="449" t="n">
        <f aca="false">'☆掛負収入'!D1171</f>
        <v>132401</v>
      </c>
      <c r="E1171" s="453" t="n">
        <f aca="false">'☆掛負収入'!E1171</f>
        <v>10853</v>
      </c>
      <c r="F1171" s="450" t="n">
        <f aca="false">'☆掛負収入'!F1171</f>
        <v>142</v>
      </c>
      <c r="G1171" s="668" t="n">
        <f aca="false">SUM(B1171:F1171)</f>
        <v>286650</v>
      </c>
      <c r="H1171" s="448" t="n">
        <f aca="false">'☆掛負収入'!H1171</f>
        <v>79598</v>
      </c>
      <c r="I1171" s="450" t="n">
        <f aca="false">'☆掛負収入'!I1171</f>
        <v>79748</v>
      </c>
      <c r="J1171" s="135" t="n">
        <f aca="false">SUM(H1171:I1171)</f>
        <v>159346</v>
      </c>
      <c r="K1171" s="439" t="n">
        <f aca="false">'☆掛負収入'!K1171</f>
        <v>6737</v>
      </c>
      <c r="L1171" s="424" t="n">
        <f aca="false">'☆掛負収入'!L1171</f>
        <v>6738</v>
      </c>
      <c r="M1171" s="135" t="n">
        <f aca="false">SUM(K1171:L1171)</f>
        <v>13475</v>
      </c>
      <c r="N1171" s="439" t="n">
        <f aca="false">'☆掛負収入'!N1171</f>
        <v>2</v>
      </c>
      <c r="O1171" s="424" t="n">
        <f aca="false">'☆掛負収入'!O1171</f>
        <v>2</v>
      </c>
      <c r="P1171" s="135" t="n">
        <f aca="false">SUM(N1171:O1171)</f>
        <v>4</v>
      </c>
    </row>
    <row r="1172" customFormat="false" ht="18.75" hidden="false" customHeight="true" outlineLevel="0" collapsed="false">
      <c r="A1172" s="121" t="str">
        <f aca="false">'☆掛負収入'!A1172</f>
        <v>社会福祉協議会</v>
      </c>
      <c r="B1172" s="762" t="n">
        <f aca="false">'☆掛負収入'!B1172</f>
        <v>0</v>
      </c>
      <c r="C1172" s="223" t="n">
        <f aca="false">'☆掛負収入'!C1172</f>
        <v>0</v>
      </c>
      <c r="D1172" s="449" t="n">
        <f aca="false">'☆掛負収入'!D1172</f>
        <v>19305</v>
      </c>
      <c r="E1172" s="453" t="n">
        <f aca="false">'☆掛負収入'!E1172</f>
        <v>1583</v>
      </c>
      <c r="F1172" s="450" t="n">
        <f aca="false">'☆掛負収入'!F1172</f>
        <v>20</v>
      </c>
      <c r="G1172" s="668" t="n">
        <f aca="false">SUM(B1172:F1172)</f>
        <v>20908</v>
      </c>
      <c r="H1172" s="448" t="n">
        <f aca="false">'☆掛負収入'!H1172</f>
        <v>0</v>
      </c>
      <c r="I1172" s="450" t="n">
        <f aca="false">'☆掛負収入'!I1172</f>
        <v>15706</v>
      </c>
      <c r="J1172" s="135" t="n">
        <f aca="false">SUM(H1172:I1172)</f>
        <v>15706</v>
      </c>
      <c r="K1172" s="439" t="n">
        <f aca="false">'☆掛負収入'!K1172</f>
        <v>0</v>
      </c>
      <c r="L1172" s="424" t="n">
        <f aca="false">'☆掛負収入'!L1172</f>
        <v>1026</v>
      </c>
      <c r="M1172" s="135" t="n">
        <f aca="false">SUM(K1172:L1172)</f>
        <v>1026</v>
      </c>
      <c r="N1172" s="439" t="n">
        <f aca="false">'☆掛負収入'!N1172</f>
        <v>0</v>
      </c>
      <c r="O1172" s="424" t="n">
        <f aca="false">'☆掛負収入'!O1172</f>
        <v>2</v>
      </c>
      <c r="P1172" s="135" t="n">
        <f aca="false">SUM(N1172:O1172)</f>
        <v>2</v>
      </c>
    </row>
    <row r="1173" customFormat="false" ht="18.75" hidden="false" customHeight="true" outlineLevel="0" collapsed="false">
      <c r="A1173" s="763" t="s">
        <v>418</v>
      </c>
      <c r="B1173" s="451" t="n">
        <f aca="false">'☆掛負収入'!B1175</f>
        <v>0</v>
      </c>
      <c r="C1173" s="445" t="n">
        <f aca="false">'☆掛負収入'!C1175</f>
        <v>0</v>
      </c>
      <c r="D1173" s="451" t="n">
        <f aca="false">'☆掛負収入'!D1175</f>
        <v>0</v>
      </c>
      <c r="E1173" s="462" t="n">
        <f aca="false">'☆掛負収入'!E1175</f>
        <v>0</v>
      </c>
      <c r="F1173" s="453" t="n">
        <f aca="false">'☆掛負収入'!F1175</f>
        <v>0</v>
      </c>
      <c r="G1173" s="668" t="n">
        <f aca="false">SUM(B1173:F1173)</f>
        <v>0</v>
      </c>
      <c r="H1173" s="462" t="n">
        <f aca="false">'☆掛負収入'!H1175</f>
        <v>0</v>
      </c>
      <c r="I1173" s="462" t="n">
        <f aca="false">'☆掛負収入'!I1175</f>
        <v>0</v>
      </c>
      <c r="J1173" s="135" t="n">
        <f aca="false">SUM(H1173:I1173)</f>
        <v>0</v>
      </c>
      <c r="K1173" s="439" t="n">
        <f aca="false">'☆掛負収入'!K1175</f>
        <v>0</v>
      </c>
      <c r="L1173" s="424" t="n">
        <f aca="false">'☆掛負収入'!L1175</f>
        <v>0</v>
      </c>
      <c r="M1173" s="135" t="n">
        <f aca="false">SUM(K1173:L1173)</f>
        <v>0</v>
      </c>
      <c r="N1173" s="439" t="n">
        <f aca="false">'☆掛負収入'!N1175</f>
        <v>0</v>
      </c>
      <c r="O1173" s="424" t="n">
        <f aca="false">'☆掛負収入'!O1175</f>
        <v>0</v>
      </c>
      <c r="P1173" s="135" t="n">
        <f aca="false">SUM(N1173:O1173)</f>
        <v>0</v>
      </c>
    </row>
    <row r="1174" customFormat="false" ht="18.75" hidden="false" customHeight="true" outlineLevel="0" collapsed="false">
      <c r="A1174" s="121" t="str">
        <f aca="false">'☆掛負収入'!A1176</f>
        <v>全国市長会</v>
      </c>
      <c r="B1174" s="451" t="n">
        <f aca="false">'☆掛負収入'!B1176</f>
        <v>0</v>
      </c>
      <c r="C1174" s="445" t="n">
        <f aca="false">'☆掛負収入'!C1176</f>
        <v>0</v>
      </c>
      <c r="D1174" s="451" t="n">
        <f aca="false">'☆掛負収入'!D1176</f>
        <v>0</v>
      </c>
      <c r="E1174" s="462" t="n">
        <f aca="false">'☆掛負収入'!E1176</f>
        <v>0</v>
      </c>
      <c r="F1174" s="453" t="n">
        <f aca="false">'☆掛負収入'!F1176</f>
        <v>0</v>
      </c>
      <c r="G1174" s="668" t="n">
        <f aca="false">SUM(B1174:F1174)</f>
        <v>0</v>
      </c>
      <c r="H1174" s="462" t="n">
        <f aca="false">'☆掛負収入'!H1176</f>
        <v>7812</v>
      </c>
      <c r="I1174" s="462" t="n">
        <f aca="false">'☆掛負収入'!I1176</f>
        <v>7825</v>
      </c>
      <c r="J1174" s="135" t="n">
        <f aca="false">SUM(H1174:I1174)</f>
        <v>15637</v>
      </c>
      <c r="K1174" s="439" t="n">
        <f aca="false">'☆掛負収入'!K1176</f>
        <v>1122</v>
      </c>
      <c r="L1174" s="424" t="n">
        <f aca="false">'☆掛負収入'!L1176</f>
        <v>1122</v>
      </c>
      <c r="M1174" s="135" t="n">
        <f aca="false">SUM(K1174:L1174)</f>
        <v>2244</v>
      </c>
      <c r="N1174" s="439" t="n">
        <f aca="false">'☆掛負収入'!N1176</f>
        <v>2</v>
      </c>
      <c r="O1174" s="424" t="n">
        <f aca="false">'☆掛負収入'!O1176</f>
        <v>2</v>
      </c>
      <c r="P1174" s="135" t="n">
        <f aca="false">SUM(N1174:O1174)</f>
        <v>4</v>
      </c>
    </row>
    <row r="1175" customFormat="false" ht="18.75" hidden="false" customHeight="true" outlineLevel="0" collapsed="false">
      <c r="A1175" s="208"/>
      <c r="B1175" s="406"/>
      <c r="C1175" s="393"/>
      <c r="D1175" s="406"/>
      <c r="E1175" s="439"/>
      <c r="F1175" s="424"/>
      <c r="G1175" s="668"/>
      <c r="H1175" s="594"/>
      <c r="I1175" s="450"/>
      <c r="J1175" s="135"/>
      <c r="K1175" s="439"/>
      <c r="L1175" s="424"/>
      <c r="M1175" s="135"/>
      <c r="N1175" s="439"/>
      <c r="O1175" s="424"/>
      <c r="P1175" s="135"/>
    </row>
    <row r="1176" customFormat="false" ht="18.75" hidden="false" customHeight="true" outlineLevel="0" collapsed="false">
      <c r="A1176" s="208"/>
      <c r="B1176" s="595"/>
      <c r="C1176" s="366"/>
      <c r="D1176" s="595"/>
      <c r="E1176" s="596"/>
      <c r="F1176" s="407"/>
      <c r="G1176" s="668"/>
      <c r="H1176" s="595"/>
      <c r="I1176" s="440"/>
      <c r="J1176" s="135"/>
      <c r="K1176" s="596"/>
      <c r="L1176" s="440"/>
      <c r="M1176" s="135"/>
      <c r="N1176" s="596"/>
      <c r="O1176" s="440"/>
      <c r="P1176" s="135"/>
    </row>
    <row r="1177" customFormat="false" ht="18.75" hidden="false" customHeight="true" outlineLevel="0" collapsed="false">
      <c r="A1177" s="192"/>
      <c r="B1177" s="406"/>
      <c r="C1177" s="181"/>
      <c r="D1177" s="406"/>
      <c r="E1177" s="592"/>
      <c r="F1177" s="424"/>
      <c r="G1177" s="668"/>
      <c r="H1177" s="406"/>
      <c r="I1177" s="619"/>
      <c r="J1177" s="135"/>
      <c r="K1177" s="592"/>
      <c r="L1177" s="619"/>
      <c r="M1177" s="135"/>
      <c r="N1177" s="592"/>
      <c r="O1177" s="619"/>
      <c r="P1177" s="135"/>
    </row>
    <row r="1178" customFormat="false" ht="18.75" hidden="false" customHeight="true" outlineLevel="0" collapsed="false">
      <c r="A1178" s="192"/>
      <c r="B1178" s="595"/>
      <c r="C1178" s="393"/>
      <c r="D1178" s="596"/>
      <c r="E1178" s="440"/>
      <c r="F1178" s="407"/>
      <c r="G1178" s="392"/>
      <c r="H1178" s="406"/>
      <c r="I1178" s="440"/>
      <c r="J1178" s="135"/>
      <c r="K1178" s="596"/>
      <c r="L1178" s="440"/>
      <c r="M1178" s="135"/>
      <c r="N1178" s="596"/>
      <c r="O1178" s="440"/>
      <c r="P1178" s="135"/>
    </row>
    <row r="1179" customFormat="false" ht="18.75" hidden="false" customHeight="true" outlineLevel="0" collapsed="false">
      <c r="A1179" s="605"/>
      <c r="B1179" s="622"/>
      <c r="C1179" s="253"/>
      <c r="D1179" s="623"/>
      <c r="E1179" s="624"/>
      <c r="F1179" s="761"/>
      <c r="G1179" s="671"/>
      <c r="H1179" s="622"/>
      <c r="I1179" s="623"/>
      <c r="J1179" s="623" t="n">
        <f aca="false">SUM(H1179:I1179)</f>
        <v>0</v>
      </c>
      <c r="K1179" s="622"/>
      <c r="L1179" s="623"/>
      <c r="M1179" s="697" t="n">
        <f aca="false">SUM(K1179:L1179)</f>
        <v>0</v>
      </c>
      <c r="N1179" s="622"/>
      <c r="O1179" s="623"/>
      <c r="P1179" s="697" t="n">
        <f aca="false">SUM(N1179:O1179)</f>
        <v>0</v>
      </c>
    </row>
    <row r="1180" customFormat="false" ht="18.75" hidden="false" customHeight="true" outlineLevel="0" collapsed="false">
      <c r="A1180" s="171" t="str">
        <f aca="false">'☆掛負収入'!A1180</f>
        <v>小　計</v>
      </c>
      <c r="B1180" s="404" t="n">
        <f aca="false">SUM(B1150:B1179)</f>
        <v>301306</v>
      </c>
      <c r="C1180" s="175" t="n">
        <f aca="false">SUM(C1150:C1179)</f>
        <v>24694</v>
      </c>
      <c r="D1180" s="404" t="n">
        <f aca="false">SUM(D1150:D1179)</f>
        <v>933664</v>
      </c>
      <c r="E1180" s="276" t="n">
        <f aca="false">SUM(E1150:E1179)</f>
        <v>76531</v>
      </c>
      <c r="F1180" s="175" t="n">
        <f aca="false">SUM(F1150:F1179)</f>
        <v>974</v>
      </c>
      <c r="G1180" s="176" t="n">
        <f aca="false">SUM(B1180:F1180)</f>
        <v>1337169</v>
      </c>
      <c r="H1180" s="404" t="n">
        <f aca="false">SUM(H1150:H1179)</f>
        <v>195507</v>
      </c>
      <c r="I1180" s="174" t="n">
        <f aca="false">SUM(I1150:I1179)</f>
        <v>601707</v>
      </c>
      <c r="J1180" s="175" t="n">
        <f aca="false">SUM(H1180:I1180)</f>
        <v>797214</v>
      </c>
      <c r="K1180" s="404" t="n">
        <f aca="false">SUM(K1150:K1179)</f>
        <v>16660</v>
      </c>
      <c r="L1180" s="174" t="n">
        <f aca="false">SUM(L1150:L1179)</f>
        <v>61092</v>
      </c>
      <c r="M1180" s="173" t="n">
        <f aca="false">SUM(K1180:L1180)</f>
        <v>77752</v>
      </c>
      <c r="N1180" s="404" t="n">
        <f aca="false">SUM(N1150:N1179)</f>
        <v>18</v>
      </c>
      <c r="O1180" s="174" t="n">
        <f aca="false">SUM(O1150:O1179)</f>
        <v>40</v>
      </c>
      <c r="P1180" s="173" t="n">
        <f aca="false">SUM(N1180:O1180)</f>
        <v>58</v>
      </c>
    </row>
    <row r="1181" customFormat="false" ht="18.75" hidden="true" customHeight="true" outlineLevel="0" collapsed="false">
      <c r="A1181" s="604"/>
      <c r="B1181" s="622"/>
      <c r="C1181" s="253"/>
      <c r="D1181" s="623"/>
      <c r="E1181" s="624"/>
      <c r="F1181" s="625"/>
      <c r="G1181" s="626"/>
      <c r="H1181" s="627"/>
      <c r="I1181" s="628"/>
      <c r="J1181" s="629"/>
      <c r="K1181" s="630"/>
      <c r="L1181" s="631"/>
      <c r="M1181" s="632"/>
      <c r="N1181" s="630"/>
      <c r="O1181" s="631"/>
      <c r="P1181" s="632"/>
    </row>
    <row r="1182" customFormat="false" ht="18.75" hidden="true" customHeight="true" outlineLevel="0" collapsed="false">
      <c r="A1182" s="633"/>
      <c r="B1182" s="606"/>
      <c r="C1182" s="608"/>
      <c r="D1182" s="623"/>
      <c r="E1182" s="624"/>
      <c r="F1182" s="253"/>
      <c r="G1182" s="621"/>
      <c r="H1182" s="634"/>
      <c r="I1182" s="635"/>
      <c r="J1182" s="383"/>
      <c r="K1182" s="636"/>
      <c r="L1182" s="637"/>
      <c r="M1182" s="638"/>
      <c r="N1182" s="636"/>
      <c r="O1182" s="637"/>
      <c r="P1182" s="638"/>
    </row>
    <row r="1183" customFormat="false" ht="18.75" hidden="false" customHeight="true" outlineLevel="0" collapsed="false">
      <c r="A1183" s="189" t="str">
        <f aca="false">'☆掛負収入'!A1183</f>
        <v>高速交通（株）</v>
      </c>
      <c r="B1183" s="464" t="n">
        <f aca="false">'☆掛負収入'!B1183</f>
        <v>9882</v>
      </c>
      <c r="C1183" s="466" t="n">
        <f aca="false">'☆掛負収入'!C1183</f>
        <v>810</v>
      </c>
      <c r="D1183" s="452" t="n">
        <f aca="false">'☆掛負収入'!D1183</f>
        <v>9882</v>
      </c>
      <c r="E1183" s="462" t="n">
        <f aca="false">'☆掛負収入'!E1183</f>
        <v>810</v>
      </c>
      <c r="F1183" s="454" t="n">
        <f aca="false">'☆掛負収入'!F1183</f>
        <v>10</v>
      </c>
      <c r="G1183" s="366" t="n">
        <f aca="false">SUM(B1183:F1183)</f>
        <v>21394</v>
      </c>
      <c r="H1183" s="634"/>
      <c r="I1183" s="635"/>
      <c r="J1183" s="755"/>
      <c r="K1183" s="636"/>
      <c r="L1183" s="637"/>
      <c r="M1183" s="751"/>
      <c r="N1183" s="636"/>
      <c r="O1183" s="637"/>
      <c r="P1183" s="751"/>
    </row>
    <row r="1184" customFormat="false" ht="18.75" hidden="false" customHeight="true" outlineLevel="0" collapsed="false">
      <c r="A1184" s="641" t="s">
        <v>201</v>
      </c>
      <c r="B1184" s="464" t="n">
        <f aca="false">'☆掛負収入'!B1184</f>
        <v>6039</v>
      </c>
      <c r="C1184" s="466" t="n">
        <f aca="false">'☆掛負収入'!C1184</f>
        <v>495</v>
      </c>
      <c r="D1184" s="452" t="n">
        <f aca="false">'☆掛負収入'!D1184</f>
        <v>6039</v>
      </c>
      <c r="E1184" s="462" t="n">
        <f aca="false">'☆掛負収入'!E1184</f>
        <v>495</v>
      </c>
      <c r="F1184" s="454" t="n">
        <f aca="false">'☆掛負収入'!F1184</f>
        <v>6</v>
      </c>
      <c r="G1184" s="366" t="n">
        <f aca="false">SUM(B1184:F1184)</f>
        <v>13074</v>
      </c>
      <c r="H1184" s="634"/>
      <c r="I1184" s="635"/>
      <c r="J1184" s="755"/>
      <c r="K1184" s="636"/>
      <c r="L1184" s="637"/>
      <c r="M1184" s="751"/>
      <c r="N1184" s="636"/>
      <c r="O1184" s="637"/>
      <c r="P1184" s="751"/>
    </row>
    <row r="1185" customFormat="false" ht="18.75" hidden="false" customHeight="true" outlineLevel="0" collapsed="false">
      <c r="A1185" s="171" t="str">
        <f aca="false">'☆掛負収入'!A1185</f>
        <v>小　計</v>
      </c>
      <c r="B1185" s="172" t="n">
        <f aca="false">SUM(B1183:B1184)</f>
        <v>15921</v>
      </c>
      <c r="C1185" s="175" t="n">
        <f aca="false">SUM(C1181:C1184)</f>
        <v>1305</v>
      </c>
      <c r="D1185" s="656" t="n">
        <f aca="false">SUM(D1181:D1184)</f>
        <v>15921</v>
      </c>
      <c r="E1185" s="174" t="n">
        <f aca="false">SUM(E1181:E1184)</f>
        <v>1305</v>
      </c>
      <c r="F1185" s="176" t="n">
        <f aca="false">SUM(F1181:F1184)</f>
        <v>16</v>
      </c>
      <c r="G1185" s="175" t="n">
        <f aca="false">SUM(B1185:F1185)</f>
        <v>34468</v>
      </c>
      <c r="H1185" s="649"/>
      <c r="I1185" s="652"/>
      <c r="J1185" s="756"/>
      <c r="K1185" s="757"/>
      <c r="L1185" s="758"/>
      <c r="M1185" s="759"/>
      <c r="N1185" s="757"/>
      <c r="O1185" s="758"/>
      <c r="P1185" s="759"/>
    </row>
    <row r="1186" customFormat="false" ht="18.75" hidden="false" customHeight="true" outlineLevel="0" collapsed="false">
      <c r="A1186" s="100" t="str">
        <f aca="false">'☆掛負収入'!A1186</f>
        <v>市職員労働組合</v>
      </c>
      <c r="B1186" s="449" t="n">
        <f aca="false">'☆掛負収入'!B1186</f>
        <v>6771</v>
      </c>
      <c r="C1186" s="223" t="n">
        <f aca="false">'☆掛負収入'!C1186</f>
        <v>555</v>
      </c>
      <c r="D1186" s="445" t="n">
        <f aca="false">'☆掛負収入'!D1186</f>
        <v>6771</v>
      </c>
      <c r="E1186" s="463" t="n">
        <f aca="false">'☆掛負収入'!E1186</f>
        <v>555</v>
      </c>
      <c r="F1186" s="223" t="n">
        <f aca="false">'☆掛負収入'!F1186</f>
        <v>0</v>
      </c>
      <c r="G1186" s="181" t="n">
        <f aca="false">SUM(B1186:F1186)</f>
        <v>14652</v>
      </c>
      <c r="H1186" s="448" t="n">
        <f aca="false">'☆掛負収入'!H1186</f>
        <v>4070</v>
      </c>
      <c r="I1186" s="450" t="n">
        <f aca="false">'☆掛負収入'!I1186</f>
        <v>4078</v>
      </c>
      <c r="J1186" s="135" t="n">
        <f aca="false">SUM(H1186:I1186)</f>
        <v>8148</v>
      </c>
      <c r="K1186" s="451" t="n">
        <f aca="false">'☆掛負収入'!K1186</f>
        <v>585</v>
      </c>
      <c r="L1186" s="462" t="n">
        <f aca="false">'☆掛負収入'!L1186</f>
        <v>585</v>
      </c>
      <c r="M1186" s="135" t="n">
        <f aca="false">'☆掛負収入'!M1186</f>
        <v>1170</v>
      </c>
      <c r="N1186" s="451" t="n">
        <f aca="false">'☆掛負収入'!N1186</f>
        <v>2</v>
      </c>
      <c r="O1186" s="462" t="n">
        <f aca="false">'☆掛負収入'!O1186</f>
        <v>2</v>
      </c>
      <c r="P1186" s="135" t="n">
        <f aca="false">'☆掛負収入'!P1186</f>
        <v>4</v>
      </c>
    </row>
    <row r="1187" customFormat="false" ht="18.75" hidden="false" customHeight="true" outlineLevel="0" collapsed="false">
      <c r="A1187" s="100" t="str">
        <f aca="false">'☆掛負収入'!A1187</f>
        <v>自治労労働組合</v>
      </c>
      <c r="B1187" s="449" t="n">
        <f aca="false">'☆掛負収入'!B1187</f>
        <v>0</v>
      </c>
      <c r="C1187" s="377" t="n">
        <f aca="false">'☆掛負収入'!C1187</f>
        <v>0</v>
      </c>
      <c r="D1187" s="449" t="n">
        <f aca="false">'☆掛負収入'!D1187</f>
        <v>0</v>
      </c>
      <c r="E1187" s="463" t="n">
        <f aca="false">'☆掛負収入'!E1187</f>
        <v>0</v>
      </c>
      <c r="F1187" s="223" t="n">
        <f aca="false">'☆掛負収入'!F1187</f>
        <v>0</v>
      </c>
      <c r="G1187" s="181" t="n">
        <f aca="false">SUM(B1187:F1187)</f>
        <v>0</v>
      </c>
      <c r="H1187" s="448" t="n">
        <f aca="false">'☆掛負収入'!H1187</f>
        <v>0</v>
      </c>
      <c r="I1187" s="450" t="n">
        <f aca="false">'☆掛負収入'!I1187</f>
        <v>0</v>
      </c>
      <c r="J1187" s="135" t="n">
        <f aca="false">SUM(H1187:I1187)</f>
        <v>0</v>
      </c>
      <c r="K1187" s="448" t="n">
        <f aca="false">'☆掛負収入'!K1187</f>
        <v>0</v>
      </c>
      <c r="L1187" s="450" t="n">
        <f aca="false">'☆掛負収入'!L1187</f>
        <v>0</v>
      </c>
      <c r="M1187" s="135" t="n">
        <f aca="false">SUM(K1187:L1187)</f>
        <v>0</v>
      </c>
      <c r="N1187" s="448" t="n">
        <f aca="false">'☆掛負収入'!N1187</f>
        <v>0</v>
      </c>
      <c r="O1187" s="450" t="n">
        <f aca="false">'☆掛負収入'!O1187</f>
        <v>0</v>
      </c>
      <c r="P1187" s="135" t="n">
        <f aca="false">SUM(N1187:O1187)</f>
        <v>0</v>
      </c>
    </row>
    <row r="1188" customFormat="false" ht="18.75" hidden="false" customHeight="true" outlineLevel="0" collapsed="false">
      <c r="A1188" s="100" t="str">
        <f aca="false">'☆掛負収入'!A1188</f>
        <v>病院労働組合</v>
      </c>
      <c r="B1188" s="449"/>
      <c r="C1188" s="377"/>
      <c r="D1188" s="449"/>
      <c r="E1188" s="463"/>
      <c r="F1188" s="223"/>
      <c r="G1188" s="181" t="n">
        <f aca="false">SUM(B1188:F1188)</f>
        <v>0</v>
      </c>
      <c r="H1188" s="448"/>
      <c r="I1188" s="450"/>
      <c r="J1188" s="135" t="n">
        <f aca="false">SUM(H1188:I1188)</f>
        <v>0</v>
      </c>
      <c r="K1188" s="448"/>
      <c r="L1188" s="450"/>
      <c r="M1188" s="135" t="n">
        <f aca="false">SUM(K1188:L1188)</f>
        <v>0</v>
      </c>
      <c r="N1188" s="448"/>
      <c r="O1188" s="450"/>
      <c r="P1188" s="135" t="n">
        <f aca="false">SUM(N1188:O1188)</f>
        <v>0</v>
      </c>
    </row>
    <row r="1189" customFormat="false" ht="18.75" hidden="false" customHeight="true" outlineLevel="0" collapsed="false">
      <c r="A1189" s="277" t="str">
        <f aca="false">'☆掛負収入'!A1189</f>
        <v>水道労働組合</v>
      </c>
      <c r="B1189" s="491"/>
      <c r="C1189" s="492"/>
      <c r="D1189" s="491"/>
      <c r="E1189" s="467"/>
      <c r="F1189" s="495"/>
      <c r="G1189" s="181" t="n">
        <f aca="false">SUM(B1189:F1189)</f>
        <v>0</v>
      </c>
      <c r="H1189" s="496"/>
      <c r="I1189" s="494"/>
      <c r="J1189" s="135" t="n">
        <f aca="false">SUM(H1189:I1189)</f>
        <v>0</v>
      </c>
      <c r="K1189" s="642"/>
      <c r="L1189" s="493"/>
      <c r="M1189" s="135" t="n">
        <f aca="false">SUM(K1189:L1189)</f>
        <v>0</v>
      </c>
      <c r="N1189" s="642"/>
      <c r="O1189" s="493"/>
      <c r="P1189" s="135" t="n">
        <f aca="false">SUM(N1189:O1189)</f>
        <v>0</v>
      </c>
    </row>
    <row r="1190" customFormat="false" ht="18.75" hidden="false" customHeight="true" outlineLevel="0" collapsed="false">
      <c r="A1190" s="171" t="str">
        <f aca="false">'☆掛負収入'!A1190</f>
        <v>小　計</v>
      </c>
      <c r="B1190" s="404" t="n">
        <f aca="false">SUM(B1186:B1189)</f>
        <v>6771</v>
      </c>
      <c r="C1190" s="175" t="n">
        <f aca="false">SUM(C1186:C1189)</f>
        <v>555</v>
      </c>
      <c r="D1190" s="404" t="n">
        <f aca="false">SUM(D1186:D1189)</f>
        <v>6771</v>
      </c>
      <c r="E1190" s="174" t="n">
        <f aca="false">SUM(E1186:E1189)</f>
        <v>555</v>
      </c>
      <c r="F1190" s="173" t="n">
        <f aca="false">SUM(F1186:F1189)</f>
        <v>0</v>
      </c>
      <c r="G1190" s="172" t="n">
        <f aca="false">SUM(B1190:F1190)</f>
        <v>14652</v>
      </c>
      <c r="H1190" s="404" t="n">
        <f aca="false">SUM(H1186:H1189)</f>
        <v>4070</v>
      </c>
      <c r="I1190" s="174" t="n">
        <f aca="false">SUM(I1186:I1189)</f>
        <v>4078</v>
      </c>
      <c r="J1190" s="175" t="n">
        <f aca="false">SUM(H1190:I1190)</f>
        <v>8148</v>
      </c>
      <c r="K1190" s="173" t="n">
        <f aca="false">SUM(K1186:K1189)</f>
        <v>585</v>
      </c>
      <c r="L1190" s="173" t="n">
        <f aca="false">SUM(L1186:L1189)</f>
        <v>585</v>
      </c>
      <c r="M1190" s="175" t="n">
        <f aca="false">SUM(K1190:L1190)</f>
        <v>1170</v>
      </c>
      <c r="N1190" s="173" t="n">
        <f aca="false">SUM(N1186:N1189)</f>
        <v>2</v>
      </c>
      <c r="O1190" s="173" t="n">
        <f aca="false">SUM(O1186:O1189)</f>
        <v>2</v>
      </c>
      <c r="P1190" s="175" t="n">
        <f aca="false">SUM(N1190:O1190)</f>
        <v>4</v>
      </c>
    </row>
    <row r="1191" customFormat="false" ht="18.75" hidden="false" customHeight="true" outlineLevel="0" collapsed="false">
      <c r="A1191" s="277" t="str">
        <f aca="false">'☆掛負収入'!A1191</f>
        <v>任意継続組合員</v>
      </c>
      <c r="B1191" s="256"/>
      <c r="C1191" s="498"/>
      <c r="D1191" s="499"/>
      <c r="E1191" s="500"/>
      <c r="F1191" s="271"/>
      <c r="G1191" s="268"/>
      <c r="H1191" s="653"/>
      <c r="I1191" s="257"/>
      <c r="J1191" s="257"/>
      <c r="K1191" s="672"/>
      <c r="L1191" s="654"/>
      <c r="M1191" s="267"/>
      <c r="N1191" s="672"/>
      <c r="O1191" s="654"/>
      <c r="P1191" s="267"/>
    </row>
    <row r="1192" customFormat="false" ht="30" hidden="false" customHeight="true" outlineLevel="0" collapsed="false">
      <c r="A1192" s="655" t="str">
        <f aca="false">'☆掛負収入'!A1192</f>
        <v>総　　計</v>
      </c>
      <c r="B1192" s="404" t="n">
        <f aca="false">SUM(B1149+B1180+B1185+B1190)</f>
        <v>323998</v>
      </c>
      <c r="C1192" s="175" t="n">
        <f aca="false">SUM(C1149+C1180+C1185+C1190)</f>
        <v>26554</v>
      </c>
      <c r="D1192" s="656" t="n">
        <f aca="false">SUM(D1149+D1180+D1185+D1190)</f>
        <v>956356</v>
      </c>
      <c r="E1192" s="174" t="n">
        <f aca="false">SUM(E1149+E1180+E1185+E1190)</f>
        <v>78391</v>
      </c>
      <c r="F1192" s="176" t="n">
        <f aca="false">SUM(F1149+F1180+F1185+F1190)</f>
        <v>990</v>
      </c>
      <c r="G1192" s="172" t="n">
        <f aca="false">SUM(B1192:F1192)</f>
        <v>1386289</v>
      </c>
      <c r="H1192" s="404" t="n">
        <f aca="false">SUM(H1149+H1180+H1185+H1190+H1191)</f>
        <v>199577</v>
      </c>
      <c r="I1192" s="174" t="n">
        <f aca="false">SUM(I1149+I1180+I1185+I1190+I1191)</f>
        <v>605785</v>
      </c>
      <c r="J1192" s="175" t="n">
        <f aca="false">SUM(H1192:I1192)</f>
        <v>805362</v>
      </c>
      <c r="K1192" s="173" t="n">
        <f aca="false">K1149+K1180+K1185+K1190+K1191</f>
        <v>17245</v>
      </c>
      <c r="L1192" s="173" t="n">
        <f aca="false">L1149+L1180+L1185+L1190</f>
        <v>61677</v>
      </c>
      <c r="M1192" s="175" t="n">
        <f aca="false">SUM(K1192:L1192)</f>
        <v>78922</v>
      </c>
      <c r="N1192" s="173" t="n">
        <f aca="false">N1149+N1180+N1185+N1190+N1191</f>
        <v>20</v>
      </c>
      <c r="O1192" s="173" t="n">
        <f aca="false">O1149+O1180+O1185+O1190</f>
        <v>42</v>
      </c>
      <c r="P1192" s="175" t="n">
        <f aca="false">SUM(N1192:O1192)</f>
        <v>62</v>
      </c>
    </row>
  </sheetData>
  <mergeCells count="420">
    <mergeCell ref="B2:G2"/>
    <mergeCell ref="H2:J2"/>
    <mergeCell ref="K2:M2"/>
    <mergeCell ref="N2:P2"/>
    <mergeCell ref="A3:A5"/>
    <mergeCell ref="B3:G3"/>
    <mergeCell ref="H3:J3"/>
    <mergeCell ref="K3:M3"/>
    <mergeCell ref="N3:P3"/>
    <mergeCell ref="B4:C4"/>
    <mergeCell ref="D4:F4"/>
    <mergeCell ref="G4:G5"/>
    <mergeCell ref="H4:H5"/>
    <mergeCell ref="I4:I5"/>
    <mergeCell ref="J4:J5"/>
    <mergeCell ref="K4:K5"/>
    <mergeCell ref="L4:L5"/>
    <mergeCell ref="M4:M5"/>
    <mergeCell ref="N4:N5"/>
    <mergeCell ref="O4:O5"/>
    <mergeCell ref="P4:P5"/>
    <mergeCell ref="H56:J58"/>
    <mergeCell ref="K56:M58"/>
    <mergeCell ref="N56:P58"/>
    <mergeCell ref="B67:G67"/>
    <mergeCell ref="H67:J67"/>
    <mergeCell ref="K67:M67"/>
    <mergeCell ref="N67:P67"/>
    <mergeCell ref="A68:A70"/>
    <mergeCell ref="B68:G68"/>
    <mergeCell ref="H68:J68"/>
    <mergeCell ref="K68:M68"/>
    <mergeCell ref="N68:P68"/>
    <mergeCell ref="B69:C69"/>
    <mergeCell ref="D69:F69"/>
    <mergeCell ref="G69:G70"/>
    <mergeCell ref="H69:H70"/>
    <mergeCell ref="I69:I70"/>
    <mergeCell ref="J69:J70"/>
    <mergeCell ref="K69:K70"/>
    <mergeCell ref="L69:L70"/>
    <mergeCell ref="M69:M70"/>
    <mergeCell ref="N69:N70"/>
    <mergeCell ref="O69:O70"/>
    <mergeCell ref="P69:P70"/>
    <mergeCell ref="H121:J123"/>
    <mergeCell ref="K121:M123"/>
    <mergeCell ref="N121:P123"/>
    <mergeCell ref="B132:G132"/>
    <mergeCell ref="H132:J132"/>
    <mergeCell ref="K132:M132"/>
    <mergeCell ref="N132:P132"/>
    <mergeCell ref="A133:A135"/>
    <mergeCell ref="B133:G133"/>
    <mergeCell ref="H133:J133"/>
    <mergeCell ref="K133:M133"/>
    <mergeCell ref="N133:P133"/>
    <mergeCell ref="B134:C134"/>
    <mergeCell ref="D134:F134"/>
    <mergeCell ref="G134:G135"/>
    <mergeCell ref="H134:H135"/>
    <mergeCell ref="I134:I135"/>
    <mergeCell ref="J134:J135"/>
    <mergeCell ref="K134:K135"/>
    <mergeCell ref="L134:L135"/>
    <mergeCell ref="M134:M135"/>
    <mergeCell ref="N134:N135"/>
    <mergeCell ref="O134:O135"/>
    <mergeCell ref="P134:P135"/>
    <mergeCell ref="H186:J188"/>
    <mergeCell ref="K186:M188"/>
    <mergeCell ref="N186:P188"/>
    <mergeCell ref="B197:G197"/>
    <mergeCell ref="H197:J197"/>
    <mergeCell ref="K197:M197"/>
    <mergeCell ref="N197:P197"/>
    <mergeCell ref="A198:A200"/>
    <mergeCell ref="B198:G198"/>
    <mergeCell ref="H198:J198"/>
    <mergeCell ref="K198:M198"/>
    <mergeCell ref="N198:P198"/>
    <mergeCell ref="B199:C199"/>
    <mergeCell ref="D199:F199"/>
    <mergeCell ref="G199:G200"/>
    <mergeCell ref="H199:H200"/>
    <mergeCell ref="I199:I200"/>
    <mergeCell ref="J199:J200"/>
    <mergeCell ref="K199:K200"/>
    <mergeCell ref="L199:L200"/>
    <mergeCell ref="M199:M200"/>
    <mergeCell ref="N199:N200"/>
    <mergeCell ref="O199:O200"/>
    <mergeCell ref="P199:P200"/>
    <mergeCell ref="H251:J253"/>
    <mergeCell ref="K251:M253"/>
    <mergeCell ref="N251:P253"/>
    <mergeCell ref="B262:G262"/>
    <mergeCell ref="H262:J262"/>
    <mergeCell ref="K262:M262"/>
    <mergeCell ref="N262:P262"/>
    <mergeCell ref="A263:A265"/>
    <mergeCell ref="B263:G263"/>
    <mergeCell ref="H263:J263"/>
    <mergeCell ref="K263:M263"/>
    <mergeCell ref="N263:P263"/>
    <mergeCell ref="B264:C264"/>
    <mergeCell ref="D264:F264"/>
    <mergeCell ref="G264:G265"/>
    <mergeCell ref="H264:H265"/>
    <mergeCell ref="I264:I265"/>
    <mergeCell ref="J264:J265"/>
    <mergeCell ref="K264:K265"/>
    <mergeCell ref="L264:L265"/>
    <mergeCell ref="M264:M265"/>
    <mergeCell ref="N264:N265"/>
    <mergeCell ref="O264:O265"/>
    <mergeCell ref="P264:P265"/>
    <mergeCell ref="H316:J318"/>
    <mergeCell ref="K316:M318"/>
    <mergeCell ref="N316:P318"/>
    <mergeCell ref="B327:G327"/>
    <mergeCell ref="H327:J327"/>
    <mergeCell ref="K327:M327"/>
    <mergeCell ref="N327:P327"/>
    <mergeCell ref="A328:A330"/>
    <mergeCell ref="B328:G328"/>
    <mergeCell ref="H328:J328"/>
    <mergeCell ref="K328:M328"/>
    <mergeCell ref="N328:P328"/>
    <mergeCell ref="B329:C329"/>
    <mergeCell ref="D329:F329"/>
    <mergeCell ref="G329:G330"/>
    <mergeCell ref="H329:H330"/>
    <mergeCell ref="I329:I330"/>
    <mergeCell ref="J329:J330"/>
    <mergeCell ref="K329:K330"/>
    <mergeCell ref="L329:L330"/>
    <mergeCell ref="M329:M330"/>
    <mergeCell ref="N329:N330"/>
    <mergeCell ref="O329:O330"/>
    <mergeCell ref="P329:P330"/>
    <mergeCell ref="H381:J383"/>
    <mergeCell ref="K381:M383"/>
    <mergeCell ref="N381:P383"/>
    <mergeCell ref="B392:G392"/>
    <mergeCell ref="H392:J392"/>
    <mergeCell ref="K392:M392"/>
    <mergeCell ref="N392:P392"/>
    <mergeCell ref="A393:A395"/>
    <mergeCell ref="B393:G393"/>
    <mergeCell ref="H393:J393"/>
    <mergeCell ref="K393:M393"/>
    <mergeCell ref="N393:P393"/>
    <mergeCell ref="B394:C394"/>
    <mergeCell ref="D394:F394"/>
    <mergeCell ref="G394:G395"/>
    <mergeCell ref="H394:H395"/>
    <mergeCell ref="I394:I395"/>
    <mergeCell ref="J394:J395"/>
    <mergeCell ref="K394:K395"/>
    <mergeCell ref="L394:L395"/>
    <mergeCell ref="M394:M395"/>
    <mergeCell ref="N394:N395"/>
    <mergeCell ref="O394:O395"/>
    <mergeCell ref="P394:P395"/>
    <mergeCell ref="H446:J448"/>
    <mergeCell ref="K446:M448"/>
    <mergeCell ref="N446:P448"/>
    <mergeCell ref="B457:G457"/>
    <mergeCell ref="H457:J457"/>
    <mergeCell ref="K457:M457"/>
    <mergeCell ref="N457:P457"/>
    <mergeCell ref="A458:A460"/>
    <mergeCell ref="B458:G458"/>
    <mergeCell ref="H458:J458"/>
    <mergeCell ref="K458:M458"/>
    <mergeCell ref="N458:P458"/>
    <mergeCell ref="B459:C459"/>
    <mergeCell ref="D459:F459"/>
    <mergeCell ref="G459:G460"/>
    <mergeCell ref="H459:H460"/>
    <mergeCell ref="I459:I460"/>
    <mergeCell ref="J459:J460"/>
    <mergeCell ref="K459:K460"/>
    <mergeCell ref="L459:L460"/>
    <mergeCell ref="M459:M460"/>
    <mergeCell ref="N459:N460"/>
    <mergeCell ref="O459:O460"/>
    <mergeCell ref="P459:P460"/>
    <mergeCell ref="H511:J513"/>
    <mergeCell ref="K511:M513"/>
    <mergeCell ref="N511:P513"/>
    <mergeCell ref="B522:G522"/>
    <mergeCell ref="H522:J522"/>
    <mergeCell ref="K522:M522"/>
    <mergeCell ref="N522:P522"/>
    <mergeCell ref="A523:A525"/>
    <mergeCell ref="B523:G523"/>
    <mergeCell ref="H523:J523"/>
    <mergeCell ref="K523:M523"/>
    <mergeCell ref="N523:P523"/>
    <mergeCell ref="B524:C524"/>
    <mergeCell ref="D524:F524"/>
    <mergeCell ref="G524:G525"/>
    <mergeCell ref="H524:H525"/>
    <mergeCell ref="I524:I525"/>
    <mergeCell ref="J524:J525"/>
    <mergeCell ref="K524:K525"/>
    <mergeCell ref="L524:L525"/>
    <mergeCell ref="M524:M525"/>
    <mergeCell ref="N524:N525"/>
    <mergeCell ref="O524:O525"/>
    <mergeCell ref="P524:P525"/>
    <mergeCell ref="H576:J578"/>
    <mergeCell ref="K576:M578"/>
    <mergeCell ref="N576:P578"/>
    <mergeCell ref="B587:G587"/>
    <mergeCell ref="H587:J587"/>
    <mergeCell ref="K587:M587"/>
    <mergeCell ref="N587:P587"/>
    <mergeCell ref="A588:A590"/>
    <mergeCell ref="B588:G588"/>
    <mergeCell ref="H588:J588"/>
    <mergeCell ref="K588:M588"/>
    <mergeCell ref="N588:P588"/>
    <mergeCell ref="B589:C589"/>
    <mergeCell ref="D589:F589"/>
    <mergeCell ref="G589:G590"/>
    <mergeCell ref="H589:H590"/>
    <mergeCell ref="I589:I590"/>
    <mergeCell ref="J589:J590"/>
    <mergeCell ref="K589:K590"/>
    <mergeCell ref="L589:L590"/>
    <mergeCell ref="M589:M590"/>
    <mergeCell ref="N589:N590"/>
    <mergeCell ref="O589:O590"/>
    <mergeCell ref="P589:P590"/>
    <mergeCell ref="H641:J643"/>
    <mergeCell ref="K641:M643"/>
    <mergeCell ref="N641:P643"/>
    <mergeCell ref="B652:G652"/>
    <mergeCell ref="H652:J652"/>
    <mergeCell ref="K652:M652"/>
    <mergeCell ref="N652:P652"/>
    <mergeCell ref="A653:A655"/>
    <mergeCell ref="B653:G653"/>
    <mergeCell ref="H653:J653"/>
    <mergeCell ref="K653:M653"/>
    <mergeCell ref="N653:P653"/>
    <mergeCell ref="B654:C654"/>
    <mergeCell ref="D654:F654"/>
    <mergeCell ref="G654:G655"/>
    <mergeCell ref="H654:H655"/>
    <mergeCell ref="I654:I655"/>
    <mergeCell ref="J654:J655"/>
    <mergeCell ref="K654:K655"/>
    <mergeCell ref="L654:L655"/>
    <mergeCell ref="M654:M655"/>
    <mergeCell ref="N654:N655"/>
    <mergeCell ref="O654:O655"/>
    <mergeCell ref="P654:P655"/>
    <mergeCell ref="H706:J708"/>
    <mergeCell ref="K706:M708"/>
    <mergeCell ref="N706:P708"/>
    <mergeCell ref="B717:G717"/>
    <mergeCell ref="H717:J717"/>
    <mergeCell ref="K717:M717"/>
    <mergeCell ref="N717:P717"/>
    <mergeCell ref="A718:A720"/>
    <mergeCell ref="B718:G718"/>
    <mergeCell ref="H718:J718"/>
    <mergeCell ref="K718:M718"/>
    <mergeCell ref="N718:P718"/>
    <mergeCell ref="B719:C719"/>
    <mergeCell ref="D719:F719"/>
    <mergeCell ref="G719:G720"/>
    <mergeCell ref="H719:H720"/>
    <mergeCell ref="I719:I720"/>
    <mergeCell ref="J719:J720"/>
    <mergeCell ref="K719:K720"/>
    <mergeCell ref="L719:L720"/>
    <mergeCell ref="M719:M720"/>
    <mergeCell ref="N719:N720"/>
    <mergeCell ref="O719:O720"/>
    <mergeCell ref="P719:P720"/>
    <mergeCell ref="H771:J773"/>
    <mergeCell ref="K771:M773"/>
    <mergeCell ref="N771:P773"/>
    <mergeCell ref="B782:G782"/>
    <mergeCell ref="H782:J782"/>
    <mergeCell ref="K782:M782"/>
    <mergeCell ref="N782:P782"/>
    <mergeCell ref="A783:A785"/>
    <mergeCell ref="B783:G783"/>
    <mergeCell ref="H783:J783"/>
    <mergeCell ref="K783:M783"/>
    <mergeCell ref="N783:P783"/>
    <mergeCell ref="B784:C784"/>
    <mergeCell ref="D784:F784"/>
    <mergeCell ref="G784:G785"/>
    <mergeCell ref="H784:H785"/>
    <mergeCell ref="I784:I785"/>
    <mergeCell ref="J784:J785"/>
    <mergeCell ref="K784:K785"/>
    <mergeCell ref="L784:L785"/>
    <mergeCell ref="M784:M785"/>
    <mergeCell ref="N784:N785"/>
    <mergeCell ref="O784:O785"/>
    <mergeCell ref="P784:P785"/>
    <mergeCell ref="H836:J838"/>
    <mergeCell ref="K836:M838"/>
    <mergeCell ref="N836:P838"/>
    <mergeCell ref="B847:G847"/>
    <mergeCell ref="H847:J847"/>
    <mergeCell ref="K847:M847"/>
    <mergeCell ref="N847:P847"/>
    <mergeCell ref="A848:A850"/>
    <mergeCell ref="B848:G848"/>
    <mergeCell ref="H848:J848"/>
    <mergeCell ref="K848:M848"/>
    <mergeCell ref="N848:P848"/>
    <mergeCell ref="B849:C849"/>
    <mergeCell ref="D849:F849"/>
    <mergeCell ref="G849:G850"/>
    <mergeCell ref="H849:H850"/>
    <mergeCell ref="I849:I850"/>
    <mergeCell ref="J849:J850"/>
    <mergeCell ref="K849:K850"/>
    <mergeCell ref="L849:L850"/>
    <mergeCell ref="M849:M850"/>
    <mergeCell ref="N849:N850"/>
    <mergeCell ref="O849:O850"/>
    <mergeCell ref="P849:P850"/>
    <mergeCell ref="B912:G912"/>
    <mergeCell ref="H912:J912"/>
    <mergeCell ref="K912:M912"/>
    <mergeCell ref="N912:P912"/>
    <mergeCell ref="A913:A915"/>
    <mergeCell ref="B913:G913"/>
    <mergeCell ref="H913:J913"/>
    <mergeCell ref="K913:M913"/>
    <mergeCell ref="N913:P913"/>
    <mergeCell ref="B914:C914"/>
    <mergeCell ref="D914:F914"/>
    <mergeCell ref="G914:G915"/>
    <mergeCell ref="H914:H915"/>
    <mergeCell ref="I914:I915"/>
    <mergeCell ref="J914:J915"/>
    <mergeCell ref="K914:K915"/>
    <mergeCell ref="L914:L915"/>
    <mergeCell ref="M914:M915"/>
    <mergeCell ref="N914:N915"/>
    <mergeCell ref="O914:O915"/>
    <mergeCell ref="P914:P915"/>
    <mergeCell ref="B977:C977"/>
    <mergeCell ref="D977:G977"/>
    <mergeCell ref="I977:J977"/>
    <mergeCell ref="L977:M977"/>
    <mergeCell ref="O977:P977"/>
    <mergeCell ref="A978:A980"/>
    <mergeCell ref="B978:G978"/>
    <mergeCell ref="H978:J978"/>
    <mergeCell ref="K978:M978"/>
    <mergeCell ref="N978:P978"/>
    <mergeCell ref="B979:C979"/>
    <mergeCell ref="D979:F979"/>
    <mergeCell ref="G979:G980"/>
    <mergeCell ref="H979:H980"/>
    <mergeCell ref="I979:I980"/>
    <mergeCell ref="J979:J980"/>
    <mergeCell ref="K979:K980"/>
    <mergeCell ref="L979:L980"/>
    <mergeCell ref="M979:M980"/>
    <mergeCell ref="N979:N980"/>
    <mergeCell ref="O979:O980"/>
    <mergeCell ref="P979:P980"/>
    <mergeCell ref="B1042:C1042"/>
    <mergeCell ref="D1042:G1042"/>
    <mergeCell ref="I1042:J1042"/>
    <mergeCell ref="L1042:M1042"/>
    <mergeCell ref="O1042:P1042"/>
    <mergeCell ref="A1043:A1045"/>
    <mergeCell ref="B1043:G1043"/>
    <mergeCell ref="H1043:J1043"/>
    <mergeCell ref="K1043:M1043"/>
    <mergeCell ref="N1043:P1043"/>
    <mergeCell ref="B1044:C1044"/>
    <mergeCell ref="D1044:F1044"/>
    <mergeCell ref="G1044:G1045"/>
    <mergeCell ref="H1044:H1045"/>
    <mergeCell ref="I1044:I1045"/>
    <mergeCell ref="J1044:J1045"/>
    <mergeCell ref="K1044:K1045"/>
    <mergeCell ref="L1044:L1045"/>
    <mergeCell ref="M1044:M1045"/>
    <mergeCell ref="N1044:N1045"/>
    <mergeCell ref="O1044:O1045"/>
    <mergeCell ref="P1044:P1045"/>
    <mergeCell ref="B1129:C1129"/>
    <mergeCell ref="D1129:G1129"/>
    <mergeCell ref="I1129:J1129"/>
    <mergeCell ref="L1129:M1129"/>
    <mergeCell ref="O1129:P1129"/>
    <mergeCell ref="A1130:A1132"/>
    <mergeCell ref="B1130:G1130"/>
    <mergeCell ref="H1130:J1130"/>
    <mergeCell ref="K1130:M1130"/>
    <mergeCell ref="N1130:P1130"/>
    <mergeCell ref="B1131:C1131"/>
    <mergeCell ref="D1131:F1131"/>
    <mergeCell ref="G1131:G1132"/>
    <mergeCell ref="H1131:H1132"/>
    <mergeCell ref="I1131:I1132"/>
    <mergeCell ref="J1131:J1132"/>
    <mergeCell ref="K1131:K1132"/>
    <mergeCell ref="L1131:L1132"/>
    <mergeCell ref="M1131:M1132"/>
    <mergeCell ref="N1131:N1132"/>
    <mergeCell ref="O1131:O1132"/>
    <mergeCell ref="P1131:P1132"/>
  </mergeCells>
  <printOptions headings="false" gridLines="false" gridLinesSet="true" horizontalCentered="true" verticalCentered="false"/>
  <pageMargins left="0.196527777777778" right="0.196527777777778" top="0.196527777777778" bottom="0.196527777777778" header="0.511811023622047" footer="0.511811023622047"/>
  <pageSetup paperSize="9" scale="75" fitToWidth="1" fitToHeight="1" pageOrder="downThenOver" orientation="portrait" blackAndWhite="false" draft="false" cellComments="none" horizontalDpi="300" verticalDpi="300" copies="1"/>
  <headerFooter differentFirst="false" differentOddEven="false">
    <oddHeader/>
    <oddFooter/>
  </headerFooter>
  <rowBreaks count="17" manualBreakCount="17">
    <brk id="65" man="true" max="16383" min="0"/>
    <brk id="130" man="true" max="16383" min="0"/>
    <brk id="195" man="true" max="16383" min="0"/>
    <brk id="260" man="true" max="16383" min="0"/>
    <brk id="325" man="true" max="16383" min="0"/>
    <brk id="390" man="true" max="16383" min="0"/>
    <brk id="455" man="true" max="16383" min="0"/>
    <brk id="520" man="true" max="16383" min="0"/>
    <brk id="585" man="true" max="16383" min="0"/>
    <brk id="650" man="true" max="16383" min="0"/>
    <brk id="715" man="true" max="16383" min="0"/>
    <brk id="780" man="true" max="16383" min="0"/>
    <brk id="845" man="true" max="16383" min="0"/>
    <brk id="910" man="true" max="16383" min="0"/>
    <brk id="975" man="true" max="16383" min="0"/>
    <brk id="1040" man="true" max="16383" min="0"/>
    <brk id="1105" man="true" max="16383" min="0"/>
  </rowBreaks>
  <colBreaks count="3" manualBreakCount="3">
    <brk id="7" man="true" max="65535" min="0"/>
    <brk id="10" man="true" max="65535" min="0"/>
    <brk id="13" man="true" max="65535" min="0"/>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false"/>
  </sheetPr>
  <dimension ref="A1:AA114"/>
  <sheetViews>
    <sheetView showFormulas="false" showGridLines="true" showRowColHeaders="true" showZeros="true" rightToLeft="false" tabSelected="false" showOutlineSymbols="true" defaultGridColor="true" view="normal" topLeftCell="A24" colorId="64" zoomScale="100" zoomScaleNormal="100" zoomScalePageLayoutView="84" workbookViewId="0">
      <selection pane="topLeft" activeCell="D53" activeCellId="0" sqref="D53"/>
    </sheetView>
  </sheetViews>
  <sheetFormatPr defaultColWidth="8.79296875" defaultRowHeight="14.25" zeroHeight="false" outlineLevelRow="0" outlineLevelCol="0"/>
  <cols>
    <col collapsed="false" customWidth="true" hidden="false" outlineLevel="0" max="1" min="1" style="764" width="5.99"/>
    <col collapsed="false" customWidth="true" hidden="false" outlineLevel="0" max="7" min="2" style="765" width="9.29"/>
    <col collapsed="false" customWidth="true" hidden="false" outlineLevel="0" max="8" min="8" style="765" width="0.89"/>
    <col collapsed="false" customWidth="true" hidden="false" outlineLevel="0" max="9" min="9" style="765" width="5.69"/>
    <col collapsed="false" customWidth="true" hidden="false" outlineLevel="0" max="10" min="10" style="765" width="9.29"/>
    <col collapsed="false" customWidth="true" hidden="false" outlineLevel="0" max="12" min="11" style="765" width="7.19"/>
    <col collapsed="false" customWidth="true" hidden="false" outlineLevel="0" max="17" min="13" style="764" width="7.19"/>
    <col collapsed="false" customWidth="true" hidden="false" outlineLevel="0" max="18" min="18" style="765" width="7.19"/>
    <col collapsed="false" customWidth="true" hidden="false" outlineLevel="0" max="19" min="19" style="766" width="7.19"/>
    <col collapsed="false" customWidth="true" hidden="false" outlineLevel="0" max="20" min="20" style="764" width="7.19"/>
    <col collapsed="false" customWidth="false" hidden="false" outlineLevel="0" max="21" min="21" style="764" width="8.79"/>
    <col collapsed="false" customWidth="true" hidden="false" outlineLevel="0" max="25" min="22" style="764" width="6.69"/>
    <col collapsed="false" customWidth="true" hidden="false" outlineLevel="0" max="26" min="26" style="764" width="0.79"/>
    <col collapsed="false" customWidth="true" hidden="false" outlineLevel="0" max="27" min="27" style="764" width="11.19"/>
    <col collapsed="false" customWidth="false" hidden="false" outlineLevel="0" max="257" min="28" style="764" width="8.79"/>
  </cols>
  <sheetData>
    <row r="1" customFormat="false" ht="22.5" hidden="false" customHeight="true" outlineLevel="0" collapsed="false">
      <c r="A1" s="767" t="str">
        <f aca="false">'☆掛負収入'!A2</f>
        <v>令和8年度</v>
      </c>
      <c r="C1" s="768" t="s">
        <v>419</v>
      </c>
      <c r="D1" s="764"/>
      <c r="E1" s="764"/>
      <c r="F1" s="764"/>
      <c r="I1" s="764"/>
      <c r="J1" s="764"/>
      <c r="K1" s="764"/>
      <c r="L1" s="764"/>
      <c r="R1" s="764"/>
    </row>
    <row r="2" customFormat="false" ht="10.5" hidden="false" customHeight="true" outlineLevel="0" collapsed="false">
      <c r="D2" s="764"/>
      <c r="E2" s="764"/>
      <c r="F2" s="764"/>
      <c r="I2" s="764"/>
      <c r="J2" s="764"/>
      <c r="K2" s="764"/>
      <c r="L2" s="764"/>
      <c r="R2" s="764"/>
    </row>
    <row r="3" customFormat="false" ht="22.5" hidden="false" customHeight="true" outlineLevel="0" collapsed="false">
      <c r="A3" s="769" t="s">
        <v>420</v>
      </c>
      <c r="B3" s="764"/>
      <c r="C3" s="764"/>
      <c r="D3" s="764"/>
      <c r="E3" s="764"/>
      <c r="F3" s="764"/>
      <c r="G3" s="770" t="s">
        <v>421</v>
      </c>
      <c r="H3" s="770"/>
      <c r="I3" s="771" t="s">
        <v>422</v>
      </c>
      <c r="J3" s="772"/>
      <c r="K3" s="773"/>
      <c r="L3" s="773"/>
      <c r="M3" s="773"/>
      <c r="N3" s="773"/>
      <c r="O3" s="773"/>
      <c r="P3" s="773"/>
      <c r="Q3" s="772"/>
      <c r="Y3" s="774" t="s">
        <v>421</v>
      </c>
    </row>
    <row r="4" customFormat="false" ht="30" hidden="false" customHeight="true" outlineLevel="0" collapsed="false">
      <c r="A4" s="775" t="s">
        <v>423</v>
      </c>
      <c r="B4" s="776" t="s">
        <v>424</v>
      </c>
      <c r="C4" s="777" t="s">
        <v>425</v>
      </c>
      <c r="D4" s="776" t="s">
        <v>79</v>
      </c>
      <c r="E4" s="778" t="s">
        <v>80</v>
      </c>
      <c r="F4" s="779" t="s">
        <v>426</v>
      </c>
      <c r="G4" s="780" t="s">
        <v>427</v>
      </c>
      <c r="H4" s="781"/>
      <c r="I4" s="775" t="s">
        <v>428</v>
      </c>
      <c r="J4" s="782" t="s">
        <v>429</v>
      </c>
      <c r="K4" s="783" t="s">
        <v>430</v>
      </c>
      <c r="L4" s="784" t="s">
        <v>431</v>
      </c>
      <c r="M4" s="784" t="s">
        <v>432</v>
      </c>
      <c r="N4" s="785" t="s">
        <v>433</v>
      </c>
      <c r="O4" s="785" t="s">
        <v>434</v>
      </c>
      <c r="P4" s="785" t="s">
        <v>435</v>
      </c>
      <c r="Q4" s="786" t="s">
        <v>436</v>
      </c>
      <c r="R4" s="787" t="s">
        <v>437</v>
      </c>
      <c r="S4" s="787" t="s">
        <v>438</v>
      </c>
      <c r="T4" s="787" t="s">
        <v>439</v>
      </c>
      <c r="U4" s="787" t="s">
        <v>440</v>
      </c>
      <c r="V4" s="788" t="s">
        <v>441</v>
      </c>
      <c r="W4" s="788" t="s">
        <v>442</v>
      </c>
      <c r="X4" s="788" t="s">
        <v>443</v>
      </c>
      <c r="Y4" s="789" t="s">
        <v>444</v>
      </c>
    </row>
    <row r="5" customFormat="false" ht="22.5" hidden="false" customHeight="true" outlineLevel="0" collapsed="false">
      <c r="A5" s="790" t="s">
        <v>445</v>
      </c>
      <c r="B5" s="791" t="n">
        <v>492726</v>
      </c>
      <c r="C5" s="791" t="n">
        <v>40386</v>
      </c>
      <c r="D5" s="791" t="n">
        <v>357223</v>
      </c>
      <c r="E5" s="792" t="n">
        <v>6920</v>
      </c>
      <c r="F5" s="793" t="n">
        <v>0</v>
      </c>
      <c r="G5" s="794" t="n">
        <f aca="false">SUM(B5:F5)</f>
        <v>897255</v>
      </c>
      <c r="H5" s="795"/>
      <c r="I5" s="796" t="s">
        <v>445</v>
      </c>
      <c r="J5" s="797" t="n">
        <f aca="false">SUM(K5:Y5)</f>
        <v>231571</v>
      </c>
      <c r="K5" s="798" t="n">
        <v>12238</v>
      </c>
      <c r="L5" s="799" t="n">
        <v>219333</v>
      </c>
      <c r="M5" s="799"/>
      <c r="N5" s="800"/>
      <c r="O5" s="800"/>
      <c r="P5" s="800"/>
      <c r="Q5" s="801"/>
      <c r="R5" s="802"/>
      <c r="S5" s="802"/>
      <c r="T5" s="802"/>
      <c r="U5" s="802"/>
      <c r="V5" s="802"/>
      <c r="W5" s="802"/>
      <c r="X5" s="802"/>
      <c r="Y5" s="803"/>
    </row>
    <row r="6" customFormat="false" ht="22.5" hidden="false" customHeight="true" outlineLevel="0" collapsed="false">
      <c r="A6" s="804" t="s">
        <v>446</v>
      </c>
      <c r="B6" s="805" t="n">
        <v>168360</v>
      </c>
      <c r="C6" s="806" t="n">
        <v>13800</v>
      </c>
      <c r="D6" s="805" t="n">
        <v>102683</v>
      </c>
      <c r="E6" s="807" t="n">
        <v>3950</v>
      </c>
      <c r="F6" s="808" t="n">
        <v>1794</v>
      </c>
      <c r="G6" s="794" t="n">
        <f aca="false">SUM(B6:F6)</f>
        <v>290587</v>
      </c>
      <c r="H6" s="795"/>
      <c r="I6" s="809" t="s">
        <v>446</v>
      </c>
      <c r="J6" s="810" t="n">
        <f aca="false">SUM(K6:Y6)</f>
        <v>706919</v>
      </c>
      <c r="K6" s="811" t="n">
        <v>154568</v>
      </c>
      <c r="L6" s="812" t="n">
        <v>226696</v>
      </c>
      <c r="M6" s="812" t="n">
        <v>246943</v>
      </c>
      <c r="N6" s="813" t="n">
        <v>45108</v>
      </c>
      <c r="O6" s="813" t="n">
        <v>19706</v>
      </c>
      <c r="P6" s="813" t="n">
        <v>13898</v>
      </c>
      <c r="Q6" s="814"/>
      <c r="R6" s="815"/>
      <c r="S6" s="815"/>
      <c r="T6" s="815"/>
      <c r="U6" s="815"/>
      <c r="V6" s="815"/>
      <c r="W6" s="815"/>
      <c r="X6" s="815"/>
      <c r="Y6" s="816"/>
    </row>
    <row r="7" customFormat="false" ht="22.5" hidden="false" customHeight="true" outlineLevel="0" collapsed="false">
      <c r="A7" s="804" t="s">
        <v>447</v>
      </c>
      <c r="B7" s="817" t="n">
        <v>363894</v>
      </c>
      <c r="C7" s="818" t="n">
        <v>29826</v>
      </c>
      <c r="D7" s="817" t="n">
        <v>223534</v>
      </c>
      <c r="E7" s="819" t="n">
        <v>3239</v>
      </c>
      <c r="F7" s="820" t="n">
        <v>1874</v>
      </c>
      <c r="G7" s="794" t="n">
        <f aca="false">SUM(B7:F7)</f>
        <v>622367</v>
      </c>
      <c r="H7" s="795"/>
      <c r="I7" s="809" t="s">
        <v>447</v>
      </c>
      <c r="J7" s="810" t="n">
        <f aca="false">SUM(K7:Y7)</f>
        <v>0</v>
      </c>
      <c r="K7" s="811"/>
      <c r="L7" s="812"/>
      <c r="M7" s="813"/>
      <c r="N7" s="813"/>
      <c r="O7" s="813"/>
      <c r="P7" s="813"/>
      <c r="Q7" s="814"/>
      <c r="R7" s="815"/>
      <c r="S7" s="815"/>
      <c r="T7" s="815"/>
      <c r="U7" s="815"/>
      <c r="V7" s="815"/>
      <c r="W7" s="815"/>
      <c r="X7" s="815"/>
      <c r="Y7" s="816"/>
    </row>
    <row r="8" customFormat="false" ht="22.5" hidden="false" customHeight="true" outlineLevel="0" collapsed="false">
      <c r="A8" s="804" t="s">
        <v>448</v>
      </c>
      <c r="B8" s="817" t="n">
        <v>503707</v>
      </c>
      <c r="C8" s="818" t="n">
        <v>41287</v>
      </c>
      <c r="D8" s="817" t="n">
        <v>285482</v>
      </c>
      <c r="E8" s="819" t="n">
        <v>3476</v>
      </c>
      <c r="F8" s="820" t="n">
        <v>6328</v>
      </c>
      <c r="G8" s="794" t="n">
        <f aca="false">SUM(B8:F8)</f>
        <v>840280</v>
      </c>
      <c r="H8" s="795"/>
      <c r="I8" s="809" t="s">
        <v>448</v>
      </c>
      <c r="J8" s="821" t="n">
        <f aca="false">SUM(K8:Y8)</f>
        <v>998736</v>
      </c>
      <c r="K8" s="813" t="n">
        <v>31116</v>
      </c>
      <c r="L8" s="812" t="n">
        <v>42525</v>
      </c>
      <c r="M8" s="812" t="n">
        <v>306631</v>
      </c>
      <c r="N8" s="813" t="n">
        <v>22818</v>
      </c>
      <c r="O8" s="813" t="n">
        <v>14728</v>
      </c>
      <c r="P8" s="813" t="n">
        <v>92738</v>
      </c>
      <c r="Q8" s="822" t="n">
        <v>212568</v>
      </c>
      <c r="R8" s="815" t="n">
        <v>91272</v>
      </c>
      <c r="S8" s="815" t="n">
        <v>145136</v>
      </c>
      <c r="T8" s="815" t="n">
        <v>39204</v>
      </c>
      <c r="U8" s="815"/>
      <c r="V8" s="815"/>
      <c r="W8" s="815"/>
      <c r="X8" s="815"/>
      <c r="Y8" s="816"/>
    </row>
    <row r="9" customFormat="false" ht="22.5" hidden="false" customHeight="true" outlineLevel="0" collapsed="false">
      <c r="A9" s="804" t="s">
        <v>449</v>
      </c>
      <c r="B9" s="817" t="n">
        <v>367830</v>
      </c>
      <c r="C9" s="818" t="n">
        <v>30150</v>
      </c>
      <c r="D9" s="817" t="n">
        <v>208471</v>
      </c>
      <c r="E9" s="819" t="n">
        <v>2844</v>
      </c>
      <c r="F9" s="820" t="n">
        <v>4621</v>
      </c>
      <c r="G9" s="794" t="n">
        <f aca="false">SUM(B9:F9)</f>
        <v>613916</v>
      </c>
      <c r="H9" s="795"/>
      <c r="I9" s="809" t="s">
        <v>449</v>
      </c>
      <c r="J9" s="810" t="n">
        <f aca="false">SUM(K9:Y9)</f>
        <v>1560321</v>
      </c>
      <c r="K9" s="811" t="n">
        <v>204420</v>
      </c>
      <c r="L9" s="812" t="n">
        <v>45636</v>
      </c>
      <c r="M9" s="812" t="n">
        <v>194191</v>
      </c>
      <c r="N9" s="813" t="n">
        <v>405404</v>
      </c>
      <c r="O9" s="813" t="n">
        <v>405404</v>
      </c>
      <c r="P9" s="813" t="n">
        <v>91272</v>
      </c>
      <c r="Q9" s="822" t="n">
        <v>19803</v>
      </c>
      <c r="R9" s="815" t="n">
        <v>194191</v>
      </c>
      <c r="S9" s="815"/>
      <c r="T9" s="815"/>
      <c r="U9" s="815"/>
      <c r="V9" s="815"/>
      <c r="W9" s="815"/>
      <c r="X9" s="815"/>
      <c r="Y9" s="816"/>
    </row>
    <row r="10" customFormat="false" ht="22.5" hidden="false" customHeight="true" outlineLevel="0" collapsed="false">
      <c r="A10" s="804" t="s">
        <v>450</v>
      </c>
      <c r="B10" s="817" t="n">
        <v>342210</v>
      </c>
      <c r="C10" s="818" t="n">
        <v>28050</v>
      </c>
      <c r="D10" s="817" t="n">
        <v>204325</v>
      </c>
      <c r="E10" s="819" t="n">
        <v>5609</v>
      </c>
      <c r="F10" s="820" t="n">
        <v>4530</v>
      </c>
      <c r="G10" s="794" t="n">
        <f aca="false">SUM(B10:F10)</f>
        <v>584724</v>
      </c>
      <c r="H10" s="795"/>
      <c r="I10" s="809" t="s">
        <v>450</v>
      </c>
      <c r="J10" s="810" t="n">
        <f aca="false">SUM(K10:Y10)</f>
        <v>1942502</v>
      </c>
      <c r="K10" s="811" t="n">
        <v>59118</v>
      </c>
      <c r="L10" s="812" t="n">
        <v>70528</v>
      </c>
      <c r="M10" s="812" t="n">
        <v>449717</v>
      </c>
      <c r="N10" s="813" t="n">
        <v>184278</v>
      </c>
      <c r="O10" s="813" t="n">
        <v>19706</v>
      </c>
      <c r="P10" s="813" t="n">
        <v>164069</v>
      </c>
      <c r="Q10" s="822" t="n">
        <v>184278</v>
      </c>
      <c r="R10" s="823" t="n">
        <v>405404</v>
      </c>
      <c r="S10" s="824" t="n">
        <v>405404</v>
      </c>
      <c r="T10" s="815"/>
      <c r="U10" s="815"/>
      <c r="V10" s="815"/>
      <c r="W10" s="815"/>
      <c r="X10" s="815"/>
      <c r="Y10" s="816"/>
    </row>
    <row r="11" customFormat="false" ht="22.5" hidden="false" customHeight="true" outlineLevel="0" collapsed="false">
      <c r="A11" s="804" t="s">
        <v>451</v>
      </c>
      <c r="B11" s="817"/>
      <c r="C11" s="818"/>
      <c r="D11" s="817"/>
      <c r="E11" s="819"/>
      <c r="F11" s="820"/>
      <c r="G11" s="794" t="n">
        <f aca="false">SUM(B11:F11)</f>
        <v>0</v>
      </c>
      <c r="H11" s="795"/>
      <c r="I11" s="809" t="s">
        <v>451</v>
      </c>
      <c r="J11" s="810" t="n">
        <f aca="false">SUM(K11:Y11)</f>
        <v>338855</v>
      </c>
      <c r="K11" s="811" t="n">
        <v>202702</v>
      </c>
      <c r="L11" s="812" t="n">
        <v>136153</v>
      </c>
      <c r="M11" s="812"/>
      <c r="N11" s="813"/>
      <c r="O11" s="813"/>
      <c r="P11" s="813"/>
      <c r="Q11" s="822"/>
      <c r="R11" s="815"/>
      <c r="S11" s="815"/>
      <c r="T11" s="815"/>
      <c r="U11" s="815"/>
      <c r="V11" s="815"/>
      <c r="W11" s="815"/>
      <c r="X11" s="815"/>
      <c r="Y11" s="816"/>
    </row>
    <row r="12" customFormat="false" ht="22.5" hidden="false" customHeight="true" outlineLevel="0" collapsed="false">
      <c r="A12" s="804" t="s">
        <v>452</v>
      </c>
      <c r="B12" s="817"/>
      <c r="C12" s="818"/>
      <c r="D12" s="817"/>
      <c r="E12" s="819"/>
      <c r="F12" s="820"/>
      <c r="G12" s="794" t="n">
        <f aca="false">SUM(B12:F12)</f>
        <v>0</v>
      </c>
      <c r="H12" s="795"/>
      <c r="I12" s="809" t="s">
        <v>452</v>
      </c>
      <c r="J12" s="810" t="n">
        <f aca="false">SUM(K12:Y12)</f>
        <v>352644</v>
      </c>
      <c r="K12" s="811" t="n">
        <v>20744</v>
      </c>
      <c r="L12" s="812" t="n">
        <v>15558</v>
      </c>
      <c r="M12" s="812" t="n">
        <v>316342</v>
      </c>
      <c r="N12" s="813"/>
      <c r="O12" s="813"/>
      <c r="P12" s="813"/>
      <c r="Q12" s="822"/>
      <c r="R12" s="815"/>
      <c r="S12" s="815"/>
      <c r="T12" s="815"/>
      <c r="U12" s="815"/>
      <c r="V12" s="815"/>
      <c r="W12" s="815"/>
      <c r="X12" s="815"/>
      <c r="Y12" s="816"/>
    </row>
    <row r="13" customFormat="false" ht="22.5" hidden="false" customHeight="true" outlineLevel="0" collapsed="false">
      <c r="A13" s="804" t="s">
        <v>453</v>
      </c>
      <c r="B13" s="817"/>
      <c r="C13" s="818"/>
      <c r="D13" s="825"/>
      <c r="E13" s="826"/>
      <c r="F13" s="793"/>
      <c r="G13" s="794" t="n">
        <f aca="false">SUM(B13:F13)</f>
        <v>0</v>
      </c>
      <c r="H13" s="795"/>
      <c r="I13" s="809" t="s">
        <v>453</v>
      </c>
      <c r="J13" s="810" t="n">
        <f aca="false">SUM(K13:Y13)</f>
        <v>0</v>
      </c>
      <c r="K13" s="811"/>
      <c r="L13" s="811"/>
      <c r="M13" s="812"/>
      <c r="N13" s="813"/>
      <c r="O13" s="813"/>
      <c r="P13" s="813"/>
      <c r="Q13" s="822"/>
      <c r="R13" s="815"/>
      <c r="S13" s="815"/>
      <c r="T13" s="815"/>
      <c r="U13" s="815"/>
      <c r="V13" s="815"/>
      <c r="W13" s="815"/>
      <c r="X13" s="815"/>
      <c r="Y13" s="816"/>
    </row>
    <row r="14" customFormat="false" ht="22.5" hidden="false" customHeight="true" outlineLevel="0" collapsed="false">
      <c r="A14" s="804" t="s">
        <v>454</v>
      </c>
      <c r="B14" s="818"/>
      <c r="C14" s="827"/>
      <c r="D14" s="817"/>
      <c r="E14" s="819"/>
      <c r="F14" s="820"/>
      <c r="G14" s="794" t="n">
        <f aca="false">SUM(B14:F14)</f>
        <v>0</v>
      </c>
      <c r="H14" s="795"/>
      <c r="I14" s="809" t="s">
        <v>454</v>
      </c>
      <c r="J14" s="810" t="n">
        <f aca="false">SUM(K14:Y14)</f>
        <v>0</v>
      </c>
      <c r="K14" s="828"/>
      <c r="L14" s="829"/>
      <c r="M14" s="812"/>
      <c r="N14" s="813"/>
      <c r="O14" s="830"/>
      <c r="P14" s="813"/>
      <c r="Q14" s="822"/>
      <c r="R14" s="815"/>
      <c r="S14" s="815"/>
      <c r="T14" s="815"/>
      <c r="U14" s="815"/>
      <c r="V14" s="815"/>
      <c r="W14" s="815"/>
      <c r="X14" s="815"/>
      <c r="Y14" s="816"/>
    </row>
    <row r="15" customFormat="false" ht="22.5" hidden="false" customHeight="true" outlineLevel="0" collapsed="false">
      <c r="A15" s="804" t="s">
        <v>455</v>
      </c>
      <c r="B15" s="805"/>
      <c r="C15" s="806"/>
      <c r="D15" s="805"/>
      <c r="E15" s="807"/>
      <c r="F15" s="808"/>
      <c r="G15" s="794" t="n">
        <f aca="false">SUM(B15:F15)</f>
        <v>0</v>
      </c>
      <c r="H15" s="795"/>
      <c r="I15" s="809" t="s">
        <v>455</v>
      </c>
      <c r="J15" s="810" t="n">
        <f aca="false">SUM(K15:Y15)</f>
        <v>0</v>
      </c>
      <c r="K15" s="828"/>
      <c r="L15" s="831"/>
      <c r="M15" s="812"/>
      <c r="N15" s="813"/>
      <c r="O15" s="813"/>
      <c r="P15" s="813"/>
      <c r="Q15" s="822"/>
      <c r="R15" s="815"/>
      <c r="S15" s="815"/>
      <c r="T15" s="815"/>
      <c r="U15" s="815"/>
      <c r="V15" s="815"/>
      <c r="W15" s="815"/>
      <c r="X15" s="815"/>
      <c r="Y15" s="816"/>
    </row>
    <row r="16" customFormat="false" ht="22.5" hidden="false" customHeight="true" outlineLevel="0" collapsed="false">
      <c r="A16" s="832" t="s">
        <v>456</v>
      </c>
      <c r="B16" s="833"/>
      <c r="C16" s="833"/>
      <c r="D16" s="833"/>
      <c r="E16" s="834"/>
      <c r="F16" s="835"/>
      <c r="G16" s="836" t="n">
        <f aca="false">SUM(B16:F16)</f>
        <v>0</v>
      </c>
      <c r="H16" s="795"/>
      <c r="I16" s="837" t="s">
        <v>456</v>
      </c>
      <c r="J16" s="838" t="n">
        <f aca="false">SUM(K16:Y16)</f>
        <v>0</v>
      </c>
      <c r="K16" s="839"/>
      <c r="L16" s="840"/>
      <c r="M16" s="840"/>
      <c r="N16" s="841"/>
      <c r="O16" s="841"/>
      <c r="P16" s="841"/>
      <c r="Q16" s="842"/>
      <c r="R16" s="843"/>
      <c r="S16" s="843"/>
      <c r="T16" s="843"/>
      <c r="U16" s="843"/>
      <c r="V16" s="843"/>
      <c r="W16" s="843"/>
      <c r="X16" s="843"/>
      <c r="Y16" s="844"/>
    </row>
    <row r="17" customFormat="false" ht="22.5" hidden="false" customHeight="true" outlineLevel="0" collapsed="false">
      <c r="A17" s="845" t="s">
        <v>457</v>
      </c>
      <c r="B17" s="846" t="n">
        <f aca="false">SUM(B5:B16)</f>
        <v>2238727</v>
      </c>
      <c r="C17" s="846" t="n">
        <f aca="false">SUM(C5:C16)</f>
        <v>183499</v>
      </c>
      <c r="D17" s="846" t="n">
        <f aca="false">SUM(D5:D16)</f>
        <v>1381718</v>
      </c>
      <c r="E17" s="847" t="n">
        <f aca="false">SUM(E5:E16)</f>
        <v>26038</v>
      </c>
      <c r="F17" s="848" t="n">
        <f aca="false">SUM(F5:F16)</f>
        <v>19147</v>
      </c>
      <c r="G17" s="849" t="n">
        <f aca="false">SUM(B17:F17)</f>
        <v>3849129</v>
      </c>
      <c r="H17" s="795"/>
      <c r="I17" s="850" t="s">
        <v>457</v>
      </c>
      <c r="J17" s="851" t="n">
        <f aca="false">SUM(J5:J16)</f>
        <v>6131548</v>
      </c>
      <c r="K17" s="852"/>
      <c r="L17" s="853"/>
      <c r="M17" s="853"/>
      <c r="N17" s="854"/>
      <c r="O17" s="854"/>
      <c r="P17" s="854"/>
      <c r="Q17" s="855"/>
      <c r="R17" s="856"/>
      <c r="S17" s="856"/>
      <c r="T17" s="856"/>
      <c r="U17" s="856"/>
      <c r="V17" s="856"/>
      <c r="W17" s="856"/>
      <c r="X17" s="856"/>
      <c r="Y17" s="857"/>
      <c r="AA17" s="858" t="n">
        <f aca="false">SUM(K5:Y16)</f>
        <v>6131548</v>
      </c>
    </row>
    <row r="18" customFormat="false" ht="28.5" hidden="false" customHeight="true" outlineLevel="0" collapsed="false">
      <c r="B18" s="795"/>
      <c r="C18" s="795"/>
      <c r="D18" s="795"/>
      <c r="E18" s="795"/>
      <c r="F18" s="795"/>
      <c r="S18" s="859"/>
    </row>
    <row r="19" s="861" customFormat="true" ht="28.5" hidden="false" customHeight="true" outlineLevel="0" collapsed="false">
      <c r="A19" s="769" t="s">
        <v>458</v>
      </c>
      <c r="B19" s="764"/>
      <c r="C19" s="764"/>
      <c r="D19" s="764"/>
      <c r="E19" s="764"/>
      <c r="F19" s="764"/>
      <c r="G19" s="770" t="s">
        <v>421</v>
      </c>
      <c r="H19" s="795"/>
      <c r="I19" s="771" t="s">
        <v>459</v>
      </c>
      <c r="J19" s="772"/>
      <c r="K19" s="860"/>
      <c r="L19" s="860"/>
      <c r="M19" s="860"/>
      <c r="N19" s="860"/>
      <c r="O19" s="860"/>
      <c r="P19" s="860"/>
      <c r="Q19" s="772"/>
      <c r="S19" s="766"/>
      <c r="Y19" s="774" t="s">
        <v>421</v>
      </c>
    </row>
    <row r="20" s="861" customFormat="true" ht="30" hidden="false" customHeight="true" outlineLevel="0" collapsed="false">
      <c r="A20" s="862" t="s">
        <v>423</v>
      </c>
      <c r="B20" s="863" t="s">
        <v>424</v>
      </c>
      <c r="C20" s="864" t="s">
        <v>425</v>
      </c>
      <c r="D20" s="863" t="s">
        <v>79</v>
      </c>
      <c r="E20" s="863" t="s">
        <v>80</v>
      </c>
      <c r="F20" s="865" t="s">
        <v>426</v>
      </c>
      <c r="G20" s="866" t="s">
        <v>427</v>
      </c>
      <c r="H20" s="795"/>
      <c r="I20" s="775" t="s">
        <v>428</v>
      </c>
      <c r="J20" s="782" t="s">
        <v>460</v>
      </c>
      <c r="K20" s="783" t="s">
        <v>430</v>
      </c>
      <c r="L20" s="784" t="s">
        <v>431</v>
      </c>
      <c r="M20" s="784" t="s">
        <v>432</v>
      </c>
      <c r="N20" s="785" t="s">
        <v>433</v>
      </c>
      <c r="O20" s="785" t="s">
        <v>434</v>
      </c>
      <c r="P20" s="785" t="s">
        <v>435</v>
      </c>
      <c r="Q20" s="786" t="s">
        <v>436</v>
      </c>
      <c r="R20" s="787" t="s">
        <v>437</v>
      </c>
      <c r="S20" s="787" t="s">
        <v>438</v>
      </c>
      <c r="T20" s="787" t="s">
        <v>439</v>
      </c>
      <c r="U20" s="787" t="s">
        <v>440</v>
      </c>
      <c r="V20" s="788" t="s">
        <v>441</v>
      </c>
      <c r="W20" s="788" t="s">
        <v>442</v>
      </c>
      <c r="X20" s="788" t="s">
        <v>443</v>
      </c>
      <c r="Y20" s="789" t="s">
        <v>444</v>
      </c>
    </row>
    <row r="21" s="861" customFormat="true" ht="23.1" hidden="false" customHeight="true" outlineLevel="0" collapsed="false">
      <c r="A21" s="867" t="s">
        <v>445</v>
      </c>
      <c r="B21" s="868" t="n">
        <f aca="false">B37+B53+J53+B70+J70+B86+J86+B102+J102</f>
        <v>0</v>
      </c>
      <c r="C21" s="868" t="n">
        <f aca="false">C37+C53+K53+C70+K70+C86+K86+C102+K102</f>
        <v>0</v>
      </c>
      <c r="D21" s="868" t="n">
        <f aca="false">D37+D53+L53+D70+L70+D86+L86+D102+L102</f>
        <v>0</v>
      </c>
      <c r="E21" s="868" t="n">
        <f aca="false">E37+E53+M53+E70+M70+E86+M86+E102+M102</f>
        <v>0</v>
      </c>
      <c r="F21" s="869" t="n">
        <f aca="false">F37+F53+N53+F70+N70+F86+N86+F102+N102</f>
        <v>0</v>
      </c>
      <c r="G21" s="870" t="n">
        <f aca="false">SUM(B21:E22)</f>
        <v>0</v>
      </c>
      <c r="H21" s="795"/>
      <c r="I21" s="796" t="s">
        <v>445</v>
      </c>
      <c r="J21" s="797" t="n">
        <f aca="false">SUM(K21:Y21)</f>
        <v>0</v>
      </c>
      <c r="K21" s="798" t="n">
        <v>0</v>
      </c>
      <c r="L21" s="799" t="n">
        <v>0</v>
      </c>
      <c r="M21" s="799"/>
      <c r="N21" s="800"/>
      <c r="O21" s="800"/>
      <c r="P21" s="800"/>
      <c r="Q21" s="799"/>
      <c r="R21" s="871"/>
      <c r="S21" s="872"/>
      <c r="T21" s="802"/>
      <c r="U21" s="802"/>
      <c r="V21" s="873"/>
      <c r="W21" s="802"/>
      <c r="X21" s="802"/>
      <c r="Y21" s="803"/>
    </row>
    <row r="22" s="861" customFormat="true" ht="23.1" hidden="false" customHeight="true" outlineLevel="0" collapsed="false">
      <c r="A22" s="874" t="s">
        <v>446</v>
      </c>
      <c r="B22" s="875" t="n">
        <f aca="false">B38+B54+J54+B71+J71+B87+J87+B103+J103</f>
        <v>0</v>
      </c>
      <c r="C22" s="868" t="n">
        <f aca="false">C38+C54+K54+C71+K71+C87+K87+C103+K103</f>
        <v>0</v>
      </c>
      <c r="D22" s="875" t="n">
        <f aca="false">D38+D54+L54+D71+L71+D87+L87+D103+L103</f>
        <v>0</v>
      </c>
      <c r="E22" s="875" t="n">
        <f aca="false">E38+E54+M54+E71+M71+E87+M87+E103+M103</f>
        <v>0</v>
      </c>
      <c r="F22" s="876" t="n">
        <f aca="false">F38+F54+N54+F71+N71+F87+N87+F103+N103</f>
        <v>0</v>
      </c>
      <c r="G22" s="870" t="n">
        <v>0</v>
      </c>
      <c r="H22" s="795"/>
      <c r="I22" s="809" t="s">
        <v>446</v>
      </c>
      <c r="J22" s="810" t="n">
        <f aca="false">SUM(K22:Y22)</f>
        <v>34534</v>
      </c>
      <c r="K22" s="811" t="n">
        <v>0</v>
      </c>
      <c r="L22" s="812" t="n">
        <v>34534</v>
      </c>
      <c r="M22" s="812" t="n">
        <v>0</v>
      </c>
      <c r="N22" s="813" t="n">
        <v>0</v>
      </c>
      <c r="O22" s="813" t="n">
        <v>0</v>
      </c>
      <c r="P22" s="813" t="n">
        <v>0</v>
      </c>
      <c r="Q22" s="877"/>
      <c r="R22" s="823"/>
      <c r="S22" s="824"/>
      <c r="T22" s="815"/>
      <c r="U22" s="815"/>
      <c r="V22" s="878"/>
      <c r="W22" s="815"/>
      <c r="X22" s="815"/>
      <c r="Y22" s="816"/>
    </row>
    <row r="23" s="861" customFormat="true" ht="23.1" hidden="false" customHeight="true" outlineLevel="0" collapsed="false">
      <c r="A23" s="874" t="s">
        <v>447</v>
      </c>
      <c r="B23" s="875" t="n">
        <f aca="false">B39+B55+J55+B72+J72+B88+J88+B104+J104</f>
        <v>0</v>
      </c>
      <c r="C23" s="868" t="n">
        <f aca="false">C39+C55+K55+C72+K72+C88+K88+C104+K104</f>
        <v>0</v>
      </c>
      <c r="D23" s="875" t="n">
        <f aca="false">D39+D55+L55+D72+L72+D88+L88+D104+L104</f>
        <v>0</v>
      </c>
      <c r="E23" s="875" t="n">
        <f aca="false">E39+E55+M55+E72+M72+E88+M88+E104+M104</f>
        <v>0</v>
      </c>
      <c r="F23" s="876" t="n">
        <f aca="false">F39+F55+N55+F72+N72+F88+N88+F104+N104</f>
        <v>0</v>
      </c>
      <c r="G23" s="870" t="n">
        <v>0</v>
      </c>
      <c r="H23" s="795"/>
      <c r="I23" s="809" t="s">
        <v>447</v>
      </c>
      <c r="J23" s="810" t="n">
        <f aca="false">SUM(K23:Y23)</f>
        <v>0</v>
      </c>
      <c r="K23" s="811"/>
      <c r="L23" s="812"/>
      <c r="M23" s="813"/>
      <c r="N23" s="813"/>
      <c r="O23" s="813"/>
      <c r="P23" s="813"/>
      <c r="Q23" s="877"/>
      <c r="R23" s="879"/>
      <c r="S23" s="824"/>
      <c r="T23" s="815"/>
      <c r="U23" s="815"/>
      <c r="V23" s="878"/>
      <c r="W23" s="815"/>
      <c r="X23" s="815"/>
      <c r="Y23" s="816"/>
    </row>
    <row r="24" s="861" customFormat="true" ht="23.1" hidden="false" customHeight="true" outlineLevel="0" collapsed="false">
      <c r="A24" s="874" t="s">
        <v>448</v>
      </c>
      <c r="B24" s="875" t="n">
        <f aca="false">B40+B56+J56+B73+J73+B89+J89+B105+J105</f>
        <v>0</v>
      </c>
      <c r="C24" s="868" t="n">
        <f aca="false">C40+C56+K56+C73+K73+C89+K89+C105+K105</f>
        <v>0</v>
      </c>
      <c r="D24" s="875" t="n">
        <f aca="false">D40+D56+L56+D73+L73+D89+L89+D105+L105</f>
        <v>0</v>
      </c>
      <c r="E24" s="875" t="n">
        <f aca="false">E40+E56+M56+E73+M73+E89+M89+E105+M105</f>
        <v>0</v>
      </c>
      <c r="F24" s="876" t="n">
        <f aca="false">F40+F56+N56+F73+N73+F89+N89+F105+N105</f>
        <v>0</v>
      </c>
      <c r="G24" s="870" t="n">
        <v>0</v>
      </c>
      <c r="H24" s="795"/>
      <c r="I24" s="809" t="s">
        <v>448</v>
      </c>
      <c r="J24" s="821" t="n">
        <f aca="false">SUM(K24:Y24)</f>
        <v>13904</v>
      </c>
      <c r="K24" s="813" t="n">
        <v>0</v>
      </c>
      <c r="L24" s="812" t="n">
        <v>0</v>
      </c>
      <c r="M24" s="812" t="n">
        <v>0</v>
      </c>
      <c r="N24" s="813" t="n">
        <v>0</v>
      </c>
      <c r="O24" s="813" t="n">
        <v>0</v>
      </c>
      <c r="P24" s="813" t="n">
        <v>0</v>
      </c>
      <c r="Q24" s="812" t="n">
        <v>0</v>
      </c>
      <c r="R24" s="823" t="n">
        <v>13904</v>
      </c>
      <c r="S24" s="824" t="n">
        <v>0</v>
      </c>
      <c r="T24" s="815" t="n">
        <v>0</v>
      </c>
      <c r="U24" s="815"/>
      <c r="V24" s="878"/>
      <c r="W24" s="815"/>
      <c r="X24" s="815"/>
      <c r="Y24" s="816"/>
    </row>
    <row r="25" s="861" customFormat="true" ht="23.1" hidden="false" customHeight="true" outlineLevel="0" collapsed="false">
      <c r="A25" s="874" t="s">
        <v>449</v>
      </c>
      <c r="B25" s="875" t="n">
        <f aca="false">B41+B57+J57+B74+J74+B90+J90+B106+J106</f>
        <v>0</v>
      </c>
      <c r="C25" s="868" t="n">
        <f aca="false">C41+C57+K57+C74+K74+C90+K90+C106+K106</f>
        <v>0</v>
      </c>
      <c r="D25" s="875" t="n">
        <f aca="false">D41+D57+L57+D74+L74+D90+L90+D106+L106</f>
        <v>0</v>
      </c>
      <c r="E25" s="875" t="n">
        <f aca="false">E41+E57+M57+E74+M74+E90+M90+E106+M106</f>
        <v>0</v>
      </c>
      <c r="F25" s="876" t="n">
        <f aca="false">F41+F57+N57+F74+N74+F90+N90+F106+N106</f>
        <v>0</v>
      </c>
      <c r="G25" s="870" t="n">
        <v>0</v>
      </c>
      <c r="H25" s="795"/>
      <c r="I25" s="809" t="s">
        <v>449</v>
      </c>
      <c r="J25" s="810" t="n">
        <f aca="false">SUM(K25:Y25)</f>
        <v>144372</v>
      </c>
      <c r="K25" s="811" t="n">
        <v>0</v>
      </c>
      <c r="L25" s="812" t="n">
        <v>6952</v>
      </c>
      <c r="M25" s="812" t="n">
        <v>0</v>
      </c>
      <c r="N25" s="813" t="n">
        <v>61758</v>
      </c>
      <c r="O25" s="813" t="n">
        <v>61758</v>
      </c>
      <c r="P25" s="813" t="n">
        <v>13904</v>
      </c>
      <c r="Q25" s="829" t="n">
        <v>0</v>
      </c>
      <c r="R25" s="823" t="n">
        <v>0</v>
      </c>
      <c r="S25" s="824"/>
      <c r="T25" s="815"/>
      <c r="U25" s="815"/>
      <c r="V25" s="878"/>
      <c r="W25" s="815"/>
      <c r="X25" s="815"/>
      <c r="Y25" s="816"/>
    </row>
    <row r="26" s="861" customFormat="true" ht="23.1" hidden="false" customHeight="true" outlineLevel="0" collapsed="false">
      <c r="A26" s="874" t="s">
        <v>450</v>
      </c>
      <c r="B26" s="875" t="n">
        <f aca="false">B42+B58+J58+B75+J75+B91+J91+B107+J107</f>
        <v>0</v>
      </c>
      <c r="C26" s="868" t="n">
        <f aca="false">C42+C58+K58+C75+K75+C91+K91+C107+K107</f>
        <v>0</v>
      </c>
      <c r="D26" s="875" t="n">
        <f aca="false">D42+D58+L58+D75+L75+D91+L91+D107+L107</f>
        <v>0</v>
      </c>
      <c r="E26" s="875" t="n">
        <f aca="false">E42+E58+M58+E75+M75+E91+M91+E107+M107</f>
        <v>0</v>
      </c>
      <c r="F26" s="876" t="n">
        <f aca="false">F42+F58+N58+F75+N75+F91+N91+F107+N107</f>
        <v>0</v>
      </c>
      <c r="G26" s="870" t="n">
        <v>0</v>
      </c>
      <c r="H26" s="795"/>
      <c r="I26" s="809" t="s">
        <v>450</v>
      </c>
      <c r="J26" s="810" t="n">
        <f aca="false">SUM(K26:Y26)</f>
        <v>220096</v>
      </c>
      <c r="K26" s="811" t="n">
        <v>0</v>
      </c>
      <c r="L26" s="812" t="n">
        <v>0</v>
      </c>
      <c r="M26" s="812" t="n">
        <v>68508</v>
      </c>
      <c r="N26" s="812" t="n">
        <v>0</v>
      </c>
      <c r="O26" s="812" t="n">
        <v>0</v>
      </c>
      <c r="P26" s="812" t="n">
        <v>0</v>
      </c>
      <c r="Q26" s="812" t="n">
        <v>28072</v>
      </c>
      <c r="R26" s="823" t="n">
        <v>61758</v>
      </c>
      <c r="S26" s="824" t="n">
        <v>61758</v>
      </c>
      <c r="T26" s="815"/>
      <c r="U26" s="815"/>
      <c r="V26" s="878"/>
      <c r="W26" s="815"/>
      <c r="X26" s="815"/>
      <c r="Y26" s="816"/>
    </row>
    <row r="27" s="861" customFormat="true" ht="23.1" hidden="false" customHeight="true" outlineLevel="0" collapsed="false">
      <c r="A27" s="874" t="s">
        <v>451</v>
      </c>
      <c r="B27" s="875" t="n">
        <f aca="false">B43+B59+J59+B76+J76+B92+J92+B108+J108</f>
        <v>0</v>
      </c>
      <c r="C27" s="868" t="n">
        <f aca="false">C43+C59+K59+C76+K76+C92+K92+C108+K108</f>
        <v>0</v>
      </c>
      <c r="D27" s="875" t="n">
        <f aca="false">D43+D59+L59+D76+L76+D92+L92+D108+L108</f>
        <v>0</v>
      </c>
      <c r="E27" s="875" t="n">
        <f aca="false">E43+E59+M59+E76+M76+E92+M92+E108+M108</f>
        <v>0</v>
      </c>
      <c r="F27" s="876" t="n">
        <f aca="false">F43+F59+N59+F76+N76+F92+N92+F108+N108</f>
        <v>0</v>
      </c>
      <c r="G27" s="870" t="n">
        <v>0</v>
      </c>
      <c r="H27" s="795"/>
      <c r="I27" s="809" t="s">
        <v>451</v>
      </c>
      <c r="J27" s="810" t="n">
        <f aca="false">SUM(K27:Y27)</f>
        <v>0</v>
      </c>
      <c r="K27" s="811" t="n">
        <v>0</v>
      </c>
      <c r="L27" s="812" t="n">
        <v>0</v>
      </c>
      <c r="M27" s="812"/>
      <c r="N27" s="812"/>
      <c r="O27" s="812"/>
      <c r="P27" s="812"/>
      <c r="Q27" s="812"/>
      <c r="R27" s="823"/>
      <c r="S27" s="824"/>
      <c r="T27" s="815"/>
      <c r="U27" s="815"/>
      <c r="V27" s="878"/>
      <c r="W27" s="815"/>
      <c r="X27" s="815"/>
      <c r="Y27" s="816"/>
    </row>
    <row r="28" s="861" customFormat="true" ht="23.1" hidden="false" customHeight="true" outlineLevel="0" collapsed="false">
      <c r="A28" s="874" t="s">
        <v>452</v>
      </c>
      <c r="B28" s="875" t="n">
        <f aca="false">B44+B60+J60+B77+J77+B93+J93+B109+J109</f>
        <v>0</v>
      </c>
      <c r="C28" s="868" t="n">
        <f aca="false">C44+C60+K60+C77+K77+C93+K93+C109+K109</f>
        <v>0</v>
      </c>
      <c r="D28" s="875" t="n">
        <f aca="false">D44+D60+L60+D77+L77+D93+L93+D109+L109</f>
        <v>0</v>
      </c>
      <c r="E28" s="875" t="n">
        <f aca="false">E44+E60+M60+E77+M77+E93+M93+E109+M109</f>
        <v>0</v>
      </c>
      <c r="F28" s="876" t="n">
        <f aca="false">F44+F60+N60+F77+N77+F93+N93+F109+N109</f>
        <v>0</v>
      </c>
      <c r="G28" s="870" t="n">
        <v>0</v>
      </c>
      <c r="H28" s="795"/>
      <c r="I28" s="809" t="s">
        <v>452</v>
      </c>
      <c r="J28" s="810" t="n">
        <f aca="false">SUM(K28:Y28)</f>
        <v>0</v>
      </c>
      <c r="K28" s="811" t="n">
        <v>0</v>
      </c>
      <c r="L28" s="812" t="n">
        <v>0</v>
      </c>
      <c r="M28" s="812" t="n">
        <v>0</v>
      </c>
      <c r="N28" s="812"/>
      <c r="O28" s="812"/>
      <c r="P28" s="812"/>
      <c r="Q28" s="812"/>
      <c r="R28" s="823"/>
      <c r="S28" s="824"/>
      <c r="T28" s="815"/>
      <c r="U28" s="815"/>
      <c r="V28" s="878"/>
      <c r="W28" s="815"/>
      <c r="X28" s="815"/>
      <c r="Y28" s="816"/>
    </row>
    <row r="29" s="861" customFormat="true" ht="23.1" hidden="false" customHeight="true" outlineLevel="0" collapsed="false">
      <c r="A29" s="874" t="s">
        <v>453</v>
      </c>
      <c r="B29" s="875" t="n">
        <f aca="false">B45+B61+J61+B78+J78+B94+J94+B110+J110</f>
        <v>0</v>
      </c>
      <c r="C29" s="868" t="n">
        <f aca="false">C45+C61+K61+C78+K78+C94+K94+C110+K110</f>
        <v>0</v>
      </c>
      <c r="D29" s="875" t="n">
        <f aca="false">D45+D61+L61+D78+L78+D94+L94+D110+L110</f>
        <v>0</v>
      </c>
      <c r="E29" s="875" t="n">
        <f aca="false">E45+E61+M61+E78+M78+E94+M94+E110+M110</f>
        <v>0</v>
      </c>
      <c r="F29" s="876" t="n">
        <f aca="false">F45+F61+N61+F78+N78+F94+N94+F110+N110</f>
        <v>0</v>
      </c>
      <c r="G29" s="870" t="n">
        <v>0</v>
      </c>
      <c r="H29" s="795"/>
      <c r="I29" s="809" t="s">
        <v>453</v>
      </c>
      <c r="J29" s="810" t="n">
        <f aca="false">SUM(K29:Y29)</f>
        <v>0</v>
      </c>
      <c r="K29" s="811"/>
      <c r="L29" s="812"/>
      <c r="M29" s="812"/>
      <c r="N29" s="812"/>
      <c r="O29" s="812"/>
      <c r="P29" s="812"/>
      <c r="Q29" s="812"/>
      <c r="R29" s="823"/>
      <c r="S29" s="824"/>
      <c r="T29" s="815"/>
      <c r="U29" s="815"/>
      <c r="V29" s="878"/>
      <c r="W29" s="815"/>
      <c r="X29" s="815"/>
      <c r="Y29" s="816"/>
    </row>
    <row r="30" s="861" customFormat="true" ht="23.1" hidden="false" customHeight="true" outlineLevel="0" collapsed="false">
      <c r="A30" s="874" t="s">
        <v>454</v>
      </c>
      <c r="B30" s="875" t="n">
        <f aca="false">B46+B62+J62+B79+J79+B95+J95+B111+J111</f>
        <v>0</v>
      </c>
      <c r="C30" s="868" t="n">
        <f aca="false">C46+C62+K62+C79+K79+C95+K95+C111+K111</f>
        <v>0</v>
      </c>
      <c r="D30" s="875" t="n">
        <f aca="false">D46+D62+L62+D79+L79+D95+L95+D111+L111</f>
        <v>0</v>
      </c>
      <c r="E30" s="875" t="n">
        <f aca="false">E46+E62+M62+E79+M79+E95+M95+E111+M111</f>
        <v>0</v>
      </c>
      <c r="F30" s="876" t="n">
        <f aca="false">F46+F62+N62+F79+N79+F95+N95+F111+N111</f>
        <v>0</v>
      </c>
      <c r="G30" s="870" t="n">
        <v>0</v>
      </c>
      <c r="H30" s="795"/>
      <c r="I30" s="809" t="s">
        <v>454</v>
      </c>
      <c r="J30" s="810" t="n">
        <f aca="false">SUM(K30:Y30)</f>
        <v>0</v>
      </c>
      <c r="K30" s="811"/>
      <c r="L30" s="829"/>
      <c r="M30" s="812"/>
      <c r="N30" s="813"/>
      <c r="O30" s="813"/>
      <c r="P30" s="813"/>
      <c r="Q30" s="812"/>
      <c r="R30" s="823"/>
      <c r="S30" s="824"/>
      <c r="T30" s="815"/>
      <c r="U30" s="815"/>
      <c r="V30" s="878"/>
      <c r="W30" s="815"/>
      <c r="X30" s="815"/>
      <c r="Y30" s="816"/>
    </row>
    <row r="31" s="861" customFormat="true" ht="23.1" hidden="false" customHeight="true" outlineLevel="0" collapsed="false">
      <c r="A31" s="874" t="s">
        <v>455</v>
      </c>
      <c r="B31" s="875" t="n">
        <f aca="false">B47+B63+J63+B80+J80+B96+J96+B112+J112</f>
        <v>0</v>
      </c>
      <c r="C31" s="868" t="n">
        <f aca="false">C47+C63+K63+C80+K80+C96+K96+C112+K112</f>
        <v>0</v>
      </c>
      <c r="D31" s="875" t="n">
        <f aca="false">D47+D63+L63+D80+L80+D96+L96+D112+L112</f>
        <v>0</v>
      </c>
      <c r="E31" s="875" t="n">
        <f aca="false">E47+E63+M63+E80+M80+E96+M96+E112+M112</f>
        <v>0</v>
      </c>
      <c r="F31" s="876" t="n">
        <f aca="false">F47+F63+N63+F80+N80+F96+N96+F112+N112</f>
        <v>0</v>
      </c>
      <c r="G31" s="870" t="n">
        <v>0</v>
      </c>
      <c r="H31" s="795"/>
      <c r="I31" s="809" t="s">
        <v>455</v>
      </c>
      <c r="J31" s="810" t="n">
        <f aca="false">SUM(K31:Y31)</f>
        <v>0</v>
      </c>
      <c r="K31" s="811"/>
      <c r="L31" s="812"/>
      <c r="M31" s="812"/>
      <c r="N31" s="813"/>
      <c r="O31" s="813"/>
      <c r="P31" s="813"/>
      <c r="Q31" s="812"/>
      <c r="R31" s="823"/>
      <c r="S31" s="824"/>
      <c r="T31" s="815"/>
      <c r="U31" s="815"/>
      <c r="V31" s="878"/>
      <c r="W31" s="815"/>
      <c r="X31" s="815"/>
      <c r="Y31" s="816"/>
    </row>
    <row r="32" s="861" customFormat="true" ht="23.1" hidden="false" customHeight="true" outlineLevel="0" collapsed="false">
      <c r="A32" s="880" t="s">
        <v>456</v>
      </c>
      <c r="B32" s="881" t="n">
        <f aca="false">B48+B64+J64+B81+J81+B97+J97+B113+J113</f>
        <v>0</v>
      </c>
      <c r="C32" s="881" t="n">
        <f aca="false">C48+C64+K64+C81+K81+C97+K97+C113+K113</f>
        <v>0</v>
      </c>
      <c r="D32" s="881" t="n">
        <f aca="false">D48+D64+L64+D81+L81+D97+L97+D113+L113</f>
        <v>0</v>
      </c>
      <c r="E32" s="881" t="n">
        <f aca="false">E48+E64+M64+E81+M81+E97+M97+E113+M113</f>
        <v>0</v>
      </c>
      <c r="F32" s="882" t="n">
        <f aca="false">F48+F64+N64+F81+N81+F97+N97+F113+N113</f>
        <v>0</v>
      </c>
      <c r="G32" s="883" t="n">
        <v>0</v>
      </c>
      <c r="H32" s="795"/>
      <c r="I32" s="837" t="s">
        <v>456</v>
      </c>
      <c r="J32" s="838" t="n">
        <f aca="false">SUM(K32:Y32)</f>
        <v>0</v>
      </c>
      <c r="K32" s="839"/>
      <c r="L32" s="840"/>
      <c r="M32" s="840"/>
      <c r="N32" s="841"/>
      <c r="O32" s="841"/>
      <c r="P32" s="841"/>
      <c r="Q32" s="840"/>
      <c r="R32" s="884"/>
      <c r="S32" s="885"/>
      <c r="T32" s="843"/>
      <c r="U32" s="843"/>
      <c r="V32" s="886"/>
      <c r="W32" s="843"/>
      <c r="X32" s="843"/>
      <c r="Y32" s="844"/>
    </row>
    <row r="33" s="861" customFormat="true" ht="23.1" hidden="false" customHeight="true" outlineLevel="0" collapsed="false">
      <c r="A33" s="887" t="s">
        <v>457</v>
      </c>
      <c r="B33" s="888" t="n">
        <f aca="false">SUM(B21:B32)</f>
        <v>0</v>
      </c>
      <c r="C33" s="888" t="n">
        <f aca="false">SUM(C21:C32)</f>
        <v>0</v>
      </c>
      <c r="D33" s="888" t="n">
        <f aca="false">SUM(D21:D32)</f>
        <v>0</v>
      </c>
      <c r="E33" s="888" t="n">
        <f aca="false">SUM(E21:E32)</f>
        <v>0</v>
      </c>
      <c r="F33" s="888" t="n">
        <f aca="false">SUM(F21:F32)</f>
        <v>0</v>
      </c>
      <c r="G33" s="889" t="n">
        <f aca="false">SUM(B33:F33)</f>
        <v>0</v>
      </c>
      <c r="H33" s="795"/>
      <c r="I33" s="850" t="s">
        <v>457</v>
      </c>
      <c r="J33" s="851" t="n">
        <f aca="false">SUM(J21:J32)</f>
        <v>412906</v>
      </c>
      <c r="K33" s="852"/>
      <c r="L33" s="853"/>
      <c r="M33" s="853"/>
      <c r="N33" s="854"/>
      <c r="O33" s="854"/>
      <c r="P33" s="854"/>
      <c r="Q33" s="890"/>
      <c r="R33" s="891"/>
      <c r="S33" s="892"/>
      <c r="T33" s="856"/>
      <c r="U33" s="856"/>
      <c r="V33" s="893"/>
      <c r="W33" s="856"/>
      <c r="X33" s="856"/>
      <c r="Y33" s="857"/>
      <c r="AA33" s="894" t="n">
        <f aca="false">SUM(K21:Y32)</f>
        <v>412906</v>
      </c>
    </row>
    <row r="34" s="861" customFormat="true" ht="10.5" hidden="false" customHeight="true" outlineLevel="0" collapsed="false">
      <c r="A34" s="764"/>
      <c r="B34" s="765"/>
      <c r="C34" s="765"/>
      <c r="D34" s="765"/>
      <c r="E34" s="765"/>
      <c r="F34" s="765"/>
      <c r="G34" s="765"/>
      <c r="H34" s="765"/>
      <c r="I34" s="765"/>
      <c r="J34" s="765"/>
      <c r="K34" s="765"/>
      <c r="L34" s="765"/>
      <c r="M34" s="764"/>
      <c r="N34" s="764"/>
      <c r="O34" s="764"/>
      <c r="P34" s="764"/>
      <c r="Q34" s="764"/>
      <c r="R34" s="765"/>
      <c r="S34" s="766"/>
    </row>
    <row r="35" s="861" customFormat="true" ht="28.5" hidden="false" customHeight="true" outlineLevel="0" collapsed="false">
      <c r="A35" s="895" t="s">
        <v>461</v>
      </c>
      <c r="B35" s="896"/>
      <c r="C35" s="897" t="s">
        <v>462</v>
      </c>
      <c r="D35" s="897"/>
      <c r="E35" s="897"/>
      <c r="F35" s="898"/>
      <c r="G35" s="899" t="s">
        <v>421</v>
      </c>
      <c r="H35" s="795"/>
      <c r="I35" s="771" t="s">
        <v>463</v>
      </c>
      <c r="J35" s="772"/>
      <c r="K35" s="860"/>
      <c r="L35" s="860"/>
      <c r="M35" s="860"/>
      <c r="N35" s="860"/>
      <c r="O35" s="860"/>
      <c r="P35" s="860"/>
      <c r="Q35" s="772"/>
      <c r="S35" s="766"/>
      <c r="Y35" s="774" t="s">
        <v>421</v>
      </c>
    </row>
    <row r="36" s="861" customFormat="true" ht="30" hidden="false" customHeight="true" outlineLevel="0" collapsed="false">
      <c r="A36" s="775" t="s">
        <v>423</v>
      </c>
      <c r="B36" s="776" t="s">
        <v>424</v>
      </c>
      <c r="C36" s="777" t="s">
        <v>425</v>
      </c>
      <c r="D36" s="776" t="s">
        <v>79</v>
      </c>
      <c r="E36" s="778" t="s">
        <v>80</v>
      </c>
      <c r="F36" s="779" t="str">
        <f aca="false">F20</f>
        <v>子ども・子育て支援</v>
      </c>
      <c r="G36" s="900" t="s">
        <v>427</v>
      </c>
      <c r="H36" s="795"/>
      <c r="I36" s="775" t="s">
        <v>428</v>
      </c>
      <c r="J36" s="782" t="s">
        <v>460</v>
      </c>
      <c r="K36" s="783" t="s">
        <v>430</v>
      </c>
      <c r="L36" s="784" t="s">
        <v>431</v>
      </c>
      <c r="M36" s="784" t="s">
        <v>432</v>
      </c>
      <c r="N36" s="785" t="s">
        <v>433</v>
      </c>
      <c r="O36" s="785" t="s">
        <v>434</v>
      </c>
      <c r="P36" s="785" t="s">
        <v>435</v>
      </c>
      <c r="Q36" s="786" t="s">
        <v>436</v>
      </c>
      <c r="R36" s="787" t="s">
        <v>437</v>
      </c>
      <c r="S36" s="787" t="s">
        <v>438</v>
      </c>
      <c r="T36" s="787" t="s">
        <v>439</v>
      </c>
      <c r="U36" s="787" t="s">
        <v>440</v>
      </c>
      <c r="V36" s="788" t="s">
        <v>441</v>
      </c>
      <c r="W36" s="788" t="s">
        <v>442</v>
      </c>
      <c r="X36" s="788" t="s">
        <v>443</v>
      </c>
      <c r="Y36" s="789" t="s">
        <v>444</v>
      </c>
    </row>
    <row r="37" s="861" customFormat="true" ht="23.1" hidden="false" customHeight="true" outlineLevel="0" collapsed="false">
      <c r="A37" s="901" t="s">
        <v>445</v>
      </c>
      <c r="B37" s="818"/>
      <c r="C37" s="818"/>
      <c r="D37" s="818"/>
      <c r="E37" s="792"/>
      <c r="F37" s="793"/>
      <c r="G37" s="794" t="n">
        <f aca="false">SUM(B37:F37)</f>
        <v>0</v>
      </c>
      <c r="H37" s="795"/>
      <c r="I37" s="796" t="s">
        <v>445</v>
      </c>
      <c r="J37" s="797" t="n">
        <f aca="false">SUM(K37:Y37)</f>
        <v>5135</v>
      </c>
      <c r="K37" s="798" t="n">
        <v>271</v>
      </c>
      <c r="L37" s="799" t="n">
        <v>4864</v>
      </c>
      <c r="M37" s="799"/>
      <c r="N37" s="800"/>
      <c r="O37" s="800"/>
      <c r="P37" s="800"/>
      <c r="Q37" s="799"/>
      <c r="R37" s="871"/>
      <c r="S37" s="872"/>
      <c r="T37" s="802"/>
      <c r="U37" s="802"/>
      <c r="V37" s="873"/>
      <c r="W37" s="802"/>
      <c r="X37" s="802"/>
      <c r="Y37" s="803"/>
    </row>
    <row r="38" s="861" customFormat="true" ht="23.1" hidden="false" customHeight="true" outlineLevel="0" collapsed="false">
      <c r="A38" s="804" t="s">
        <v>446</v>
      </c>
      <c r="B38" s="818"/>
      <c r="C38" s="818"/>
      <c r="D38" s="818"/>
      <c r="E38" s="807"/>
      <c r="F38" s="808"/>
      <c r="G38" s="794" t="n">
        <f aca="false">SUM(B38:F38)</f>
        <v>0</v>
      </c>
      <c r="H38" s="795"/>
      <c r="I38" s="809" t="s">
        <v>446</v>
      </c>
      <c r="J38" s="810" t="n">
        <f aca="false">SUM(K38:Y38)</f>
        <v>14676</v>
      </c>
      <c r="K38" s="811" t="n">
        <v>3428</v>
      </c>
      <c r="L38" s="812" t="n">
        <v>5027</v>
      </c>
      <c r="M38" s="812" t="n">
        <v>5476</v>
      </c>
      <c r="N38" s="813" t="n">
        <v>0</v>
      </c>
      <c r="O38" s="813" t="n">
        <v>437</v>
      </c>
      <c r="P38" s="813" t="n">
        <v>308</v>
      </c>
      <c r="Q38" s="877"/>
      <c r="R38" s="823"/>
      <c r="S38" s="824"/>
      <c r="T38" s="815"/>
      <c r="U38" s="815"/>
      <c r="V38" s="878"/>
      <c r="W38" s="815"/>
      <c r="X38" s="815"/>
      <c r="Y38" s="816"/>
    </row>
    <row r="39" s="861" customFormat="true" ht="23.1" hidden="false" customHeight="true" outlineLevel="0" collapsed="false">
      <c r="A39" s="804" t="s">
        <v>447</v>
      </c>
      <c r="B39" s="817"/>
      <c r="C39" s="818"/>
      <c r="D39" s="817"/>
      <c r="E39" s="819"/>
      <c r="F39" s="820"/>
      <c r="G39" s="794" t="n">
        <f aca="false">SUM(B39:F39)</f>
        <v>0</v>
      </c>
      <c r="H39" s="795"/>
      <c r="I39" s="809" t="s">
        <v>447</v>
      </c>
      <c r="J39" s="810" t="n">
        <f aca="false">SUM(K39:Y39)</f>
        <v>0</v>
      </c>
      <c r="K39" s="811"/>
      <c r="L39" s="812"/>
      <c r="M39" s="813"/>
      <c r="N39" s="813"/>
      <c r="O39" s="813"/>
      <c r="P39" s="813"/>
      <c r="Q39" s="877"/>
      <c r="R39" s="879"/>
      <c r="S39" s="824"/>
      <c r="T39" s="815"/>
      <c r="U39" s="815"/>
      <c r="V39" s="878"/>
      <c r="W39" s="815"/>
      <c r="X39" s="815"/>
      <c r="Y39" s="816"/>
    </row>
    <row r="40" s="861" customFormat="true" ht="23.1" hidden="false" customHeight="true" outlineLevel="0" collapsed="false">
      <c r="A40" s="804" t="s">
        <v>448</v>
      </c>
      <c r="B40" s="817"/>
      <c r="C40" s="818"/>
      <c r="D40" s="817"/>
      <c r="E40" s="819"/>
      <c r="F40" s="820"/>
      <c r="G40" s="794" t="n">
        <f aca="false">SUM(B40:F40)</f>
        <v>0</v>
      </c>
      <c r="H40" s="795"/>
      <c r="I40" s="809" t="s">
        <v>448</v>
      </c>
      <c r="J40" s="821" t="n">
        <f aca="false">SUM(K40:Y40)</f>
        <v>22140</v>
      </c>
      <c r="K40" s="813" t="n">
        <v>690</v>
      </c>
      <c r="L40" s="812" t="n">
        <v>943</v>
      </c>
      <c r="M40" s="812" t="n">
        <v>6800</v>
      </c>
      <c r="N40" s="813" t="n">
        <v>506</v>
      </c>
      <c r="O40" s="813" t="n">
        <v>326</v>
      </c>
      <c r="P40" s="813" t="n">
        <v>2057</v>
      </c>
      <c r="Q40" s="812" t="n">
        <v>4714</v>
      </c>
      <c r="R40" s="823" t="n">
        <v>2024</v>
      </c>
      <c r="S40" s="824" t="n">
        <v>3213</v>
      </c>
      <c r="T40" s="815" t="n">
        <v>867</v>
      </c>
      <c r="U40" s="815"/>
      <c r="V40" s="878"/>
      <c r="W40" s="815"/>
      <c r="X40" s="815"/>
      <c r="Y40" s="816"/>
    </row>
    <row r="41" s="861" customFormat="true" ht="23.1" hidden="false" customHeight="true" outlineLevel="0" collapsed="false">
      <c r="A41" s="804" t="s">
        <v>449</v>
      </c>
      <c r="B41" s="817"/>
      <c r="C41" s="818"/>
      <c r="D41" s="817"/>
      <c r="E41" s="819"/>
      <c r="F41" s="820"/>
      <c r="G41" s="794" t="n">
        <f aca="false">SUM(B41:F41)</f>
        <v>0</v>
      </c>
      <c r="H41" s="795"/>
      <c r="I41" s="809" t="s">
        <v>449</v>
      </c>
      <c r="J41" s="810" t="n">
        <f aca="false">SUM(K41:Y41)</f>
        <v>34161</v>
      </c>
      <c r="K41" s="811" t="n">
        <v>4533</v>
      </c>
      <c r="L41" s="812" t="n">
        <v>1012</v>
      </c>
      <c r="M41" s="812" t="n">
        <v>4306</v>
      </c>
      <c r="N41" s="813" t="n">
        <v>8990</v>
      </c>
      <c r="O41" s="813" t="n">
        <v>8990</v>
      </c>
      <c r="P41" s="813" t="n">
        <v>2024</v>
      </c>
      <c r="Q41" s="829" t="n">
        <v>0</v>
      </c>
      <c r="R41" s="823" t="n">
        <v>4306</v>
      </c>
      <c r="S41" s="824"/>
      <c r="T41" s="815"/>
      <c r="U41" s="815"/>
      <c r="V41" s="878"/>
      <c r="W41" s="815"/>
      <c r="X41" s="815"/>
      <c r="Y41" s="816"/>
    </row>
    <row r="42" s="861" customFormat="true" ht="23.1" hidden="false" customHeight="true" outlineLevel="0" collapsed="false">
      <c r="A42" s="804" t="s">
        <v>450</v>
      </c>
      <c r="B42" s="817"/>
      <c r="C42" s="818"/>
      <c r="D42" s="817"/>
      <c r="E42" s="819"/>
      <c r="F42" s="820"/>
      <c r="G42" s="794" t="n">
        <f aca="false">SUM(B42:F42)</f>
        <v>0</v>
      </c>
      <c r="H42" s="795"/>
      <c r="I42" s="809" t="s">
        <v>450</v>
      </c>
      <c r="J42" s="810" t="n">
        <f aca="false">SUM(K42:Y42)</f>
        <v>43075</v>
      </c>
      <c r="K42" s="811" t="n">
        <v>1311</v>
      </c>
      <c r="L42" s="812" t="n">
        <v>1564</v>
      </c>
      <c r="M42" s="812" t="n">
        <v>9973</v>
      </c>
      <c r="N42" s="812" t="n">
        <v>4086</v>
      </c>
      <c r="O42" s="812" t="n">
        <v>437</v>
      </c>
      <c r="P42" s="812" t="n">
        <v>3638</v>
      </c>
      <c r="Q42" s="812" t="n">
        <v>4086</v>
      </c>
      <c r="R42" s="823" t="n">
        <v>8990</v>
      </c>
      <c r="S42" s="824" t="n">
        <v>8990</v>
      </c>
      <c r="T42" s="815"/>
      <c r="U42" s="815"/>
      <c r="V42" s="878"/>
      <c r="W42" s="815"/>
      <c r="X42" s="815"/>
      <c r="Y42" s="816"/>
    </row>
    <row r="43" s="861" customFormat="true" ht="23.1" hidden="false" customHeight="true" outlineLevel="0" collapsed="false">
      <c r="A43" s="804" t="s">
        <v>451</v>
      </c>
      <c r="B43" s="817"/>
      <c r="C43" s="818"/>
      <c r="D43" s="817"/>
      <c r="E43" s="819"/>
      <c r="F43" s="820"/>
      <c r="G43" s="794" t="n">
        <f aca="false">SUM(B43:F43)</f>
        <v>0</v>
      </c>
      <c r="H43" s="795"/>
      <c r="I43" s="809" t="s">
        <v>451</v>
      </c>
      <c r="J43" s="810" t="n">
        <f aca="false">SUM(K43:Y43)</f>
        <v>7514</v>
      </c>
      <c r="K43" s="811" t="n">
        <v>4495</v>
      </c>
      <c r="L43" s="812" t="n">
        <v>3019</v>
      </c>
      <c r="M43" s="812"/>
      <c r="N43" s="812"/>
      <c r="O43" s="812"/>
      <c r="P43" s="812"/>
      <c r="Q43" s="812"/>
      <c r="R43" s="823"/>
      <c r="S43" s="824"/>
      <c r="T43" s="815"/>
      <c r="U43" s="815"/>
      <c r="V43" s="878"/>
      <c r="W43" s="815"/>
      <c r="X43" s="815"/>
      <c r="Y43" s="816"/>
    </row>
    <row r="44" s="861" customFormat="true" ht="23.1" hidden="false" customHeight="true" outlineLevel="0" collapsed="false">
      <c r="A44" s="804" t="s">
        <v>452</v>
      </c>
      <c r="B44" s="817"/>
      <c r="C44" s="818"/>
      <c r="D44" s="817"/>
      <c r="E44" s="819"/>
      <c r="F44" s="820"/>
      <c r="G44" s="794" t="n">
        <f aca="false">SUM(B44:F44)</f>
        <v>0</v>
      </c>
      <c r="H44" s="795"/>
      <c r="I44" s="809" t="s">
        <v>452</v>
      </c>
      <c r="J44" s="810" t="n">
        <f aca="false">SUM(K44:Y44)</f>
        <v>7820</v>
      </c>
      <c r="K44" s="811" t="n">
        <v>460</v>
      </c>
      <c r="L44" s="812" t="n">
        <v>345</v>
      </c>
      <c r="M44" s="812" t="n">
        <v>7015</v>
      </c>
      <c r="N44" s="812"/>
      <c r="O44" s="812"/>
      <c r="P44" s="812"/>
      <c r="Q44" s="812"/>
      <c r="R44" s="823"/>
      <c r="S44" s="824"/>
      <c r="T44" s="815"/>
      <c r="U44" s="815"/>
      <c r="V44" s="878"/>
      <c r="W44" s="815"/>
      <c r="X44" s="815"/>
      <c r="Y44" s="816"/>
    </row>
    <row r="45" s="861" customFormat="true" ht="23.1" hidden="false" customHeight="true" outlineLevel="0" collapsed="false">
      <c r="A45" s="804" t="s">
        <v>453</v>
      </c>
      <c r="B45" s="902"/>
      <c r="C45" s="903"/>
      <c r="D45" s="904"/>
      <c r="E45" s="826"/>
      <c r="F45" s="793"/>
      <c r="G45" s="794" t="n">
        <f aca="false">SUM(B45:F45)</f>
        <v>0</v>
      </c>
      <c r="H45" s="795"/>
      <c r="I45" s="809" t="s">
        <v>453</v>
      </c>
      <c r="J45" s="810" t="n">
        <f aca="false">SUM(K45:Y45)</f>
        <v>0</v>
      </c>
      <c r="K45" s="811"/>
      <c r="L45" s="812"/>
      <c r="M45" s="812"/>
      <c r="N45" s="812"/>
      <c r="O45" s="812"/>
      <c r="P45" s="812"/>
      <c r="Q45" s="812"/>
      <c r="R45" s="823"/>
      <c r="S45" s="824"/>
      <c r="T45" s="815"/>
      <c r="U45" s="815"/>
      <c r="V45" s="878"/>
      <c r="W45" s="815"/>
      <c r="X45" s="815"/>
      <c r="Y45" s="816"/>
    </row>
    <row r="46" s="861" customFormat="true" ht="23.1" hidden="false" customHeight="true" outlineLevel="0" collapsed="false">
      <c r="A46" s="804" t="s">
        <v>454</v>
      </c>
      <c r="B46" s="902"/>
      <c r="C46" s="903"/>
      <c r="D46" s="902"/>
      <c r="E46" s="819"/>
      <c r="F46" s="820"/>
      <c r="G46" s="794" t="n">
        <f aca="false">SUM(B46:F46)</f>
        <v>0</v>
      </c>
      <c r="H46" s="795"/>
      <c r="I46" s="809" t="s">
        <v>454</v>
      </c>
      <c r="J46" s="810" t="n">
        <f aca="false">SUM(K46:Y46)</f>
        <v>0</v>
      </c>
      <c r="K46" s="811"/>
      <c r="L46" s="829"/>
      <c r="M46" s="812"/>
      <c r="N46" s="813"/>
      <c r="O46" s="813"/>
      <c r="P46" s="813"/>
      <c r="Q46" s="812"/>
      <c r="R46" s="823"/>
      <c r="S46" s="824"/>
      <c r="T46" s="815"/>
      <c r="U46" s="815"/>
      <c r="V46" s="878"/>
      <c r="W46" s="815"/>
      <c r="X46" s="815"/>
      <c r="Y46" s="816"/>
    </row>
    <row r="47" s="861" customFormat="true" ht="23.1" hidden="false" customHeight="true" outlineLevel="0" collapsed="false">
      <c r="A47" s="804" t="s">
        <v>455</v>
      </c>
      <c r="B47" s="902"/>
      <c r="C47" s="903"/>
      <c r="D47" s="902"/>
      <c r="E47" s="807"/>
      <c r="F47" s="808"/>
      <c r="G47" s="794" t="n">
        <f aca="false">SUM(B47:F47)</f>
        <v>0</v>
      </c>
      <c r="H47" s="795"/>
      <c r="I47" s="809" t="s">
        <v>455</v>
      </c>
      <c r="J47" s="810" t="n">
        <f aca="false">SUM(K47:Y47)</f>
        <v>0</v>
      </c>
      <c r="K47" s="811"/>
      <c r="L47" s="812"/>
      <c r="M47" s="812"/>
      <c r="N47" s="813"/>
      <c r="O47" s="813"/>
      <c r="P47" s="813"/>
      <c r="Q47" s="812"/>
      <c r="R47" s="823"/>
      <c r="S47" s="824"/>
      <c r="T47" s="815"/>
      <c r="U47" s="815"/>
      <c r="V47" s="878"/>
      <c r="W47" s="815"/>
      <c r="X47" s="815"/>
      <c r="Y47" s="816"/>
    </row>
    <row r="48" s="861" customFormat="true" ht="23.1" hidden="false" customHeight="true" outlineLevel="0" collapsed="false">
      <c r="A48" s="905" t="s">
        <v>456</v>
      </c>
      <c r="B48" s="906"/>
      <c r="C48" s="906"/>
      <c r="D48" s="907"/>
      <c r="E48" s="834"/>
      <c r="F48" s="835"/>
      <c r="G48" s="836" t="n">
        <f aca="false">SUM(B48:F48)</f>
        <v>0</v>
      </c>
      <c r="H48" s="795"/>
      <c r="I48" s="837" t="s">
        <v>456</v>
      </c>
      <c r="J48" s="838" t="n">
        <f aca="false">SUM(K48:Y48)</f>
        <v>0</v>
      </c>
      <c r="K48" s="839"/>
      <c r="L48" s="840"/>
      <c r="M48" s="840"/>
      <c r="N48" s="841"/>
      <c r="O48" s="841"/>
      <c r="P48" s="841"/>
      <c r="Q48" s="840"/>
      <c r="R48" s="884"/>
      <c r="S48" s="885"/>
      <c r="T48" s="843"/>
      <c r="U48" s="843"/>
      <c r="V48" s="886"/>
      <c r="W48" s="843"/>
      <c r="X48" s="843"/>
      <c r="Y48" s="844"/>
    </row>
    <row r="49" s="861" customFormat="true" ht="23.1" hidden="false" customHeight="true" outlineLevel="0" collapsed="false">
      <c r="A49" s="908" t="s">
        <v>457</v>
      </c>
      <c r="B49" s="909" t="n">
        <f aca="false">SUM(B37:B48)</f>
        <v>0</v>
      </c>
      <c r="C49" s="909" t="n">
        <f aca="false">SUM(C37:C48)</f>
        <v>0</v>
      </c>
      <c r="D49" s="909" t="n">
        <f aca="false">SUM(D37:D48)</f>
        <v>0</v>
      </c>
      <c r="E49" s="847" t="n">
        <f aca="false">SUM(E37:E48)</f>
        <v>0</v>
      </c>
      <c r="F49" s="848" t="n">
        <f aca="false">SUM(F37:F48)</f>
        <v>0</v>
      </c>
      <c r="G49" s="849" t="n">
        <f aca="false">SUM(B49:F49)</f>
        <v>0</v>
      </c>
      <c r="H49" s="795"/>
      <c r="I49" s="850" t="s">
        <v>457</v>
      </c>
      <c r="J49" s="851" t="n">
        <f aca="false">SUM(J37:J48)</f>
        <v>134521</v>
      </c>
      <c r="K49" s="852"/>
      <c r="L49" s="853"/>
      <c r="M49" s="853"/>
      <c r="N49" s="854"/>
      <c r="O49" s="854"/>
      <c r="P49" s="854"/>
      <c r="Q49" s="890"/>
      <c r="R49" s="891"/>
      <c r="S49" s="892"/>
      <c r="T49" s="856"/>
      <c r="U49" s="856"/>
      <c r="V49" s="893"/>
      <c r="W49" s="856"/>
      <c r="X49" s="856"/>
      <c r="Y49" s="857"/>
      <c r="AA49" s="894" t="n">
        <f aca="false">SUM(K37:Y48)</f>
        <v>134521</v>
      </c>
    </row>
    <row r="50" s="861" customFormat="true" ht="9" hidden="false" customHeight="true" outlineLevel="0" collapsed="false">
      <c r="A50" s="764"/>
      <c r="B50" s="765"/>
      <c r="C50" s="765"/>
      <c r="D50" s="765"/>
      <c r="E50" s="765"/>
      <c r="F50" s="765"/>
      <c r="G50" s="765"/>
      <c r="H50" s="765"/>
      <c r="I50" s="765"/>
      <c r="J50" s="765"/>
      <c r="K50" s="765"/>
      <c r="L50" s="765"/>
      <c r="M50" s="764"/>
      <c r="N50" s="764"/>
      <c r="O50" s="764"/>
      <c r="P50" s="764"/>
      <c r="Q50" s="764"/>
      <c r="R50" s="765"/>
      <c r="S50" s="766"/>
    </row>
    <row r="51" s="916" customFormat="true" ht="23.1" hidden="false" customHeight="true" outlineLevel="0" collapsed="false">
      <c r="A51" s="895" t="s">
        <v>461</v>
      </c>
      <c r="B51" s="896"/>
      <c r="C51" s="897" t="s">
        <v>462</v>
      </c>
      <c r="D51" s="897"/>
      <c r="E51" s="897"/>
      <c r="F51" s="898"/>
      <c r="G51" s="899" t="s">
        <v>421</v>
      </c>
      <c r="H51" s="910"/>
      <c r="I51" s="895" t="s">
        <v>461</v>
      </c>
      <c r="J51" s="896"/>
      <c r="K51" s="911" t="s">
        <v>464</v>
      </c>
      <c r="L51" s="911"/>
      <c r="M51" s="911"/>
      <c r="N51" s="912"/>
      <c r="O51" s="899" t="s">
        <v>421</v>
      </c>
      <c r="P51" s="913"/>
      <c r="Q51" s="913"/>
      <c r="R51" s="914"/>
      <c r="S51" s="915"/>
    </row>
    <row r="52" s="861" customFormat="true" ht="23.1" hidden="false" customHeight="true" outlineLevel="0" collapsed="false">
      <c r="A52" s="775" t="s">
        <v>423</v>
      </c>
      <c r="B52" s="776" t="s">
        <v>424</v>
      </c>
      <c r="C52" s="777" t="s">
        <v>425</v>
      </c>
      <c r="D52" s="776" t="s">
        <v>79</v>
      </c>
      <c r="E52" s="778" t="s">
        <v>80</v>
      </c>
      <c r="F52" s="779" t="str">
        <f aca="false">F36</f>
        <v>子ども・子育て支援</v>
      </c>
      <c r="G52" s="900" t="s">
        <v>427</v>
      </c>
      <c r="H52" s="795"/>
      <c r="I52" s="775" t="s">
        <v>423</v>
      </c>
      <c r="J52" s="776" t="s">
        <v>424</v>
      </c>
      <c r="K52" s="777" t="s">
        <v>425</v>
      </c>
      <c r="L52" s="776" t="s">
        <v>79</v>
      </c>
      <c r="M52" s="778" t="s">
        <v>80</v>
      </c>
      <c r="N52" s="779" t="str">
        <f aca="false">F52</f>
        <v>子ども・子育て支援</v>
      </c>
      <c r="O52" s="900" t="s">
        <v>427</v>
      </c>
      <c r="P52" s="764"/>
      <c r="Q52" s="764"/>
      <c r="R52" s="765"/>
      <c r="S52" s="766"/>
    </row>
    <row r="53" s="861" customFormat="true" ht="23.1" hidden="false" customHeight="true" outlineLevel="0" collapsed="false">
      <c r="A53" s="901" t="s">
        <v>445</v>
      </c>
      <c r="B53" s="818"/>
      <c r="C53" s="818"/>
      <c r="D53" s="818"/>
      <c r="E53" s="792"/>
      <c r="F53" s="793"/>
      <c r="G53" s="794" t="n">
        <f aca="false">SUM(B53:F53)</f>
        <v>0</v>
      </c>
      <c r="H53" s="795"/>
      <c r="I53" s="901" t="s">
        <v>445</v>
      </c>
      <c r="J53" s="818"/>
      <c r="K53" s="818"/>
      <c r="L53" s="818"/>
      <c r="M53" s="792"/>
      <c r="N53" s="793"/>
      <c r="O53" s="794" t="n">
        <f aca="false">SUM(J53:N53)</f>
        <v>0</v>
      </c>
      <c r="P53" s="764"/>
      <c r="Q53" s="764"/>
      <c r="R53" s="765"/>
      <c r="S53" s="766"/>
      <c r="T53" s="764"/>
      <c r="U53" s="764"/>
      <c r="V53" s="764"/>
    </row>
    <row r="54" s="861" customFormat="true" ht="23.1" hidden="false" customHeight="true" outlineLevel="0" collapsed="false">
      <c r="A54" s="804" t="s">
        <v>446</v>
      </c>
      <c r="B54" s="818"/>
      <c r="C54" s="818"/>
      <c r="D54" s="818"/>
      <c r="E54" s="807"/>
      <c r="F54" s="808"/>
      <c r="G54" s="794" t="n">
        <f aca="false">SUM(B54:F54)</f>
        <v>0</v>
      </c>
      <c r="H54" s="795"/>
      <c r="I54" s="804" t="s">
        <v>446</v>
      </c>
      <c r="J54" s="817"/>
      <c r="K54" s="818"/>
      <c r="L54" s="817"/>
      <c r="M54" s="807"/>
      <c r="N54" s="808"/>
      <c r="O54" s="794" t="n">
        <f aca="false">SUM(J54:N54)</f>
        <v>0</v>
      </c>
      <c r="P54" s="764"/>
      <c r="Q54" s="764"/>
      <c r="R54" s="765"/>
      <c r="S54" s="766"/>
      <c r="T54" s="764"/>
      <c r="U54" s="764"/>
      <c r="V54" s="764"/>
    </row>
    <row r="55" s="861" customFormat="true" ht="23.1" hidden="false" customHeight="true" outlineLevel="0" collapsed="false">
      <c r="A55" s="804" t="s">
        <v>447</v>
      </c>
      <c r="B55" s="817"/>
      <c r="C55" s="818"/>
      <c r="D55" s="817"/>
      <c r="E55" s="819"/>
      <c r="F55" s="820"/>
      <c r="G55" s="794" t="n">
        <f aca="false">SUM(B55:F55)</f>
        <v>0</v>
      </c>
      <c r="H55" s="795"/>
      <c r="I55" s="804" t="s">
        <v>447</v>
      </c>
      <c r="J55" s="817"/>
      <c r="K55" s="818"/>
      <c r="L55" s="817"/>
      <c r="M55" s="819"/>
      <c r="N55" s="820"/>
      <c r="O55" s="794" t="n">
        <f aca="false">SUM(J55:N55)</f>
        <v>0</v>
      </c>
      <c r="P55" s="764"/>
      <c r="Q55" s="764"/>
      <c r="R55" s="765"/>
      <c r="S55" s="766"/>
      <c r="T55" s="764"/>
      <c r="U55" s="764"/>
      <c r="V55" s="764"/>
    </row>
    <row r="56" s="861" customFormat="true" ht="23.1" hidden="false" customHeight="true" outlineLevel="0" collapsed="false">
      <c r="A56" s="804" t="s">
        <v>448</v>
      </c>
      <c r="B56" s="817"/>
      <c r="C56" s="818"/>
      <c r="D56" s="817"/>
      <c r="E56" s="819"/>
      <c r="F56" s="820"/>
      <c r="G56" s="794" t="n">
        <f aca="false">SUM(B56:F56)</f>
        <v>0</v>
      </c>
      <c r="H56" s="795"/>
      <c r="I56" s="804" t="s">
        <v>448</v>
      </c>
      <c r="J56" s="817"/>
      <c r="K56" s="818"/>
      <c r="L56" s="817"/>
      <c r="M56" s="819"/>
      <c r="N56" s="820"/>
      <c r="O56" s="794" t="n">
        <f aca="false">SUM(J56:N56)</f>
        <v>0</v>
      </c>
      <c r="P56" s="764"/>
      <c r="Q56" s="764"/>
      <c r="R56" s="765"/>
      <c r="S56" s="766"/>
      <c r="T56" s="764"/>
      <c r="U56" s="764"/>
      <c r="V56" s="764"/>
    </row>
    <row r="57" s="861" customFormat="true" ht="23.1" hidden="false" customHeight="true" outlineLevel="0" collapsed="false">
      <c r="A57" s="804" t="s">
        <v>449</v>
      </c>
      <c r="B57" s="817"/>
      <c r="C57" s="818"/>
      <c r="D57" s="817"/>
      <c r="E57" s="819"/>
      <c r="F57" s="820"/>
      <c r="G57" s="794" t="n">
        <f aca="false">SUM(B57:F57)</f>
        <v>0</v>
      </c>
      <c r="H57" s="795"/>
      <c r="I57" s="804" t="s">
        <v>449</v>
      </c>
      <c r="J57" s="817"/>
      <c r="K57" s="818"/>
      <c r="L57" s="817"/>
      <c r="M57" s="819"/>
      <c r="N57" s="820"/>
      <c r="O57" s="794" t="n">
        <f aca="false">SUM(J57:N57)</f>
        <v>0</v>
      </c>
      <c r="P57" s="764"/>
      <c r="Q57" s="764"/>
      <c r="R57" s="765"/>
      <c r="S57" s="766"/>
      <c r="T57" s="764"/>
      <c r="U57" s="764"/>
      <c r="V57" s="764"/>
    </row>
    <row r="58" s="861" customFormat="true" ht="23.1" hidden="false" customHeight="true" outlineLevel="0" collapsed="false">
      <c r="A58" s="804" t="s">
        <v>450</v>
      </c>
      <c r="B58" s="817"/>
      <c r="C58" s="818"/>
      <c r="D58" s="817"/>
      <c r="E58" s="819"/>
      <c r="F58" s="820"/>
      <c r="G58" s="794" t="n">
        <f aca="false">SUM(B58:F58)</f>
        <v>0</v>
      </c>
      <c r="H58" s="795"/>
      <c r="I58" s="804" t="s">
        <v>450</v>
      </c>
      <c r="J58" s="817"/>
      <c r="K58" s="818"/>
      <c r="L58" s="817"/>
      <c r="M58" s="819"/>
      <c r="N58" s="820"/>
      <c r="O58" s="794" t="n">
        <f aca="false">SUM(J58:N58)</f>
        <v>0</v>
      </c>
      <c r="P58" s="764"/>
      <c r="Q58" s="764"/>
      <c r="R58" s="765"/>
      <c r="S58" s="766"/>
      <c r="T58" s="764"/>
      <c r="U58" s="764"/>
      <c r="V58" s="764"/>
    </row>
    <row r="59" s="861" customFormat="true" ht="23.1" hidden="false" customHeight="true" outlineLevel="0" collapsed="false">
      <c r="A59" s="804" t="s">
        <v>451</v>
      </c>
      <c r="B59" s="817"/>
      <c r="C59" s="818"/>
      <c r="D59" s="817"/>
      <c r="E59" s="819"/>
      <c r="F59" s="820"/>
      <c r="G59" s="794" t="n">
        <f aca="false">SUM(B59:F59)</f>
        <v>0</v>
      </c>
      <c r="H59" s="795"/>
      <c r="I59" s="804" t="s">
        <v>451</v>
      </c>
      <c r="J59" s="817"/>
      <c r="K59" s="818"/>
      <c r="L59" s="817"/>
      <c r="M59" s="819"/>
      <c r="N59" s="820"/>
      <c r="O59" s="794" t="n">
        <f aca="false">SUM(J59:N59)</f>
        <v>0</v>
      </c>
      <c r="P59" s="764"/>
      <c r="Q59" s="764"/>
      <c r="R59" s="765"/>
      <c r="S59" s="766"/>
      <c r="T59" s="764"/>
      <c r="U59" s="764"/>
      <c r="V59" s="764"/>
    </row>
    <row r="60" s="861" customFormat="true" ht="23.1" hidden="false" customHeight="true" outlineLevel="0" collapsed="false">
      <c r="A60" s="804" t="s">
        <v>452</v>
      </c>
      <c r="B60" s="817"/>
      <c r="C60" s="818"/>
      <c r="D60" s="817"/>
      <c r="E60" s="819"/>
      <c r="F60" s="820"/>
      <c r="G60" s="794" t="n">
        <f aca="false">SUM(B60:F60)</f>
        <v>0</v>
      </c>
      <c r="H60" s="795"/>
      <c r="I60" s="804" t="s">
        <v>452</v>
      </c>
      <c r="J60" s="817"/>
      <c r="K60" s="818"/>
      <c r="L60" s="817"/>
      <c r="M60" s="819"/>
      <c r="N60" s="820"/>
      <c r="O60" s="794" t="n">
        <f aca="false">SUM(J60:N60)</f>
        <v>0</v>
      </c>
      <c r="P60" s="764"/>
      <c r="Q60" s="764"/>
      <c r="R60" s="765"/>
      <c r="S60" s="766"/>
      <c r="T60" s="764"/>
      <c r="U60" s="764"/>
      <c r="V60" s="764"/>
    </row>
    <row r="61" s="861" customFormat="true" ht="23.1" hidden="false" customHeight="true" outlineLevel="0" collapsed="false">
      <c r="A61" s="804" t="s">
        <v>453</v>
      </c>
      <c r="B61" s="902"/>
      <c r="C61" s="903"/>
      <c r="D61" s="904"/>
      <c r="E61" s="826"/>
      <c r="F61" s="793"/>
      <c r="G61" s="794" t="n">
        <f aca="false">SUM(B61:F61)</f>
        <v>0</v>
      </c>
      <c r="H61" s="795"/>
      <c r="I61" s="804" t="s">
        <v>453</v>
      </c>
      <c r="J61" s="902"/>
      <c r="K61" s="903"/>
      <c r="L61" s="904"/>
      <c r="M61" s="826"/>
      <c r="N61" s="793"/>
      <c r="O61" s="794" t="n">
        <f aca="false">SUM(J61:N61)</f>
        <v>0</v>
      </c>
      <c r="P61" s="764"/>
      <c r="Q61" s="764"/>
      <c r="R61" s="765"/>
      <c r="S61" s="766"/>
      <c r="T61" s="764"/>
      <c r="U61" s="764"/>
      <c r="V61" s="764"/>
    </row>
    <row r="62" s="861" customFormat="true" ht="23.1" hidden="false" customHeight="true" outlineLevel="0" collapsed="false">
      <c r="A62" s="804" t="s">
        <v>454</v>
      </c>
      <c r="B62" s="902"/>
      <c r="C62" s="903"/>
      <c r="D62" s="902"/>
      <c r="E62" s="819"/>
      <c r="F62" s="820"/>
      <c r="G62" s="794" t="n">
        <f aca="false">SUM(B62:F62)</f>
        <v>0</v>
      </c>
      <c r="H62" s="795"/>
      <c r="I62" s="804" t="s">
        <v>454</v>
      </c>
      <c r="J62" s="902"/>
      <c r="K62" s="903"/>
      <c r="L62" s="902"/>
      <c r="M62" s="819"/>
      <c r="N62" s="820"/>
      <c r="O62" s="794" t="n">
        <f aca="false">SUM(J62:N62)</f>
        <v>0</v>
      </c>
      <c r="P62" s="764"/>
      <c r="Q62" s="764"/>
      <c r="R62" s="765"/>
      <c r="S62" s="766"/>
      <c r="T62" s="764"/>
      <c r="U62" s="764"/>
      <c r="V62" s="764"/>
    </row>
    <row r="63" s="861" customFormat="true" ht="23.1" hidden="false" customHeight="true" outlineLevel="0" collapsed="false">
      <c r="A63" s="804" t="s">
        <v>455</v>
      </c>
      <c r="B63" s="902"/>
      <c r="C63" s="903"/>
      <c r="D63" s="902"/>
      <c r="E63" s="807"/>
      <c r="F63" s="808"/>
      <c r="G63" s="794" t="n">
        <f aca="false">SUM(B63:F63)</f>
        <v>0</v>
      </c>
      <c r="H63" s="795"/>
      <c r="I63" s="804" t="s">
        <v>455</v>
      </c>
      <c r="J63" s="902"/>
      <c r="K63" s="903"/>
      <c r="L63" s="902"/>
      <c r="M63" s="807"/>
      <c r="N63" s="808"/>
      <c r="O63" s="794" t="n">
        <f aca="false">SUM(J63:N63)</f>
        <v>0</v>
      </c>
      <c r="P63" s="764"/>
      <c r="Q63" s="764"/>
      <c r="R63" s="765"/>
      <c r="S63" s="766"/>
      <c r="T63" s="764"/>
      <c r="U63" s="764"/>
      <c r="V63" s="764"/>
    </row>
    <row r="64" s="861" customFormat="true" ht="23.1" hidden="false" customHeight="true" outlineLevel="0" collapsed="false">
      <c r="A64" s="905" t="s">
        <v>456</v>
      </c>
      <c r="B64" s="906"/>
      <c r="C64" s="906"/>
      <c r="D64" s="907"/>
      <c r="E64" s="834"/>
      <c r="F64" s="835"/>
      <c r="G64" s="836" t="n">
        <f aca="false">SUM(B64:F64)</f>
        <v>0</v>
      </c>
      <c r="H64" s="795"/>
      <c r="I64" s="905" t="s">
        <v>456</v>
      </c>
      <c r="J64" s="906"/>
      <c r="K64" s="906"/>
      <c r="L64" s="907"/>
      <c r="M64" s="834"/>
      <c r="N64" s="835"/>
      <c r="O64" s="836" t="n">
        <f aca="false">SUM(J64:N64)</f>
        <v>0</v>
      </c>
      <c r="P64" s="764"/>
      <c r="Q64" s="764"/>
      <c r="R64" s="765"/>
      <c r="S64" s="766"/>
      <c r="T64" s="764"/>
      <c r="U64" s="764"/>
      <c r="V64" s="764"/>
    </row>
    <row r="65" s="861" customFormat="true" ht="23.1" hidden="false" customHeight="true" outlineLevel="0" collapsed="false">
      <c r="A65" s="908" t="s">
        <v>457</v>
      </c>
      <c r="B65" s="909" t="n">
        <f aca="false">SUM(B53:B64)</f>
        <v>0</v>
      </c>
      <c r="C65" s="909" t="n">
        <f aca="false">SUM(C53:C64)</f>
        <v>0</v>
      </c>
      <c r="D65" s="909" t="n">
        <f aca="false">SUM(D53:D64)</f>
        <v>0</v>
      </c>
      <c r="E65" s="847" t="n">
        <f aca="false">SUM(E53:E64)</f>
        <v>0</v>
      </c>
      <c r="F65" s="848" t="n">
        <f aca="false">SUM(F53:F64)</f>
        <v>0</v>
      </c>
      <c r="G65" s="849" t="n">
        <f aca="false">SUM(B65:F65)</f>
        <v>0</v>
      </c>
      <c r="H65" s="795"/>
      <c r="I65" s="908" t="s">
        <v>457</v>
      </c>
      <c r="J65" s="909" t="n">
        <f aca="false">SUM(J53:J64)</f>
        <v>0</v>
      </c>
      <c r="K65" s="909" t="n">
        <f aca="false">SUM(K53:K64)</f>
        <v>0</v>
      </c>
      <c r="L65" s="909" t="n">
        <f aca="false">SUM(L53:L64)</f>
        <v>0</v>
      </c>
      <c r="M65" s="847" t="n">
        <f aca="false">SUM(M53:M64)</f>
        <v>0</v>
      </c>
      <c r="N65" s="848" t="n">
        <f aca="false">SUM(N53:N64)</f>
        <v>0</v>
      </c>
      <c r="O65" s="849" t="n">
        <f aca="false">SUM(J65:N65)</f>
        <v>0</v>
      </c>
      <c r="P65" s="764"/>
      <c r="Q65" s="764"/>
      <c r="R65" s="765"/>
      <c r="S65" s="766"/>
      <c r="T65" s="764"/>
      <c r="U65" s="764"/>
      <c r="V65" s="764"/>
    </row>
    <row r="66" s="861" customFormat="true" ht="9" hidden="false" customHeight="true" outlineLevel="0" collapsed="false">
      <c r="A66" s="764"/>
      <c r="B66" s="765"/>
      <c r="C66" s="765"/>
      <c r="D66" s="765"/>
      <c r="E66" s="765"/>
      <c r="F66" s="765"/>
      <c r="G66" s="765"/>
      <c r="H66" s="765"/>
      <c r="I66" s="765"/>
      <c r="J66" s="765"/>
      <c r="K66" s="765"/>
      <c r="L66" s="765"/>
      <c r="M66" s="764"/>
      <c r="N66" s="764"/>
      <c r="O66" s="764"/>
      <c r="P66" s="764"/>
      <c r="Q66" s="764"/>
      <c r="R66" s="765"/>
      <c r="S66" s="766"/>
      <c r="T66" s="764"/>
      <c r="U66" s="764"/>
      <c r="V66" s="764"/>
    </row>
    <row r="67" customFormat="false" ht="6" hidden="false" customHeight="true" outlineLevel="0" collapsed="false"/>
    <row r="68" s="916" customFormat="true" ht="23.1" hidden="false" customHeight="true" outlineLevel="0" collapsed="false">
      <c r="A68" s="895" t="s">
        <v>461</v>
      </c>
      <c r="B68" s="896"/>
      <c r="C68" s="911" t="s">
        <v>465</v>
      </c>
      <c r="D68" s="911"/>
      <c r="E68" s="911"/>
      <c r="F68" s="912"/>
      <c r="G68" s="899" t="s">
        <v>421</v>
      </c>
      <c r="H68" s="910"/>
      <c r="I68" s="895" t="s">
        <v>461</v>
      </c>
      <c r="J68" s="896"/>
      <c r="K68" s="917" t="s">
        <v>466</v>
      </c>
      <c r="L68" s="896"/>
      <c r="M68" s="896"/>
      <c r="N68" s="896"/>
      <c r="O68" s="899" t="s">
        <v>421</v>
      </c>
      <c r="P68" s="913"/>
      <c r="Q68" s="913"/>
      <c r="R68" s="914"/>
      <c r="S68" s="915"/>
      <c r="T68" s="913"/>
      <c r="U68" s="913"/>
      <c r="V68" s="913"/>
    </row>
    <row r="69" s="861" customFormat="true" ht="23.1" hidden="false" customHeight="true" outlineLevel="0" collapsed="false">
      <c r="A69" s="775" t="s">
        <v>423</v>
      </c>
      <c r="B69" s="776" t="s">
        <v>424</v>
      </c>
      <c r="C69" s="777" t="s">
        <v>425</v>
      </c>
      <c r="D69" s="776" t="s">
        <v>79</v>
      </c>
      <c r="E69" s="778" t="s">
        <v>80</v>
      </c>
      <c r="F69" s="779" t="str">
        <f aca="false">F52</f>
        <v>子ども・子育て支援</v>
      </c>
      <c r="G69" s="900" t="s">
        <v>427</v>
      </c>
      <c r="H69" s="795"/>
      <c r="I69" s="775" t="s">
        <v>423</v>
      </c>
      <c r="J69" s="776" t="s">
        <v>424</v>
      </c>
      <c r="K69" s="777" t="s">
        <v>425</v>
      </c>
      <c r="L69" s="776" t="s">
        <v>79</v>
      </c>
      <c r="M69" s="778" t="s">
        <v>80</v>
      </c>
      <c r="N69" s="779" t="str">
        <f aca="false">F52</f>
        <v>子ども・子育て支援</v>
      </c>
      <c r="O69" s="900" t="s">
        <v>427</v>
      </c>
      <c r="P69" s="764"/>
      <c r="Q69" s="764"/>
      <c r="R69" s="765"/>
      <c r="S69" s="766"/>
      <c r="T69" s="764"/>
      <c r="U69" s="764"/>
      <c r="V69" s="764"/>
    </row>
    <row r="70" s="861" customFormat="true" ht="23.1" hidden="false" customHeight="true" outlineLevel="0" collapsed="false">
      <c r="A70" s="901" t="s">
        <v>445</v>
      </c>
      <c r="B70" s="818"/>
      <c r="C70" s="818"/>
      <c r="D70" s="818"/>
      <c r="E70" s="792"/>
      <c r="F70" s="793"/>
      <c r="G70" s="794" t="n">
        <f aca="false">SUM(B70:F70)</f>
        <v>0</v>
      </c>
      <c r="H70" s="795"/>
      <c r="I70" s="901" t="s">
        <v>445</v>
      </c>
      <c r="J70" s="818"/>
      <c r="K70" s="818"/>
      <c r="L70" s="818"/>
      <c r="M70" s="792"/>
      <c r="N70" s="793"/>
      <c r="O70" s="794" t="n">
        <f aca="false">SUM(J70:N70)</f>
        <v>0</v>
      </c>
      <c r="P70" s="764"/>
      <c r="Q70" s="764"/>
      <c r="R70" s="765"/>
      <c r="S70" s="766"/>
      <c r="T70" s="764"/>
      <c r="U70" s="764"/>
      <c r="V70" s="764"/>
    </row>
    <row r="71" s="861" customFormat="true" ht="23.1" hidden="false" customHeight="true" outlineLevel="0" collapsed="false">
      <c r="A71" s="804" t="s">
        <v>446</v>
      </c>
      <c r="B71" s="817"/>
      <c r="C71" s="818"/>
      <c r="D71" s="817"/>
      <c r="E71" s="807"/>
      <c r="F71" s="808"/>
      <c r="G71" s="794" t="n">
        <f aca="false">SUM(B71:F71)</f>
        <v>0</v>
      </c>
      <c r="H71" s="795"/>
      <c r="I71" s="804" t="s">
        <v>446</v>
      </c>
      <c r="J71" s="817"/>
      <c r="K71" s="818"/>
      <c r="L71" s="817"/>
      <c r="M71" s="807"/>
      <c r="N71" s="808"/>
      <c r="O71" s="794" t="n">
        <f aca="false">SUM(J71:N71)</f>
        <v>0</v>
      </c>
      <c r="P71" s="764"/>
      <c r="Q71" s="764"/>
      <c r="R71" s="765"/>
      <c r="S71" s="766"/>
      <c r="T71" s="764"/>
      <c r="U71" s="764"/>
      <c r="V71" s="764"/>
    </row>
    <row r="72" s="861" customFormat="true" ht="23.1" hidden="false" customHeight="true" outlineLevel="0" collapsed="false">
      <c r="A72" s="804" t="s">
        <v>447</v>
      </c>
      <c r="B72" s="817"/>
      <c r="C72" s="818"/>
      <c r="D72" s="817"/>
      <c r="E72" s="819"/>
      <c r="F72" s="820"/>
      <c r="G72" s="794" t="n">
        <f aca="false">SUM(B72:F72)</f>
        <v>0</v>
      </c>
      <c r="H72" s="795"/>
      <c r="I72" s="804" t="s">
        <v>447</v>
      </c>
      <c r="J72" s="817"/>
      <c r="K72" s="818"/>
      <c r="L72" s="817"/>
      <c r="M72" s="819"/>
      <c r="N72" s="820"/>
      <c r="O72" s="794" t="n">
        <f aca="false">SUM(J72:N72)</f>
        <v>0</v>
      </c>
      <c r="P72" s="764"/>
      <c r="Q72" s="764"/>
      <c r="R72" s="765"/>
      <c r="S72" s="766"/>
      <c r="T72" s="764"/>
      <c r="U72" s="764"/>
      <c r="V72" s="764"/>
    </row>
    <row r="73" s="861" customFormat="true" ht="23.1" hidden="false" customHeight="true" outlineLevel="0" collapsed="false">
      <c r="A73" s="804" t="s">
        <v>448</v>
      </c>
      <c r="B73" s="818"/>
      <c r="C73" s="818"/>
      <c r="D73" s="818"/>
      <c r="E73" s="819"/>
      <c r="F73" s="820"/>
      <c r="G73" s="794" t="n">
        <f aca="false">SUM(B73:F73)</f>
        <v>0</v>
      </c>
      <c r="H73" s="795"/>
      <c r="I73" s="804" t="s">
        <v>448</v>
      </c>
      <c r="J73" s="918"/>
      <c r="K73" s="919"/>
      <c r="L73" s="918"/>
      <c r="M73" s="819"/>
      <c r="N73" s="820"/>
      <c r="O73" s="794" t="n">
        <f aca="false">SUM(J73:N73)</f>
        <v>0</v>
      </c>
      <c r="P73" s="764"/>
      <c r="Q73" s="764"/>
      <c r="R73" s="765"/>
      <c r="S73" s="766"/>
      <c r="T73" s="764"/>
      <c r="U73" s="764"/>
      <c r="V73" s="764"/>
    </row>
    <row r="74" s="861" customFormat="true" ht="23.1" hidden="false" customHeight="true" outlineLevel="0" collapsed="false">
      <c r="A74" s="804" t="s">
        <v>449</v>
      </c>
      <c r="B74" s="817"/>
      <c r="C74" s="818"/>
      <c r="D74" s="817"/>
      <c r="E74" s="819"/>
      <c r="F74" s="820"/>
      <c r="G74" s="794" t="n">
        <f aca="false">SUM(B74:F74)</f>
        <v>0</v>
      </c>
      <c r="H74" s="795"/>
      <c r="I74" s="804" t="s">
        <v>449</v>
      </c>
      <c r="J74" s="817"/>
      <c r="K74" s="818"/>
      <c r="L74" s="817"/>
      <c r="M74" s="819"/>
      <c r="N74" s="820"/>
      <c r="O74" s="794" t="n">
        <f aca="false">SUM(J74:N74)</f>
        <v>0</v>
      </c>
      <c r="P74" s="764"/>
      <c r="Q74" s="764"/>
      <c r="R74" s="765"/>
      <c r="S74" s="766"/>
      <c r="T74" s="764"/>
      <c r="U74" s="764"/>
      <c r="V74" s="764"/>
    </row>
    <row r="75" s="861" customFormat="true" ht="23.1" hidden="false" customHeight="true" outlineLevel="0" collapsed="false">
      <c r="A75" s="804" t="s">
        <v>450</v>
      </c>
      <c r="B75" s="817"/>
      <c r="C75" s="818"/>
      <c r="D75" s="817"/>
      <c r="E75" s="819"/>
      <c r="F75" s="820"/>
      <c r="G75" s="794" t="n">
        <f aca="false">SUM(B75:F75)</f>
        <v>0</v>
      </c>
      <c r="H75" s="795"/>
      <c r="I75" s="804" t="s">
        <v>450</v>
      </c>
      <c r="J75" s="817"/>
      <c r="K75" s="818"/>
      <c r="L75" s="817"/>
      <c r="M75" s="819"/>
      <c r="N75" s="820"/>
      <c r="O75" s="794" t="n">
        <f aca="false">SUM(J75:N75)</f>
        <v>0</v>
      </c>
      <c r="P75" s="764"/>
      <c r="Q75" s="764"/>
      <c r="R75" s="765"/>
      <c r="S75" s="766"/>
      <c r="T75" s="764"/>
      <c r="U75" s="764"/>
      <c r="V75" s="764"/>
    </row>
    <row r="76" s="861" customFormat="true" ht="23.1" hidden="false" customHeight="true" outlineLevel="0" collapsed="false">
      <c r="A76" s="804" t="s">
        <v>451</v>
      </c>
      <c r="B76" s="817"/>
      <c r="C76" s="818"/>
      <c r="D76" s="817"/>
      <c r="E76" s="819"/>
      <c r="F76" s="820"/>
      <c r="G76" s="794" t="n">
        <f aca="false">SUM(B76:F76)</f>
        <v>0</v>
      </c>
      <c r="H76" s="795"/>
      <c r="I76" s="804" t="s">
        <v>451</v>
      </c>
      <c r="J76" s="817"/>
      <c r="K76" s="818"/>
      <c r="L76" s="817"/>
      <c r="M76" s="819"/>
      <c r="N76" s="820"/>
      <c r="O76" s="794" t="n">
        <f aca="false">SUM(J76:N76)</f>
        <v>0</v>
      </c>
      <c r="P76" s="764"/>
      <c r="Q76" s="764"/>
      <c r="R76" s="765"/>
      <c r="S76" s="766"/>
      <c r="T76" s="764"/>
      <c r="U76" s="764"/>
      <c r="V76" s="764"/>
    </row>
    <row r="77" s="861" customFormat="true" ht="23.1" hidden="false" customHeight="true" outlineLevel="0" collapsed="false">
      <c r="A77" s="804" t="s">
        <v>452</v>
      </c>
      <c r="B77" s="817"/>
      <c r="C77" s="818"/>
      <c r="D77" s="817"/>
      <c r="E77" s="819"/>
      <c r="F77" s="820"/>
      <c r="G77" s="794" t="n">
        <f aca="false">SUM(B77:F77)</f>
        <v>0</v>
      </c>
      <c r="H77" s="795"/>
      <c r="I77" s="804" t="s">
        <v>452</v>
      </c>
      <c r="J77" s="817"/>
      <c r="K77" s="818"/>
      <c r="L77" s="817"/>
      <c r="M77" s="819"/>
      <c r="N77" s="820"/>
      <c r="O77" s="794" t="n">
        <f aca="false">SUM(J77:N77)</f>
        <v>0</v>
      </c>
      <c r="P77" s="764"/>
      <c r="Q77" s="764"/>
      <c r="R77" s="765"/>
      <c r="S77" s="766"/>
      <c r="T77" s="764"/>
      <c r="U77" s="764"/>
      <c r="V77" s="764"/>
    </row>
    <row r="78" s="861" customFormat="true" ht="23.1" hidden="false" customHeight="true" outlineLevel="0" collapsed="false">
      <c r="A78" s="804" t="s">
        <v>453</v>
      </c>
      <c r="B78" s="902"/>
      <c r="C78" s="903"/>
      <c r="D78" s="904"/>
      <c r="E78" s="826"/>
      <c r="F78" s="793"/>
      <c r="G78" s="794" t="n">
        <f aca="false">SUM(B78:F78)</f>
        <v>0</v>
      </c>
      <c r="H78" s="795"/>
      <c r="I78" s="804" t="s">
        <v>453</v>
      </c>
      <c r="J78" s="902"/>
      <c r="K78" s="903"/>
      <c r="L78" s="904"/>
      <c r="M78" s="826"/>
      <c r="N78" s="793"/>
      <c r="O78" s="794" t="n">
        <f aca="false">SUM(J78:N78)</f>
        <v>0</v>
      </c>
      <c r="P78" s="764"/>
      <c r="Q78" s="764"/>
      <c r="R78" s="765"/>
      <c r="S78" s="766"/>
      <c r="T78" s="764"/>
      <c r="U78" s="764"/>
      <c r="V78" s="764"/>
    </row>
    <row r="79" s="861" customFormat="true" ht="23.1" hidden="false" customHeight="true" outlineLevel="0" collapsed="false">
      <c r="A79" s="804" t="s">
        <v>454</v>
      </c>
      <c r="B79" s="902"/>
      <c r="C79" s="903"/>
      <c r="D79" s="902"/>
      <c r="E79" s="819"/>
      <c r="F79" s="820"/>
      <c r="G79" s="794" t="n">
        <f aca="false">SUM(B79:F79)</f>
        <v>0</v>
      </c>
      <c r="H79" s="795"/>
      <c r="I79" s="804" t="s">
        <v>454</v>
      </c>
      <c r="J79" s="902"/>
      <c r="K79" s="903"/>
      <c r="L79" s="902"/>
      <c r="M79" s="819"/>
      <c r="N79" s="820"/>
      <c r="O79" s="794" t="n">
        <f aca="false">SUM(J79:N79)</f>
        <v>0</v>
      </c>
      <c r="P79" s="764"/>
      <c r="Q79" s="764"/>
      <c r="R79" s="765"/>
      <c r="S79" s="766"/>
      <c r="T79" s="764"/>
      <c r="U79" s="764"/>
      <c r="V79" s="764"/>
    </row>
    <row r="80" s="861" customFormat="true" ht="23.1" hidden="false" customHeight="true" outlineLevel="0" collapsed="false">
      <c r="A80" s="804" t="s">
        <v>455</v>
      </c>
      <c r="B80" s="902"/>
      <c r="C80" s="903"/>
      <c r="D80" s="902"/>
      <c r="E80" s="807"/>
      <c r="F80" s="808"/>
      <c r="G80" s="794" t="n">
        <f aca="false">SUM(B80:F80)</f>
        <v>0</v>
      </c>
      <c r="H80" s="795"/>
      <c r="I80" s="804" t="s">
        <v>455</v>
      </c>
      <c r="J80" s="902"/>
      <c r="K80" s="903"/>
      <c r="L80" s="902"/>
      <c r="M80" s="807"/>
      <c r="N80" s="808"/>
      <c r="O80" s="794" t="n">
        <f aca="false">SUM(J80:N80)</f>
        <v>0</v>
      </c>
      <c r="P80" s="764"/>
      <c r="Q80" s="764"/>
      <c r="R80" s="765"/>
      <c r="S80" s="766"/>
      <c r="T80" s="764"/>
      <c r="U80" s="764"/>
      <c r="V80" s="764"/>
    </row>
    <row r="81" s="861" customFormat="true" ht="23.1" hidden="false" customHeight="true" outlineLevel="0" collapsed="false">
      <c r="A81" s="905" t="s">
        <v>456</v>
      </c>
      <c r="B81" s="906"/>
      <c r="C81" s="906"/>
      <c r="D81" s="907"/>
      <c r="E81" s="834"/>
      <c r="F81" s="835"/>
      <c r="G81" s="836" t="n">
        <f aca="false">SUM(B81:F81)</f>
        <v>0</v>
      </c>
      <c r="H81" s="795"/>
      <c r="I81" s="905" t="s">
        <v>456</v>
      </c>
      <c r="J81" s="906"/>
      <c r="K81" s="906"/>
      <c r="L81" s="907"/>
      <c r="M81" s="834"/>
      <c r="N81" s="835"/>
      <c r="O81" s="836" t="n">
        <f aca="false">SUM(J81:N81)</f>
        <v>0</v>
      </c>
      <c r="P81" s="764"/>
      <c r="Q81" s="764"/>
      <c r="R81" s="765"/>
      <c r="S81" s="766"/>
      <c r="T81" s="764"/>
      <c r="U81" s="764"/>
      <c r="V81" s="764"/>
    </row>
    <row r="82" s="861" customFormat="true" ht="23.1" hidden="false" customHeight="true" outlineLevel="0" collapsed="false">
      <c r="A82" s="908" t="s">
        <v>457</v>
      </c>
      <c r="B82" s="909" t="n">
        <f aca="false">SUM(B70:B81)</f>
        <v>0</v>
      </c>
      <c r="C82" s="909" t="n">
        <f aca="false">SUM(C70:C81)</f>
        <v>0</v>
      </c>
      <c r="D82" s="909" t="n">
        <f aca="false">SUM(D70:D81)</f>
        <v>0</v>
      </c>
      <c r="E82" s="847" t="n">
        <f aca="false">SUM(E70:E81)</f>
        <v>0</v>
      </c>
      <c r="F82" s="848" t="n">
        <f aca="false">SUM(F70:F81)</f>
        <v>0</v>
      </c>
      <c r="G82" s="849" t="n">
        <f aca="false">SUM(B82:F82)</f>
        <v>0</v>
      </c>
      <c r="H82" s="795"/>
      <c r="I82" s="908" t="s">
        <v>457</v>
      </c>
      <c r="J82" s="909" t="n">
        <f aca="false">SUM(J70:J81)</f>
        <v>0</v>
      </c>
      <c r="K82" s="909" t="n">
        <f aca="false">SUM(K70:K81)</f>
        <v>0</v>
      </c>
      <c r="L82" s="909" t="n">
        <f aca="false">SUM(L70:L81)</f>
        <v>0</v>
      </c>
      <c r="M82" s="847" t="n">
        <f aca="false">SUM(M70:M81)</f>
        <v>0</v>
      </c>
      <c r="N82" s="848" t="n">
        <f aca="false">SUM(N70:N81)</f>
        <v>0</v>
      </c>
      <c r="O82" s="849" t="n">
        <f aca="false">SUM(J82:N82)</f>
        <v>0</v>
      </c>
      <c r="P82" s="764"/>
      <c r="Q82" s="764"/>
      <c r="R82" s="765"/>
      <c r="S82" s="766"/>
      <c r="T82" s="764"/>
      <c r="U82" s="764"/>
      <c r="V82" s="764"/>
    </row>
    <row r="83" s="861" customFormat="true" ht="15" hidden="false" customHeight="false" outlineLevel="0" collapsed="false">
      <c r="A83" s="764"/>
      <c r="B83" s="765"/>
      <c r="C83" s="765"/>
      <c r="D83" s="765"/>
      <c r="E83" s="765"/>
      <c r="F83" s="765"/>
      <c r="G83" s="765"/>
      <c r="H83" s="765"/>
      <c r="I83" s="765"/>
      <c r="J83" s="765"/>
      <c r="K83" s="765"/>
      <c r="L83" s="765"/>
      <c r="M83" s="764"/>
      <c r="N83" s="764"/>
      <c r="O83" s="764"/>
      <c r="P83" s="764"/>
      <c r="Q83" s="764"/>
      <c r="R83" s="765"/>
      <c r="S83" s="766"/>
      <c r="T83" s="764"/>
      <c r="U83" s="764"/>
      <c r="V83" s="764"/>
    </row>
    <row r="84" s="916" customFormat="true" ht="23.1" hidden="false" customHeight="true" outlineLevel="0" collapsed="false">
      <c r="A84" s="895" t="s">
        <v>461</v>
      </c>
      <c r="B84" s="896"/>
      <c r="C84" s="911" t="s">
        <v>467</v>
      </c>
      <c r="D84" s="911"/>
      <c r="E84" s="911"/>
      <c r="F84" s="912"/>
      <c r="G84" s="899" t="s">
        <v>421</v>
      </c>
      <c r="H84" s="910"/>
      <c r="I84" s="895" t="s">
        <v>461</v>
      </c>
      <c r="J84" s="896"/>
      <c r="K84" s="920" t="s">
        <v>468</v>
      </c>
      <c r="L84" s="920"/>
      <c r="M84" s="920"/>
      <c r="N84" s="920"/>
      <c r="O84" s="899" t="s">
        <v>421</v>
      </c>
      <c r="P84" s="913"/>
      <c r="Q84" s="913"/>
      <c r="R84" s="914"/>
      <c r="S84" s="915"/>
      <c r="T84" s="913"/>
      <c r="U84" s="913"/>
      <c r="V84" s="913"/>
    </row>
    <row r="85" s="861" customFormat="true" ht="23.1" hidden="false" customHeight="true" outlineLevel="0" collapsed="false">
      <c r="A85" s="775" t="s">
        <v>423</v>
      </c>
      <c r="B85" s="776" t="s">
        <v>424</v>
      </c>
      <c r="C85" s="777" t="s">
        <v>425</v>
      </c>
      <c r="D85" s="776" t="s">
        <v>79</v>
      </c>
      <c r="E85" s="778" t="s">
        <v>80</v>
      </c>
      <c r="F85" s="779" t="str">
        <f aca="false">F69</f>
        <v>子ども・子育て支援</v>
      </c>
      <c r="G85" s="900" t="s">
        <v>427</v>
      </c>
      <c r="H85" s="795"/>
      <c r="I85" s="775" t="s">
        <v>423</v>
      </c>
      <c r="J85" s="776" t="s">
        <v>424</v>
      </c>
      <c r="K85" s="777" t="s">
        <v>425</v>
      </c>
      <c r="L85" s="776" t="s">
        <v>79</v>
      </c>
      <c r="M85" s="778" t="s">
        <v>80</v>
      </c>
      <c r="N85" s="779" t="str">
        <f aca="false">N69</f>
        <v>子ども・子育て支援</v>
      </c>
      <c r="O85" s="900" t="s">
        <v>427</v>
      </c>
      <c r="P85" s="764"/>
      <c r="Q85" s="764"/>
      <c r="R85" s="765"/>
      <c r="S85" s="766"/>
      <c r="T85" s="764"/>
      <c r="U85" s="764"/>
      <c r="V85" s="764"/>
    </row>
    <row r="86" s="861" customFormat="true" ht="23.1" hidden="false" customHeight="true" outlineLevel="0" collapsed="false">
      <c r="A86" s="901" t="s">
        <v>445</v>
      </c>
      <c r="B86" s="818"/>
      <c r="C86" s="818"/>
      <c r="D86" s="818"/>
      <c r="E86" s="792"/>
      <c r="F86" s="793"/>
      <c r="G86" s="794" t="n">
        <f aca="false">SUM(B86:F86)</f>
        <v>0</v>
      </c>
      <c r="H86" s="795"/>
      <c r="I86" s="901" t="s">
        <v>445</v>
      </c>
      <c r="J86" s="818"/>
      <c r="K86" s="818"/>
      <c r="L86" s="818"/>
      <c r="M86" s="792"/>
      <c r="N86" s="793"/>
      <c r="O86" s="794" t="n">
        <f aca="false">SUM(J86:N86)</f>
        <v>0</v>
      </c>
      <c r="P86" s="764"/>
      <c r="Q86" s="764"/>
      <c r="R86" s="765"/>
      <c r="S86" s="766"/>
      <c r="T86" s="764"/>
      <c r="U86" s="764"/>
      <c r="V86" s="764"/>
    </row>
    <row r="87" s="861" customFormat="true" ht="23.1" hidden="false" customHeight="true" outlineLevel="0" collapsed="false">
      <c r="A87" s="804" t="s">
        <v>446</v>
      </c>
      <c r="B87" s="817"/>
      <c r="C87" s="818"/>
      <c r="D87" s="817"/>
      <c r="E87" s="807"/>
      <c r="F87" s="808"/>
      <c r="G87" s="794" t="n">
        <f aca="false">SUM(B87:F87)</f>
        <v>0</v>
      </c>
      <c r="H87" s="795"/>
      <c r="I87" s="804" t="s">
        <v>446</v>
      </c>
      <c r="J87" s="817"/>
      <c r="K87" s="818"/>
      <c r="L87" s="817"/>
      <c r="M87" s="807"/>
      <c r="N87" s="808"/>
      <c r="O87" s="794" t="n">
        <f aca="false">SUM(J87:N87)</f>
        <v>0</v>
      </c>
      <c r="P87" s="764"/>
      <c r="Q87" s="764"/>
      <c r="R87" s="765"/>
      <c r="S87" s="766"/>
      <c r="T87" s="764"/>
      <c r="U87" s="764"/>
      <c r="V87" s="764"/>
    </row>
    <row r="88" s="861" customFormat="true" ht="23.1" hidden="false" customHeight="true" outlineLevel="0" collapsed="false">
      <c r="A88" s="804" t="s">
        <v>447</v>
      </c>
      <c r="B88" s="817"/>
      <c r="C88" s="818"/>
      <c r="D88" s="817"/>
      <c r="E88" s="819"/>
      <c r="F88" s="820"/>
      <c r="G88" s="794" t="n">
        <f aca="false">SUM(B88:F88)</f>
        <v>0</v>
      </c>
      <c r="H88" s="795"/>
      <c r="I88" s="804" t="s">
        <v>447</v>
      </c>
      <c r="J88" s="817"/>
      <c r="K88" s="818"/>
      <c r="L88" s="817"/>
      <c r="M88" s="819"/>
      <c r="N88" s="820"/>
      <c r="O88" s="794" t="n">
        <f aca="false">SUM(J88:N88)</f>
        <v>0</v>
      </c>
      <c r="P88" s="764"/>
      <c r="Q88" s="764"/>
      <c r="R88" s="765"/>
      <c r="S88" s="766"/>
      <c r="T88" s="764"/>
      <c r="U88" s="764"/>
      <c r="V88" s="764"/>
    </row>
    <row r="89" s="861" customFormat="true" ht="23.1" hidden="false" customHeight="true" outlineLevel="0" collapsed="false">
      <c r="A89" s="804" t="s">
        <v>448</v>
      </c>
      <c r="B89" s="918"/>
      <c r="C89" s="919"/>
      <c r="D89" s="918"/>
      <c r="E89" s="819"/>
      <c r="F89" s="820"/>
      <c r="G89" s="794" t="n">
        <f aca="false">SUM(B89:F89)</f>
        <v>0</v>
      </c>
      <c r="H89" s="795"/>
      <c r="I89" s="804" t="s">
        <v>448</v>
      </c>
      <c r="J89" s="817"/>
      <c r="K89" s="818"/>
      <c r="L89" s="817"/>
      <c r="M89" s="819"/>
      <c r="N89" s="820"/>
      <c r="O89" s="794" t="n">
        <f aca="false">SUM(J89:N89)</f>
        <v>0</v>
      </c>
      <c r="P89" s="764"/>
      <c r="Q89" s="764"/>
      <c r="R89" s="765"/>
      <c r="S89" s="766"/>
      <c r="T89" s="764"/>
      <c r="U89" s="764"/>
      <c r="V89" s="764"/>
    </row>
    <row r="90" s="861" customFormat="true" ht="23.1" hidden="false" customHeight="true" outlineLevel="0" collapsed="false">
      <c r="A90" s="804" t="s">
        <v>449</v>
      </c>
      <c r="B90" s="817"/>
      <c r="C90" s="818"/>
      <c r="D90" s="817"/>
      <c r="E90" s="819"/>
      <c r="F90" s="820"/>
      <c r="G90" s="794" t="n">
        <f aca="false">SUM(B90:F90)</f>
        <v>0</v>
      </c>
      <c r="H90" s="795"/>
      <c r="I90" s="804" t="s">
        <v>449</v>
      </c>
      <c r="J90" s="817"/>
      <c r="K90" s="818"/>
      <c r="L90" s="817"/>
      <c r="M90" s="819"/>
      <c r="N90" s="820"/>
      <c r="O90" s="794" t="n">
        <f aca="false">SUM(J90:N90)</f>
        <v>0</v>
      </c>
      <c r="P90" s="764"/>
      <c r="Q90" s="764"/>
      <c r="R90" s="765"/>
      <c r="S90" s="766"/>
      <c r="T90" s="764"/>
      <c r="U90" s="764"/>
      <c r="V90" s="764"/>
    </row>
    <row r="91" s="861" customFormat="true" ht="23.1" hidden="false" customHeight="true" outlineLevel="0" collapsed="false">
      <c r="A91" s="804" t="s">
        <v>450</v>
      </c>
      <c r="B91" s="817"/>
      <c r="C91" s="818"/>
      <c r="D91" s="817"/>
      <c r="E91" s="819"/>
      <c r="F91" s="820"/>
      <c r="G91" s="794" t="n">
        <f aca="false">SUM(B91:F91)</f>
        <v>0</v>
      </c>
      <c r="H91" s="795"/>
      <c r="I91" s="804" t="s">
        <v>450</v>
      </c>
      <c r="J91" s="817"/>
      <c r="K91" s="818"/>
      <c r="L91" s="817"/>
      <c r="M91" s="819"/>
      <c r="N91" s="820"/>
      <c r="O91" s="794" t="n">
        <f aca="false">SUM(J91:N91)</f>
        <v>0</v>
      </c>
      <c r="P91" s="764"/>
      <c r="Q91" s="764"/>
      <c r="R91" s="765"/>
      <c r="S91" s="766"/>
      <c r="T91" s="764"/>
      <c r="U91" s="764"/>
      <c r="V91" s="764"/>
    </row>
    <row r="92" s="861" customFormat="true" ht="23.1" hidden="false" customHeight="true" outlineLevel="0" collapsed="false">
      <c r="A92" s="804" t="s">
        <v>451</v>
      </c>
      <c r="B92" s="817"/>
      <c r="C92" s="818"/>
      <c r="D92" s="817"/>
      <c r="E92" s="819"/>
      <c r="F92" s="820"/>
      <c r="G92" s="794" t="n">
        <f aca="false">SUM(B92:F92)</f>
        <v>0</v>
      </c>
      <c r="H92" s="795"/>
      <c r="I92" s="804" t="s">
        <v>451</v>
      </c>
      <c r="J92" s="817"/>
      <c r="K92" s="818"/>
      <c r="L92" s="817"/>
      <c r="M92" s="819"/>
      <c r="N92" s="820"/>
      <c r="O92" s="794" t="n">
        <f aca="false">SUM(J92:N92)</f>
        <v>0</v>
      </c>
      <c r="P92" s="764"/>
      <c r="Q92" s="764"/>
      <c r="R92" s="765"/>
      <c r="S92" s="766"/>
      <c r="T92" s="764"/>
      <c r="U92" s="764"/>
      <c r="V92" s="764"/>
    </row>
    <row r="93" s="861" customFormat="true" ht="23.1" hidden="false" customHeight="true" outlineLevel="0" collapsed="false">
      <c r="A93" s="804" t="s">
        <v>452</v>
      </c>
      <c r="B93" s="817"/>
      <c r="C93" s="818"/>
      <c r="D93" s="817"/>
      <c r="E93" s="819"/>
      <c r="F93" s="820"/>
      <c r="G93" s="794" t="n">
        <f aca="false">SUM(B93:F93)</f>
        <v>0</v>
      </c>
      <c r="H93" s="795"/>
      <c r="I93" s="804" t="s">
        <v>452</v>
      </c>
      <c r="J93" s="817"/>
      <c r="K93" s="818"/>
      <c r="L93" s="817"/>
      <c r="M93" s="819"/>
      <c r="N93" s="820"/>
      <c r="O93" s="794" t="n">
        <f aca="false">SUM(J93:N93)</f>
        <v>0</v>
      </c>
      <c r="P93" s="764"/>
      <c r="Q93" s="764"/>
      <c r="R93" s="765"/>
      <c r="S93" s="766"/>
      <c r="T93" s="764"/>
      <c r="U93" s="764"/>
      <c r="V93" s="764"/>
    </row>
    <row r="94" s="861" customFormat="true" ht="23.1" hidden="false" customHeight="true" outlineLevel="0" collapsed="false">
      <c r="A94" s="804" t="s">
        <v>453</v>
      </c>
      <c r="B94" s="902"/>
      <c r="C94" s="903"/>
      <c r="D94" s="921"/>
      <c r="E94" s="826"/>
      <c r="F94" s="793"/>
      <c r="G94" s="794" t="n">
        <f aca="false">SUM(B94:F94)</f>
        <v>0</v>
      </c>
      <c r="H94" s="795"/>
      <c r="I94" s="804" t="s">
        <v>453</v>
      </c>
      <c r="J94" s="902"/>
      <c r="K94" s="903"/>
      <c r="L94" s="921"/>
      <c r="M94" s="826"/>
      <c r="N94" s="793"/>
      <c r="O94" s="794" t="n">
        <f aca="false">SUM(J94:N94)</f>
        <v>0</v>
      </c>
      <c r="P94" s="764"/>
      <c r="Q94" s="764"/>
      <c r="R94" s="765"/>
      <c r="S94" s="766"/>
      <c r="T94" s="764"/>
      <c r="U94" s="764"/>
      <c r="V94" s="764"/>
    </row>
    <row r="95" s="861" customFormat="true" ht="23.1" hidden="false" customHeight="true" outlineLevel="0" collapsed="false">
      <c r="A95" s="804" t="s">
        <v>454</v>
      </c>
      <c r="B95" s="902"/>
      <c r="C95" s="903"/>
      <c r="D95" s="902"/>
      <c r="E95" s="819"/>
      <c r="F95" s="820"/>
      <c r="G95" s="794" t="n">
        <f aca="false">SUM(B95:F95)</f>
        <v>0</v>
      </c>
      <c r="H95" s="795"/>
      <c r="I95" s="804" t="s">
        <v>454</v>
      </c>
      <c r="J95" s="902"/>
      <c r="K95" s="903"/>
      <c r="L95" s="902"/>
      <c r="M95" s="819"/>
      <c r="N95" s="820"/>
      <c r="O95" s="794" t="n">
        <f aca="false">SUM(J95:N95)</f>
        <v>0</v>
      </c>
      <c r="P95" s="764"/>
      <c r="Q95" s="764"/>
      <c r="R95" s="765"/>
      <c r="S95" s="766"/>
      <c r="T95" s="764"/>
      <c r="U95" s="764"/>
      <c r="V95" s="764"/>
    </row>
    <row r="96" s="861" customFormat="true" ht="23.1" hidden="false" customHeight="true" outlineLevel="0" collapsed="false">
      <c r="A96" s="804" t="s">
        <v>455</v>
      </c>
      <c r="B96" s="902"/>
      <c r="C96" s="903"/>
      <c r="D96" s="902"/>
      <c r="E96" s="807"/>
      <c r="F96" s="808"/>
      <c r="G96" s="794" t="n">
        <f aca="false">SUM(B96:F96)</f>
        <v>0</v>
      </c>
      <c r="H96" s="795"/>
      <c r="I96" s="804" t="s">
        <v>455</v>
      </c>
      <c r="J96" s="902"/>
      <c r="K96" s="903"/>
      <c r="L96" s="902"/>
      <c r="M96" s="807"/>
      <c r="N96" s="808"/>
      <c r="O96" s="794" t="n">
        <f aca="false">SUM(J96:N96)</f>
        <v>0</v>
      </c>
      <c r="P96" s="764"/>
      <c r="Q96" s="764"/>
      <c r="R96" s="765"/>
      <c r="S96" s="766"/>
      <c r="T96" s="764"/>
      <c r="U96" s="764"/>
      <c r="V96" s="764"/>
    </row>
    <row r="97" s="861" customFormat="true" ht="23.1" hidden="false" customHeight="true" outlineLevel="0" collapsed="false">
      <c r="A97" s="905" t="s">
        <v>456</v>
      </c>
      <c r="B97" s="906"/>
      <c r="C97" s="906"/>
      <c r="D97" s="907"/>
      <c r="E97" s="834"/>
      <c r="F97" s="835"/>
      <c r="G97" s="836" t="n">
        <f aca="false">SUM(B97:F97)</f>
        <v>0</v>
      </c>
      <c r="H97" s="795"/>
      <c r="I97" s="905" t="s">
        <v>456</v>
      </c>
      <c r="J97" s="906"/>
      <c r="K97" s="906"/>
      <c r="L97" s="907"/>
      <c r="M97" s="834"/>
      <c r="N97" s="835"/>
      <c r="O97" s="836" t="n">
        <f aca="false">SUM(J97:N97)</f>
        <v>0</v>
      </c>
      <c r="P97" s="764"/>
      <c r="Q97" s="764"/>
      <c r="R97" s="765"/>
      <c r="S97" s="766"/>
      <c r="T97" s="764"/>
      <c r="U97" s="764"/>
      <c r="V97" s="764"/>
    </row>
    <row r="98" s="861" customFormat="true" ht="23.1" hidden="false" customHeight="true" outlineLevel="0" collapsed="false">
      <c r="A98" s="908" t="s">
        <v>457</v>
      </c>
      <c r="B98" s="909" t="n">
        <f aca="false">SUM(B86:B97)</f>
        <v>0</v>
      </c>
      <c r="C98" s="909" t="n">
        <f aca="false">SUM(C86:C97)</f>
        <v>0</v>
      </c>
      <c r="D98" s="909" t="n">
        <f aca="false">SUM(D86:D97)</f>
        <v>0</v>
      </c>
      <c r="E98" s="847" t="n">
        <f aca="false">SUM(E86:E97)</f>
        <v>0</v>
      </c>
      <c r="F98" s="848" t="n">
        <f aca="false">SUM(F86:F97)</f>
        <v>0</v>
      </c>
      <c r="G98" s="849" t="n">
        <f aca="false">SUM(B98:F98)</f>
        <v>0</v>
      </c>
      <c r="H98" s="795"/>
      <c r="I98" s="908" t="s">
        <v>457</v>
      </c>
      <c r="J98" s="909" t="n">
        <f aca="false">SUM(J86:J97)</f>
        <v>0</v>
      </c>
      <c r="K98" s="909" t="n">
        <f aca="false">SUM(K86:K97)</f>
        <v>0</v>
      </c>
      <c r="L98" s="909" t="n">
        <f aca="false">SUM(L86:L97)</f>
        <v>0</v>
      </c>
      <c r="M98" s="847" t="n">
        <f aca="false">SUM(M86:M97)</f>
        <v>0</v>
      </c>
      <c r="N98" s="848" t="n">
        <f aca="false">SUM(N86:N97)</f>
        <v>0</v>
      </c>
      <c r="O98" s="849" t="n">
        <f aca="false">SUM(J98:N98)</f>
        <v>0</v>
      </c>
      <c r="P98" s="764"/>
      <c r="Q98" s="764"/>
      <c r="R98" s="765"/>
      <c r="S98" s="766"/>
      <c r="T98" s="764"/>
      <c r="U98" s="764"/>
      <c r="V98" s="764"/>
    </row>
    <row r="99" customFormat="false" ht="8.25" hidden="false" customHeight="true" outlineLevel="0" collapsed="false"/>
    <row r="100" s="916" customFormat="true" ht="23.1" hidden="false" customHeight="true" outlineLevel="0" collapsed="false">
      <c r="A100" s="895" t="s">
        <v>461</v>
      </c>
      <c r="B100" s="920"/>
      <c r="C100" s="920" t="s">
        <v>468</v>
      </c>
      <c r="D100" s="920"/>
      <c r="E100" s="922"/>
      <c r="F100" s="922"/>
      <c r="G100" s="899" t="s">
        <v>421</v>
      </c>
      <c r="H100" s="910"/>
      <c r="I100" s="895" t="s">
        <v>461</v>
      </c>
      <c r="J100" s="920"/>
      <c r="K100" s="920" t="s">
        <v>468</v>
      </c>
      <c r="L100" s="920"/>
      <c r="M100" s="920"/>
      <c r="N100" s="920"/>
      <c r="O100" s="899" t="s">
        <v>421</v>
      </c>
      <c r="P100" s="913"/>
      <c r="Q100" s="913"/>
      <c r="R100" s="914"/>
      <c r="S100" s="915"/>
      <c r="T100" s="913"/>
      <c r="U100" s="913"/>
      <c r="V100" s="913"/>
    </row>
    <row r="101" s="861" customFormat="true" ht="23.1" hidden="false" customHeight="true" outlineLevel="0" collapsed="false">
      <c r="A101" s="775" t="s">
        <v>423</v>
      </c>
      <c r="B101" s="776" t="s">
        <v>424</v>
      </c>
      <c r="C101" s="777" t="s">
        <v>425</v>
      </c>
      <c r="D101" s="776" t="s">
        <v>79</v>
      </c>
      <c r="E101" s="778" t="s">
        <v>80</v>
      </c>
      <c r="F101" s="779" t="str">
        <f aca="false">F85</f>
        <v>子ども・子育て支援</v>
      </c>
      <c r="G101" s="900" t="s">
        <v>427</v>
      </c>
      <c r="H101" s="795"/>
      <c r="I101" s="775" t="s">
        <v>423</v>
      </c>
      <c r="J101" s="776" t="s">
        <v>424</v>
      </c>
      <c r="K101" s="777" t="s">
        <v>425</v>
      </c>
      <c r="L101" s="776" t="s">
        <v>79</v>
      </c>
      <c r="M101" s="778" t="s">
        <v>80</v>
      </c>
      <c r="N101" s="779" t="str">
        <f aca="false">N85</f>
        <v>子ども・子育て支援</v>
      </c>
      <c r="O101" s="900" t="s">
        <v>427</v>
      </c>
      <c r="P101" s="764"/>
      <c r="Q101" s="764"/>
      <c r="R101" s="765"/>
      <c r="S101" s="766"/>
      <c r="T101" s="764"/>
      <c r="U101" s="764"/>
      <c r="V101" s="764"/>
    </row>
    <row r="102" s="861" customFormat="true" ht="23.1" hidden="false" customHeight="true" outlineLevel="0" collapsed="false">
      <c r="A102" s="901" t="s">
        <v>445</v>
      </c>
      <c r="B102" s="818"/>
      <c r="C102" s="818"/>
      <c r="D102" s="818"/>
      <c r="E102" s="792" t="n">
        <v>0</v>
      </c>
      <c r="F102" s="793"/>
      <c r="G102" s="794" t="n">
        <f aca="false">SUM(B102:F102)</f>
        <v>0</v>
      </c>
      <c r="H102" s="795"/>
      <c r="I102" s="901" t="s">
        <v>445</v>
      </c>
      <c r="J102" s="818"/>
      <c r="K102" s="818"/>
      <c r="L102" s="818"/>
      <c r="M102" s="792" t="n">
        <v>0</v>
      </c>
      <c r="N102" s="793"/>
      <c r="O102" s="794" t="n">
        <f aca="false">SUM(J102:N102)</f>
        <v>0</v>
      </c>
      <c r="P102" s="764"/>
      <c r="Q102" s="764"/>
      <c r="R102" s="765"/>
      <c r="S102" s="766"/>
      <c r="T102" s="764"/>
      <c r="U102" s="764"/>
      <c r="V102" s="764"/>
    </row>
    <row r="103" s="861" customFormat="true" ht="23.1" hidden="false" customHeight="true" outlineLevel="0" collapsed="false">
      <c r="A103" s="804" t="s">
        <v>446</v>
      </c>
      <c r="B103" s="817"/>
      <c r="C103" s="818"/>
      <c r="D103" s="817"/>
      <c r="E103" s="807" t="n">
        <v>0</v>
      </c>
      <c r="F103" s="808"/>
      <c r="G103" s="794" t="n">
        <f aca="false">SUM(B103:F103)</f>
        <v>0</v>
      </c>
      <c r="H103" s="795"/>
      <c r="I103" s="804" t="s">
        <v>446</v>
      </c>
      <c r="J103" s="817"/>
      <c r="K103" s="818"/>
      <c r="L103" s="817"/>
      <c r="M103" s="807" t="n">
        <v>0</v>
      </c>
      <c r="N103" s="808"/>
      <c r="O103" s="794" t="n">
        <f aca="false">SUM(J103:N103)</f>
        <v>0</v>
      </c>
      <c r="P103" s="764"/>
      <c r="Q103" s="764"/>
      <c r="R103" s="765"/>
      <c r="S103" s="766"/>
      <c r="T103" s="764"/>
      <c r="U103" s="764"/>
      <c r="V103" s="764"/>
    </row>
    <row r="104" s="861" customFormat="true" ht="23.1" hidden="false" customHeight="true" outlineLevel="0" collapsed="false">
      <c r="A104" s="804" t="s">
        <v>447</v>
      </c>
      <c r="B104" s="817"/>
      <c r="C104" s="818"/>
      <c r="D104" s="817"/>
      <c r="E104" s="819" t="n">
        <v>0</v>
      </c>
      <c r="F104" s="820"/>
      <c r="G104" s="794" t="n">
        <f aca="false">SUM(B104:F104)</f>
        <v>0</v>
      </c>
      <c r="H104" s="795"/>
      <c r="I104" s="804" t="s">
        <v>447</v>
      </c>
      <c r="J104" s="817"/>
      <c r="K104" s="818"/>
      <c r="L104" s="817"/>
      <c r="M104" s="819" t="n">
        <v>0</v>
      </c>
      <c r="N104" s="820"/>
      <c r="O104" s="794" t="n">
        <f aca="false">SUM(J104:N104)</f>
        <v>0</v>
      </c>
      <c r="P104" s="764"/>
      <c r="Q104" s="764"/>
      <c r="R104" s="765"/>
      <c r="S104" s="766"/>
      <c r="T104" s="764"/>
      <c r="U104" s="764"/>
      <c r="V104" s="764"/>
    </row>
    <row r="105" s="861" customFormat="true" ht="23.1" hidden="false" customHeight="true" outlineLevel="0" collapsed="false">
      <c r="A105" s="804" t="s">
        <v>448</v>
      </c>
      <c r="B105" s="817"/>
      <c r="C105" s="818"/>
      <c r="D105" s="817"/>
      <c r="E105" s="819" t="n">
        <v>0</v>
      </c>
      <c r="F105" s="820"/>
      <c r="G105" s="794" t="n">
        <f aca="false">SUM(B105:F105)</f>
        <v>0</v>
      </c>
      <c r="H105" s="795"/>
      <c r="I105" s="804" t="s">
        <v>448</v>
      </c>
      <c r="J105" s="817"/>
      <c r="K105" s="818"/>
      <c r="L105" s="817"/>
      <c r="M105" s="819" t="n">
        <v>0</v>
      </c>
      <c r="N105" s="820"/>
      <c r="O105" s="794" t="n">
        <f aca="false">SUM(J105:N105)</f>
        <v>0</v>
      </c>
      <c r="P105" s="764"/>
      <c r="Q105" s="764"/>
      <c r="R105" s="765"/>
      <c r="S105" s="766"/>
      <c r="T105" s="764"/>
      <c r="U105" s="764"/>
      <c r="V105" s="764"/>
    </row>
    <row r="106" s="861" customFormat="true" ht="23.1" hidden="false" customHeight="true" outlineLevel="0" collapsed="false">
      <c r="A106" s="804" t="s">
        <v>449</v>
      </c>
      <c r="B106" s="817"/>
      <c r="C106" s="818"/>
      <c r="D106" s="817"/>
      <c r="E106" s="819" t="n">
        <v>0</v>
      </c>
      <c r="F106" s="820"/>
      <c r="G106" s="794" t="n">
        <f aca="false">SUM(B106:F106)</f>
        <v>0</v>
      </c>
      <c r="H106" s="795"/>
      <c r="I106" s="804" t="s">
        <v>449</v>
      </c>
      <c r="J106" s="817"/>
      <c r="K106" s="818"/>
      <c r="L106" s="817"/>
      <c r="M106" s="819" t="n">
        <v>0</v>
      </c>
      <c r="N106" s="820"/>
      <c r="O106" s="794" t="n">
        <f aca="false">SUM(J106:N106)</f>
        <v>0</v>
      </c>
      <c r="P106" s="764"/>
      <c r="Q106" s="764"/>
      <c r="R106" s="765"/>
      <c r="S106" s="766"/>
      <c r="T106" s="764"/>
      <c r="U106" s="764"/>
      <c r="V106" s="764"/>
    </row>
    <row r="107" s="861" customFormat="true" ht="23.1" hidden="false" customHeight="true" outlineLevel="0" collapsed="false">
      <c r="A107" s="804" t="s">
        <v>450</v>
      </c>
      <c r="B107" s="817"/>
      <c r="C107" s="818"/>
      <c r="D107" s="817"/>
      <c r="E107" s="819"/>
      <c r="F107" s="820"/>
      <c r="G107" s="794" t="n">
        <f aca="false">SUM(B107:F107)</f>
        <v>0</v>
      </c>
      <c r="H107" s="795"/>
      <c r="I107" s="804" t="s">
        <v>450</v>
      </c>
      <c r="J107" s="817"/>
      <c r="K107" s="818"/>
      <c r="L107" s="817"/>
      <c r="M107" s="819"/>
      <c r="N107" s="820"/>
      <c r="O107" s="794" t="n">
        <f aca="false">SUM(J107:N107)</f>
        <v>0</v>
      </c>
      <c r="P107" s="764"/>
      <c r="Q107" s="764"/>
      <c r="R107" s="765"/>
      <c r="S107" s="766"/>
      <c r="T107" s="764"/>
      <c r="U107" s="764"/>
      <c r="V107" s="764"/>
    </row>
    <row r="108" s="861" customFormat="true" ht="23.1" hidden="false" customHeight="true" outlineLevel="0" collapsed="false">
      <c r="A108" s="804" t="s">
        <v>451</v>
      </c>
      <c r="B108" s="817"/>
      <c r="C108" s="818"/>
      <c r="D108" s="817"/>
      <c r="E108" s="819" t="n">
        <v>0</v>
      </c>
      <c r="F108" s="820"/>
      <c r="G108" s="794" t="n">
        <f aca="false">SUM(B108:F108)</f>
        <v>0</v>
      </c>
      <c r="H108" s="795"/>
      <c r="I108" s="804" t="s">
        <v>451</v>
      </c>
      <c r="J108" s="817"/>
      <c r="K108" s="818"/>
      <c r="L108" s="817"/>
      <c r="M108" s="819" t="n">
        <v>0</v>
      </c>
      <c r="N108" s="820"/>
      <c r="O108" s="794" t="n">
        <f aca="false">SUM(J108:N108)</f>
        <v>0</v>
      </c>
      <c r="P108" s="764"/>
      <c r="Q108" s="764"/>
      <c r="R108" s="765"/>
      <c r="S108" s="766"/>
      <c r="T108" s="764"/>
      <c r="U108" s="764"/>
      <c r="V108" s="764"/>
    </row>
    <row r="109" s="861" customFormat="true" ht="23.1" hidden="false" customHeight="true" outlineLevel="0" collapsed="false">
      <c r="A109" s="804" t="s">
        <v>452</v>
      </c>
      <c r="B109" s="817"/>
      <c r="C109" s="818"/>
      <c r="D109" s="817"/>
      <c r="E109" s="819" t="n">
        <v>0</v>
      </c>
      <c r="F109" s="820"/>
      <c r="G109" s="794" t="n">
        <f aca="false">SUM(B109:F109)</f>
        <v>0</v>
      </c>
      <c r="H109" s="795"/>
      <c r="I109" s="804" t="s">
        <v>452</v>
      </c>
      <c r="J109" s="817"/>
      <c r="K109" s="818"/>
      <c r="L109" s="817"/>
      <c r="M109" s="819" t="n">
        <v>0</v>
      </c>
      <c r="N109" s="820"/>
      <c r="O109" s="794" t="n">
        <f aca="false">SUM(J109:N109)</f>
        <v>0</v>
      </c>
      <c r="P109" s="764"/>
      <c r="Q109" s="764"/>
      <c r="R109" s="765"/>
      <c r="S109" s="766"/>
      <c r="T109" s="764"/>
      <c r="U109" s="764"/>
      <c r="V109" s="764"/>
    </row>
    <row r="110" s="861" customFormat="true" ht="23.1" hidden="false" customHeight="true" outlineLevel="0" collapsed="false">
      <c r="A110" s="804" t="s">
        <v>453</v>
      </c>
      <c r="B110" s="902"/>
      <c r="C110" s="903"/>
      <c r="D110" s="904"/>
      <c r="E110" s="826" t="n">
        <v>0</v>
      </c>
      <c r="F110" s="793"/>
      <c r="G110" s="794" t="n">
        <f aca="false">SUM(B110:F110)</f>
        <v>0</v>
      </c>
      <c r="H110" s="795"/>
      <c r="I110" s="804" t="s">
        <v>453</v>
      </c>
      <c r="J110" s="902"/>
      <c r="K110" s="903"/>
      <c r="L110" s="904"/>
      <c r="M110" s="826" t="n">
        <v>0</v>
      </c>
      <c r="N110" s="793"/>
      <c r="O110" s="794" t="n">
        <f aca="false">SUM(J110:N110)</f>
        <v>0</v>
      </c>
      <c r="P110" s="764"/>
      <c r="Q110" s="764"/>
      <c r="R110" s="765"/>
      <c r="S110" s="766"/>
      <c r="T110" s="764"/>
      <c r="U110" s="764"/>
      <c r="V110" s="764"/>
    </row>
    <row r="111" s="861" customFormat="true" ht="23.1" hidden="false" customHeight="true" outlineLevel="0" collapsed="false">
      <c r="A111" s="804" t="s">
        <v>454</v>
      </c>
      <c r="B111" s="805"/>
      <c r="C111" s="806"/>
      <c r="D111" s="805"/>
      <c r="E111" s="819" t="n">
        <v>0</v>
      </c>
      <c r="F111" s="820"/>
      <c r="G111" s="794" t="n">
        <f aca="false">SUM(B111:F111)</f>
        <v>0</v>
      </c>
      <c r="H111" s="795"/>
      <c r="I111" s="804" t="s">
        <v>454</v>
      </c>
      <c r="J111" s="902"/>
      <c r="K111" s="903"/>
      <c r="L111" s="902"/>
      <c r="M111" s="819" t="n">
        <v>0</v>
      </c>
      <c r="N111" s="820"/>
      <c r="O111" s="794" t="n">
        <f aca="false">SUM(J111:N111)</f>
        <v>0</v>
      </c>
      <c r="P111" s="764"/>
      <c r="Q111" s="764"/>
      <c r="R111" s="765"/>
      <c r="S111" s="766"/>
      <c r="T111" s="764"/>
      <c r="U111" s="764"/>
      <c r="V111" s="764"/>
    </row>
    <row r="112" s="861" customFormat="true" ht="23.1" hidden="false" customHeight="true" outlineLevel="0" collapsed="false">
      <c r="A112" s="804" t="s">
        <v>455</v>
      </c>
      <c r="B112" s="902"/>
      <c r="C112" s="903"/>
      <c r="D112" s="902"/>
      <c r="E112" s="807"/>
      <c r="F112" s="808"/>
      <c r="G112" s="794" t="n">
        <f aca="false">SUM(B112:F112)</f>
        <v>0</v>
      </c>
      <c r="H112" s="795"/>
      <c r="I112" s="804" t="s">
        <v>455</v>
      </c>
      <c r="J112" s="902"/>
      <c r="K112" s="903"/>
      <c r="L112" s="902"/>
      <c r="M112" s="807"/>
      <c r="N112" s="808"/>
      <c r="O112" s="794" t="n">
        <f aca="false">SUM(J112:N112)</f>
        <v>0</v>
      </c>
      <c r="P112" s="764"/>
      <c r="Q112" s="764"/>
      <c r="R112" s="765"/>
      <c r="S112" s="766"/>
      <c r="T112" s="764"/>
      <c r="U112" s="764"/>
      <c r="V112" s="764"/>
    </row>
    <row r="113" s="861" customFormat="true" ht="23.1" hidden="false" customHeight="true" outlineLevel="0" collapsed="false">
      <c r="A113" s="905" t="s">
        <v>456</v>
      </c>
      <c r="B113" s="906"/>
      <c r="C113" s="906"/>
      <c r="D113" s="907"/>
      <c r="E113" s="834" t="n">
        <v>0</v>
      </c>
      <c r="F113" s="835"/>
      <c r="G113" s="836" t="n">
        <f aca="false">SUM(B113:F113)</f>
        <v>0</v>
      </c>
      <c r="H113" s="795"/>
      <c r="I113" s="905" t="s">
        <v>456</v>
      </c>
      <c r="J113" s="906"/>
      <c r="K113" s="906"/>
      <c r="L113" s="923"/>
      <c r="M113" s="834" t="n">
        <v>0</v>
      </c>
      <c r="N113" s="835"/>
      <c r="O113" s="836" t="n">
        <f aca="false">SUM(J113:N113)</f>
        <v>0</v>
      </c>
      <c r="P113" s="764"/>
      <c r="Q113" s="764"/>
      <c r="R113" s="765"/>
      <c r="S113" s="766"/>
      <c r="T113" s="764"/>
      <c r="U113" s="764"/>
      <c r="V113" s="764"/>
    </row>
    <row r="114" s="861" customFormat="true" ht="23.1" hidden="false" customHeight="true" outlineLevel="0" collapsed="false">
      <c r="A114" s="908" t="s">
        <v>457</v>
      </c>
      <c r="B114" s="909" t="n">
        <f aca="false">SUM(B102:B113)</f>
        <v>0</v>
      </c>
      <c r="C114" s="909" t="n">
        <f aca="false">SUM(C102:C113)</f>
        <v>0</v>
      </c>
      <c r="D114" s="909" t="n">
        <f aca="false">SUM(D102:D113)</f>
        <v>0</v>
      </c>
      <c r="E114" s="847" t="n">
        <f aca="false">SUM(E102:E113)</f>
        <v>0</v>
      </c>
      <c r="F114" s="848" t="n">
        <f aca="false">SUM(F102:F113)</f>
        <v>0</v>
      </c>
      <c r="G114" s="849" t="n">
        <f aca="false">SUM(B114:F114)</f>
        <v>0</v>
      </c>
      <c r="H114" s="795"/>
      <c r="I114" s="908" t="s">
        <v>457</v>
      </c>
      <c r="J114" s="909" t="n">
        <f aca="false">SUM(J102:J113)</f>
        <v>0</v>
      </c>
      <c r="K114" s="909" t="n">
        <f aca="false">SUM(K102:K113)</f>
        <v>0</v>
      </c>
      <c r="L114" s="909" t="n">
        <f aca="false">SUM(L102:L113)</f>
        <v>0</v>
      </c>
      <c r="M114" s="847" t="n">
        <f aca="false">SUM(M102:M113)</f>
        <v>0</v>
      </c>
      <c r="N114" s="848" t="n">
        <f aca="false">SUM(N102:N113)</f>
        <v>0</v>
      </c>
      <c r="O114" s="849" t="n">
        <f aca="false">SUM(J114:N114)</f>
        <v>0</v>
      </c>
      <c r="P114" s="764"/>
      <c r="Q114" s="764"/>
      <c r="R114" s="765"/>
      <c r="S114" s="766"/>
      <c r="T114" s="764"/>
      <c r="U114" s="764"/>
      <c r="V114" s="764"/>
    </row>
  </sheetData>
  <mergeCells count="5">
    <mergeCell ref="C35:E35"/>
    <mergeCell ref="C51:E51"/>
    <mergeCell ref="K51:M51"/>
    <mergeCell ref="C68:E68"/>
    <mergeCell ref="C84:E84"/>
  </mergeCells>
  <printOptions headings="false" gridLines="false" gridLinesSet="true" horizontalCentered="true" verticalCentered="false"/>
  <pageMargins left="0.196527777777778" right="0.196527777777778" top="0.590277777777778" bottom="0" header="0.511811023622047" footer="0"/>
  <pageSetup paperSize="9" scale="55" fitToWidth="1" fitToHeight="1" pageOrder="downThenOver" orientation="landscape" blackAndWhite="false" draft="false" cellComments="none" horizontalDpi="300" verticalDpi="300" copies="1"/>
  <headerFooter differentFirst="false" differentOddEven="false">
    <oddHeader/>
    <oddFooter>&amp;R&amp;8&amp;Z&amp;F&amp;A</oddFooter>
  </headerFooter>
  <rowBreaks count="2" manualBreakCount="2">
    <brk id="33" man="true" max="16383" min="0"/>
    <brk id="82" man="true" max="16383" min="0"/>
  </row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C0C0"/>
    <pageSetUpPr fitToPage="true"/>
  </sheetPr>
  <dimension ref="A1:X168"/>
  <sheetViews>
    <sheetView showFormulas="false" showGridLines="true" showRowColHeaders="true" showZeros="true" rightToLeft="false" tabSelected="false" showOutlineSymbols="true" defaultGridColor="true" view="normal" topLeftCell="A1" colorId="64" zoomScale="100" zoomScaleNormal="100" zoomScalePageLayoutView="70" workbookViewId="0">
      <selection pane="topLeft" activeCell="H25" activeCellId="0" sqref="H25"/>
    </sheetView>
  </sheetViews>
  <sheetFormatPr defaultColWidth="8.79296875" defaultRowHeight="14.25" zeroHeight="false" outlineLevelRow="0" outlineLevelCol="0"/>
  <cols>
    <col collapsed="false" customWidth="true" hidden="false" outlineLevel="0" max="1" min="1" style="764" width="14.59"/>
    <col collapsed="false" customWidth="true" hidden="false" outlineLevel="0" max="9" min="2" style="765" width="9.69"/>
    <col collapsed="false" customWidth="true" hidden="false" outlineLevel="0" max="10" min="10" style="765" width="7.89"/>
    <col collapsed="false" customWidth="true" hidden="false" outlineLevel="0" max="11" min="11" style="765" width="1.79"/>
    <col collapsed="false" customWidth="true" hidden="false" outlineLevel="0" max="12" min="12" style="765" width="14.19"/>
    <col collapsed="false" customWidth="true" hidden="false" outlineLevel="0" max="15" min="13" style="765" width="9.59"/>
    <col collapsed="false" customWidth="true" hidden="false" outlineLevel="0" max="16" min="16" style="764" width="9.59"/>
    <col collapsed="false" customWidth="true" hidden="false" outlineLevel="0" max="17" min="17" style="764" width="9.69"/>
    <col collapsed="false" customWidth="true" hidden="false" outlineLevel="0" max="20" min="18" style="764" width="9.59"/>
    <col collapsed="false" customWidth="true" hidden="false" outlineLevel="0" max="21" min="21" style="764" width="7.89"/>
    <col collapsed="false" customWidth="true" hidden="false" outlineLevel="0" max="22" min="22" style="765" width="3.89"/>
    <col collapsed="false" customWidth="true" hidden="false" outlineLevel="0" max="23" min="23" style="766" width="6.89"/>
    <col collapsed="false" customWidth="true" hidden="false" outlineLevel="0" max="24" min="24" style="764" width="2.99"/>
    <col collapsed="false" customWidth="false" hidden="false" outlineLevel="0" max="257" min="25" style="764" width="8.79"/>
  </cols>
  <sheetData>
    <row r="1" customFormat="false" ht="22.5" hidden="false" customHeight="true" outlineLevel="0" collapsed="false">
      <c r="A1" s="924" t="str">
        <f aca="false">還付!A1</f>
        <v>令和8年度</v>
      </c>
      <c r="B1" s="925" t="s">
        <v>469</v>
      </c>
      <c r="D1" s="764"/>
      <c r="E1" s="764"/>
      <c r="F1" s="764"/>
      <c r="G1" s="764"/>
      <c r="H1" s="764"/>
      <c r="I1" s="764"/>
      <c r="L1" s="764"/>
      <c r="M1" s="764"/>
      <c r="N1" s="764"/>
      <c r="O1" s="764"/>
      <c r="V1" s="764"/>
    </row>
    <row r="2" customFormat="false" ht="10.5" hidden="false" customHeight="true" outlineLevel="0" collapsed="false">
      <c r="D2" s="764"/>
      <c r="E2" s="764"/>
      <c r="F2" s="764"/>
      <c r="G2" s="764"/>
      <c r="H2" s="764"/>
      <c r="I2" s="764"/>
      <c r="L2" s="764"/>
      <c r="M2" s="764"/>
      <c r="N2" s="764"/>
      <c r="O2" s="764"/>
      <c r="V2" s="764"/>
    </row>
    <row r="3" customFormat="false" ht="27" hidden="false" customHeight="true" outlineLevel="0" collapsed="false">
      <c r="A3" s="769" t="s">
        <v>470</v>
      </c>
      <c r="B3" s="764"/>
      <c r="C3" s="764"/>
      <c r="D3" s="764"/>
      <c r="E3" s="764"/>
      <c r="F3" s="764"/>
      <c r="G3" s="764"/>
      <c r="H3" s="764"/>
      <c r="I3" s="764"/>
      <c r="J3" s="770" t="s">
        <v>421</v>
      </c>
      <c r="K3" s="764"/>
      <c r="L3" s="769" t="s">
        <v>471</v>
      </c>
      <c r="M3" s="764"/>
      <c r="N3" s="764"/>
      <c r="O3" s="764"/>
      <c r="T3" s="770"/>
      <c r="U3" s="926" t="s">
        <v>421</v>
      </c>
      <c r="V3" s="764"/>
      <c r="W3" s="927" t="s">
        <v>472</v>
      </c>
      <c r="X3" s="861"/>
    </row>
    <row r="4" customFormat="false" ht="30" hidden="false" customHeight="true" outlineLevel="0" collapsed="false">
      <c r="A4" s="862" t="s">
        <v>473</v>
      </c>
      <c r="B4" s="863" t="s">
        <v>424</v>
      </c>
      <c r="C4" s="864" t="s">
        <v>425</v>
      </c>
      <c r="D4" s="863" t="s">
        <v>79</v>
      </c>
      <c r="E4" s="928" t="s">
        <v>474</v>
      </c>
      <c r="F4" s="928"/>
      <c r="G4" s="928" t="s">
        <v>475</v>
      </c>
      <c r="H4" s="928"/>
      <c r="I4" s="929" t="s">
        <v>427</v>
      </c>
      <c r="J4" s="930" t="n">
        <f aca="false">'☆掛負収入'!B2</f>
        <v>46113</v>
      </c>
      <c r="K4" s="795"/>
      <c r="L4" s="775" t="s">
        <v>473</v>
      </c>
      <c r="M4" s="776" t="s">
        <v>424</v>
      </c>
      <c r="N4" s="777" t="s">
        <v>425</v>
      </c>
      <c r="O4" s="776" t="s">
        <v>79</v>
      </c>
      <c r="P4" s="931" t="s">
        <v>80</v>
      </c>
      <c r="Q4" s="932" t="s">
        <v>476</v>
      </c>
      <c r="R4" s="933" t="s">
        <v>477</v>
      </c>
      <c r="S4" s="934" t="s">
        <v>478</v>
      </c>
      <c r="T4" s="900" t="s">
        <v>427</v>
      </c>
      <c r="U4" s="930" t="n">
        <f aca="false">J4</f>
        <v>46113</v>
      </c>
      <c r="V4" s="935" t="s">
        <v>479</v>
      </c>
      <c r="W4" s="859"/>
    </row>
    <row r="5" customFormat="false" ht="22.5" hidden="false" customHeight="true" outlineLevel="0" collapsed="false">
      <c r="A5" s="936" t="n">
        <f aca="false">'☆掛負収入'!B2</f>
        <v>46113</v>
      </c>
      <c r="B5" s="937" t="n">
        <f aca="false">M5+B26+M26+B56+M56+B77+M77+B116+M116+B137+M137</f>
        <v>0</v>
      </c>
      <c r="C5" s="937" t="n">
        <f aca="false">N5+C26+N26+C56+N56+C77+N77+C116+N116+C137+N137</f>
        <v>0</v>
      </c>
      <c r="D5" s="937" t="n">
        <f aca="false">O5+D26+O26+D56+O56+D77+O77+D116+O116+D137+O137</f>
        <v>0</v>
      </c>
      <c r="E5" s="938"/>
      <c r="F5" s="939" t="n">
        <f aca="false">P5+Q5+E26+F26+P26+Q26+E56+F56+P56+Q56+E77+F77+P77+Q77+E116+F116+P116+Q116+E137+F137+P137+Q137</f>
        <v>0</v>
      </c>
      <c r="G5" s="938"/>
      <c r="H5" s="939" t="n">
        <f aca="false">R5+S5+G26+H26+R26+S26+G56+H56+R56+S56+G77+H77+R77+S77+G116+H116+R116+S116+G137+H137+R137+S137</f>
        <v>2200000</v>
      </c>
      <c r="I5" s="940" t="n">
        <f aca="false">SUM(B5:H5)</f>
        <v>2200000</v>
      </c>
      <c r="J5" s="941" t="n">
        <f aca="false">U5</f>
        <v>0</v>
      </c>
      <c r="K5" s="795"/>
      <c r="L5" s="936" t="n">
        <f aca="false">A5</f>
        <v>46113</v>
      </c>
      <c r="M5" s="942"/>
      <c r="N5" s="942"/>
      <c r="O5" s="943"/>
      <c r="P5" s="944"/>
      <c r="Q5" s="945"/>
      <c r="R5" s="944" t="n">
        <v>100000</v>
      </c>
      <c r="S5" s="946" t="n">
        <v>100000</v>
      </c>
      <c r="T5" s="947" t="n">
        <f aca="false">SUM(M5:S5)</f>
        <v>200000</v>
      </c>
      <c r="U5" s="947" t="n">
        <f aca="false">0+W5</f>
        <v>0</v>
      </c>
      <c r="V5" s="948"/>
      <c r="W5" s="949"/>
    </row>
    <row r="6" customFormat="false" ht="22.5" hidden="false" customHeight="true" outlineLevel="0" collapsed="false">
      <c r="A6" s="936" t="n">
        <f aca="false">EOMONTH(A5,1)</f>
        <v>46173</v>
      </c>
      <c r="B6" s="937" t="n">
        <f aca="false">M6+B27+M27+B57+M57+B78+M78+B117+M117+B138+M138</f>
        <v>0</v>
      </c>
      <c r="C6" s="950" t="n">
        <f aca="false">N6+C27+N27+C57+N57+C78+N78+C117+N117+C138+N138</f>
        <v>0</v>
      </c>
      <c r="D6" s="937" t="n">
        <f aca="false">O6+D27+O27+D57+O57+D78+O78+D117+O117+D138+O138</f>
        <v>0</v>
      </c>
      <c r="E6" s="951"/>
      <c r="F6" s="952" t="n">
        <f aca="false">P6+Q6+E27+F27+P27+Q27+E57+F57+P57+Q57+E78+F78+P78+Q78+E117+F117+P117+Q117+E138+F138+P138+Q138</f>
        <v>0</v>
      </c>
      <c r="G6" s="951"/>
      <c r="H6" s="952" t="n">
        <f aca="false">R6+S6+G27+H27+R27+S27+G57+H57+R57+S57+G78+H78+R78+S78+G117+H117+R117+S117+G138+H138+R138+S138</f>
        <v>2200000</v>
      </c>
      <c r="I6" s="940" t="n">
        <f aca="false">SUM(B6:H6)</f>
        <v>2200000</v>
      </c>
      <c r="J6" s="941" t="n">
        <f aca="false">U6</f>
        <v>-200000</v>
      </c>
      <c r="K6" s="795"/>
      <c r="L6" s="936" t="n">
        <f aca="false">A6</f>
        <v>46173</v>
      </c>
      <c r="M6" s="953"/>
      <c r="N6" s="953"/>
      <c r="O6" s="954"/>
      <c r="P6" s="955"/>
      <c r="Q6" s="956"/>
      <c r="R6" s="957" t="n">
        <v>100000</v>
      </c>
      <c r="S6" s="958" t="n">
        <v>100000</v>
      </c>
      <c r="T6" s="947" t="n">
        <f aca="false">SUM(M6:S6)</f>
        <v>200000</v>
      </c>
      <c r="U6" s="947" t="n">
        <f aca="false">U5+W6-T6</f>
        <v>-200000</v>
      </c>
      <c r="V6" s="948"/>
      <c r="W6" s="949"/>
    </row>
    <row r="7" customFormat="false" ht="22.5" hidden="false" customHeight="true" outlineLevel="0" collapsed="false">
      <c r="A7" s="936" t="n">
        <f aca="false">EOMONTH(A6,1)</f>
        <v>46203</v>
      </c>
      <c r="B7" s="937" t="n">
        <f aca="false">M7+B28+M28+B58+M58+B79+M79+B118+M118+B139+M139</f>
        <v>0</v>
      </c>
      <c r="C7" s="950" t="n">
        <f aca="false">N7+C28+N28+C58+N58+C79+N79+C118+N118+C139+N139</f>
        <v>0</v>
      </c>
      <c r="D7" s="937" t="n">
        <f aca="false">O7+D28+O28+D58+O58+D79+O79+D118+O118+D139+O139</f>
        <v>0</v>
      </c>
      <c r="E7" s="951"/>
      <c r="F7" s="952" t="n">
        <f aca="false">P7+Q7+E28+F28+P28+Q28+E58+F58+P58+Q58+E79+F79+P79+Q79+E118+F118+P118+Q118+E139+F139+P139+Q139</f>
        <v>0</v>
      </c>
      <c r="G7" s="951"/>
      <c r="H7" s="952" t="n">
        <f aca="false">R7+S7+G28+H28+R28+S28+G58+H58+R58+S58+G79+H79+R79+S79+G118+H118+R118+S118+G139+H139+R139+S139</f>
        <v>2200000</v>
      </c>
      <c r="I7" s="940" t="n">
        <f aca="false">SUM(B7:H7)</f>
        <v>2200000</v>
      </c>
      <c r="J7" s="941" t="n">
        <f aca="false">U7</f>
        <v>-400000</v>
      </c>
      <c r="K7" s="795"/>
      <c r="L7" s="936" t="n">
        <f aca="false">A7</f>
        <v>46203</v>
      </c>
      <c r="M7" s="817"/>
      <c r="N7" s="817"/>
      <c r="O7" s="959"/>
      <c r="P7" s="955"/>
      <c r="Q7" s="956"/>
      <c r="R7" s="957" t="n">
        <v>100000</v>
      </c>
      <c r="S7" s="958" t="n">
        <v>100000</v>
      </c>
      <c r="T7" s="947" t="n">
        <f aca="false">SUM(M7:S7)</f>
        <v>200000</v>
      </c>
      <c r="U7" s="947" t="n">
        <f aca="false">U6+W7-T7</f>
        <v>-400000</v>
      </c>
      <c r="V7" s="948"/>
      <c r="W7" s="949"/>
    </row>
    <row r="8" customFormat="false" ht="22.5" hidden="false" customHeight="true" outlineLevel="0" collapsed="false">
      <c r="A8" s="960" t="n">
        <f aca="false">A7</f>
        <v>46203</v>
      </c>
      <c r="B8" s="950" t="n">
        <f aca="false">M8+B29+M29+B59+M59+B80+M80+B119+M119+B140+M140</f>
        <v>0</v>
      </c>
      <c r="C8" s="950" t="n">
        <f aca="false">N8+C29+N29+C59+N59+C80+N80+C119+N119+C140+N140</f>
        <v>0</v>
      </c>
      <c r="D8" s="950" t="n">
        <f aca="false">O8+D29+O29+D59+O59+D80+O80+D119+O119+D140+O140</f>
        <v>0</v>
      </c>
      <c r="E8" s="961"/>
      <c r="F8" s="952" t="n">
        <f aca="false">P8+Q8+E29+F29+P29+Q29+E59+F59+P59+Q59+E80+F80+P80+Q80+E119+F119+P119+Q119+E140+F140+P140+Q140</f>
        <v>0</v>
      </c>
      <c r="G8" s="961"/>
      <c r="H8" s="952" t="n">
        <f aca="false">R8+S8+G29+H29+R29+S29+G59+H59+R59+S59+G80+H80+R80+S80+G119+H119+R119+S119+G140+H140+R140+S140</f>
        <v>2200000</v>
      </c>
      <c r="I8" s="940" t="n">
        <f aca="false">SUM(B8:H8)</f>
        <v>2200000</v>
      </c>
      <c r="J8" s="941" t="n">
        <f aca="false">U8</f>
        <v>-600000</v>
      </c>
      <c r="K8" s="795"/>
      <c r="L8" s="960" t="n">
        <f aca="false">A8</f>
        <v>46203</v>
      </c>
      <c r="M8" s="962"/>
      <c r="N8" s="962"/>
      <c r="O8" s="963"/>
      <c r="P8" s="955"/>
      <c r="Q8" s="964"/>
      <c r="R8" s="957" t="n">
        <v>100000</v>
      </c>
      <c r="S8" s="965" t="n">
        <v>100000</v>
      </c>
      <c r="T8" s="794" t="n">
        <f aca="false">SUM(M8:S8)</f>
        <v>200000</v>
      </c>
      <c r="U8" s="947" t="n">
        <f aca="false">U7+W8-T8</f>
        <v>-600000</v>
      </c>
      <c r="V8" s="948"/>
      <c r="W8" s="949"/>
    </row>
    <row r="9" customFormat="false" ht="22.5" hidden="false" customHeight="true" outlineLevel="0" collapsed="false">
      <c r="A9" s="936" t="n">
        <f aca="false">EOMONTH(A7,1)</f>
        <v>46234</v>
      </c>
      <c r="B9" s="937" t="n">
        <f aca="false">M9+B30+M30+B60+M60+B81+M81+B120+M120+B141+M141</f>
        <v>0</v>
      </c>
      <c r="C9" s="950" t="n">
        <f aca="false">N9+C30+N30+C60+N60+C81+N81+C120+N120+C141+N141</f>
        <v>0</v>
      </c>
      <c r="D9" s="937" t="n">
        <f aca="false">O9+D30+O30+D60+O60+D81+O81+D120+O120+D141+O141</f>
        <v>0</v>
      </c>
      <c r="E9" s="951"/>
      <c r="F9" s="952" t="n">
        <f aca="false">P9+Q9+E30+F30+P30+Q30+E60+F60+P60+Q60+E81+F81+P81+Q81+E120+F120+P120+Q120+E141+F141+P141+Q141</f>
        <v>0</v>
      </c>
      <c r="G9" s="951"/>
      <c r="H9" s="952" t="n">
        <f aca="false">R9+S9+G30+H30+R30+S30+G60+H60+R60+S60+G81+H81+R81+S81+G120+H120+R120+S120+G141+H141+R141+S141</f>
        <v>2200000</v>
      </c>
      <c r="I9" s="940" t="n">
        <f aca="false">SUM(B9:H9)</f>
        <v>2200000</v>
      </c>
      <c r="J9" s="941" t="n">
        <f aca="false">U9</f>
        <v>-800000</v>
      </c>
      <c r="K9" s="795"/>
      <c r="L9" s="936" t="n">
        <f aca="false">A9</f>
        <v>46234</v>
      </c>
      <c r="M9" s="953"/>
      <c r="N9" s="953"/>
      <c r="O9" s="954"/>
      <c r="P9" s="955"/>
      <c r="Q9" s="956"/>
      <c r="R9" s="957" t="n">
        <v>100000</v>
      </c>
      <c r="S9" s="958" t="n">
        <v>100000</v>
      </c>
      <c r="T9" s="947" t="n">
        <f aca="false">SUM(M9:S9)</f>
        <v>200000</v>
      </c>
      <c r="U9" s="947" t="n">
        <f aca="false">U8+W9-T9</f>
        <v>-800000</v>
      </c>
      <c r="V9" s="948"/>
      <c r="W9" s="949"/>
    </row>
    <row r="10" customFormat="false" ht="22.5" hidden="false" customHeight="true" outlineLevel="0" collapsed="false">
      <c r="A10" s="936" t="n">
        <f aca="false">EOMONTH(A9,1)</f>
        <v>46265</v>
      </c>
      <c r="B10" s="937" t="n">
        <f aca="false">M10+B31+M31+B61+M61+B82+M82+B121+M121+B142+M142</f>
        <v>0</v>
      </c>
      <c r="C10" s="950" t="n">
        <f aca="false">N10+C31+N31+C61+N61+C82+N82+C121+N121+C142+N142</f>
        <v>0</v>
      </c>
      <c r="D10" s="937" t="n">
        <f aca="false">O10+D31+O31+D61+O61+D82+O82+D121+O121+D142+O142</f>
        <v>0</v>
      </c>
      <c r="E10" s="951"/>
      <c r="F10" s="952" t="n">
        <f aca="false">P10+Q10+E31+F31+P31+Q31+E61+F61+P61+Q61+E82+F82+P82+Q82+E121+F121+P121+Q121+E142+F142+P142+Q142</f>
        <v>0</v>
      </c>
      <c r="G10" s="951"/>
      <c r="H10" s="952" t="n">
        <f aca="false">R10+S10+G31+H31+R31+S31+G61+H61+R61+S61+G82+H82+R82+S82+G121+H121+R121+S121+G142+H142+R142+S142</f>
        <v>2200000</v>
      </c>
      <c r="I10" s="940" t="n">
        <f aca="false">SUM(B10:H10)</f>
        <v>2200000</v>
      </c>
      <c r="J10" s="941" t="n">
        <f aca="false">U10</f>
        <v>-1000000</v>
      </c>
      <c r="K10" s="795"/>
      <c r="L10" s="936" t="n">
        <f aca="false">A10</f>
        <v>46265</v>
      </c>
      <c r="M10" s="918"/>
      <c r="N10" s="918"/>
      <c r="O10" s="966"/>
      <c r="P10" s="955"/>
      <c r="Q10" s="956"/>
      <c r="R10" s="957" t="n">
        <v>100000</v>
      </c>
      <c r="S10" s="958" t="n">
        <v>100000</v>
      </c>
      <c r="T10" s="947" t="n">
        <f aca="false">SUM(M10:S10)</f>
        <v>200000</v>
      </c>
      <c r="U10" s="947" t="n">
        <f aca="false">U9+W10-T10</f>
        <v>-1000000</v>
      </c>
      <c r="V10" s="948"/>
      <c r="W10" s="949"/>
    </row>
    <row r="11" customFormat="false" ht="22.5" hidden="false" customHeight="true" outlineLevel="0" collapsed="false">
      <c r="A11" s="936" t="n">
        <f aca="false">EOMONTH(A10,1)</f>
        <v>46295</v>
      </c>
      <c r="B11" s="937" t="n">
        <f aca="false">M11+B32+M32+B62+M62+B83+M83+B122+M122+B143+M143</f>
        <v>0</v>
      </c>
      <c r="C11" s="950" t="n">
        <f aca="false">N11+C32+N32+C62+N62+C83+N83+C122+N122+C143+N143</f>
        <v>0</v>
      </c>
      <c r="D11" s="937" t="n">
        <f aca="false">O11+D32+O32+D62+O62+D83+O83+D122+O122+D143+O143</f>
        <v>0</v>
      </c>
      <c r="E11" s="951"/>
      <c r="F11" s="952" t="n">
        <f aca="false">P11+Q11+E32+F32+P32+Q32+E62+F62+P62+Q62+E83+F83+P83+Q83+E122+F122+P122+Q122+E143+F143+P143+Q143</f>
        <v>0</v>
      </c>
      <c r="G11" s="951"/>
      <c r="H11" s="952" t="n">
        <f aca="false">R11+S11+G32+H32+R32+S32+G62+H62+R62+S62+G83+H83+R83+S83+G122+H122+R122+S122+G143+H143+R143+S143</f>
        <v>2200000</v>
      </c>
      <c r="I11" s="940" t="n">
        <f aca="false">SUM(B11:H11)</f>
        <v>2200000</v>
      </c>
      <c r="J11" s="941" t="n">
        <f aca="false">U11</f>
        <v>-1200000</v>
      </c>
      <c r="K11" s="795"/>
      <c r="L11" s="936" t="n">
        <f aca="false">A11</f>
        <v>46295</v>
      </c>
      <c r="M11" s="953"/>
      <c r="N11" s="953"/>
      <c r="O11" s="954"/>
      <c r="P11" s="955"/>
      <c r="Q11" s="956"/>
      <c r="R11" s="957" t="n">
        <v>100000</v>
      </c>
      <c r="S11" s="958" t="n">
        <v>100000</v>
      </c>
      <c r="T11" s="947" t="n">
        <f aca="false">SUM(M11:S11)</f>
        <v>200000</v>
      </c>
      <c r="U11" s="947" t="n">
        <f aca="false">U10+W11-T11</f>
        <v>-1200000</v>
      </c>
      <c r="V11" s="948"/>
      <c r="W11" s="949"/>
    </row>
    <row r="12" customFormat="false" ht="22.5" hidden="false" customHeight="true" outlineLevel="0" collapsed="false">
      <c r="A12" s="936" t="n">
        <f aca="false">EOMONTH(A11,1)</f>
        <v>46326</v>
      </c>
      <c r="B12" s="950" t="n">
        <f aca="false">M12+B33+M33+B63+M63+B84+M84+B123+M123+B144+M144</f>
        <v>0</v>
      </c>
      <c r="C12" s="950" t="n">
        <f aca="false">N12+C33+N33+C63+N63+C84+N84+C123+N123+C144+N144</f>
        <v>0</v>
      </c>
      <c r="D12" s="950" t="n">
        <f aca="false">O12+D33+O33+D63+O63+D84+O84+D123+O123+D144+O144</f>
        <v>0</v>
      </c>
      <c r="E12" s="961"/>
      <c r="F12" s="952" t="n">
        <f aca="false">P12+Q12+E33+F33+P33+Q33+E63+F63+P63+Q63+E84+F84+P84+Q84+E123+F123+P123+Q123+E144+F144+P144+Q144</f>
        <v>0</v>
      </c>
      <c r="G12" s="961"/>
      <c r="H12" s="952" t="n">
        <f aca="false">R12+S12+G33+H33+R33+S33+G63+H63+R63+S63+G84+H84+R84+S84+G123+H123+R123+S123+G144+H144+R144+S144</f>
        <v>2200000</v>
      </c>
      <c r="I12" s="940" t="n">
        <f aca="false">SUM(B12:H12)</f>
        <v>2200000</v>
      </c>
      <c r="J12" s="941" t="n">
        <f aca="false">U12</f>
        <v>-1400000</v>
      </c>
      <c r="K12" s="795"/>
      <c r="L12" s="936" t="n">
        <f aca="false">A12</f>
        <v>46326</v>
      </c>
      <c r="M12" s="953"/>
      <c r="N12" s="953"/>
      <c r="O12" s="954"/>
      <c r="P12" s="955"/>
      <c r="Q12" s="956"/>
      <c r="R12" s="957" t="n">
        <v>100000</v>
      </c>
      <c r="S12" s="958" t="n">
        <v>100000</v>
      </c>
      <c r="T12" s="947" t="n">
        <f aca="false">SUM(M12:S12)</f>
        <v>200000</v>
      </c>
      <c r="U12" s="947" t="n">
        <f aca="false">U11+W12-T12</f>
        <v>-1400000</v>
      </c>
      <c r="V12" s="948"/>
      <c r="W12" s="949"/>
    </row>
    <row r="13" customFormat="false" ht="22.5" hidden="false" customHeight="true" outlineLevel="0" collapsed="false">
      <c r="A13" s="936" t="n">
        <f aca="false">EOMONTH(A12,1)</f>
        <v>46356</v>
      </c>
      <c r="B13" s="950" t="n">
        <f aca="false">M13+B34+M34+B64+M64+B85+M85+B124+M124+B145+M145</f>
        <v>0</v>
      </c>
      <c r="C13" s="950" t="n">
        <f aca="false">N13+C34+N34+C64+N64+C85+N85+C124+N124+C145+N145</f>
        <v>0</v>
      </c>
      <c r="D13" s="950" t="n">
        <f aca="false">O13+D34+O34+D64+O64+D85+O85+D124+O124+D145+O145</f>
        <v>0</v>
      </c>
      <c r="E13" s="961"/>
      <c r="F13" s="952" t="n">
        <f aca="false">P13+Q13+E34+F34+P34+Q34+E64+F64+P64+Q64+E85+F85+P85+Q85+E124+F124+P124+Q124+E145+F145+P145+Q145</f>
        <v>0</v>
      </c>
      <c r="G13" s="961"/>
      <c r="H13" s="952" t="n">
        <f aca="false">R13+S13+G34+H34+R34+S34+G64+H64+R64+S64+G85+H85+R85+S85+G124+H124+R124+S124+G145+H145+R145+S145</f>
        <v>2200000</v>
      </c>
      <c r="I13" s="940" t="n">
        <f aca="false">SUM(B13:H13)</f>
        <v>2200000</v>
      </c>
      <c r="J13" s="941" t="n">
        <f aca="false">U13</f>
        <v>-1600000</v>
      </c>
      <c r="K13" s="795"/>
      <c r="L13" s="936" t="n">
        <f aca="false">A13</f>
        <v>46356</v>
      </c>
      <c r="M13" s="918"/>
      <c r="N13" s="918"/>
      <c r="O13" s="966"/>
      <c r="P13" s="955"/>
      <c r="Q13" s="967"/>
      <c r="R13" s="957" t="n">
        <v>100000</v>
      </c>
      <c r="S13" s="968" t="n">
        <v>100000</v>
      </c>
      <c r="T13" s="947" t="n">
        <f aca="false">SUM(M13:S13)</f>
        <v>200000</v>
      </c>
      <c r="U13" s="947" t="n">
        <f aca="false">U12+W13-T13</f>
        <v>-1600000</v>
      </c>
      <c r="V13" s="948"/>
      <c r="W13" s="949"/>
    </row>
    <row r="14" customFormat="false" ht="22.5" hidden="false" customHeight="true" outlineLevel="0" collapsed="false">
      <c r="A14" s="960" t="n">
        <f aca="false">A15</f>
        <v>46387</v>
      </c>
      <c r="B14" s="950" t="n">
        <f aca="false">M14+B35+M35+B65+M65+B86+M86+B125+M125+B146+M146</f>
        <v>0</v>
      </c>
      <c r="C14" s="950" t="n">
        <f aca="false">N14+C35+N35+C65+N65+C86+N86+C125+N125+C146+N146</f>
        <v>0</v>
      </c>
      <c r="D14" s="950" t="n">
        <f aca="false">O14+D35+O35+D65+O65+D86+O86+D125+O125+D146+O146</f>
        <v>0</v>
      </c>
      <c r="E14" s="961"/>
      <c r="F14" s="952" t="n">
        <f aca="false">P14+Q14+E35+F35+P35+Q35+E65+F65+P65+Q65+E86+F86+P86+Q86+E125+F125+P125+Q125+E146+F146+P146+Q146</f>
        <v>0</v>
      </c>
      <c r="G14" s="961"/>
      <c r="H14" s="952" t="n">
        <f aca="false">R14+S14+G35+H35+R35+S35+G65+H65+R65+S65+G86+H86+R86+S86+G125+H125+R125+S125+G146+H146+R146+S146</f>
        <v>2200000</v>
      </c>
      <c r="I14" s="940" t="n">
        <f aca="false">SUM(B14:H14)</f>
        <v>2200000</v>
      </c>
      <c r="J14" s="941" t="n">
        <f aca="false">U14</f>
        <v>-1800000</v>
      </c>
      <c r="K14" s="795"/>
      <c r="L14" s="960" t="n">
        <f aca="false">A14</f>
        <v>46387</v>
      </c>
      <c r="M14" s="962"/>
      <c r="N14" s="962"/>
      <c r="O14" s="963"/>
      <c r="P14" s="955"/>
      <c r="Q14" s="969"/>
      <c r="R14" s="957" t="n">
        <v>100000</v>
      </c>
      <c r="S14" s="970" t="n">
        <v>100000</v>
      </c>
      <c r="T14" s="794" t="n">
        <f aca="false">SUM(M14:S14)</f>
        <v>200000</v>
      </c>
      <c r="U14" s="947" t="n">
        <f aca="false">U13+W14-T14</f>
        <v>-1800000</v>
      </c>
      <c r="V14" s="948"/>
      <c r="W14" s="949"/>
    </row>
    <row r="15" customFormat="false" ht="22.5" hidden="false" customHeight="true" outlineLevel="0" collapsed="false">
      <c r="A15" s="936" t="n">
        <f aca="false">EOMONTH(A13,1)</f>
        <v>46387</v>
      </c>
      <c r="B15" s="950" t="n">
        <f aca="false">M15+B36+M36+B66+M66+B87+M87+B126+M126+B147+M147</f>
        <v>0</v>
      </c>
      <c r="C15" s="950" t="n">
        <f aca="false">N15+C36+N36+C66+N66+C87+N87+C126+N126+C147+N147</f>
        <v>0</v>
      </c>
      <c r="D15" s="950" t="n">
        <f aca="false">O15+D36+O36+D66+O66+D87+O87+D126+O126+D147+O147</f>
        <v>0</v>
      </c>
      <c r="E15" s="961"/>
      <c r="F15" s="952" t="n">
        <f aca="false">P15+Q15+E36+F36+P36+Q36+E66+F66+P66+Q66+E87+F87+P87+Q87+E126+F126+P126+Q126+E147+F147+P147+Q147</f>
        <v>0</v>
      </c>
      <c r="G15" s="961"/>
      <c r="H15" s="952" t="n">
        <f aca="false">R15+S15+G36+H36+R36+S36+G66+H66+R66+S66+G87+H87+R87+S87+G126+H126+R126+S126+G147+H147+R147+S147</f>
        <v>2200000</v>
      </c>
      <c r="I15" s="940" t="n">
        <f aca="false">SUM(B15:H15)</f>
        <v>2200000</v>
      </c>
      <c r="J15" s="941" t="n">
        <f aca="false">U15</f>
        <v>-2000000</v>
      </c>
      <c r="K15" s="795"/>
      <c r="L15" s="936" t="n">
        <f aca="false">A15</f>
        <v>46387</v>
      </c>
      <c r="M15" s="971"/>
      <c r="N15" s="971"/>
      <c r="O15" s="972"/>
      <c r="P15" s="955"/>
      <c r="Q15" s="967"/>
      <c r="R15" s="957" t="n">
        <v>100000</v>
      </c>
      <c r="S15" s="968" t="n">
        <v>100000</v>
      </c>
      <c r="T15" s="794" t="n">
        <f aca="false">SUM(M15:S15)</f>
        <v>200000</v>
      </c>
      <c r="U15" s="947" t="n">
        <f aca="false">U14+W15-T15</f>
        <v>-2000000</v>
      </c>
      <c r="V15" s="948"/>
      <c r="W15" s="949"/>
    </row>
    <row r="16" customFormat="false" ht="22.5" hidden="false" customHeight="true" outlineLevel="0" collapsed="false">
      <c r="A16" s="936" t="n">
        <f aca="false">EOMONTH(A15,1)</f>
        <v>46418</v>
      </c>
      <c r="B16" s="950" t="n">
        <f aca="false">M16+B37+M37+B67+M67+B88+M88+B127+M127+B148+M148</f>
        <v>0</v>
      </c>
      <c r="C16" s="950" t="n">
        <f aca="false">N16+C37+N37+C67+N67+C88+N88+C127+N127+C148+N148</f>
        <v>0</v>
      </c>
      <c r="D16" s="950" t="n">
        <f aca="false">O16+D37+O37+D67+O67+D88+O88+D127+O127+D148+O148</f>
        <v>0</v>
      </c>
      <c r="E16" s="961"/>
      <c r="F16" s="973" t="n">
        <f aca="false">P16+Q16+E37+F37+P37+Q37+E67+F67+P67+Q67+E88+F88+P88+Q88+E127+F127+P127+Q127+E148+F148+P148+Q148</f>
        <v>0</v>
      </c>
      <c r="G16" s="961"/>
      <c r="H16" s="973" t="n">
        <f aca="false">R16+S16+G37+H37+R37+S37+G67+H67+R67+S67+G88+H88+R88+S88+G127+H127+R127+S127+G148+H148+R148+S148</f>
        <v>2200000</v>
      </c>
      <c r="I16" s="940" t="n">
        <f aca="false">SUM(B16:H16)</f>
        <v>2200000</v>
      </c>
      <c r="J16" s="941" t="n">
        <f aca="false">U16</f>
        <v>-2200000</v>
      </c>
      <c r="K16" s="795"/>
      <c r="L16" s="936" t="n">
        <f aca="false">A16</f>
        <v>46418</v>
      </c>
      <c r="M16" s="918"/>
      <c r="N16" s="918"/>
      <c r="O16" s="966"/>
      <c r="P16" s="974"/>
      <c r="Q16" s="967"/>
      <c r="R16" s="975" t="n">
        <v>100000</v>
      </c>
      <c r="S16" s="968" t="n">
        <v>100000</v>
      </c>
      <c r="T16" s="794" t="n">
        <f aca="false">SUM(M16:S16)</f>
        <v>200000</v>
      </c>
      <c r="U16" s="947" t="n">
        <f aca="false">U15+W16-T16</f>
        <v>-2200000</v>
      </c>
      <c r="V16" s="948"/>
      <c r="W16" s="949"/>
    </row>
    <row r="17" customFormat="false" ht="22.5" hidden="false" customHeight="true" outlineLevel="0" collapsed="false">
      <c r="A17" s="936" t="n">
        <f aca="false">EOMONTH(A16,1)</f>
        <v>46446</v>
      </c>
      <c r="B17" s="950" t="n">
        <f aca="false">M17+B38+M38+B68+M68+B89+M89+B128+M128+B149+M149</f>
        <v>0</v>
      </c>
      <c r="C17" s="950" t="n">
        <f aca="false">N17+C38+N38+C68+N68+C89+N89+C128+N128+C149+N149</f>
        <v>0</v>
      </c>
      <c r="D17" s="950" t="n">
        <f aca="false">O17+D38+O38+D68+O68+D89+O89+D128+O128+D149+O149</f>
        <v>0</v>
      </c>
      <c r="E17" s="961"/>
      <c r="F17" s="952" t="n">
        <f aca="false">P17+Q17+E38+F38+P38+Q38+E68+F68+P68+Q68+E89+F89+P89+Q89+E128+F128+P128+Q128+E149+F149+P149+Q149</f>
        <v>0</v>
      </c>
      <c r="G17" s="961"/>
      <c r="H17" s="952" t="n">
        <f aca="false">R17+S17+G38+H38+R38+S38+G68+H68+R68+S68+G89+H89+R89+S89+G128+H128+R128+S128+G149+H149+R149+S149</f>
        <v>2200000</v>
      </c>
      <c r="I17" s="940" t="n">
        <f aca="false">SUM(B17:H17)</f>
        <v>2200000</v>
      </c>
      <c r="J17" s="941" t="n">
        <f aca="false">U17</f>
        <v>-2400000</v>
      </c>
      <c r="K17" s="795"/>
      <c r="L17" s="936" t="n">
        <f aca="false">A17</f>
        <v>46446</v>
      </c>
      <c r="M17" s="918"/>
      <c r="N17" s="918"/>
      <c r="O17" s="966"/>
      <c r="P17" s="976"/>
      <c r="Q17" s="967"/>
      <c r="R17" s="977" t="n">
        <v>100000</v>
      </c>
      <c r="S17" s="968" t="n">
        <v>100000</v>
      </c>
      <c r="T17" s="794" t="n">
        <f aca="false">SUM(M17:S17)</f>
        <v>200000</v>
      </c>
      <c r="U17" s="947" t="n">
        <f aca="false">U16+W17-T17</f>
        <v>-2400000</v>
      </c>
      <c r="V17" s="948"/>
      <c r="W17" s="949"/>
    </row>
    <row r="18" customFormat="false" ht="22.5" hidden="false" customHeight="true" outlineLevel="0" collapsed="false">
      <c r="A18" s="960" t="n">
        <f aca="false">A19</f>
        <v>46477</v>
      </c>
      <c r="B18" s="950" t="n">
        <f aca="false">M18+B39+M39+B69+M69+B90+M90+B129+M129+B150+M150</f>
        <v>0</v>
      </c>
      <c r="C18" s="950" t="n">
        <f aca="false">N18+C39+N39+C69+N69+C90+N90+C129+N129+C150+N150</f>
        <v>0</v>
      </c>
      <c r="D18" s="978" t="n">
        <f aca="false">O18+D39+O39+D69+O69+D90+O90+D129+O129+D150+O150</f>
        <v>0</v>
      </c>
      <c r="E18" s="979"/>
      <c r="F18" s="980" t="n">
        <f aca="false">P18+Q18+E39+F39+P39+Q39+E69+F69+P69+Q69+E90+F90+P90+Q90+E129+F129+P129+Q129+E150+F150+P150+Q150</f>
        <v>0</v>
      </c>
      <c r="G18" s="979"/>
      <c r="H18" s="980" t="n">
        <f aca="false">R18+S18+G39+H39+R39+S39+G69+H69+R69+S69+G90+H90+R90+S90+G129+H129+R129+S129+G150+H150+R150+S150</f>
        <v>2200000</v>
      </c>
      <c r="I18" s="981" t="n">
        <f aca="false">SUM(B18:H18)</f>
        <v>2200000</v>
      </c>
      <c r="J18" s="941" t="n">
        <f aca="false">U18</f>
        <v>-2600000</v>
      </c>
      <c r="K18" s="795"/>
      <c r="L18" s="960" t="n">
        <f aca="false">A18</f>
        <v>46477</v>
      </c>
      <c r="M18" s="962"/>
      <c r="N18" s="962"/>
      <c r="O18" s="982"/>
      <c r="P18" s="983"/>
      <c r="Q18" s="984"/>
      <c r="R18" s="985" t="n">
        <v>100000</v>
      </c>
      <c r="S18" s="986" t="n">
        <v>100000</v>
      </c>
      <c r="T18" s="794" t="n">
        <f aca="false">SUM(M18:S18)</f>
        <v>200000</v>
      </c>
      <c r="U18" s="947" t="n">
        <f aca="false">U17+W18-T18</f>
        <v>-2600000</v>
      </c>
      <c r="V18" s="861"/>
      <c r="W18" s="949"/>
    </row>
    <row r="19" customFormat="false" ht="22.5" hidden="false" customHeight="true" outlineLevel="0" collapsed="false">
      <c r="A19" s="936" t="n">
        <f aca="false">EOMONTH(A17,1)</f>
        <v>46477</v>
      </c>
      <c r="B19" s="950" t="n">
        <f aca="false">M19+B40+M40+B70+M70+B91+M91+B130+M130+B151+M151</f>
        <v>0</v>
      </c>
      <c r="C19" s="950" t="n">
        <f aca="false">N19+C40+N40+C70+N70+C91+N91+C130+N130+C151+N151</f>
        <v>0</v>
      </c>
      <c r="D19" s="950" t="n">
        <f aca="false">O19+D40+O40+D70+O70+D91+O91+D130+O130+D151+O151</f>
        <v>0</v>
      </c>
      <c r="E19" s="961"/>
      <c r="F19" s="973" t="n">
        <f aca="false">P19+Q19+E40+F40+P40+Q40+E70+F70+P70+Q70+E91+F91+P91+Q91+E130+F130+P130+Q130+E151+F151+P151+Q151</f>
        <v>0</v>
      </c>
      <c r="G19" s="961"/>
      <c r="H19" s="973" t="n">
        <f aca="false">R19+S19+G40+H40+R40+S40+G70+H70+R70+S70+G91+H91+R91+S91+G130+H130+R130+S130+G151+H151+R151+S151</f>
        <v>2200000</v>
      </c>
      <c r="I19" s="987" t="n">
        <f aca="false">SUM(B19:H19)</f>
        <v>2200000</v>
      </c>
      <c r="J19" s="941" t="n">
        <f aca="false">U19</f>
        <v>-2800000</v>
      </c>
      <c r="K19" s="795"/>
      <c r="L19" s="936" t="n">
        <f aca="false">A19</f>
        <v>46477</v>
      </c>
      <c r="M19" s="918"/>
      <c r="N19" s="918"/>
      <c r="O19" s="966"/>
      <c r="P19" s="976"/>
      <c r="Q19" s="969"/>
      <c r="R19" s="977" t="n">
        <v>100000</v>
      </c>
      <c r="S19" s="970" t="n">
        <v>100000</v>
      </c>
      <c r="T19" s="794" t="n">
        <f aca="false">SUM(M19:S19)</f>
        <v>200000</v>
      </c>
      <c r="U19" s="947" t="n">
        <f aca="false">U18+W19-T19</f>
        <v>-2800000</v>
      </c>
      <c r="V19" s="988"/>
      <c r="W19" s="949"/>
      <c r="X19" s="861"/>
    </row>
    <row r="20" customFormat="false" ht="22.5" hidden="false" customHeight="true" outlineLevel="0" collapsed="false">
      <c r="A20" s="989" t="s">
        <v>480</v>
      </c>
      <c r="B20" s="950" t="n">
        <f aca="false">M20+B41+M41+B71+M71+B92+M92+B131+M131+B152+M152</f>
        <v>0</v>
      </c>
      <c r="C20" s="950" t="n">
        <f aca="false">N20+C41+N41+C71+N71+C92+N92+C131+N131+C152+N152</f>
        <v>0</v>
      </c>
      <c r="D20" s="950" t="n">
        <f aca="false">O20+D41+O41+D71+O71+D92+O92+D131+O131+D152+O152</f>
        <v>0</v>
      </c>
      <c r="E20" s="961"/>
      <c r="F20" s="952" t="n">
        <f aca="false">P20+Q20+E41+F41+P41+Q41+E71+F71+P71+Q71+E92+F92+P92+Q92+E131+F131+P131+Q131+E152+F152+P152+Q152</f>
        <v>0</v>
      </c>
      <c r="G20" s="961"/>
      <c r="H20" s="952" t="n">
        <f aca="false">R20+S20+G41+H41+R41+S41+G71+H71+R71+S71+G92+H92+R92+S92+G131+H131+R131+S131+G152+H152+R152+S152</f>
        <v>2200000</v>
      </c>
      <c r="I20" s="940" t="n">
        <f aca="false">SUM(B20:H20)</f>
        <v>2200000</v>
      </c>
      <c r="J20" s="941" t="n">
        <f aca="false">U20</f>
        <v>-3000000</v>
      </c>
      <c r="K20" s="795"/>
      <c r="L20" s="990" t="str">
        <f aca="false">A20</f>
        <v>差額賞与6月</v>
      </c>
      <c r="M20" s="991"/>
      <c r="N20" s="991"/>
      <c r="O20" s="992"/>
      <c r="P20" s="992"/>
      <c r="Q20" s="992"/>
      <c r="R20" s="992" t="n">
        <v>100000</v>
      </c>
      <c r="S20" s="992" t="n">
        <v>100000</v>
      </c>
      <c r="T20" s="993" t="n">
        <f aca="false">SUM(M20:S20)</f>
        <v>200000</v>
      </c>
      <c r="U20" s="994" t="n">
        <f aca="false">U19+W20-T20</f>
        <v>-3000000</v>
      </c>
      <c r="V20" s="988"/>
      <c r="W20" s="995"/>
      <c r="X20" s="861"/>
    </row>
    <row r="21" customFormat="false" ht="22.5" hidden="false" customHeight="true" outlineLevel="0" collapsed="false">
      <c r="A21" s="996" t="s">
        <v>481</v>
      </c>
      <c r="B21" s="997" t="n">
        <f aca="false">M21+B42+M42+B72+M72+B93+M93+B132+M132+B153+M153</f>
        <v>0</v>
      </c>
      <c r="C21" s="997" t="n">
        <f aca="false">N21+C42+N42+C72+N72+C93+N93+C132+N132+C153+N153</f>
        <v>0</v>
      </c>
      <c r="D21" s="997" t="n">
        <f aca="false">O21+D42+O42+D72+O72+D93+O93+D132+O132+D153+O153</f>
        <v>0</v>
      </c>
      <c r="E21" s="979"/>
      <c r="F21" s="980" t="n">
        <f aca="false">P21+Q21+E42+F42+P42+Q42+E72+F72+P72+Q72+E93+F93+P93+Q93+E132+F132+P132+Q132+E153+F153+P153+Q153</f>
        <v>0</v>
      </c>
      <c r="G21" s="979"/>
      <c r="H21" s="980" t="n">
        <f aca="false">R21+S21+G42+H42+R42+S42+G72+H72+R72+S72+G93+H93+R93+S93+G132+H132+R132+S132+G153+H153+R153+S153</f>
        <v>2200000</v>
      </c>
      <c r="I21" s="981" t="n">
        <f aca="false">SUM(B21:H21)</f>
        <v>2200000</v>
      </c>
      <c r="J21" s="941" t="n">
        <f aca="false">U21</f>
        <v>-3200000</v>
      </c>
      <c r="K21" s="795"/>
      <c r="L21" s="998" t="str">
        <f aca="false">A21</f>
        <v>差額賞与12月</v>
      </c>
      <c r="M21" s="999"/>
      <c r="N21" s="999"/>
      <c r="O21" s="1000"/>
      <c r="P21" s="1000"/>
      <c r="Q21" s="1000"/>
      <c r="R21" s="1000" t="n">
        <v>100000</v>
      </c>
      <c r="S21" s="1000" t="n">
        <v>100000</v>
      </c>
      <c r="T21" s="1001" t="n">
        <f aca="false">SUM(M21:S21)</f>
        <v>200000</v>
      </c>
      <c r="U21" s="1002" t="n">
        <f aca="false">U20+W21-T21</f>
        <v>-3200000</v>
      </c>
      <c r="V21" s="988"/>
      <c r="W21" s="995"/>
      <c r="X21" s="861"/>
    </row>
    <row r="22" customFormat="false" ht="22.5" hidden="false" customHeight="true" outlineLevel="0" collapsed="false">
      <c r="A22" s="862" t="s">
        <v>457</v>
      </c>
      <c r="B22" s="1003" t="n">
        <f aca="false">SUM(B5:B21)</f>
        <v>0</v>
      </c>
      <c r="C22" s="1003" t="n">
        <f aca="false">SUM(C5:C21)</f>
        <v>0</v>
      </c>
      <c r="D22" s="1003" t="n">
        <f aca="false">SUM(D5:D21)</f>
        <v>0</v>
      </c>
      <c r="E22" s="1004"/>
      <c r="F22" s="1005" t="n">
        <f aca="false">SUM(F5:F21)</f>
        <v>0</v>
      </c>
      <c r="G22" s="1004"/>
      <c r="H22" s="1005" t="n">
        <f aca="false">SUM(H5:H21)</f>
        <v>37400000</v>
      </c>
      <c r="I22" s="1006" t="n">
        <f aca="false">SUM(I5:I21)</f>
        <v>37400000</v>
      </c>
      <c r="J22" s="1007" t="n">
        <f aca="false">SUM(J5:J21)</f>
        <v>-27200000</v>
      </c>
      <c r="K22" s="795"/>
      <c r="L22" s="775" t="s">
        <v>457</v>
      </c>
      <c r="M22" s="1008" t="n">
        <f aca="false">SUM(M5:M21)</f>
        <v>0</v>
      </c>
      <c r="N22" s="1008" t="n">
        <f aca="false">SUM(N5:N21)</f>
        <v>0</v>
      </c>
      <c r="O22" s="1008" t="n">
        <f aca="false">SUM(O5:O21)</f>
        <v>0</v>
      </c>
      <c r="P22" s="1009" t="n">
        <f aca="false">SUM(P5:P21)</f>
        <v>0</v>
      </c>
      <c r="Q22" s="1010" t="n">
        <f aca="false">SUM(Q5:Q21)</f>
        <v>0</v>
      </c>
      <c r="R22" s="1011" t="n">
        <f aca="false">SUM(R5:R21)</f>
        <v>1700000</v>
      </c>
      <c r="S22" s="1012" t="n">
        <f aca="false">SUM(S5:S21)</f>
        <v>1700000</v>
      </c>
      <c r="T22" s="1013" t="n">
        <f aca="false">SUM(M22:S22)</f>
        <v>3400000</v>
      </c>
      <c r="U22" s="1014" t="n">
        <f aca="false">SUM(U5:U21)</f>
        <v>-27200000</v>
      </c>
      <c r="V22" s="988"/>
      <c r="W22" s="995"/>
      <c r="X22" s="861"/>
    </row>
    <row r="23" customFormat="false" ht="22.5" hidden="false" customHeight="true" outlineLevel="0" collapsed="false">
      <c r="A23" s="769"/>
      <c r="B23" s="764"/>
      <c r="C23" s="764"/>
      <c r="D23" s="764"/>
      <c r="E23" s="764"/>
      <c r="F23" s="764"/>
      <c r="G23" s="764"/>
      <c r="H23" s="764"/>
      <c r="I23" s="764"/>
      <c r="J23" s="770"/>
      <c r="K23" s="770"/>
      <c r="L23" s="1015"/>
      <c r="M23" s="1016"/>
      <c r="N23" s="1017"/>
      <c r="O23" s="1016"/>
      <c r="P23" s="1016"/>
      <c r="Q23" s="861"/>
      <c r="R23" s="1016"/>
      <c r="S23" s="861"/>
      <c r="T23" s="861"/>
      <c r="U23" s="861"/>
      <c r="V23" s="764"/>
    </row>
    <row r="24" customFormat="false" ht="22.5" hidden="false" customHeight="true" outlineLevel="0" collapsed="false">
      <c r="A24" s="769" t="s">
        <v>482</v>
      </c>
      <c r="B24" s="764"/>
      <c r="C24" s="764"/>
      <c r="D24" s="764"/>
      <c r="E24" s="764"/>
      <c r="F24" s="764"/>
      <c r="G24" s="764"/>
      <c r="H24" s="764"/>
      <c r="I24" s="764"/>
      <c r="J24" s="770" t="s">
        <v>421</v>
      </c>
      <c r="K24" s="764"/>
      <c r="L24" s="769" t="s">
        <v>483</v>
      </c>
      <c r="M24" s="764"/>
      <c r="N24" s="764"/>
      <c r="O24" s="764"/>
      <c r="Q24" s="770" t="s">
        <v>421</v>
      </c>
      <c r="S24" s="770"/>
      <c r="T24" s="926"/>
      <c r="U24" s="926" t="s">
        <v>421</v>
      </c>
      <c r="V24" s="861"/>
      <c r="W24" s="859"/>
    </row>
    <row r="25" customFormat="false" ht="29.25" hidden="false" customHeight="true" outlineLevel="0" collapsed="false">
      <c r="A25" s="775" t="s">
        <v>473</v>
      </c>
      <c r="B25" s="776" t="s">
        <v>424</v>
      </c>
      <c r="C25" s="777" t="s">
        <v>425</v>
      </c>
      <c r="D25" s="776" t="s">
        <v>79</v>
      </c>
      <c r="E25" s="931" t="s">
        <v>80</v>
      </c>
      <c r="F25" s="932" t="s">
        <v>476</v>
      </c>
      <c r="G25" s="933" t="s">
        <v>477</v>
      </c>
      <c r="H25" s="934" t="s">
        <v>478</v>
      </c>
      <c r="I25" s="900" t="s">
        <v>427</v>
      </c>
      <c r="J25" s="1018" t="n">
        <f aca="false">J4</f>
        <v>46113</v>
      </c>
      <c r="K25" s="795"/>
      <c r="L25" s="775" t="s">
        <v>473</v>
      </c>
      <c r="M25" s="776" t="s">
        <v>424</v>
      </c>
      <c r="N25" s="777" t="s">
        <v>425</v>
      </c>
      <c r="O25" s="776" t="s">
        <v>79</v>
      </c>
      <c r="P25" s="931" t="s">
        <v>80</v>
      </c>
      <c r="Q25" s="932" t="s">
        <v>476</v>
      </c>
      <c r="R25" s="933" t="s">
        <v>477</v>
      </c>
      <c r="S25" s="934" t="s">
        <v>478</v>
      </c>
      <c r="T25" s="900" t="s">
        <v>427</v>
      </c>
      <c r="U25" s="1018" t="n">
        <f aca="false">J4</f>
        <v>46113</v>
      </c>
      <c r="V25" s="861"/>
      <c r="W25" s="859"/>
    </row>
    <row r="26" customFormat="false" ht="22.5" hidden="false" customHeight="true" outlineLevel="0" collapsed="false">
      <c r="A26" s="936" t="n">
        <f aca="false">A5</f>
        <v>46113</v>
      </c>
      <c r="B26" s="818"/>
      <c r="C26" s="818"/>
      <c r="D26" s="1019"/>
      <c r="E26" s="1020"/>
      <c r="F26" s="945"/>
      <c r="G26" s="944" t="n">
        <v>100000</v>
      </c>
      <c r="H26" s="946" t="n">
        <v>100000</v>
      </c>
      <c r="I26" s="947" t="n">
        <f aca="false">SUM(B26:H26)</f>
        <v>200000</v>
      </c>
      <c r="J26" s="1021"/>
      <c r="K26" s="795"/>
      <c r="L26" s="936" t="n">
        <f aca="false">A5</f>
        <v>46113</v>
      </c>
      <c r="M26" s="818"/>
      <c r="N26" s="818"/>
      <c r="O26" s="1019"/>
      <c r="P26" s="944"/>
      <c r="Q26" s="945"/>
      <c r="R26" s="944" t="n">
        <v>100000</v>
      </c>
      <c r="S26" s="946" t="n">
        <v>100000</v>
      </c>
      <c r="T26" s="947" t="n">
        <f aca="false">SUM(M26:S26)</f>
        <v>200000</v>
      </c>
      <c r="U26" s="1021"/>
    </row>
    <row r="27" customFormat="false" ht="22.5" hidden="false" customHeight="true" outlineLevel="0" collapsed="false">
      <c r="A27" s="936" t="n">
        <f aca="false">A6</f>
        <v>46173</v>
      </c>
      <c r="B27" s="818"/>
      <c r="C27" s="817"/>
      <c r="D27" s="1019"/>
      <c r="E27" s="955"/>
      <c r="F27" s="1022"/>
      <c r="G27" s="957" t="n">
        <v>100000</v>
      </c>
      <c r="H27" s="958" t="n">
        <v>100000</v>
      </c>
      <c r="I27" s="947" t="n">
        <f aca="false">SUM(B27:H27)</f>
        <v>200000</v>
      </c>
      <c r="J27" s="1023"/>
      <c r="K27" s="795"/>
      <c r="L27" s="936" t="n">
        <f aca="false">A6</f>
        <v>46173</v>
      </c>
      <c r="M27" s="818"/>
      <c r="N27" s="817"/>
      <c r="O27" s="1019"/>
      <c r="P27" s="955"/>
      <c r="Q27" s="956"/>
      <c r="R27" s="957" t="n">
        <v>100000</v>
      </c>
      <c r="S27" s="958" t="n">
        <v>100000</v>
      </c>
      <c r="T27" s="947" t="n">
        <f aca="false">SUM(M27:S27)</f>
        <v>200000</v>
      </c>
      <c r="U27" s="1023"/>
    </row>
    <row r="28" customFormat="false" ht="22.5" hidden="false" customHeight="true" outlineLevel="0" collapsed="false">
      <c r="A28" s="936" t="n">
        <f aca="false">A7</f>
        <v>46203</v>
      </c>
      <c r="B28" s="818"/>
      <c r="C28" s="817"/>
      <c r="D28" s="1019"/>
      <c r="E28" s="955"/>
      <c r="F28" s="1022"/>
      <c r="G28" s="957" t="n">
        <v>100000</v>
      </c>
      <c r="H28" s="958" t="n">
        <v>100000</v>
      </c>
      <c r="I28" s="947" t="n">
        <f aca="false">SUM(B28:H28)</f>
        <v>200000</v>
      </c>
      <c r="J28" s="1023"/>
      <c r="K28" s="795"/>
      <c r="L28" s="936" t="n">
        <f aca="false">A7</f>
        <v>46203</v>
      </c>
      <c r="M28" s="818"/>
      <c r="N28" s="817"/>
      <c r="O28" s="1019"/>
      <c r="P28" s="955"/>
      <c r="Q28" s="956"/>
      <c r="R28" s="957" t="n">
        <v>100000</v>
      </c>
      <c r="S28" s="958" t="n">
        <v>100000</v>
      </c>
      <c r="T28" s="947" t="n">
        <f aca="false">SUM(M28:S28)</f>
        <v>200000</v>
      </c>
      <c r="U28" s="1023"/>
    </row>
    <row r="29" customFormat="false" ht="22.5" hidden="false" customHeight="true" outlineLevel="0" collapsed="false">
      <c r="A29" s="960" t="n">
        <f aca="false">A8</f>
        <v>46203</v>
      </c>
      <c r="B29" s="817"/>
      <c r="C29" s="817"/>
      <c r="D29" s="1019"/>
      <c r="E29" s="955"/>
      <c r="F29" s="1024"/>
      <c r="G29" s="957" t="n">
        <v>100000</v>
      </c>
      <c r="H29" s="965" t="n">
        <v>100000</v>
      </c>
      <c r="I29" s="794" t="n">
        <f aca="false">SUM(B29:H29)</f>
        <v>200000</v>
      </c>
      <c r="J29" s="1025"/>
      <c r="K29" s="795"/>
      <c r="L29" s="960" t="n">
        <f aca="false">A8</f>
        <v>46203</v>
      </c>
      <c r="M29" s="962"/>
      <c r="N29" s="962"/>
      <c r="O29" s="963"/>
      <c r="P29" s="955"/>
      <c r="Q29" s="964"/>
      <c r="R29" s="957" t="n">
        <v>100000</v>
      </c>
      <c r="S29" s="965" t="n">
        <v>100000</v>
      </c>
      <c r="T29" s="794" t="n">
        <f aca="false">SUM(M29:S29)</f>
        <v>200000</v>
      </c>
      <c r="U29" s="1025"/>
    </row>
    <row r="30" customFormat="false" ht="22.5" hidden="false" customHeight="true" outlineLevel="0" collapsed="false">
      <c r="A30" s="936" t="n">
        <f aca="false">A9</f>
        <v>46234</v>
      </c>
      <c r="B30" s="818"/>
      <c r="C30" s="817"/>
      <c r="D30" s="1019"/>
      <c r="E30" s="955"/>
      <c r="F30" s="1022"/>
      <c r="G30" s="957" t="n">
        <v>100000</v>
      </c>
      <c r="H30" s="958" t="n">
        <v>100000</v>
      </c>
      <c r="I30" s="947" t="n">
        <f aca="false">SUM(B30:H30)</f>
        <v>200000</v>
      </c>
      <c r="J30" s="1023"/>
      <c r="K30" s="795"/>
      <c r="L30" s="936" t="n">
        <f aca="false">A9</f>
        <v>46234</v>
      </c>
      <c r="M30" s="1026"/>
      <c r="N30" s="825"/>
      <c r="O30" s="1027"/>
      <c r="P30" s="955"/>
      <c r="Q30" s="956"/>
      <c r="R30" s="957" t="n">
        <v>100000</v>
      </c>
      <c r="S30" s="958" t="n">
        <v>100000</v>
      </c>
      <c r="T30" s="947" t="n">
        <f aca="false">SUM(M30:S30)</f>
        <v>200000</v>
      </c>
      <c r="U30" s="1023"/>
    </row>
    <row r="31" customFormat="false" ht="22.5" hidden="false" customHeight="true" outlineLevel="0" collapsed="false">
      <c r="A31" s="936" t="n">
        <f aca="false">A10</f>
        <v>46265</v>
      </c>
      <c r="B31" s="818"/>
      <c r="C31" s="817"/>
      <c r="D31" s="1019"/>
      <c r="E31" s="955"/>
      <c r="F31" s="1022"/>
      <c r="G31" s="957" t="n">
        <v>100000</v>
      </c>
      <c r="H31" s="958" t="n">
        <v>100000</v>
      </c>
      <c r="I31" s="947" t="n">
        <f aca="false">SUM(B31:H31)</f>
        <v>200000</v>
      </c>
      <c r="J31" s="1023"/>
      <c r="K31" s="795"/>
      <c r="L31" s="936" t="n">
        <f aca="false">A10</f>
        <v>46265</v>
      </c>
      <c r="M31" s="1026"/>
      <c r="N31" s="825"/>
      <c r="O31" s="1027"/>
      <c r="P31" s="955"/>
      <c r="Q31" s="956"/>
      <c r="R31" s="957" t="n">
        <v>100000</v>
      </c>
      <c r="S31" s="958" t="n">
        <v>100000</v>
      </c>
      <c r="T31" s="947" t="n">
        <f aca="false">SUM(M31:S31)</f>
        <v>200000</v>
      </c>
      <c r="U31" s="1023"/>
    </row>
    <row r="32" customFormat="false" ht="22.5" hidden="false" customHeight="true" outlineLevel="0" collapsed="false">
      <c r="A32" s="936" t="n">
        <f aca="false">A11</f>
        <v>46295</v>
      </c>
      <c r="B32" s="818"/>
      <c r="C32" s="817"/>
      <c r="D32" s="1019"/>
      <c r="E32" s="955"/>
      <c r="F32" s="1022"/>
      <c r="G32" s="957" t="n">
        <v>100000</v>
      </c>
      <c r="H32" s="958" t="n">
        <v>100000</v>
      </c>
      <c r="I32" s="947" t="n">
        <f aca="false">SUM(B32:H32)</f>
        <v>200000</v>
      </c>
      <c r="J32" s="1023"/>
      <c r="K32" s="795"/>
      <c r="L32" s="936" t="n">
        <f aca="false">A11</f>
        <v>46295</v>
      </c>
      <c r="M32" s="1026"/>
      <c r="N32" s="825"/>
      <c r="O32" s="1027"/>
      <c r="P32" s="955"/>
      <c r="Q32" s="956"/>
      <c r="R32" s="957" t="n">
        <v>100000</v>
      </c>
      <c r="S32" s="958" t="n">
        <v>100000</v>
      </c>
      <c r="T32" s="947" t="n">
        <f aca="false">SUM(M32:S32)</f>
        <v>200000</v>
      </c>
      <c r="U32" s="1023"/>
    </row>
    <row r="33" customFormat="false" ht="22.5" hidden="false" customHeight="true" outlineLevel="0" collapsed="false">
      <c r="A33" s="936" t="n">
        <f aca="false">A12</f>
        <v>46326</v>
      </c>
      <c r="B33" s="818"/>
      <c r="C33" s="817"/>
      <c r="D33" s="1019"/>
      <c r="E33" s="955"/>
      <c r="F33" s="1022"/>
      <c r="G33" s="957" t="n">
        <v>100000</v>
      </c>
      <c r="H33" s="958" t="n">
        <v>100000</v>
      </c>
      <c r="I33" s="947" t="n">
        <f aca="false">SUM(B33:H33)</f>
        <v>200000</v>
      </c>
      <c r="J33" s="1028"/>
      <c r="K33" s="795"/>
      <c r="L33" s="936" t="n">
        <f aca="false">A12</f>
        <v>46326</v>
      </c>
      <c r="M33" s="825"/>
      <c r="N33" s="825"/>
      <c r="O33" s="1029"/>
      <c r="P33" s="955"/>
      <c r="Q33" s="956"/>
      <c r="R33" s="957" t="n">
        <v>100000</v>
      </c>
      <c r="S33" s="958" t="n">
        <v>100000</v>
      </c>
      <c r="T33" s="947" t="n">
        <f aca="false">SUM(M33:S33)</f>
        <v>200000</v>
      </c>
      <c r="U33" s="1028"/>
    </row>
    <row r="34" customFormat="false" ht="22.5" hidden="false" customHeight="true" outlineLevel="0" collapsed="false">
      <c r="A34" s="936" t="n">
        <f aca="false">A13</f>
        <v>46356</v>
      </c>
      <c r="B34" s="818"/>
      <c r="C34" s="817"/>
      <c r="D34" s="1019"/>
      <c r="E34" s="955"/>
      <c r="F34" s="1030"/>
      <c r="G34" s="957" t="n">
        <v>100000</v>
      </c>
      <c r="H34" s="968" t="n">
        <v>100000</v>
      </c>
      <c r="I34" s="947" t="n">
        <f aca="false">SUM(B34:H34)</f>
        <v>200000</v>
      </c>
      <c r="J34" s="1028"/>
      <c r="K34" s="795"/>
      <c r="L34" s="936" t="n">
        <f aca="false">A13</f>
        <v>46356</v>
      </c>
      <c r="M34" s="825"/>
      <c r="N34" s="825"/>
      <c r="O34" s="1029"/>
      <c r="P34" s="955"/>
      <c r="Q34" s="967"/>
      <c r="R34" s="957" t="n">
        <v>100000</v>
      </c>
      <c r="S34" s="968" t="n">
        <v>100000</v>
      </c>
      <c r="T34" s="947" t="n">
        <f aca="false">SUM(M34:S34)</f>
        <v>200000</v>
      </c>
      <c r="U34" s="1028"/>
    </row>
    <row r="35" customFormat="false" ht="22.5" hidden="false" customHeight="true" outlineLevel="0" collapsed="false">
      <c r="A35" s="960" t="n">
        <f aca="false">A14</f>
        <v>46387</v>
      </c>
      <c r="B35" s="818"/>
      <c r="C35" s="817"/>
      <c r="D35" s="1019"/>
      <c r="E35" s="955"/>
      <c r="F35" s="1031"/>
      <c r="G35" s="957" t="n">
        <v>100000</v>
      </c>
      <c r="H35" s="970" t="n">
        <v>100000</v>
      </c>
      <c r="I35" s="794" t="n">
        <f aca="false">SUM(B35:H35)</f>
        <v>200000</v>
      </c>
      <c r="J35" s="1032"/>
      <c r="K35" s="795"/>
      <c r="L35" s="960" t="n">
        <f aca="false">A14</f>
        <v>46387</v>
      </c>
      <c r="M35" s="962"/>
      <c r="N35" s="962"/>
      <c r="O35" s="963"/>
      <c r="P35" s="955"/>
      <c r="Q35" s="969"/>
      <c r="R35" s="957" t="n">
        <v>100000</v>
      </c>
      <c r="S35" s="970" t="n">
        <v>100000</v>
      </c>
      <c r="T35" s="794" t="n">
        <f aca="false">SUM(M35:S35)</f>
        <v>200000</v>
      </c>
      <c r="U35" s="1032"/>
    </row>
    <row r="36" customFormat="false" ht="22.5" hidden="false" customHeight="true" outlineLevel="0" collapsed="false">
      <c r="A36" s="936" t="n">
        <f aca="false">A15</f>
        <v>46387</v>
      </c>
      <c r="B36" s="818"/>
      <c r="C36" s="817"/>
      <c r="D36" s="1019"/>
      <c r="E36" s="955"/>
      <c r="F36" s="1030"/>
      <c r="G36" s="957" t="n">
        <v>100000</v>
      </c>
      <c r="H36" s="968" t="n">
        <v>100000</v>
      </c>
      <c r="I36" s="794" t="n">
        <f aca="false">SUM(B36:H36)</f>
        <v>200000</v>
      </c>
      <c r="J36" s="1028"/>
      <c r="K36" s="795"/>
      <c r="L36" s="936" t="n">
        <f aca="false">A15</f>
        <v>46387</v>
      </c>
      <c r="M36" s="825"/>
      <c r="N36" s="825"/>
      <c r="O36" s="1029"/>
      <c r="P36" s="955"/>
      <c r="Q36" s="967"/>
      <c r="R36" s="957" t="n">
        <v>100000</v>
      </c>
      <c r="S36" s="968" t="n">
        <v>100000</v>
      </c>
      <c r="T36" s="794" t="n">
        <f aca="false">SUM(M36:S36)</f>
        <v>200000</v>
      </c>
      <c r="U36" s="1028"/>
    </row>
    <row r="37" customFormat="false" ht="22.5" hidden="false" customHeight="true" outlineLevel="0" collapsed="false">
      <c r="A37" s="936" t="n">
        <f aca="false">A16</f>
        <v>46418</v>
      </c>
      <c r="B37" s="903"/>
      <c r="C37" s="902"/>
      <c r="D37" s="1033"/>
      <c r="E37" s="974"/>
      <c r="F37" s="1030"/>
      <c r="G37" s="975" t="n">
        <v>100000</v>
      </c>
      <c r="H37" s="968" t="n">
        <v>100000</v>
      </c>
      <c r="I37" s="794" t="n">
        <f aca="false">SUM(B37:H37)</f>
        <v>200000</v>
      </c>
      <c r="J37" s="1028"/>
      <c r="K37" s="795"/>
      <c r="L37" s="936" t="n">
        <f aca="false">A16</f>
        <v>46418</v>
      </c>
      <c r="M37" s="825"/>
      <c r="N37" s="825"/>
      <c r="O37" s="1029"/>
      <c r="P37" s="974"/>
      <c r="Q37" s="967"/>
      <c r="R37" s="975" t="n">
        <v>100000</v>
      </c>
      <c r="S37" s="968" t="n">
        <v>100000</v>
      </c>
      <c r="T37" s="794" t="n">
        <f aca="false">SUM(M37:S37)</f>
        <v>200000</v>
      </c>
      <c r="U37" s="1028"/>
    </row>
    <row r="38" customFormat="false" ht="22.5" hidden="false" customHeight="true" outlineLevel="0" collapsed="false">
      <c r="A38" s="936" t="n">
        <f aca="false">A17</f>
        <v>46446</v>
      </c>
      <c r="B38" s="903"/>
      <c r="C38" s="902"/>
      <c r="D38" s="1033"/>
      <c r="E38" s="974"/>
      <c r="F38" s="1030"/>
      <c r="G38" s="975" t="n">
        <v>100000</v>
      </c>
      <c r="H38" s="968" t="n">
        <v>100000</v>
      </c>
      <c r="I38" s="794" t="n">
        <f aca="false">SUM(B38:H38)</f>
        <v>200000</v>
      </c>
      <c r="J38" s="1028"/>
      <c r="K38" s="795"/>
      <c r="L38" s="936" t="n">
        <f aca="false">A17</f>
        <v>46446</v>
      </c>
      <c r="M38" s="962"/>
      <c r="N38" s="962"/>
      <c r="O38" s="963"/>
      <c r="P38" s="976"/>
      <c r="Q38" s="967"/>
      <c r="R38" s="977" t="n">
        <v>100000</v>
      </c>
      <c r="S38" s="968" t="n">
        <v>100000</v>
      </c>
      <c r="T38" s="794" t="n">
        <f aca="false">SUM(M38:S38)</f>
        <v>200000</v>
      </c>
      <c r="U38" s="1028"/>
      <c r="X38" s="861"/>
    </row>
    <row r="39" customFormat="false" ht="22.5" hidden="false" customHeight="true" outlineLevel="0" collapsed="false">
      <c r="A39" s="960" t="n">
        <f aca="false">A18</f>
        <v>46477</v>
      </c>
      <c r="B39" s="1034"/>
      <c r="C39" s="1034"/>
      <c r="D39" s="1035"/>
      <c r="E39" s="1036"/>
      <c r="F39" s="1037"/>
      <c r="G39" s="1038" t="n">
        <v>100000</v>
      </c>
      <c r="H39" s="1039" t="n">
        <v>100000</v>
      </c>
      <c r="I39" s="993" t="n">
        <f aca="false">SUM(B39:H39)</f>
        <v>200000</v>
      </c>
      <c r="J39" s="1040"/>
      <c r="K39" s="795"/>
      <c r="L39" s="960" t="n">
        <f aca="false">A18</f>
        <v>46477</v>
      </c>
      <c r="M39" s="962"/>
      <c r="N39" s="962"/>
      <c r="O39" s="982"/>
      <c r="P39" s="983"/>
      <c r="Q39" s="984"/>
      <c r="R39" s="985" t="n">
        <v>100000</v>
      </c>
      <c r="S39" s="986" t="n">
        <v>100000</v>
      </c>
      <c r="T39" s="794" t="n">
        <f aca="false">SUM(M39:S39)</f>
        <v>200000</v>
      </c>
      <c r="U39" s="1041"/>
      <c r="X39" s="861"/>
    </row>
    <row r="40" customFormat="false" ht="22.5" hidden="false" customHeight="true" outlineLevel="0" collapsed="false">
      <c r="A40" s="936" t="n">
        <f aca="false">A19</f>
        <v>46477</v>
      </c>
      <c r="B40" s="1034"/>
      <c r="C40" s="1034"/>
      <c r="D40" s="1035"/>
      <c r="E40" s="1036"/>
      <c r="F40" s="1042"/>
      <c r="G40" s="1038" t="n">
        <v>100000</v>
      </c>
      <c r="H40" s="1043" t="n">
        <v>100000</v>
      </c>
      <c r="I40" s="993" t="n">
        <f aca="false">SUM(B40:H40)</f>
        <v>200000</v>
      </c>
      <c r="J40" s="1044"/>
      <c r="K40" s="795"/>
      <c r="L40" s="936" t="n">
        <f aca="false">A19</f>
        <v>46477</v>
      </c>
      <c r="M40" s="962"/>
      <c r="N40" s="962"/>
      <c r="O40" s="963"/>
      <c r="P40" s="976"/>
      <c r="Q40" s="969"/>
      <c r="R40" s="977" t="n">
        <v>100000</v>
      </c>
      <c r="S40" s="970" t="n">
        <v>100000</v>
      </c>
      <c r="T40" s="794" t="n">
        <f aca="false">SUM(M40:S40)</f>
        <v>200000</v>
      </c>
      <c r="U40" s="1032"/>
      <c r="X40" s="861"/>
    </row>
    <row r="41" customFormat="false" ht="22.5" hidden="false" customHeight="true" outlineLevel="0" collapsed="false">
      <c r="A41" s="990" t="str">
        <f aca="false">A20</f>
        <v>差額賞与6月</v>
      </c>
      <c r="B41" s="1034"/>
      <c r="C41" s="1034"/>
      <c r="D41" s="1045"/>
      <c r="E41" s="1046"/>
      <c r="F41" s="1047"/>
      <c r="G41" s="1048" t="n">
        <v>100000</v>
      </c>
      <c r="H41" s="1049" t="n">
        <v>100000</v>
      </c>
      <c r="I41" s="993" t="n">
        <f aca="false">SUM(B41:H41)</f>
        <v>200000</v>
      </c>
      <c r="J41" s="1050"/>
      <c r="K41" s="795"/>
      <c r="L41" s="990" t="str">
        <f aca="false">A20</f>
        <v>差額賞与6月</v>
      </c>
      <c r="M41" s="904"/>
      <c r="N41" s="904"/>
      <c r="O41" s="1051"/>
      <c r="P41" s="976"/>
      <c r="Q41" s="964"/>
      <c r="R41" s="977" t="n">
        <v>100000</v>
      </c>
      <c r="S41" s="965" t="n">
        <v>100000</v>
      </c>
      <c r="T41" s="794" t="n">
        <f aca="false">SUM(M41:S41)</f>
        <v>200000</v>
      </c>
      <c r="U41" s="1025"/>
      <c r="X41" s="861"/>
    </row>
    <row r="42" customFormat="false" ht="22.5" hidden="false" customHeight="true" outlineLevel="0" collapsed="false">
      <c r="A42" s="998" t="str">
        <f aca="false">A21</f>
        <v>差額賞与12月</v>
      </c>
      <c r="B42" s="1052"/>
      <c r="C42" s="1052"/>
      <c r="D42" s="1053"/>
      <c r="E42" s="1036"/>
      <c r="F42" s="1054"/>
      <c r="G42" s="1038" t="n">
        <v>100000</v>
      </c>
      <c r="H42" s="1055" t="n">
        <v>100000</v>
      </c>
      <c r="I42" s="1001" t="n">
        <f aca="false">SUM(B42:H42)</f>
        <v>200000</v>
      </c>
      <c r="J42" s="1056"/>
      <c r="K42" s="795"/>
      <c r="L42" s="998" t="str">
        <f aca="false">A21</f>
        <v>差額賞与12月</v>
      </c>
      <c r="M42" s="1057"/>
      <c r="N42" s="1057"/>
      <c r="O42" s="1058"/>
      <c r="P42" s="983"/>
      <c r="Q42" s="1059"/>
      <c r="R42" s="985" t="n">
        <v>100000</v>
      </c>
      <c r="S42" s="1060" t="n">
        <v>100000</v>
      </c>
      <c r="T42" s="1061" t="n">
        <f aca="false">SUM(M42:S42)</f>
        <v>200000</v>
      </c>
      <c r="U42" s="1062"/>
      <c r="X42" s="861"/>
    </row>
    <row r="43" customFormat="false" ht="22.5" hidden="false" customHeight="true" outlineLevel="0" collapsed="false">
      <c r="A43" s="775" t="s">
        <v>457</v>
      </c>
      <c r="B43" s="1008" t="n">
        <f aca="false">SUM(B26:B42)</f>
        <v>0</v>
      </c>
      <c r="C43" s="1008" t="n">
        <f aca="false">SUM(C26:C42)</f>
        <v>0</v>
      </c>
      <c r="D43" s="1008" t="n">
        <f aca="false">SUM(D26:D42)</f>
        <v>0</v>
      </c>
      <c r="E43" s="1009" t="n">
        <f aca="false">SUM(E26:E42)</f>
        <v>0</v>
      </c>
      <c r="F43" s="1063" t="n">
        <f aca="false">SUM(F26:F42)</f>
        <v>0</v>
      </c>
      <c r="G43" s="1011" t="n">
        <f aca="false">SUM(G26:G42)</f>
        <v>1700000</v>
      </c>
      <c r="H43" s="1012" t="n">
        <f aca="false">SUM(H26:H42)</f>
        <v>1700000</v>
      </c>
      <c r="I43" s="1013" t="n">
        <f aca="false">SUM(B43:H43)</f>
        <v>3400000</v>
      </c>
      <c r="J43" s="1014" t="n">
        <f aca="false">SUM(J26:J42)</f>
        <v>0</v>
      </c>
      <c r="K43" s="795"/>
      <c r="L43" s="775" t="s">
        <v>457</v>
      </c>
      <c r="M43" s="1008" t="n">
        <f aca="false">SUM(M26:M42)</f>
        <v>0</v>
      </c>
      <c r="N43" s="1008" t="n">
        <f aca="false">SUM(N26:N42)</f>
        <v>0</v>
      </c>
      <c r="O43" s="1008" t="n">
        <f aca="false">SUM(O26:O42)</f>
        <v>0</v>
      </c>
      <c r="P43" s="1009" t="n">
        <f aca="false">SUM(P26:P42)</f>
        <v>0</v>
      </c>
      <c r="Q43" s="1010" t="n">
        <f aca="false">SUM(Q26:Q42)</f>
        <v>0</v>
      </c>
      <c r="R43" s="1011" t="n">
        <f aca="false">SUM(R26:R42)</f>
        <v>1700000</v>
      </c>
      <c r="S43" s="1012" t="n">
        <f aca="false">SUM(S26:S42)</f>
        <v>1700000</v>
      </c>
      <c r="T43" s="1013" t="n">
        <f aca="false">SUM(M43:S43)</f>
        <v>3400000</v>
      </c>
      <c r="U43" s="1014" t="n">
        <f aca="false">SUM(U26:U42)</f>
        <v>0</v>
      </c>
      <c r="X43" s="861"/>
    </row>
    <row r="44" customFormat="false" ht="12.75" hidden="false" customHeight="true" outlineLevel="0" collapsed="false">
      <c r="L44" s="861"/>
      <c r="P44" s="765"/>
      <c r="Q44" s="765"/>
      <c r="R44" s="765"/>
      <c r="S44" s="765"/>
      <c r="X44" s="861"/>
    </row>
    <row r="45" s="1064" customFormat="true" ht="12.75" hidden="false" customHeight="true" outlineLevel="0" collapsed="false">
      <c r="B45" s="1065"/>
      <c r="C45" s="1065"/>
      <c r="D45" s="1065"/>
      <c r="E45" s="1065"/>
      <c r="F45" s="1065"/>
      <c r="G45" s="1065"/>
      <c r="H45" s="1065"/>
      <c r="I45" s="1065"/>
      <c r="J45" s="1065"/>
      <c r="K45" s="1065"/>
      <c r="L45" s="1066"/>
      <c r="M45" s="1067" t="n">
        <v>91.5</v>
      </c>
      <c r="N45" s="1068" t="n">
        <v>7.5</v>
      </c>
      <c r="O45" s="1067" t="n">
        <v>37.41</v>
      </c>
      <c r="P45" s="1065"/>
      <c r="Q45" s="1065"/>
      <c r="R45" s="1065"/>
      <c r="S45" s="1065"/>
      <c r="V45" s="1065"/>
      <c r="W45" s="1069"/>
      <c r="X45" s="1070"/>
    </row>
    <row r="46" s="1064" customFormat="true" ht="12.75" hidden="false" customHeight="true" outlineLevel="0" collapsed="false">
      <c r="B46" s="1065"/>
      <c r="C46" s="1065"/>
      <c r="D46" s="1065"/>
      <c r="E46" s="1065"/>
      <c r="F46" s="1065"/>
      <c r="G46" s="1065"/>
      <c r="H46" s="1065"/>
      <c r="I46" s="1065"/>
      <c r="J46" s="1065"/>
      <c r="K46" s="1065"/>
      <c r="L46" s="1071" t="s">
        <v>484</v>
      </c>
      <c r="M46" s="1072" t="n">
        <f aca="false">ROUNDDOWN($L$47*M45/1000,0)</f>
        <v>45750</v>
      </c>
      <c r="N46" s="1072" t="n">
        <f aca="false">ROUNDDOWN($L$47*N45/1000,0)</f>
        <v>3750</v>
      </c>
      <c r="O46" s="1072" t="n">
        <f aca="false">ROUNDDOWN($L$47*O45/1000,0)</f>
        <v>18705</v>
      </c>
      <c r="P46" s="1073"/>
      <c r="Q46" s="1065"/>
      <c r="R46" s="1073"/>
      <c r="S46" s="1065"/>
      <c r="V46" s="1065"/>
      <c r="W46" s="1069"/>
    </row>
    <row r="47" s="1064" customFormat="true" ht="12.75" hidden="false" customHeight="true" outlineLevel="0" collapsed="false">
      <c r="B47" s="1065"/>
      <c r="C47" s="1065"/>
      <c r="D47" s="1065"/>
      <c r="E47" s="1065"/>
      <c r="F47" s="1065"/>
      <c r="G47" s="1065"/>
      <c r="H47" s="1065"/>
      <c r="I47" s="1065"/>
      <c r="J47" s="1065"/>
      <c r="K47" s="1065"/>
      <c r="L47" s="1074" t="n">
        <v>500000</v>
      </c>
      <c r="M47" s="1075"/>
      <c r="N47" s="1076"/>
      <c r="O47" s="1075"/>
      <c r="P47" s="1073"/>
      <c r="Q47" s="1065"/>
      <c r="R47" s="1073"/>
      <c r="S47" s="1065"/>
      <c r="V47" s="1065"/>
      <c r="W47" s="1069"/>
    </row>
    <row r="48" s="1064" customFormat="true" ht="12.75" hidden="false" customHeight="true" outlineLevel="0" collapsed="false">
      <c r="B48" s="1065"/>
      <c r="C48" s="1065"/>
      <c r="D48" s="1065"/>
      <c r="E48" s="1065"/>
      <c r="F48" s="1065"/>
      <c r="G48" s="1065"/>
      <c r="H48" s="1065"/>
      <c r="I48" s="1065"/>
      <c r="J48" s="1065"/>
      <c r="K48" s="1065"/>
      <c r="M48" s="1072"/>
      <c r="N48" s="1072"/>
      <c r="O48" s="1072"/>
      <c r="P48" s="1073"/>
      <c r="Q48" s="1065"/>
      <c r="R48" s="1073"/>
      <c r="S48" s="1065"/>
      <c r="V48" s="1065"/>
      <c r="W48" s="1069"/>
    </row>
    <row r="49" s="1064" customFormat="true" ht="12.75" hidden="false" customHeight="true" outlineLevel="0" collapsed="false">
      <c r="B49" s="1065"/>
      <c r="C49" s="1065"/>
      <c r="D49" s="1065"/>
      <c r="E49" s="1065"/>
      <c r="F49" s="1065"/>
      <c r="G49" s="1065"/>
      <c r="H49" s="1065"/>
      <c r="I49" s="1065"/>
      <c r="J49" s="1065"/>
      <c r="K49" s="1065"/>
      <c r="M49" s="1072"/>
      <c r="N49" s="1072"/>
      <c r="O49" s="1072"/>
      <c r="P49" s="1073"/>
      <c r="Q49" s="1065"/>
      <c r="R49" s="1073"/>
      <c r="S49" s="1065"/>
      <c r="V49" s="1065"/>
      <c r="W49" s="1069"/>
    </row>
    <row r="50" s="1064" customFormat="true" ht="12.75" hidden="false" customHeight="true" outlineLevel="0" collapsed="false">
      <c r="B50" s="1065"/>
      <c r="C50" s="1065"/>
      <c r="D50" s="1065"/>
      <c r="E50" s="1065"/>
      <c r="F50" s="1065"/>
      <c r="G50" s="1065"/>
      <c r="H50" s="1065"/>
      <c r="I50" s="1065"/>
      <c r="J50" s="1065"/>
      <c r="K50" s="1065"/>
      <c r="M50" s="1065"/>
      <c r="N50" s="1065"/>
      <c r="O50" s="1065"/>
      <c r="P50" s="1065"/>
      <c r="Q50" s="1065"/>
      <c r="R50" s="1065"/>
      <c r="S50" s="1065"/>
      <c r="V50" s="1065"/>
      <c r="W50" s="1069"/>
    </row>
    <row r="51" s="1064" customFormat="true" ht="12.75" hidden="false" customHeight="true" outlineLevel="0" collapsed="false">
      <c r="B51" s="1065"/>
      <c r="C51" s="1065"/>
      <c r="D51" s="1065"/>
      <c r="E51" s="1065"/>
      <c r="F51" s="1065"/>
      <c r="G51" s="1065"/>
      <c r="H51" s="1065"/>
      <c r="I51" s="1065"/>
      <c r="J51" s="1065"/>
      <c r="K51" s="1065"/>
      <c r="M51" s="1065"/>
      <c r="N51" s="1065"/>
      <c r="O51" s="1065"/>
      <c r="P51" s="1065"/>
      <c r="Q51" s="1065"/>
      <c r="R51" s="1065"/>
      <c r="S51" s="1065"/>
      <c r="V51" s="1065"/>
      <c r="W51" s="1069"/>
    </row>
    <row r="52" s="1064" customFormat="true" ht="12.75" hidden="false" customHeight="true" outlineLevel="0" collapsed="false">
      <c r="B52" s="1065"/>
      <c r="C52" s="1065"/>
      <c r="D52" s="1065"/>
      <c r="E52" s="1065"/>
      <c r="F52" s="1065"/>
      <c r="G52" s="1065"/>
      <c r="H52" s="1065"/>
      <c r="I52" s="1065"/>
      <c r="J52" s="1065"/>
      <c r="K52" s="1065"/>
      <c r="M52" s="1065"/>
      <c r="N52" s="1065"/>
      <c r="O52" s="1065"/>
      <c r="P52" s="1065"/>
      <c r="Q52" s="1065"/>
      <c r="R52" s="1065"/>
      <c r="S52" s="1065"/>
      <c r="V52" s="1065"/>
      <c r="W52" s="1069"/>
    </row>
    <row r="53" s="1064" customFormat="true" ht="12.75" hidden="false" customHeight="true" outlineLevel="0" collapsed="false">
      <c r="B53" s="1065"/>
      <c r="C53" s="1065"/>
      <c r="D53" s="1065"/>
      <c r="E53" s="1065"/>
      <c r="F53" s="1065"/>
      <c r="G53" s="1065"/>
      <c r="H53" s="1065"/>
      <c r="I53" s="1065"/>
      <c r="J53" s="1065"/>
      <c r="K53" s="1065"/>
      <c r="M53" s="1065"/>
      <c r="N53" s="1065"/>
      <c r="O53" s="1065"/>
      <c r="P53" s="1065"/>
      <c r="Q53" s="1065"/>
      <c r="R53" s="1065"/>
      <c r="S53" s="1065"/>
      <c r="V53" s="1065"/>
      <c r="W53" s="1069"/>
    </row>
    <row r="54" customFormat="false" ht="22.5" hidden="false" customHeight="true" outlineLevel="0" collapsed="false">
      <c r="A54" s="769" t="s">
        <v>482</v>
      </c>
      <c r="B54" s="764"/>
      <c r="C54" s="764"/>
      <c r="D54" s="764"/>
      <c r="E54" s="764"/>
      <c r="F54" s="764"/>
      <c r="G54" s="764"/>
      <c r="H54" s="764"/>
      <c r="I54" s="764"/>
      <c r="J54" s="770" t="s">
        <v>421</v>
      </c>
      <c r="K54" s="764"/>
      <c r="L54" s="769" t="s">
        <v>482</v>
      </c>
      <c r="M54" s="764"/>
      <c r="N54" s="764"/>
      <c r="O54" s="764"/>
      <c r="U54" s="770" t="s">
        <v>421</v>
      </c>
    </row>
    <row r="55" customFormat="false" ht="29.25" hidden="false" customHeight="true" outlineLevel="0" collapsed="false">
      <c r="A55" s="775" t="s">
        <v>473</v>
      </c>
      <c r="B55" s="776" t="s">
        <v>424</v>
      </c>
      <c r="C55" s="777" t="s">
        <v>425</v>
      </c>
      <c r="D55" s="776" t="s">
        <v>79</v>
      </c>
      <c r="E55" s="931" t="s">
        <v>80</v>
      </c>
      <c r="F55" s="932" t="s">
        <v>476</v>
      </c>
      <c r="G55" s="933" t="s">
        <v>477</v>
      </c>
      <c r="H55" s="934" t="s">
        <v>478</v>
      </c>
      <c r="I55" s="900" t="s">
        <v>427</v>
      </c>
      <c r="J55" s="1018" t="n">
        <f aca="false">J4</f>
        <v>46113</v>
      </c>
      <c r="K55" s="795"/>
      <c r="L55" s="775" t="s">
        <v>473</v>
      </c>
      <c r="M55" s="776" t="s">
        <v>424</v>
      </c>
      <c r="N55" s="777" t="s">
        <v>425</v>
      </c>
      <c r="O55" s="776" t="s">
        <v>79</v>
      </c>
      <c r="P55" s="931" t="s">
        <v>80</v>
      </c>
      <c r="Q55" s="932" t="s">
        <v>476</v>
      </c>
      <c r="R55" s="933" t="s">
        <v>477</v>
      </c>
      <c r="S55" s="934" t="s">
        <v>478</v>
      </c>
      <c r="T55" s="900" t="s">
        <v>427</v>
      </c>
      <c r="U55" s="1018" t="n">
        <f aca="false">J4</f>
        <v>46113</v>
      </c>
    </row>
    <row r="56" customFormat="false" ht="22.5" hidden="false" customHeight="true" outlineLevel="0" collapsed="false">
      <c r="A56" s="936" t="n">
        <f aca="false">A5</f>
        <v>46113</v>
      </c>
      <c r="B56" s="818"/>
      <c r="C56" s="818"/>
      <c r="D56" s="1019"/>
      <c r="E56" s="944"/>
      <c r="F56" s="945"/>
      <c r="G56" s="944" t="n">
        <v>100000</v>
      </c>
      <c r="H56" s="946" t="n">
        <v>100000</v>
      </c>
      <c r="I56" s="947" t="n">
        <f aca="false">SUM(B56:H56)</f>
        <v>200000</v>
      </c>
      <c r="J56" s="1021"/>
      <c r="K56" s="795"/>
      <c r="L56" s="936" t="n">
        <f aca="false">A5</f>
        <v>46113</v>
      </c>
      <c r="M56" s="818"/>
      <c r="N56" s="818"/>
      <c r="O56" s="1019"/>
      <c r="P56" s="944"/>
      <c r="Q56" s="945"/>
      <c r="R56" s="944" t="n">
        <v>100000</v>
      </c>
      <c r="S56" s="946" t="n">
        <v>100000</v>
      </c>
      <c r="T56" s="947" t="n">
        <f aca="false">SUM(M56:S56)</f>
        <v>200000</v>
      </c>
      <c r="U56" s="1021"/>
    </row>
    <row r="57" customFormat="false" ht="22.5" hidden="false" customHeight="true" outlineLevel="0" collapsed="false">
      <c r="A57" s="936" t="n">
        <f aca="false">A6</f>
        <v>46173</v>
      </c>
      <c r="B57" s="818"/>
      <c r="C57" s="817"/>
      <c r="D57" s="1019"/>
      <c r="E57" s="955"/>
      <c r="F57" s="956"/>
      <c r="G57" s="957" t="n">
        <v>100000</v>
      </c>
      <c r="H57" s="958" t="n">
        <v>100000</v>
      </c>
      <c r="I57" s="947" t="n">
        <f aca="false">SUM(B57:H57)</f>
        <v>200000</v>
      </c>
      <c r="J57" s="1023"/>
      <c r="K57" s="795"/>
      <c r="L57" s="936" t="n">
        <f aca="false">A6</f>
        <v>46173</v>
      </c>
      <c r="M57" s="818"/>
      <c r="N57" s="817"/>
      <c r="O57" s="1019"/>
      <c r="P57" s="955"/>
      <c r="Q57" s="956"/>
      <c r="R57" s="957" t="n">
        <v>100000</v>
      </c>
      <c r="S57" s="958" t="n">
        <v>100000</v>
      </c>
      <c r="T57" s="947" t="n">
        <f aca="false">SUM(M57:S57)</f>
        <v>200000</v>
      </c>
      <c r="U57" s="1023"/>
    </row>
    <row r="58" customFormat="false" ht="22.5" hidden="false" customHeight="true" outlineLevel="0" collapsed="false">
      <c r="A58" s="936" t="n">
        <f aca="false">A7</f>
        <v>46203</v>
      </c>
      <c r="B58" s="818"/>
      <c r="C58" s="817"/>
      <c r="D58" s="1019"/>
      <c r="E58" s="955"/>
      <c r="F58" s="956"/>
      <c r="G58" s="957" t="n">
        <v>100000</v>
      </c>
      <c r="H58" s="958" t="n">
        <v>100000</v>
      </c>
      <c r="I58" s="947" t="n">
        <f aca="false">SUM(B58:H58)</f>
        <v>200000</v>
      </c>
      <c r="J58" s="1023"/>
      <c r="K58" s="795"/>
      <c r="L58" s="936" t="n">
        <f aca="false">A7</f>
        <v>46203</v>
      </c>
      <c r="M58" s="818"/>
      <c r="N58" s="817"/>
      <c r="O58" s="1019"/>
      <c r="P58" s="955"/>
      <c r="Q58" s="956"/>
      <c r="R58" s="957" t="n">
        <v>100000</v>
      </c>
      <c r="S58" s="958" t="n">
        <v>100000</v>
      </c>
      <c r="T58" s="947" t="n">
        <f aca="false">SUM(M58:S58)</f>
        <v>200000</v>
      </c>
      <c r="U58" s="1023"/>
    </row>
    <row r="59" customFormat="false" ht="22.5" hidden="false" customHeight="true" outlineLevel="0" collapsed="false">
      <c r="A59" s="960" t="n">
        <f aca="false">A8</f>
        <v>46203</v>
      </c>
      <c r="B59" s="825"/>
      <c r="C59" s="825"/>
      <c r="D59" s="1029"/>
      <c r="E59" s="955"/>
      <c r="F59" s="964"/>
      <c r="G59" s="957" t="n">
        <v>100000</v>
      </c>
      <c r="H59" s="965" t="n">
        <v>100000</v>
      </c>
      <c r="I59" s="794" t="n">
        <f aca="false">SUM(B59:H59)</f>
        <v>200000</v>
      </c>
      <c r="J59" s="1025"/>
      <c r="K59" s="795"/>
      <c r="L59" s="960" t="n">
        <f aca="false">A8</f>
        <v>46203</v>
      </c>
      <c r="M59" s="825"/>
      <c r="N59" s="825"/>
      <c r="O59" s="1029"/>
      <c r="P59" s="955"/>
      <c r="Q59" s="964"/>
      <c r="R59" s="957" t="n">
        <v>100000</v>
      </c>
      <c r="S59" s="965" t="n">
        <v>100000</v>
      </c>
      <c r="T59" s="794" t="n">
        <f aca="false">SUM(M59:S59)</f>
        <v>200000</v>
      </c>
      <c r="U59" s="1025"/>
    </row>
    <row r="60" customFormat="false" ht="22.5" hidden="false" customHeight="true" outlineLevel="0" collapsed="false">
      <c r="A60" s="936" t="n">
        <f aca="false">A9</f>
        <v>46234</v>
      </c>
      <c r="B60" s="1026"/>
      <c r="C60" s="825"/>
      <c r="D60" s="1027"/>
      <c r="E60" s="955"/>
      <c r="F60" s="956"/>
      <c r="G60" s="957" t="n">
        <v>100000</v>
      </c>
      <c r="H60" s="958" t="n">
        <v>100000</v>
      </c>
      <c r="I60" s="947" t="n">
        <f aca="false">SUM(B60:H60)</f>
        <v>200000</v>
      </c>
      <c r="J60" s="1023"/>
      <c r="K60" s="795"/>
      <c r="L60" s="936" t="n">
        <f aca="false">A9</f>
        <v>46234</v>
      </c>
      <c r="M60" s="1026"/>
      <c r="N60" s="825"/>
      <c r="O60" s="1027"/>
      <c r="P60" s="955"/>
      <c r="Q60" s="956"/>
      <c r="R60" s="957" t="n">
        <v>100000</v>
      </c>
      <c r="S60" s="958" t="n">
        <v>100000</v>
      </c>
      <c r="T60" s="947" t="n">
        <f aca="false">SUM(M60:S60)</f>
        <v>200000</v>
      </c>
      <c r="U60" s="1023"/>
    </row>
    <row r="61" customFormat="false" ht="22.5" hidden="false" customHeight="true" outlineLevel="0" collapsed="false">
      <c r="A61" s="936" t="n">
        <f aca="false">A10</f>
        <v>46265</v>
      </c>
      <c r="B61" s="1026"/>
      <c r="C61" s="825"/>
      <c r="D61" s="1027"/>
      <c r="E61" s="955"/>
      <c r="F61" s="956"/>
      <c r="G61" s="957" t="n">
        <v>100000</v>
      </c>
      <c r="H61" s="958" t="n">
        <v>100000</v>
      </c>
      <c r="I61" s="947" t="n">
        <f aca="false">SUM(B61:H61)</f>
        <v>200000</v>
      </c>
      <c r="J61" s="1023"/>
      <c r="K61" s="795"/>
      <c r="L61" s="936" t="n">
        <f aca="false">A10</f>
        <v>46265</v>
      </c>
      <c r="M61" s="1026"/>
      <c r="N61" s="825"/>
      <c r="O61" s="1027"/>
      <c r="P61" s="955"/>
      <c r="Q61" s="956"/>
      <c r="R61" s="957" t="n">
        <v>100000</v>
      </c>
      <c r="S61" s="958" t="n">
        <v>100000</v>
      </c>
      <c r="T61" s="947" t="n">
        <f aca="false">SUM(M61:S61)</f>
        <v>200000</v>
      </c>
      <c r="U61" s="1023"/>
    </row>
    <row r="62" customFormat="false" ht="22.5" hidden="false" customHeight="true" outlineLevel="0" collapsed="false">
      <c r="A62" s="936" t="n">
        <f aca="false">A11</f>
        <v>46295</v>
      </c>
      <c r="B62" s="1026"/>
      <c r="C62" s="825"/>
      <c r="D62" s="1027"/>
      <c r="E62" s="955"/>
      <c r="F62" s="956"/>
      <c r="G62" s="957" t="n">
        <v>100000</v>
      </c>
      <c r="H62" s="958" t="n">
        <v>100000</v>
      </c>
      <c r="I62" s="947" t="n">
        <f aca="false">SUM(B62:H62)</f>
        <v>200000</v>
      </c>
      <c r="J62" s="1023"/>
      <c r="K62" s="795"/>
      <c r="L62" s="936" t="n">
        <f aca="false">A11</f>
        <v>46295</v>
      </c>
      <c r="M62" s="1026"/>
      <c r="N62" s="825"/>
      <c r="O62" s="1027"/>
      <c r="P62" s="955"/>
      <c r="Q62" s="956"/>
      <c r="R62" s="957" t="n">
        <v>100000</v>
      </c>
      <c r="S62" s="958" t="n">
        <v>100000</v>
      </c>
      <c r="T62" s="947" t="n">
        <f aca="false">SUM(M62:S62)</f>
        <v>200000</v>
      </c>
      <c r="U62" s="1023"/>
    </row>
    <row r="63" customFormat="false" ht="22.5" hidden="false" customHeight="true" outlineLevel="0" collapsed="false">
      <c r="A63" s="936" t="n">
        <f aca="false">A12</f>
        <v>46326</v>
      </c>
      <c r="B63" s="825"/>
      <c r="C63" s="825"/>
      <c r="D63" s="1029"/>
      <c r="E63" s="955"/>
      <c r="F63" s="956"/>
      <c r="G63" s="957" t="n">
        <v>100000</v>
      </c>
      <c r="H63" s="958" t="n">
        <v>100000</v>
      </c>
      <c r="I63" s="947" t="n">
        <f aca="false">SUM(B63:H63)</f>
        <v>200000</v>
      </c>
      <c r="J63" s="1028"/>
      <c r="K63" s="795"/>
      <c r="L63" s="936" t="n">
        <f aca="false">A12</f>
        <v>46326</v>
      </c>
      <c r="M63" s="825"/>
      <c r="N63" s="825"/>
      <c r="O63" s="1029"/>
      <c r="P63" s="955"/>
      <c r="Q63" s="956"/>
      <c r="R63" s="957" t="n">
        <v>100000</v>
      </c>
      <c r="S63" s="958" t="n">
        <v>100000</v>
      </c>
      <c r="T63" s="947" t="n">
        <f aca="false">SUM(M63:S63)</f>
        <v>200000</v>
      </c>
      <c r="U63" s="1028"/>
    </row>
    <row r="64" customFormat="false" ht="22.5" hidden="false" customHeight="true" outlineLevel="0" collapsed="false">
      <c r="A64" s="936" t="n">
        <f aca="false">A13</f>
        <v>46356</v>
      </c>
      <c r="B64" s="904"/>
      <c r="C64" s="904"/>
      <c r="D64" s="1051"/>
      <c r="E64" s="955"/>
      <c r="F64" s="967"/>
      <c r="G64" s="957" t="n">
        <v>100000</v>
      </c>
      <c r="H64" s="968" t="n">
        <v>100000</v>
      </c>
      <c r="I64" s="947" t="n">
        <f aca="false">SUM(B64:H64)</f>
        <v>200000</v>
      </c>
      <c r="J64" s="1028"/>
      <c r="K64" s="795"/>
      <c r="L64" s="936" t="n">
        <f aca="false">A13</f>
        <v>46356</v>
      </c>
      <c r="M64" s="904"/>
      <c r="N64" s="904"/>
      <c r="O64" s="1051"/>
      <c r="P64" s="955"/>
      <c r="Q64" s="967"/>
      <c r="R64" s="957" t="n">
        <v>100000</v>
      </c>
      <c r="S64" s="968" t="n">
        <v>100000</v>
      </c>
      <c r="T64" s="947" t="n">
        <f aca="false">SUM(M64:S64)</f>
        <v>200000</v>
      </c>
      <c r="U64" s="1028"/>
    </row>
    <row r="65" customFormat="false" ht="22.5" hidden="false" customHeight="true" outlineLevel="0" collapsed="false">
      <c r="A65" s="960" t="n">
        <f aca="false">A14</f>
        <v>46387</v>
      </c>
      <c r="B65" s="904"/>
      <c r="C65" s="904"/>
      <c r="D65" s="1051"/>
      <c r="E65" s="955"/>
      <c r="F65" s="969"/>
      <c r="G65" s="957" t="n">
        <v>100000</v>
      </c>
      <c r="H65" s="970" t="n">
        <v>100000</v>
      </c>
      <c r="I65" s="794" t="n">
        <f aca="false">SUM(B65:H65)</f>
        <v>200000</v>
      </c>
      <c r="J65" s="1032"/>
      <c r="K65" s="795"/>
      <c r="L65" s="960" t="n">
        <f aca="false">A14</f>
        <v>46387</v>
      </c>
      <c r="M65" s="904"/>
      <c r="N65" s="904"/>
      <c r="O65" s="1051"/>
      <c r="P65" s="955"/>
      <c r="Q65" s="969"/>
      <c r="R65" s="957" t="n">
        <v>100000</v>
      </c>
      <c r="S65" s="970" t="n">
        <v>100000</v>
      </c>
      <c r="T65" s="794" t="n">
        <f aca="false">SUM(M65:S65)</f>
        <v>200000</v>
      </c>
      <c r="U65" s="1032"/>
    </row>
    <row r="66" s="861" customFormat="true" ht="23.25" hidden="false" customHeight="true" outlineLevel="0" collapsed="false">
      <c r="A66" s="936" t="n">
        <f aca="false">A15</f>
        <v>46387</v>
      </c>
      <c r="B66" s="904"/>
      <c r="C66" s="904"/>
      <c r="D66" s="1051"/>
      <c r="E66" s="955"/>
      <c r="F66" s="967"/>
      <c r="G66" s="957" t="n">
        <v>100000</v>
      </c>
      <c r="H66" s="968" t="n">
        <v>100000</v>
      </c>
      <c r="I66" s="794" t="n">
        <f aca="false">SUM(B66:H66)</f>
        <v>200000</v>
      </c>
      <c r="J66" s="1028"/>
      <c r="K66" s="795"/>
      <c r="L66" s="936" t="n">
        <f aca="false">A15</f>
        <v>46387</v>
      </c>
      <c r="M66" s="904"/>
      <c r="N66" s="904"/>
      <c r="O66" s="1051"/>
      <c r="P66" s="955"/>
      <c r="Q66" s="967"/>
      <c r="R66" s="957" t="n">
        <v>100000</v>
      </c>
      <c r="S66" s="968" t="n">
        <v>100000</v>
      </c>
      <c r="T66" s="794" t="n">
        <f aca="false">SUM(M66:S66)</f>
        <v>200000</v>
      </c>
      <c r="U66" s="1028"/>
      <c r="V66" s="765"/>
      <c r="W66" s="766"/>
      <c r="X66" s="764"/>
    </row>
    <row r="67" s="861" customFormat="true" ht="18.75" hidden="false" customHeight="true" outlineLevel="0" collapsed="false">
      <c r="A67" s="936" t="n">
        <f aca="false">A16</f>
        <v>46418</v>
      </c>
      <c r="B67" s="904"/>
      <c r="C67" s="904"/>
      <c r="D67" s="1051"/>
      <c r="E67" s="974"/>
      <c r="F67" s="967"/>
      <c r="G67" s="975" t="n">
        <v>100000</v>
      </c>
      <c r="H67" s="968" t="n">
        <v>100000</v>
      </c>
      <c r="I67" s="794" t="n">
        <f aca="false">SUM(B67:H67)</f>
        <v>200000</v>
      </c>
      <c r="J67" s="1028"/>
      <c r="K67" s="795"/>
      <c r="L67" s="936" t="n">
        <f aca="false">A16</f>
        <v>46418</v>
      </c>
      <c r="M67" s="904"/>
      <c r="N67" s="904"/>
      <c r="O67" s="1051"/>
      <c r="P67" s="974"/>
      <c r="Q67" s="967"/>
      <c r="R67" s="975" t="n">
        <v>100000</v>
      </c>
      <c r="S67" s="968" t="n">
        <v>100000</v>
      </c>
      <c r="T67" s="794" t="n">
        <f aca="false">SUM(M67:S67)</f>
        <v>200000</v>
      </c>
      <c r="U67" s="1028"/>
      <c r="V67" s="765"/>
      <c r="W67" s="766"/>
      <c r="X67" s="764"/>
    </row>
    <row r="68" s="861" customFormat="true" ht="18.75" hidden="false" customHeight="true" outlineLevel="0" collapsed="false">
      <c r="A68" s="936" t="n">
        <f aca="false">A17</f>
        <v>46446</v>
      </c>
      <c r="B68" s="904"/>
      <c r="C68" s="904"/>
      <c r="D68" s="1051"/>
      <c r="E68" s="976"/>
      <c r="F68" s="967"/>
      <c r="G68" s="977" t="n">
        <v>100000</v>
      </c>
      <c r="H68" s="968" t="n">
        <v>100000</v>
      </c>
      <c r="I68" s="794" t="n">
        <f aca="false">SUM(B68:H68)</f>
        <v>200000</v>
      </c>
      <c r="J68" s="1028"/>
      <c r="K68" s="795"/>
      <c r="L68" s="936" t="n">
        <f aca="false">A17</f>
        <v>46446</v>
      </c>
      <c r="M68" s="904"/>
      <c r="N68" s="904"/>
      <c r="O68" s="1051"/>
      <c r="P68" s="976"/>
      <c r="Q68" s="967"/>
      <c r="R68" s="977" t="n">
        <v>100000</v>
      </c>
      <c r="S68" s="968" t="n">
        <v>100000</v>
      </c>
      <c r="T68" s="794" t="n">
        <f aca="false">SUM(M68:S68)</f>
        <v>200000</v>
      </c>
      <c r="U68" s="1028"/>
      <c r="V68" s="765"/>
      <c r="W68" s="766"/>
      <c r="X68" s="764"/>
    </row>
    <row r="69" s="861" customFormat="true" ht="18.75" hidden="false" customHeight="true" outlineLevel="0" collapsed="false">
      <c r="A69" s="960" t="n">
        <f aca="false">A18</f>
        <v>46477</v>
      </c>
      <c r="B69" s="904"/>
      <c r="C69" s="904"/>
      <c r="D69" s="1077"/>
      <c r="E69" s="983"/>
      <c r="F69" s="984"/>
      <c r="G69" s="985" t="n">
        <v>100000</v>
      </c>
      <c r="H69" s="986" t="n">
        <v>100000</v>
      </c>
      <c r="I69" s="794" t="n">
        <f aca="false">SUM(B69:H69)</f>
        <v>200000</v>
      </c>
      <c r="J69" s="1041"/>
      <c r="K69" s="795"/>
      <c r="L69" s="960" t="n">
        <f aca="false">A18</f>
        <v>46477</v>
      </c>
      <c r="M69" s="904"/>
      <c r="N69" s="904"/>
      <c r="O69" s="1077"/>
      <c r="P69" s="983"/>
      <c r="Q69" s="984"/>
      <c r="R69" s="985" t="n">
        <v>100000</v>
      </c>
      <c r="S69" s="986" t="n">
        <v>100000</v>
      </c>
      <c r="T69" s="794" t="n">
        <f aca="false">SUM(M69:S69)</f>
        <v>200000</v>
      </c>
      <c r="U69" s="1041"/>
      <c r="V69" s="765"/>
      <c r="W69" s="766"/>
      <c r="X69" s="764"/>
    </row>
    <row r="70" s="861" customFormat="true" ht="18.75" hidden="false" customHeight="true" outlineLevel="0" collapsed="false">
      <c r="A70" s="936" t="n">
        <f aca="false">A19</f>
        <v>46477</v>
      </c>
      <c r="B70" s="904"/>
      <c r="C70" s="904"/>
      <c r="D70" s="1051"/>
      <c r="E70" s="976"/>
      <c r="F70" s="969"/>
      <c r="G70" s="977" t="n">
        <v>100000</v>
      </c>
      <c r="H70" s="970" t="n">
        <v>100000</v>
      </c>
      <c r="I70" s="794" t="n">
        <f aca="false">SUM(B70:H70)</f>
        <v>200000</v>
      </c>
      <c r="J70" s="1032"/>
      <c r="K70" s="795"/>
      <c r="L70" s="936" t="n">
        <f aca="false">A19</f>
        <v>46477</v>
      </c>
      <c r="M70" s="904"/>
      <c r="N70" s="904"/>
      <c r="O70" s="1051"/>
      <c r="P70" s="976"/>
      <c r="Q70" s="969"/>
      <c r="R70" s="977" t="n">
        <v>100000</v>
      </c>
      <c r="S70" s="970" t="n">
        <v>100000</v>
      </c>
      <c r="T70" s="794" t="n">
        <f aca="false">SUM(M70:S70)</f>
        <v>200000</v>
      </c>
      <c r="U70" s="1032"/>
      <c r="V70" s="765"/>
      <c r="W70" s="766"/>
      <c r="X70" s="764"/>
    </row>
    <row r="71" s="861" customFormat="true" ht="18.75" hidden="false" customHeight="true" outlineLevel="0" collapsed="false">
      <c r="A71" s="990" t="str">
        <f aca="false">A20</f>
        <v>差額賞与6月</v>
      </c>
      <c r="B71" s="904"/>
      <c r="C71" s="904"/>
      <c r="D71" s="1051"/>
      <c r="E71" s="976"/>
      <c r="F71" s="964"/>
      <c r="G71" s="977" t="n">
        <v>100000</v>
      </c>
      <c r="H71" s="965" t="n">
        <v>100000</v>
      </c>
      <c r="I71" s="794" t="n">
        <f aca="false">SUM(B71:H71)</f>
        <v>200000</v>
      </c>
      <c r="J71" s="1025"/>
      <c r="K71" s="795"/>
      <c r="L71" s="990" t="str">
        <f aca="false">A20</f>
        <v>差額賞与6月</v>
      </c>
      <c r="M71" s="904"/>
      <c r="N71" s="904"/>
      <c r="O71" s="1051"/>
      <c r="P71" s="976"/>
      <c r="Q71" s="964"/>
      <c r="R71" s="977" t="n">
        <v>100000</v>
      </c>
      <c r="S71" s="965" t="n">
        <v>100000</v>
      </c>
      <c r="T71" s="794" t="n">
        <f aca="false">SUM(M71:S71)</f>
        <v>200000</v>
      </c>
      <c r="U71" s="1025"/>
      <c r="V71" s="765"/>
      <c r="W71" s="766"/>
      <c r="X71" s="764"/>
    </row>
    <row r="72" s="861" customFormat="true" ht="23.1" hidden="false" customHeight="true" outlineLevel="0" collapsed="false">
      <c r="A72" s="998" t="str">
        <f aca="false">A21</f>
        <v>差額賞与12月</v>
      </c>
      <c r="B72" s="1057"/>
      <c r="C72" s="1057"/>
      <c r="D72" s="1058"/>
      <c r="E72" s="983"/>
      <c r="F72" s="1059"/>
      <c r="G72" s="985" t="n">
        <v>100000</v>
      </c>
      <c r="H72" s="1060" t="n">
        <v>100000</v>
      </c>
      <c r="I72" s="1061" t="n">
        <f aca="false">SUM(B72:H72)</f>
        <v>200000</v>
      </c>
      <c r="J72" s="1062"/>
      <c r="K72" s="795"/>
      <c r="L72" s="998" t="str">
        <f aca="false">A21</f>
        <v>差額賞与12月</v>
      </c>
      <c r="M72" s="1057"/>
      <c r="N72" s="1057"/>
      <c r="O72" s="1058"/>
      <c r="P72" s="983"/>
      <c r="Q72" s="1059"/>
      <c r="R72" s="985" t="n">
        <v>100000</v>
      </c>
      <c r="S72" s="1060" t="n">
        <v>100000</v>
      </c>
      <c r="T72" s="1061" t="n">
        <f aca="false">SUM(M72:S72)</f>
        <v>200000</v>
      </c>
      <c r="U72" s="1062"/>
      <c r="V72" s="765"/>
      <c r="W72" s="766"/>
      <c r="X72" s="764"/>
    </row>
    <row r="73" s="861" customFormat="true" ht="23.1" hidden="false" customHeight="true" outlineLevel="0" collapsed="false">
      <c r="A73" s="775" t="s">
        <v>457</v>
      </c>
      <c r="B73" s="1008" t="n">
        <f aca="false">SUM(B56:B72)</f>
        <v>0</v>
      </c>
      <c r="C73" s="1008" t="n">
        <f aca="false">SUM(C56:C72)</f>
        <v>0</v>
      </c>
      <c r="D73" s="1008" t="n">
        <f aca="false">SUM(D56:D72)</f>
        <v>0</v>
      </c>
      <c r="E73" s="1009" t="n">
        <f aca="false">SUM(E56:E72)</f>
        <v>0</v>
      </c>
      <c r="F73" s="1010" t="n">
        <f aca="false">SUM(F56:F72)</f>
        <v>0</v>
      </c>
      <c r="G73" s="1011" t="n">
        <f aca="false">SUM(G56:G72)</f>
        <v>1700000</v>
      </c>
      <c r="H73" s="1012" t="n">
        <f aca="false">SUM(H56:H72)</f>
        <v>1700000</v>
      </c>
      <c r="I73" s="1013" t="n">
        <f aca="false">SUM(B73:H73)</f>
        <v>3400000</v>
      </c>
      <c r="J73" s="1014" t="n">
        <f aca="false">SUM(J56:J72)</f>
        <v>0</v>
      </c>
      <c r="K73" s="795"/>
      <c r="L73" s="775" t="s">
        <v>457</v>
      </c>
      <c r="M73" s="1008" t="n">
        <f aca="false">SUM(M56:M72)</f>
        <v>0</v>
      </c>
      <c r="N73" s="1008" t="n">
        <f aca="false">SUM(N56:N72)</f>
        <v>0</v>
      </c>
      <c r="O73" s="1008" t="n">
        <f aca="false">SUM(O56:O72)</f>
        <v>0</v>
      </c>
      <c r="P73" s="1009" t="n">
        <f aca="false">SUM(P56:P72)</f>
        <v>0</v>
      </c>
      <c r="Q73" s="1010" t="n">
        <f aca="false">SUM(Q56:Q72)</f>
        <v>0</v>
      </c>
      <c r="R73" s="1011" t="n">
        <f aca="false">SUM(R56:R72)</f>
        <v>1700000</v>
      </c>
      <c r="S73" s="1012" t="n">
        <f aca="false">SUM(S56:S72)</f>
        <v>1700000</v>
      </c>
      <c r="T73" s="1013" t="n">
        <f aca="false">SUM(M73:S73)</f>
        <v>3400000</v>
      </c>
      <c r="U73" s="1014" t="n">
        <f aca="false">SUM(U56:U72)</f>
        <v>0</v>
      </c>
      <c r="V73" s="765"/>
      <c r="W73" s="766"/>
      <c r="X73" s="764"/>
    </row>
    <row r="74" customFormat="false" ht="24.75" hidden="false" customHeight="true" outlineLevel="0" collapsed="false"/>
    <row r="75" s="861" customFormat="true" ht="22.5" hidden="false" customHeight="true" outlineLevel="0" collapsed="false">
      <c r="A75" s="769" t="s">
        <v>482</v>
      </c>
      <c r="B75" s="764"/>
      <c r="C75" s="764"/>
      <c r="D75" s="764"/>
      <c r="E75" s="764"/>
      <c r="F75" s="764"/>
      <c r="G75" s="764"/>
      <c r="H75" s="764"/>
      <c r="I75" s="764"/>
      <c r="J75" s="770" t="s">
        <v>421</v>
      </c>
      <c r="K75" s="795"/>
      <c r="L75" s="769" t="s">
        <v>482</v>
      </c>
      <c r="M75" s="764"/>
      <c r="N75" s="764"/>
      <c r="O75" s="764"/>
      <c r="P75" s="764"/>
      <c r="Q75" s="764"/>
      <c r="R75" s="764"/>
      <c r="S75" s="764"/>
      <c r="T75" s="764"/>
      <c r="U75" s="770" t="s">
        <v>421</v>
      </c>
      <c r="V75" s="765"/>
      <c r="W75" s="766"/>
      <c r="X75" s="764"/>
    </row>
    <row r="76" s="861" customFormat="true" ht="29.25" hidden="false" customHeight="true" outlineLevel="0" collapsed="false">
      <c r="A76" s="775" t="s">
        <v>473</v>
      </c>
      <c r="B76" s="776" t="s">
        <v>424</v>
      </c>
      <c r="C76" s="777" t="s">
        <v>425</v>
      </c>
      <c r="D76" s="776" t="s">
        <v>79</v>
      </c>
      <c r="E76" s="931" t="s">
        <v>80</v>
      </c>
      <c r="F76" s="932" t="s">
        <v>476</v>
      </c>
      <c r="G76" s="933" t="s">
        <v>477</v>
      </c>
      <c r="H76" s="934" t="s">
        <v>478</v>
      </c>
      <c r="I76" s="900" t="s">
        <v>427</v>
      </c>
      <c r="J76" s="1018" t="n">
        <f aca="false">J4</f>
        <v>46113</v>
      </c>
      <c r="K76" s="795"/>
      <c r="L76" s="775" t="s">
        <v>473</v>
      </c>
      <c r="M76" s="776" t="s">
        <v>424</v>
      </c>
      <c r="N76" s="777" t="s">
        <v>425</v>
      </c>
      <c r="O76" s="776" t="s">
        <v>79</v>
      </c>
      <c r="P76" s="931" t="s">
        <v>80</v>
      </c>
      <c r="Q76" s="932" t="s">
        <v>476</v>
      </c>
      <c r="R76" s="933" t="s">
        <v>477</v>
      </c>
      <c r="S76" s="934" t="s">
        <v>478</v>
      </c>
      <c r="T76" s="900" t="s">
        <v>427</v>
      </c>
      <c r="U76" s="1018" t="n">
        <f aca="false">J4</f>
        <v>46113</v>
      </c>
      <c r="V76" s="765"/>
      <c r="W76" s="766"/>
      <c r="X76" s="764"/>
    </row>
    <row r="77" s="861" customFormat="true" ht="22.5" hidden="false" customHeight="true" outlineLevel="0" collapsed="false">
      <c r="A77" s="936" t="n">
        <f aca="false">A5</f>
        <v>46113</v>
      </c>
      <c r="B77" s="818"/>
      <c r="C77" s="818"/>
      <c r="D77" s="1019"/>
      <c r="E77" s="944"/>
      <c r="F77" s="945"/>
      <c r="G77" s="944" t="n">
        <v>100000</v>
      </c>
      <c r="H77" s="946" t="n">
        <v>100000</v>
      </c>
      <c r="I77" s="947" t="n">
        <f aca="false">SUM(B77:H77)</f>
        <v>200000</v>
      </c>
      <c r="J77" s="1021"/>
      <c r="K77" s="795"/>
      <c r="L77" s="936" t="n">
        <f aca="false">A5</f>
        <v>46113</v>
      </c>
      <c r="M77" s="818"/>
      <c r="N77" s="818"/>
      <c r="O77" s="1019"/>
      <c r="P77" s="944"/>
      <c r="Q77" s="945"/>
      <c r="R77" s="944" t="n">
        <v>100000</v>
      </c>
      <c r="S77" s="946" t="n">
        <v>100000</v>
      </c>
      <c r="T77" s="947" t="n">
        <f aca="false">SUM(M77:S77)</f>
        <v>200000</v>
      </c>
      <c r="U77" s="1021"/>
      <c r="V77" s="765"/>
      <c r="W77" s="766"/>
      <c r="X77" s="764"/>
    </row>
    <row r="78" s="861" customFormat="true" ht="22.5" hidden="false" customHeight="true" outlineLevel="0" collapsed="false">
      <c r="A78" s="936" t="n">
        <f aca="false">A6</f>
        <v>46173</v>
      </c>
      <c r="B78" s="818"/>
      <c r="C78" s="817"/>
      <c r="D78" s="1019"/>
      <c r="E78" s="955"/>
      <c r="F78" s="956"/>
      <c r="G78" s="957" t="n">
        <v>100000</v>
      </c>
      <c r="H78" s="958" t="n">
        <v>100000</v>
      </c>
      <c r="I78" s="947" t="n">
        <f aca="false">SUM(B78:H78)</f>
        <v>200000</v>
      </c>
      <c r="J78" s="1023"/>
      <c r="K78" s="795"/>
      <c r="L78" s="936" t="n">
        <f aca="false">A6</f>
        <v>46173</v>
      </c>
      <c r="M78" s="818"/>
      <c r="N78" s="817"/>
      <c r="O78" s="1019"/>
      <c r="P78" s="955"/>
      <c r="Q78" s="956"/>
      <c r="R78" s="957" t="n">
        <v>100000</v>
      </c>
      <c r="S78" s="958" t="n">
        <v>100000</v>
      </c>
      <c r="T78" s="947" t="n">
        <f aca="false">SUM(M78:S78)</f>
        <v>200000</v>
      </c>
      <c r="U78" s="1023"/>
      <c r="V78" s="765"/>
      <c r="W78" s="766"/>
      <c r="X78" s="764"/>
    </row>
    <row r="79" s="861" customFormat="true" ht="22.5" hidden="false" customHeight="true" outlineLevel="0" collapsed="false">
      <c r="A79" s="936" t="n">
        <f aca="false">A7</f>
        <v>46203</v>
      </c>
      <c r="B79" s="818"/>
      <c r="C79" s="817"/>
      <c r="D79" s="1019"/>
      <c r="E79" s="955"/>
      <c r="F79" s="956"/>
      <c r="G79" s="957" t="n">
        <v>100000</v>
      </c>
      <c r="H79" s="958" t="n">
        <v>100000</v>
      </c>
      <c r="I79" s="947" t="n">
        <f aca="false">SUM(B79:H79)</f>
        <v>200000</v>
      </c>
      <c r="J79" s="1023"/>
      <c r="K79" s="795"/>
      <c r="L79" s="936" t="n">
        <f aca="false">A7</f>
        <v>46203</v>
      </c>
      <c r="M79" s="818"/>
      <c r="N79" s="817"/>
      <c r="O79" s="1019"/>
      <c r="P79" s="955"/>
      <c r="Q79" s="956"/>
      <c r="R79" s="957" t="n">
        <v>100000</v>
      </c>
      <c r="S79" s="958" t="n">
        <v>100000</v>
      </c>
      <c r="T79" s="947" t="n">
        <f aca="false">SUM(M79:S79)</f>
        <v>200000</v>
      </c>
      <c r="U79" s="1023"/>
      <c r="V79" s="765"/>
      <c r="W79" s="766"/>
      <c r="X79" s="764"/>
    </row>
    <row r="80" s="861" customFormat="true" ht="22.5" hidden="false" customHeight="true" outlineLevel="0" collapsed="false">
      <c r="A80" s="960" t="n">
        <f aca="false">A8</f>
        <v>46203</v>
      </c>
      <c r="B80" s="825"/>
      <c r="C80" s="825"/>
      <c r="D80" s="1029"/>
      <c r="E80" s="955"/>
      <c r="F80" s="964"/>
      <c r="G80" s="957" t="n">
        <v>100000</v>
      </c>
      <c r="H80" s="965" t="n">
        <v>100000</v>
      </c>
      <c r="I80" s="794" t="n">
        <f aca="false">SUM(B80:H80)</f>
        <v>200000</v>
      </c>
      <c r="J80" s="1025"/>
      <c r="K80" s="795"/>
      <c r="L80" s="960" t="n">
        <f aca="false">A8</f>
        <v>46203</v>
      </c>
      <c r="M80" s="825"/>
      <c r="N80" s="825"/>
      <c r="O80" s="1029"/>
      <c r="P80" s="955"/>
      <c r="Q80" s="964"/>
      <c r="R80" s="957" t="n">
        <v>100000</v>
      </c>
      <c r="S80" s="965" t="n">
        <v>100000</v>
      </c>
      <c r="T80" s="794" t="n">
        <f aca="false">SUM(M80:S80)</f>
        <v>200000</v>
      </c>
      <c r="U80" s="1025"/>
      <c r="V80" s="765"/>
      <c r="W80" s="766"/>
      <c r="X80" s="764"/>
    </row>
    <row r="81" s="861" customFormat="true" ht="22.5" hidden="false" customHeight="true" outlineLevel="0" collapsed="false">
      <c r="A81" s="936" t="n">
        <f aca="false">A9</f>
        <v>46234</v>
      </c>
      <c r="B81" s="1026"/>
      <c r="C81" s="825"/>
      <c r="D81" s="1027"/>
      <c r="E81" s="955"/>
      <c r="F81" s="956"/>
      <c r="G81" s="957" t="n">
        <v>100000</v>
      </c>
      <c r="H81" s="958" t="n">
        <v>100000</v>
      </c>
      <c r="I81" s="947" t="n">
        <f aca="false">SUM(B81:H81)</f>
        <v>200000</v>
      </c>
      <c r="J81" s="1023"/>
      <c r="K81" s="795"/>
      <c r="L81" s="936" t="n">
        <f aca="false">A9</f>
        <v>46234</v>
      </c>
      <c r="M81" s="1026"/>
      <c r="N81" s="825"/>
      <c r="O81" s="1027"/>
      <c r="P81" s="955"/>
      <c r="Q81" s="956"/>
      <c r="R81" s="957" t="n">
        <v>100000</v>
      </c>
      <c r="S81" s="958" t="n">
        <v>100000</v>
      </c>
      <c r="T81" s="947" t="n">
        <f aca="false">SUM(M81:S81)</f>
        <v>200000</v>
      </c>
      <c r="U81" s="1023"/>
      <c r="V81" s="765"/>
      <c r="W81" s="766"/>
      <c r="X81" s="764"/>
    </row>
    <row r="82" s="861" customFormat="true" ht="22.5" hidden="false" customHeight="true" outlineLevel="0" collapsed="false">
      <c r="A82" s="936" t="n">
        <f aca="false">A10</f>
        <v>46265</v>
      </c>
      <c r="B82" s="1026"/>
      <c r="C82" s="825"/>
      <c r="D82" s="1027"/>
      <c r="E82" s="955"/>
      <c r="F82" s="956"/>
      <c r="G82" s="957" t="n">
        <v>100000</v>
      </c>
      <c r="H82" s="958" t="n">
        <v>100000</v>
      </c>
      <c r="I82" s="947" t="n">
        <f aca="false">SUM(B82:H82)</f>
        <v>200000</v>
      </c>
      <c r="J82" s="1023"/>
      <c r="K82" s="795"/>
      <c r="L82" s="936" t="n">
        <f aca="false">A10</f>
        <v>46265</v>
      </c>
      <c r="M82" s="1026"/>
      <c r="N82" s="825"/>
      <c r="O82" s="1027"/>
      <c r="P82" s="955"/>
      <c r="Q82" s="956"/>
      <c r="R82" s="957" t="n">
        <v>100000</v>
      </c>
      <c r="S82" s="958" t="n">
        <v>100000</v>
      </c>
      <c r="T82" s="947" t="n">
        <f aca="false">SUM(M82:S82)</f>
        <v>200000</v>
      </c>
      <c r="U82" s="1023"/>
      <c r="V82" s="765"/>
      <c r="W82" s="766"/>
      <c r="X82" s="764"/>
    </row>
    <row r="83" s="861" customFormat="true" ht="22.5" hidden="false" customHeight="true" outlineLevel="0" collapsed="false">
      <c r="A83" s="936" t="n">
        <f aca="false">A11</f>
        <v>46295</v>
      </c>
      <c r="B83" s="1026"/>
      <c r="C83" s="825"/>
      <c r="D83" s="1027"/>
      <c r="E83" s="955"/>
      <c r="F83" s="956"/>
      <c r="G83" s="957" t="n">
        <v>100000</v>
      </c>
      <c r="H83" s="958" t="n">
        <v>100000</v>
      </c>
      <c r="I83" s="947" t="n">
        <f aca="false">SUM(B83:H83)</f>
        <v>200000</v>
      </c>
      <c r="J83" s="1023"/>
      <c r="K83" s="795"/>
      <c r="L83" s="936" t="n">
        <f aca="false">A11</f>
        <v>46295</v>
      </c>
      <c r="M83" s="1026"/>
      <c r="N83" s="825"/>
      <c r="O83" s="1027"/>
      <c r="P83" s="955"/>
      <c r="Q83" s="956"/>
      <c r="R83" s="957" t="n">
        <v>100000</v>
      </c>
      <c r="S83" s="958" t="n">
        <v>100000</v>
      </c>
      <c r="T83" s="947" t="n">
        <f aca="false">SUM(M83:S83)</f>
        <v>200000</v>
      </c>
      <c r="U83" s="1023"/>
      <c r="V83" s="765"/>
      <c r="W83" s="766"/>
      <c r="X83" s="764"/>
    </row>
    <row r="84" s="861" customFormat="true" ht="22.5" hidden="false" customHeight="true" outlineLevel="0" collapsed="false">
      <c r="A84" s="936" t="n">
        <f aca="false">A12</f>
        <v>46326</v>
      </c>
      <c r="B84" s="825"/>
      <c r="C84" s="825"/>
      <c r="D84" s="1029"/>
      <c r="E84" s="955"/>
      <c r="F84" s="956"/>
      <c r="G84" s="957" t="n">
        <v>100000</v>
      </c>
      <c r="H84" s="958" t="n">
        <v>100000</v>
      </c>
      <c r="I84" s="947" t="n">
        <f aca="false">SUM(B84:H84)</f>
        <v>200000</v>
      </c>
      <c r="J84" s="1028"/>
      <c r="K84" s="795"/>
      <c r="L84" s="936" t="n">
        <f aca="false">A12</f>
        <v>46326</v>
      </c>
      <c r="M84" s="825"/>
      <c r="N84" s="825"/>
      <c r="O84" s="1029"/>
      <c r="P84" s="955"/>
      <c r="Q84" s="956"/>
      <c r="R84" s="957" t="n">
        <v>100000</v>
      </c>
      <c r="S84" s="958" t="n">
        <v>100000</v>
      </c>
      <c r="T84" s="947" t="n">
        <f aca="false">SUM(M84:S84)</f>
        <v>200000</v>
      </c>
      <c r="U84" s="1028"/>
      <c r="V84" s="765"/>
      <c r="W84" s="766"/>
      <c r="X84" s="764"/>
    </row>
    <row r="85" s="861" customFormat="true" ht="22.5" hidden="false" customHeight="true" outlineLevel="0" collapsed="false">
      <c r="A85" s="936" t="n">
        <f aca="false">A13</f>
        <v>46356</v>
      </c>
      <c r="B85" s="904"/>
      <c r="C85" s="904"/>
      <c r="D85" s="1051"/>
      <c r="E85" s="955"/>
      <c r="F85" s="967"/>
      <c r="G85" s="957" t="n">
        <v>100000</v>
      </c>
      <c r="H85" s="968" t="n">
        <v>100000</v>
      </c>
      <c r="I85" s="947" t="n">
        <f aca="false">SUM(B85:H85)</f>
        <v>200000</v>
      </c>
      <c r="J85" s="1028"/>
      <c r="K85" s="795"/>
      <c r="L85" s="936" t="n">
        <f aca="false">A13</f>
        <v>46356</v>
      </c>
      <c r="M85" s="904"/>
      <c r="N85" s="904"/>
      <c r="O85" s="1051"/>
      <c r="P85" s="955"/>
      <c r="Q85" s="967"/>
      <c r="R85" s="957" t="n">
        <v>100000</v>
      </c>
      <c r="S85" s="968" t="n">
        <v>100000</v>
      </c>
      <c r="T85" s="947" t="n">
        <f aca="false">SUM(M85:S85)</f>
        <v>200000</v>
      </c>
      <c r="U85" s="1028"/>
      <c r="V85" s="765"/>
      <c r="W85" s="766"/>
      <c r="X85" s="764"/>
    </row>
    <row r="86" customFormat="false" ht="22.5" hidden="false" customHeight="true" outlineLevel="0" collapsed="false">
      <c r="A86" s="960" t="n">
        <f aca="false">A14</f>
        <v>46387</v>
      </c>
      <c r="B86" s="904"/>
      <c r="C86" s="904"/>
      <c r="D86" s="1051"/>
      <c r="E86" s="955"/>
      <c r="F86" s="969"/>
      <c r="G86" s="957" t="n">
        <v>100000</v>
      </c>
      <c r="H86" s="970" t="n">
        <v>100000</v>
      </c>
      <c r="I86" s="794" t="n">
        <f aca="false">SUM(B86:H86)</f>
        <v>200000</v>
      </c>
      <c r="J86" s="1032"/>
      <c r="K86" s="795"/>
      <c r="L86" s="960" t="n">
        <f aca="false">A14</f>
        <v>46387</v>
      </c>
      <c r="M86" s="904"/>
      <c r="N86" s="904"/>
      <c r="O86" s="1051"/>
      <c r="P86" s="955"/>
      <c r="Q86" s="969"/>
      <c r="R86" s="957" t="n">
        <v>100000</v>
      </c>
      <c r="S86" s="970" t="n">
        <v>100000</v>
      </c>
      <c r="T86" s="794" t="n">
        <f aca="false">SUM(M86:S86)</f>
        <v>200000</v>
      </c>
      <c r="U86" s="1032"/>
    </row>
    <row r="87" customFormat="false" ht="22.5" hidden="false" customHeight="true" outlineLevel="0" collapsed="false">
      <c r="A87" s="936" t="n">
        <f aca="false">A15</f>
        <v>46387</v>
      </c>
      <c r="B87" s="904"/>
      <c r="C87" s="904"/>
      <c r="D87" s="1051"/>
      <c r="E87" s="955"/>
      <c r="F87" s="967"/>
      <c r="G87" s="957" t="n">
        <v>100000</v>
      </c>
      <c r="H87" s="968" t="n">
        <v>100000</v>
      </c>
      <c r="I87" s="794" t="n">
        <f aca="false">SUM(B87:H87)</f>
        <v>200000</v>
      </c>
      <c r="J87" s="1028"/>
      <c r="K87" s="795"/>
      <c r="L87" s="936" t="n">
        <f aca="false">A15</f>
        <v>46387</v>
      </c>
      <c r="M87" s="904"/>
      <c r="N87" s="904"/>
      <c r="O87" s="1051"/>
      <c r="P87" s="955"/>
      <c r="Q87" s="967"/>
      <c r="R87" s="957" t="n">
        <v>100000</v>
      </c>
      <c r="S87" s="968" t="n">
        <v>100000</v>
      </c>
      <c r="T87" s="794" t="n">
        <f aca="false">SUM(M87:S87)</f>
        <v>200000</v>
      </c>
      <c r="U87" s="1028"/>
    </row>
    <row r="88" customFormat="false" ht="22.5" hidden="false" customHeight="true" outlineLevel="0" collapsed="false">
      <c r="A88" s="936" t="n">
        <f aca="false">A16</f>
        <v>46418</v>
      </c>
      <c r="B88" s="904"/>
      <c r="C88" s="904"/>
      <c r="D88" s="1051"/>
      <c r="E88" s="974"/>
      <c r="F88" s="967"/>
      <c r="G88" s="975" t="n">
        <v>100000</v>
      </c>
      <c r="H88" s="968" t="n">
        <v>100000</v>
      </c>
      <c r="I88" s="794" t="n">
        <f aca="false">SUM(B88:H88)</f>
        <v>200000</v>
      </c>
      <c r="J88" s="1028"/>
      <c r="K88" s="795"/>
      <c r="L88" s="936" t="n">
        <f aca="false">A16</f>
        <v>46418</v>
      </c>
      <c r="M88" s="904"/>
      <c r="N88" s="904"/>
      <c r="O88" s="1051"/>
      <c r="P88" s="974"/>
      <c r="Q88" s="967"/>
      <c r="R88" s="975" t="n">
        <v>100000</v>
      </c>
      <c r="S88" s="968" t="n">
        <v>100000</v>
      </c>
      <c r="T88" s="794" t="n">
        <f aca="false">SUM(M88:S88)</f>
        <v>200000</v>
      </c>
      <c r="U88" s="1028"/>
    </row>
    <row r="89" customFormat="false" ht="22.5" hidden="false" customHeight="true" outlineLevel="0" collapsed="false">
      <c r="A89" s="936" t="n">
        <f aca="false">A17</f>
        <v>46446</v>
      </c>
      <c r="B89" s="904"/>
      <c r="C89" s="904"/>
      <c r="D89" s="1051"/>
      <c r="E89" s="976"/>
      <c r="F89" s="967"/>
      <c r="G89" s="977" t="n">
        <v>100000</v>
      </c>
      <c r="H89" s="968" t="n">
        <v>100000</v>
      </c>
      <c r="I89" s="794" t="n">
        <f aca="false">SUM(B89:H89)</f>
        <v>200000</v>
      </c>
      <c r="J89" s="1028"/>
      <c r="K89" s="795"/>
      <c r="L89" s="936" t="n">
        <f aca="false">A17</f>
        <v>46446</v>
      </c>
      <c r="M89" s="904"/>
      <c r="N89" s="904"/>
      <c r="O89" s="1051"/>
      <c r="P89" s="976"/>
      <c r="Q89" s="967"/>
      <c r="R89" s="977" t="n">
        <v>100000</v>
      </c>
      <c r="S89" s="968" t="n">
        <v>100000</v>
      </c>
      <c r="T89" s="794" t="n">
        <f aca="false">SUM(M89:S89)</f>
        <v>200000</v>
      </c>
      <c r="U89" s="1028"/>
    </row>
    <row r="90" customFormat="false" ht="22.5" hidden="false" customHeight="true" outlineLevel="0" collapsed="false">
      <c r="A90" s="960" t="n">
        <f aca="false">A18</f>
        <v>46477</v>
      </c>
      <c r="B90" s="904"/>
      <c r="C90" s="904"/>
      <c r="D90" s="1077"/>
      <c r="E90" s="983"/>
      <c r="F90" s="984"/>
      <c r="G90" s="985" t="n">
        <v>100000</v>
      </c>
      <c r="H90" s="986" t="n">
        <v>100000</v>
      </c>
      <c r="I90" s="794" t="n">
        <f aca="false">SUM(B90:H90)</f>
        <v>200000</v>
      </c>
      <c r="J90" s="1041"/>
      <c r="L90" s="960" t="n">
        <f aca="false">A18</f>
        <v>46477</v>
      </c>
      <c r="M90" s="904"/>
      <c r="N90" s="904"/>
      <c r="O90" s="1077"/>
      <c r="P90" s="983"/>
      <c r="Q90" s="984"/>
      <c r="R90" s="985" t="n">
        <v>100000</v>
      </c>
      <c r="S90" s="986" t="n">
        <v>100000</v>
      </c>
      <c r="T90" s="794" t="n">
        <f aca="false">SUM(M90:S90)</f>
        <v>200000</v>
      </c>
      <c r="U90" s="1041"/>
    </row>
    <row r="91" customFormat="false" ht="22.5" hidden="false" customHeight="true" outlineLevel="0" collapsed="false">
      <c r="A91" s="936" t="n">
        <f aca="false">A19</f>
        <v>46477</v>
      </c>
      <c r="B91" s="904"/>
      <c r="C91" s="904"/>
      <c r="D91" s="1051"/>
      <c r="E91" s="976"/>
      <c r="F91" s="969"/>
      <c r="G91" s="977" t="n">
        <v>100000</v>
      </c>
      <c r="H91" s="970" t="n">
        <v>100000</v>
      </c>
      <c r="I91" s="794" t="n">
        <f aca="false">SUM(B91:H91)</f>
        <v>200000</v>
      </c>
      <c r="J91" s="1032"/>
      <c r="L91" s="936" t="n">
        <f aca="false">A19</f>
        <v>46477</v>
      </c>
      <c r="M91" s="904"/>
      <c r="N91" s="904"/>
      <c r="O91" s="1051"/>
      <c r="P91" s="976"/>
      <c r="Q91" s="969"/>
      <c r="R91" s="977" t="n">
        <v>100000</v>
      </c>
      <c r="S91" s="970" t="n">
        <v>100000</v>
      </c>
      <c r="T91" s="794" t="n">
        <f aca="false">SUM(M91:S91)</f>
        <v>200000</v>
      </c>
      <c r="U91" s="1032"/>
    </row>
    <row r="92" customFormat="false" ht="22.5" hidden="false" customHeight="true" outlineLevel="0" collapsed="false">
      <c r="A92" s="990" t="str">
        <f aca="false">A20</f>
        <v>差額賞与6月</v>
      </c>
      <c r="B92" s="904"/>
      <c r="C92" s="904"/>
      <c r="D92" s="1051"/>
      <c r="E92" s="976"/>
      <c r="F92" s="964"/>
      <c r="G92" s="977" t="n">
        <v>100000</v>
      </c>
      <c r="H92" s="965" t="n">
        <v>100000</v>
      </c>
      <c r="I92" s="794" t="n">
        <f aca="false">SUM(B92:H92)</f>
        <v>200000</v>
      </c>
      <c r="J92" s="1025"/>
      <c r="L92" s="990" t="str">
        <f aca="false">A20</f>
        <v>差額賞与6月</v>
      </c>
      <c r="M92" s="904"/>
      <c r="N92" s="904"/>
      <c r="O92" s="1051"/>
      <c r="P92" s="976"/>
      <c r="Q92" s="964"/>
      <c r="R92" s="977" t="n">
        <v>100000</v>
      </c>
      <c r="S92" s="965" t="n">
        <v>100000</v>
      </c>
      <c r="T92" s="794" t="n">
        <f aca="false">SUM(M92:S92)</f>
        <v>200000</v>
      </c>
      <c r="U92" s="1025"/>
    </row>
    <row r="93" customFormat="false" ht="22.5" hidden="false" customHeight="true" outlineLevel="0" collapsed="false">
      <c r="A93" s="998" t="str">
        <f aca="false">A21</f>
        <v>差額賞与12月</v>
      </c>
      <c r="B93" s="1057"/>
      <c r="C93" s="1057"/>
      <c r="D93" s="1058"/>
      <c r="E93" s="983"/>
      <c r="F93" s="1059"/>
      <c r="G93" s="985" t="n">
        <v>100000</v>
      </c>
      <c r="H93" s="1060" t="n">
        <v>100000</v>
      </c>
      <c r="I93" s="1061" t="n">
        <f aca="false">SUM(B93:H93)</f>
        <v>200000</v>
      </c>
      <c r="J93" s="1062"/>
      <c r="L93" s="998" t="str">
        <f aca="false">A21</f>
        <v>差額賞与12月</v>
      </c>
      <c r="M93" s="1057"/>
      <c r="N93" s="1057"/>
      <c r="O93" s="1058"/>
      <c r="P93" s="983"/>
      <c r="Q93" s="1059"/>
      <c r="R93" s="985" t="n">
        <v>100000</v>
      </c>
      <c r="S93" s="1060" t="n">
        <v>100000</v>
      </c>
      <c r="T93" s="1061" t="n">
        <f aca="false">SUM(M93:S93)</f>
        <v>200000</v>
      </c>
      <c r="U93" s="1062"/>
    </row>
    <row r="94" customFormat="false" ht="22.5" hidden="false" customHeight="true" outlineLevel="0" collapsed="false">
      <c r="A94" s="775" t="s">
        <v>457</v>
      </c>
      <c r="B94" s="1008" t="n">
        <f aca="false">SUM(B77:B93)</f>
        <v>0</v>
      </c>
      <c r="C94" s="1008" t="n">
        <f aca="false">SUM(C77:C93)</f>
        <v>0</v>
      </c>
      <c r="D94" s="1008" t="n">
        <f aca="false">SUM(D77:D93)</f>
        <v>0</v>
      </c>
      <c r="E94" s="1009" t="n">
        <f aca="false">SUM(E77:E93)</f>
        <v>0</v>
      </c>
      <c r="F94" s="1010" t="n">
        <f aca="false">SUM(F77:F93)</f>
        <v>0</v>
      </c>
      <c r="G94" s="1011" t="n">
        <f aca="false">SUM(G77:G93)</f>
        <v>1700000</v>
      </c>
      <c r="H94" s="1012" t="n">
        <f aca="false">SUM(H77:H93)</f>
        <v>1700000</v>
      </c>
      <c r="I94" s="1013" t="n">
        <f aca="false">SUM(B94:H94)</f>
        <v>3400000</v>
      </c>
      <c r="J94" s="1014" t="n">
        <f aca="false">SUM(J77:J93)</f>
        <v>0</v>
      </c>
      <c r="L94" s="775" t="s">
        <v>457</v>
      </c>
      <c r="M94" s="1008" t="n">
        <f aca="false">SUM(M77:M93)</f>
        <v>0</v>
      </c>
      <c r="N94" s="1008" t="n">
        <f aca="false">SUM(N77:N93)</f>
        <v>0</v>
      </c>
      <c r="O94" s="1008" t="n">
        <f aca="false">SUM(O77:O93)</f>
        <v>0</v>
      </c>
      <c r="P94" s="1009" t="n">
        <f aca="false">SUM(P77:P93)</f>
        <v>0</v>
      </c>
      <c r="Q94" s="1010" t="n">
        <f aca="false">SUM(Q77:Q93)</f>
        <v>0</v>
      </c>
      <c r="R94" s="1011" t="n">
        <f aca="false">SUM(R77:R93)</f>
        <v>1700000</v>
      </c>
      <c r="S94" s="1012" t="n">
        <f aca="false">SUM(S77:S93)</f>
        <v>1700000</v>
      </c>
      <c r="T94" s="1013" t="n">
        <f aca="false">SUM(M94:S94)</f>
        <v>3400000</v>
      </c>
      <c r="U94" s="1014" t="n">
        <f aca="false">SUM(U77:U93)</f>
        <v>0</v>
      </c>
    </row>
    <row r="95" customFormat="false" ht="11.25" hidden="false" customHeight="true" outlineLevel="0" collapsed="false">
      <c r="A95" s="861"/>
      <c r="L95" s="861"/>
      <c r="P95" s="765"/>
      <c r="Q95" s="765"/>
      <c r="R95" s="765"/>
      <c r="S95" s="765"/>
      <c r="T95" s="765"/>
      <c r="U95" s="765"/>
    </row>
    <row r="96" s="1070" customFormat="true" ht="11.25" hidden="false" customHeight="true" outlineLevel="0" collapsed="false">
      <c r="A96" s="1078"/>
      <c r="B96" s="1075" t="n">
        <f aca="false">M45</f>
        <v>91.5</v>
      </c>
      <c r="C96" s="1075" t="n">
        <f aca="false">N45</f>
        <v>7.5</v>
      </c>
      <c r="D96" s="1075" t="n">
        <f aca="false">O45</f>
        <v>37.41</v>
      </c>
      <c r="E96" s="1065"/>
      <c r="F96" s="1065"/>
      <c r="G96" s="1065"/>
      <c r="H96" s="1065"/>
      <c r="I96" s="1065"/>
      <c r="J96" s="1065"/>
      <c r="K96" s="1072"/>
      <c r="L96" s="1078"/>
      <c r="M96" s="1075" t="n">
        <f aca="false">B96</f>
        <v>91.5</v>
      </c>
      <c r="N96" s="1075" t="n">
        <f aca="false">C96</f>
        <v>7.5</v>
      </c>
      <c r="O96" s="1075" t="n">
        <f aca="false">D96</f>
        <v>37.41</v>
      </c>
      <c r="P96" s="1065"/>
      <c r="Q96" s="1065"/>
      <c r="R96" s="1065"/>
      <c r="S96" s="1065"/>
      <c r="T96" s="1065"/>
      <c r="U96" s="1065"/>
      <c r="V96" s="1065"/>
      <c r="W96" s="1069"/>
      <c r="X96" s="1064"/>
    </row>
    <row r="97" s="1070" customFormat="true" ht="11.25" hidden="false" customHeight="true" outlineLevel="0" collapsed="false">
      <c r="A97" s="1079" t="s">
        <v>484</v>
      </c>
      <c r="B97" s="1072" t="n">
        <f aca="false">ROUNDDOWN($A$98*B96/1000,0)</f>
        <v>0</v>
      </c>
      <c r="C97" s="1072" t="n">
        <f aca="false">ROUNDDOWN($A$98*C96/1000,0)</f>
        <v>0</v>
      </c>
      <c r="D97" s="1072" t="n">
        <f aca="false">ROUNDDOWN($A$98*D96/1000,0)</f>
        <v>0</v>
      </c>
      <c r="E97" s="1073"/>
      <c r="F97" s="1073"/>
      <c r="G97" s="1073"/>
      <c r="H97" s="1073"/>
      <c r="I97" s="1073"/>
      <c r="J97" s="1065"/>
      <c r="K97" s="1072"/>
      <c r="L97" s="1079" t="s">
        <v>484</v>
      </c>
      <c r="M97" s="1072" t="n">
        <f aca="false">ROUNDDOWN($A$107*M96/1000,0)</f>
        <v>0</v>
      </c>
      <c r="N97" s="1072" t="n">
        <f aca="false">ROUNDDOWN($A$107*N96/1000,0)</f>
        <v>0</v>
      </c>
      <c r="O97" s="1072" t="n">
        <f aca="false">ROUNDDOWN($A$107*O96/1000,0)</f>
        <v>0</v>
      </c>
      <c r="P97" s="1073"/>
      <c r="Q97" s="1073"/>
      <c r="R97" s="1073"/>
      <c r="S97" s="1073"/>
      <c r="T97" s="1073"/>
      <c r="U97" s="1065"/>
      <c r="V97" s="1065"/>
      <c r="W97" s="1069"/>
      <c r="X97" s="1064"/>
    </row>
    <row r="98" s="1070" customFormat="true" ht="11.25" hidden="false" customHeight="true" outlineLevel="0" collapsed="false">
      <c r="A98" s="1080"/>
      <c r="B98" s="1075"/>
      <c r="C98" s="1076"/>
      <c r="D98" s="1075"/>
      <c r="E98" s="1073"/>
      <c r="F98" s="1073"/>
      <c r="G98" s="1073"/>
      <c r="H98" s="1073"/>
      <c r="I98" s="1073"/>
      <c r="J98" s="1065"/>
      <c r="K98" s="1072"/>
      <c r="L98" s="1080"/>
      <c r="M98" s="1075"/>
      <c r="N98" s="1076"/>
      <c r="O98" s="1075"/>
      <c r="P98" s="1073"/>
      <c r="Q98" s="1073"/>
      <c r="R98" s="1073"/>
      <c r="S98" s="1073"/>
      <c r="T98" s="1073"/>
      <c r="U98" s="1065"/>
      <c r="V98" s="1065"/>
      <c r="W98" s="1069"/>
      <c r="X98" s="1064"/>
    </row>
    <row r="99" s="1070" customFormat="true" ht="11.25" hidden="false" customHeight="true" outlineLevel="0" collapsed="false">
      <c r="A99" s="1064"/>
      <c r="B99" s="1072"/>
      <c r="C99" s="1072"/>
      <c r="D99" s="1072"/>
      <c r="E99" s="1073"/>
      <c r="F99" s="1073"/>
      <c r="G99" s="1073"/>
      <c r="H99" s="1073"/>
      <c r="I99" s="1073"/>
      <c r="J99" s="1065"/>
      <c r="K99" s="1072"/>
      <c r="L99" s="1064"/>
      <c r="M99" s="1072"/>
      <c r="N99" s="1072"/>
      <c r="O99" s="1072"/>
      <c r="P99" s="1073"/>
      <c r="Q99" s="1073"/>
      <c r="R99" s="1073"/>
      <c r="S99" s="1073"/>
      <c r="T99" s="1073"/>
      <c r="U99" s="1065"/>
      <c r="V99" s="1065"/>
      <c r="W99" s="1069"/>
      <c r="X99" s="1064"/>
    </row>
    <row r="100" s="1070" customFormat="true" ht="11.25" hidden="false" customHeight="true" outlineLevel="0" collapsed="false">
      <c r="A100" s="1064"/>
      <c r="B100" s="1072"/>
      <c r="C100" s="1072"/>
      <c r="D100" s="1072"/>
      <c r="E100" s="1073"/>
      <c r="F100" s="1073"/>
      <c r="G100" s="1073"/>
      <c r="H100" s="1073"/>
      <c r="I100" s="1073"/>
      <c r="J100" s="1065"/>
      <c r="K100" s="1072"/>
      <c r="L100" s="1064"/>
      <c r="M100" s="1072"/>
      <c r="N100" s="1072"/>
      <c r="O100" s="1072"/>
      <c r="P100" s="1073"/>
      <c r="Q100" s="1073"/>
      <c r="R100" s="1073"/>
      <c r="S100" s="1073"/>
      <c r="T100" s="1073"/>
      <c r="U100" s="1065"/>
      <c r="V100" s="1065"/>
      <c r="W100" s="1069"/>
      <c r="X100" s="1064"/>
    </row>
    <row r="101" s="1070" customFormat="true" ht="11.25" hidden="false" customHeight="true" outlineLevel="0" collapsed="false">
      <c r="A101" s="1064"/>
      <c r="B101" s="1072"/>
      <c r="C101" s="1072"/>
      <c r="D101" s="1072"/>
      <c r="E101" s="1073"/>
      <c r="F101" s="1073"/>
      <c r="G101" s="1073"/>
      <c r="H101" s="1073"/>
      <c r="I101" s="1073"/>
      <c r="J101" s="1065"/>
      <c r="K101" s="1072"/>
      <c r="L101" s="1064"/>
      <c r="M101" s="1072"/>
      <c r="N101" s="1072"/>
      <c r="O101" s="1072"/>
      <c r="P101" s="1073"/>
      <c r="Q101" s="1073"/>
      <c r="R101" s="1073"/>
      <c r="S101" s="1073"/>
      <c r="T101" s="1073"/>
      <c r="U101" s="1065"/>
      <c r="V101" s="1065"/>
      <c r="W101" s="1069"/>
      <c r="X101" s="1064"/>
    </row>
    <row r="102" s="1070" customFormat="true" ht="11.25" hidden="false" customHeight="true" outlineLevel="0" collapsed="false">
      <c r="A102" s="1064"/>
      <c r="B102" s="1072"/>
      <c r="C102" s="1072"/>
      <c r="D102" s="1072"/>
      <c r="E102" s="1073"/>
      <c r="F102" s="1073"/>
      <c r="G102" s="1073"/>
      <c r="H102" s="1073"/>
      <c r="I102" s="1073"/>
      <c r="J102" s="1065"/>
      <c r="K102" s="1072"/>
      <c r="L102" s="1064"/>
      <c r="M102" s="1072"/>
      <c r="N102" s="1072"/>
      <c r="O102" s="1072"/>
      <c r="P102" s="1073"/>
      <c r="Q102" s="1073"/>
      <c r="R102" s="1073"/>
      <c r="S102" s="1073"/>
      <c r="T102" s="1073"/>
      <c r="U102" s="1065"/>
      <c r="V102" s="1065"/>
      <c r="W102" s="1069"/>
      <c r="X102" s="1064"/>
    </row>
    <row r="103" s="1070" customFormat="true" ht="11.25" hidden="false" customHeight="true" outlineLevel="0" collapsed="false">
      <c r="A103" s="1064"/>
      <c r="B103" s="1072"/>
      <c r="C103" s="1072"/>
      <c r="D103" s="1072"/>
      <c r="E103" s="1073"/>
      <c r="F103" s="1073"/>
      <c r="G103" s="1073"/>
      <c r="H103" s="1073"/>
      <c r="I103" s="1073"/>
      <c r="J103" s="1065"/>
      <c r="K103" s="1072"/>
      <c r="L103" s="1064"/>
      <c r="M103" s="1072"/>
      <c r="N103" s="1072"/>
      <c r="O103" s="1072"/>
      <c r="P103" s="1073"/>
      <c r="Q103" s="1073"/>
      <c r="R103" s="1073"/>
      <c r="S103" s="1073"/>
      <c r="T103" s="1073"/>
      <c r="U103" s="1065"/>
      <c r="V103" s="1065"/>
      <c r="W103" s="1069"/>
      <c r="X103" s="1064"/>
    </row>
    <row r="104" s="861" customFormat="true" ht="11.25" hidden="false" customHeight="true" outlineLevel="0" collapsed="false">
      <c r="B104" s="765"/>
      <c r="C104" s="765"/>
      <c r="D104" s="765"/>
      <c r="E104" s="765"/>
      <c r="F104" s="765"/>
      <c r="G104" s="765"/>
      <c r="H104" s="765"/>
      <c r="I104" s="765"/>
      <c r="J104" s="765"/>
      <c r="K104" s="765"/>
      <c r="M104" s="765"/>
      <c r="N104" s="765"/>
      <c r="O104" s="765"/>
      <c r="P104" s="765"/>
      <c r="Q104" s="765"/>
      <c r="R104" s="765"/>
      <c r="S104" s="765"/>
      <c r="T104" s="765"/>
      <c r="U104" s="765"/>
      <c r="V104" s="765"/>
      <c r="W104" s="766"/>
      <c r="X104" s="764"/>
    </row>
    <row r="105" s="1070" customFormat="true" ht="11.25" hidden="false" customHeight="true" outlineLevel="0" collapsed="false">
      <c r="A105" s="1078"/>
      <c r="B105" s="1075" t="n">
        <f aca="false">B96</f>
        <v>91.5</v>
      </c>
      <c r="C105" s="1075" t="n">
        <f aca="false">C96</f>
        <v>7.5</v>
      </c>
      <c r="D105" s="1075" t="n">
        <f aca="false">D96</f>
        <v>37.41</v>
      </c>
      <c r="E105" s="1065"/>
      <c r="F105" s="1065"/>
      <c r="G105" s="1065"/>
      <c r="H105" s="1065"/>
      <c r="I105" s="1065"/>
      <c r="J105" s="1065"/>
      <c r="K105" s="1072"/>
      <c r="L105" s="1078"/>
      <c r="M105" s="1075" t="n">
        <f aca="false">M96</f>
        <v>91.5</v>
      </c>
      <c r="N105" s="1075" t="n">
        <f aca="false">N96</f>
        <v>7.5</v>
      </c>
      <c r="O105" s="1075" t="n">
        <f aca="false">O96</f>
        <v>37.41</v>
      </c>
      <c r="P105" s="1065"/>
      <c r="Q105" s="1065"/>
      <c r="R105" s="1065"/>
      <c r="S105" s="1065"/>
      <c r="T105" s="1065"/>
      <c r="U105" s="1065"/>
      <c r="V105" s="1065"/>
      <c r="W105" s="1069"/>
      <c r="X105" s="1064"/>
    </row>
    <row r="106" s="1070" customFormat="true" ht="11.25" hidden="false" customHeight="true" outlineLevel="0" collapsed="false">
      <c r="A106" s="1079" t="s">
        <v>484</v>
      </c>
      <c r="B106" s="1072" t="n">
        <f aca="false">ROUNDDOWN($A$107*B105/1000,0)</f>
        <v>0</v>
      </c>
      <c r="C106" s="1072" t="n">
        <f aca="false">ROUNDDOWN($A$107*C105/1000,0)</f>
        <v>0</v>
      </c>
      <c r="D106" s="1072" t="n">
        <f aca="false">ROUNDDOWN($A$107*D105/1000,0)</f>
        <v>0</v>
      </c>
      <c r="E106" s="1073"/>
      <c r="F106" s="1073"/>
      <c r="G106" s="1073"/>
      <c r="H106" s="1073"/>
      <c r="I106" s="1073"/>
      <c r="J106" s="1065"/>
      <c r="K106" s="1072"/>
      <c r="L106" s="1079" t="s">
        <v>484</v>
      </c>
      <c r="M106" s="1072" t="n">
        <f aca="false">ROUNDDOWN($A$107*M105/1000,0)</f>
        <v>0</v>
      </c>
      <c r="N106" s="1072" t="n">
        <f aca="false">ROUNDDOWN($A$107*N105/1000,0)</f>
        <v>0</v>
      </c>
      <c r="O106" s="1072" t="n">
        <f aca="false">ROUNDDOWN($A$107*O105/1000,0)</f>
        <v>0</v>
      </c>
      <c r="P106" s="1073"/>
      <c r="Q106" s="1073"/>
      <c r="R106" s="1073"/>
      <c r="S106" s="1073"/>
      <c r="T106" s="1073"/>
      <c r="U106" s="1065"/>
      <c r="V106" s="1065"/>
      <c r="W106" s="1069"/>
      <c r="X106" s="1064"/>
    </row>
    <row r="107" s="1070" customFormat="true" ht="11.25" hidden="false" customHeight="true" outlineLevel="0" collapsed="false">
      <c r="A107" s="1080"/>
      <c r="B107" s="1075"/>
      <c r="C107" s="1076"/>
      <c r="D107" s="1075"/>
      <c r="E107" s="1073"/>
      <c r="F107" s="1073"/>
      <c r="G107" s="1073"/>
      <c r="H107" s="1073"/>
      <c r="I107" s="1073"/>
      <c r="J107" s="1065"/>
      <c r="K107" s="1072"/>
      <c r="L107" s="1080"/>
      <c r="M107" s="1075"/>
      <c r="N107" s="1076"/>
      <c r="O107" s="1075"/>
      <c r="P107" s="1073"/>
      <c r="Q107" s="1073"/>
      <c r="R107" s="1073"/>
      <c r="S107" s="1073"/>
      <c r="T107" s="1073"/>
      <c r="U107" s="1065"/>
      <c r="V107" s="1065"/>
      <c r="W107" s="1069"/>
      <c r="X107" s="1064"/>
    </row>
    <row r="108" s="1070" customFormat="true" ht="11.25" hidden="false" customHeight="true" outlineLevel="0" collapsed="false">
      <c r="A108" s="1064"/>
      <c r="B108" s="1072"/>
      <c r="C108" s="1072"/>
      <c r="D108" s="1072"/>
      <c r="E108" s="1073"/>
      <c r="F108" s="1073"/>
      <c r="G108" s="1073"/>
      <c r="H108" s="1073"/>
      <c r="I108" s="1073"/>
      <c r="J108" s="1065"/>
      <c r="K108" s="1072"/>
      <c r="L108" s="1064"/>
      <c r="M108" s="1072"/>
      <c r="N108" s="1072"/>
      <c r="O108" s="1072"/>
      <c r="P108" s="1073"/>
      <c r="Q108" s="1073"/>
      <c r="R108" s="1073"/>
      <c r="S108" s="1073"/>
      <c r="T108" s="1073"/>
      <c r="U108" s="1065"/>
      <c r="V108" s="1065"/>
      <c r="W108" s="1069"/>
      <c r="X108" s="1064"/>
    </row>
    <row r="109" s="1070" customFormat="true" ht="11.25" hidden="false" customHeight="true" outlineLevel="0" collapsed="false">
      <c r="A109" s="1064"/>
      <c r="B109" s="1072"/>
      <c r="C109" s="1072"/>
      <c r="D109" s="1072"/>
      <c r="E109" s="1073"/>
      <c r="F109" s="1073"/>
      <c r="G109" s="1073"/>
      <c r="H109" s="1073"/>
      <c r="I109" s="1073"/>
      <c r="J109" s="1065"/>
      <c r="K109" s="1072"/>
      <c r="L109" s="1064"/>
      <c r="M109" s="1072"/>
      <c r="N109" s="1072"/>
      <c r="O109" s="1072"/>
      <c r="P109" s="1073"/>
      <c r="Q109" s="1073"/>
      <c r="R109" s="1073"/>
      <c r="S109" s="1073"/>
      <c r="T109" s="1073"/>
      <c r="U109" s="1065"/>
      <c r="V109" s="1065"/>
      <c r="W109" s="1069"/>
      <c r="X109" s="1064"/>
    </row>
    <row r="110" s="1070" customFormat="true" ht="11.25" hidden="false" customHeight="true" outlineLevel="0" collapsed="false">
      <c r="A110" s="1064"/>
      <c r="B110" s="1072"/>
      <c r="C110" s="1072"/>
      <c r="D110" s="1072"/>
      <c r="E110" s="1073"/>
      <c r="F110" s="1073"/>
      <c r="G110" s="1073"/>
      <c r="H110" s="1073"/>
      <c r="I110" s="1073"/>
      <c r="J110" s="1065"/>
      <c r="K110" s="1072"/>
      <c r="L110" s="1064"/>
      <c r="M110" s="1072"/>
      <c r="N110" s="1072"/>
      <c r="O110" s="1072"/>
      <c r="P110" s="1073"/>
      <c r="Q110" s="1073"/>
      <c r="R110" s="1073"/>
      <c r="S110" s="1073"/>
      <c r="T110" s="1073"/>
      <c r="U110" s="1065"/>
      <c r="V110" s="1065"/>
      <c r="W110" s="1069"/>
      <c r="X110" s="1064"/>
    </row>
    <row r="111" s="1070" customFormat="true" ht="11.25" hidden="false" customHeight="true" outlineLevel="0" collapsed="false">
      <c r="A111" s="1064"/>
      <c r="B111" s="1072"/>
      <c r="C111" s="1072"/>
      <c r="D111" s="1072"/>
      <c r="E111" s="1073"/>
      <c r="F111" s="1073"/>
      <c r="G111" s="1073"/>
      <c r="H111" s="1073"/>
      <c r="I111" s="1073"/>
      <c r="J111" s="1065"/>
      <c r="K111" s="1072"/>
      <c r="L111" s="1064"/>
      <c r="M111" s="1072"/>
      <c r="N111" s="1072"/>
      <c r="O111" s="1072"/>
      <c r="P111" s="1073"/>
      <c r="Q111" s="1073"/>
      <c r="R111" s="1073"/>
      <c r="S111" s="1073"/>
      <c r="T111" s="1073"/>
      <c r="U111" s="1065"/>
      <c r="V111" s="1065"/>
      <c r="W111" s="1069"/>
      <c r="X111" s="1064"/>
    </row>
    <row r="112" s="1070" customFormat="true" ht="11.25" hidden="false" customHeight="true" outlineLevel="0" collapsed="false">
      <c r="A112" s="1064"/>
      <c r="B112" s="1072"/>
      <c r="C112" s="1072"/>
      <c r="D112" s="1072"/>
      <c r="E112" s="1073"/>
      <c r="F112" s="1073"/>
      <c r="G112" s="1073"/>
      <c r="H112" s="1073"/>
      <c r="I112" s="1073"/>
      <c r="J112" s="1065"/>
      <c r="K112" s="1072"/>
      <c r="L112" s="1064"/>
      <c r="M112" s="1072"/>
      <c r="N112" s="1072"/>
      <c r="O112" s="1072"/>
      <c r="P112" s="1073"/>
      <c r="Q112" s="1073"/>
      <c r="R112" s="1073"/>
      <c r="S112" s="1073"/>
      <c r="T112" s="1073"/>
      <c r="U112" s="1065"/>
      <c r="V112" s="1065"/>
      <c r="W112" s="1069"/>
      <c r="X112" s="1064"/>
    </row>
    <row r="113" s="1070" customFormat="true" ht="11.25" hidden="false" customHeight="true" outlineLevel="0" collapsed="false">
      <c r="A113" s="1064"/>
      <c r="B113" s="1072"/>
      <c r="C113" s="1072"/>
      <c r="D113" s="1072"/>
      <c r="E113" s="1073"/>
      <c r="F113" s="1073"/>
      <c r="G113" s="1073"/>
      <c r="H113" s="1073"/>
      <c r="I113" s="1073"/>
      <c r="J113" s="1065"/>
      <c r="K113" s="1072"/>
      <c r="L113" s="1064"/>
      <c r="M113" s="1072"/>
      <c r="N113" s="1072"/>
      <c r="O113" s="1072"/>
      <c r="P113" s="1073"/>
      <c r="Q113" s="1073"/>
      <c r="R113" s="1073"/>
      <c r="S113" s="1073"/>
      <c r="T113" s="1073"/>
      <c r="U113" s="1065"/>
      <c r="V113" s="1065"/>
      <c r="W113" s="1069"/>
      <c r="X113" s="1064"/>
    </row>
    <row r="114" customFormat="false" ht="22.5" hidden="false" customHeight="true" outlineLevel="0" collapsed="false">
      <c r="A114" s="769" t="s">
        <v>482</v>
      </c>
      <c r="B114" s="764"/>
      <c r="C114" s="764"/>
      <c r="D114" s="764"/>
      <c r="E114" s="764"/>
      <c r="F114" s="764"/>
      <c r="G114" s="764"/>
      <c r="H114" s="764"/>
      <c r="I114" s="764"/>
      <c r="J114" s="770" t="s">
        <v>421</v>
      </c>
      <c r="K114" s="764"/>
      <c r="L114" s="769" t="s">
        <v>482</v>
      </c>
      <c r="M114" s="764"/>
      <c r="N114" s="764"/>
      <c r="O114" s="764"/>
      <c r="U114" s="770" t="s">
        <v>421</v>
      </c>
    </row>
    <row r="115" customFormat="false" ht="30" hidden="false" customHeight="true" outlineLevel="0" collapsed="false">
      <c r="A115" s="775" t="s">
        <v>473</v>
      </c>
      <c r="B115" s="776" t="s">
        <v>424</v>
      </c>
      <c r="C115" s="777" t="s">
        <v>425</v>
      </c>
      <c r="D115" s="776" t="s">
        <v>79</v>
      </c>
      <c r="E115" s="931" t="s">
        <v>80</v>
      </c>
      <c r="F115" s="932" t="s">
        <v>476</v>
      </c>
      <c r="G115" s="933" t="s">
        <v>477</v>
      </c>
      <c r="H115" s="934" t="s">
        <v>478</v>
      </c>
      <c r="I115" s="900" t="s">
        <v>427</v>
      </c>
      <c r="J115" s="1018" t="n">
        <f aca="false">J4</f>
        <v>46113</v>
      </c>
      <c r="K115" s="795"/>
      <c r="L115" s="775" t="s">
        <v>473</v>
      </c>
      <c r="M115" s="776" t="s">
        <v>424</v>
      </c>
      <c r="N115" s="777" t="s">
        <v>425</v>
      </c>
      <c r="O115" s="776" t="s">
        <v>79</v>
      </c>
      <c r="P115" s="931" t="s">
        <v>80</v>
      </c>
      <c r="Q115" s="932" t="s">
        <v>476</v>
      </c>
      <c r="R115" s="933" t="s">
        <v>477</v>
      </c>
      <c r="S115" s="934" t="s">
        <v>478</v>
      </c>
      <c r="T115" s="900" t="s">
        <v>427</v>
      </c>
      <c r="U115" s="1018" t="n">
        <f aca="false">J4</f>
        <v>46113</v>
      </c>
    </row>
    <row r="116" customFormat="false" ht="22.5" hidden="false" customHeight="true" outlineLevel="0" collapsed="false">
      <c r="A116" s="1081" t="n">
        <f aca="false">A5</f>
        <v>46113</v>
      </c>
      <c r="B116" s="818"/>
      <c r="C116" s="818"/>
      <c r="D116" s="1019"/>
      <c r="E116" s="944"/>
      <c r="F116" s="945"/>
      <c r="G116" s="944" t="n">
        <v>100000</v>
      </c>
      <c r="H116" s="946" t="n">
        <v>100000</v>
      </c>
      <c r="I116" s="947" t="n">
        <f aca="false">SUM(B116:H116)</f>
        <v>200000</v>
      </c>
      <c r="J116" s="1021"/>
      <c r="K116" s="795"/>
      <c r="L116" s="1081" t="n">
        <f aca="false">A5</f>
        <v>46113</v>
      </c>
      <c r="M116" s="818"/>
      <c r="N116" s="818"/>
      <c r="O116" s="1019"/>
      <c r="P116" s="944"/>
      <c r="Q116" s="945"/>
      <c r="R116" s="944" t="n">
        <v>100000</v>
      </c>
      <c r="S116" s="946" t="n">
        <v>100000</v>
      </c>
      <c r="T116" s="947" t="n">
        <f aca="false">SUM(M116:S116)</f>
        <v>200000</v>
      </c>
      <c r="U116" s="1021"/>
    </row>
    <row r="117" customFormat="false" ht="22.5" hidden="false" customHeight="true" outlineLevel="0" collapsed="false">
      <c r="A117" s="1081" t="n">
        <f aca="false">A6</f>
        <v>46173</v>
      </c>
      <c r="B117" s="818"/>
      <c r="C117" s="817"/>
      <c r="D117" s="1019"/>
      <c r="E117" s="955"/>
      <c r="F117" s="956"/>
      <c r="G117" s="957" t="n">
        <v>100000</v>
      </c>
      <c r="H117" s="958" t="n">
        <v>100000</v>
      </c>
      <c r="I117" s="947" t="n">
        <f aca="false">SUM(B117:H117)</f>
        <v>200000</v>
      </c>
      <c r="J117" s="1023"/>
      <c r="K117" s="795"/>
      <c r="L117" s="1081" t="n">
        <f aca="false">A6</f>
        <v>46173</v>
      </c>
      <c r="M117" s="818"/>
      <c r="N117" s="817"/>
      <c r="O117" s="1019"/>
      <c r="P117" s="955"/>
      <c r="Q117" s="956"/>
      <c r="R117" s="957" t="n">
        <v>100000</v>
      </c>
      <c r="S117" s="958" t="n">
        <v>100000</v>
      </c>
      <c r="T117" s="947" t="n">
        <f aca="false">SUM(M117:S117)</f>
        <v>200000</v>
      </c>
      <c r="U117" s="1023"/>
    </row>
    <row r="118" customFormat="false" ht="22.5" hidden="false" customHeight="true" outlineLevel="0" collapsed="false">
      <c r="A118" s="1081" t="n">
        <f aca="false">A7</f>
        <v>46203</v>
      </c>
      <c r="B118" s="818"/>
      <c r="C118" s="817"/>
      <c r="D118" s="1019"/>
      <c r="E118" s="955"/>
      <c r="F118" s="956"/>
      <c r="G118" s="957" t="n">
        <v>100000</v>
      </c>
      <c r="H118" s="958" t="n">
        <v>100000</v>
      </c>
      <c r="I118" s="947" t="n">
        <f aca="false">SUM(B118:H118)</f>
        <v>200000</v>
      </c>
      <c r="J118" s="1023"/>
      <c r="K118" s="795"/>
      <c r="L118" s="1081" t="n">
        <f aca="false">A7</f>
        <v>46203</v>
      </c>
      <c r="M118" s="818"/>
      <c r="N118" s="817"/>
      <c r="O118" s="1019"/>
      <c r="P118" s="955"/>
      <c r="Q118" s="956"/>
      <c r="R118" s="957" t="n">
        <v>100000</v>
      </c>
      <c r="S118" s="958" t="n">
        <v>100000</v>
      </c>
      <c r="T118" s="947" t="n">
        <f aca="false">SUM(M118:S118)</f>
        <v>200000</v>
      </c>
      <c r="U118" s="1023"/>
    </row>
    <row r="119" customFormat="false" ht="22.5" hidden="false" customHeight="true" outlineLevel="0" collapsed="false">
      <c r="A119" s="1081" t="n">
        <f aca="false">A8</f>
        <v>46203</v>
      </c>
      <c r="B119" s="825"/>
      <c r="C119" s="825"/>
      <c r="D119" s="1029"/>
      <c r="E119" s="955"/>
      <c r="F119" s="964"/>
      <c r="G119" s="957" t="n">
        <v>100000</v>
      </c>
      <c r="H119" s="965" t="n">
        <v>100000</v>
      </c>
      <c r="I119" s="794" t="n">
        <f aca="false">SUM(B119:H119)</f>
        <v>200000</v>
      </c>
      <c r="J119" s="1025"/>
      <c r="K119" s="795"/>
      <c r="L119" s="1081" t="n">
        <f aca="false">A8</f>
        <v>46203</v>
      </c>
      <c r="M119" s="825"/>
      <c r="N119" s="825"/>
      <c r="O119" s="1029"/>
      <c r="P119" s="955"/>
      <c r="Q119" s="964"/>
      <c r="R119" s="957" t="n">
        <v>100000</v>
      </c>
      <c r="S119" s="965" t="n">
        <v>100000</v>
      </c>
      <c r="T119" s="794" t="n">
        <f aca="false">SUM(M119:S119)</f>
        <v>200000</v>
      </c>
      <c r="U119" s="1025"/>
    </row>
    <row r="120" customFormat="false" ht="22.5" hidden="false" customHeight="true" outlineLevel="0" collapsed="false">
      <c r="A120" s="1081" t="n">
        <f aca="false">A9</f>
        <v>46234</v>
      </c>
      <c r="B120" s="1026"/>
      <c r="C120" s="825"/>
      <c r="D120" s="1027"/>
      <c r="E120" s="955"/>
      <c r="F120" s="956"/>
      <c r="G120" s="957" t="n">
        <v>100000</v>
      </c>
      <c r="H120" s="958" t="n">
        <v>100000</v>
      </c>
      <c r="I120" s="947" t="n">
        <f aca="false">SUM(B120:H120)</f>
        <v>200000</v>
      </c>
      <c r="J120" s="1023"/>
      <c r="K120" s="795"/>
      <c r="L120" s="1081" t="n">
        <f aca="false">A9</f>
        <v>46234</v>
      </c>
      <c r="M120" s="1026"/>
      <c r="N120" s="825"/>
      <c r="O120" s="1027"/>
      <c r="P120" s="955"/>
      <c r="Q120" s="956"/>
      <c r="R120" s="957" t="n">
        <v>100000</v>
      </c>
      <c r="S120" s="958" t="n">
        <v>100000</v>
      </c>
      <c r="T120" s="947" t="n">
        <f aca="false">SUM(M120:S120)</f>
        <v>200000</v>
      </c>
      <c r="U120" s="1023"/>
    </row>
    <row r="121" customFormat="false" ht="22.5" hidden="false" customHeight="true" outlineLevel="0" collapsed="false">
      <c r="A121" s="1081" t="n">
        <f aca="false">A10</f>
        <v>46265</v>
      </c>
      <c r="B121" s="1026"/>
      <c r="C121" s="825"/>
      <c r="D121" s="1027"/>
      <c r="E121" s="955"/>
      <c r="F121" s="956"/>
      <c r="G121" s="957" t="n">
        <v>100000</v>
      </c>
      <c r="H121" s="958" t="n">
        <v>100000</v>
      </c>
      <c r="I121" s="947" t="n">
        <f aca="false">SUM(B121:H121)</f>
        <v>200000</v>
      </c>
      <c r="J121" s="1023"/>
      <c r="K121" s="795"/>
      <c r="L121" s="1081" t="n">
        <f aca="false">A10</f>
        <v>46265</v>
      </c>
      <c r="M121" s="1026"/>
      <c r="N121" s="825"/>
      <c r="O121" s="1027"/>
      <c r="P121" s="955"/>
      <c r="Q121" s="956"/>
      <c r="R121" s="957" t="n">
        <v>100000</v>
      </c>
      <c r="S121" s="958" t="n">
        <v>100000</v>
      </c>
      <c r="T121" s="947" t="n">
        <f aca="false">SUM(M121:S121)</f>
        <v>200000</v>
      </c>
      <c r="U121" s="1023"/>
    </row>
    <row r="122" customFormat="false" ht="22.5" hidden="false" customHeight="true" outlineLevel="0" collapsed="false">
      <c r="A122" s="1081" t="n">
        <f aca="false">A11</f>
        <v>46295</v>
      </c>
      <c r="B122" s="1026"/>
      <c r="C122" s="825"/>
      <c r="D122" s="1027"/>
      <c r="E122" s="955"/>
      <c r="F122" s="956"/>
      <c r="G122" s="957" t="n">
        <v>100000</v>
      </c>
      <c r="H122" s="958" t="n">
        <v>100000</v>
      </c>
      <c r="I122" s="947" t="n">
        <f aca="false">SUM(B122:H122)</f>
        <v>200000</v>
      </c>
      <c r="J122" s="1023"/>
      <c r="K122" s="795"/>
      <c r="L122" s="1081" t="n">
        <f aca="false">A11</f>
        <v>46295</v>
      </c>
      <c r="M122" s="1026"/>
      <c r="N122" s="825"/>
      <c r="O122" s="1027"/>
      <c r="P122" s="955"/>
      <c r="Q122" s="956"/>
      <c r="R122" s="957" t="n">
        <v>100000</v>
      </c>
      <c r="S122" s="958" t="n">
        <v>100000</v>
      </c>
      <c r="T122" s="947" t="n">
        <f aca="false">SUM(M122:S122)</f>
        <v>200000</v>
      </c>
      <c r="U122" s="1023"/>
    </row>
    <row r="123" customFormat="false" ht="22.5" hidden="false" customHeight="true" outlineLevel="0" collapsed="false">
      <c r="A123" s="1081" t="n">
        <f aca="false">A12</f>
        <v>46326</v>
      </c>
      <c r="B123" s="825"/>
      <c r="C123" s="825"/>
      <c r="D123" s="1029"/>
      <c r="E123" s="955"/>
      <c r="F123" s="956"/>
      <c r="G123" s="957" t="n">
        <v>100000</v>
      </c>
      <c r="H123" s="958" t="n">
        <v>100000</v>
      </c>
      <c r="I123" s="947" t="n">
        <f aca="false">SUM(B123:H123)</f>
        <v>200000</v>
      </c>
      <c r="J123" s="1028"/>
      <c r="K123" s="795"/>
      <c r="L123" s="1081" t="n">
        <f aca="false">A12</f>
        <v>46326</v>
      </c>
      <c r="M123" s="825"/>
      <c r="N123" s="825"/>
      <c r="O123" s="1029"/>
      <c r="P123" s="955"/>
      <c r="Q123" s="956"/>
      <c r="R123" s="957" t="n">
        <v>100000</v>
      </c>
      <c r="S123" s="958" t="n">
        <v>100000</v>
      </c>
      <c r="T123" s="947" t="n">
        <f aca="false">SUM(M123:S123)</f>
        <v>200000</v>
      </c>
      <c r="U123" s="1028"/>
    </row>
    <row r="124" customFormat="false" ht="22.5" hidden="false" customHeight="true" outlineLevel="0" collapsed="false">
      <c r="A124" s="1081" t="n">
        <f aca="false">A13</f>
        <v>46356</v>
      </c>
      <c r="B124" s="904"/>
      <c r="C124" s="904"/>
      <c r="D124" s="1051"/>
      <c r="E124" s="955"/>
      <c r="F124" s="967"/>
      <c r="G124" s="957" t="n">
        <v>100000</v>
      </c>
      <c r="H124" s="968" t="n">
        <v>100000</v>
      </c>
      <c r="I124" s="947" t="n">
        <f aca="false">SUM(B124:H124)</f>
        <v>200000</v>
      </c>
      <c r="J124" s="1028"/>
      <c r="K124" s="795"/>
      <c r="L124" s="1081" t="n">
        <f aca="false">A13</f>
        <v>46356</v>
      </c>
      <c r="M124" s="904"/>
      <c r="N124" s="904"/>
      <c r="O124" s="1051"/>
      <c r="P124" s="955"/>
      <c r="Q124" s="967"/>
      <c r="R124" s="957" t="n">
        <v>100000</v>
      </c>
      <c r="S124" s="968" t="n">
        <v>100000</v>
      </c>
      <c r="T124" s="947" t="n">
        <f aca="false">SUM(M124:S124)</f>
        <v>200000</v>
      </c>
      <c r="U124" s="1028"/>
    </row>
    <row r="125" customFormat="false" ht="22.5" hidden="false" customHeight="true" outlineLevel="0" collapsed="false">
      <c r="A125" s="1081" t="n">
        <f aca="false">A14</f>
        <v>46387</v>
      </c>
      <c r="B125" s="904"/>
      <c r="C125" s="904"/>
      <c r="D125" s="1051"/>
      <c r="E125" s="955"/>
      <c r="F125" s="969"/>
      <c r="G125" s="957" t="n">
        <v>100000</v>
      </c>
      <c r="H125" s="970" t="n">
        <v>100000</v>
      </c>
      <c r="I125" s="794" t="n">
        <f aca="false">SUM(B125:H125)</f>
        <v>200000</v>
      </c>
      <c r="J125" s="1032"/>
      <c r="K125" s="795"/>
      <c r="L125" s="1081" t="n">
        <f aca="false">A14</f>
        <v>46387</v>
      </c>
      <c r="M125" s="904"/>
      <c r="N125" s="904"/>
      <c r="O125" s="1051"/>
      <c r="P125" s="955"/>
      <c r="Q125" s="969"/>
      <c r="R125" s="957" t="n">
        <v>100000</v>
      </c>
      <c r="S125" s="970" t="n">
        <v>100000</v>
      </c>
      <c r="T125" s="794" t="n">
        <f aca="false">SUM(M125:S125)</f>
        <v>200000</v>
      </c>
      <c r="U125" s="1032"/>
    </row>
    <row r="126" s="861" customFormat="true" ht="23.25" hidden="false" customHeight="true" outlineLevel="0" collapsed="false">
      <c r="A126" s="1081" t="n">
        <f aca="false">A15</f>
        <v>46387</v>
      </c>
      <c r="B126" s="904"/>
      <c r="C126" s="904"/>
      <c r="D126" s="1051"/>
      <c r="E126" s="955"/>
      <c r="F126" s="967"/>
      <c r="G126" s="957" t="n">
        <v>100000</v>
      </c>
      <c r="H126" s="968" t="n">
        <v>100000</v>
      </c>
      <c r="I126" s="794" t="n">
        <f aca="false">SUM(B126:H126)</f>
        <v>200000</v>
      </c>
      <c r="J126" s="1028"/>
      <c r="K126" s="795"/>
      <c r="L126" s="1081" t="n">
        <f aca="false">A15</f>
        <v>46387</v>
      </c>
      <c r="M126" s="904"/>
      <c r="N126" s="904"/>
      <c r="O126" s="1051"/>
      <c r="P126" s="955"/>
      <c r="Q126" s="967"/>
      <c r="R126" s="957" t="n">
        <v>100000</v>
      </c>
      <c r="S126" s="968" t="n">
        <v>100000</v>
      </c>
      <c r="T126" s="794" t="n">
        <f aca="false">SUM(M126:S126)</f>
        <v>200000</v>
      </c>
      <c r="U126" s="1028"/>
      <c r="V126" s="765"/>
      <c r="W126" s="766"/>
      <c r="X126" s="764"/>
    </row>
    <row r="127" s="861" customFormat="true" ht="18.75" hidden="false" customHeight="true" outlineLevel="0" collapsed="false">
      <c r="A127" s="1081" t="n">
        <f aca="false">A16</f>
        <v>46418</v>
      </c>
      <c r="B127" s="904"/>
      <c r="C127" s="904"/>
      <c r="D127" s="1051"/>
      <c r="E127" s="974"/>
      <c r="F127" s="967"/>
      <c r="G127" s="975" t="n">
        <v>100000</v>
      </c>
      <c r="H127" s="968" t="n">
        <v>100000</v>
      </c>
      <c r="I127" s="794" t="n">
        <f aca="false">SUM(B127:H127)</f>
        <v>200000</v>
      </c>
      <c r="J127" s="1028"/>
      <c r="K127" s="795"/>
      <c r="L127" s="1081" t="n">
        <f aca="false">A16</f>
        <v>46418</v>
      </c>
      <c r="M127" s="904"/>
      <c r="N127" s="904"/>
      <c r="O127" s="1051"/>
      <c r="P127" s="974"/>
      <c r="Q127" s="967"/>
      <c r="R127" s="975" t="n">
        <v>100000</v>
      </c>
      <c r="S127" s="968" t="n">
        <v>100000</v>
      </c>
      <c r="T127" s="794" t="n">
        <f aca="false">SUM(M127:S127)</f>
        <v>200000</v>
      </c>
      <c r="U127" s="1028"/>
      <c r="V127" s="765"/>
      <c r="W127" s="766"/>
      <c r="X127" s="764"/>
    </row>
    <row r="128" s="861" customFormat="true" ht="18.75" hidden="false" customHeight="true" outlineLevel="0" collapsed="false">
      <c r="A128" s="1081" t="n">
        <f aca="false">A17</f>
        <v>46446</v>
      </c>
      <c r="B128" s="904"/>
      <c r="C128" s="904"/>
      <c r="D128" s="1051"/>
      <c r="E128" s="976"/>
      <c r="F128" s="967"/>
      <c r="G128" s="977" t="n">
        <v>100000</v>
      </c>
      <c r="H128" s="968" t="n">
        <v>100000</v>
      </c>
      <c r="I128" s="794" t="n">
        <f aca="false">SUM(B128:H128)</f>
        <v>200000</v>
      </c>
      <c r="J128" s="1028"/>
      <c r="K128" s="795"/>
      <c r="L128" s="1081" t="n">
        <f aca="false">A17</f>
        <v>46446</v>
      </c>
      <c r="M128" s="904"/>
      <c r="N128" s="904"/>
      <c r="O128" s="1051"/>
      <c r="P128" s="976"/>
      <c r="Q128" s="967"/>
      <c r="R128" s="977" t="n">
        <v>100000</v>
      </c>
      <c r="S128" s="968" t="n">
        <v>100000</v>
      </c>
      <c r="T128" s="794" t="n">
        <f aca="false">SUM(M128:S128)</f>
        <v>200000</v>
      </c>
      <c r="U128" s="1028"/>
      <c r="V128" s="765"/>
      <c r="W128" s="766"/>
      <c r="X128" s="764"/>
    </row>
    <row r="129" s="861" customFormat="true" ht="18.75" hidden="false" customHeight="true" outlineLevel="0" collapsed="false">
      <c r="A129" s="1081" t="n">
        <f aca="false">A18</f>
        <v>46477</v>
      </c>
      <c r="B129" s="904"/>
      <c r="C129" s="904"/>
      <c r="D129" s="1077"/>
      <c r="E129" s="983"/>
      <c r="F129" s="984"/>
      <c r="G129" s="985" t="n">
        <v>100000</v>
      </c>
      <c r="H129" s="986" t="n">
        <v>100000</v>
      </c>
      <c r="I129" s="794" t="n">
        <f aca="false">SUM(B129:H129)</f>
        <v>200000</v>
      </c>
      <c r="J129" s="1041"/>
      <c r="K129" s="795"/>
      <c r="L129" s="1081" t="n">
        <f aca="false">A18</f>
        <v>46477</v>
      </c>
      <c r="M129" s="904"/>
      <c r="N129" s="904"/>
      <c r="O129" s="1077"/>
      <c r="P129" s="983"/>
      <c r="Q129" s="984"/>
      <c r="R129" s="985" t="n">
        <v>100000</v>
      </c>
      <c r="S129" s="986" t="n">
        <v>100000</v>
      </c>
      <c r="T129" s="794" t="n">
        <f aca="false">SUM(M129:S129)</f>
        <v>200000</v>
      </c>
      <c r="U129" s="1041"/>
      <c r="V129" s="765"/>
      <c r="W129" s="766"/>
      <c r="X129" s="764"/>
    </row>
    <row r="130" s="861" customFormat="true" ht="18.75" hidden="false" customHeight="true" outlineLevel="0" collapsed="false">
      <c r="A130" s="1081" t="n">
        <f aca="false">A19</f>
        <v>46477</v>
      </c>
      <c r="B130" s="904"/>
      <c r="C130" s="904"/>
      <c r="D130" s="1051"/>
      <c r="E130" s="976"/>
      <c r="F130" s="969"/>
      <c r="G130" s="977" t="n">
        <v>100000</v>
      </c>
      <c r="H130" s="970" t="n">
        <v>100000</v>
      </c>
      <c r="I130" s="794" t="n">
        <f aca="false">SUM(B130:H130)</f>
        <v>200000</v>
      </c>
      <c r="J130" s="1032"/>
      <c r="K130" s="795"/>
      <c r="L130" s="1081" t="n">
        <f aca="false">A19</f>
        <v>46477</v>
      </c>
      <c r="M130" s="904"/>
      <c r="N130" s="904"/>
      <c r="O130" s="1051"/>
      <c r="P130" s="976"/>
      <c r="Q130" s="969"/>
      <c r="R130" s="977" t="n">
        <v>100000</v>
      </c>
      <c r="S130" s="970" t="n">
        <v>100000</v>
      </c>
      <c r="T130" s="794" t="n">
        <f aca="false">SUM(M130:S130)</f>
        <v>200000</v>
      </c>
      <c r="U130" s="1032"/>
      <c r="V130" s="765"/>
      <c r="W130" s="766"/>
      <c r="X130" s="764"/>
    </row>
    <row r="131" s="861" customFormat="true" ht="18.75" hidden="false" customHeight="true" outlineLevel="0" collapsed="false">
      <c r="A131" s="1081" t="str">
        <f aca="false">A20</f>
        <v>差額賞与6月</v>
      </c>
      <c r="B131" s="904"/>
      <c r="C131" s="904"/>
      <c r="D131" s="1051"/>
      <c r="E131" s="976"/>
      <c r="F131" s="964"/>
      <c r="G131" s="977" t="n">
        <v>100000</v>
      </c>
      <c r="H131" s="965" t="n">
        <v>100000</v>
      </c>
      <c r="I131" s="794" t="n">
        <f aca="false">SUM(B131:H131)</f>
        <v>200000</v>
      </c>
      <c r="J131" s="1025"/>
      <c r="K131" s="795"/>
      <c r="L131" s="1081" t="str">
        <f aca="false">A20</f>
        <v>差額賞与6月</v>
      </c>
      <c r="M131" s="904"/>
      <c r="N131" s="904"/>
      <c r="O131" s="1051"/>
      <c r="P131" s="976"/>
      <c r="Q131" s="964"/>
      <c r="R131" s="977" t="n">
        <v>100000</v>
      </c>
      <c r="S131" s="965" t="n">
        <v>100000</v>
      </c>
      <c r="T131" s="794" t="n">
        <f aca="false">SUM(M131:S131)</f>
        <v>200000</v>
      </c>
      <c r="U131" s="1025"/>
      <c r="V131" s="765"/>
      <c r="W131" s="766"/>
      <c r="X131" s="764"/>
    </row>
    <row r="132" s="861" customFormat="true" ht="23.1" hidden="false" customHeight="true" outlineLevel="0" collapsed="false">
      <c r="A132" s="1081" t="str">
        <f aca="false">A21</f>
        <v>差額賞与12月</v>
      </c>
      <c r="B132" s="1057"/>
      <c r="C132" s="1057"/>
      <c r="D132" s="1058"/>
      <c r="E132" s="983"/>
      <c r="F132" s="1059"/>
      <c r="G132" s="985" t="n">
        <v>100000</v>
      </c>
      <c r="H132" s="1060" t="n">
        <v>100000</v>
      </c>
      <c r="I132" s="1061" t="n">
        <f aca="false">SUM(B132:H132)</f>
        <v>200000</v>
      </c>
      <c r="J132" s="1062"/>
      <c r="K132" s="795"/>
      <c r="L132" s="1081" t="str">
        <f aca="false">A21</f>
        <v>差額賞与12月</v>
      </c>
      <c r="M132" s="1057"/>
      <c r="N132" s="1057"/>
      <c r="O132" s="1058"/>
      <c r="P132" s="983"/>
      <c r="Q132" s="1059"/>
      <c r="R132" s="985" t="n">
        <v>100000</v>
      </c>
      <c r="S132" s="1060" t="n">
        <v>100000</v>
      </c>
      <c r="T132" s="1061" t="n">
        <f aca="false">SUM(M132:S132)</f>
        <v>200000</v>
      </c>
      <c r="U132" s="1062"/>
      <c r="V132" s="765"/>
      <c r="W132" s="766"/>
      <c r="X132" s="764"/>
    </row>
    <row r="133" s="861" customFormat="true" ht="23.1" hidden="false" customHeight="true" outlineLevel="0" collapsed="false">
      <c r="A133" s="775" t="s">
        <v>457</v>
      </c>
      <c r="B133" s="1008" t="n">
        <f aca="false">SUM(B116:B132)</f>
        <v>0</v>
      </c>
      <c r="C133" s="1008" t="n">
        <f aca="false">SUM(C116:C132)</f>
        <v>0</v>
      </c>
      <c r="D133" s="1008" t="n">
        <f aca="false">SUM(D116:D132)</f>
        <v>0</v>
      </c>
      <c r="E133" s="1009" t="n">
        <f aca="false">SUM(E116:E132)</f>
        <v>0</v>
      </c>
      <c r="F133" s="1010" t="n">
        <f aca="false">SUM(F116:F132)</f>
        <v>0</v>
      </c>
      <c r="G133" s="1011" t="n">
        <f aca="false">SUM(G116:G132)</f>
        <v>1700000</v>
      </c>
      <c r="H133" s="1012" t="n">
        <f aca="false">SUM(H116:H132)</f>
        <v>1700000</v>
      </c>
      <c r="I133" s="1013" t="n">
        <f aca="false">SUM(B133:H133)</f>
        <v>3400000</v>
      </c>
      <c r="J133" s="1014" t="n">
        <f aca="false">SUM(J116:J132)</f>
        <v>0</v>
      </c>
      <c r="K133" s="795"/>
      <c r="L133" s="775" t="s">
        <v>457</v>
      </c>
      <c r="M133" s="1008" t="n">
        <f aca="false">SUM(M116:M132)</f>
        <v>0</v>
      </c>
      <c r="N133" s="1008" t="n">
        <f aca="false">SUM(N116:N132)</f>
        <v>0</v>
      </c>
      <c r="O133" s="1008" t="n">
        <f aca="false">SUM(O116:O132)</f>
        <v>0</v>
      </c>
      <c r="P133" s="1009" t="n">
        <f aca="false">SUM(P116:P132)</f>
        <v>0</v>
      </c>
      <c r="Q133" s="1010" t="n">
        <f aca="false">SUM(Q116:Q132)</f>
        <v>0</v>
      </c>
      <c r="R133" s="1011" t="n">
        <f aca="false">SUM(R116:R132)</f>
        <v>1700000</v>
      </c>
      <c r="S133" s="1012" t="n">
        <f aca="false">SUM(S116:S132)</f>
        <v>1700000</v>
      </c>
      <c r="T133" s="1013" t="n">
        <f aca="false">SUM(M133:S133)</f>
        <v>3400000</v>
      </c>
      <c r="U133" s="1014" t="n">
        <f aca="false">SUM(U116:U132)</f>
        <v>0</v>
      </c>
      <c r="V133" s="765"/>
      <c r="W133" s="766"/>
      <c r="X133" s="764"/>
    </row>
    <row r="134" customFormat="false" ht="24.75" hidden="false" customHeight="true" outlineLevel="0" collapsed="false"/>
    <row r="135" s="861" customFormat="true" ht="22.5" hidden="false" customHeight="true" outlineLevel="0" collapsed="false">
      <c r="A135" s="769" t="s">
        <v>482</v>
      </c>
      <c r="B135" s="764"/>
      <c r="C135" s="764"/>
      <c r="D135" s="764"/>
      <c r="E135" s="764"/>
      <c r="F135" s="764"/>
      <c r="G135" s="764"/>
      <c r="H135" s="764"/>
      <c r="I135" s="764"/>
      <c r="J135" s="770" t="s">
        <v>421</v>
      </c>
      <c r="K135" s="795"/>
      <c r="L135" s="769" t="s">
        <v>482</v>
      </c>
      <c r="M135" s="764"/>
      <c r="N135" s="764"/>
      <c r="O135" s="764"/>
      <c r="P135" s="764"/>
      <c r="Q135" s="764"/>
      <c r="R135" s="764"/>
      <c r="S135" s="764"/>
      <c r="T135" s="764"/>
      <c r="U135" s="770" t="s">
        <v>421</v>
      </c>
      <c r="V135" s="765"/>
      <c r="W135" s="766"/>
      <c r="X135" s="764"/>
    </row>
    <row r="136" s="861" customFormat="true" ht="30" hidden="false" customHeight="true" outlineLevel="0" collapsed="false">
      <c r="A136" s="775" t="s">
        <v>473</v>
      </c>
      <c r="B136" s="776" t="s">
        <v>424</v>
      </c>
      <c r="C136" s="777" t="s">
        <v>425</v>
      </c>
      <c r="D136" s="776" t="s">
        <v>79</v>
      </c>
      <c r="E136" s="931" t="s">
        <v>80</v>
      </c>
      <c r="F136" s="932" t="s">
        <v>476</v>
      </c>
      <c r="G136" s="933" t="s">
        <v>477</v>
      </c>
      <c r="H136" s="934" t="s">
        <v>478</v>
      </c>
      <c r="I136" s="900" t="s">
        <v>427</v>
      </c>
      <c r="J136" s="1018" t="n">
        <f aca="false">J4</f>
        <v>46113</v>
      </c>
      <c r="K136" s="795"/>
      <c r="L136" s="775" t="s">
        <v>473</v>
      </c>
      <c r="M136" s="776" t="s">
        <v>424</v>
      </c>
      <c r="N136" s="777" t="s">
        <v>425</v>
      </c>
      <c r="O136" s="776" t="s">
        <v>79</v>
      </c>
      <c r="P136" s="931" t="s">
        <v>80</v>
      </c>
      <c r="Q136" s="932" t="s">
        <v>476</v>
      </c>
      <c r="R136" s="933" t="s">
        <v>477</v>
      </c>
      <c r="S136" s="934" t="s">
        <v>478</v>
      </c>
      <c r="T136" s="900" t="s">
        <v>427</v>
      </c>
      <c r="U136" s="1018" t="n">
        <f aca="false">J4</f>
        <v>46113</v>
      </c>
      <c r="V136" s="765"/>
      <c r="W136" s="766"/>
      <c r="X136" s="764"/>
    </row>
    <row r="137" s="861" customFormat="true" ht="22.5" hidden="false" customHeight="true" outlineLevel="0" collapsed="false">
      <c r="A137" s="1081" t="n">
        <f aca="false">A5</f>
        <v>46113</v>
      </c>
      <c r="B137" s="818"/>
      <c r="C137" s="818"/>
      <c r="D137" s="1019"/>
      <c r="E137" s="944"/>
      <c r="F137" s="945"/>
      <c r="G137" s="944" t="n">
        <v>100000</v>
      </c>
      <c r="H137" s="946" t="n">
        <v>100000</v>
      </c>
      <c r="I137" s="947" t="n">
        <f aca="false">SUM(B137:H137)</f>
        <v>200000</v>
      </c>
      <c r="J137" s="1021"/>
      <c r="K137" s="795"/>
      <c r="L137" s="1081" t="n">
        <f aca="false">A5</f>
        <v>46113</v>
      </c>
      <c r="M137" s="818"/>
      <c r="N137" s="818"/>
      <c r="O137" s="1019"/>
      <c r="P137" s="944"/>
      <c r="Q137" s="945"/>
      <c r="R137" s="944" t="n">
        <v>100000</v>
      </c>
      <c r="S137" s="946" t="n">
        <v>100000</v>
      </c>
      <c r="T137" s="947" t="n">
        <f aca="false">SUM(M137:S137)</f>
        <v>200000</v>
      </c>
      <c r="U137" s="1021"/>
      <c r="V137" s="765"/>
      <c r="W137" s="766"/>
      <c r="X137" s="764"/>
    </row>
    <row r="138" s="861" customFormat="true" ht="22.5" hidden="false" customHeight="true" outlineLevel="0" collapsed="false">
      <c r="A138" s="1081" t="n">
        <f aca="false">A6</f>
        <v>46173</v>
      </c>
      <c r="B138" s="818"/>
      <c r="C138" s="817"/>
      <c r="D138" s="1019"/>
      <c r="E138" s="955"/>
      <c r="F138" s="956"/>
      <c r="G138" s="957" t="n">
        <v>100000</v>
      </c>
      <c r="H138" s="958" t="n">
        <v>100000</v>
      </c>
      <c r="I138" s="947" t="n">
        <f aca="false">SUM(B138:H138)</f>
        <v>200000</v>
      </c>
      <c r="J138" s="1023"/>
      <c r="K138" s="795"/>
      <c r="L138" s="1081" t="n">
        <f aca="false">A6</f>
        <v>46173</v>
      </c>
      <c r="M138" s="818"/>
      <c r="N138" s="817"/>
      <c r="O138" s="1019"/>
      <c r="P138" s="955"/>
      <c r="Q138" s="956"/>
      <c r="R138" s="957" t="n">
        <v>100000</v>
      </c>
      <c r="S138" s="958" t="n">
        <v>100000</v>
      </c>
      <c r="T138" s="947" t="n">
        <f aca="false">SUM(M138:S138)</f>
        <v>200000</v>
      </c>
      <c r="U138" s="1023"/>
      <c r="V138" s="765"/>
      <c r="W138" s="766"/>
      <c r="X138" s="764"/>
    </row>
    <row r="139" s="861" customFormat="true" ht="22.5" hidden="false" customHeight="true" outlineLevel="0" collapsed="false">
      <c r="A139" s="1081" t="n">
        <f aca="false">A7</f>
        <v>46203</v>
      </c>
      <c r="B139" s="818"/>
      <c r="C139" s="817"/>
      <c r="D139" s="1019"/>
      <c r="E139" s="955"/>
      <c r="F139" s="956"/>
      <c r="G139" s="957" t="n">
        <v>100000</v>
      </c>
      <c r="H139" s="958" t="n">
        <v>100000</v>
      </c>
      <c r="I139" s="947" t="n">
        <f aca="false">SUM(B139:H139)</f>
        <v>200000</v>
      </c>
      <c r="J139" s="1023"/>
      <c r="K139" s="795"/>
      <c r="L139" s="1081" t="n">
        <f aca="false">A7</f>
        <v>46203</v>
      </c>
      <c r="M139" s="818"/>
      <c r="N139" s="817"/>
      <c r="O139" s="1019"/>
      <c r="P139" s="955"/>
      <c r="Q139" s="956"/>
      <c r="R139" s="957" t="n">
        <v>100000</v>
      </c>
      <c r="S139" s="958" t="n">
        <v>100000</v>
      </c>
      <c r="T139" s="947" t="n">
        <f aca="false">SUM(M139:S139)</f>
        <v>200000</v>
      </c>
      <c r="U139" s="1023"/>
      <c r="V139" s="765"/>
      <c r="W139" s="766"/>
      <c r="X139" s="764"/>
    </row>
    <row r="140" s="861" customFormat="true" ht="22.5" hidden="false" customHeight="true" outlineLevel="0" collapsed="false">
      <c r="A140" s="1081" t="n">
        <f aca="false">A8</f>
        <v>46203</v>
      </c>
      <c r="B140" s="825"/>
      <c r="C140" s="825"/>
      <c r="D140" s="1029"/>
      <c r="E140" s="955"/>
      <c r="F140" s="964"/>
      <c r="G140" s="957" t="n">
        <v>100000</v>
      </c>
      <c r="H140" s="965" t="n">
        <v>100000</v>
      </c>
      <c r="I140" s="794" t="n">
        <f aca="false">SUM(B140:H140)</f>
        <v>200000</v>
      </c>
      <c r="J140" s="1025"/>
      <c r="K140" s="795"/>
      <c r="L140" s="1081" t="n">
        <f aca="false">A8</f>
        <v>46203</v>
      </c>
      <c r="M140" s="825"/>
      <c r="N140" s="825"/>
      <c r="O140" s="1029"/>
      <c r="P140" s="955"/>
      <c r="Q140" s="964"/>
      <c r="R140" s="957" t="n">
        <v>100000</v>
      </c>
      <c r="S140" s="965" t="n">
        <v>100000</v>
      </c>
      <c r="T140" s="794" t="n">
        <f aca="false">SUM(M140:S140)</f>
        <v>200000</v>
      </c>
      <c r="U140" s="1025"/>
      <c r="V140" s="765"/>
      <c r="W140" s="766"/>
      <c r="X140" s="764"/>
    </row>
    <row r="141" s="861" customFormat="true" ht="22.5" hidden="false" customHeight="true" outlineLevel="0" collapsed="false">
      <c r="A141" s="1081" t="n">
        <f aca="false">A9</f>
        <v>46234</v>
      </c>
      <c r="B141" s="1026"/>
      <c r="C141" s="825"/>
      <c r="D141" s="1027"/>
      <c r="E141" s="955"/>
      <c r="F141" s="956"/>
      <c r="G141" s="957" t="n">
        <v>100000</v>
      </c>
      <c r="H141" s="958" t="n">
        <v>100000</v>
      </c>
      <c r="I141" s="947" t="n">
        <f aca="false">SUM(B141:H141)</f>
        <v>200000</v>
      </c>
      <c r="J141" s="1023"/>
      <c r="K141" s="795"/>
      <c r="L141" s="1081" t="n">
        <f aca="false">A9</f>
        <v>46234</v>
      </c>
      <c r="M141" s="1026"/>
      <c r="N141" s="825"/>
      <c r="O141" s="1027"/>
      <c r="P141" s="955"/>
      <c r="Q141" s="956"/>
      <c r="R141" s="957" t="n">
        <v>100000</v>
      </c>
      <c r="S141" s="958" t="n">
        <v>100000</v>
      </c>
      <c r="T141" s="947" t="n">
        <f aca="false">SUM(M141:S141)</f>
        <v>200000</v>
      </c>
      <c r="U141" s="1023"/>
      <c r="V141" s="765"/>
      <c r="W141" s="766"/>
      <c r="X141" s="764"/>
    </row>
    <row r="142" s="861" customFormat="true" ht="22.5" hidden="false" customHeight="true" outlineLevel="0" collapsed="false">
      <c r="A142" s="1081" t="n">
        <f aca="false">A10</f>
        <v>46265</v>
      </c>
      <c r="B142" s="1026"/>
      <c r="C142" s="825"/>
      <c r="D142" s="1027"/>
      <c r="E142" s="955"/>
      <c r="F142" s="956"/>
      <c r="G142" s="957" t="n">
        <v>100000</v>
      </c>
      <c r="H142" s="958" t="n">
        <v>100000</v>
      </c>
      <c r="I142" s="947" t="n">
        <f aca="false">SUM(B142:H142)</f>
        <v>200000</v>
      </c>
      <c r="J142" s="1023"/>
      <c r="K142" s="795"/>
      <c r="L142" s="1081" t="n">
        <f aca="false">A10</f>
        <v>46265</v>
      </c>
      <c r="M142" s="1026"/>
      <c r="N142" s="825"/>
      <c r="O142" s="1027"/>
      <c r="P142" s="955"/>
      <c r="Q142" s="956"/>
      <c r="R142" s="957" t="n">
        <v>100000</v>
      </c>
      <c r="S142" s="958" t="n">
        <v>100000</v>
      </c>
      <c r="T142" s="947" t="n">
        <f aca="false">SUM(M142:S142)</f>
        <v>200000</v>
      </c>
      <c r="U142" s="1023"/>
      <c r="V142" s="765"/>
      <c r="W142" s="766"/>
      <c r="X142" s="764"/>
    </row>
    <row r="143" s="861" customFormat="true" ht="22.5" hidden="false" customHeight="true" outlineLevel="0" collapsed="false">
      <c r="A143" s="1081" t="n">
        <f aca="false">A11</f>
        <v>46295</v>
      </c>
      <c r="B143" s="1026"/>
      <c r="C143" s="825"/>
      <c r="D143" s="1027"/>
      <c r="E143" s="955"/>
      <c r="F143" s="956"/>
      <c r="G143" s="957" t="n">
        <v>100000</v>
      </c>
      <c r="H143" s="958" t="n">
        <v>100000</v>
      </c>
      <c r="I143" s="947" t="n">
        <f aca="false">SUM(B143:H143)</f>
        <v>200000</v>
      </c>
      <c r="J143" s="1023"/>
      <c r="K143" s="795"/>
      <c r="L143" s="1081" t="n">
        <f aca="false">A11</f>
        <v>46295</v>
      </c>
      <c r="M143" s="1026"/>
      <c r="N143" s="825"/>
      <c r="O143" s="1027"/>
      <c r="P143" s="955"/>
      <c r="Q143" s="956"/>
      <c r="R143" s="957" t="n">
        <v>100000</v>
      </c>
      <c r="S143" s="958" t="n">
        <v>100000</v>
      </c>
      <c r="T143" s="947" t="n">
        <f aca="false">SUM(M143:S143)</f>
        <v>200000</v>
      </c>
      <c r="U143" s="1023"/>
      <c r="V143" s="765"/>
      <c r="W143" s="766"/>
      <c r="X143" s="764"/>
    </row>
    <row r="144" s="861" customFormat="true" ht="22.5" hidden="false" customHeight="true" outlineLevel="0" collapsed="false">
      <c r="A144" s="1081" t="n">
        <f aca="false">A12</f>
        <v>46326</v>
      </c>
      <c r="B144" s="825"/>
      <c r="C144" s="825"/>
      <c r="D144" s="1029"/>
      <c r="E144" s="955"/>
      <c r="F144" s="956"/>
      <c r="G144" s="957" t="n">
        <v>100000</v>
      </c>
      <c r="H144" s="958" t="n">
        <v>100000</v>
      </c>
      <c r="I144" s="947" t="n">
        <f aca="false">SUM(B144:H144)</f>
        <v>200000</v>
      </c>
      <c r="J144" s="1028"/>
      <c r="K144" s="795"/>
      <c r="L144" s="1081" t="n">
        <f aca="false">A12</f>
        <v>46326</v>
      </c>
      <c r="M144" s="825"/>
      <c r="N144" s="825"/>
      <c r="O144" s="1029"/>
      <c r="P144" s="955"/>
      <c r="Q144" s="956"/>
      <c r="R144" s="957" t="n">
        <v>100000</v>
      </c>
      <c r="S144" s="958" t="n">
        <v>100000</v>
      </c>
      <c r="T144" s="947" t="n">
        <f aca="false">SUM(M144:S144)</f>
        <v>200000</v>
      </c>
      <c r="U144" s="1028"/>
      <c r="V144" s="765"/>
      <c r="W144" s="766"/>
      <c r="X144" s="764"/>
    </row>
    <row r="145" s="861" customFormat="true" ht="22.5" hidden="false" customHeight="true" outlineLevel="0" collapsed="false">
      <c r="A145" s="1081" t="n">
        <f aca="false">A13</f>
        <v>46356</v>
      </c>
      <c r="B145" s="904"/>
      <c r="C145" s="904"/>
      <c r="D145" s="1051"/>
      <c r="E145" s="955"/>
      <c r="F145" s="967"/>
      <c r="G145" s="957" t="n">
        <v>100000</v>
      </c>
      <c r="H145" s="968" t="n">
        <v>100000</v>
      </c>
      <c r="I145" s="947" t="n">
        <f aca="false">SUM(B145:H145)</f>
        <v>200000</v>
      </c>
      <c r="J145" s="1028"/>
      <c r="K145" s="795"/>
      <c r="L145" s="1081" t="n">
        <f aca="false">A13</f>
        <v>46356</v>
      </c>
      <c r="M145" s="904"/>
      <c r="N145" s="904"/>
      <c r="O145" s="1051"/>
      <c r="P145" s="955"/>
      <c r="Q145" s="967"/>
      <c r="R145" s="957" t="n">
        <v>100000</v>
      </c>
      <c r="S145" s="968" t="n">
        <v>100000</v>
      </c>
      <c r="T145" s="947" t="n">
        <f aca="false">SUM(M145:S145)</f>
        <v>200000</v>
      </c>
      <c r="U145" s="1028"/>
      <c r="V145" s="765"/>
      <c r="W145" s="766"/>
      <c r="X145" s="764"/>
    </row>
    <row r="146" customFormat="false" ht="22.5" hidden="false" customHeight="true" outlineLevel="0" collapsed="false">
      <c r="A146" s="1081" t="n">
        <f aca="false">A14</f>
        <v>46387</v>
      </c>
      <c r="B146" s="904"/>
      <c r="C146" s="904"/>
      <c r="D146" s="1051"/>
      <c r="E146" s="955"/>
      <c r="F146" s="969"/>
      <c r="G146" s="957" t="n">
        <v>100000</v>
      </c>
      <c r="H146" s="970" t="n">
        <v>100000</v>
      </c>
      <c r="I146" s="794" t="n">
        <f aca="false">SUM(B146:H146)</f>
        <v>200000</v>
      </c>
      <c r="J146" s="1032"/>
      <c r="K146" s="795"/>
      <c r="L146" s="1081" t="n">
        <f aca="false">A14</f>
        <v>46387</v>
      </c>
      <c r="M146" s="904"/>
      <c r="N146" s="904"/>
      <c r="O146" s="1051"/>
      <c r="P146" s="955"/>
      <c r="Q146" s="969"/>
      <c r="R146" s="957" t="n">
        <v>100000</v>
      </c>
      <c r="S146" s="970" t="n">
        <v>100000</v>
      </c>
      <c r="T146" s="794" t="n">
        <f aca="false">SUM(M146:S146)</f>
        <v>200000</v>
      </c>
      <c r="U146" s="1032"/>
    </row>
    <row r="147" customFormat="false" ht="22.5" hidden="false" customHeight="true" outlineLevel="0" collapsed="false">
      <c r="A147" s="1081" t="n">
        <f aca="false">A15</f>
        <v>46387</v>
      </c>
      <c r="B147" s="904"/>
      <c r="C147" s="904"/>
      <c r="D147" s="1051"/>
      <c r="E147" s="955"/>
      <c r="F147" s="967"/>
      <c r="G147" s="957" t="n">
        <v>100000</v>
      </c>
      <c r="H147" s="968" t="n">
        <v>100000</v>
      </c>
      <c r="I147" s="794" t="n">
        <f aca="false">SUM(B147:H147)</f>
        <v>200000</v>
      </c>
      <c r="J147" s="1028"/>
      <c r="K147" s="795"/>
      <c r="L147" s="1081" t="n">
        <f aca="false">A15</f>
        <v>46387</v>
      </c>
      <c r="M147" s="904"/>
      <c r="N147" s="904"/>
      <c r="O147" s="1051"/>
      <c r="P147" s="955"/>
      <c r="Q147" s="967"/>
      <c r="R147" s="957" t="n">
        <v>100000</v>
      </c>
      <c r="S147" s="968" t="n">
        <v>100000</v>
      </c>
      <c r="T147" s="794" t="n">
        <f aca="false">SUM(M147:S147)</f>
        <v>200000</v>
      </c>
      <c r="U147" s="1028"/>
    </row>
    <row r="148" customFormat="false" ht="22.5" hidden="false" customHeight="true" outlineLevel="0" collapsed="false">
      <c r="A148" s="1081" t="n">
        <f aca="false">A16</f>
        <v>46418</v>
      </c>
      <c r="B148" s="904"/>
      <c r="C148" s="904"/>
      <c r="D148" s="1051"/>
      <c r="E148" s="974"/>
      <c r="F148" s="967"/>
      <c r="G148" s="975" t="n">
        <v>100000</v>
      </c>
      <c r="H148" s="968" t="n">
        <v>100000</v>
      </c>
      <c r="I148" s="794" t="n">
        <f aca="false">SUM(B148:H148)</f>
        <v>200000</v>
      </c>
      <c r="J148" s="1028"/>
      <c r="K148" s="795"/>
      <c r="L148" s="1081" t="n">
        <f aca="false">A16</f>
        <v>46418</v>
      </c>
      <c r="M148" s="904"/>
      <c r="N148" s="904"/>
      <c r="O148" s="1051"/>
      <c r="P148" s="974"/>
      <c r="Q148" s="967"/>
      <c r="R148" s="975" t="n">
        <v>100000</v>
      </c>
      <c r="S148" s="968" t="n">
        <v>100000</v>
      </c>
      <c r="T148" s="794" t="n">
        <f aca="false">SUM(M148:S148)</f>
        <v>200000</v>
      </c>
      <c r="U148" s="1028"/>
    </row>
    <row r="149" customFormat="false" ht="22.5" hidden="false" customHeight="true" outlineLevel="0" collapsed="false">
      <c r="A149" s="1081" t="n">
        <f aca="false">A17</f>
        <v>46446</v>
      </c>
      <c r="B149" s="904"/>
      <c r="C149" s="904"/>
      <c r="D149" s="1051"/>
      <c r="E149" s="976"/>
      <c r="F149" s="967"/>
      <c r="G149" s="977" t="n">
        <v>100000</v>
      </c>
      <c r="H149" s="968" t="n">
        <v>100000</v>
      </c>
      <c r="I149" s="794" t="n">
        <f aca="false">SUM(B149:H149)</f>
        <v>200000</v>
      </c>
      <c r="J149" s="1028"/>
      <c r="K149" s="795"/>
      <c r="L149" s="1081" t="n">
        <f aca="false">A17</f>
        <v>46446</v>
      </c>
      <c r="M149" s="904"/>
      <c r="N149" s="904"/>
      <c r="O149" s="1051"/>
      <c r="P149" s="976"/>
      <c r="Q149" s="967"/>
      <c r="R149" s="977" t="n">
        <v>100000</v>
      </c>
      <c r="S149" s="968" t="n">
        <v>100000</v>
      </c>
      <c r="T149" s="794" t="n">
        <f aca="false">SUM(M149:S149)</f>
        <v>200000</v>
      </c>
      <c r="U149" s="1028"/>
    </row>
    <row r="150" customFormat="false" ht="22.5" hidden="false" customHeight="true" outlineLevel="0" collapsed="false">
      <c r="A150" s="1081" t="n">
        <f aca="false">A18</f>
        <v>46477</v>
      </c>
      <c r="B150" s="904"/>
      <c r="C150" s="904"/>
      <c r="D150" s="1077"/>
      <c r="E150" s="983"/>
      <c r="F150" s="984"/>
      <c r="G150" s="985" t="n">
        <v>100000</v>
      </c>
      <c r="H150" s="986" t="n">
        <v>100000</v>
      </c>
      <c r="I150" s="794" t="n">
        <f aca="false">SUM(B150:H150)</f>
        <v>200000</v>
      </c>
      <c r="J150" s="1041"/>
      <c r="L150" s="1081" t="n">
        <f aca="false">A18</f>
        <v>46477</v>
      </c>
      <c r="M150" s="904"/>
      <c r="N150" s="904"/>
      <c r="O150" s="1077"/>
      <c r="P150" s="983"/>
      <c r="Q150" s="984"/>
      <c r="R150" s="985" t="n">
        <v>100000</v>
      </c>
      <c r="S150" s="986" t="n">
        <v>100000</v>
      </c>
      <c r="T150" s="794" t="n">
        <f aca="false">SUM(M150:S150)</f>
        <v>200000</v>
      </c>
      <c r="U150" s="1041"/>
    </row>
    <row r="151" customFormat="false" ht="22.5" hidden="false" customHeight="true" outlineLevel="0" collapsed="false">
      <c r="A151" s="1081" t="n">
        <f aca="false">A19</f>
        <v>46477</v>
      </c>
      <c r="B151" s="904"/>
      <c r="C151" s="904"/>
      <c r="D151" s="1051"/>
      <c r="E151" s="976"/>
      <c r="F151" s="969"/>
      <c r="G151" s="977" t="n">
        <v>100000</v>
      </c>
      <c r="H151" s="970" t="n">
        <v>100000</v>
      </c>
      <c r="I151" s="794" t="n">
        <f aca="false">SUM(B151:H151)</f>
        <v>200000</v>
      </c>
      <c r="J151" s="1032"/>
      <c r="L151" s="1081" t="n">
        <f aca="false">A19</f>
        <v>46477</v>
      </c>
      <c r="M151" s="904"/>
      <c r="N151" s="904"/>
      <c r="O151" s="1051"/>
      <c r="P151" s="976"/>
      <c r="Q151" s="969"/>
      <c r="R151" s="977" t="n">
        <v>100000</v>
      </c>
      <c r="S151" s="970" t="n">
        <v>100000</v>
      </c>
      <c r="T151" s="794" t="n">
        <f aca="false">SUM(M151:S151)</f>
        <v>200000</v>
      </c>
      <c r="U151" s="1032"/>
    </row>
    <row r="152" customFormat="false" ht="22.5" hidden="false" customHeight="true" outlineLevel="0" collapsed="false">
      <c r="A152" s="1081" t="str">
        <f aca="false">A20</f>
        <v>差額賞与6月</v>
      </c>
      <c r="B152" s="904"/>
      <c r="C152" s="904"/>
      <c r="D152" s="1051"/>
      <c r="E152" s="976"/>
      <c r="F152" s="964"/>
      <c r="G152" s="977" t="n">
        <v>100000</v>
      </c>
      <c r="H152" s="965" t="n">
        <v>100000</v>
      </c>
      <c r="I152" s="794" t="n">
        <f aca="false">SUM(B152:H152)</f>
        <v>200000</v>
      </c>
      <c r="J152" s="1025"/>
      <c r="L152" s="1081" t="str">
        <f aca="false">A20</f>
        <v>差額賞与6月</v>
      </c>
      <c r="M152" s="904"/>
      <c r="N152" s="904"/>
      <c r="O152" s="1051"/>
      <c r="P152" s="976"/>
      <c r="Q152" s="964"/>
      <c r="R152" s="977" t="n">
        <v>100000</v>
      </c>
      <c r="S152" s="965" t="n">
        <v>100000</v>
      </c>
      <c r="T152" s="794" t="n">
        <f aca="false">SUM(M152:S152)</f>
        <v>200000</v>
      </c>
      <c r="U152" s="1025"/>
    </row>
    <row r="153" customFormat="false" ht="22.5" hidden="false" customHeight="true" outlineLevel="0" collapsed="false">
      <c r="A153" s="1081" t="str">
        <f aca="false">A21</f>
        <v>差額賞与12月</v>
      </c>
      <c r="B153" s="1057"/>
      <c r="C153" s="1057"/>
      <c r="D153" s="1058"/>
      <c r="E153" s="983"/>
      <c r="F153" s="1059"/>
      <c r="G153" s="985" t="n">
        <v>100000</v>
      </c>
      <c r="H153" s="1060" t="n">
        <v>100000</v>
      </c>
      <c r="I153" s="1061" t="n">
        <f aca="false">SUM(B153:H153)</f>
        <v>200000</v>
      </c>
      <c r="J153" s="1062"/>
      <c r="L153" s="1081" t="str">
        <f aca="false">A21</f>
        <v>差額賞与12月</v>
      </c>
      <c r="M153" s="1057"/>
      <c r="N153" s="1057"/>
      <c r="O153" s="1058"/>
      <c r="P153" s="983"/>
      <c r="Q153" s="1059"/>
      <c r="R153" s="985" t="n">
        <v>100000</v>
      </c>
      <c r="S153" s="1060" t="n">
        <v>100000</v>
      </c>
      <c r="T153" s="1061" t="n">
        <f aca="false">SUM(M153:S153)</f>
        <v>200000</v>
      </c>
      <c r="U153" s="1062"/>
    </row>
    <row r="154" customFormat="false" ht="22.5" hidden="false" customHeight="true" outlineLevel="0" collapsed="false">
      <c r="A154" s="775" t="s">
        <v>457</v>
      </c>
      <c r="B154" s="1008" t="n">
        <f aca="false">SUM(B137:B153)</f>
        <v>0</v>
      </c>
      <c r="C154" s="1008" t="n">
        <f aca="false">SUM(C137:C153)</f>
        <v>0</v>
      </c>
      <c r="D154" s="1008" t="n">
        <f aca="false">SUM(D137:D153)</f>
        <v>0</v>
      </c>
      <c r="E154" s="1009" t="n">
        <f aca="false">SUM(E137:E153)</f>
        <v>0</v>
      </c>
      <c r="F154" s="1010" t="n">
        <f aca="false">SUM(F137:F153)</f>
        <v>0</v>
      </c>
      <c r="G154" s="1011" t="n">
        <f aca="false">SUM(G137:G153)</f>
        <v>1700000</v>
      </c>
      <c r="H154" s="1012" t="n">
        <f aca="false">SUM(H137:H153)</f>
        <v>1700000</v>
      </c>
      <c r="I154" s="1013" t="n">
        <f aca="false">SUM(B154:H154)</f>
        <v>3400000</v>
      </c>
      <c r="J154" s="1014" t="n">
        <f aca="false">SUM(J137:J153)</f>
        <v>0</v>
      </c>
      <c r="L154" s="775" t="s">
        <v>457</v>
      </c>
      <c r="M154" s="1008" t="n">
        <f aca="false">SUM(M137:M153)</f>
        <v>0</v>
      </c>
      <c r="N154" s="1008" t="n">
        <f aca="false">SUM(N137:N153)</f>
        <v>0</v>
      </c>
      <c r="O154" s="1008" t="n">
        <f aca="false">SUM(O137:O153)</f>
        <v>0</v>
      </c>
      <c r="P154" s="1009" t="n">
        <f aca="false">SUM(P137:P153)</f>
        <v>0</v>
      </c>
      <c r="Q154" s="1010" t="n">
        <f aca="false">SUM(Q137:Q153)</f>
        <v>0</v>
      </c>
      <c r="R154" s="1011" t="n">
        <f aca="false">SUM(R137:R153)</f>
        <v>1700000</v>
      </c>
      <c r="S154" s="1012" t="n">
        <f aca="false">SUM(S137:S153)</f>
        <v>1700000</v>
      </c>
      <c r="T154" s="1013" t="n">
        <f aca="false">SUM(M154:S154)</f>
        <v>3400000</v>
      </c>
      <c r="U154" s="1014" t="n">
        <f aca="false">SUM(U137:U153)</f>
        <v>0</v>
      </c>
    </row>
    <row r="155" customFormat="false" ht="15" hidden="false" customHeight="false" outlineLevel="0" collapsed="false">
      <c r="A155" s="861"/>
      <c r="L155" s="861"/>
      <c r="P155" s="765"/>
      <c r="Q155" s="765"/>
      <c r="R155" s="765"/>
      <c r="S155" s="765"/>
      <c r="T155" s="765"/>
      <c r="U155" s="765"/>
    </row>
    <row r="156" s="1070" customFormat="true" ht="15" hidden="false" customHeight="true" outlineLevel="0" collapsed="false">
      <c r="A156" s="1078"/>
      <c r="B156" s="1075" t="n">
        <f aca="false">B96</f>
        <v>91.5</v>
      </c>
      <c r="C156" s="1075" t="n">
        <f aca="false">C96</f>
        <v>7.5</v>
      </c>
      <c r="D156" s="1075" t="n">
        <f aca="false">D96</f>
        <v>37.41</v>
      </c>
      <c r="E156" s="1065"/>
      <c r="F156" s="1065"/>
      <c r="G156" s="1065"/>
      <c r="H156" s="1065"/>
      <c r="I156" s="1065"/>
      <c r="J156" s="1065"/>
      <c r="K156" s="1072"/>
      <c r="L156" s="1078"/>
      <c r="M156" s="1075" t="n">
        <f aca="false">B96</f>
        <v>91.5</v>
      </c>
      <c r="N156" s="1075" t="n">
        <f aca="false">C96</f>
        <v>7.5</v>
      </c>
      <c r="O156" s="1075" t="n">
        <f aca="false">D96</f>
        <v>37.41</v>
      </c>
      <c r="P156" s="1065"/>
      <c r="Q156" s="1065"/>
      <c r="R156" s="1065"/>
      <c r="S156" s="1065"/>
      <c r="T156" s="1065"/>
      <c r="U156" s="1065"/>
      <c r="V156" s="1065"/>
      <c r="W156" s="1069"/>
      <c r="X156" s="1064"/>
    </row>
    <row r="157" s="1070" customFormat="true" ht="15" hidden="false" customHeight="true" outlineLevel="0" collapsed="false">
      <c r="A157" s="1079" t="s">
        <v>484</v>
      </c>
      <c r="B157" s="1072" t="n">
        <f aca="false">ROUNDDOWN($A$107*B156/1000,0)</f>
        <v>0</v>
      </c>
      <c r="C157" s="1072" t="n">
        <f aca="false">ROUNDDOWN($A$107*C156/1000,0)</f>
        <v>0</v>
      </c>
      <c r="D157" s="1072" t="n">
        <f aca="false">ROUNDDOWN($A$107*D156/1000,0)</f>
        <v>0</v>
      </c>
      <c r="E157" s="1073"/>
      <c r="F157" s="1073"/>
      <c r="G157" s="1073"/>
      <c r="H157" s="1073"/>
      <c r="I157" s="1073"/>
      <c r="J157" s="1065"/>
      <c r="K157" s="1072"/>
      <c r="L157" s="1079" t="s">
        <v>484</v>
      </c>
      <c r="M157" s="1072" t="n">
        <f aca="false">ROUNDDOWN($A$107*M156/1000,0)</f>
        <v>0</v>
      </c>
      <c r="N157" s="1072" t="n">
        <f aca="false">ROUNDDOWN($A$107*N156/1000,0)</f>
        <v>0</v>
      </c>
      <c r="O157" s="1072" t="n">
        <f aca="false">ROUNDDOWN($A$107*O156/1000,0)</f>
        <v>0</v>
      </c>
      <c r="P157" s="1073"/>
      <c r="Q157" s="1073"/>
      <c r="R157" s="1073"/>
      <c r="S157" s="1073"/>
      <c r="T157" s="1073"/>
      <c r="U157" s="1065"/>
      <c r="V157" s="1065"/>
      <c r="W157" s="1069"/>
      <c r="X157" s="1064"/>
    </row>
    <row r="158" s="1070" customFormat="true" ht="15" hidden="false" customHeight="true" outlineLevel="0" collapsed="false">
      <c r="A158" s="1080"/>
      <c r="B158" s="1075"/>
      <c r="C158" s="1076"/>
      <c r="D158" s="1075"/>
      <c r="E158" s="1073"/>
      <c r="F158" s="1073"/>
      <c r="G158" s="1073"/>
      <c r="H158" s="1073"/>
      <c r="I158" s="1073"/>
      <c r="J158" s="1065"/>
      <c r="K158" s="1072"/>
      <c r="L158" s="1080"/>
      <c r="M158" s="1075"/>
      <c r="N158" s="1076"/>
      <c r="O158" s="1075"/>
      <c r="P158" s="1073"/>
      <c r="Q158" s="1073"/>
      <c r="R158" s="1073"/>
      <c r="S158" s="1073"/>
      <c r="T158" s="1073"/>
      <c r="U158" s="1065"/>
      <c r="V158" s="1065"/>
      <c r="W158" s="1069"/>
      <c r="X158" s="1064"/>
    </row>
    <row r="159" s="1070" customFormat="true" ht="15" hidden="false" customHeight="true" outlineLevel="0" collapsed="false">
      <c r="A159" s="1064"/>
      <c r="B159" s="1072"/>
      <c r="C159" s="1072"/>
      <c r="D159" s="1072"/>
      <c r="E159" s="1073"/>
      <c r="F159" s="1073"/>
      <c r="G159" s="1073"/>
      <c r="H159" s="1073"/>
      <c r="I159" s="1073"/>
      <c r="J159" s="1065"/>
      <c r="K159" s="1072"/>
      <c r="L159" s="1064"/>
      <c r="M159" s="1072"/>
      <c r="N159" s="1072"/>
      <c r="O159" s="1072"/>
      <c r="P159" s="1073"/>
      <c r="Q159" s="1073"/>
      <c r="R159" s="1073"/>
      <c r="S159" s="1073"/>
      <c r="T159" s="1073"/>
      <c r="U159" s="1065"/>
      <c r="V159" s="1065"/>
      <c r="W159" s="1069"/>
      <c r="X159" s="1064"/>
    </row>
    <row r="160" s="1070" customFormat="true" ht="15" hidden="false" customHeight="true" outlineLevel="0" collapsed="false">
      <c r="A160" s="1064"/>
      <c r="B160" s="1072"/>
      <c r="C160" s="1072"/>
      <c r="D160" s="1072"/>
      <c r="E160" s="1073"/>
      <c r="F160" s="1073"/>
      <c r="G160" s="1073"/>
      <c r="H160" s="1073"/>
      <c r="I160" s="1073"/>
      <c r="J160" s="1065"/>
      <c r="K160" s="1072"/>
      <c r="L160" s="1064"/>
      <c r="M160" s="1072"/>
      <c r="N160" s="1072"/>
      <c r="O160" s="1072"/>
      <c r="P160" s="1073"/>
      <c r="Q160" s="1073"/>
      <c r="R160" s="1073"/>
      <c r="S160" s="1073"/>
      <c r="T160" s="1073"/>
      <c r="U160" s="1065"/>
      <c r="V160" s="1065"/>
      <c r="W160" s="1069"/>
      <c r="X160" s="1064"/>
    </row>
    <row r="161" s="1070" customFormat="true" ht="15" hidden="false" customHeight="true" outlineLevel="0" collapsed="false">
      <c r="A161" s="1064"/>
      <c r="B161" s="1072"/>
      <c r="C161" s="1072"/>
      <c r="D161" s="1072"/>
      <c r="E161" s="1073"/>
      <c r="F161" s="1073"/>
      <c r="G161" s="1073"/>
      <c r="H161" s="1073"/>
      <c r="I161" s="1073"/>
      <c r="J161" s="1065"/>
      <c r="K161" s="1072"/>
      <c r="L161" s="1064"/>
      <c r="M161" s="1072"/>
      <c r="N161" s="1072"/>
      <c r="O161" s="1072"/>
      <c r="P161" s="1073"/>
      <c r="Q161" s="1073"/>
      <c r="R161" s="1073"/>
      <c r="S161" s="1073"/>
      <c r="T161" s="1073"/>
      <c r="U161" s="1065"/>
      <c r="V161" s="1065"/>
      <c r="W161" s="1069"/>
      <c r="X161" s="1064"/>
    </row>
    <row r="162" s="1070" customFormat="true" ht="15" hidden="false" customHeight="true" outlineLevel="0" collapsed="false">
      <c r="A162" s="1064"/>
      <c r="B162" s="1072"/>
      <c r="C162" s="1072"/>
      <c r="D162" s="1072"/>
      <c r="E162" s="1073"/>
      <c r="F162" s="1073"/>
      <c r="G162" s="1073"/>
      <c r="H162" s="1073"/>
      <c r="I162" s="1073"/>
      <c r="J162" s="1065"/>
      <c r="K162" s="1072"/>
      <c r="L162" s="1064"/>
      <c r="M162" s="1072"/>
      <c r="N162" s="1072"/>
      <c r="O162" s="1072"/>
      <c r="P162" s="1073"/>
      <c r="Q162" s="1073"/>
      <c r="R162" s="1073"/>
      <c r="S162" s="1073"/>
      <c r="T162" s="1073"/>
      <c r="U162" s="1065"/>
      <c r="V162" s="1065"/>
      <c r="W162" s="1069"/>
      <c r="X162" s="1064"/>
    </row>
    <row r="163" s="1070" customFormat="true" ht="15" hidden="false" customHeight="true" outlineLevel="0" collapsed="false">
      <c r="A163" s="1064"/>
      <c r="B163" s="1072"/>
      <c r="C163" s="1072"/>
      <c r="D163" s="1072"/>
      <c r="E163" s="1073"/>
      <c r="F163" s="1073"/>
      <c r="G163" s="1073"/>
      <c r="H163" s="1073"/>
      <c r="I163" s="1073"/>
      <c r="J163" s="1065"/>
      <c r="K163" s="1072"/>
      <c r="L163" s="1064"/>
      <c r="M163" s="1072"/>
      <c r="N163" s="1072"/>
      <c r="O163" s="1072"/>
      <c r="P163" s="1073"/>
      <c r="Q163" s="1073"/>
      <c r="R163" s="1073"/>
      <c r="S163" s="1073"/>
      <c r="T163" s="1073"/>
      <c r="U163" s="1065"/>
      <c r="V163" s="1065"/>
      <c r="W163" s="1069"/>
      <c r="X163" s="1064"/>
    </row>
    <row r="164" s="861" customFormat="true" ht="11.25" hidden="false" customHeight="true" outlineLevel="0" collapsed="false">
      <c r="B164" s="765"/>
      <c r="C164" s="765"/>
      <c r="D164" s="765"/>
      <c r="E164" s="765"/>
      <c r="F164" s="765"/>
      <c r="G164" s="765"/>
      <c r="H164" s="765"/>
      <c r="I164" s="765"/>
      <c r="J164" s="765"/>
      <c r="K164" s="765"/>
      <c r="M164" s="765"/>
      <c r="N164" s="765"/>
      <c r="O164" s="765"/>
      <c r="P164" s="765"/>
      <c r="Q164" s="765"/>
      <c r="R164" s="765"/>
      <c r="S164" s="765"/>
      <c r="T164" s="765"/>
      <c r="U164" s="765"/>
      <c r="V164" s="765"/>
      <c r="W164" s="766"/>
      <c r="X164" s="764"/>
    </row>
    <row r="165" s="1070" customFormat="true" ht="15" hidden="false" customHeight="true" outlineLevel="0" collapsed="false">
      <c r="A165" s="1078"/>
      <c r="B165" s="1075" t="n">
        <f aca="false">B96</f>
        <v>91.5</v>
      </c>
      <c r="C165" s="1075" t="n">
        <f aca="false">C96</f>
        <v>7.5</v>
      </c>
      <c r="D165" s="1075" t="n">
        <f aca="false">D96</f>
        <v>37.41</v>
      </c>
      <c r="E165" s="1065"/>
      <c r="F165" s="1065"/>
      <c r="G165" s="1065"/>
      <c r="H165" s="1065"/>
      <c r="I165" s="1065"/>
      <c r="J165" s="1065"/>
      <c r="K165" s="1072"/>
      <c r="L165" s="1078"/>
      <c r="M165" s="1075" t="n">
        <f aca="false">B96</f>
        <v>91.5</v>
      </c>
      <c r="N165" s="1075" t="n">
        <f aca="false">C96</f>
        <v>7.5</v>
      </c>
      <c r="O165" s="1075" t="n">
        <f aca="false">D96</f>
        <v>37.41</v>
      </c>
      <c r="P165" s="1065"/>
      <c r="Q165" s="1065"/>
      <c r="R165" s="1065"/>
      <c r="S165" s="1065"/>
      <c r="T165" s="1065"/>
      <c r="U165" s="1065"/>
      <c r="V165" s="1065"/>
      <c r="W165" s="1069"/>
      <c r="X165" s="1064"/>
    </row>
    <row r="166" s="1070" customFormat="true" ht="15" hidden="false" customHeight="true" outlineLevel="0" collapsed="false">
      <c r="A166" s="1079" t="s">
        <v>484</v>
      </c>
      <c r="B166" s="1072" t="n">
        <f aca="false">ROUNDDOWN($A$107*B165/1000,0)</f>
        <v>0</v>
      </c>
      <c r="C166" s="1072" t="n">
        <f aca="false">ROUNDDOWN($A$107*C165/1000,0)</f>
        <v>0</v>
      </c>
      <c r="D166" s="1072" t="n">
        <f aca="false">ROUNDDOWN($A$107*D165/1000,0)</f>
        <v>0</v>
      </c>
      <c r="E166" s="1073"/>
      <c r="F166" s="1073"/>
      <c r="G166" s="1073"/>
      <c r="H166" s="1073"/>
      <c r="I166" s="1073"/>
      <c r="J166" s="1065"/>
      <c r="K166" s="1072"/>
      <c r="L166" s="1079" t="s">
        <v>484</v>
      </c>
      <c r="M166" s="1072" t="n">
        <f aca="false">ROUNDDOWN($A$107*M165/1000,0)</f>
        <v>0</v>
      </c>
      <c r="N166" s="1072" t="n">
        <f aca="false">ROUNDDOWN($A$107*N165/1000,0)</f>
        <v>0</v>
      </c>
      <c r="O166" s="1072" t="n">
        <f aca="false">ROUNDDOWN($A$107*O165/1000,0)</f>
        <v>0</v>
      </c>
      <c r="P166" s="1073"/>
      <c r="Q166" s="1073"/>
      <c r="R166" s="1073"/>
      <c r="S166" s="1073"/>
      <c r="T166" s="1073"/>
      <c r="U166" s="1065"/>
      <c r="V166" s="1065"/>
      <c r="W166" s="1069"/>
      <c r="X166" s="1064"/>
    </row>
    <row r="167" s="1070" customFormat="true" ht="15" hidden="false" customHeight="true" outlineLevel="0" collapsed="false">
      <c r="A167" s="1080"/>
      <c r="B167" s="1075"/>
      <c r="C167" s="1076"/>
      <c r="D167" s="1075"/>
      <c r="E167" s="1073"/>
      <c r="F167" s="1073"/>
      <c r="G167" s="1073"/>
      <c r="H167" s="1073"/>
      <c r="I167" s="1073"/>
      <c r="J167" s="1065"/>
      <c r="K167" s="1072"/>
      <c r="L167" s="1080"/>
      <c r="M167" s="1075"/>
      <c r="N167" s="1076"/>
      <c r="O167" s="1075"/>
      <c r="P167" s="1073"/>
      <c r="Q167" s="1073"/>
      <c r="R167" s="1073"/>
      <c r="S167" s="1073"/>
      <c r="T167" s="1073"/>
      <c r="U167" s="1065"/>
      <c r="V167" s="1065"/>
      <c r="W167" s="1069"/>
      <c r="X167" s="1064"/>
    </row>
    <row r="168" s="1070" customFormat="true" ht="15" hidden="false" customHeight="true" outlineLevel="0" collapsed="false">
      <c r="A168" s="1064"/>
      <c r="B168" s="1072"/>
      <c r="C168" s="1072"/>
      <c r="D168" s="1072"/>
      <c r="E168" s="1073"/>
      <c r="F168" s="1073"/>
      <c r="G168" s="1073"/>
      <c r="H168" s="1073"/>
      <c r="I168" s="1073"/>
      <c r="J168" s="1065"/>
      <c r="K168" s="1072"/>
      <c r="L168" s="1064"/>
      <c r="M168" s="1072"/>
      <c r="N168" s="1072"/>
      <c r="O168" s="1072"/>
      <c r="P168" s="1073"/>
      <c r="Q168" s="1073"/>
      <c r="R168" s="1073"/>
      <c r="S168" s="1073"/>
      <c r="T168" s="1073"/>
      <c r="U168" s="1065"/>
      <c r="V168" s="1065"/>
      <c r="W168" s="1069"/>
      <c r="X168" s="1064"/>
    </row>
  </sheetData>
  <mergeCells count="2">
    <mergeCell ref="E4:F4"/>
    <mergeCell ref="G4:H4"/>
  </mergeCells>
  <printOptions headings="false" gridLines="false" gridLinesSet="true" horizontalCentered="true" verticalCentered="false"/>
  <pageMargins left="0" right="0" top="0.472222222222222" bottom="0" header="0.511811023622047" footer="0"/>
  <pageSetup paperSize="9" scale="100" fitToWidth="1" fitToHeight="0" pageOrder="downThenOver" orientation="landscape" blackAndWhite="false" draft="false" cellComments="none" horizontalDpi="300" verticalDpi="300" copies="1"/>
  <headerFooter differentFirst="false" differentOddEven="false">
    <oddHeader/>
    <oddFooter>&amp;R&amp;9&amp;Z&amp;F&amp;A</oddFooter>
  </headerFooter>
  <rowBreaks count="1" manualBreakCount="1">
    <brk id="43" man="true" max="16383" min="0"/>
  </row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43"/>
  <sheetViews>
    <sheetView showFormulas="false" showGridLines="true" showRowColHeaders="true" showZeros="true" rightToLeft="false" tabSelected="false" showOutlineSymbols="true" defaultGridColor="true" view="normal" topLeftCell="AG1" colorId="64" zoomScale="80" zoomScaleNormal="80" zoomScalePageLayoutView="85" workbookViewId="0">
      <selection pane="topLeft" activeCell="AN15" activeCellId="0" sqref="AN15"/>
    </sheetView>
  </sheetViews>
  <sheetFormatPr defaultColWidth="8.79296875" defaultRowHeight="17.25" zeroHeight="false" outlineLevelRow="0" outlineLevelCol="0"/>
  <cols>
    <col collapsed="false" customWidth="true" hidden="false" outlineLevel="0" max="5" min="1" style="582" width="11.69"/>
    <col collapsed="false" customWidth="true" hidden="false" outlineLevel="0" max="6" min="6" style="582" width="1.29"/>
    <col collapsed="false" customWidth="true" hidden="false" outlineLevel="0" max="11" min="7" style="582" width="11.69"/>
    <col collapsed="false" customWidth="true" hidden="false" outlineLevel="0" max="12" min="12" style="582" width="11.49"/>
    <col collapsed="false" customWidth="true" hidden="false" outlineLevel="0" max="17" min="13" style="582" width="11.69"/>
    <col collapsed="false" customWidth="true" hidden="false" outlineLevel="0" max="18" min="18" style="582" width="11.99"/>
    <col collapsed="false" customWidth="true" hidden="false" outlineLevel="0" max="23" min="19" style="582" width="12.49"/>
    <col collapsed="false" customWidth="true" hidden="false" outlineLevel="0" max="24" min="24" style="582" width="4.29"/>
    <col collapsed="false" customWidth="true" hidden="false" outlineLevel="0" max="40" min="25" style="582" width="11.69"/>
    <col collapsed="false" customWidth="true" hidden="false" outlineLevel="0" max="41" min="41" style="582" width="11.39"/>
    <col collapsed="false" customWidth="true" hidden="false" outlineLevel="0" max="42" min="42" style="582" width="11.59"/>
    <col collapsed="false" customWidth="true" hidden="false" outlineLevel="0" max="43" min="43" style="582" width="10.79"/>
  </cols>
  <sheetData>
    <row r="1" customFormat="false" ht="24.75" hidden="false" customHeight="true" outlineLevel="0" collapsed="false">
      <c r="A1" s="1082" t="str">
        <f aca="false">未納者等入金!A1</f>
        <v>令和8年度</v>
      </c>
      <c r="B1" s="925" t="s">
        <v>485</v>
      </c>
      <c r="G1" s="925" t="s">
        <v>486</v>
      </c>
      <c r="Y1" s="1082" t="str">
        <f aca="false">A1</f>
        <v>令和8年度</v>
      </c>
      <c r="Z1" s="925" t="s">
        <v>485</v>
      </c>
      <c r="AE1" s="925" t="s">
        <v>486</v>
      </c>
    </row>
    <row r="2" customFormat="false" ht="15" hidden="false" customHeight="true" outlineLevel="0" collapsed="false"/>
    <row r="3" customFormat="false" ht="32.25" hidden="false" customHeight="true" outlineLevel="0" collapsed="false">
      <c r="A3" s="1083" t="s">
        <v>487</v>
      </c>
      <c r="B3" s="1083"/>
      <c r="C3" s="1083"/>
      <c r="D3" s="1083"/>
      <c r="E3" s="1084" t="s">
        <v>421</v>
      </c>
      <c r="G3" s="1085" t="s">
        <v>488</v>
      </c>
      <c r="H3" s="1085"/>
      <c r="I3" s="1085"/>
      <c r="J3" s="1085"/>
      <c r="K3" s="1085"/>
      <c r="L3" s="1084" t="s">
        <v>421</v>
      </c>
      <c r="N3" s="925" t="s">
        <v>489</v>
      </c>
      <c r="S3" s="1084" t="s">
        <v>421</v>
      </c>
      <c r="U3" s="1086" t="s">
        <v>490</v>
      </c>
      <c r="W3" s="584"/>
      <c r="X3" s="584"/>
      <c r="Y3" s="1087" t="s">
        <v>491</v>
      </c>
      <c r="AG3" s="1084" t="s">
        <v>421</v>
      </c>
      <c r="AN3" s="1084"/>
      <c r="AP3" s="1088" t="s">
        <v>492</v>
      </c>
      <c r="AR3" s="1089"/>
    </row>
    <row r="4" customFormat="false" ht="32.25" hidden="false" customHeight="true" outlineLevel="0" collapsed="false">
      <c r="A4" s="1090" t="s">
        <v>428</v>
      </c>
      <c r="B4" s="1090" t="s">
        <v>493</v>
      </c>
      <c r="C4" s="1090" t="s">
        <v>494</v>
      </c>
      <c r="D4" s="1090" t="s">
        <v>355</v>
      </c>
      <c r="E4" s="1090" t="s">
        <v>495</v>
      </c>
      <c r="G4" s="1090" t="s">
        <v>428</v>
      </c>
      <c r="H4" s="1090" t="s">
        <v>496</v>
      </c>
      <c r="I4" s="1091" t="s">
        <v>497</v>
      </c>
      <c r="J4" s="1091" t="s">
        <v>498</v>
      </c>
      <c r="K4" s="1091" t="s">
        <v>499</v>
      </c>
      <c r="L4" s="1090" t="s">
        <v>500</v>
      </c>
      <c r="N4" s="1092" t="s">
        <v>501</v>
      </c>
      <c r="O4" s="1092" t="s">
        <v>502</v>
      </c>
      <c r="P4" s="1092" t="s">
        <v>503</v>
      </c>
      <c r="Q4" s="1092" t="s">
        <v>504</v>
      </c>
      <c r="R4" s="1092" t="s">
        <v>505</v>
      </c>
      <c r="S4" s="1092" t="s">
        <v>506</v>
      </c>
      <c r="T4" s="1093" t="s">
        <v>507</v>
      </c>
      <c r="U4" s="1094" t="s">
        <v>508</v>
      </c>
      <c r="W4" s="1095"/>
      <c r="X4" s="1095"/>
      <c r="Y4" s="1096" t="s">
        <v>428</v>
      </c>
      <c r="Z4" s="1097" t="s">
        <v>509</v>
      </c>
      <c r="AA4" s="1098" t="s">
        <v>510</v>
      </c>
      <c r="AB4" s="1091" t="s">
        <v>511</v>
      </c>
      <c r="AC4" s="1099" t="s">
        <v>512</v>
      </c>
      <c r="AD4" s="1100" t="s">
        <v>513</v>
      </c>
      <c r="AE4" s="1101" t="s">
        <v>514</v>
      </c>
      <c r="AF4" s="1090" t="s">
        <v>515</v>
      </c>
      <c r="AG4" s="1090" t="s">
        <v>516</v>
      </c>
      <c r="AH4" s="1102" t="s">
        <v>517</v>
      </c>
      <c r="AI4" s="1103" t="s">
        <v>518</v>
      </c>
      <c r="AJ4" s="1104"/>
      <c r="AK4" s="1090" t="s">
        <v>428</v>
      </c>
      <c r="AL4" s="1105" t="s">
        <v>519</v>
      </c>
      <c r="AM4" s="1091" t="s">
        <v>520</v>
      </c>
      <c r="AN4" s="1103" t="s">
        <v>521</v>
      </c>
      <c r="AP4" s="1106" t="n">
        <v>65</v>
      </c>
      <c r="AR4" s="1089"/>
    </row>
    <row r="5" customFormat="false" ht="24.75" hidden="false" customHeight="true" outlineLevel="0" collapsed="false">
      <c r="A5" s="1107" t="s">
        <v>445</v>
      </c>
      <c r="B5" s="1108" t="n">
        <f aca="false">B26+H26+N26+T26</f>
        <v>826296324</v>
      </c>
      <c r="C5" s="1108" t="n">
        <f aca="false">C26+I26+O26+U26</f>
        <v>315263366</v>
      </c>
      <c r="D5" s="1108" t="n">
        <f aca="false">D26+J26+P26+V26</f>
        <v>115093</v>
      </c>
      <c r="E5" s="1108" t="n">
        <f aca="false">SUM(B5:D5)</f>
        <v>1141674783</v>
      </c>
      <c r="G5" s="1107" t="s">
        <v>445</v>
      </c>
      <c r="H5" s="1109" t="n">
        <f aca="true">OFFSET('☆掛負収入'!$B$65,$AP$4*$AP5,0,1,1)+OFFSET('☆掛負収入'!$C$65,$AP$4*$AP5,0,1,1)</f>
        <v>530127754</v>
      </c>
      <c r="I5" s="1109" t="n">
        <f aca="true">OFFSET('☆掛負収入'!$H$65,$AP$4*$AP5,0,1,1)</f>
        <v>446098437</v>
      </c>
      <c r="J5" s="1109" t="n">
        <f aca="true">OFFSET('☆掛負収入'!$K$65,$AP$4*$AP5,0,1,1)</f>
        <v>36272957</v>
      </c>
      <c r="K5" s="1109" t="n">
        <f aca="true">OFFSET('☆掛負収入'!$N$65,$AP$4*$AP5,0,1,1)</f>
        <v>9873033</v>
      </c>
      <c r="L5" s="1108" t="n">
        <f aca="false">SUM(H5:K5)</f>
        <v>1022372181</v>
      </c>
      <c r="N5" s="1108" t="n">
        <f aca="false">E5+L5</f>
        <v>2164046964</v>
      </c>
      <c r="O5" s="1109" t="n">
        <f aca="false">-'☆長期集計R7'!H30+'☆長期集計R7'!K27-'☆長期集計R7'!H70+'☆長期集計R7'!K70</f>
        <v>-533112</v>
      </c>
      <c r="P5" s="1109" t="n">
        <f aca="false">-'☆短期集計R7'!H4-'☆短期集計R7'!K4+'☆短期集計R7'!K25</f>
        <v>-588794</v>
      </c>
      <c r="Q5" s="1109" t="n">
        <f aca="false">-'☆介護集計R7'!H4-'☆介護集計R7'!K4+'☆介護集計R7'!K25</f>
        <v>-6920</v>
      </c>
      <c r="R5" s="1109" t="n">
        <f aca="false">-'☆子・子集計R7'!H4-'☆子・子集計R7'!K4+'☆子・子集計R7'!K25</f>
        <v>2194865</v>
      </c>
      <c r="S5" s="1108" t="n">
        <f aca="false">L5+O5+P5+Q5+R5</f>
        <v>1023438220</v>
      </c>
      <c r="T5" s="1110" t="n">
        <f aca="false">E5+S5</f>
        <v>2165113003</v>
      </c>
      <c r="U5" s="1111" t="s">
        <v>522</v>
      </c>
      <c r="W5" s="1112"/>
      <c r="X5" s="1113"/>
      <c r="Y5" s="1114" t="s">
        <v>445</v>
      </c>
      <c r="Z5" s="1115" t="n">
        <f aca="true">OFFSET('☆掛負収入'!$B$65,$AP$4*$AP5,0,1,1)</f>
        <v>489926226</v>
      </c>
      <c r="AA5" s="1116" t="n">
        <f aca="true">OFFSET('☆掛負収入'!$C$65,$AP$4*$AP5,0,1,1)</f>
        <v>40201528</v>
      </c>
      <c r="AB5" s="1108" t="n">
        <f aca="false">SUM(Z5:AA5)</f>
        <v>530127754</v>
      </c>
      <c r="AC5" s="1115" t="n">
        <f aca="true">OFFSET('☆掛負収入'!$D$65,$AP$4*$AP5,0,1,1)</f>
        <v>710721750</v>
      </c>
      <c r="AD5" s="1117" t="n">
        <f aca="true">OFFSET('☆掛負収入'!$E$65,$AP$4*$AP5,0,1,1)</f>
        <v>40068493</v>
      </c>
      <c r="AE5" s="1118" t="n">
        <f aca="true">OFFSET('☆掛負収入'!$F$65,$AP$4*$AP5,0,1,1)</f>
        <v>483168</v>
      </c>
      <c r="AF5" s="1108" t="n">
        <f aca="false">SUM(AC5:AE5)</f>
        <v>751273411</v>
      </c>
      <c r="AG5" s="1108" t="n">
        <f aca="false">AB5+AF5</f>
        <v>1281401165</v>
      </c>
      <c r="AH5" s="1119" t="n">
        <f aca="true">OFFSET('☆掛負収入'!$G$65,$AP$4*$AP5,0,1,1)</f>
        <v>1281401165</v>
      </c>
      <c r="AI5" s="1120" t="str">
        <f aca="false">IF(AG5=AH5,"○","×")</f>
        <v>○</v>
      </c>
      <c r="AJ5" s="1112"/>
      <c r="AK5" s="1107" t="s">
        <v>445</v>
      </c>
      <c r="AL5" s="1108" t="n">
        <f aca="false">AG5+AB26+AI26+AP26</f>
        <v>2164046964</v>
      </c>
      <c r="AM5" s="1108" t="n">
        <f aca="false">N5</f>
        <v>2164046964</v>
      </c>
      <c r="AN5" s="1120" t="str">
        <f aca="false">IF(AL5=AM5,"○","×")</f>
        <v>○</v>
      </c>
      <c r="AP5" s="1121" t="n">
        <v>0</v>
      </c>
      <c r="AR5" s="1089"/>
    </row>
    <row r="6" customFormat="false" ht="24.75" hidden="false" customHeight="true" outlineLevel="0" collapsed="false">
      <c r="A6" s="1107" t="s">
        <v>446</v>
      </c>
      <c r="B6" s="1108" t="n">
        <f aca="false">B27+H27+N27+T27</f>
        <v>830501465</v>
      </c>
      <c r="C6" s="1108" t="n">
        <f aca="false">C27+I27+O27+U27</f>
        <v>317216715</v>
      </c>
      <c r="D6" s="1108" t="n">
        <f aca="false">D27+J27+P27+V27</f>
        <v>115093</v>
      </c>
      <c r="E6" s="1108" t="n">
        <f aca="false">SUM(B6:D6)</f>
        <v>1147833273</v>
      </c>
      <c r="G6" s="1107" t="s">
        <v>446</v>
      </c>
      <c r="H6" s="1109" t="n">
        <f aca="true">OFFSET('☆掛負収入'!$B$65,$AP$4*$AP6,0,1,1)+OFFSET('☆掛負収入'!$C$65,$AP$4*$AP6,0,1,1)</f>
        <v>531532694</v>
      </c>
      <c r="I6" s="1109" t="n">
        <f aca="true">OFFSET('☆掛負収入'!$H$65,$AP$4*$AP6,0,1,1)</f>
        <v>353209549</v>
      </c>
      <c r="J6" s="1109" t="n">
        <f aca="true">OFFSET('☆掛負収入'!$K$65,$AP$4*$AP6,0,1,1)</f>
        <v>31474243</v>
      </c>
      <c r="K6" s="1109" t="n">
        <f aca="true">OFFSET('☆掛負収入'!$N$65,$AP$4*$AP6,0,1,1)</f>
        <v>7828424</v>
      </c>
      <c r="L6" s="1108" t="n">
        <f aca="false">SUM(H6:K6)</f>
        <v>924044910</v>
      </c>
      <c r="N6" s="1108" t="n">
        <f aca="false">E6+L6</f>
        <v>2071878183</v>
      </c>
      <c r="O6" s="1109" t="n">
        <f aca="false">-'☆長期集計R7'!H31+'☆長期集計R7'!K28-'☆長期集計R7'!H71+'☆長期集計R7'!K71</f>
        <v>-182160</v>
      </c>
      <c r="P6" s="1109" t="n">
        <f aca="false">-'☆短期集計R7'!H5-'☆短期集計R7'!K5+'☆短期集計R7'!K26</f>
        <v>-809602</v>
      </c>
      <c r="Q6" s="1109" t="n">
        <f aca="false">-'☆介護集計R7'!H5-'☆介護集計R7'!K5+'☆介護集計R7'!K26</f>
        <v>-38484</v>
      </c>
      <c r="R6" s="1109" t="n">
        <f aca="false">-'☆子・子集計R7'!H5-'☆子・子集計R7'!K5+'☆子・子集計R7'!K26</f>
        <v>2183530</v>
      </c>
      <c r="S6" s="1108" t="n">
        <f aca="false">L6+O6+P6+Q6+R6</f>
        <v>925198194</v>
      </c>
      <c r="T6" s="1110" t="n">
        <f aca="false">E6+S6</f>
        <v>2073031467</v>
      </c>
      <c r="U6" s="1111" t="s">
        <v>522</v>
      </c>
      <c r="W6" s="1112"/>
      <c r="X6" s="1113"/>
      <c r="Y6" s="1114" t="s">
        <v>446</v>
      </c>
      <c r="Z6" s="1115" t="n">
        <f aca="true">OFFSET('☆掛負収入'!$B$65,$AP$4*$AP6,0,1,1)</f>
        <v>491261760</v>
      </c>
      <c r="AA6" s="1116" t="n">
        <f aca="true">OFFSET('☆掛負収入'!$C$65,$AP$4*$AP6,0,1,1)</f>
        <v>40270934</v>
      </c>
      <c r="AB6" s="1108" t="n">
        <f aca="false">SUM(Z6:AA6)</f>
        <v>531532694</v>
      </c>
      <c r="AC6" s="1115" t="n">
        <f aca="true">OFFSET('☆掛負収入'!$D$65,$AP$4*$AP6,0,1,1)</f>
        <v>713165985</v>
      </c>
      <c r="AD6" s="1117" t="n">
        <f aca="true">OFFSET('☆掛負収入'!$E$65,$AP$4*$AP6,0,1,1)</f>
        <v>40269134</v>
      </c>
      <c r="AE6" s="1118" t="n">
        <f aca="true">OFFSET('☆掛負収入'!$F$65,$AP$4*$AP6,0,1,1)</f>
        <v>483067</v>
      </c>
      <c r="AF6" s="1108" t="n">
        <f aca="false">SUM(AC6:AE6)</f>
        <v>753918186</v>
      </c>
      <c r="AG6" s="1108" t="n">
        <f aca="false">AB6+AF6</f>
        <v>1285450880</v>
      </c>
      <c r="AH6" s="1119" t="n">
        <f aca="true">OFFSET('☆掛負収入'!$G$65,$AP$4*$AP6,0,1,1)</f>
        <v>1285450880</v>
      </c>
      <c r="AI6" s="1122" t="str">
        <f aca="false">IF(AG6=AH6,"○","×")</f>
        <v>○</v>
      </c>
      <c r="AJ6" s="1113"/>
      <c r="AK6" s="1107" t="s">
        <v>446</v>
      </c>
      <c r="AL6" s="1108" t="n">
        <f aca="false">AG6+AB27+AI27+AP27</f>
        <v>2071878183</v>
      </c>
      <c r="AM6" s="1108" t="n">
        <f aca="false">N6</f>
        <v>2071878183</v>
      </c>
      <c r="AN6" s="1122" t="str">
        <f aca="false">IF(AL6=AM6,"○","×")</f>
        <v>○</v>
      </c>
      <c r="AP6" s="1121" t="n">
        <v>1</v>
      </c>
      <c r="AR6" s="1089"/>
    </row>
    <row r="7" customFormat="false" ht="24.75" hidden="false" customHeight="true" outlineLevel="0" collapsed="false">
      <c r="A7" s="1107" t="s">
        <v>447</v>
      </c>
      <c r="B7" s="1108" t="n">
        <f aca="false">B28+H28+N28+T28</f>
        <v>829328680</v>
      </c>
      <c r="C7" s="1108" t="n">
        <f aca="false">C28+I28+O28+U28</f>
        <v>316605364</v>
      </c>
      <c r="D7" s="1108" t="n">
        <f aca="false">D28+J28+P28+V28</f>
        <v>116389</v>
      </c>
      <c r="E7" s="1108" t="n">
        <f aca="false">SUM(B7:D7)</f>
        <v>1146050433</v>
      </c>
      <c r="G7" s="1107" t="s">
        <v>447</v>
      </c>
      <c r="H7" s="1109" t="n">
        <f aca="true">OFFSET('☆掛負収入'!$B$65,$AP$4*$AP7,0,1,1)+OFFSET('☆掛負収入'!$C$65,$AP$4*$AP7,0,1,1)</f>
        <v>530774363</v>
      </c>
      <c r="I7" s="1109" t="n">
        <f aca="true">OFFSET('☆掛負収入'!$H$65,$AP$4*$AP7,0,1,1)</f>
        <v>352789873</v>
      </c>
      <c r="J7" s="1109" t="n">
        <f aca="true">OFFSET('☆掛負収入'!$K$65,$AP$4*$AP7,0,1,1)</f>
        <v>31644321</v>
      </c>
      <c r="K7" s="1109" t="n">
        <f aca="true">OFFSET('☆掛負収入'!$N$65,$AP$4*$AP7,0,1,1)</f>
        <v>7818532</v>
      </c>
      <c r="L7" s="1108" t="n">
        <f aca="false">SUM(H7:K7)</f>
        <v>923027089</v>
      </c>
      <c r="N7" s="1108" t="n">
        <f aca="false">E7+L7</f>
        <v>2069077522</v>
      </c>
      <c r="O7" s="1109" t="n">
        <f aca="false">-'☆長期集計R7'!H32+'☆長期集計R7'!K29-'☆長期集計R7'!H72+'☆長期集計R7'!K72</f>
        <v>-393720</v>
      </c>
      <c r="P7" s="1109" t="n">
        <f aca="false">-'☆短期集計R7'!H6-'☆短期集計R7'!K6+'☆短期集計R7'!K27</f>
        <v>-223534</v>
      </c>
      <c r="Q7" s="1109" t="n">
        <f aca="false">-'☆介護集計R7'!H6-'☆介護集計R7'!K6+'☆介護集計R7'!K27</f>
        <v>-3239</v>
      </c>
      <c r="R7" s="1109" t="n">
        <f aca="false">-'☆子・子集計R7'!H6-'☆子・子集計R7'!K6+'☆子・子集計R7'!K27</f>
        <v>2198126</v>
      </c>
      <c r="S7" s="1108" t="n">
        <f aca="false">L7+O7+P7+Q7+R7</f>
        <v>924604722</v>
      </c>
      <c r="T7" s="1110" t="n">
        <f aca="false">E7+S7</f>
        <v>2070655155</v>
      </c>
      <c r="U7" s="1111" t="s">
        <v>522</v>
      </c>
      <c r="W7" s="1112"/>
      <c r="X7" s="1113"/>
      <c r="Y7" s="1114" t="s">
        <v>447</v>
      </c>
      <c r="Z7" s="1115" t="n">
        <f aca="true">OFFSET('☆掛負収入'!$B$65,$AP$4*$AP7,0,1,1)</f>
        <v>490561786</v>
      </c>
      <c r="AA7" s="1116" t="n">
        <f aca="true">OFFSET('☆掛負収入'!$C$65,$AP$4*$AP7,0,1,1)</f>
        <v>40212577</v>
      </c>
      <c r="AB7" s="1108" t="n">
        <f aca="false">SUM(Z7:AA7)</f>
        <v>530774363</v>
      </c>
      <c r="AC7" s="1115" t="n">
        <f aca="true">OFFSET('☆掛負収入'!$D$65,$AP$4*$AP7,0,1,1)</f>
        <v>712084289</v>
      </c>
      <c r="AD7" s="1117" t="n">
        <f aca="true">OFFSET('☆掛負収入'!$E$65,$AP$4*$AP7,0,1,1)</f>
        <v>40180808</v>
      </c>
      <c r="AE7" s="1118" t="n">
        <f aca="true">OFFSET('☆掛負収入'!$F$65,$AP$4*$AP7,0,1,1)</f>
        <v>482919</v>
      </c>
      <c r="AF7" s="1108" t="n">
        <f aca="false">SUM(AC7:AE7)</f>
        <v>752748016</v>
      </c>
      <c r="AG7" s="1108" t="n">
        <f aca="false">AB7+AF7</f>
        <v>1283522379</v>
      </c>
      <c r="AH7" s="1119" t="n">
        <f aca="true">OFFSET('☆掛負収入'!$G$65,$AP$4*$AP7,0,1,1)</f>
        <v>1283522379</v>
      </c>
      <c r="AI7" s="1122" t="str">
        <f aca="false">IF(AG7=AH7,"○","×")</f>
        <v>○</v>
      </c>
      <c r="AJ7" s="1113"/>
      <c r="AK7" s="1107" t="s">
        <v>447</v>
      </c>
      <c r="AL7" s="1108" t="n">
        <f aca="false">AG7+AB28+AI28+AP28</f>
        <v>2069077522</v>
      </c>
      <c r="AM7" s="1108" t="n">
        <f aca="false">N7</f>
        <v>2069077522</v>
      </c>
      <c r="AN7" s="1122" t="str">
        <f aca="false">IF(AL7=AM7,"○","×")</f>
        <v>○</v>
      </c>
      <c r="AP7" s="1121" t="n">
        <v>2</v>
      </c>
      <c r="AR7" s="1089"/>
    </row>
    <row r="8" customFormat="false" ht="24.75" hidden="false" customHeight="true" outlineLevel="0" collapsed="false">
      <c r="A8" s="1107" t="s">
        <v>523</v>
      </c>
      <c r="B8" s="1108" t="n">
        <f aca="false">B29+H29+N29+T29</f>
        <v>1577686727</v>
      </c>
      <c r="C8" s="1108" t="n">
        <f aca="false">C29+I29+O29+U29</f>
        <v>500822886</v>
      </c>
      <c r="D8" s="1108" t="n">
        <f aca="false">D29+J29+P29+V29</f>
        <v>147200</v>
      </c>
      <c r="E8" s="1108" t="n">
        <f aca="false">SUM(B8:D8)</f>
        <v>2078656813</v>
      </c>
      <c r="G8" s="1107" t="s">
        <v>523</v>
      </c>
      <c r="H8" s="1109" t="n">
        <f aca="true">OFFSET('☆掛負収入'!$B$65,$AP$4*$AP8,0,1,1)+OFFSET('☆掛負収入'!$C$65,$AP$4*$AP8,0,1,1)</f>
        <v>981583502</v>
      </c>
      <c r="I8" s="1109" t="n">
        <f aca="true">OFFSET('☆掛負収入'!$H$65,$AP$4*$AP8,0,1,1)</f>
        <v>614527425</v>
      </c>
      <c r="J8" s="1109" t="n">
        <f aca="true">OFFSET('☆掛負収入'!$K$65,$AP$4*$AP8,0,1,1)</f>
        <v>58354858</v>
      </c>
      <c r="K8" s="1109" t="n">
        <f aca="true">OFFSET('☆掛負収入'!$N$65,$AP$4*$AP8,0,1,1)</f>
        <v>13618708</v>
      </c>
      <c r="L8" s="1108" t="n">
        <f aca="false">SUM(H8:K8)</f>
        <v>1668084493</v>
      </c>
      <c r="N8" s="1108" t="n">
        <f aca="false">E8+L8</f>
        <v>3746741306</v>
      </c>
      <c r="O8" s="1109" t="n">
        <f aca="false">'☆長期集計R7'!K30+'☆長期集計R7'!K73</f>
        <v>0</v>
      </c>
      <c r="P8" s="1109" t="n">
        <f aca="false">'☆短期集計R7'!K28</f>
        <v>0</v>
      </c>
      <c r="Q8" s="1109" t="n">
        <f aca="false">'☆介護集計R7'!K28</f>
        <v>0</v>
      </c>
      <c r="R8" s="1109" t="n">
        <f aca="false">-'☆子・子集計R7'!H7-'☆子・子集計R7'!K7+'☆子・子集計R7'!K28</f>
        <v>2171532</v>
      </c>
      <c r="S8" s="1108" t="n">
        <f aca="false">L8+O8+P8+Q8+R8</f>
        <v>1670256025</v>
      </c>
      <c r="T8" s="1110" t="n">
        <f aca="false">E8+S8</f>
        <v>3748912838</v>
      </c>
      <c r="U8" s="1111" t="s">
        <v>522</v>
      </c>
      <c r="W8" s="1112"/>
      <c r="X8" s="1113"/>
      <c r="Y8" s="1114" t="s">
        <v>523</v>
      </c>
      <c r="Z8" s="1115" t="n">
        <f aca="true">OFFSET('☆掛負収入'!$B$65,$AP$4*$AP8,0,1,1)</f>
        <v>907213270</v>
      </c>
      <c r="AA8" s="1116" t="n">
        <f aca="true">OFFSET('☆掛負収入'!$C$65,$AP$4*$AP8,0,1,1)</f>
        <v>74370232</v>
      </c>
      <c r="AB8" s="1108" t="n">
        <f aca="false">SUM(Z8:AA8)</f>
        <v>981583502</v>
      </c>
      <c r="AC8" s="1115" t="n">
        <f aca="true">OFFSET('☆掛負収入'!$D$65,$AP$4*$AP8,0,1,1)</f>
        <v>1308496586</v>
      </c>
      <c r="AD8" s="1117" t="n">
        <f aca="true">OFFSET('☆掛負収入'!$E$65,$AP$4*$AP8,0,1,1)</f>
        <v>74372823</v>
      </c>
      <c r="AE8" s="1118" t="n">
        <f aca="true">OFFSET('☆掛負収入'!$F$65,$AP$4*$AP8,0,1,1)</f>
        <v>874113</v>
      </c>
      <c r="AF8" s="1108" t="n">
        <f aca="false">SUM(AC8:AE8)</f>
        <v>1383743522</v>
      </c>
      <c r="AG8" s="1108" t="n">
        <f aca="false">AB8+AF8</f>
        <v>2365327024</v>
      </c>
      <c r="AH8" s="1119" t="n">
        <f aca="true">OFFSET('☆掛負収入'!$G$65,$AP$4*$AP8,0,1,1)</f>
        <v>2365327024</v>
      </c>
      <c r="AI8" s="1122" t="str">
        <f aca="false">IF(AG8=AH8,"○","×")</f>
        <v>○</v>
      </c>
      <c r="AJ8" s="1113"/>
      <c r="AK8" s="1107" t="s">
        <v>523</v>
      </c>
      <c r="AL8" s="1108" t="n">
        <f aca="false">AG8+AB29+AI29+AP29</f>
        <v>3746741306</v>
      </c>
      <c r="AM8" s="1108" t="n">
        <f aca="false">N8</f>
        <v>3746741306</v>
      </c>
      <c r="AN8" s="1122" t="str">
        <f aca="false">IF(AL8=AM8,"○","×")</f>
        <v>○</v>
      </c>
      <c r="AP8" s="1121" t="n">
        <v>3</v>
      </c>
      <c r="AR8" s="1089"/>
    </row>
    <row r="9" customFormat="false" ht="24.75" hidden="false" customHeight="true" outlineLevel="0" collapsed="false">
      <c r="A9" s="1107" t="s">
        <v>448</v>
      </c>
      <c r="B9" s="1108" t="n">
        <f aca="false">B30+H30+N30+T30</f>
        <v>847775662</v>
      </c>
      <c r="C9" s="1108" t="n">
        <f aca="false">C30+I30+O30+U30</f>
        <v>317786286</v>
      </c>
      <c r="D9" s="1108" t="n">
        <f aca="false">D30+J30+P30+V30</f>
        <v>113797</v>
      </c>
      <c r="E9" s="1108" t="n">
        <f aca="false">SUM(B9:D9)</f>
        <v>1165675745</v>
      </c>
      <c r="G9" s="1107" t="s">
        <v>448</v>
      </c>
      <c r="H9" s="1109" t="n">
        <f aca="true">OFFSET('☆掛負収入'!$B$65,$AP$4*$AP9,0,1,1)+OFFSET('☆掛負収入'!$C$65,$AP$4*$AP9,0,1,1)</f>
        <v>539580991</v>
      </c>
      <c r="I9" s="1109" t="n">
        <f aca="true">OFFSET('☆掛負収入'!$H$65,$AP$4*$AP9,0,1,1)</f>
        <v>358060395</v>
      </c>
      <c r="J9" s="1109" t="n">
        <f aca="true">OFFSET('☆掛負収入'!$K$65,$AP$4*$AP9,0,1,1)</f>
        <v>32095024</v>
      </c>
      <c r="K9" s="1109" t="n">
        <f aca="true">OFFSET('☆掛負収入'!$N$65,$AP$4*$AP9,0,1,1)</f>
        <v>7938327</v>
      </c>
      <c r="L9" s="1108" t="n">
        <f aca="false">SUM(H9:K9)</f>
        <v>937674737</v>
      </c>
      <c r="N9" s="1108" t="n">
        <f aca="false">E9+L9</f>
        <v>2103350482</v>
      </c>
      <c r="O9" s="1109" t="n">
        <f aca="false">-'☆長期集計R7'!H33+'☆長期集計R7'!K31-'☆長期集計R7'!H73+'☆長期集計R7'!K74</f>
        <v>-544994</v>
      </c>
      <c r="P9" s="1109" t="n">
        <f aca="false">-'☆短期集計R7'!H7-'☆短期集計R7'!K7+'☆短期集計R7'!K29</f>
        <v>-1284218</v>
      </c>
      <c r="Q9" s="1109" t="n">
        <f aca="false">-'☆介護集計R7'!H7-'☆介護集計R7'!K7+'☆介護集計R7'!K29</f>
        <v>-17380</v>
      </c>
      <c r="R9" s="1109" t="n">
        <f aca="false">-'☆子・子集計R7'!H8-'☆子・子集計R7'!K8+'☆子・子集計R7'!K29</f>
        <v>2161218</v>
      </c>
      <c r="S9" s="1108" t="n">
        <f aca="false">L9+O9+P9+Q9+R9</f>
        <v>937989363</v>
      </c>
      <c r="T9" s="1110" t="n">
        <f aca="false">E9+S9</f>
        <v>2103665108</v>
      </c>
      <c r="U9" s="1111" t="s">
        <v>522</v>
      </c>
      <c r="W9" s="1112"/>
      <c r="X9" s="1113"/>
      <c r="Y9" s="1114" t="s">
        <v>448</v>
      </c>
      <c r="Z9" s="1115" t="n">
        <f aca="true">OFFSET('☆掛負収入'!$B$65,$AP$4*$AP9,0,1,1)</f>
        <v>498701078</v>
      </c>
      <c r="AA9" s="1116" t="n">
        <f aca="true">OFFSET('☆掛負収入'!$C$65,$AP$4*$AP9,0,1,1)</f>
        <v>40879913</v>
      </c>
      <c r="AB9" s="1108" t="n">
        <f aca="false">SUM(Z9:AA9)</f>
        <v>539580991</v>
      </c>
      <c r="AC9" s="1115" t="n">
        <f aca="true">OFFSET('☆掛負収入'!$D$65,$AP$4*$AP9,0,1,1)</f>
        <v>724275822</v>
      </c>
      <c r="AD9" s="1117" t="n">
        <f aca="true">OFFSET('☆掛負収入'!$E$65,$AP$4*$AP9,0,1,1)</f>
        <v>40851678</v>
      </c>
      <c r="AE9" s="1118" t="n">
        <f aca="true">OFFSET('☆掛負収入'!$F$65,$AP$4*$AP9,0,1,1)</f>
        <v>491785</v>
      </c>
      <c r="AF9" s="1108" t="n">
        <f aca="false">SUM(AC9:AE9)</f>
        <v>765619285</v>
      </c>
      <c r="AG9" s="1108" t="n">
        <f aca="false">AB9+AF9</f>
        <v>1305200276</v>
      </c>
      <c r="AH9" s="1119" t="n">
        <f aca="true">OFFSET('☆掛負収入'!$G$65,$AP$4*$AP9,0,1,1)</f>
        <v>1305200276</v>
      </c>
      <c r="AI9" s="1122" t="str">
        <f aca="false">IF(AG9=AH9,"○","×")</f>
        <v>○</v>
      </c>
      <c r="AJ9" s="1113"/>
      <c r="AK9" s="1107" t="s">
        <v>448</v>
      </c>
      <c r="AL9" s="1108" t="n">
        <f aca="false">AG9+AB30+AI30+AP30</f>
        <v>2103350482</v>
      </c>
      <c r="AM9" s="1108" t="n">
        <f aca="false">N9</f>
        <v>2103350482</v>
      </c>
      <c r="AN9" s="1122" t="str">
        <f aca="false">IF(AL9=AM9,"○","×")</f>
        <v>○</v>
      </c>
      <c r="AP9" s="1121" t="n">
        <v>4</v>
      </c>
      <c r="AR9" s="1089"/>
    </row>
    <row r="10" customFormat="false" ht="24.75" hidden="false" customHeight="true" outlineLevel="0" collapsed="false">
      <c r="A10" s="1107" t="s">
        <v>449</v>
      </c>
      <c r="B10" s="1108" t="n">
        <f aca="false">B31+H31+N31+T31</f>
        <v>837484119</v>
      </c>
      <c r="C10" s="1108" t="n">
        <f aca="false">C31+I31+O31+U31</f>
        <v>315739736</v>
      </c>
      <c r="D10" s="1108" t="n">
        <f aca="false">D31+J31+P31+V31</f>
        <v>115093</v>
      </c>
      <c r="E10" s="1108" t="n">
        <f aca="false">SUM(B10:D10)</f>
        <v>1153338948</v>
      </c>
      <c r="G10" s="1107" t="s">
        <v>449</v>
      </c>
      <c r="H10" s="1109" t="n">
        <f aca="true">OFFSET('☆掛負収入'!$B$65,$AP$4*$AP10,0,1,1)+OFFSET('☆掛負収入'!$C$65,$AP$4*$AP10,0,1,1)</f>
        <v>533184688</v>
      </c>
      <c r="I10" s="1109" t="n">
        <f aca="true">OFFSET('☆掛負収入'!$H$65,$AP$4*$AP10,0,1,1)</f>
        <v>355794712</v>
      </c>
      <c r="J10" s="1109" t="n">
        <f aca="true">OFFSET('☆掛負収入'!$K$65,$AP$4*$AP10,0,1,1)</f>
        <v>31956930</v>
      </c>
      <c r="K10" s="1109" t="n">
        <f aca="true">OFFSET('☆掛負収入'!$N$65,$AP$4*$AP10,0,1,1)</f>
        <v>7887647</v>
      </c>
      <c r="L10" s="1108" t="n">
        <f aca="false">SUM(H10:K10)</f>
        <v>928823977</v>
      </c>
      <c r="N10" s="1108" t="n">
        <f aca="false">E10+L10</f>
        <v>2082162925</v>
      </c>
      <c r="O10" s="1109" t="n">
        <f aca="false">-'☆長期集計R7'!H34+'☆長期集計R7'!K32-'☆長期集計R7'!H74+'☆長期集計R7'!K75</f>
        <v>-397980</v>
      </c>
      <c r="P10" s="1109" t="n">
        <f aca="false">-'☆短期集計R7'!H8-'☆短期集計R7'!K8+'☆短期集計R7'!K30</f>
        <v>-1768792</v>
      </c>
      <c r="Q10" s="1109" t="n">
        <f aca="false">-'☆介護集計R7'!H8-'☆介護集計R7'!K8+'☆介護集計R7'!K30</f>
        <v>-147216</v>
      </c>
      <c r="R10" s="1109" t="n">
        <f aca="false">-'☆子・子集計R7'!H9-'☆子・子集計R7'!K9+'☆子・子集計R7'!K30</f>
        <v>2152395</v>
      </c>
      <c r="S10" s="1108" t="n">
        <f aca="false">L10+O10+P10+Q10+R10</f>
        <v>928662384</v>
      </c>
      <c r="T10" s="1110" t="n">
        <f aca="false">E10+S10</f>
        <v>2082001332</v>
      </c>
      <c r="U10" s="1111" t="s">
        <v>522</v>
      </c>
      <c r="W10" s="1112"/>
      <c r="X10" s="1113"/>
      <c r="Y10" s="1114" t="s">
        <v>449</v>
      </c>
      <c r="Z10" s="1115" t="n">
        <f aca="true">OFFSET('☆掛負収入'!$B$65,$AP$4*$AP10,0,1,1)</f>
        <v>492793379</v>
      </c>
      <c r="AA10" s="1116" t="n">
        <f aca="true">OFFSET('☆掛負収入'!$C$65,$AP$4*$AP10,0,1,1)</f>
        <v>40391309</v>
      </c>
      <c r="AB10" s="1108" t="n">
        <f aca="false">SUM(Z10:AA10)</f>
        <v>533184688</v>
      </c>
      <c r="AC10" s="1115" t="n">
        <f aca="true">OFFSET('☆掛負収入'!$D$65,$AP$4*$AP10,0,1,1)</f>
        <v>716056059</v>
      </c>
      <c r="AD10" s="1117" t="n">
        <f aca="true">OFFSET('☆掛負収入'!$E$65,$AP$4*$AP10,0,1,1)</f>
        <v>40367460</v>
      </c>
      <c r="AE10" s="1118" t="n">
        <f aca="true">OFFSET('☆掛負収入'!$F$65,$AP$4*$AP10,0,1,1)</f>
        <v>486781</v>
      </c>
      <c r="AF10" s="1108" t="n">
        <f aca="false">SUM(AC10:AE10)</f>
        <v>756910300</v>
      </c>
      <c r="AG10" s="1108" t="n">
        <f aca="false">AB10+AF10</f>
        <v>1290094988</v>
      </c>
      <c r="AH10" s="1119" t="n">
        <f aca="true">OFFSET('☆掛負収入'!$G$65,$AP$4*$AP10,0,1,1)</f>
        <v>1290094988</v>
      </c>
      <c r="AI10" s="1122" t="str">
        <f aca="false">IF(AG10=AH10,"○","×")</f>
        <v>○</v>
      </c>
      <c r="AJ10" s="1113"/>
      <c r="AK10" s="1107" t="s">
        <v>449</v>
      </c>
      <c r="AL10" s="1108" t="n">
        <f aca="false">AG10+AB31+AI31+AP31</f>
        <v>2082162925</v>
      </c>
      <c r="AM10" s="1108" t="n">
        <f aca="false">N10</f>
        <v>2082162925</v>
      </c>
      <c r="AN10" s="1122" t="str">
        <f aca="false">IF(AL10=AM10,"○","×")</f>
        <v>○</v>
      </c>
      <c r="AP10" s="1121" t="n">
        <v>5</v>
      </c>
      <c r="AR10" s="1089"/>
    </row>
    <row r="11" customFormat="false" ht="24.75" hidden="false" customHeight="true" outlineLevel="0" collapsed="false">
      <c r="A11" s="1107" t="s">
        <v>450</v>
      </c>
      <c r="B11" s="1108" t="n">
        <f aca="false">B32+H32+N32+T32</f>
        <v>851518792</v>
      </c>
      <c r="C11" s="1108" t="n">
        <f aca="false">C32+I32+O32+U32</f>
        <v>318011873</v>
      </c>
      <c r="D11" s="1108" t="n">
        <f aca="false">D32+J32+P32+V32</f>
        <v>121333</v>
      </c>
      <c r="E11" s="1108" t="n">
        <f aca="false">SUM(B11:D11)</f>
        <v>1169651998</v>
      </c>
      <c r="G11" s="1107" t="s">
        <v>450</v>
      </c>
      <c r="H11" s="1109" t="n">
        <f aca="true">OFFSET('☆掛負収入'!$B$65,$AP$4*$AP11,0,1,1)+OFFSET('☆掛負収入'!$C$65,$AP$4*$AP11,0,1,1)</f>
        <v>539050020</v>
      </c>
      <c r="I11" s="1109" t="n">
        <f aca="true">OFFSET('☆掛負収入'!$H$65,$AP$4*$AP11,0,1,1)</f>
        <v>362597062</v>
      </c>
      <c r="J11" s="1109" t="n">
        <f aca="true">OFFSET('☆掛負収入'!$K$65,$AP$4*$AP11,0,1,1)</f>
        <v>32643398</v>
      </c>
      <c r="K11" s="1109" t="n">
        <f aca="true">OFFSET('☆掛負収入'!$N$65,$AP$4*$AP11,0,1,1)</f>
        <v>8035595</v>
      </c>
      <c r="L11" s="1108" t="n">
        <f aca="false">SUM(H11:K11)</f>
        <v>942326075</v>
      </c>
      <c r="N11" s="1108" t="n">
        <f aca="false">E11+L11</f>
        <v>2111978073</v>
      </c>
      <c r="O11" s="1109" t="n">
        <f aca="false">-'☆長期集計R7'!H35+'☆長期集計R7'!K33-'☆長期集計R7'!H75+'☆長期集計R7'!K76</f>
        <v>-370260</v>
      </c>
      <c r="P11" s="1109" t="n">
        <f aca="false">-'☆短期集計R7'!H9-'☆短期集計R7'!K9+'☆短期集計R7'!K31</f>
        <v>-2146827</v>
      </c>
      <c r="Q11" s="1109" t="n">
        <f aca="false">-'☆介護集計R7'!H9-'☆介護集計R7'!K9+'☆介護集計R7'!K31</f>
        <v>-225705</v>
      </c>
      <c r="R11" s="1109" t="n">
        <f aca="false">-'☆子・子集計R7'!H10-'☆子・子集計R7'!K10+'☆子・子集計R7'!K31</f>
        <v>2192486</v>
      </c>
      <c r="S11" s="1108" t="n">
        <f aca="false">L11+O11+P11+Q11+R11</f>
        <v>941775769</v>
      </c>
      <c r="T11" s="1110" t="n">
        <f aca="false">E11+S11</f>
        <v>2111427767</v>
      </c>
      <c r="U11" s="1123" t="n">
        <f aca="false">'☆掛負収入'!F1127</f>
        <v>567031260</v>
      </c>
      <c r="W11" s="1112"/>
      <c r="X11" s="1113"/>
      <c r="Y11" s="1114" t="s">
        <v>450</v>
      </c>
      <c r="Z11" s="1115" t="n">
        <f aca="true">OFFSET('☆掛負収入'!$B$65,$AP$4*$AP11,0,1,1)</f>
        <v>498248439</v>
      </c>
      <c r="AA11" s="1116" t="n">
        <f aca="true">OFFSET('☆掛負収入'!$C$65,$AP$4*$AP11,0,1,1)</f>
        <v>40801581</v>
      </c>
      <c r="AB11" s="1108" t="n">
        <f aca="false">SUM(Z11:AA11)</f>
        <v>539050020</v>
      </c>
      <c r="AC11" s="1115" t="n">
        <f aca="true">OFFSET('☆掛負収入'!$D$65,$AP$4*$AP11,0,1,1)</f>
        <v>727857487</v>
      </c>
      <c r="AD11" s="1117" t="n">
        <f aca="true">OFFSET('☆掛負収入'!$E$65,$AP$4*$AP11,0,1,1)</f>
        <v>40985184</v>
      </c>
      <c r="AE11" s="1118" t="n">
        <f aca="true">OFFSET('☆掛負収入'!$F$65,$AP$4*$AP11,0,1,1)</f>
        <v>495169</v>
      </c>
      <c r="AF11" s="1108" t="n">
        <f aca="false">SUM(AC11:AE11)</f>
        <v>769337840</v>
      </c>
      <c r="AG11" s="1108" t="n">
        <f aca="false">AB11+AF11</f>
        <v>1308387860</v>
      </c>
      <c r="AH11" s="1119" t="n">
        <f aca="true">OFFSET('☆掛負収入'!$G$65,$AP$4*$AP11,0,1,1)</f>
        <v>1308387860</v>
      </c>
      <c r="AI11" s="1122" t="str">
        <f aca="false">IF(AG11=AH11,"○","×")</f>
        <v>○</v>
      </c>
      <c r="AJ11" s="1113"/>
      <c r="AK11" s="1107" t="s">
        <v>450</v>
      </c>
      <c r="AL11" s="1108" t="n">
        <f aca="false">AG11+AB32+AI32+AP32</f>
        <v>2111978073</v>
      </c>
      <c r="AM11" s="1108" t="n">
        <f aca="false">N11</f>
        <v>2111978073</v>
      </c>
      <c r="AN11" s="1122" t="str">
        <f aca="false">IF(AL11=AM11,"○","×")</f>
        <v>○</v>
      </c>
      <c r="AP11" s="1121" t="n">
        <v>6</v>
      </c>
      <c r="AR11" s="1124"/>
    </row>
    <row r="12" customFormat="false" ht="24.75" hidden="false" customHeight="true" outlineLevel="0" collapsed="false">
      <c r="A12" s="1107" t="s">
        <v>451</v>
      </c>
      <c r="B12" s="1108" t="n">
        <f aca="false">B33+H33+N33+T33</f>
        <v>836463742</v>
      </c>
      <c r="C12" s="1108" t="n">
        <f aca="false">C33+I33+O33+U33</f>
        <v>314677646</v>
      </c>
      <c r="D12" s="1108" t="n">
        <f aca="false">D33+J33+P33+V33</f>
        <v>118791</v>
      </c>
      <c r="E12" s="1108" t="n">
        <f aca="false">SUM(B12:D12)</f>
        <v>1151260179</v>
      </c>
      <c r="G12" s="1107" t="s">
        <v>451</v>
      </c>
      <c r="H12" s="1109" t="n">
        <f aca="true">OFFSET('☆掛負収入'!$B$65,$AP$4*$AP12,0,1,1)+OFFSET('☆掛負収入'!$C$65,$AP$4*$AP12,0,1,1)</f>
        <v>522095973</v>
      </c>
      <c r="I12" s="1109" t="n">
        <f aca="true">OFFSET('☆掛負収入'!$H$65,$AP$4*$AP12,0,1,1)</f>
        <v>367864881</v>
      </c>
      <c r="J12" s="1109" t="n">
        <f aca="true">OFFSET('☆掛負収入'!$K$65,$AP$4*$AP12,0,1,1)</f>
        <v>31229592</v>
      </c>
      <c r="K12" s="1109" t="n">
        <f aca="true">OFFSET('☆掛負収入'!$N$65,$AP$4*$AP12,0,1,1)</f>
        <v>8366</v>
      </c>
      <c r="L12" s="1108" t="n">
        <f aca="false">SUM(H12:K12)</f>
        <v>921198812</v>
      </c>
      <c r="N12" s="1108" t="n">
        <f aca="false">E12+L12</f>
        <v>2072458991</v>
      </c>
      <c r="O12" s="1109" t="n">
        <f aca="false">-'☆長期集計R7'!H36+'☆長期集計R7'!K34-'☆長期集計R7'!H76+'☆長期集計R7'!K77</f>
        <v>0</v>
      </c>
      <c r="P12" s="1109" t="n">
        <f aca="false">-'☆短期集計R7'!H10-'☆短期集計R7'!K10+'☆短期集計R7'!K32</f>
        <v>-338855</v>
      </c>
      <c r="Q12" s="1109" t="n">
        <f aca="false">-'☆介護集計R7'!H10-'☆介護集計R7'!K10+'☆介護集計R7'!K32</f>
        <v>0</v>
      </c>
      <c r="R12" s="1109" t="n">
        <f aca="false">-'☆子・子集計R7'!H11-'☆子・子集計R7'!K11+'☆子・子集計R7'!K32</f>
        <v>2192180</v>
      </c>
      <c r="S12" s="1108" t="n">
        <f aca="false">L12+O12+P12+Q12+R12</f>
        <v>923052137</v>
      </c>
      <c r="T12" s="1110" t="n">
        <f aca="false">E12+S12</f>
        <v>2074312316</v>
      </c>
      <c r="U12" s="1111" t="s">
        <v>522</v>
      </c>
      <c r="W12" s="1112"/>
      <c r="X12" s="1113"/>
      <c r="Y12" s="1114" t="s">
        <v>451</v>
      </c>
      <c r="Z12" s="1115" t="n">
        <f aca="true">OFFSET('☆掛負収入'!$B$65,$AP$4*$AP12,0,1,1)</f>
        <v>482544009</v>
      </c>
      <c r="AA12" s="1116" t="n">
        <f aca="true">OFFSET('☆掛負収入'!$C$65,$AP$4*$AP12,0,1,1)</f>
        <v>39551964</v>
      </c>
      <c r="AB12" s="1108" t="n">
        <f aca="false">SUM(Z12:AA12)</f>
        <v>522095973</v>
      </c>
      <c r="AC12" s="1115" t="n">
        <f aca="true">OFFSET('☆掛負収入'!$D$65,$AP$4*$AP12,0,1,1)</f>
        <v>709850896</v>
      </c>
      <c r="AD12" s="1117" t="n">
        <f aca="true">OFFSET('☆掛負収入'!$E$65,$AP$4*$AP12,0,1,1)</f>
        <v>39528595</v>
      </c>
      <c r="AE12" s="1118" t="n">
        <f aca="true">OFFSET('☆掛負収入'!$F$65,$AP$4*$AP12,0,1,1)</f>
        <v>514821</v>
      </c>
      <c r="AF12" s="1108" t="n">
        <f aca="false">SUM(AC12:AE12)</f>
        <v>749894312</v>
      </c>
      <c r="AG12" s="1108" t="n">
        <f aca="false">AB12+AF12</f>
        <v>1271990285</v>
      </c>
      <c r="AH12" s="1119" t="n">
        <f aca="true">OFFSET('☆掛負収入'!$G$65,$AP$4*$AP12,0,1,1)</f>
        <v>1271990285</v>
      </c>
      <c r="AI12" s="1122" t="str">
        <f aca="false">IF(AG12=AH12,"○","×")</f>
        <v>○</v>
      </c>
      <c r="AJ12" s="1113"/>
      <c r="AK12" s="1107" t="s">
        <v>451</v>
      </c>
      <c r="AL12" s="1108" t="n">
        <f aca="false">AG12+AB33+AI33+AP33</f>
        <v>2072458991</v>
      </c>
      <c r="AM12" s="1108" t="n">
        <f aca="false">N12</f>
        <v>2072458991</v>
      </c>
      <c r="AN12" s="1122" t="str">
        <f aca="false">IF(AL12=AM12,"○","×")</f>
        <v>○</v>
      </c>
      <c r="AP12" s="1121" t="n">
        <v>7</v>
      </c>
      <c r="AR12" s="1124"/>
    </row>
    <row r="13" customFormat="false" ht="24.75" hidden="false" customHeight="true" outlineLevel="0" collapsed="false">
      <c r="A13" s="1107" t="s">
        <v>452</v>
      </c>
      <c r="B13" s="1108" t="n">
        <f aca="false">B34+H34+N34+T34</f>
        <v>834797252</v>
      </c>
      <c r="C13" s="1108" t="n">
        <f aca="false">C34+I34+O34+U34</f>
        <v>313764566</v>
      </c>
      <c r="D13" s="1108" t="n">
        <f aca="false">D34+J34+P34+V34</f>
        <v>110816</v>
      </c>
      <c r="E13" s="1108" t="n">
        <f aca="false">SUM(B13:D13)</f>
        <v>1148672634</v>
      </c>
      <c r="G13" s="1107" t="s">
        <v>452</v>
      </c>
      <c r="H13" s="1109" t="n">
        <f aca="true">OFFSET('☆掛負収入'!$B$65,$AP$4*$AP13,0,1,1)+OFFSET('☆掛負収入'!$C$65,$AP$4*$AP13,0,1,1)</f>
        <v>520516682</v>
      </c>
      <c r="I13" s="1109" t="n">
        <f aca="true">OFFSET('☆掛負収入'!$H$65,$AP$4*$AP13,0,1,1)</f>
        <v>366177202</v>
      </c>
      <c r="J13" s="1109" t="n">
        <f aca="true">OFFSET('☆掛負収入'!$K$65,$AP$4*$AP13,0,1,1)</f>
        <v>31294719</v>
      </c>
      <c r="K13" s="1109" t="n">
        <f aca="true">OFFSET('☆掛負収入'!$N$65,$AP$4*$AP13,0,1,1)</f>
        <v>27</v>
      </c>
      <c r="L13" s="1108" t="n">
        <f aca="false">SUM(H13:K13)</f>
        <v>917988630</v>
      </c>
      <c r="N13" s="1108" t="n">
        <f aca="false">E13+L13</f>
        <v>2066661264</v>
      </c>
      <c r="O13" s="1109" t="n">
        <f aca="false">-'☆長期集計R7'!H37+'☆長期集計R7'!K35-'☆長期集計R7'!H77+'☆長期集計R7'!K78</f>
        <v>0</v>
      </c>
      <c r="P13" s="1109" t="n">
        <f aca="false">-'☆短期集計R7'!H11-'☆短期集計R7'!K11+'☆短期集計R7'!K33</f>
        <v>-352644</v>
      </c>
      <c r="Q13" s="1109" t="n">
        <f aca="false">-'☆介護集計R7'!H11-'☆介護集計R7'!K11+'☆介護集計R7'!K33</f>
        <v>0</v>
      </c>
      <c r="R13" s="1109" t="n">
        <f aca="false">-'☆子・子集計R7'!H12-'☆子・子集計R7'!K12+'☆子・子集計R7'!K33</f>
        <v>2200000</v>
      </c>
      <c r="S13" s="1108" t="n">
        <f aca="false">L13+O13+P13+Q13+R13</f>
        <v>919835986</v>
      </c>
      <c r="T13" s="1110" t="n">
        <f aca="false">E13+S13</f>
        <v>2068508620</v>
      </c>
      <c r="U13" s="1111" t="s">
        <v>522</v>
      </c>
      <c r="W13" s="1112"/>
      <c r="X13" s="1113"/>
      <c r="Y13" s="1114" t="s">
        <v>452</v>
      </c>
      <c r="Z13" s="1115" t="n">
        <f aca="true">OFFSET('☆掛負収入'!$B$65,$AP$4*$AP13,0,1,1)</f>
        <v>481072783</v>
      </c>
      <c r="AA13" s="1116" t="n">
        <f aca="true">OFFSET('☆掛負収入'!$C$65,$AP$4*$AP13,0,1,1)</f>
        <v>39443899</v>
      </c>
      <c r="AB13" s="1108" t="n">
        <f aca="false">SUM(Z13:AA13)</f>
        <v>520516682</v>
      </c>
      <c r="AC13" s="1115" t="n">
        <f aca="true">OFFSET('☆掛負収入'!$D$65,$AP$4*$AP13,0,1,1)</f>
        <v>708044487</v>
      </c>
      <c r="AD13" s="1117" t="n">
        <f aca="true">OFFSET('☆掛負収入'!$E$65,$AP$4*$AP13,0,1,1)</f>
        <v>39390420</v>
      </c>
      <c r="AE13" s="1118" t="n">
        <f aca="true">OFFSET('☆掛負収入'!$F$65,$AP$4*$AP13,0,1,1)</f>
        <v>514655</v>
      </c>
      <c r="AF13" s="1108" t="n">
        <f aca="false">SUM(AC13:AE13)</f>
        <v>747949562</v>
      </c>
      <c r="AG13" s="1108" t="n">
        <f aca="false">AB13+AF13</f>
        <v>1268466244</v>
      </c>
      <c r="AH13" s="1119" t="n">
        <f aca="true">OFFSET('☆掛負収入'!$G$65,$AP$4*$AP13,0,1,1)</f>
        <v>1268466244</v>
      </c>
      <c r="AI13" s="1122" t="str">
        <f aca="false">IF(AG13=AH13,"○","×")</f>
        <v>○</v>
      </c>
      <c r="AJ13" s="1113"/>
      <c r="AK13" s="1107" t="s">
        <v>452</v>
      </c>
      <c r="AL13" s="1108" t="n">
        <f aca="false">AG13+AB34+AI34+AP34</f>
        <v>2066661264</v>
      </c>
      <c r="AM13" s="1108" t="n">
        <f aca="false">N13</f>
        <v>2066661264</v>
      </c>
      <c r="AN13" s="1122" t="str">
        <f aca="false">IF(AL13=AM13,"○","×")</f>
        <v>○</v>
      </c>
      <c r="AP13" s="1121" t="n">
        <v>8</v>
      </c>
      <c r="AR13" s="1124"/>
    </row>
    <row r="14" customFormat="false" ht="24.75" hidden="false" customHeight="true" outlineLevel="0" collapsed="false">
      <c r="A14" s="1107" t="s">
        <v>524</v>
      </c>
      <c r="B14" s="1108" t="n">
        <f aca="false">B35+H35+N35+T35</f>
        <v>1543156676</v>
      </c>
      <c r="C14" s="1108" t="n">
        <f aca="false">C35+I35+O35+U35</f>
        <v>493640869</v>
      </c>
      <c r="D14" s="1108" t="n">
        <f aca="false">D35+J35+P35+V35</f>
        <v>137975</v>
      </c>
      <c r="E14" s="1108" t="n">
        <f aca="false">SUM(B14:D14)</f>
        <v>2036935520</v>
      </c>
      <c r="G14" s="1107" t="s">
        <v>524</v>
      </c>
      <c r="H14" s="1109" t="n">
        <f aca="true">OFFSET('☆掛負収入'!$B$65,$AP$4*$AP14,0,1,1)+OFFSET('☆掛負収入'!$C$65,$AP$4*$AP14,0,1,1)</f>
        <v>942249566</v>
      </c>
      <c r="I14" s="1109" t="n">
        <f aca="true">OFFSET('☆掛負収入'!$H$65,$AP$4*$AP14,0,1,1)</f>
        <v>628299535</v>
      </c>
      <c r="J14" s="1109" t="n">
        <f aca="true">OFFSET('☆掛負収入'!$K$65,$AP$4*$AP14,0,1,1)</f>
        <v>56098280</v>
      </c>
      <c r="K14" s="1109" t="n">
        <f aca="true">OFFSET('☆掛負収入'!$N$65,$AP$4*$AP14,0,1,1)</f>
        <v>26</v>
      </c>
      <c r="L14" s="1108" t="n">
        <f aca="false">SUM(H14:K14)</f>
        <v>1626647407</v>
      </c>
      <c r="N14" s="1108" t="n">
        <f aca="false">E14+L14</f>
        <v>3663582927</v>
      </c>
      <c r="O14" s="1109" t="n">
        <f aca="false">'☆長期集計R7'!K36+'☆長期集計R7'!K79</f>
        <v>0</v>
      </c>
      <c r="P14" s="1109" t="n">
        <f aca="false">'☆短期集計R7'!K34</f>
        <v>0</v>
      </c>
      <c r="Q14" s="1109" t="n">
        <f aca="false">'☆介護集計R7'!K34</f>
        <v>0</v>
      </c>
      <c r="R14" s="1109" t="n">
        <f aca="false">-'☆子・子集計R7'!H13-'☆子・子集計R7'!K13+'☆子・子集計R7'!K34</f>
        <v>2200000</v>
      </c>
      <c r="S14" s="1108" t="n">
        <f aca="false">L14+O14+P14+Q14+R14</f>
        <v>1628847407</v>
      </c>
      <c r="T14" s="1110" t="n">
        <f aca="false">E14+S14</f>
        <v>3665782927</v>
      </c>
      <c r="U14" s="1111" t="s">
        <v>522</v>
      </c>
      <c r="W14" s="1112"/>
      <c r="X14" s="1113"/>
      <c r="Y14" s="1114" t="s">
        <v>524</v>
      </c>
      <c r="Z14" s="1115" t="n">
        <f aca="true">OFFSET('☆掛負収入'!$B$65,$AP$4*$AP14,0,1,1)</f>
        <v>870859030</v>
      </c>
      <c r="AA14" s="1116" t="n">
        <f aca="true">OFFSET('☆掛負収入'!$C$65,$AP$4*$AP14,0,1,1)</f>
        <v>71390536</v>
      </c>
      <c r="AB14" s="1108" t="n">
        <f aca="false">SUM(Z14:AA14)</f>
        <v>942249566</v>
      </c>
      <c r="AC14" s="1115" t="n">
        <f aca="true">OFFSET('☆掛負収入'!$D$65,$AP$4*$AP14,0,1,1)</f>
        <v>1271133608</v>
      </c>
      <c r="AD14" s="1117" t="n">
        <f aca="true">OFFSET('☆掛負収入'!$E$65,$AP$4*$AP14,0,1,1)</f>
        <v>71393944</v>
      </c>
      <c r="AE14" s="1118" t="n">
        <f aca="true">OFFSET('☆掛負収入'!$F$65,$AP$4*$AP14,0,1,1)</f>
        <v>905702</v>
      </c>
      <c r="AF14" s="1108" t="n">
        <f aca="false">SUM(AC14:AE14)</f>
        <v>1343433254</v>
      </c>
      <c r="AG14" s="1108" t="n">
        <f aca="false">AB14+AF14</f>
        <v>2285682820</v>
      </c>
      <c r="AH14" s="1119" t="n">
        <f aca="true">OFFSET('☆掛負収入'!$G$65,$AP$4*$AP14,0,1,1)</f>
        <v>2285682820</v>
      </c>
      <c r="AI14" s="1122" t="str">
        <f aca="false">IF(AG14=AH14,"○","×")</f>
        <v>○</v>
      </c>
      <c r="AJ14" s="1113"/>
      <c r="AK14" s="1107" t="s">
        <v>524</v>
      </c>
      <c r="AL14" s="1108" t="n">
        <f aca="false">AG14+AB35+AI35+AP35</f>
        <v>3663582927</v>
      </c>
      <c r="AM14" s="1108" t="n">
        <f aca="false">N14</f>
        <v>3663582927</v>
      </c>
      <c r="AN14" s="1122" t="str">
        <f aca="false">IF(AL14=AM14,"○","×")</f>
        <v>○</v>
      </c>
      <c r="AP14" s="1121" t="n">
        <v>9</v>
      </c>
      <c r="AR14" s="1124"/>
    </row>
    <row r="15" customFormat="false" ht="24.75" hidden="false" customHeight="true" outlineLevel="0" collapsed="false">
      <c r="A15" s="1107" t="s">
        <v>453</v>
      </c>
      <c r="B15" s="1108" t="n">
        <f aca="false">B36+H36+N36+T36</f>
        <v>834930575</v>
      </c>
      <c r="C15" s="1108" t="n">
        <f aca="false">C36+I36+O36+U36</f>
        <v>313399749</v>
      </c>
      <c r="D15" s="1108" t="n">
        <f aca="false">D36+J36+P36+V36</f>
        <v>110816</v>
      </c>
      <c r="E15" s="1108" t="n">
        <f aca="false">SUM(B15:D15)</f>
        <v>1148441140</v>
      </c>
      <c r="G15" s="1107" t="s">
        <v>453</v>
      </c>
      <c r="H15" s="1109" t="n">
        <f aca="true">OFFSET('☆掛負収入'!$B$65,$AP$4*$AP15,0,1,1)+OFFSET('☆掛負収入'!$C$65,$AP$4*$AP15,0,1,1)</f>
        <v>520137253</v>
      </c>
      <c r="I15" s="1109" t="n">
        <f aca="true">OFFSET('☆掛負収入'!$H$65,$AP$4*$AP15,0,1,1)</f>
        <v>366311761</v>
      </c>
      <c r="J15" s="1109" t="n">
        <f aca="true">OFFSET('☆掛負収入'!$K$65,$AP$4*$AP15,0,1,1)</f>
        <v>31313778</v>
      </c>
      <c r="K15" s="1109" t="n">
        <f aca="true">OFFSET('☆掛負収入'!$N$65,$AP$4*$AP15,0,1,1)</f>
        <v>27</v>
      </c>
      <c r="L15" s="1108" t="n">
        <f aca="false">SUM(H15:K15)</f>
        <v>917762819</v>
      </c>
      <c r="N15" s="1108" t="n">
        <f aca="false">E15+L15</f>
        <v>2066203959</v>
      </c>
      <c r="O15" s="1109" t="n">
        <f aca="false">-'☆長期集計R7'!H38+'☆長期集計R7'!K37-'☆長期集計R7'!H78+'☆長期集計R7'!K80</f>
        <v>0</v>
      </c>
      <c r="P15" s="1109" t="n">
        <f aca="false">-'☆短期集計R7'!H12-'☆短期集計R7'!K12+'☆短期集計R7'!K35</f>
        <v>0</v>
      </c>
      <c r="Q15" s="1109" t="n">
        <f aca="false">-'☆介護集計R7'!H12-'☆介護集計R7'!K12+'☆介護集計R7'!K35</f>
        <v>0</v>
      </c>
      <c r="R15" s="1109" t="n">
        <f aca="false">-'☆子・子集計R7'!H14-'☆子・子集計R7'!K14+'☆子・子集計R7'!K35</f>
        <v>2200000</v>
      </c>
      <c r="S15" s="1108" t="n">
        <f aca="false">L15+O15+P15+Q15+R15</f>
        <v>919962819</v>
      </c>
      <c r="T15" s="1110" t="n">
        <f aca="false">E15+S15</f>
        <v>2068403959</v>
      </c>
      <c r="U15" s="1111" t="s">
        <v>522</v>
      </c>
      <c r="W15" s="1112"/>
      <c r="X15" s="1113"/>
      <c r="Y15" s="1114" t="s">
        <v>453</v>
      </c>
      <c r="Z15" s="1115" t="n">
        <f aca="true">OFFSET('☆掛負収入'!$B$65,$AP$4*$AP15,0,1,1)</f>
        <v>480720230</v>
      </c>
      <c r="AA15" s="1116" t="n">
        <f aca="true">OFFSET('☆掛負収入'!$C$65,$AP$4*$AP15,0,1,1)</f>
        <v>39417023</v>
      </c>
      <c r="AB15" s="1108" t="n">
        <f aca="false">SUM(Z15:AA15)</f>
        <v>520137253</v>
      </c>
      <c r="AC15" s="1115" t="n">
        <f aca="true">OFFSET('☆掛負収入'!$D$65,$AP$4*$AP15,0,1,1)</f>
        <v>707668057</v>
      </c>
      <c r="AD15" s="1117" t="n">
        <f aca="true">OFFSET('☆掛負収入'!$E$65,$AP$4*$AP15,0,1,1)</f>
        <v>39383775</v>
      </c>
      <c r="AE15" s="1118" t="n">
        <f aca="true">OFFSET('☆掛負収入'!$F$65,$AP$4*$AP15,0,1,1)</f>
        <v>514166</v>
      </c>
      <c r="AF15" s="1108" t="n">
        <f aca="false">SUM(AC15:AE15)</f>
        <v>747565998</v>
      </c>
      <c r="AG15" s="1108" t="n">
        <f aca="false">AB15+AF15</f>
        <v>1267703251</v>
      </c>
      <c r="AH15" s="1119" t="n">
        <f aca="true">OFFSET('☆掛負収入'!$G$65,$AP$4*$AP15,0,1,1)</f>
        <v>1267703251</v>
      </c>
      <c r="AI15" s="1122" t="str">
        <f aca="false">IF(AG15=AH15,"○","×")</f>
        <v>○</v>
      </c>
      <c r="AJ15" s="1113"/>
      <c r="AK15" s="1107" t="s">
        <v>453</v>
      </c>
      <c r="AL15" s="1108" t="n">
        <f aca="false">AG15+AB36+AI36+AP36</f>
        <v>2066203959</v>
      </c>
      <c r="AM15" s="1108" t="n">
        <f aca="false">N15</f>
        <v>2066203959</v>
      </c>
      <c r="AN15" s="1122" t="str">
        <f aca="false">IF(AL15=AM15,"○","×")</f>
        <v>○</v>
      </c>
      <c r="AP15" s="1121" t="n">
        <v>10</v>
      </c>
      <c r="AR15" s="1124"/>
    </row>
    <row r="16" customFormat="false" ht="24.75" hidden="false" customHeight="true" outlineLevel="0" collapsed="false">
      <c r="A16" s="1107" t="s">
        <v>454</v>
      </c>
      <c r="B16" s="1108" t="n">
        <f aca="false">B37+H37+N37+T37</f>
        <v>835419002</v>
      </c>
      <c r="C16" s="1108" t="n">
        <f aca="false">C37+I37+O37+U37</f>
        <v>315113305</v>
      </c>
      <c r="D16" s="1108" t="n">
        <f aca="false">D37+J37+P37+V37</f>
        <v>116981</v>
      </c>
      <c r="E16" s="1108" t="n">
        <f aca="false">SUM(B16:D16)</f>
        <v>1150649288</v>
      </c>
      <c r="G16" s="1107" t="s">
        <v>454</v>
      </c>
      <c r="H16" s="1109" t="n">
        <f aca="true">OFFSET('☆掛負収入'!$B$65,$AP$4*$AP16,0,1,1)+OFFSET('☆掛負収入'!$C$65,$AP$4*$AP16,0,1,1)</f>
        <v>521291317</v>
      </c>
      <c r="I16" s="1109" t="n">
        <f aca="true">OFFSET('☆掛負収入'!$H$65,$AP$4*$AP16,0,1,1)</f>
        <v>366153450</v>
      </c>
      <c r="J16" s="1109" t="n">
        <f aca="true">OFFSET('☆掛負収入'!$K$65,$AP$4*$AP16,0,1,1)</f>
        <v>31373862</v>
      </c>
      <c r="K16" s="1109" t="n">
        <f aca="true">OFFSET('☆掛負収入'!$N$65,$AP$4*$AP16,0,1,1)</f>
        <v>27</v>
      </c>
      <c r="L16" s="1108" t="n">
        <f aca="false">SUM(H16:K16)</f>
        <v>918818656</v>
      </c>
      <c r="N16" s="1108" t="n">
        <f aca="false">E16+L16</f>
        <v>2069467944</v>
      </c>
      <c r="O16" s="1109" t="n">
        <f aca="false">-'☆長期集計R7'!H39+'☆長期集計R7'!K38-'☆長期集計R7'!H79+'☆長期集計R7'!K81</f>
        <v>0</v>
      </c>
      <c r="P16" s="1109" t="n">
        <f aca="false">-'☆短期集計R7'!H13-'☆短期集計R7'!K13+'☆短期集計R7'!K36</f>
        <v>0</v>
      </c>
      <c r="Q16" s="1109" t="n">
        <f aca="false">-'☆介護集計R7'!H13-'☆介護集計R7'!K13+'☆介護集計R7'!K36</f>
        <v>0</v>
      </c>
      <c r="R16" s="1109" t="n">
        <f aca="false">-'☆子・子集計R7'!H15-'☆子・子集計R7'!K15+'☆子・子集計R7'!K36</f>
        <v>2200000</v>
      </c>
      <c r="S16" s="1108" t="n">
        <f aca="false">L16+O16+P16+Q16+R16</f>
        <v>921018656</v>
      </c>
      <c r="T16" s="1110" t="n">
        <f aca="false">E16+S16</f>
        <v>2071667944</v>
      </c>
      <c r="U16" s="1111" t="s">
        <v>522</v>
      </c>
      <c r="W16" s="1112"/>
      <c r="X16" s="1113"/>
      <c r="Y16" s="1114" t="s">
        <v>454</v>
      </c>
      <c r="Z16" s="1115" t="n">
        <f aca="true">OFFSET('☆掛負収入'!$B$65,$AP$4*$AP16,0,1,1)</f>
        <v>481803224</v>
      </c>
      <c r="AA16" s="1116" t="n">
        <f aca="true">OFFSET('☆掛負収入'!$C$65,$AP$4*$AP16,0,1,1)</f>
        <v>39488093</v>
      </c>
      <c r="AB16" s="1108" t="n">
        <f aca="false">SUM(Z16:AA16)</f>
        <v>521291317</v>
      </c>
      <c r="AC16" s="1115" t="n">
        <f aca="true">OFFSET('☆掛負収入'!$D$65,$AP$4*$AP16,0,1,1)</f>
        <v>709735266</v>
      </c>
      <c r="AD16" s="1117" t="n">
        <f aca="true">OFFSET('☆掛負収入'!$E$65,$AP$4*$AP16,0,1,1)</f>
        <v>39467325</v>
      </c>
      <c r="AE16" s="1118" t="n">
        <f aca="true">OFFSET('☆掛負収入'!$F$65,$AP$4*$AP16,0,1,1)</f>
        <v>516130</v>
      </c>
      <c r="AF16" s="1108" t="n">
        <f aca="false">SUM(AC16:AE16)</f>
        <v>749718721</v>
      </c>
      <c r="AG16" s="1108" t="n">
        <f aca="false">AB16+AF16</f>
        <v>1271010038</v>
      </c>
      <c r="AH16" s="1119" t="n">
        <f aca="true">OFFSET('☆掛負収入'!$G$65,$AP$4*$AP16,0,1,1)</f>
        <v>1271010038</v>
      </c>
      <c r="AI16" s="1122" t="str">
        <f aca="false">IF(AG16=AH16,"○","×")</f>
        <v>○</v>
      </c>
      <c r="AJ16" s="1113"/>
      <c r="AK16" s="1107" t="s">
        <v>454</v>
      </c>
      <c r="AL16" s="1108" t="n">
        <f aca="false">AG16+AB37+AI37+AP37</f>
        <v>2069467944</v>
      </c>
      <c r="AM16" s="1108" t="n">
        <f aca="false">N16</f>
        <v>2069467944</v>
      </c>
      <c r="AN16" s="1122" t="str">
        <f aca="false">IF(AL16=AM16,"○","×")</f>
        <v>○</v>
      </c>
      <c r="AP16" s="1121" t="n">
        <v>11</v>
      </c>
      <c r="AR16" s="1124"/>
    </row>
    <row r="17" customFormat="false" ht="24.75" hidden="false" customHeight="true" outlineLevel="0" collapsed="false">
      <c r="A17" s="1107" t="s">
        <v>455</v>
      </c>
      <c r="B17" s="1108" t="n">
        <f aca="false">B38+H38+N38+T38</f>
        <v>835615028</v>
      </c>
      <c r="C17" s="1108" t="n">
        <f aca="false">C38+I38+O38+U38</f>
        <v>313998284</v>
      </c>
      <c r="D17" s="1108" t="n">
        <f aca="false">D38+J38+P38+V38</f>
        <v>116981</v>
      </c>
      <c r="E17" s="1108" t="n">
        <f aca="false">SUM(B17:D17)</f>
        <v>1149730293</v>
      </c>
      <c r="G17" s="1107" t="s">
        <v>455</v>
      </c>
      <c r="H17" s="1109" t="n">
        <f aca="true">OFFSET('☆掛負収入'!$B$65,$AP$4*$AP17,0,1,1)+OFFSET('☆掛負収入'!$C$65,$AP$4*$AP17,0,1,1)</f>
        <v>520346107</v>
      </c>
      <c r="I17" s="1109" t="n">
        <f aca="true">OFFSET('☆掛負収入'!$H$65,$AP$4*$AP17,0,1,1)</f>
        <v>365515644</v>
      </c>
      <c r="J17" s="1109" t="n">
        <f aca="true">OFFSET('☆掛負収入'!$K$65,$AP$4*$AP17,0,1,1)</f>
        <v>31404529</v>
      </c>
      <c r="K17" s="1109" t="n">
        <f aca="true">OFFSET('☆掛負収入'!$N$65,$AP$4*$AP17,0,1,1)</f>
        <v>27</v>
      </c>
      <c r="L17" s="1108" t="n">
        <f aca="false">SUM(H17:K17)</f>
        <v>917266307</v>
      </c>
      <c r="N17" s="1108" t="n">
        <f aca="false">E17+L17</f>
        <v>2066996600</v>
      </c>
      <c r="O17" s="1109" t="n">
        <f aca="false">-'☆長期集計R7'!H40+'☆長期集計R7'!K39-'☆長期集計R7'!H80+'☆長期集計R7'!K82</f>
        <v>0</v>
      </c>
      <c r="P17" s="1109" t="n">
        <f aca="false">-'☆短期集計R7'!H14-'☆短期集計R7'!K14+'☆短期集計R7'!K37</f>
        <v>0</v>
      </c>
      <c r="Q17" s="1109" t="n">
        <f aca="false">-'☆介護集計R7'!H14-'☆介護集計R7'!K14+'☆介護集計R7'!K37</f>
        <v>0</v>
      </c>
      <c r="R17" s="1109" t="n">
        <f aca="false">-'☆子・子集計R7'!H16-'☆子・子集計R7'!K16+'☆子・子集計R7'!K37</f>
        <v>2046332</v>
      </c>
      <c r="S17" s="1108" t="n">
        <f aca="false">L17+O17+P17+Q17+R17</f>
        <v>919312639</v>
      </c>
      <c r="T17" s="1110" t="n">
        <f aca="false">E17+S17</f>
        <v>2069042932</v>
      </c>
      <c r="U17" s="1111" t="s">
        <v>522</v>
      </c>
      <c r="W17" s="1112"/>
      <c r="X17" s="1113"/>
      <c r="Y17" s="1114" t="s">
        <v>455</v>
      </c>
      <c r="Z17" s="1115" t="n">
        <f aca="true">OFFSET('☆掛負収入'!$B$65,$AP$4*$AP17,0,1,1)</f>
        <v>480921440</v>
      </c>
      <c r="AA17" s="1116" t="n">
        <f aca="true">OFFSET('☆掛負収入'!$C$65,$AP$4*$AP17,0,1,1)</f>
        <v>39424667</v>
      </c>
      <c r="AB17" s="1108" t="n">
        <f aca="false">SUM(Z17:AA17)</f>
        <v>520346107</v>
      </c>
      <c r="AC17" s="1115" t="n">
        <f aca="true">OFFSET('☆掛負収入'!$D$65,$AP$4*$AP17,0,1,1)</f>
        <v>708776724</v>
      </c>
      <c r="AD17" s="1117" t="n">
        <f aca="true">OFFSET('☆掛負収入'!$E$65,$AP$4*$AP17,0,1,1)</f>
        <v>39424798</v>
      </c>
      <c r="AE17" s="1118" t="n">
        <f aca="true">OFFSET('☆掛負収入'!$F$65,$AP$4*$AP17,0,1,1)</f>
        <v>515309</v>
      </c>
      <c r="AF17" s="1108" t="n">
        <f aca="false">SUM(AC17:AE17)</f>
        <v>748716831</v>
      </c>
      <c r="AG17" s="1108" t="n">
        <f aca="false">AB17+AF17</f>
        <v>1269062938</v>
      </c>
      <c r="AH17" s="1119" t="n">
        <f aca="true">OFFSET('☆掛負収入'!$G$65,$AP$4*$AP17,0,1,1)</f>
        <v>1269062938</v>
      </c>
      <c r="AI17" s="1122" t="str">
        <f aca="false">IF(AG17=AH17,"○","×")</f>
        <v>○</v>
      </c>
      <c r="AJ17" s="1113"/>
      <c r="AK17" s="1107" t="s">
        <v>455</v>
      </c>
      <c r="AL17" s="1108" t="n">
        <f aca="false">AG17+AB38+AI38+AP38</f>
        <v>2066996600</v>
      </c>
      <c r="AM17" s="1108" t="n">
        <f aca="false">N17</f>
        <v>2066996600</v>
      </c>
      <c r="AN17" s="1122" t="str">
        <f aca="false">IF(AL17=AM17,"○","×")</f>
        <v>○</v>
      </c>
      <c r="AP17" s="1121" t="n">
        <v>12</v>
      </c>
      <c r="AR17" s="1124"/>
    </row>
    <row r="18" customFormat="false" ht="24.75" hidden="false" customHeight="true" outlineLevel="0" collapsed="false">
      <c r="A18" s="1107" t="s">
        <v>525</v>
      </c>
      <c r="B18" s="1108" t="n">
        <f aca="false">B39+H39+N39+T39</f>
        <v>351448624</v>
      </c>
      <c r="C18" s="1108" t="n">
        <f aca="false">C39+I39+O39+U39</f>
        <v>103982037</v>
      </c>
      <c r="D18" s="1108" t="n">
        <f aca="false">D39+J39+P39+V39</f>
        <v>35757</v>
      </c>
      <c r="E18" s="1108" t="n">
        <f aca="false">SUM(B18:D18)</f>
        <v>455466418</v>
      </c>
      <c r="G18" s="1107" t="s">
        <v>525</v>
      </c>
      <c r="H18" s="1109" t="n">
        <f aca="true">OFFSET('☆掛負収入'!$B$65,$AP$4*$AP18,0,1,1)+OFFSET('☆掛負収入'!$C$65,$AP$4*$AP18,0,1,1)</f>
        <v>213075257</v>
      </c>
      <c r="I18" s="1109" t="n">
        <f aca="true">OFFSET('☆掛負収入'!$H$65,$AP$4*$AP18,0,1,1)</f>
        <v>139822185</v>
      </c>
      <c r="J18" s="1109" t="n">
        <f aca="true">OFFSET('☆掛負収入'!$K$65,$AP$4*$AP18,0,1,1)</f>
        <v>12910671</v>
      </c>
      <c r="K18" s="1109" t="n">
        <f aca="true">OFFSET('☆掛負収入'!$N$65,$AP$4*$AP18,0,1,1)</f>
        <v>21</v>
      </c>
      <c r="L18" s="1108" t="n">
        <f aca="false">SUM(H18:K18)</f>
        <v>365808134</v>
      </c>
      <c r="N18" s="1108" t="n">
        <f aca="false">E18+L18</f>
        <v>821274552</v>
      </c>
      <c r="O18" s="1109" t="n">
        <f aca="false">'☆長期集計R7'!K40+'☆長期集計R7'!K83</f>
        <v>0</v>
      </c>
      <c r="P18" s="1109" t="n">
        <f aca="false">'☆短期集計R7'!K38</f>
        <v>0</v>
      </c>
      <c r="Q18" s="1109" t="n">
        <f aca="false">'☆介護集計R7'!K38</f>
        <v>0</v>
      </c>
      <c r="R18" s="1109" t="n">
        <f aca="false">-'☆子・子集計R7'!H17-'☆子・子集計R7'!K17+'☆子・子集計R7'!K38</f>
        <v>2200000</v>
      </c>
      <c r="S18" s="1108" t="n">
        <f aca="false">L18+O18+P18+Q18+R18</f>
        <v>368008134</v>
      </c>
      <c r="T18" s="1110" t="n">
        <f aca="false">E18+S18</f>
        <v>823474552</v>
      </c>
      <c r="U18" s="1111" t="s">
        <v>522</v>
      </c>
      <c r="W18" s="1112"/>
      <c r="X18" s="1113"/>
      <c r="Y18" s="1114" t="s">
        <v>525</v>
      </c>
      <c r="Z18" s="1115" t="n">
        <f aca="true">OFFSET('☆掛負収入'!$B$65,$AP$4*$AP18,0,1,1)</f>
        <v>196926277</v>
      </c>
      <c r="AA18" s="1116" t="n">
        <f aca="true">OFFSET('☆掛負収入'!$C$65,$AP$4*$AP18,0,1,1)</f>
        <v>16148980</v>
      </c>
      <c r="AB18" s="1108" t="n">
        <f aca="false">SUM(Z18:AA18)</f>
        <v>213075257</v>
      </c>
      <c r="AC18" s="1115" t="n">
        <f aca="true">OFFSET('☆掛負収入'!$D$65,$AP$4*$AP18,0,1,1)</f>
        <v>279013125</v>
      </c>
      <c r="AD18" s="1117" t="n">
        <f aca="true">OFFSET('☆掛負収入'!$E$65,$AP$4*$AP18,0,1,1)</f>
        <v>16688840</v>
      </c>
      <c r="AE18" s="1118" t="n">
        <f aca="true">OFFSET('☆掛負収入'!$F$65,$AP$4*$AP18,0,1,1)</f>
        <v>214324</v>
      </c>
      <c r="AF18" s="1108" t="n">
        <f aca="false">SUM(AC18:AE18)</f>
        <v>295916289</v>
      </c>
      <c r="AG18" s="1108" t="n">
        <f aca="false">AB18+AF18</f>
        <v>508991546</v>
      </c>
      <c r="AH18" s="1119" t="n">
        <f aca="true">OFFSET('☆掛負収入'!$G$65,$AP$4*$AP18,0,1,1)</f>
        <v>508991546</v>
      </c>
      <c r="AI18" s="1122" t="str">
        <f aca="false">IF(AG18=AH18,"○","×")</f>
        <v>○</v>
      </c>
      <c r="AJ18" s="1113"/>
      <c r="AK18" s="1107" t="s">
        <v>525</v>
      </c>
      <c r="AL18" s="1108" t="n">
        <f aca="false">AG18+AB39+AI39+AP39</f>
        <v>821274552</v>
      </c>
      <c r="AM18" s="1108" t="n">
        <f aca="false">N18</f>
        <v>821274552</v>
      </c>
      <c r="AN18" s="1122" t="str">
        <f aca="false">IF(AL18=AM18,"○","×")</f>
        <v>○</v>
      </c>
      <c r="AP18" s="1121" t="n">
        <v>13</v>
      </c>
      <c r="AR18" s="1124"/>
    </row>
    <row r="19" customFormat="false" ht="24.75" hidden="false" customHeight="true" outlineLevel="0" collapsed="false">
      <c r="A19" s="1107" t="s">
        <v>456</v>
      </c>
      <c r="B19" s="1108" t="n">
        <f aca="false">B40+H40+N40+T40</f>
        <v>789150768</v>
      </c>
      <c r="C19" s="1108" t="n">
        <f aca="false">C40+I40+O40+U40</f>
        <v>299026101</v>
      </c>
      <c r="D19" s="1108" t="n">
        <f aca="false">D40+J40+P40+V40</f>
        <v>116981</v>
      </c>
      <c r="E19" s="1108" t="n">
        <f aca="false">SUM(B19:D19)</f>
        <v>1088293850</v>
      </c>
      <c r="G19" s="1107" t="s">
        <v>456</v>
      </c>
      <c r="H19" s="1109" t="n">
        <f aca="true">OFFSET('☆掛負収入'!$B$65,$AP$4*$AP19,0,1,1)+OFFSET('☆掛負収入'!$C$65,$AP$4*$AP19,0,1,1)</f>
        <v>514801432</v>
      </c>
      <c r="I19" s="1109" t="n">
        <f aca="true">OFFSET('☆掛負収入'!$H$65,$AP$4*$AP19,0,1,1)</f>
        <v>355787025</v>
      </c>
      <c r="J19" s="1109" t="n">
        <f aca="true">OFFSET('☆掛負収入'!$K$65,$AP$4*$AP19,0,1,1)</f>
        <v>32282038</v>
      </c>
      <c r="K19" s="1109" t="n">
        <f aca="true">OFFSET('☆掛負収入'!$N$65,$AP$4*$AP19,0,1,1)</f>
        <v>27</v>
      </c>
      <c r="L19" s="1108" t="n">
        <f aca="false">SUM(H19:K19)</f>
        <v>902870522</v>
      </c>
      <c r="N19" s="1108" t="n">
        <f aca="false">E19+L19</f>
        <v>1991164372</v>
      </c>
      <c r="O19" s="1109" t="n">
        <f aca="false">-'☆長期集計R7'!H41+'☆長期集計R7'!K41-'☆長期集計R7'!H81+'☆長期集計R7'!K84</f>
        <v>0</v>
      </c>
      <c r="P19" s="1109" t="n">
        <f aca="false">-'☆短期集計R7'!H15-'☆短期集計R7'!K15+'☆短期集計R7'!K39</f>
        <v>0</v>
      </c>
      <c r="Q19" s="1109" t="n">
        <f aca="false">-'☆介護集計R7'!H15-'☆介護集計R7'!K15+'☆介護集計R7'!K39</f>
        <v>0</v>
      </c>
      <c r="R19" s="1109" t="n">
        <f aca="false">-'☆子・子集計R7'!H18-'☆子・子集計R7'!K18+'☆子・子集計R7'!K39</f>
        <v>2200000</v>
      </c>
      <c r="S19" s="1108" t="n">
        <f aca="false">L19+O19+P19+Q19+R19</f>
        <v>905070522</v>
      </c>
      <c r="T19" s="1110" t="n">
        <f aca="false">E19+S19</f>
        <v>1993364372</v>
      </c>
      <c r="U19" s="1111" t="s">
        <v>522</v>
      </c>
      <c r="W19" s="1112"/>
      <c r="X19" s="1113"/>
      <c r="Y19" s="1114" t="s">
        <v>456</v>
      </c>
      <c r="Z19" s="1115" t="n">
        <f aca="true">OFFSET('☆掛負収入'!$B$65,$AP$4*$AP19,0,1,1)</f>
        <v>475792313</v>
      </c>
      <c r="AA19" s="1116" t="n">
        <f aca="true">OFFSET('☆掛負収入'!$C$65,$AP$4*$AP19,0,1,1)</f>
        <v>39009119</v>
      </c>
      <c r="AB19" s="1108" t="n">
        <f aca="false">SUM(Z19:AA19)</f>
        <v>514801432</v>
      </c>
      <c r="AC19" s="1115" t="n">
        <f aca="true">OFFSET('☆掛負収入'!$D$65,$AP$4*$AP19,0,1,1)</f>
        <v>656807401</v>
      </c>
      <c r="AD19" s="1117" t="n">
        <f aca="true">OFFSET('☆掛負収入'!$E$65,$AP$4*$AP19,0,1,1)</f>
        <v>38991344</v>
      </c>
      <c r="AE19" s="1118" t="n">
        <f aca="true">OFFSET('☆掛負収入'!$F$65,$AP$4*$AP19,0,1,1)</f>
        <v>515892</v>
      </c>
      <c r="AF19" s="1108" t="n">
        <f aca="false">SUM(AC19:AE19)</f>
        <v>696314637</v>
      </c>
      <c r="AG19" s="1108" t="n">
        <f aca="false">AB19+AF19</f>
        <v>1211116069</v>
      </c>
      <c r="AH19" s="1119" t="n">
        <f aca="true">OFFSET('☆掛負収入'!$G$65,$AP$4*$AP19,0,1,1)</f>
        <v>1211116069</v>
      </c>
      <c r="AI19" s="1122" t="str">
        <f aca="false">IF(AG19=AH19,"○","×")</f>
        <v>○</v>
      </c>
      <c r="AJ19" s="1113"/>
      <c r="AK19" s="1107" t="s">
        <v>456</v>
      </c>
      <c r="AL19" s="1108" t="n">
        <f aca="false">AG19+AB40+AI40+AP40</f>
        <v>1991164372</v>
      </c>
      <c r="AM19" s="1108" t="n">
        <f aca="false">N19</f>
        <v>1991164372</v>
      </c>
      <c r="AN19" s="1122" t="str">
        <f aca="false">IF(AL19=AM19,"○","×")</f>
        <v>○</v>
      </c>
      <c r="AP19" s="1121" t="n">
        <v>14</v>
      </c>
      <c r="AR19" s="1124"/>
    </row>
    <row r="20" customFormat="false" ht="24.75" hidden="false" customHeight="true" outlineLevel="0" collapsed="false">
      <c r="A20" s="1125" t="s">
        <v>526</v>
      </c>
      <c r="B20" s="1108" t="n">
        <f aca="false">B41+H41+N41+T41</f>
        <v>44209482</v>
      </c>
      <c r="C20" s="1108" t="n">
        <f aca="false">C41+I41+O41+U41</f>
        <v>12302787</v>
      </c>
      <c r="D20" s="1108" t="n">
        <f aca="false">D41+J41+P41+V41</f>
        <v>76270</v>
      </c>
      <c r="E20" s="1108" t="n">
        <f aca="false">SUM(B20:D20)</f>
        <v>56588539</v>
      </c>
      <c r="G20" s="1125" t="s">
        <v>526</v>
      </c>
      <c r="H20" s="1109" t="n">
        <f aca="true">OFFSET('☆掛負収入'!$B$65,$AP$4*$AP20,0,1,1)+OFFSET('☆掛負収入'!$C$65,$AP$4*$AP20,0,1,1)</f>
        <v>26367367</v>
      </c>
      <c r="I20" s="1109" t="n">
        <f aca="true">OFFSET('☆掛負収入'!$H$65,$AP$4*$AP20,0,1,1)</f>
        <v>17812876</v>
      </c>
      <c r="J20" s="1109" t="n">
        <f aca="true">OFFSET('☆掛負収入'!$K$65,$AP$4*$AP20,0,1,1)</f>
        <v>1479301</v>
      </c>
      <c r="K20" s="1109" t="n">
        <f aca="true">OFFSET('☆掛負収入'!$N$65,$AP$4*$AP20,0,1,1)</f>
        <v>25</v>
      </c>
      <c r="L20" s="1108" t="n">
        <f aca="false">SUM(H20:K20)</f>
        <v>45659569</v>
      </c>
      <c r="N20" s="1108" t="n">
        <f aca="false">E20+L20</f>
        <v>102248108</v>
      </c>
      <c r="O20" s="1109" t="n">
        <v>0</v>
      </c>
      <c r="P20" s="1109" t="n">
        <f aca="false">'☆短期集計R7'!K40</f>
        <v>0</v>
      </c>
      <c r="Q20" s="1109" t="n">
        <f aca="false">'☆介護集計R7'!K40</f>
        <v>0</v>
      </c>
      <c r="R20" s="1109" t="n">
        <f aca="false">-'☆子・子集計R7'!H19-'☆子・子集計R7'!K19+'☆子・子集計R7'!K40</f>
        <v>2200000</v>
      </c>
      <c r="S20" s="1108" t="n">
        <f aca="false">L20+O20+P20+Q20+R20</f>
        <v>47859569</v>
      </c>
      <c r="T20" s="1110" t="n">
        <f aca="false">E20+S20</f>
        <v>104448108</v>
      </c>
      <c r="U20" s="1111" t="s">
        <v>522</v>
      </c>
      <c r="W20" s="1112"/>
      <c r="X20" s="1113"/>
      <c r="Y20" s="1126" t="s">
        <v>526</v>
      </c>
      <c r="Z20" s="1115" t="n">
        <f aca="true">OFFSET('☆掛負収入'!$B$65,$AP$4*$AP20,0,1,1)</f>
        <v>24371886</v>
      </c>
      <c r="AA20" s="1116" t="n">
        <f aca="true">OFFSET('☆掛負収入'!$C$65,$AP$4*$AP20,0,1,1)</f>
        <v>1995481</v>
      </c>
      <c r="AB20" s="1108" t="n">
        <f aca="false">SUM(Z20:AA20)</f>
        <v>26367367</v>
      </c>
      <c r="AC20" s="1115" t="n">
        <f aca="true">OFFSET('☆掛負収入'!$D$65,$AP$4*$AP20,0,1,1)</f>
        <v>35318960</v>
      </c>
      <c r="AD20" s="1117" t="n">
        <f aca="true">OFFSET('☆掛負収入'!$E$65,$AP$4*$AP20,0,1,1)</f>
        <v>1962090</v>
      </c>
      <c r="AE20" s="1118" t="n">
        <f aca="true">OFFSET('☆掛負収入'!$F$65,$AP$4*$AP20,0,1,1)</f>
        <v>25771</v>
      </c>
      <c r="AF20" s="1108" t="n">
        <f aca="false">SUM(AC20:AE20)</f>
        <v>37306821</v>
      </c>
      <c r="AG20" s="1108" t="n">
        <f aca="false">AB20+AF20</f>
        <v>63674188</v>
      </c>
      <c r="AH20" s="1127" t="n">
        <f aca="true">OFFSET('☆掛負収入'!$G$65,$AP$4*$AP20,0,1,1)</f>
        <v>63674188</v>
      </c>
      <c r="AI20" s="1122" t="str">
        <f aca="false">IF(AG20=AH20,"○","×")</f>
        <v>○</v>
      </c>
      <c r="AJ20" s="1113"/>
      <c r="AK20" s="1125" t="s">
        <v>526</v>
      </c>
      <c r="AL20" s="1108" t="n">
        <f aca="false">AG20+AB41+AI41+AP41</f>
        <v>102248108</v>
      </c>
      <c r="AM20" s="1108" t="n">
        <f aca="false">N20</f>
        <v>102248108</v>
      </c>
      <c r="AN20" s="1122" t="str">
        <f aca="false">IF(AL20=AM20,"○","×")</f>
        <v>○</v>
      </c>
      <c r="AP20" s="1121" t="n">
        <v>15</v>
      </c>
      <c r="AR20" s="1128"/>
    </row>
    <row r="21" customFormat="false" ht="24.75" hidden="false" customHeight="true" outlineLevel="0" collapsed="false">
      <c r="A21" s="1125" t="s">
        <v>527</v>
      </c>
      <c r="B21" s="1108" t="n">
        <f aca="false">B42+H42+N42+T42</f>
        <v>44209504</v>
      </c>
      <c r="C21" s="1108" t="n">
        <f aca="false">C42+I42+O42+U42</f>
        <v>12302834</v>
      </c>
      <c r="D21" s="1108" t="n">
        <f aca="false">D42+J42+P42+V42</f>
        <v>76275</v>
      </c>
      <c r="E21" s="1108" t="n">
        <f aca="false">SUM(B21:D21)</f>
        <v>56588613</v>
      </c>
      <c r="G21" s="1125" t="s">
        <v>527</v>
      </c>
      <c r="H21" s="1109" t="n">
        <f aca="true">OFFSET('☆掛負収入'!$B$65,$AP$4*$AP21,0,1,1)+OFFSET('☆掛負収入'!$C$65,$AP$4*$AP21,0,1,1)</f>
        <v>26367399</v>
      </c>
      <c r="I21" s="1109" t="n">
        <f aca="true">OFFSET('☆掛負収入'!$H$65,$AP$4*$AP21,0,1,1)</f>
        <v>17812885</v>
      </c>
      <c r="J21" s="1109" t="n">
        <f aca="true">OFFSET('☆掛負収入'!$K$65,$AP$4*$AP21,0,1,1)</f>
        <v>1479310</v>
      </c>
      <c r="K21" s="1109" t="n">
        <f aca="true">OFFSET('☆掛負収入'!$N$65,$AP$4*$AP21,0,1,1)</f>
        <v>25</v>
      </c>
      <c r="L21" s="1108" t="n">
        <f aca="false">SUM(H21:K21)</f>
        <v>45659619</v>
      </c>
      <c r="N21" s="1108" t="n">
        <f aca="false">E21+L21</f>
        <v>102248232</v>
      </c>
      <c r="O21" s="1109" t="n">
        <v>0</v>
      </c>
      <c r="P21" s="1109" t="n">
        <f aca="false">'☆短期集計R7'!K41</f>
        <v>0</v>
      </c>
      <c r="Q21" s="1109" t="n">
        <f aca="false">'☆介護集計R7'!K41</f>
        <v>0</v>
      </c>
      <c r="R21" s="1109" t="n">
        <f aca="false">-'☆子・子集計R7'!H20-'☆子・子集計R7'!K20+'☆子・子集計R7'!K41</f>
        <v>2200000</v>
      </c>
      <c r="S21" s="1108" t="n">
        <f aca="false">L21+O21+P21+Q21+R21</f>
        <v>47859619</v>
      </c>
      <c r="T21" s="1110" t="n">
        <f aca="false">E21+S21</f>
        <v>104448232</v>
      </c>
      <c r="U21" s="1111" t="s">
        <v>522</v>
      </c>
      <c r="W21" s="1112"/>
      <c r="X21" s="1113"/>
      <c r="Y21" s="1126" t="s">
        <v>527</v>
      </c>
      <c r="Z21" s="1115" t="n">
        <f aca="true">OFFSET('☆掛負収入'!$B$65,$AP$4*$AP21,0,1,1)</f>
        <v>24371902</v>
      </c>
      <c r="AA21" s="1116" t="n">
        <f aca="true">OFFSET('☆掛負収入'!$C$65,$AP$4*$AP21,0,1,1)</f>
        <v>1995497</v>
      </c>
      <c r="AB21" s="1108" t="n">
        <f aca="false">SUM(Z21:AA21)</f>
        <v>26367399</v>
      </c>
      <c r="AC21" s="1115" t="n">
        <f aca="true">OFFSET('☆掛負収入'!$D$65,$AP$4*$AP21,0,1,1)</f>
        <v>35318968</v>
      </c>
      <c r="AD21" s="1117" t="n">
        <f aca="true">OFFSET('☆掛負収入'!$E$65,$AP$4*$AP21,0,1,1)</f>
        <v>1962114</v>
      </c>
      <c r="AE21" s="1118" t="n">
        <f aca="true">OFFSET('☆掛負収入'!$F$65,$AP$4*$AP21,0,1,1)</f>
        <v>25781</v>
      </c>
      <c r="AF21" s="1108" t="n">
        <f aca="false">SUM(AC21:AE21)</f>
        <v>37306863</v>
      </c>
      <c r="AG21" s="1108" t="n">
        <f aca="false">AB21+AF21</f>
        <v>63674262</v>
      </c>
      <c r="AH21" s="1127" t="n">
        <f aca="true">OFFSET('☆掛負収入'!$G$65,$AP$4*$AP21,0,1,1)</f>
        <v>63674262</v>
      </c>
      <c r="AI21" s="1122" t="str">
        <f aca="false">IF(AG21=AH21,"○","×")</f>
        <v>○</v>
      </c>
      <c r="AJ21" s="1113"/>
      <c r="AK21" s="1125" t="s">
        <v>527</v>
      </c>
      <c r="AL21" s="1108" t="n">
        <f aca="false">AG21+AB42+AI42+AP42</f>
        <v>102248232</v>
      </c>
      <c r="AM21" s="1108" t="n">
        <f aca="false">N21</f>
        <v>102248232</v>
      </c>
      <c r="AN21" s="1122" t="str">
        <f aca="false">IF(AL21=AM21,"○","×")</f>
        <v>○</v>
      </c>
      <c r="AP21" s="1129" t="n">
        <v>16</v>
      </c>
      <c r="AR21" s="1128"/>
    </row>
    <row r="22" customFormat="false" ht="24.75" hidden="false" customHeight="true" outlineLevel="0" collapsed="false">
      <c r="A22" s="1107" t="s">
        <v>457</v>
      </c>
      <c r="B22" s="1108" t="n">
        <f aca="false">SUM(B5:B21)</f>
        <v>13549992422</v>
      </c>
      <c r="C22" s="1108" t="n">
        <f aca="false">SUM(C5:C21)</f>
        <v>4893654404</v>
      </c>
      <c r="D22" s="1108" t="n">
        <f aca="false">SUM(D5:D21)</f>
        <v>1861641</v>
      </c>
      <c r="E22" s="1108" t="n">
        <f aca="false">SUM(E5:E21)</f>
        <v>18445508467</v>
      </c>
      <c r="G22" s="1107" t="s">
        <v>457</v>
      </c>
      <c r="H22" s="1108" t="n">
        <f aca="false">SUM(H5:H21)</f>
        <v>8513082365</v>
      </c>
      <c r="I22" s="1108" t="n">
        <f aca="false">SUM(I5:I21)</f>
        <v>5834634897</v>
      </c>
      <c r="J22" s="1108" t="n">
        <f aca="false">SUM(J5:J21)</f>
        <v>515307811</v>
      </c>
      <c r="K22" s="1108" t="n">
        <f aca="false">SUM(K5:K21)</f>
        <v>63008864</v>
      </c>
      <c r="L22" s="1108" t="n">
        <f aca="false">SUM(L5:L21)</f>
        <v>14926033937</v>
      </c>
      <c r="N22" s="1108" t="n">
        <f aca="false">SUM(N5:N21)</f>
        <v>33371542404</v>
      </c>
      <c r="O22" s="1108" t="n">
        <f aca="false">SUM(O5:O21)</f>
        <v>-2422226</v>
      </c>
      <c r="P22" s="1108" t="n">
        <f aca="false">SUM(P5:P21)</f>
        <v>-7513266</v>
      </c>
      <c r="Q22" s="1108" t="n">
        <f aca="false">SUM(Q5:Q21)</f>
        <v>-438944</v>
      </c>
      <c r="R22" s="1108" t="n">
        <f aca="false">SUM(R5:R21)</f>
        <v>37092664</v>
      </c>
      <c r="S22" s="1108" t="n">
        <f aca="false">SUM(S5:S21)</f>
        <v>14952752165</v>
      </c>
      <c r="T22" s="1110" t="n">
        <f aca="false">SUM(T5:T21)</f>
        <v>33398260632</v>
      </c>
      <c r="U22" s="1123" t="n">
        <f aca="false">SUM(U5:U21)</f>
        <v>567031260</v>
      </c>
      <c r="W22" s="1112"/>
      <c r="X22" s="1112"/>
      <c r="Y22" s="1114" t="s">
        <v>457</v>
      </c>
      <c r="Z22" s="1130" t="n">
        <f aca="false">SUM(Z5:Z21)</f>
        <v>7868089032</v>
      </c>
      <c r="AA22" s="1131" t="n">
        <f aca="false">SUM(AA5:AA21)</f>
        <v>644993333</v>
      </c>
      <c r="AB22" s="1108" t="n">
        <f aca="false">SUM(AB5:AB21)</f>
        <v>8513082365</v>
      </c>
      <c r="AC22" s="1130" t="n">
        <f aca="false">SUM(AC5:AC21)</f>
        <v>11434325470</v>
      </c>
      <c r="AD22" s="1132" t="n">
        <f aca="false">SUM(AD5:AD21)</f>
        <v>645288825</v>
      </c>
      <c r="AE22" s="1133" t="n">
        <f aca="false">SUM(AE5:AE21)</f>
        <v>8059553</v>
      </c>
      <c r="AF22" s="1108" t="n">
        <f aca="false">SUM(AF5:AF21)</f>
        <v>12087673848</v>
      </c>
      <c r="AG22" s="1108" t="n">
        <f aca="false">SUM(AG5:AG21)</f>
        <v>20600756213</v>
      </c>
      <c r="AH22" s="1119" t="n">
        <f aca="false">SUM(AH5:AH21)</f>
        <v>20600756213</v>
      </c>
      <c r="AI22" s="1122" t="str">
        <f aca="false">IF(AG22=AH22,"○","×")</f>
        <v>○</v>
      </c>
      <c r="AJ22" s="1112"/>
      <c r="AK22" s="1107" t="s">
        <v>457</v>
      </c>
      <c r="AL22" s="1108" t="n">
        <f aca="false">SUM(AL5:AL21)</f>
        <v>33371542404</v>
      </c>
      <c r="AM22" s="1108" t="n">
        <f aca="false">SUM(AM5:AM21)</f>
        <v>33371542404</v>
      </c>
      <c r="AN22" s="1122" t="str">
        <f aca="false">IF(AL22=AM22,"○","×")</f>
        <v>○</v>
      </c>
      <c r="AP22" s="110"/>
      <c r="AQ22" s="1089"/>
      <c r="AR22" s="1124"/>
    </row>
    <row r="23" customFormat="false" ht="29.25" hidden="false" customHeight="true" outlineLevel="0" collapsed="false">
      <c r="S23" s="1134" t="n">
        <f aca="false">'☆掛負収入'!F1127</f>
        <v>567031260</v>
      </c>
      <c r="T23" s="1135" t="str">
        <f aca="false">IF(U22=S23,"○","×")</f>
        <v>○</v>
      </c>
      <c r="U23" s="584"/>
      <c r="V23" s="584"/>
      <c r="W23" s="584"/>
      <c r="X23" s="1136"/>
    </row>
    <row r="24" customFormat="false" ht="24.75" hidden="false" customHeight="true" outlineLevel="0" collapsed="false">
      <c r="A24" s="1085" t="s">
        <v>528</v>
      </c>
      <c r="B24" s="1087"/>
      <c r="C24" s="1087"/>
      <c r="D24" s="1087"/>
      <c r="E24" s="1084" t="s">
        <v>421</v>
      </c>
      <c r="G24" s="1085" t="s">
        <v>529</v>
      </c>
      <c r="H24" s="1087"/>
      <c r="I24" s="1087"/>
      <c r="J24" s="1087"/>
      <c r="K24" s="1084" t="s">
        <v>421</v>
      </c>
      <c r="M24" s="1085" t="s">
        <v>530</v>
      </c>
      <c r="N24" s="1087"/>
      <c r="Q24" s="1084" t="s">
        <v>421</v>
      </c>
      <c r="S24" s="1085" t="s">
        <v>531</v>
      </c>
      <c r="T24" s="1087"/>
      <c r="U24" s="1087"/>
      <c r="W24" s="1084" t="s">
        <v>421</v>
      </c>
      <c r="Y24" s="1087" t="s">
        <v>532</v>
      </c>
      <c r="AB24" s="1084" t="s">
        <v>421</v>
      </c>
      <c r="AC24" s="1137"/>
      <c r="AD24" s="1137"/>
      <c r="AE24" s="1137"/>
      <c r="AF24" s="1087" t="s">
        <v>533</v>
      </c>
      <c r="AI24" s="1084" t="s">
        <v>421</v>
      </c>
      <c r="AJ24" s="1137"/>
      <c r="AK24" s="1137"/>
      <c r="AL24" s="1137"/>
      <c r="AM24" s="1087" t="s">
        <v>534</v>
      </c>
      <c r="AP24" s="1084" t="s">
        <v>421</v>
      </c>
      <c r="AQ24" s="1137"/>
      <c r="AR24" s="1137"/>
    </row>
    <row r="25" customFormat="false" ht="32.25" hidden="false" customHeight="true" outlineLevel="0" collapsed="false">
      <c r="A25" s="1090" t="s">
        <v>428</v>
      </c>
      <c r="B25" s="1090" t="s">
        <v>493</v>
      </c>
      <c r="C25" s="1090" t="s">
        <v>494</v>
      </c>
      <c r="D25" s="1090" t="s">
        <v>355</v>
      </c>
      <c r="E25" s="1091" t="s">
        <v>535</v>
      </c>
      <c r="G25" s="1090" t="s">
        <v>428</v>
      </c>
      <c r="H25" s="1090" t="s">
        <v>493</v>
      </c>
      <c r="I25" s="1090" t="s">
        <v>494</v>
      </c>
      <c r="J25" s="1090" t="s">
        <v>355</v>
      </c>
      <c r="K25" s="1091" t="s">
        <v>536</v>
      </c>
      <c r="M25" s="1090" t="s">
        <v>428</v>
      </c>
      <c r="N25" s="1090" t="s">
        <v>493</v>
      </c>
      <c r="O25" s="1090" t="s">
        <v>494</v>
      </c>
      <c r="P25" s="1090" t="s">
        <v>355</v>
      </c>
      <c r="Q25" s="1091" t="s">
        <v>537</v>
      </c>
      <c r="S25" s="1090" t="s">
        <v>428</v>
      </c>
      <c r="T25" s="1090" t="s">
        <v>493</v>
      </c>
      <c r="U25" s="1090" t="s">
        <v>494</v>
      </c>
      <c r="V25" s="1090" t="s">
        <v>355</v>
      </c>
      <c r="W25" s="1091" t="s">
        <v>537</v>
      </c>
      <c r="Y25" s="1090" t="s">
        <v>428</v>
      </c>
      <c r="Z25" s="1090" t="s">
        <v>376</v>
      </c>
      <c r="AA25" s="1091" t="s">
        <v>538</v>
      </c>
      <c r="AB25" s="1090" t="s">
        <v>539</v>
      </c>
      <c r="AC25" s="1102" t="s">
        <v>540</v>
      </c>
      <c r="AD25" s="1103" t="s">
        <v>541</v>
      </c>
      <c r="AE25" s="1104"/>
      <c r="AF25" s="1090" t="s">
        <v>428</v>
      </c>
      <c r="AG25" s="1090" t="s">
        <v>376</v>
      </c>
      <c r="AH25" s="1091" t="s">
        <v>538</v>
      </c>
      <c r="AI25" s="1090" t="s">
        <v>542</v>
      </c>
      <c r="AJ25" s="1102" t="s">
        <v>543</v>
      </c>
      <c r="AK25" s="1103" t="s">
        <v>544</v>
      </c>
      <c r="AL25" s="1103"/>
      <c r="AM25" s="1090" t="s">
        <v>428</v>
      </c>
      <c r="AN25" s="1090" t="s">
        <v>376</v>
      </c>
      <c r="AO25" s="1091" t="s">
        <v>538</v>
      </c>
      <c r="AP25" s="1090" t="s">
        <v>545</v>
      </c>
      <c r="AQ25" s="1102" t="s">
        <v>546</v>
      </c>
      <c r="AR25" s="1103" t="s">
        <v>544</v>
      </c>
    </row>
    <row r="26" customFormat="false" ht="24.75" hidden="false" customHeight="true" outlineLevel="0" collapsed="false">
      <c r="A26" s="1107" t="s">
        <v>445</v>
      </c>
      <c r="B26" s="1109" t="n">
        <f aca="true">OFFSET('☆掛負収入'!$D$22,$AP$4*$AP5,0,1,1)+OFFSET('☆掛負収入'!$E$22,$AP$4*$AP5,0,1,1)+OFFSET('☆掛負収入'!$F$22,$AP$4*$AP5,0,1,1)</f>
        <v>545334273</v>
      </c>
      <c r="C26" s="1109" t="n">
        <f aca="true">OFFSET('☆掛負収入'!$D$53,$AP$4*$AP5,0,1,1)+OFFSET('☆掛負収入'!$E$53,$AP$4*$AP5,0,1,1)+OFFSET('☆掛負収入'!$F$53,$AP$4*$AP5,0,1,1)+OFFSET('☆掛負収入'!$D$58,$AP$4*$AP5,0,1,1)+OFFSET('☆掛負収入'!$E$58,$AP$4*$AP5,0,1,1)+OFFSET('☆掛負収入'!$F$58,$AP$4*$AP5,0,1,1)</f>
        <v>205877758</v>
      </c>
      <c r="D26" s="1109" t="n">
        <f aca="true">OFFSET('☆掛負収入'!$D$63,$AP$4*$AP5,0,1,1)+OFFSET('☆掛負収入'!$E$63,$AP$4*$AP5,0,1,1)+OFFSET('☆掛負収入'!$F$63,$AP$4*$AP5,0,1,1)</f>
        <v>61380</v>
      </c>
      <c r="E26" s="1108" t="n">
        <f aca="false">SUM(B26:D26)</f>
        <v>751273411</v>
      </c>
      <c r="G26" s="1107" t="s">
        <v>445</v>
      </c>
      <c r="H26" s="1109" t="n">
        <f aca="true">OFFSET('☆掛負収入'!$I$22,$AP$4*$AP5,0,1,1)</f>
        <v>252838750</v>
      </c>
      <c r="I26" s="1109" t="n">
        <f aca="true">OFFSET('☆掛負収入'!$I$53,$AP$4*$AP5,0,1,1)</f>
        <v>98705327</v>
      </c>
      <c r="J26" s="1109" t="n">
        <f aca="true">OFFSET('☆掛負収入'!$I$63,$AP$4*$AP5,0,1,1)</f>
        <v>47757</v>
      </c>
      <c r="K26" s="1108" t="n">
        <f aca="false">SUM(H26:J26)</f>
        <v>351591834</v>
      </c>
      <c r="M26" s="1107" t="s">
        <v>445</v>
      </c>
      <c r="N26" s="1109" t="n">
        <f aca="true">OFFSET('☆掛負収入'!$L$22,$AP$4*$AP5,0,1,1)</f>
        <v>22599966</v>
      </c>
      <c r="O26" s="1109" t="n">
        <f aca="true">OFFSET('☆掛負収入'!$L$53,$AP$4*$AP5,0,1,1)</f>
        <v>8496204</v>
      </c>
      <c r="P26" s="1109" t="n">
        <f aca="true">OFFSET('☆掛負収入'!$L$63,$AP$4*$AP5,0,1,1)</f>
        <v>4898</v>
      </c>
      <c r="Q26" s="1108" t="n">
        <f aca="false">SUM(N26:P26)</f>
        <v>31101068</v>
      </c>
      <c r="S26" s="1107" t="s">
        <v>445</v>
      </c>
      <c r="T26" s="1109" t="n">
        <f aca="true">OFFSET('☆掛負収入'!$O$22,$AP$4*$AP5,0,1,1)</f>
        <v>5523335</v>
      </c>
      <c r="U26" s="1109" t="n">
        <f aca="true">OFFSET('☆掛負収入'!$O$53,$AP$4*$AP5,0,1,1)</f>
        <v>2184077</v>
      </c>
      <c r="V26" s="1109" t="n">
        <f aca="true">OFFSET('☆掛負収入'!$O$63,$AP$4*$AP5,0,1,1)</f>
        <v>1058</v>
      </c>
      <c r="W26" s="1108" t="n">
        <f aca="false">SUM(T26:V26)</f>
        <v>7708470</v>
      </c>
      <c r="Y26" s="1107" t="s">
        <v>445</v>
      </c>
      <c r="Z26" s="1109" t="n">
        <f aca="true">OFFSET('☆掛負収入'!$H$65,$AP$4*$AP5,0,1,1)</f>
        <v>446098437</v>
      </c>
      <c r="AA26" s="1109" t="n">
        <f aca="true">OFFSET('☆掛負収入'!$I$65,$AP$4*$AP5,0,1,1)</f>
        <v>351591834</v>
      </c>
      <c r="AB26" s="1108" t="n">
        <f aca="false">SUM(Z26:AA26)</f>
        <v>797690271</v>
      </c>
      <c r="AC26" s="1113" t="n">
        <f aca="true">OFFSET('☆掛負収入'!$J$65,$AP$4*$AP5,0,1,1)</f>
        <v>797690271</v>
      </c>
      <c r="AD26" s="1120" t="str">
        <f aca="false">IF(AB26=AC26,"○","×")</f>
        <v>○</v>
      </c>
      <c r="AE26" s="1138"/>
      <c r="AF26" s="1107" t="s">
        <v>445</v>
      </c>
      <c r="AG26" s="1109" t="n">
        <f aca="true">OFFSET('☆掛負収入'!$K$65,$AP$4*$AP5,0,1,1)</f>
        <v>36272957</v>
      </c>
      <c r="AH26" s="1109" t="n">
        <f aca="true">OFFSET('☆掛負収入'!$L$65,$AP$4*$AP5,0,1,1)</f>
        <v>31101068</v>
      </c>
      <c r="AI26" s="1108" t="n">
        <f aca="false">SUM(AG26:AH26)</f>
        <v>67374025</v>
      </c>
      <c r="AJ26" s="1113" t="n">
        <f aca="true">OFFSET('☆掛負収入'!$M$65,$AP$4*$AP5,0,1,1)</f>
        <v>67374025</v>
      </c>
      <c r="AK26" s="1120" t="str">
        <f aca="false">IF(AI26=AJ26,"○","×")</f>
        <v>○</v>
      </c>
      <c r="AL26" s="1120"/>
      <c r="AM26" s="1107" t="s">
        <v>445</v>
      </c>
      <c r="AN26" s="1109" t="n">
        <f aca="true">OFFSET('☆掛負収入'!$N$65,$AP$4*$AP5,0,1,1)</f>
        <v>9873033</v>
      </c>
      <c r="AO26" s="1109" t="n">
        <f aca="true">OFFSET('☆掛負収入'!$O$65,$AP$4*$AP5,0,1,1)</f>
        <v>7708470</v>
      </c>
      <c r="AP26" s="1108" t="n">
        <f aca="false">SUM(AN26:AO26)</f>
        <v>17581503</v>
      </c>
      <c r="AQ26" s="1113" t="n">
        <f aca="true">OFFSET('☆掛負収入'!$P$65,$AP$4*$AP5,0,1,1)</f>
        <v>17581503</v>
      </c>
      <c r="AR26" s="1120" t="str">
        <f aca="false">IF(AP26=AQ26,"○","×")</f>
        <v>○</v>
      </c>
    </row>
    <row r="27" customFormat="false" ht="24.75" hidden="false" customHeight="true" outlineLevel="0" collapsed="false">
      <c r="A27" s="1107" t="s">
        <v>446</v>
      </c>
      <c r="B27" s="1109" t="n">
        <f aca="true">OFFSET('☆掛負収入'!$D$22,$AP$4*$AP6,0,1,1)+OFFSET('☆掛負収入'!$E$22,$AP$4*$AP6,0,1,1)+OFFSET('☆掛負収入'!$F$22,$AP$4*$AP6,0,1,1)</f>
        <v>547280023</v>
      </c>
      <c r="C27" s="1109" t="n">
        <f aca="true">OFFSET('☆掛負収入'!$D$53,$AP$4*$AP6,0,1,1)+OFFSET('☆掛負収入'!$E$53,$AP$4*$AP6,0,1,1)+OFFSET('☆掛負収入'!$F$53,$AP$4*$AP6,0,1,1)+OFFSET('☆掛負収入'!$D$58,$AP$4*$AP6,0,1,1)+OFFSET('☆掛負収入'!$E$58,$AP$4*$AP6,0,1,1)+OFFSET('☆掛負収入'!$F$58,$AP$4*$AP6,0,1,1)</f>
        <v>206576783</v>
      </c>
      <c r="D27" s="1109" t="n">
        <f aca="true">OFFSET('☆掛負収入'!$D$63,$AP$4*$AP6,0,1,1)+OFFSET('☆掛負収入'!$E$63,$AP$4*$AP6,0,1,1)+OFFSET('☆掛負収入'!$F$63,$AP$4*$AP6,0,1,1)</f>
        <v>61380</v>
      </c>
      <c r="E27" s="1108" t="n">
        <f aca="false">SUM(B27:D27)</f>
        <v>753918186</v>
      </c>
      <c r="G27" s="1107" t="s">
        <v>446</v>
      </c>
      <c r="H27" s="1109" t="n">
        <f aca="true">OFFSET('☆掛負収入'!$I$22,$AP$4*$AP6,0,1,1)</f>
        <v>254919952</v>
      </c>
      <c r="I27" s="1109" t="n">
        <f aca="true">OFFSET('☆掛負収入'!$I$53,$AP$4*$AP6,0,1,1)</f>
        <v>99872168</v>
      </c>
      <c r="J27" s="1109" t="n">
        <f aca="true">OFFSET('☆掛負収入'!$I$63,$AP$4*$AP6,0,1,1)</f>
        <v>47757</v>
      </c>
      <c r="K27" s="1108" t="n">
        <f aca="false">SUM(H27:J27)</f>
        <v>354839877</v>
      </c>
      <c r="M27" s="1107" t="s">
        <v>446</v>
      </c>
      <c r="N27" s="1109" t="n">
        <f aca="true">OFFSET('☆掛負収入'!$L$22,$AP$4*$AP6,0,1,1)</f>
        <v>22746970</v>
      </c>
      <c r="O27" s="1109" t="n">
        <f aca="true">OFFSET('☆掛負収入'!$L$53,$AP$4*$AP6,0,1,1)</f>
        <v>8555375</v>
      </c>
      <c r="P27" s="1109" t="n">
        <f aca="true">OFFSET('☆掛負収入'!$L$63,$AP$4*$AP6,0,1,1)</f>
        <v>4898</v>
      </c>
      <c r="Q27" s="1108" t="n">
        <f aca="false">SUM(N27:P27)</f>
        <v>31307243</v>
      </c>
      <c r="S27" s="1107" t="s">
        <v>446</v>
      </c>
      <c r="T27" s="1109" t="n">
        <f aca="true">OFFSET('☆掛負収入'!$O$22,$AP$4*$AP6,0,1,1)</f>
        <v>5554520</v>
      </c>
      <c r="U27" s="1109" t="n">
        <f aca="true">OFFSET('☆掛負収入'!$O$53,$AP$4*$AP6,0,1,1)</f>
        <v>2212389</v>
      </c>
      <c r="V27" s="1109" t="n">
        <f aca="true">OFFSET('☆掛負収入'!$O$63,$AP$4*$AP6,0,1,1)</f>
        <v>1058</v>
      </c>
      <c r="W27" s="1108" t="n">
        <f aca="false">SUM(T27:V27)</f>
        <v>7767967</v>
      </c>
      <c r="Y27" s="1107" t="s">
        <v>446</v>
      </c>
      <c r="Z27" s="1109" t="n">
        <f aca="true">OFFSET('☆掛負収入'!$H$65,$AP$4*$AP6,0,1,1)</f>
        <v>353209549</v>
      </c>
      <c r="AA27" s="1109" t="n">
        <f aca="true">OFFSET('☆掛負収入'!$I$65,$AP$4*$AP6,0,1,1)</f>
        <v>354839877</v>
      </c>
      <c r="AB27" s="1108" t="n">
        <f aca="false">SUM(Z27:AA27)</f>
        <v>708049426</v>
      </c>
      <c r="AC27" s="1113" t="n">
        <f aca="true">OFFSET('☆掛負収入'!$J$65,$AP$4*$AP6,0,1,1)</f>
        <v>708049426</v>
      </c>
      <c r="AD27" s="1122" t="str">
        <f aca="false">IF(AB27=AC27,"○","×")</f>
        <v>○</v>
      </c>
      <c r="AE27" s="1138"/>
      <c r="AF27" s="1107" t="s">
        <v>446</v>
      </c>
      <c r="AG27" s="1109" t="n">
        <f aca="true">OFFSET('☆掛負収入'!$K$65,$AP$4*$AP6,0,1,1)</f>
        <v>31474243</v>
      </c>
      <c r="AH27" s="1109" t="n">
        <f aca="true">OFFSET('☆掛負収入'!$L$65,$AP$4*$AP6,0,1,1)</f>
        <v>31307243</v>
      </c>
      <c r="AI27" s="1108" t="n">
        <f aca="false">SUM(AG27:AH27)</f>
        <v>62781486</v>
      </c>
      <c r="AJ27" s="1113" t="n">
        <f aca="true">OFFSET('☆掛負収入'!$M$65,$AP$4*$AP6,0,1,1)</f>
        <v>62781486</v>
      </c>
      <c r="AK27" s="1122" t="str">
        <f aca="false">IF(AI27=AJ27,"○","×")</f>
        <v>○</v>
      </c>
      <c r="AL27" s="1122"/>
      <c r="AM27" s="1107" t="s">
        <v>446</v>
      </c>
      <c r="AN27" s="1109" t="n">
        <f aca="true">OFFSET('☆掛負収入'!$N$65,$AP$4*$AP6,0,1,1)</f>
        <v>7828424</v>
      </c>
      <c r="AO27" s="1109" t="n">
        <f aca="true">OFFSET('☆掛負収入'!$O$65,$AP$4*$AP6,0,1,1)</f>
        <v>7767967</v>
      </c>
      <c r="AP27" s="1108" t="n">
        <f aca="false">SUM(AN27:AO27)</f>
        <v>15596391</v>
      </c>
      <c r="AQ27" s="1113" t="n">
        <f aca="true">OFFSET('☆掛負収入'!$P$65,$AP$4*$AP6,0,1,1)</f>
        <v>15596391</v>
      </c>
      <c r="AR27" s="1122" t="str">
        <f aca="false">IF(AP27=AQ27,"○","×")</f>
        <v>○</v>
      </c>
    </row>
    <row r="28" customFormat="false" ht="24.75" hidden="false" customHeight="true" outlineLevel="0" collapsed="false">
      <c r="A28" s="1107" t="s">
        <v>447</v>
      </c>
      <c r="B28" s="1109" t="n">
        <f aca="true">OFFSET('☆掛負収入'!$D$22,$AP$4*$AP7,0,1,1)+OFFSET('☆掛負収入'!$E$22,$AP$4*$AP7,0,1,1)+OFFSET('☆掛負収入'!$F$22,$AP$4*$AP7,0,1,1)</f>
        <v>546493720</v>
      </c>
      <c r="C28" s="1109" t="n">
        <f aca="true">OFFSET('☆掛負収入'!$D$53,$AP$4*$AP7,0,1,1)+OFFSET('☆掛負収入'!$E$53,$AP$4*$AP7,0,1,1)+OFFSET('☆掛負収入'!$F$53,$AP$4*$AP7,0,1,1)+OFFSET('☆掛負収入'!$D$58,$AP$4*$AP7,0,1,1)+OFFSET('☆掛負収入'!$E$58,$AP$4*$AP7,0,1,1)+OFFSET('☆掛負収入'!$F$58,$AP$4*$AP7,0,1,1)</f>
        <v>206192916</v>
      </c>
      <c r="D28" s="1109" t="n">
        <f aca="true">OFFSET('☆掛負収入'!$D$63,$AP$4*$AP7,0,1,1)+OFFSET('☆掛負収入'!$E$63,$AP$4*$AP7,0,1,1)+OFFSET('☆掛負収入'!$F$63,$AP$4*$AP7,0,1,1)</f>
        <v>61380</v>
      </c>
      <c r="E28" s="1108" t="n">
        <f aca="false">SUM(B28:D28)</f>
        <v>752748016</v>
      </c>
      <c r="G28" s="1107" t="s">
        <v>447</v>
      </c>
      <c r="H28" s="1109" t="n">
        <f aca="true">OFFSET('☆掛負収入'!$I$22,$AP$4*$AP7,0,1,1)</f>
        <v>254471719</v>
      </c>
      <c r="I28" s="1109" t="n">
        <f aca="true">OFFSET('☆掛負収入'!$I$53,$AP$4*$AP7,0,1,1)</f>
        <v>99620967</v>
      </c>
      <c r="J28" s="1109" t="n">
        <f aca="true">OFFSET('☆掛負収入'!$I$63,$AP$4*$AP7,0,1,1)</f>
        <v>49053</v>
      </c>
      <c r="K28" s="1108" t="n">
        <f aca="false">SUM(H28:J28)</f>
        <v>354141739</v>
      </c>
      <c r="M28" s="1107" t="s">
        <v>447</v>
      </c>
      <c r="N28" s="1109" t="n">
        <f aca="true">OFFSET('☆掛負収入'!$L$22,$AP$4*$AP7,0,1,1)</f>
        <v>22816910</v>
      </c>
      <c r="O28" s="1109" t="n">
        <f aca="true">OFFSET('☆掛負収入'!$L$53,$AP$4*$AP7,0,1,1)</f>
        <v>8586054</v>
      </c>
      <c r="P28" s="1109" t="n">
        <f aca="true">OFFSET('☆掛負収入'!$L$63,$AP$4*$AP7,0,1,1)</f>
        <v>4898</v>
      </c>
      <c r="Q28" s="1108" t="n">
        <f aca="false">SUM(N28:P28)</f>
        <v>31407862</v>
      </c>
      <c r="S28" s="1107" t="s">
        <v>447</v>
      </c>
      <c r="T28" s="1109" t="n">
        <f aca="true">OFFSET('☆掛負収入'!$O$22,$AP$4*$AP7,0,1,1)</f>
        <v>5546331</v>
      </c>
      <c r="U28" s="1109" t="n">
        <f aca="true">OFFSET('☆掛負収入'!$O$53,$AP$4*$AP7,0,1,1)</f>
        <v>2205427</v>
      </c>
      <c r="V28" s="1109" t="n">
        <f aca="true">OFFSET('☆掛負収入'!$O$63,$AP$4*$AP7,0,1,1)</f>
        <v>1058</v>
      </c>
      <c r="W28" s="1108" t="n">
        <f aca="false">SUM(T28:V28)</f>
        <v>7752816</v>
      </c>
      <c r="Y28" s="1107" t="s">
        <v>447</v>
      </c>
      <c r="Z28" s="1109" t="n">
        <f aca="true">OFFSET('☆掛負収入'!$H$65,$AP$4*$AP7,0,1,1)</f>
        <v>352789873</v>
      </c>
      <c r="AA28" s="1109" t="n">
        <f aca="true">OFFSET('☆掛負収入'!$I$65,$AP$4*$AP7,0,1,1)</f>
        <v>354141739</v>
      </c>
      <c r="AB28" s="1108" t="n">
        <f aca="false">SUM(Z28:AA28)</f>
        <v>706931612</v>
      </c>
      <c r="AC28" s="1113" t="n">
        <f aca="true">OFFSET('☆掛負収入'!$J$65,$AP$4*$AP7,0,1,1)</f>
        <v>706931612</v>
      </c>
      <c r="AD28" s="1122" t="str">
        <f aca="false">IF(AB28=AC28,"○","×")</f>
        <v>○</v>
      </c>
      <c r="AE28" s="1138"/>
      <c r="AF28" s="1107" t="s">
        <v>447</v>
      </c>
      <c r="AG28" s="1109" t="n">
        <f aca="true">OFFSET('☆掛負収入'!$K$65,$AP$4*$AP7,0,1,1)</f>
        <v>31644321</v>
      </c>
      <c r="AH28" s="1109" t="n">
        <f aca="true">OFFSET('☆掛負収入'!$L$65,$AP$4*$AP7,0,1,1)</f>
        <v>31407862</v>
      </c>
      <c r="AI28" s="1108" t="n">
        <f aca="false">SUM(AG28:AH28)</f>
        <v>63052183</v>
      </c>
      <c r="AJ28" s="1113" t="n">
        <f aca="true">OFFSET('☆掛負収入'!$M$65,$AP$4*$AP7,0,1,1)</f>
        <v>63052183</v>
      </c>
      <c r="AK28" s="1122" t="str">
        <f aca="false">IF(AI28=AJ28,"○","×")</f>
        <v>○</v>
      </c>
      <c r="AL28" s="1122"/>
      <c r="AM28" s="1107" t="s">
        <v>447</v>
      </c>
      <c r="AN28" s="1109" t="n">
        <f aca="true">OFFSET('☆掛負収入'!$N$65,$AP$4*$AP7,0,1,1)</f>
        <v>7818532</v>
      </c>
      <c r="AO28" s="1109" t="n">
        <f aca="true">OFFSET('☆掛負収入'!$O$65,$AP$4*$AP7,0,1,1)</f>
        <v>7752816</v>
      </c>
      <c r="AP28" s="1108" t="n">
        <f aca="false">SUM(AN28:AO28)</f>
        <v>15571348</v>
      </c>
      <c r="AQ28" s="1113" t="n">
        <f aca="true">OFFSET('☆掛負収入'!$P$65,$AP$4*$AP7,0,1,1)</f>
        <v>15571348</v>
      </c>
      <c r="AR28" s="1122" t="str">
        <f aca="false">IF(AP28=AQ28,"○","×")</f>
        <v>○</v>
      </c>
    </row>
    <row r="29" customFormat="false" ht="24.75" hidden="false" customHeight="true" outlineLevel="0" collapsed="false">
      <c r="A29" s="1107" t="s">
        <v>523</v>
      </c>
      <c r="B29" s="1109" t="n">
        <f aca="true">OFFSET('☆掛負収入'!$D$22,$AP$4*$AP8,0,1,1)+OFFSET('☆掛負収入'!$E$22,$AP$4*$AP8,0,1,1)+OFFSET('☆掛負収入'!$F$22,$AP$4*$AP8,0,1,1)</f>
        <v>1037738340</v>
      </c>
      <c r="C29" s="1109" t="n">
        <f aca="true">OFFSET('☆掛負収入'!$D$53,$AP$4*$AP8,0,1,1)+OFFSET('☆掛負収入'!$E$53,$AP$4*$AP8,0,1,1)+OFFSET('☆掛負収入'!$F$53,$AP$4*$AP8,0,1,1)+OFFSET('☆掛負収入'!$D$58,$AP$4*$AP8,0,1,1)+OFFSET('☆掛負収入'!$E$58,$AP$4*$AP8,0,1,1)+OFFSET('☆掛負収入'!$F$58,$AP$4*$AP8,0,1,1)</f>
        <v>345921428</v>
      </c>
      <c r="D29" s="1109" t="n">
        <f aca="true">OFFSET('☆掛負収入'!$D$63,$AP$4*$AP8,0,1,1)+OFFSET('☆掛負収入'!$E$63,$AP$4*$AP8,0,1,1)+OFFSET('☆掛負収入'!$F$63,$AP$4*$AP8,0,1,1)</f>
        <v>83754</v>
      </c>
      <c r="E29" s="1108" t="n">
        <f aca="false">SUM(B29:D29)</f>
        <v>1383743522</v>
      </c>
      <c r="G29" s="1107" t="s">
        <v>523</v>
      </c>
      <c r="H29" s="1109" t="n">
        <f aca="true">OFFSET('☆掛負収入'!$I$22,$AP$4*$AP8,0,1,1)</f>
        <v>484135955</v>
      </c>
      <c r="I29" s="1109" t="n">
        <f aca="true">OFFSET('☆掛負収入'!$I$53,$AP$4*$AP8,0,1,1)</f>
        <v>138736379</v>
      </c>
      <c r="J29" s="1109" t="n">
        <f aca="true">OFFSET('☆掛負収入'!$I$63,$AP$4*$AP8,0,1,1)</f>
        <v>57412</v>
      </c>
      <c r="K29" s="1108" t="n">
        <f aca="false">SUM(H29:J29)</f>
        <v>622929746</v>
      </c>
      <c r="M29" s="1107" t="s">
        <v>523</v>
      </c>
      <c r="N29" s="1109" t="n">
        <f aca="true">OFFSET('☆掛負収入'!$L$22,$AP$4*$AP8,0,1,1)</f>
        <v>45259790</v>
      </c>
      <c r="O29" s="1109" t="n">
        <f aca="true">OFFSET('☆掛負収入'!$L$53,$AP$4*$AP8,0,1,1)</f>
        <v>13093701</v>
      </c>
      <c r="P29" s="1109" t="n">
        <f aca="true">OFFSET('☆掛負収入'!$L$63,$AP$4*$AP8,0,1,1)</f>
        <v>4763</v>
      </c>
      <c r="Q29" s="1108" t="n">
        <f aca="false">SUM(N29:P29)</f>
        <v>58358254</v>
      </c>
      <c r="S29" s="1107" t="s">
        <v>523</v>
      </c>
      <c r="T29" s="1109" t="n">
        <f aca="true">OFFSET('☆掛負収入'!$O$22,$AP$4*$AP8,0,1,1)</f>
        <v>10552642</v>
      </c>
      <c r="U29" s="1109" t="n">
        <f aca="true">OFFSET('☆掛負収入'!$O$53,$AP$4*$AP8,0,1,1)</f>
        <v>3071378</v>
      </c>
      <c r="V29" s="1109" t="n">
        <f aca="true">OFFSET('☆掛負収入'!$O$63,$AP$4*$AP8,0,1,1)</f>
        <v>1271</v>
      </c>
      <c r="W29" s="1108" t="n">
        <f aca="false">SUM(T29:V29)</f>
        <v>13625291</v>
      </c>
      <c r="Y29" s="1107" t="s">
        <v>523</v>
      </c>
      <c r="Z29" s="1109" t="n">
        <f aca="true">OFFSET('☆掛負収入'!$H$65,$AP$4*$AP8,0,1,1)</f>
        <v>614527425</v>
      </c>
      <c r="AA29" s="1109" t="n">
        <f aca="true">OFFSET('☆掛負収入'!$I$65,$AP$4*$AP8,0,1,1)</f>
        <v>622929746</v>
      </c>
      <c r="AB29" s="1108" t="n">
        <f aca="false">SUM(Z29:AA29)</f>
        <v>1237457171</v>
      </c>
      <c r="AC29" s="1113" t="n">
        <f aca="true">OFFSET('☆掛負収入'!$J$65,$AP$4*$AP8,0,1,1)</f>
        <v>1237457171</v>
      </c>
      <c r="AD29" s="1122" t="str">
        <f aca="false">IF(AB29=AC29,"○","×")</f>
        <v>○</v>
      </c>
      <c r="AE29" s="1138"/>
      <c r="AF29" s="1107" t="s">
        <v>523</v>
      </c>
      <c r="AG29" s="1109" t="n">
        <f aca="true">OFFSET('☆掛負収入'!$K$65,$AP$4*$AP8,0,1,1)</f>
        <v>58354858</v>
      </c>
      <c r="AH29" s="1109" t="n">
        <f aca="true">OFFSET('☆掛負収入'!$L$65,$AP$4*$AP8,0,1,1)</f>
        <v>58358254</v>
      </c>
      <c r="AI29" s="1108" t="n">
        <f aca="false">SUM(AG29:AH29)</f>
        <v>116713112</v>
      </c>
      <c r="AJ29" s="1113" t="n">
        <f aca="true">OFFSET('☆掛負収入'!$M$65,$AP$4*$AP8,0,1,1)</f>
        <v>116713112</v>
      </c>
      <c r="AK29" s="1122" t="str">
        <f aca="false">IF(AI29=AJ29,"○","×")</f>
        <v>○</v>
      </c>
      <c r="AL29" s="1122"/>
      <c r="AM29" s="1107" t="s">
        <v>523</v>
      </c>
      <c r="AN29" s="1109" t="n">
        <f aca="true">OFFSET('☆掛負収入'!$N$65,$AP$4*$AP8,0,1,1)</f>
        <v>13618708</v>
      </c>
      <c r="AO29" s="1109" t="n">
        <f aca="true">OFFSET('☆掛負収入'!$O$65,$AP$4*$AP8,0,1,1)</f>
        <v>13625291</v>
      </c>
      <c r="AP29" s="1108" t="n">
        <f aca="false">SUM(AN29:AO29)</f>
        <v>27243999</v>
      </c>
      <c r="AQ29" s="1113" t="n">
        <f aca="true">OFFSET('☆掛負収入'!$P$65,$AP$4*$AP8,0,1,1)</f>
        <v>27243999</v>
      </c>
      <c r="AR29" s="1122" t="str">
        <f aca="false">IF(AP29=AQ29,"○","×")</f>
        <v>○</v>
      </c>
    </row>
    <row r="30" customFormat="false" ht="24.75" hidden="false" customHeight="true" outlineLevel="0" collapsed="false">
      <c r="A30" s="1107" t="s">
        <v>448</v>
      </c>
      <c r="B30" s="1109" t="n">
        <f aca="true">OFFSET('☆掛負収入'!$D$22,$AP$4*$AP9,0,1,1)+OFFSET('☆掛負収入'!$E$22,$AP$4*$AP9,0,1,1)+OFFSET('☆掛負収入'!$F$22,$AP$4*$AP9,0,1,1)</f>
        <v>558907429</v>
      </c>
      <c r="C30" s="1109" t="n">
        <f aca="true">OFFSET('☆掛負収入'!$D$53,$AP$4*$AP9,0,1,1)+OFFSET('☆掛負収入'!$E$53,$AP$4*$AP9,0,1,1)+OFFSET('☆掛負収入'!$F$53,$AP$4*$AP9,0,1,1)+OFFSET('☆掛負収入'!$D$58,$AP$4*$AP9,0,1,1)+OFFSET('☆掛負収入'!$E$58,$AP$4*$AP9,0,1,1)+OFFSET('☆掛負収入'!$F$58,$AP$4*$AP9,0,1,1)</f>
        <v>206650476</v>
      </c>
      <c r="D30" s="1109" t="n">
        <f aca="true">OFFSET('☆掛負収入'!$D$63,$AP$4*$AP9,0,1,1)+OFFSET('☆掛負収入'!$E$63,$AP$4*$AP9,0,1,1)+OFFSET('☆掛負収入'!$F$63,$AP$4*$AP9,0,1,1)</f>
        <v>61380</v>
      </c>
      <c r="E30" s="1108" t="n">
        <f aca="false">SUM(B30:D30)</f>
        <v>765619285</v>
      </c>
      <c r="G30" s="1107" t="s">
        <v>448</v>
      </c>
      <c r="H30" s="1109" t="n">
        <f aca="true">OFFSET('☆掛負収入'!$I$22,$AP$4*$AP9,0,1,1)</f>
        <v>259918246</v>
      </c>
      <c r="I30" s="1109" t="n">
        <f aca="true">OFFSET('☆掛負収入'!$I$53,$AP$4*$AP9,0,1,1)</f>
        <v>100250924</v>
      </c>
      <c r="J30" s="1109" t="n">
        <f aca="true">OFFSET('☆掛負収入'!$I$63,$AP$4*$AP9,0,1,1)</f>
        <v>46461</v>
      </c>
      <c r="K30" s="1108" t="n">
        <f aca="false">SUM(H30:J30)</f>
        <v>360215631</v>
      </c>
      <c r="M30" s="1107" t="s">
        <v>448</v>
      </c>
      <c r="N30" s="1109" t="n">
        <f aca="true">OFFSET('☆掛負収入'!$L$22,$AP$4*$AP9,0,1,1)</f>
        <v>23286233</v>
      </c>
      <c r="O30" s="1109" t="n">
        <f aca="true">OFFSET('☆掛負収入'!$L$53,$AP$4*$AP9,0,1,1)</f>
        <v>8665162</v>
      </c>
      <c r="P30" s="1109" t="n">
        <f aca="true">OFFSET('☆掛負収入'!$L$63,$AP$4*$AP9,0,1,1)</f>
        <v>4898</v>
      </c>
      <c r="Q30" s="1108" t="n">
        <f aca="false">SUM(N30:P30)</f>
        <v>31956293</v>
      </c>
      <c r="S30" s="1107" t="s">
        <v>448</v>
      </c>
      <c r="T30" s="1109" t="n">
        <f aca="true">OFFSET('☆掛負収入'!$O$22,$AP$4*$AP9,0,1,1)</f>
        <v>5663754</v>
      </c>
      <c r="U30" s="1109" t="n">
        <f aca="true">OFFSET('☆掛負収入'!$O$53,$AP$4*$AP9,0,1,1)</f>
        <v>2219724</v>
      </c>
      <c r="V30" s="1109" t="n">
        <f aca="true">OFFSET('☆掛負収入'!$O$63,$AP$4*$AP9,0,1,1)</f>
        <v>1058</v>
      </c>
      <c r="W30" s="1108" t="n">
        <f aca="false">SUM(T30:V30)</f>
        <v>7884536</v>
      </c>
      <c r="Y30" s="1107" t="s">
        <v>448</v>
      </c>
      <c r="Z30" s="1109" t="n">
        <f aca="true">OFFSET('☆掛負収入'!$H$65,$AP$4*$AP9,0,1,1)</f>
        <v>358060395</v>
      </c>
      <c r="AA30" s="1109" t="n">
        <f aca="true">OFFSET('☆掛負収入'!$I$65,$AP$4*$AP9,0,1,1)</f>
        <v>360215631</v>
      </c>
      <c r="AB30" s="1108" t="n">
        <f aca="false">SUM(Z30:AA30)</f>
        <v>718276026</v>
      </c>
      <c r="AC30" s="1113" t="n">
        <f aca="true">OFFSET('☆掛負収入'!$J$65,$AP$4*$AP9,0,1,1)</f>
        <v>718276026</v>
      </c>
      <c r="AD30" s="1122" t="str">
        <f aca="false">IF(AB30=AC30,"○","×")</f>
        <v>○</v>
      </c>
      <c r="AE30" s="1138"/>
      <c r="AF30" s="1107" t="s">
        <v>448</v>
      </c>
      <c r="AG30" s="1109" t="n">
        <f aca="true">OFFSET('☆掛負収入'!$K$65,$AP$4*$AP9,0,1,1)</f>
        <v>32095024</v>
      </c>
      <c r="AH30" s="1109" t="n">
        <f aca="true">OFFSET('☆掛負収入'!$L$65,$AP$4*$AP9,0,1,1)</f>
        <v>31956293</v>
      </c>
      <c r="AI30" s="1108" t="n">
        <f aca="false">SUM(AG30:AH30)</f>
        <v>64051317</v>
      </c>
      <c r="AJ30" s="1113" t="n">
        <f aca="true">OFFSET('☆掛負収入'!$M$65,$AP$4*$AP9,0,1,1)</f>
        <v>64051317</v>
      </c>
      <c r="AK30" s="1122" t="str">
        <f aca="false">IF(AI30=AJ30,"○","×")</f>
        <v>○</v>
      </c>
      <c r="AL30" s="1122"/>
      <c r="AM30" s="1107" t="s">
        <v>448</v>
      </c>
      <c r="AN30" s="1109" t="n">
        <f aca="true">OFFSET('☆掛負収入'!$N$65,$AP$4*$AP9,0,1,1)</f>
        <v>7938327</v>
      </c>
      <c r="AO30" s="1109" t="n">
        <f aca="true">OFFSET('☆掛負収入'!$O$65,$AP$4*$AP9,0,1,1)</f>
        <v>7884536</v>
      </c>
      <c r="AP30" s="1108" t="n">
        <f aca="false">SUM(AN30:AO30)</f>
        <v>15822863</v>
      </c>
      <c r="AQ30" s="1113" t="n">
        <f aca="true">OFFSET('☆掛負収入'!$P$65,$AP$4*$AP9,0,1,1)</f>
        <v>15822863</v>
      </c>
      <c r="AR30" s="1122" t="str">
        <f aca="false">IF(AP30=AQ30,"○","×")</f>
        <v>○</v>
      </c>
    </row>
    <row r="31" customFormat="false" ht="24.75" hidden="false" customHeight="true" outlineLevel="0" collapsed="false">
      <c r="A31" s="1107" t="s">
        <v>449</v>
      </c>
      <c r="B31" s="1109" t="n">
        <f aca="true">OFFSET('☆掛負収入'!$D$22,$AP$4*$AP10,0,1,1)+OFFSET('☆掛負収入'!$E$22,$AP$4*$AP10,0,1,1)+OFFSET('☆掛負収入'!$F$22,$AP$4*$AP10,0,1,1)</f>
        <v>551739310</v>
      </c>
      <c r="C31" s="1109" t="n">
        <f aca="true">OFFSET('☆掛負収入'!$D$53,$AP$4*$AP10,0,1,1)+OFFSET('☆掛負収入'!$E$53,$AP$4*$AP10,0,1,1)+OFFSET('☆掛負収入'!$F$53,$AP$4*$AP10,0,1,1)+OFFSET('☆掛負収入'!$D$58,$AP$4*$AP10,0,1,1)+OFFSET('☆掛負収入'!$E$58,$AP$4*$AP10,0,1,1)+OFFSET('☆掛負収入'!$F$58,$AP$4*$AP10,0,1,1)</f>
        <v>205109610</v>
      </c>
      <c r="D31" s="1109" t="n">
        <f aca="true">OFFSET('☆掛負収入'!$D$63,$AP$4*$AP10,0,1,1)+OFFSET('☆掛負収入'!$E$63,$AP$4*$AP10,0,1,1)+OFFSET('☆掛負収入'!$F$63,$AP$4*$AP10,0,1,1)</f>
        <v>61380</v>
      </c>
      <c r="E31" s="1108" t="n">
        <f aca="false">SUM(B31:D31)</f>
        <v>756910300</v>
      </c>
      <c r="G31" s="1107" t="s">
        <v>449</v>
      </c>
      <c r="H31" s="1109" t="n">
        <f aca="true">OFFSET('☆掛負収入'!$I$22,$AP$4*$AP10,0,1,1)</f>
        <v>256963304</v>
      </c>
      <c r="I31" s="1109" t="n">
        <f aca="true">OFFSET('☆掛負収入'!$I$53,$AP$4*$AP10,0,1,1)</f>
        <v>99740007</v>
      </c>
      <c r="J31" s="1109" t="n">
        <f aca="true">OFFSET('☆掛負収入'!$I$63,$AP$4*$AP10,0,1,1)</f>
        <v>47757</v>
      </c>
      <c r="K31" s="1108" t="n">
        <f aca="false">SUM(H31:J31)</f>
        <v>356751068</v>
      </c>
      <c r="M31" s="1107" t="s">
        <v>449</v>
      </c>
      <c r="N31" s="1109" t="n">
        <f aca="true">OFFSET('☆掛負収入'!$L$22,$AP$4*$AP10,0,1,1)</f>
        <v>23182592</v>
      </c>
      <c r="O31" s="1109" t="n">
        <f aca="true">OFFSET('☆掛負収入'!$L$53,$AP$4*$AP10,0,1,1)</f>
        <v>8680328</v>
      </c>
      <c r="P31" s="1109" t="n">
        <f aca="true">OFFSET('☆掛負収入'!$L$63,$AP$4*$AP10,0,1,1)</f>
        <v>4898</v>
      </c>
      <c r="Q31" s="1108" t="n">
        <f aca="false">SUM(N31:P31)</f>
        <v>31867818</v>
      </c>
      <c r="S31" s="1107" t="s">
        <v>449</v>
      </c>
      <c r="T31" s="1109" t="n">
        <f aca="true">OFFSET('☆掛負収入'!$O$22,$AP$4*$AP10,0,1,1)</f>
        <v>5598913</v>
      </c>
      <c r="U31" s="1109" t="n">
        <f aca="true">OFFSET('☆掛負収入'!$O$53,$AP$4*$AP10,0,1,1)</f>
        <v>2209791</v>
      </c>
      <c r="V31" s="1109" t="n">
        <f aca="true">OFFSET('☆掛負収入'!$O$63,$AP$4*$AP10,0,1,1)</f>
        <v>1058</v>
      </c>
      <c r="W31" s="1108" t="n">
        <f aca="false">SUM(T31:V31)</f>
        <v>7809762</v>
      </c>
      <c r="Y31" s="1107" t="s">
        <v>449</v>
      </c>
      <c r="Z31" s="1109" t="n">
        <f aca="true">OFFSET('☆掛負収入'!$H$65,$AP$4*$AP10,0,1,1)</f>
        <v>355794712</v>
      </c>
      <c r="AA31" s="1109" t="n">
        <f aca="true">OFFSET('☆掛負収入'!$I$65,$AP$4*$AP10,0,1,1)</f>
        <v>356751068</v>
      </c>
      <c r="AB31" s="1108" t="n">
        <f aca="false">SUM(Z31:AA31)</f>
        <v>712545780</v>
      </c>
      <c r="AC31" s="1113" t="n">
        <f aca="true">OFFSET('☆掛負収入'!$J$65,$AP$4*$AP10,0,1,1)</f>
        <v>712545780</v>
      </c>
      <c r="AD31" s="1122" t="str">
        <f aca="false">IF(AB31=AC31,"○","×")</f>
        <v>○</v>
      </c>
      <c r="AE31" s="1138"/>
      <c r="AF31" s="1107" t="s">
        <v>449</v>
      </c>
      <c r="AG31" s="1109" t="n">
        <f aca="true">OFFSET('☆掛負収入'!$K$65,$AP$4*$AP10,0,1,1)</f>
        <v>31956930</v>
      </c>
      <c r="AH31" s="1109" t="n">
        <f aca="true">OFFSET('☆掛負収入'!$L$65,$AP$4*$AP10,0,1,1)</f>
        <v>31867818</v>
      </c>
      <c r="AI31" s="1108" t="n">
        <f aca="false">SUM(AG31:AH31)</f>
        <v>63824748</v>
      </c>
      <c r="AJ31" s="1113" t="n">
        <f aca="true">OFFSET('☆掛負収入'!$M$65,$AP$4*$AP10,0,1,1)</f>
        <v>63824748</v>
      </c>
      <c r="AK31" s="1122" t="str">
        <f aca="false">IF(AI31=AJ31,"○","×")</f>
        <v>○</v>
      </c>
      <c r="AL31" s="1122"/>
      <c r="AM31" s="1107" t="s">
        <v>449</v>
      </c>
      <c r="AN31" s="1109" t="n">
        <f aca="true">OFFSET('☆掛負収入'!$N$65,$AP$4*$AP10,0,1,1)</f>
        <v>7887647</v>
      </c>
      <c r="AO31" s="1109" t="n">
        <f aca="true">OFFSET('☆掛負収入'!$O$65,$AP$4*$AP10,0,1,1)</f>
        <v>7809762</v>
      </c>
      <c r="AP31" s="1108" t="n">
        <f aca="false">SUM(AN31:AO31)</f>
        <v>15697409</v>
      </c>
      <c r="AQ31" s="1113" t="n">
        <f aca="true">OFFSET('☆掛負収入'!$P$65,$AP$4*$AP10,0,1,1)</f>
        <v>15697409</v>
      </c>
      <c r="AR31" s="1122" t="str">
        <f aca="false">IF(AP31=AQ31,"○","×")</f>
        <v>○</v>
      </c>
    </row>
    <row r="32" customFormat="false" ht="24.75" hidden="false" customHeight="true" outlineLevel="0" collapsed="false">
      <c r="A32" s="1107" t="s">
        <v>450</v>
      </c>
      <c r="B32" s="1109" t="n">
        <f aca="true">OFFSET('☆掛負収入'!$D$22,$AP$4*$AP11,0,1,1)+OFFSET('☆掛負収入'!$E$22,$AP$4*$AP11,0,1,1)+OFFSET('☆掛負収入'!$F$22,$AP$4*$AP11,0,1,1)</f>
        <v>561651832</v>
      </c>
      <c r="C32" s="1109" t="n">
        <f aca="true">OFFSET('☆掛負収入'!$D$53,$AP$4*$AP11,0,1,1)+OFFSET('☆掛負収入'!$E$53,$AP$4*$AP11,0,1,1)+OFFSET('☆掛負収入'!$F$53,$AP$4*$AP11,0,1,1)+OFFSET('☆掛負収入'!$D$58,$AP$4*$AP11,0,1,1)+OFFSET('☆掛負収入'!$E$58,$AP$4*$AP11,0,1,1)+OFFSET('☆掛負収入'!$F$58,$AP$4*$AP11,0,1,1)</f>
        <v>207620668</v>
      </c>
      <c r="D32" s="1109" t="n">
        <f aca="true">OFFSET('☆掛負収入'!$D$63,$AP$4*$AP11,0,1,1)+OFFSET('☆掛負収入'!$E$63,$AP$4*$AP11,0,1,1)+OFFSET('☆掛負収入'!$F$63,$AP$4*$AP11,0,1,1)</f>
        <v>65340</v>
      </c>
      <c r="E32" s="1108" t="n">
        <f aca="false">SUM(B32:D32)</f>
        <v>769337840</v>
      </c>
      <c r="G32" s="1107" t="s">
        <v>450</v>
      </c>
      <c r="H32" s="1109" t="n">
        <f aca="true">OFFSET('☆掛負収入'!$I$22,$AP$4*$AP11,0,1,1)</f>
        <v>260594408</v>
      </c>
      <c r="I32" s="1109" t="n">
        <f aca="true">OFFSET('☆掛負収入'!$I$53,$AP$4*$AP11,0,1,1)</f>
        <v>99494586</v>
      </c>
      <c r="J32" s="1109" t="n">
        <f aca="true">OFFSET('☆掛負収入'!$I$63,$AP$4*$AP11,0,1,1)</f>
        <v>49833</v>
      </c>
      <c r="K32" s="1108" t="n">
        <f aca="false">SUM(H32:J32)</f>
        <v>360138827</v>
      </c>
      <c r="M32" s="1107" t="s">
        <v>450</v>
      </c>
      <c r="N32" s="1109" t="n">
        <f aca="true">OFFSET('☆掛負収入'!$L$22,$AP$4*$AP11,0,1,1)</f>
        <v>23594250</v>
      </c>
      <c r="O32" s="1109" t="n">
        <f aca="true">OFFSET('☆掛負収入'!$L$53,$AP$4*$AP11,0,1,1)</f>
        <v>8693571</v>
      </c>
      <c r="P32" s="1109" t="n">
        <f aca="true">OFFSET('☆掛負収入'!$L$63,$AP$4*$AP11,0,1,1)</f>
        <v>5056</v>
      </c>
      <c r="Q32" s="1108" t="n">
        <f aca="false">SUM(N32:P32)</f>
        <v>32292877</v>
      </c>
      <c r="S32" s="1107" t="s">
        <v>450</v>
      </c>
      <c r="T32" s="1109" t="n">
        <f aca="true">OFFSET('☆掛負収入'!$O$22,$AP$4*$AP11,0,1,1)</f>
        <v>5678302</v>
      </c>
      <c r="U32" s="1109" t="n">
        <f aca="true">OFFSET('☆掛負収入'!$O$53,$AP$4*$AP11,0,1,1)</f>
        <v>2203048</v>
      </c>
      <c r="V32" s="1109" t="n">
        <f aca="true">OFFSET('☆掛負収入'!$O$63,$AP$4*$AP11,0,1,1)</f>
        <v>1104</v>
      </c>
      <c r="W32" s="1108" t="n">
        <f aca="false">SUM(T32:V32)</f>
        <v>7882454</v>
      </c>
      <c r="Y32" s="1107" t="s">
        <v>450</v>
      </c>
      <c r="Z32" s="1109" t="n">
        <f aca="true">OFFSET('☆掛負収入'!$H$65,$AP$4*$AP11,0,1,1)</f>
        <v>362597062</v>
      </c>
      <c r="AA32" s="1109" t="n">
        <f aca="true">OFFSET('☆掛負収入'!$I$65,$AP$4*$AP11,0,1,1)</f>
        <v>360138827</v>
      </c>
      <c r="AB32" s="1108" t="n">
        <f aca="false">SUM(Z32:AA32)</f>
        <v>722735889</v>
      </c>
      <c r="AC32" s="1113" t="n">
        <f aca="true">OFFSET('☆掛負収入'!$J$65,$AP$4*$AP11,0,1,1)</f>
        <v>722735889</v>
      </c>
      <c r="AD32" s="1122" t="str">
        <f aca="false">IF(AB32=AC32,"○","×")</f>
        <v>○</v>
      </c>
      <c r="AE32" s="1138"/>
      <c r="AF32" s="1107" t="s">
        <v>450</v>
      </c>
      <c r="AG32" s="1109" t="n">
        <f aca="true">OFFSET('☆掛負収入'!$K$65,$AP$4*$AP11,0,1,1)</f>
        <v>32643398</v>
      </c>
      <c r="AH32" s="1109" t="n">
        <f aca="true">OFFSET('☆掛負収入'!$L$65,$AP$4*$AP11,0,1,1)</f>
        <v>32292877</v>
      </c>
      <c r="AI32" s="1108" t="n">
        <f aca="false">SUM(AG32:AH32)</f>
        <v>64936275</v>
      </c>
      <c r="AJ32" s="1113" t="n">
        <f aca="true">OFFSET('☆掛負収入'!$M$65,$AP$4*$AP11,0,1,1)</f>
        <v>64936275</v>
      </c>
      <c r="AK32" s="1122" t="str">
        <f aca="false">IF(AI32=AJ32,"○","×")</f>
        <v>○</v>
      </c>
      <c r="AL32" s="1122"/>
      <c r="AM32" s="1107" t="s">
        <v>450</v>
      </c>
      <c r="AN32" s="1109" t="n">
        <f aca="true">OFFSET('☆掛負収入'!$N$65,$AP$4*$AP11,0,1,1)</f>
        <v>8035595</v>
      </c>
      <c r="AO32" s="1109" t="n">
        <f aca="true">OFFSET('☆掛負収入'!$O$65,$AP$4*$AP11,0,1,1)</f>
        <v>7882454</v>
      </c>
      <c r="AP32" s="1108" t="n">
        <f aca="false">SUM(AN32:AO32)</f>
        <v>15918049</v>
      </c>
      <c r="AQ32" s="1113" t="n">
        <f aca="true">OFFSET('☆掛負収入'!$P$65,$AP$4*$AP11,0,1,1)</f>
        <v>15918049</v>
      </c>
      <c r="AR32" s="1122" t="str">
        <f aca="false">IF(AP32=AQ32,"○","×")</f>
        <v>○</v>
      </c>
    </row>
    <row r="33" customFormat="false" ht="24.75" hidden="false" customHeight="true" outlineLevel="0" collapsed="false">
      <c r="A33" s="1107" t="s">
        <v>451</v>
      </c>
      <c r="B33" s="1109" t="n">
        <f aca="true">OFFSET('☆掛負収入'!$D$22,$AP$4*$AP12,0,1,1)+OFFSET('☆掛負収入'!$E$22,$AP$4*$AP12,0,1,1)+OFFSET('☆掛負収入'!$F$22,$AP$4*$AP12,0,1,1)</f>
        <v>545843758</v>
      </c>
      <c r="C33" s="1109" t="n">
        <f aca="true">OFFSET('☆掛負収入'!$D$53,$AP$4*$AP12,0,1,1)+OFFSET('☆掛負収入'!$E$53,$AP$4*$AP12,0,1,1)+OFFSET('☆掛負収入'!$F$53,$AP$4*$AP12,0,1,1)+OFFSET('☆掛負収入'!$D$58,$AP$4*$AP12,0,1,1)+OFFSET('☆掛負収入'!$E$58,$AP$4*$AP12,0,1,1)+OFFSET('☆掛負収入'!$F$58,$AP$4*$AP12,0,1,1)</f>
        <v>203987194</v>
      </c>
      <c r="D33" s="1109" t="n">
        <f aca="true">OFFSET('☆掛負収入'!$D$63,$AP$4*$AP12,0,1,1)+OFFSET('☆掛負収入'!$E$63,$AP$4*$AP12,0,1,1)+OFFSET('☆掛負収入'!$F$63,$AP$4*$AP12,0,1,1)</f>
        <v>63360</v>
      </c>
      <c r="E33" s="1108" t="n">
        <f aca="false">SUM(B33:D33)</f>
        <v>749894312</v>
      </c>
      <c r="G33" s="1107" t="s">
        <v>451</v>
      </c>
      <c r="H33" s="1109" t="n">
        <f aca="true">OFFSET('☆掛負収入'!$I$22,$AP$4*$AP12,0,1,1)</f>
        <v>267894581</v>
      </c>
      <c r="I33" s="1109" t="n">
        <f aca="true">OFFSET('☆掛負収入'!$I$53,$AP$4*$AP12,0,1,1)</f>
        <v>102305115</v>
      </c>
      <c r="J33" s="1109" t="n">
        <f aca="true">OFFSET('☆掛負収入'!$I$63,$AP$4*$AP12,0,1,1)</f>
        <v>49819</v>
      </c>
      <c r="K33" s="1108" t="n">
        <f aca="false">SUM(H33:J33)</f>
        <v>370249515</v>
      </c>
      <c r="M33" s="1107" t="s">
        <v>451</v>
      </c>
      <c r="N33" s="1109" t="n">
        <f aca="true">OFFSET('☆掛負収入'!$L$22,$AP$4*$AP12,0,1,1)</f>
        <v>22725391</v>
      </c>
      <c r="O33" s="1109" t="n">
        <f aca="true">OFFSET('☆掛負収入'!$L$53,$AP$4*$AP12,0,1,1)</f>
        <v>8377685</v>
      </c>
      <c r="P33" s="1109" t="n">
        <f aca="true">OFFSET('☆掛負収入'!$L$63,$AP$4*$AP12,0,1,1)</f>
        <v>4898</v>
      </c>
      <c r="Q33" s="1108" t="n">
        <f aca="false">SUM(N33:P33)</f>
        <v>31107974</v>
      </c>
      <c r="S33" s="1107" t="s">
        <v>451</v>
      </c>
      <c r="T33" s="1109" t="n">
        <f aca="true">OFFSET('☆掛負収入'!$O$22,$AP$4*$AP12,0,1,1)</f>
        <v>12</v>
      </c>
      <c r="U33" s="1109" t="n">
        <f aca="true">OFFSET('☆掛負収入'!$O$53,$AP$4*$AP12,0,1,1)</f>
        <v>7652</v>
      </c>
      <c r="V33" s="1109" t="n">
        <f aca="true">OFFSET('☆掛負収入'!$O$63,$AP$4*$AP12,0,1,1)</f>
        <v>714</v>
      </c>
      <c r="W33" s="1108" t="n">
        <f aca="false">SUM(T33:V33)</f>
        <v>8378</v>
      </c>
      <c r="Y33" s="1107" t="s">
        <v>451</v>
      </c>
      <c r="Z33" s="1109" t="n">
        <f aca="true">OFFSET('☆掛負収入'!$H$65,$AP$4*$AP12,0,1,1)</f>
        <v>367864881</v>
      </c>
      <c r="AA33" s="1109" t="n">
        <f aca="true">OFFSET('☆掛負収入'!$I$65,$AP$4*$AP12,0,1,1)</f>
        <v>370249515</v>
      </c>
      <c r="AB33" s="1108" t="n">
        <f aca="false">SUM(Z33:AA33)</f>
        <v>738114396</v>
      </c>
      <c r="AC33" s="1113" t="n">
        <f aca="true">OFFSET('☆掛負収入'!$J$65,$AP$4*$AP12,0,1,1)</f>
        <v>738114396</v>
      </c>
      <c r="AD33" s="1122" t="str">
        <f aca="false">IF(AB33=AC33,"○","×")</f>
        <v>○</v>
      </c>
      <c r="AE33" s="1138"/>
      <c r="AF33" s="1107" t="s">
        <v>451</v>
      </c>
      <c r="AG33" s="1109" t="n">
        <f aca="true">OFFSET('☆掛負収入'!$K$65,$AP$4*$AP12,0,1,1)</f>
        <v>31229592</v>
      </c>
      <c r="AH33" s="1109" t="n">
        <f aca="true">OFFSET('☆掛負収入'!$L$65,$AP$4*$AP12,0,1,1)</f>
        <v>31107974</v>
      </c>
      <c r="AI33" s="1108" t="n">
        <f aca="false">SUM(AG33:AH33)</f>
        <v>62337566</v>
      </c>
      <c r="AJ33" s="1113" t="n">
        <f aca="true">OFFSET('☆掛負収入'!$M$65,$AP$4*$AP12,0,1,1)</f>
        <v>62337566</v>
      </c>
      <c r="AK33" s="1122" t="str">
        <f aca="false">IF(AI33=AJ33,"○","×")</f>
        <v>○</v>
      </c>
      <c r="AL33" s="1122"/>
      <c r="AM33" s="1107" t="s">
        <v>451</v>
      </c>
      <c r="AN33" s="1109" t="n">
        <f aca="true">OFFSET('☆掛負収入'!$N$65,$AP$4*$AP12,0,1,1)</f>
        <v>8366</v>
      </c>
      <c r="AO33" s="1109" t="n">
        <f aca="true">OFFSET('☆掛負収入'!$O$65,$AP$4*$AP12,0,1,1)</f>
        <v>8378</v>
      </c>
      <c r="AP33" s="1108" t="n">
        <f aca="false">SUM(AN33:AO33)</f>
        <v>16744</v>
      </c>
      <c r="AQ33" s="1113" t="n">
        <f aca="true">OFFSET('☆掛負収入'!$P$65,$AP$4*$AP12,0,1,1)</f>
        <v>16744</v>
      </c>
      <c r="AR33" s="1122" t="str">
        <f aca="false">IF(AP33=AQ33,"○","×")</f>
        <v>○</v>
      </c>
    </row>
    <row r="34" customFormat="false" ht="24.75" hidden="false" customHeight="true" outlineLevel="0" collapsed="false">
      <c r="A34" s="1107" t="s">
        <v>452</v>
      </c>
      <c r="B34" s="1109" t="n">
        <f aca="true">OFFSET('☆掛負収入'!$D$22,$AP$4*$AP13,0,1,1)+OFFSET('☆掛負収入'!$E$22,$AP$4*$AP13,0,1,1)+OFFSET('☆掛負収入'!$F$22,$AP$4*$AP13,0,1,1)</f>
        <v>544500659</v>
      </c>
      <c r="C34" s="1109" t="n">
        <f aca="true">OFFSET('☆掛負収入'!$D$53,$AP$4*$AP13,0,1,1)+OFFSET('☆掛負収入'!$E$53,$AP$4*$AP13,0,1,1)+OFFSET('☆掛負収入'!$F$53,$AP$4*$AP13,0,1,1)+OFFSET('☆掛負収入'!$D$58,$AP$4*$AP13,0,1,1)+OFFSET('☆掛負収入'!$E$58,$AP$4*$AP13,0,1,1)+OFFSET('☆掛負収入'!$F$58,$AP$4*$AP13,0,1,1)</f>
        <v>203391483</v>
      </c>
      <c r="D34" s="1109" t="n">
        <f aca="true">OFFSET('☆掛負収入'!$D$63,$AP$4*$AP13,0,1,1)+OFFSET('☆掛負収入'!$E$63,$AP$4*$AP13,0,1,1)+OFFSET('☆掛負収入'!$F$63,$AP$4*$AP13,0,1,1)</f>
        <v>57420</v>
      </c>
      <c r="E34" s="1108" t="n">
        <f aca="false">SUM(B34:D34)</f>
        <v>747949562</v>
      </c>
      <c r="G34" s="1107" t="s">
        <v>452</v>
      </c>
      <c r="H34" s="1109" t="n">
        <f aca="true">OFFSET('☆掛負収入'!$I$22,$AP$4*$AP13,0,1,1)</f>
        <v>267522197</v>
      </c>
      <c r="I34" s="1109" t="n">
        <f aca="true">OFFSET('☆掛負収入'!$I$53,$AP$4*$AP13,0,1,1)</f>
        <v>101993724</v>
      </c>
      <c r="J34" s="1109" t="n">
        <f aca="true">OFFSET('☆掛負収入'!$I$63,$AP$4*$AP13,0,1,1)</f>
        <v>48496</v>
      </c>
      <c r="K34" s="1108" t="n">
        <f aca="false">SUM(H34:J34)</f>
        <v>369564417</v>
      </c>
      <c r="M34" s="1107" t="s">
        <v>452</v>
      </c>
      <c r="N34" s="1109" t="n">
        <f aca="true">OFFSET('☆掛負収入'!$L$22,$AP$4*$AP13,0,1,1)</f>
        <v>22774384</v>
      </c>
      <c r="O34" s="1109" t="n">
        <f aca="true">OFFSET('☆掛負収入'!$L$53,$AP$4*$AP13,0,1,1)</f>
        <v>8379335</v>
      </c>
      <c r="P34" s="1109" t="n">
        <f aca="true">OFFSET('☆掛負収入'!$L$63,$AP$4*$AP13,0,1,1)</f>
        <v>4898</v>
      </c>
      <c r="Q34" s="1108" t="n">
        <f aca="false">SUM(N34:P34)</f>
        <v>31158617</v>
      </c>
      <c r="S34" s="1107" t="s">
        <v>452</v>
      </c>
      <c r="T34" s="1109" t="n">
        <f aca="true">OFFSET('☆掛負収入'!$O$22,$AP$4*$AP13,0,1,1)</f>
        <v>12</v>
      </c>
      <c r="U34" s="1109" t="n">
        <f aca="true">OFFSET('☆掛負収入'!$O$53,$AP$4*$AP13,0,1,1)</f>
        <v>24</v>
      </c>
      <c r="V34" s="1109" t="n">
        <f aca="true">OFFSET('☆掛負収入'!$O$63,$AP$4*$AP13,0,1,1)</f>
        <v>2</v>
      </c>
      <c r="W34" s="1108" t="n">
        <f aca="false">SUM(T34:V34)</f>
        <v>38</v>
      </c>
      <c r="Y34" s="1107" t="s">
        <v>452</v>
      </c>
      <c r="Z34" s="1109" t="n">
        <f aca="true">OFFSET('☆掛負収入'!$H$65,$AP$4*$AP13,0,1,1)</f>
        <v>366177202</v>
      </c>
      <c r="AA34" s="1109" t="n">
        <f aca="true">OFFSET('☆掛負収入'!$I$65,$AP$4*$AP13,0,1,1)</f>
        <v>369564417</v>
      </c>
      <c r="AB34" s="1108" t="n">
        <f aca="false">SUM(Z34:AA34)</f>
        <v>735741619</v>
      </c>
      <c r="AC34" s="1113" t="n">
        <f aca="true">OFFSET('☆掛負収入'!$J$65,$AP$4*$AP13,0,1,1)</f>
        <v>735741619</v>
      </c>
      <c r="AD34" s="1122" t="str">
        <f aca="false">IF(AB34=AC34,"○","×")</f>
        <v>○</v>
      </c>
      <c r="AE34" s="1138"/>
      <c r="AF34" s="1107" t="s">
        <v>452</v>
      </c>
      <c r="AG34" s="1109" t="n">
        <f aca="true">OFFSET('☆掛負収入'!$K$65,$AP$4*$AP13,0,1,1)</f>
        <v>31294719</v>
      </c>
      <c r="AH34" s="1109" t="n">
        <f aca="true">OFFSET('☆掛負収入'!$L$65,$AP$4*$AP13,0,1,1)</f>
        <v>31158617</v>
      </c>
      <c r="AI34" s="1108" t="n">
        <f aca="false">SUM(AG34:AH34)</f>
        <v>62453336</v>
      </c>
      <c r="AJ34" s="1113" t="n">
        <f aca="true">OFFSET('☆掛負収入'!$M$65,$AP$4*$AP13,0,1,1)</f>
        <v>62453336</v>
      </c>
      <c r="AK34" s="1122" t="str">
        <f aca="false">IF(AI34=AJ34,"○","×")</f>
        <v>○</v>
      </c>
      <c r="AL34" s="1122"/>
      <c r="AM34" s="1107" t="s">
        <v>452</v>
      </c>
      <c r="AN34" s="1109" t="n">
        <f aca="true">OFFSET('☆掛負収入'!$N$65,$AP$4*$AP13,0,1,1)</f>
        <v>27</v>
      </c>
      <c r="AO34" s="1109" t="n">
        <f aca="true">OFFSET('☆掛負収入'!$O$65,$AP$4*$AP13,0,1,1)</f>
        <v>38</v>
      </c>
      <c r="AP34" s="1108" t="n">
        <f aca="false">SUM(AN34:AO34)</f>
        <v>65</v>
      </c>
      <c r="AQ34" s="1113" t="n">
        <f aca="true">OFFSET('☆掛負収入'!$P$65,$AP$4*$AP13,0,1,1)</f>
        <v>65</v>
      </c>
      <c r="AR34" s="1122" t="str">
        <f aca="false">IF(AP34=AQ34,"○","×")</f>
        <v>○</v>
      </c>
    </row>
    <row r="35" customFormat="false" ht="24.75" hidden="false" customHeight="true" outlineLevel="0" collapsed="false">
      <c r="A35" s="1107" t="s">
        <v>524</v>
      </c>
      <c r="B35" s="1109" t="n">
        <f aca="true">OFFSET('☆掛負収入'!$D$22,$AP$4*$AP14,0,1,1)+OFFSET('☆掛負収入'!$E$22,$AP$4*$AP14,0,1,1)+OFFSET('☆掛負収入'!$F$22,$AP$4*$AP14,0,1,1)</f>
        <v>1005026956</v>
      </c>
      <c r="C35" s="1109" t="n">
        <f aca="true">OFFSET('☆掛負収入'!$D$53,$AP$4*$AP14,0,1,1)+OFFSET('☆掛負収入'!$E$53,$AP$4*$AP14,0,1,1)+OFFSET('☆掛負収入'!$F$53,$AP$4*$AP14,0,1,1)+OFFSET('☆掛負収入'!$D$58,$AP$4*$AP14,0,1,1)+OFFSET('☆掛負収入'!$E$58,$AP$4*$AP14,0,1,1)+OFFSET('☆掛負収入'!$F$58,$AP$4*$AP14,0,1,1)</f>
        <v>338329573</v>
      </c>
      <c r="D35" s="1109" t="n">
        <f aca="true">OFFSET('☆掛負収入'!$D$63,$AP$4*$AP14,0,1,1)+OFFSET('☆掛負収入'!$E$63,$AP$4*$AP14,0,1,1)+OFFSET('☆掛負収入'!$F$63,$AP$4*$AP14,0,1,1)</f>
        <v>76725</v>
      </c>
      <c r="E35" s="1108" t="n">
        <f aca="false">SUM(B35:D35)</f>
        <v>1343433254</v>
      </c>
      <c r="G35" s="1107" t="s">
        <v>524</v>
      </c>
      <c r="H35" s="1109" t="n">
        <f aca="true">OFFSET('☆掛負収入'!$I$22,$AP$4*$AP14,0,1,1)</f>
        <v>494576953</v>
      </c>
      <c r="I35" s="1109" t="n">
        <f aca="true">OFFSET('☆掛負収入'!$I$53,$AP$4*$AP14,0,1,1)</f>
        <v>142765014</v>
      </c>
      <c r="J35" s="1109" t="n">
        <f aca="true">OFFSET('☆掛負収入'!$I$63,$AP$4*$AP14,0,1,1)</f>
        <v>56817</v>
      </c>
      <c r="K35" s="1108" t="n">
        <f aca="false">SUM(H35:J35)</f>
        <v>637398784</v>
      </c>
      <c r="M35" s="1107" t="s">
        <v>524</v>
      </c>
      <c r="N35" s="1109" t="n">
        <f aca="true">OFFSET('☆掛負収入'!$L$22,$AP$4*$AP14,0,1,1)</f>
        <v>43552755</v>
      </c>
      <c r="O35" s="1109" t="n">
        <f aca="true">OFFSET('☆掛負収入'!$L$53,$AP$4*$AP14,0,1,1)</f>
        <v>12546258</v>
      </c>
      <c r="P35" s="1109" t="n">
        <f aca="true">OFFSET('☆掛負収入'!$L$63,$AP$4*$AP14,0,1,1)</f>
        <v>4431</v>
      </c>
      <c r="Q35" s="1108" t="n">
        <f aca="false">SUM(N35:P35)</f>
        <v>56103444</v>
      </c>
      <c r="S35" s="1107" t="s">
        <v>524</v>
      </c>
      <c r="T35" s="1109" t="n">
        <f aca="true">OFFSET('☆掛負収入'!$O$22,$AP$4*$AP14,0,1,1)</f>
        <v>12</v>
      </c>
      <c r="U35" s="1109" t="n">
        <f aca="true">OFFSET('☆掛負収入'!$O$53,$AP$4*$AP14,0,1,1)</f>
        <v>24</v>
      </c>
      <c r="V35" s="1109" t="n">
        <f aca="true">OFFSET('☆掛負収入'!$O$63,$AP$4*$AP14,0,1,1)</f>
        <v>2</v>
      </c>
      <c r="W35" s="1108" t="n">
        <f aca="false">SUM(T35:V35)</f>
        <v>38</v>
      </c>
      <c r="Y35" s="1107" t="s">
        <v>524</v>
      </c>
      <c r="Z35" s="1109" t="n">
        <f aca="true">OFFSET('☆掛負収入'!$H$65,$AP$4*$AP14,0,1,1)</f>
        <v>628299535</v>
      </c>
      <c r="AA35" s="1109" t="n">
        <f aca="true">OFFSET('☆掛負収入'!$I$65,$AP$4*$AP14,0,1,1)</f>
        <v>637398784</v>
      </c>
      <c r="AB35" s="1108" t="n">
        <f aca="false">SUM(Z35:AA35)</f>
        <v>1265698319</v>
      </c>
      <c r="AC35" s="1113" t="n">
        <f aca="true">OFFSET('☆掛負収入'!$J$65,$AP$4*$AP14,0,1,1)</f>
        <v>1265698319</v>
      </c>
      <c r="AD35" s="1122" t="str">
        <f aca="false">IF(AB35=AC35,"○","×")</f>
        <v>○</v>
      </c>
      <c r="AE35" s="1138"/>
      <c r="AF35" s="1107" t="s">
        <v>524</v>
      </c>
      <c r="AG35" s="1109" t="n">
        <f aca="true">OFFSET('☆掛負収入'!$K$65,$AP$4*$AP14,0,1,1)</f>
        <v>56098280</v>
      </c>
      <c r="AH35" s="1109" t="n">
        <f aca="true">OFFSET('☆掛負収入'!$L$65,$AP$4*$AP14,0,1,1)</f>
        <v>56103444</v>
      </c>
      <c r="AI35" s="1108" t="n">
        <f aca="false">SUM(AG35:AH35)</f>
        <v>112201724</v>
      </c>
      <c r="AJ35" s="1113" t="n">
        <f aca="true">OFFSET('☆掛負収入'!$M$65,$AP$4*$AP14,0,1,1)</f>
        <v>112201724</v>
      </c>
      <c r="AK35" s="1122" t="str">
        <f aca="false">IF(AI35=AJ35,"○","×")</f>
        <v>○</v>
      </c>
      <c r="AL35" s="1122"/>
      <c r="AM35" s="1107" t="s">
        <v>524</v>
      </c>
      <c r="AN35" s="1109" t="n">
        <f aca="true">OFFSET('☆掛負収入'!$N$65,$AP$4*$AP14,0,1,1)</f>
        <v>26</v>
      </c>
      <c r="AO35" s="1109" t="n">
        <f aca="true">OFFSET('☆掛負収入'!$O$65,$AP$4*$AP14,0,1,1)</f>
        <v>38</v>
      </c>
      <c r="AP35" s="1108" t="n">
        <f aca="false">SUM(AN35:AO35)</f>
        <v>64</v>
      </c>
      <c r="AQ35" s="1113" t="n">
        <f aca="true">OFFSET('☆掛負収入'!$P$65,$AP$4*$AP14,0,1,1)</f>
        <v>64</v>
      </c>
      <c r="AR35" s="1122" t="str">
        <f aca="false">IF(AP35=AQ35,"○","×")</f>
        <v>○</v>
      </c>
    </row>
    <row r="36" customFormat="false" ht="24.75" hidden="false" customHeight="true" outlineLevel="0" collapsed="false">
      <c r="A36" s="1107" t="s">
        <v>453</v>
      </c>
      <c r="B36" s="1109" t="n">
        <f aca="true">OFFSET('☆掛負収入'!$D$22,$AP$4*$AP15,0,1,1)+OFFSET('☆掛負収入'!$E$22,$AP$4*$AP15,0,1,1)+OFFSET('☆掛負収入'!$F$22,$AP$4*$AP15,0,1,1)</f>
        <v>544528584</v>
      </c>
      <c r="C36" s="1109" t="n">
        <f aca="true">OFFSET('☆掛負収入'!$D$53,$AP$4*$AP15,0,1,1)+OFFSET('☆掛負収入'!$E$53,$AP$4*$AP15,0,1,1)+OFFSET('☆掛負収入'!$F$53,$AP$4*$AP15,0,1,1)+OFFSET('☆掛負収入'!$D$58,$AP$4*$AP15,0,1,1)+OFFSET('☆掛負収入'!$E$58,$AP$4*$AP15,0,1,1)+OFFSET('☆掛負収入'!$F$58,$AP$4*$AP15,0,1,1)</f>
        <v>202979994</v>
      </c>
      <c r="D36" s="1109" t="n">
        <f aca="true">OFFSET('☆掛負収入'!$D$63,$AP$4*$AP15,0,1,1)+OFFSET('☆掛負収入'!$E$63,$AP$4*$AP15,0,1,1)+OFFSET('☆掛負収入'!$F$63,$AP$4*$AP15,0,1,1)</f>
        <v>57420</v>
      </c>
      <c r="E36" s="1108" t="n">
        <f aca="false">SUM(B36:D36)</f>
        <v>747565998</v>
      </c>
      <c r="G36" s="1107" t="s">
        <v>453</v>
      </c>
      <c r="H36" s="1109" t="n">
        <f aca="true">OFFSET('☆掛負収入'!$I$22,$AP$4*$AP15,0,1,1)</f>
        <v>267572029</v>
      </c>
      <c r="I36" s="1109" t="n">
        <f aca="true">OFFSET('☆掛負収入'!$I$53,$AP$4*$AP15,0,1,1)</f>
        <v>102028643</v>
      </c>
      <c r="J36" s="1109" t="n">
        <f aca="true">OFFSET('☆掛負収入'!$I$63,$AP$4*$AP15,0,1,1)</f>
        <v>48496</v>
      </c>
      <c r="K36" s="1108" t="n">
        <f aca="false">SUM(H36:J36)</f>
        <v>369649168</v>
      </c>
      <c r="M36" s="1107" t="s">
        <v>453</v>
      </c>
      <c r="N36" s="1109" t="n">
        <f aca="true">OFFSET('☆掛負収入'!$L$22,$AP$4*$AP15,0,1,1)</f>
        <v>22829950</v>
      </c>
      <c r="O36" s="1109" t="n">
        <f aca="true">OFFSET('☆掛負収入'!$L$53,$AP$4*$AP15,0,1,1)</f>
        <v>8391088</v>
      </c>
      <c r="P36" s="1109" t="n">
        <f aca="true">OFFSET('☆掛負収入'!$L$63,$AP$4*$AP15,0,1,1)</f>
        <v>4898</v>
      </c>
      <c r="Q36" s="1108" t="n">
        <f aca="false">SUM(N36:P36)</f>
        <v>31225936</v>
      </c>
      <c r="S36" s="1107" t="s">
        <v>453</v>
      </c>
      <c r="T36" s="1109" t="n">
        <f aca="true">OFFSET('☆掛負収入'!$O$22,$AP$4*$AP15,0,1,1)</f>
        <v>12</v>
      </c>
      <c r="U36" s="1109" t="n">
        <f aca="true">OFFSET('☆掛負収入'!$O$53,$AP$4*$AP15,0,1,1)</f>
        <v>24</v>
      </c>
      <c r="V36" s="1109" t="n">
        <f aca="true">OFFSET('☆掛負収入'!$O$63,$AP$4*$AP15,0,1,1)</f>
        <v>2</v>
      </c>
      <c r="W36" s="1108" t="n">
        <f aca="false">SUM(T36:V36)</f>
        <v>38</v>
      </c>
      <c r="Y36" s="1107" t="s">
        <v>453</v>
      </c>
      <c r="Z36" s="1109" t="n">
        <f aca="true">OFFSET('☆掛負収入'!$H$65,$AP$4*$AP15,0,1,1)</f>
        <v>366311761</v>
      </c>
      <c r="AA36" s="1109" t="n">
        <f aca="true">OFFSET('☆掛負収入'!$I$65,$AP$4*$AP15,0,1,1)</f>
        <v>369649168</v>
      </c>
      <c r="AB36" s="1108" t="n">
        <f aca="false">SUM(Z36:AA36)</f>
        <v>735960929</v>
      </c>
      <c r="AC36" s="1113" t="n">
        <f aca="true">OFFSET('☆掛負収入'!$J$65,$AP$4*$AP15,0,1,1)</f>
        <v>735960929</v>
      </c>
      <c r="AD36" s="1122" t="str">
        <f aca="false">IF(AB36=AC36,"○","×")</f>
        <v>○</v>
      </c>
      <c r="AE36" s="1138"/>
      <c r="AF36" s="1107" t="s">
        <v>453</v>
      </c>
      <c r="AG36" s="1109" t="n">
        <f aca="true">OFFSET('☆掛負収入'!$K$65,$AP$4*$AP15,0,1,1)</f>
        <v>31313778</v>
      </c>
      <c r="AH36" s="1109" t="n">
        <f aca="true">OFFSET('☆掛負収入'!$L$65,$AP$4*$AP15,0,1,1)</f>
        <v>31225936</v>
      </c>
      <c r="AI36" s="1108" t="n">
        <f aca="false">SUM(AG36:AH36)</f>
        <v>62539714</v>
      </c>
      <c r="AJ36" s="1113" t="n">
        <f aca="true">OFFSET('☆掛負収入'!$M$65,$AP$4*$AP15,0,1,1)</f>
        <v>62539714</v>
      </c>
      <c r="AK36" s="1122" t="str">
        <f aca="false">IF(AI36=AJ36,"○","×")</f>
        <v>○</v>
      </c>
      <c r="AL36" s="1122"/>
      <c r="AM36" s="1107" t="s">
        <v>453</v>
      </c>
      <c r="AN36" s="1109" t="n">
        <f aca="true">OFFSET('☆掛負収入'!$N$65,$AP$4*$AP15,0,1,1)</f>
        <v>27</v>
      </c>
      <c r="AO36" s="1109" t="n">
        <f aca="true">OFFSET('☆掛負収入'!$O$65,$AP$4*$AP15,0,1,1)</f>
        <v>38</v>
      </c>
      <c r="AP36" s="1108" t="n">
        <f aca="false">SUM(AN36:AO36)</f>
        <v>65</v>
      </c>
      <c r="AQ36" s="1113" t="n">
        <f aca="true">OFFSET('☆掛負収入'!$P$65,$AP$4*$AP15,0,1,1)</f>
        <v>65</v>
      </c>
      <c r="AR36" s="1122" t="str">
        <f aca="false">IF(AP36=AQ36,"○","×")</f>
        <v>○</v>
      </c>
    </row>
    <row r="37" customFormat="false" ht="24.75" hidden="false" customHeight="true" outlineLevel="0" collapsed="false">
      <c r="A37" s="1107" t="s">
        <v>454</v>
      </c>
      <c r="B37" s="1109" t="n">
        <f aca="true">OFFSET('☆掛負収入'!$D$22,$AP$4*$AP16,0,1,1)+OFFSET('☆掛負収入'!$E$22,$AP$4*$AP16,0,1,1)+OFFSET('☆掛負収入'!$F$22,$AP$4*$AP16,0,1,1)</f>
        <v>545433111</v>
      </c>
      <c r="C37" s="1109" t="n">
        <f aca="true">OFFSET('☆掛負収入'!$D$53,$AP$4*$AP16,0,1,1)+OFFSET('☆掛負収入'!$E$53,$AP$4*$AP16,0,1,1)+OFFSET('☆掛負収入'!$F$53,$AP$4*$AP16,0,1,1)+OFFSET('☆掛負収入'!$D$58,$AP$4*$AP16,0,1,1)+OFFSET('☆掛負収入'!$E$58,$AP$4*$AP16,0,1,1)+OFFSET('☆掛負収入'!$F$58,$AP$4*$AP16,0,1,1)</f>
        <v>204224230</v>
      </c>
      <c r="D37" s="1109" t="n">
        <f aca="true">OFFSET('☆掛負収入'!$D$63,$AP$4*$AP16,0,1,1)+OFFSET('☆掛負収入'!$E$63,$AP$4*$AP16,0,1,1)+OFFSET('☆掛負収入'!$F$63,$AP$4*$AP16,0,1,1)</f>
        <v>61380</v>
      </c>
      <c r="E37" s="1108" t="n">
        <f aca="false">SUM(B37:D37)</f>
        <v>749718721</v>
      </c>
      <c r="G37" s="1107" t="s">
        <v>454</v>
      </c>
      <c r="H37" s="1109" t="n">
        <f aca="true">OFFSET('☆掛負収入'!$I$22,$AP$4*$AP16,0,1,1)</f>
        <v>267163235</v>
      </c>
      <c r="I37" s="1109" t="n">
        <f aca="true">OFFSET('☆掛負収入'!$I$53,$AP$4*$AP16,0,1,1)</f>
        <v>102450602</v>
      </c>
      <c r="J37" s="1109" t="n">
        <f aca="true">OFFSET('☆掛負収入'!$I$63,$AP$4*$AP16,0,1,1)</f>
        <v>50701</v>
      </c>
      <c r="K37" s="1108" t="n">
        <f aca="false">SUM(H37:J37)</f>
        <v>369664538</v>
      </c>
      <c r="M37" s="1107" t="s">
        <v>454</v>
      </c>
      <c r="N37" s="1109" t="n">
        <f aca="true">OFFSET('☆掛負収入'!$L$22,$AP$4*$AP16,0,1,1)</f>
        <v>22822644</v>
      </c>
      <c r="O37" s="1109" t="n">
        <f aca="true">OFFSET('☆掛負収入'!$L$53,$AP$4*$AP16,0,1,1)</f>
        <v>8438449</v>
      </c>
      <c r="P37" s="1109" t="n">
        <f aca="true">OFFSET('☆掛負収入'!$L$63,$AP$4*$AP16,0,1,1)</f>
        <v>4898</v>
      </c>
      <c r="Q37" s="1108" t="n">
        <f aca="false">SUM(N37:P37)</f>
        <v>31265991</v>
      </c>
      <c r="S37" s="1107" t="s">
        <v>454</v>
      </c>
      <c r="T37" s="1109" t="n">
        <f aca="true">OFFSET('☆掛負収入'!$O$22,$AP$4*$AP16,0,1,1)</f>
        <v>12</v>
      </c>
      <c r="U37" s="1109" t="n">
        <f aca="true">OFFSET('☆掛負収入'!$O$53,$AP$4*$AP16,0,1,1)</f>
        <v>24</v>
      </c>
      <c r="V37" s="1109" t="n">
        <f aca="true">OFFSET('☆掛負収入'!$O$63,$AP$4*$AP16,0,1,1)</f>
        <v>2</v>
      </c>
      <c r="W37" s="1108" t="n">
        <f aca="false">SUM(T37:V37)</f>
        <v>38</v>
      </c>
      <c r="Y37" s="1107" t="s">
        <v>454</v>
      </c>
      <c r="Z37" s="1109" t="n">
        <f aca="true">OFFSET('☆掛負収入'!$H$65,$AP$4*$AP16,0,1,1)</f>
        <v>366153450</v>
      </c>
      <c r="AA37" s="1109" t="n">
        <f aca="true">OFFSET('☆掛負収入'!$I$65,$AP$4*$AP16,0,1,1)</f>
        <v>369664538</v>
      </c>
      <c r="AB37" s="1108" t="n">
        <f aca="false">SUM(Z37:AA37)</f>
        <v>735817988</v>
      </c>
      <c r="AC37" s="1113" t="n">
        <f aca="true">OFFSET('☆掛負収入'!$J$65,$AP$4*$AP16,0,1,1)</f>
        <v>735817988</v>
      </c>
      <c r="AD37" s="1122" t="str">
        <f aca="false">IF(AB37=AC37,"○","×")</f>
        <v>○</v>
      </c>
      <c r="AE37" s="1138"/>
      <c r="AF37" s="1107" t="s">
        <v>454</v>
      </c>
      <c r="AG37" s="1109" t="n">
        <f aca="true">OFFSET('☆掛負収入'!$K$65,$AP$4*$AP16,0,1,1)</f>
        <v>31373862</v>
      </c>
      <c r="AH37" s="1109" t="n">
        <f aca="true">OFFSET('☆掛負収入'!$L$65,$AP$4*$AP16,0,1,1)</f>
        <v>31265991</v>
      </c>
      <c r="AI37" s="1108" t="n">
        <f aca="false">SUM(AG37:AH37)</f>
        <v>62639853</v>
      </c>
      <c r="AJ37" s="1113" t="n">
        <f aca="true">OFFSET('☆掛負収入'!$M$65,$AP$4*$AP16,0,1,1)</f>
        <v>62639853</v>
      </c>
      <c r="AK37" s="1122" t="str">
        <f aca="false">IF(AI37=AJ37,"○","×")</f>
        <v>○</v>
      </c>
      <c r="AL37" s="1122"/>
      <c r="AM37" s="1107" t="s">
        <v>454</v>
      </c>
      <c r="AN37" s="1109" t="n">
        <f aca="true">OFFSET('☆掛負収入'!$N$65,$AP$4*$AP16,0,1,1)</f>
        <v>27</v>
      </c>
      <c r="AO37" s="1109" t="n">
        <f aca="true">OFFSET('☆掛負収入'!$O$65,$AP$4*$AP16,0,1,1)</f>
        <v>38</v>
      </c>
      <c r="AP37" s="1108" t="n">
        <f aca="false">SUM(AN37:AO37)</f>
        <v>65</v>
      </c>
      <c r="AQ37" s="1113" t="n">
        <f aca="true">OFFSET('☆掛負収入'!$P$65,$AP$4*$AP16,0,1,1)</f>
        <v>65</v>
      </c>
      <c r="AR37" s="1122" t="str">
        <f aca="false">IF(AP37=AQ37,"○","×")</f>
        <v>○</v>
      </c>
    </row>
    <row r="38" customFormat="false" ht="24.75" hidden="false" customHeight="true" outlineLevel="0" collapsed="false">
      <c r="A38" s="1107" t="s">
        <v>455</v>
      </c>
      <c r="B38" s="1109" t="n">
        <f aca="true">OFFSET('☆掛負収入'!$D$22,$AP$4*$AP17,0,1,1)+OFFSET('☆掛負収入'!$E$22,$AP$4*$AP17,0,1,1)+OFFSET('☆掛負収入'!$F$22,$AP$4*$AP17,0,1,1)</f>
        <v>545358116</v>
      </c>
      <c r="C38" s="1109" t="n">
        <f aca="true">OFFSET('☆掛負収入'!$D$53,$AP$4*$AP17,0,1,1)+OFFSET('☆掛負収入'!$E$53,$AP$4*$AP17,0,1,1)+OFFSET('☆掛負収入'!$F$53,$AP$4*$AP17,0,1,1)+OFFSET('☆掛負収入'!$D$58,$AP$4*$AP17,0,1,1)+OFFSET('☆掛負収入'!$E$58,$AP$4*$AP17,0,1,1)+OFFSET('☆掛負収入'!$F$58,$AP$4*$AP17,0,1,1)</f>
        <v>203297335</v>
      </c>
      <c r="D38" s="1109" t="n">
        <f aca="true">OFFSET('☆掛負収入'!$D$63,$AP$4*$AP17,0,1,1)+OFFSET('☆掛負収入'!$E$63,$AP$4*$AP17,0,1,1)+OFFSET('☆掛負収入'!$F$63,$AP$4*$AP17,0,1,1)</f>
        <v>61380</v>
      </c>
      <c r="E38" s="1108" t="n">
        <f aca="false">SUM(B38:D38)</f>
        <v>748716831</v>
      </c>
      <c r="G38" s="1107" t="s">
        <v>455</v>
      </c>
      <c r="H38" s="1109" t="n">
        <f aca="true">OFFSET('☆掛負収入'!$I$22,$AP$4*$AP17,0,1,1)</f>
        <v>267408345</v>
      </c>
      <c r="I38" s="1109" t="n">
        <f aca="true">OFFSET('☆掛負収入'!$I$53,$AP$4*$AP17,0,1,1)</f>
        <v>102224086</v>
      </c>
      <c r="J38" s="1109" t="n">
        <f aca="true">OFFSET('☆掛負収入'!$I$63,$AP$4*$AP17,0,1,1)</f>
        <v>50701</v>
      </c>
      <c r="K38" s="1108" t="n">
        <f aca="false">SUM(H38:J38)</f>
        <v>369683132</v>
      </c>
      <c r="M38" s="1107" t="s">
        <v>455</v>
      </c>
      <c r="N38" s="1109" t="n">
        <f aca="true">OFFSET('☆掛負収入'!$L$22,$AP$4*$AP17,0,1,1)</f>
        <v>22848555</v>
      </c>
      <c r="O38" s="1109" t="n">
        <f aca="true">OFFSET('☆掛負収入'!$L$53,$AP$4*$AP17,0,1,1)</f>
        <v>8476839</v>
      </c>
      <c r="P38" s="1109" t="n">
        <f aca="true">OFFSET('☆掛負収入'!$L$63,$AP$4*$AP17,0,1,1)</f>
        <v>4898</v>
      </c>
      <c r="Q38" s="1108" t="n">
        <f aca="false">SUM(N38:P38)</f>
        <v>31330292</v>
      </c>
      <c r="S38" s="1107" t="s">
        <v>455</v>
      </c>
      <c r="T38" s="1109" t="n">
        <f aca="true">OFFSET('☆掛負収入'!$O$22,$AP$4*$AP17,0,1,1)</f>
        <v>12</v>
      </c>
      <c r="U38" s="1109" t="n">
        <f aca="true">OFFSET('☆掛負収入'!$O$53,$AP$4*$AP17,0,1,1)</f>
        <v>24</v>
      </c>
      <c r="V38" s="1109" t="n">
        <f aca="true">OFFSET('☆掛負収入'!$O$63,$AP$4*$AP17,0,1,1)</f>
        <v>2</v>
      </c>
      <c r="W38" s="1108" t="n">
        <f aca="false">SUM(T38:V38)</f>
        <v>38</v>
      </c>
      <c r="Y38" s="1107" t="s">
        <v>455</v>
      </c>
      <c r="Z38" s="1109" t="n">
        <f aca="true">OFFSET('☆掛負収入'!$H$65,$AP$4*$AP17,0,1,1)</f>
        <v>365515644</v>
      </c>
      <c r="AA38" s="1109" t="n">
        <f aca="true">OFFSET('☆掛負収入'!$I$65,$AP$4*$AP17,0,1,1)</f>
        <v>369683132</v>
      </c>
      <c r="AB38" s="1108" t="n">
        <f aca="false">SUM(Z38:AA38)</f>
        <v>735198776</v>
      </c>
      <c r="AC38" s="1113" t="n">
        <f aca="true">OFFSET('☆掛負収入'!$J$65,$AP$4*$AP17,0,1,1)</f>
        <v>735198776</v>
      </c>
      <c r="AD38" s="1122" t="str">
        <f aca="false">IF(AB38=AC38,"○","×")</f>
        <v>○</v>
      </c>
      <c r="AE38" s="1138"/>
      <c r="AF38" s="1107" t="s">
        <v>455</v>
      </c>
      <c r="AG38" s="1109" t="n">
        <f aca="true">OFFSET('☆掛負収入'!$K$65,$AP$4*$AP17,0,1,1)</f>
        <v>31404529</v>
      </c>
      <c r="AH38" s="1109" t="n">
        <f aca="true">OFFSET('☆掛負収入'!$L$65,$AP$4*$AP17,0,1,1)</f>
        <v>31330292</v>
      </c>
      <c r="AI38" s="1108" t="n">
        <f aca="false">SUM(AG38:AH38)</f>
        <v>62734821</v>
      </c>
      <c r="AJ38" s="1113" t="n">
        <f aca="true">OFFSET('☆掛負収入'!$M$65,$AP$4*$AP17,0,1,1)</f>
        <v>62734821</v>
      </c>
      <c r="AK38" s="1122" t="str">
        <f aca="false">IF(AI38=AJ38,"○","×")</f>
        <v>○</v>
      </c>
      <c r="AL38" s="1122"/>
      <c r="AM38" s="1107" t="s">
        <v>455</v>
      </c>
      <c r="AN38" s="1109" t="n">
        <f aca="true">OFFSET('☆掛負収入'!$N$65,$AP$4*$AP17,0,1,1)</f>
        <v>27</v>
      </c>
      <c r="AO38" s="1109" t="n">
        <f aca="true">OFFSET('☆掛負収入'!$O$65,$AP$4*$AP17,0,1,1)</f>
        <v>38</v>
      </c>
      <c r="AP38" s="1108" t="n">
        <f aca="false">SUM(AN38:AO38)</f>
        <v>65</v>
      </c>
      <c r="AQ38" s="1113" t="n">
        <f aca="true">OFFSET('☆掛負収入'!$P$65,$AP$4*$AP17,0,1,1)</f>
        <v>65</v>
      </c>
      <c r="AR38" s="1122" t="str">
        <f aca="false">IF(AP38=AQ38,"○","×")</f>
        <v>○</v>
      </c>
    </row>
    <row r="39" customFormat="false" ht="24.75" hidden="false" customHeight="true" outlineLevel="0" collapsed="false">
      <c r="A39" s="1107" t="s">
        <v>525</v>
      </c>
      <c r="B39" s="1109" t="n">
        <f aca="true">OFFSET('☆掛負収入'!$D$22,$AP$4*$AP18,0,1,1)+OFFSET('☆掛負収入'!$E$22,$AP$4*$AP18,0,1,1)+OFFSET('☆掛負収入'!$F$22,$AP$4*$AP18,0,1,1)</f>
        <v>224753443</v>
      </c>
      <c r="C39" s="1109" t="n">
        <f aca="true">OFFSET('☆掛負収入'!$D$53,$AP$4*$AP18,0,1,1)+OFFSET('☆掛負収入'!$E$53,$AP$4*$AP18,0,1,1)+OFFSET('☆掛負収入'!$F$53,$AP$4*$AP18,0,1,1)+OFFSET('☆掛負収入'!$D$58,$AP$4*$AP18,0,1,1)+OFFSET('☆掛負収入'!$E$58,$AP$4*$AP18,0,1,1)+OFFSET('☆掛負収入'!$F$58,$AP$4*$AP18,0,1,1)</f>
        <v>71143343</v>
      </c>
      <c r="D39" s="1109" t="n">
        <f aca="true">OFFSET('☆掛負収入'!$D$63,$AP$4*$AP18,0,1,1)+OFFSET('☆掛負収入'!$E$63,$AP$4*$AP18,0,1,1)+OFFSET('☆掛負収入'!$F$63,$AP$4*$AP18,0,1,1)</f>
        <v>19503</v>
      </c>
      <c r="E39" s="1108" t="n">
        <f aca="false">SUM(B39:D39)</f>
        <v>295916289</v>
      </c>
      <c r="G39" s="1107" t="s">
        <v>525</v>
      </c>
      <c r="H39" s="1109" t="n">
        <f aca="true">OFFSET('☆掛負収入'!$I$22,$AP$4*$AP18,0,1,1)</f>
        <v>115736418</v>
      </c>
      <c r="I39" s="1109" t="n">
        <f aca="true">OFFSET('☆掛負収入'!$I$53,$AP$4*$AP18,0,1,1)</f>
        <v>30078334</v>
      </c>
      <c r="J39" s="1109" t="n">
        <f aca="true">OFFSET('☆掛負収入'!$I$63,$AP$4*$AP18,0,1,1)</f>
        <v>14934</v>
      </c>
      <c r="K39" s="1108" t="n">
        <f aca="false">SUM(H39:J39)</f>
        <v>145829686</v>
      </c>
      <c r="M39" s="1107" t="s">
        <v>525</v>
      </c>
      <c r="N39" s="1109" t="n">
        <f aca="true">OFFSET('☆掛負収入'!$L$22,$AP$4*$AP18,0,1,1)</f>
        <v>10958751</v>
      </c>
      <c r="O39" s="1109" t="n">
        <f aca="true">OFFSET('☆掛負収入'!$L$53,$AP$4*$AP18,0,1,1)</f>
        <v>2760342</v>
      </c>
      <c r="P39" s="1109" t="n">
        <f aca="true">OFFSET('☆掛負収入'!$L$63,$AP$4*$AP18,0,1,1)</f>
        <v>1318</v>
      </c>
      <c r="Q39" s="1108" t="n">
        <f aca="false">SUM(N39:P39)</f>
        <v>13720411</v>
      </c>
      <c r="S39" s="1107" t="s">
        <v>525</v>
      </c>
      <c r="T39" s="1109" t="n">
        <f aca="true">OFFSET('☆掛負収入'!$O$22,$AP$4*$AP18,0,1,1)</f>
        <v>12</v>
      </c>
      <c r="U39" s="1109" t="n">
        <f aca="true">OFFSET('☆掛負収入'!$O$53,$AP$4*$AP18,0,1,1)</f>
        <v>18</v>
      </c>
      <c r="V39" s="1109" t="n">
        <f aca="true">OFFSET('☆掛負収入'!$O$63,$AP$4*$AP18,0,1,1)</f>
        <v>2</v>
      </c>
      <c r="W39" s="1108" t="n">
        <f aca="false">SUM(T39:V39)</f>
        <v>32</v>
      </c>
      <c r="Y39" s="1107" t="s">
        <v>525</v>
      </c>
      <c r="Z39" s="1109" t="n">
        <f aca="true">OFFSET('☆掛負収入'!$H$65,$AP$4*$AP18,0,1,1)</f>
        <v>139822185</v>
      </c>
      <c r="AA39" s="1109" t="n">
        <f aca="true">OFFSET('☆掛負収入'!$I$65,$AP$4*$AP18,0,1,1)</f>
        <v>145829686</v>
      </c>
      <c r="AB39" s="1108" t="n">
        <f aca="false">SUM(Z39:AA39)</f>
        <v>285651871</v>
      </c>
      <c r="AC39" s="1113" t="n">
        <f aca="true">OFFSET('☆掛負収入'!$J$65,$AP$4*$AP18,0,1,1)</f>
        <v>285651871</v>
      </c>
      <c r="AD39" s="1122" t="str">
        <f aca="false">IF(AB39=AC39,"○","×")</f>
        <v>○</v>
      </c>
      <c r="AE39" s="1138"/>
      <c r="AF39" s="1107" t="s">
        <v>525</v>
      </c>
      <c r="AG39" s="1109" t="n">
        <f aca="true">OFFSET('☆掛負収入'!$K$65,$AP$4*$AP18,0,1,1)</f>
        <v>12910671</v>
      </c>
      <c r="AH39" s="1109" t="n">
        <f aca="true">OFFSET('☆掛負収入'!$L$65,$AP$4*$AP18,0,1,1)</f>
        <v>13720411</v>
      </c>
      <c r="AI39" s="1108" t="n">
        <f aca="false">SUM(AG39:AH39)</f>
        <v>26631082</v>
      </c>
      <c r="AJ39" s="1113" t="n">
        <f aca="true">OFFSET('☆掛負収入'!$M$65,$AP$4*$AP18,0,1,1)</f>
        <v>26631082</v>
      </c>
      <c r="AK39" s="1122" t="str">
        <f aca="false">IF(AI39=AJ39,"○","×")</f>
        <v>○</v>
      </c>
      <c r="AL39" s="1122"/>
      <c r="AM39" s="1107" t="s">
        <v>525</v>
      </c>
      <c r="AN39" s="1109" t="n">
        <f aca="true">OFFSET('☆掛負収入'!$N$65,$AP$4*$AP18,0,1,1)</f>
        <v>21</v>
      </c>
      <c r="AO39" s="1109" t="n">
        <f aca="true">OFFSET('☆掛負収入'!$O$65,$AP$4*$AP18,0,1,1)</f>
        <v>32</v>
      </c>
      <c r="AP39" s="1108" t="n">
        <f aca="false">SUM(AN39:AO39)</f>
        <v>53</v>
      </c>
      <c r="AQ39" s="1113" t="n">
        <f aca="true">OFFSET('☆掛負収入'!$P$65,$AP$4*$AP18,0,1,1)</f>
        <v>53</v>
      </c>
      <c r="AR39" s="1122" t="str">
        <f aca="false">IF(AP39=AQ39,"○","×")</f>
        <v>○</v>
      </c>
    </row>
    <row r="40" customFormat="false" ht="24.75" hidden="false" customHeight="true" outlineLevel="0" collapsed="false">
      <c r="A40" s="1107" t="s">
        <v>456</v>
      </c>
      <c r="B40" s="1109" t="n">
        <f aca="true">OFFSET('☆掛負収入'!$D$22,$AP$4*$AP19,0,1,1)+OFFSET('☆掛負収入'!$E$22,$AP$4*$AP19,0,1,1)+OFFSET('☆掛負収入'!$F$22,$AP$4*$AP19,0,1,1)</f>
        <v>506644669</v>
      </c>
      <c r="C40" s="1109" t="n">
        <f aca="true">OFFSET('☆掛負収入'!$D$53,$AP$4*$AP19,0,1,1)+OFFSET('☆掛負収入'!$E$53,$AP$4*$AP19,0,1,1)+OFFSET('☆掛負収入'!$F$53,$AP$4*$AP19,0,1,1)+OFFSET('☆掛負収入'!$D$58,$AP$4*$AP19,0,1,1)+OFFSET('☆掛負収入'!$E$58,$AP$4*$AP19,0,1,1)+OFFSET('☆掛負収入'!$F$58,$AP$4*$AP19,0,1,1)</f>
        <v>189608588</v>
      </c>
      <c r="D40" s="1109" t="n">
        <f aca="true">OFFSET('☆掛負収入'!$D$63,$AP$4*$AP19,0,1,1)+OFFSET('☆掛負収入'!$E$63,$AP$4*$AP19,0,1,1)+OFFSET('☆掛負収入'!$F$63,$AP$4*$AP19,0,1,1)</f>
        <v>61380</v>
      </c>
      <c r="E40" s="1108" t="n">
        <f aca="false">SUM(B40:D40)</f>
        <v>696314637</v>
      </c>
      <c r="G40" s="1107" t="s">
        <v>456</v>
      </c>
      <c r="H40" s="1109" t="n">
        <f aca="true">OFFSET('☆掛負収入'!$I$22,$AP$4*$AP19,0,1,1)</f>
        <v>258913765</v>
      </c>
      <c r="I40" s="1109" t="n">
        <f aca="true">OFFSET('☆掛負収入'!$I$53,$AP$4*$AP19,0,1,1)</f>
        <v>100780271</v>
      </c>
      <c r="J40" s="1109" t="n">
        <f aca="true">OFFSET('☆掛負収入'!$I$63,$AP$4*$AP19,0,1,1)</f>
        <v>50701</v>
      </c>
      <c r="K40" s="1108" t="n">
        <f aca="false">SUM(H40:J40)</f>
        <v>359744737</v>
      </c>
      <c r="M40" s="1107" t="s">
        <v>456</v>
      </c>
      <c r="N40" s="1109" t="n">
        <f aca="true">OFFSET('☆掛負収入'!$L$22,$AP$4*$AP19,0,1,1)</f>
        <v>23592322</v>
      </c>
      <c r="O40" s="1109" t="n">
        <f aca="true">OFFSET('☆掛負収入'!$L$53,$AP$4*$AP19,0,1,1)</f>
        <v>8637218</v>
      </c>
      <c r="P40" s="1109" t="n">
        <f aca="true">OFFSET('☆掛負収入'!$L$63,$AP$4*$AP19,0,1,1)</f>
        <v>4898</v>
      </c>
      <c r="Q40" s="1108" t="n">
        <f aca="false">SUM(N40:P40)</f>
        <v>32234438</v>
      </c>
      <c r="S40" s="1107" t="s">
        <v>456</v>
      </c>
      <c r="T40" s="1109" t="n">
        <f aca="true">OFFSET('☆掛負収入'!$O$22,$AP$4*$AP19,0,1,1)</f>
        <v>12</v>
      </c>
      <c r="U40" s="1109" t="n">
        <f aca="true">OFFSET('☆掛負収入'!$O$53,$AP$4*$AP19,0,1,1)</f>
        <v>24</v>
      </c>
      <c r="V40" s="1109" t="n">
        <f aca="true">OFFSET('☆掛負収入'!$O$63,$AP$4*$AP19,0,1,1)</f>
        <v>2</v>
      </c>
      <c r="W40" s="1108" t="n">
        <f aca="false">SUM(T40:V40)</f>
        <v>38</v>
      </c>
      <c r="Y40" s="1107" t="s">
        <v>456</v>
      </c>
      <c r="Z40" s="1109" t="n">
        <f aca="true">OFFSET('☆掛負収入'!$H$65,$AP$4*$AP19,0,1,1)</f>
        <v>355787025</v>
      </c>
      <c r="AA40" s="1109" t="n">
        <f aca="true">OFFSET('☆掛負収入'!$I$65,$AP$4*$AP19,0,1,1)</f>
        <v>359744737</v>
      </c>
      <c r="AB40" s="1108" t="n">
        <f aca="false">SUM(Z40:AA40)</f>
        <v>715531762</v>
      </c>
      <c r="AC40" s="1113" t="n">
        <f aca="true">OFFSET('☆掛負収入'!$J$65,$AP$4*$AP19,0,1,1)</f>
        <v>715531762</v>
      </c>
      <c r="AD40" s="1122" t="str">
        <f aca="false">IF(AB40=AC40,"○","×")</f>
        <v>○</v>
      </c>
      <c r="AE40" s="1138"/>
      <c r="AF40" s="1107" t="s">
        <v>456</v>
      </c>
      <c r="AG40" s="1109" t="n">
        <f aca="true">OFFSET('☆掛負収入'!$K$65,$AP$4*$AP19,0,1,1)</f>
        <v>32282038</v>
      </c>
      <c r="AH40" s="1109" t="n">
        <f aca="true">OFFSET('☆掛負収入'!$L$65,$AP$4*$AP19,0,1,1)</f>
        <v>32234438</v>
      </c>
      <c r="AI40" s="1108" t="n">
        <f aca="false">SUM(AG40:AH40)</f>
        <v>64516476</v>
      </c>
      <c r="AJ40" s="1113" t="n">
        <f aca="true">OFFSET('☆掛負収入'!$M$65,$AP$4*$AP19,0,1,1)</f>
        <v>64516476</v>
      </c>
      <c r="AK40" s="1122" t="str">
        <f aca="false">IF(AI40=AJ40,"○","×")</f>
        <v>○</v>
      </c>
      <c r="AL40" s="1122"/>
      <c r="AM40" s="1107" t="s">
        <v>456</v>
      </c>
      <c r="AN40" s="1109" t="n">
        <f aca="true">OFFSET('☆掛負収入'!$N$65,$AP$4*$AP19,0,1,1)</f>
        <v>27</v>
      </c>
      <c r="AO40" s="1109" t="n">
        <f aca="true">OFFSET('☆掛負収入'!$O$65,$AP$4*$AP19,0,1,1)</f>
        <v>38</v>
      </c>
      <c r="AP40" s="1108" t="n">
        <f aca="false">SUM(AN40:AO40)</f>
        <v>65</v>
      </c>
      <c r="AQ40" s="1113" t="n">
        <f aca="true">OFFSET('☆掛負収入'!$P$65,$AP$4*$AP19,0,1,1)</f>
        <v>65</v>
      </c>
      <c r="AR40" s="1122" t="str">
        <f aca="false">IF(AP40=AQ40,"○","×")</f>
        <v>○</v>
      </c>
    </row>
    <row r="41" customFormat="false" ht="24.75" hidden="false" customHeight="true" outlineLevel="0" collapsed="false">
      <c r="A41" s="1125" t="s">
        <v>526</v>
      </c>
      <c r="B41" s="1109" t="n">
        <f aca="true">OFFSET('☆掛負収入'!$D$22,$AP$4*$AP20,0,1,1)+OFFSET('☆掛負収入'!$E$22,$AP$4*$AP20,0,1,1)+OFFSET('☆掛負収入'!$F$22,$AP$4*$AP20,0,1,1)</f>
        <v>28892976</v>
      </c>
      <c r="C41" s="1109" t="n">
        <f aca="true">OFFSET('☆掛負収入'!$D$53,$AP$4*$AP20,0,1,1)+OFFSET('☆掛負収入'!$E$53,$AP$4*$AP20,0,1,1)+OFFSET('☆掛負収入'!$F$53,$AP$4*$AP20,0,1,1)+OFFSET('☆掛負収入'!$D$58,$AP$4*$AP20,0,1,1)+OFFSET('☆掛負収入'!$E$58,$AP$4*$AP20,0,1,1)+OFFSET('☆掛負収入'!$F$58,$AP$4*$AP20,0,1,1)</f>
        <v>8367663</v>
      </c>
      <c r="D41" s="1109" t="n">
        <f aca="true">OFFSET('☆掛負収入'!$D$63,$AP$4*$AP20,0,1,1)+OFFSET('☆掛負収入'!$E$63,$AP$4*$AP20,0,1,1)+OFFSET('☆掛負収入'!$F$63,$AP$4*$AP20,0,1,1)</f>
        <v>46182</v>
      </c>
      <c r="E41" s="1108" t="n">
        <f aca="false">SUM(B41:D41)</f>
        <v>37306821</v>
      </c>
      <c r="G41" s="1125" t="s">
        <v>526</v>
      </c>
      <c r="H41" s="1109" t="n">
        <f aca="true">OFFSET('☆掛負収入'!$I$22,$AP$4*$AP20,0,1,1)</f>
        <v>14136420</v>
      </c>
      <c r="I41" s="1109" t="n">
        <f aca="true">OFFSET('☆掛負収入'!$I$53,$AP$4*$AP20,0,1,1)</f>
        <v>3639720</v>
      </c>
      <c r="J41" s="1109" t="n">
        <f aca="true">OFFSET('☆掛負収入'!$I$63,$AP$4*$AP20,0,1,1)</f>
        <v>26370</v>
      </c>
      <c r="K41" s="1108" t="n">
        <f aca="false">SUM(H41:J41)</f>
        <v>17802510</v>
      </c>
      <c r="M41" s="1125" t="s">
        <v>526</v>
      </c>
      <c r="N41" s="1109" t="n">
        <f aca="true">OFFSET('☆掛負収入'!$L$22,$AP$4*$AP20,0,1,1)</f>
        <v>1180075</v>
      </c>
      <c r="O41" s="1109" t="n">
        <f aca="true">OFFSET('☆掛負収入'!$L$53,$AP$4*$AP20,0,1,1)</f>
        <v>295380</v>
      </c>
      <c r="P41" s="1109" t="n">
        <f aca="true">OFFSET('☆掛負収入'!$L$63,$AP$4*$AP20,0,1,1)</f>
        <v>3716</v>
      </c>
      <c r="Q41" s="1108" t="n">
        <f aca="false">SUM(N41:P41)</f>
        <v>1479171</v>
      </c>
      <c r="S41" s="1125" t="s">
        <v>526</v>
      </c>
      <c r="T41" s="1109" t="n">
        <f aca="true">OFFSET('☆掛負収入'!$O$22,$AP$4*$AP20,0,1,1)</f>
        <v>11</v>
      </c>
      <c r="U41" s="1109" t="n">
        <f aca="true">OFFSET('☆掛負収入'!$O$53,$AP$4*$AP20,0,1,1)</f>
        <v>24</v>
      </c>
      <c r="V41" s="1109" t="n">
        <f aca="true">OFFSET('☆掛負収入'!$O$63,$AP$4*$AP20,0,1,1)</f>
        <v>2</v>
      </c>
      <c r="W41" s="1108" t="n">
        <f aca="false">SUM(T41:V41)</f>
        <v>37</v>
      </c>
      <c r="Y41" s="1125" t="s">
        <v>526</v>
      </c>
      <c r="Z41" s="1109" t="n">
        <f aca="true">OFFSET('☆掛負収入'!$H$65,$AP$4*$AP20,0,1,1)</f>
        <v>17812876</v>
      </c>
      <c r="AA41" s="1109" t="n">
        <f aca="true">OFFSET('☆掛負収入'!$I$65,$AP$4*$AP20,0,1,1)</f>
        <v>17802510</v>
      </c>
      <c r="AB41" s="1108" t="n">
        <f aca="false">SUM(Z41:AA41)</f>
        <v>35615386</v>
      </c>
      <c r="AC41" s="1113" t="n">
        <f aca="true">OFFSET('☆掛負収入'!$J$65,$AP$4*$AP20,0,1,1)</f>
        <v>35615386</v>
      </c>
      <c r="AD41" s="1122" t="str">
        <f aca="false">IF(AB41=AC41,"○","×")</f>
        <v>○</v>
      </c>
      <c r="AE41" s="1138"/>
      <c r="AF41" s="1125" t="s">
        <v>526</v>
      </c>
      <c r="AG41" s="1109" t="n">
        <f aca="true">OFFSET('☆掛負収入'!$K$65,$AP$4*$AP20,0,1,1)</f>
        <v>1479301</v>
      </c>
      <c r="AH41" s="1109" t="n">
        <f aca="true">OFFSET('☆掛負収入'!$L$65,$AP$4*$AP20,0,1,1)</f>
        <v>1479171</v>
      </c>
      <c r="AI41" s="1108" t="n">
        <f aca="false">SUM(AG41:AH41)</f>
        <v>2958472</v>
      </c>
      <c r="AJ41" s="1113" t="n">
        <f aca="true">OFFSET('☆掛負収入'!$M$65,$AP$4*$AP20,0,1,1)</f>
        <v>2958472</v>
      </c>
      <c r="AK41" s="1122" t="str">
        <f aca="false">IF(AI41=AJ41,"○","×")</f>
        <v>○</v>
      </c>
      <c r="AL41" s="1122"/>
      <c r="AM41" s="1125" t="s">
        <v>526</v>
      </c>
      <c r="AN41" s="1109" t="n">
        <f aca="true">OFFSET('☆掛負収入'!$N$65,$AP$4*$AP20,0,1,1)</f>
        <v>25</v>
      </c>
      <c r="AO41" s="1109" t="n">
        <f aca="true">OFFSET('☆掛負収入'!$O$65,$AP$4*$AP20,0,1,1)</f>
        <v>37</v>
      </c>
      <c r="AP41" s="1108" t="n">
        <f aca="false">SUM(AN41:AO41)</f>
        <v>62</v>
      </c>
      <c r="AQ41" s="1113" t="n">
        <f aca="true">OFFSET('☆掛負収入'!$P$65,$AP$4*$AP20,0,1,1)</f>
        <v>62</v>
      </c>
      <c r="AR41" s="1122" t="str">
        <f aca="false">IF(AP41=AQ41,"○","×")</f>
        <v>○</v>
      </c>
    </row>
    <row r="42" customFormat="false" ht="24.75" hidden="false" customHeight="true" outlineLevel="0" collapsed="false">
      <c r="A42" s="1125" t="s">
        <v>527</v>
      </c>
      <c r="B42" s="1109" t="n">
        <f aca="true">OFFSET('☆掛負収入'!$D$22,$AP$4*$AP21,0,1,1)+OFFSET('☆掛負収入'!$E$22,$AP$4*$AP21,0,1,1)+OFFSET('☆掛負収入'!$F$22,$AP$4*$AP21,0,1,1)</f>
        <v>28892987</v>
      </c>
      <c r="C42" s="1109" t="n">
        <f aca="true">OFFSET('☆掛負収入'!$D$53,$AP$4*$AP21,0,1,1)+OFFSET('☆掛負収入'!$E$53,$AP$4*$AP21,0,1,1)+OFFSET('☆掛負収入'!$F$53,$AP$4*$AP21,0,1,1)+OFFSET('☆掛負収入'!$D$58,$AP$4*$AP21,0,1,1)+OFFSET('☆掛負収入'!$E$58,$AP$4*$AP21,0,1,1)+OFFSET('☆掛負収入'!$F$58,$AP$4*$AP21,0,1,1)</f>
        <v>8367691</v>
      </c>
      <c r="D42" s="1109" t="n">
        <f aca="true">OFFSET('☆掛負収入'!$D$63,$AP$4*$AP21,0,1,1)+OFFSET('☆掛負収入'!$E$63,$AP$4*$AP21,0,1,1)+OFFSET('☆掛負収入'!$F$63,$AP$4*$AP21,0,1,1)</f>
        <v>46185</v>
      </c>
      <c r="E42" s="1108" t="n">
        <f aca="false">SUM(B42:D42)</f>
        <v>37306863</v>
      </c>
      <c r="G42" s="1125" t="s">
        <v>527</v>
      </c>
      <c r="H42" s="1109" t="n">
        <f aca="true">OFFSET('☆掛負収入'!$I$22,$AP$4*$AP21,0,1,1)</f>
        <v>14136426</v>
      </c>
      <c r="I42" s="1109" t="n">
        <f aca="true">OFFSET('☆掛負収入'!$I$53,$AP$4*$AP21,0,1,1)</f>
        <v>3639729</v>
      </c>
      <c r="J42" s="1109" t="n">
        <f aca="true">OFFSET('☆掛負収入'!$I$63,$AP$4*$AP21,0,1,1)</f>
        <v>26370</v>
      </c>
      <c r="K42" s="1108" t="n">
        <f aca="false">SUM(H42:J42)</f>
        <v>17802525</v>
      </c>
      <c r="M42" s="1125" t="s">
        <v>527</v>
      </c>
      <c r="N42" s="1109" t="n">
        <f aca="true">OFFSET('☆掛負収入'!$L$22,$AP$4*$AP21,0,1,1)</f>
        <v>1180080</v>
      </c>
      <c r="O42" s="1109" t="n">
        <f aca="true">OFFSET('☆掛負収入'!$L$53,$AP$4*$AP21,0,1,1)</f>
        <v>295390</v>
      </c>
      <c r="P42" s="1109" t="n">
        <f aca="true">OFFSET('☆掛負収入'!$L$63,$AP$4*$AP21,0,1,1)</f>
        <v>3718</v>
      </c>
      <c r="Q42" s="1108" t="n">
        <f aca="false">SUM(N42:P42)</f>
        <v>1479188</v>
      </c>
      <c r="S42" s="1125" t="s">
        <v>527</v>
      </c>
      <c r="T42" s="1109" t="n">
        <f aca="true">OFFSET('☆掛負収入'!$O$22,$AP$4*$AP21,0,1,1)</f>
        <v>11</v>
      </c>
      <c r="U42" s="1109" t="n">
        <f aca="true">OFFSET('☆掛負収入'!$O$53,$AP$4*$AP21,0,1,1)</f>
        <v>24</v>
      </c>
      <c r="V42" s="1109" t="n">
        <f aca="true">OFFSET('☆掛負収入'!$O$63,$AP$4*$AP21,0,1,1)</f>
        <v>2</v>
      </c>
      <c r="W42" s="1108" t="n">
        <f aca="false">SUM(T42:V42)</f>
        <v>37</v>
      </c>
      <c r="Y42" s="1125" t="s">
        <v>527</v>
      </c>
      <c r="Z42" s="1109" t="n">
        <f aca="true">OFFSET('☆掛負収入'!$H$65,$AP$4*$AP21,0,1,1)</f>
        <v>17812885</v>
      </c>
      <c r="AA42" s="1109" t="n">
        <f aca="true">OFFSET('☆掛負収入'!$I$65,$AP$4*$AP21,0,1,1)</f>
        <v>17802525</v>
      </c>
      <c r="AB42" s="1108" t="n">
        <f aca="false">SUM(Z42:AA42)</f>
        <v>35615410</v>
      </c>
      <c r="AC42" s="1113" t="n">
        <f aca="true">OFFSET('☆掛負収入'!$J$65,$AP$4*$AP21,0,1,1)</f>
        <v>35615410</v>
      </c>
      <c r="AD42" s="1122" t="str">
        <f aca="false">IF(AB42=AC42,"○","×")</f>
        <v>○</v>
      </c>
      <c r="AE42" s="1138"/>
      <c r="AF42" s="1125" t="s">
        <v>527</v>
      </c>
      <c r="AG42" s="1109" t="n">
        <f aca="true">OFFSET('☆掛負収入'!$K$65,$AP$4*$AP21,0,1,1)</f>
        <v>1479310</v>
      </c>
      <c r="AH42" s="1109" t="n">
        <f aca="true">OFFSET('☆掛負収入'!$L$65,$AP$4*$AP21,0,1,1)</f>
        <v>1479188</v>
      </c>
      <c r="AI42" s="1108" t="n">
        <f aca="false">SUM(AG42:AH42)</f>
        <v>2958498</v>
      </c>
      <c r="AJ42" s="1113" t="n">
        <f aca="true">OFFSET('☆掛負収入'!$M$65,$AP$4*$AP21,0,1,1)</f>
        <v>2958498</v>
      </c>
      <c r="AK42" s="1122" t="str">
        <f aca="false">IF(AI42=AJ42,"○","×")</f>
        <v>○</v>
      </c>
      <c r="AL42" s="1122"/>
      <c r="AM42" s="1125" t="s">
        <v>527</v>
      </c>
      <c r="AN42" s="1109" t="n">
        <f aca="true">OFFSET('☆掛負収入'!$N$65,$AP$4*$AP21,0,1,1)</f>
        <v>25</v>
      </c>
      <c r="AO42" s="1109" t="n">
        <f aca="true">OFFSET('☆掛負収入'!$O$65,$AP$4*$AP21,0,1,1)</f>
        <v>37</v>
      </c>
      <c r="AP42" s="1108" t="n">
        <f aca="false">SUM(AN42:AO42)</f>
        <v>62</v>
      </c>
      <c r="AQ42" s="1113" t="n">
        <f aca="true">OFFSET('☆掛負収入'!$P$65,$AP$4*$AP21,0,1,1)</f>
        <v>62</v>
      </c>
      <c r="AR42" s="1122" t="str">
        <f aca="false">IF(AP42=AQ42,"○","×")</f>
        <v>○</v>
      </c>
    </row>
    <row r="43" customFormat="false" ht="24.75" hidden="false" customHeight="true" outlineLevel="0" collapsed="false">
      <c r="A43" s="1107" t="s">
        <v>457</v>
      </c>
      <c r="B43" s="1108" t="n">
        <f aca="false">SUM(B26:B42)</f>
        <v>8869020186</v>
      </c>
      <c r="C43" s="1108" t="n">
        <f aca="false">SUM(C26:C42)</f>
        <v>3217646733</v>
      </c>
      <c r="D43" s="1108" t="n">
        <f aca="false">SUM(D26:D42)</f>
        <v>1006929</v>
      </c>
      <c r="E43" s="1108" t="n">
        <f aca="false">SUM(E26:E42)</f>
        <v>12087673848</v>
      </c>
      <c r="G43" s="1107" t="s">
        <v>457</v>
      </c>
      <c r="H43" s="1108" t="n">
        <f aca="false">SUM(H26:H42)</f>
        <v>4258902703</v>
      </c>
      <c r="I43" s="1108" t="n">
        <f aca="false">SUM(I26:I42)</f>
        <v>1528325596</v>
      </c>
      <c r="J43" s="1108" t="n">
        <f aca="false">SUM(J26:J42)</f>
        <v>769435</v>
      </c>
      <c r="K43" s="1108" t="n">
        <f aca="false">SUM(K26:K42)</f>
        <v>5787997734</v>
      </c>
      <c r="M43" s="1107" t="s">
        <v>457</v>
      </c>
      <c r="N43" s="1108" t="n">
        <f aca="false">SUM(N26:N42)</f>
        <v>377951618</v>
      </c>
      <c r="O43" s="1108" t="n">
        <f aca="false">SUM(O26:O42)</f>
        <v>131368379</v>
      </c>
      <c r="P43" s="1108" t="n">
        <f aca="false">SUM(P26:P42)</f>
        <v>76880</v>
      </c>
      <c r="Q43" s="1108" t="n">
        <f aca="false">SUM(Q26:Q42)</f>
        <v>509396877</v>
      </c>
      <c r="S43" s="1107" t="s">
        <v>457</v>
      </c>
      <c r="T43" s="1108" t="n">
        <f aca="false">SUM(T26:T42)</f>
        <v>44117915</v>
      </c>
      <c r="U43" s="1108" t="n">
        <f aca="false">SUM(U26:U42)</f>
        <v>16313696</v>
      </c>
      <c r="V43" s="1108" t="n">
        <f aca="false">SUM(V26:V42)</f>
        <v>8397</v>
      </c>
      <c r="W43" s="1108" t="n">
        <f aca="false">SUM(W26:W42)</f>
        <v>60440008</v>
      </c>
      <c r="Y43" s="1107" t="s">
        <v>457</v>
      </c>
      <c r="Z43" s="1108" t="n">
        <f aca="false">SUM(Z26:Z42)</f>
        <v>5834634897</v>
      </c>
      <c r="AA43" s="1108" t="n">
        <f aca="false">SUM(AA26:AA42)</f>
        <v>5787997734</v>
      </c>
      <c r="AB43" s="1108" t="n">
        <f aca="false">SUM(AB26:AB42)</f>
        <v>11622632631</v>
      </c>
      <c r="AC43" s="1113" t="n">
        <f aca="false">SUM(AC26:AC42)</f>
        <v>11622632631</v>
      </c>
      <c r="AD43" s="1122" t="str">
        <f aca="false">IF(AB43=AC43,"○","×")</f>
        <v>○</v>
      </c>
      <c r="AE43" s="1138"/>
      <c r="AF43" s="1107" t="s">
        <v>457</v>
      </c>
      <c r="AG43" s="1108" t="n">
        <f aca="false">SUM(AG26:AG42)</f>
        <v>515307811</v>
      </c>
      <c r="AH43" s="1108" t="n">
        <f aca="false">SUM(AH26:AH42)</f>
        <v>509396877</v>
      </c>
      <c r="AI43" s="1108" t="n">
        <f aca="false">SUM(AI26:AI42)</f>
        <v>1024704688</v>
      </c>
      <c r="AJ43" s="1113" t="n">
        <f aca="false">SUM(AJ26:AJ42)</f>
        <v>1024704688</v>
      </c>
      <c r="AK43" s="1122" t="str">
        <f aca="false">IF(AI43=AJ43,"○","×")</f>
        <v>○</v>
      </c>
      <c r="AL43" s="1122"/>
      <c r="AM43" s="1107" t="s">
        <v>457</v>
      </c>
      <c r="AN43" s="1108" t="n">
        <f aca="false">SUM(AN26:AN42)</f>
        <v>63008864</v>
      </c>
      <c r="AO43" s="1108" t="n">
        <f aca="false">SUM(AO26:AO42)</f>
        <v>60440008</v>
      </c>
      <c r="AP43" s="1108" t="n">
        <f aca="false">SUM(AP26:AP42)</f>
        <v>123448872</v>
      </c>
      <c r="AQ43" s="1113" t="n">
        <f aca="false">SUM(AQ26:AQ42)</f>
        <v>123448872</v>
      </c>
      <c r="AR43" s="1122" t="str">
        <f aca="false">IF(AP43=AQ43,"○","×")</f>
        <v>○</v>
      </c>
    </row>
  </sheetData>
  <mergeCells count="1">
    <mergeCell ref="A3:D3"/>
  </mergeCells>
  <printOptions headings="false" gridLines="false" gridLinesSet="true" horizontalCentered="false" verticalCentered="false"/>
  <pageMargins left="0.315277777777778" right="0.315277777777778" top="0.747916666666667" bottom="0.354166666666667" header="0.511811023622047" footer="0"/>
  <pageSetup paperSize="9" scale="42" fitToWidth="1" fitToHeight="1" pageOrder="downThenOver" orientation="landscape" blackAndWhite="false" draft="false" cellComments="none" horizontalDpi="300" verticalDpi="300" copies="1"/>
  <headerFooter differentFirst="false" differentOddEven="false">
    <oddHeader/>
    <oddFooter>&amp;R&amp;9&amp;Z&amp;F&amp;A</oddFooter>
  </headerFooter>
  <colBreaks count="1" manualBreakCount="1">
    <brk id="23" man="true" max="65535" min="0"/>
  </col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K25"/>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I15" activeCellId="0" sqref="I15"/>
    </sheetView>
  </sheetViews>
  <sheetFormatPr defaultColWidth="8.79296875" defaultRowHeight="18" zeroHeight="false" outlineLevelRow="0" outlineLevelCol="0"/>
  <cols>
    <col collapsed="false" customWidth="false" hidden="false" outlineLevel="0" max="1" min="1" style="1139" width="8.79"/>
    <col collapsed="false" customWidth="true" hidden="false" outlineLevel="0" max="2" min="2" style="1139" width="12.79"/>
    <col collapsed="false" customWidth="true" hidden="false" outlineLevel="0" max="3" min="3" style="1139" width="9.99"/>
    <col collapsed="false" customWidth="true" hidden="false" outlineLevel="0" max="4" min="4" style="1139" width="12.79"/>
    <col collapsed="false" customWidth="true" hidden="false" outlineLevel="0" max="5" min="5" style="1065" width="9.99"/>
    <col collapsed="false" customWidth="true" hidden="false" outlineLevel="0" max="6" min="6" style="1065" width="13.89"/>
    <col collapsed="false" customWidth="true" hidden="false" outlineLevel="0" max="7" min="7" style="1139" width="7.29"/>
    <col collapsed="false" customWidth="true" hidden="false" outlineLevel="0" max="8" min="8" style="1139" width="11.19"/>
    <col collapsed="false" customWidth="true" hidden="false" outlineLevel="0" max="9" min="9" style="1139" width="7.69"/>
    <col collapsed="false" customWidth="true" hidden="false" outlineLevel="0" max="10" min="10" style="1139" width="3.69"/>
    <col collapsed="false" customWidth="true" hidden="false" outlineLevel="0" max="11" min="11" style="1065" width="7.69"/>
    <col collapsed="false" customWidth="true" hidden="false" outlineLevel="0" max="12" min="12" style="1065" width="3.69"/>
    <col collapsed="false" customWidth="true" hidden="false" outlineLevel="0" max="13" min="13" style="1065" width="4.69"/>
    <col collapsed="false" customWidth="true" hidden="false" outlineLevel="0" max="14" min="14" style="1065" width="3.69"/>
    <col collapsed="false" customWidth="true" hidden="false" outlineLevel="0" max="15" min="15" style="1065" width="7.69"/>
    <col collapsed="false" customWidth="true" hidden="false" outlineLevel="0" max="16" min="16" style="1065" width="3.69"/>
    <col collapsed="false" customWidth="true" hidden="false" outlineLevel="0" max="17" min="17" style="1065" width="7.69"/>
    <col collapsed="false" customWidth="true" hidden="false" outlineLevel="0" max="18" min="18" style="1065" width="3.69"/>
    <col collapsed="false" customWidth="true" hidden="false" outlineLevel="0" max="19" min="19" style="1065" width="7.69"/>
    <col collapsed="false" customWidth="true" hidden="false" outlineLevel="0" max="20" min="20" style="1065" width="3.69"/>
    <col collapsed="false" customWidth="true" hidden="false" outlineLevel="0" max="21" min="21" style="1065" width="7.69"/>
    <col collapsed="false" customWidth="true" hidden="false" outlineLevel="0" max="22" min="22" style="1065" width="3.69"/>
    <col collapsed="false" customWidth="true" hidden="false" outlineLevel="0" max="23" min="23" style="1065" width="7.69"/>
    <col collapsed="false" customWidth="true" hidden="false" outlineLevel="0" max="24" min="24" style="1065" width="3.69"/>
    <col collapsed="false" customWidth="false" hidden="false" outlineLevel="0" max="257" min="25" style="1065" width="8.79"/>
  </cols>
  <sheetData>
    <row r="1" customFormat="false" ht="36.75" hidden="false" customHeight="true" outlineLevel="0" collapsed="false">
      <c r="A1" s="1140" t="str">
        <f aca="false">'☆掛負収入'!A2</f>
        <v>令和8年度</v>
      </c>
      <c r="B1" s="1141" t="s">
        <v>547</v>
      </c>
    </row>
    <row r="2" s="1146" customFormat="true" ht="23.25" hidden="false" customHeight="true" outlineLevel="0" collapsed="false">
      <c r="A2" s="1142" t="s">
        <v>548</v>
      </c>
      <c r="B2" s="1142"/>
      <c r="C2" s="1143" t="n">
        <f aca="false">'☆振替R7'!E2</f>
        <v>0.82</v>
      </c>
      <c r="D2" s="1144" t="s">
        <v>549</v>
      </c>
      <c r="E2" s="1145"/>
      <c r="G2" s="1147"/>
      <c r="H2" s="1148"/>
      <c r="I2" s="1147"/>
      <c r="J2" s="1147"/>
    </row>
    <row r="3" customFormat="false" ht="17.25" hidden="false" customHeight="true" outlineLevel="0" collapsed="false">
      <c r="A3" s="1149"/>
      <c r="B3" s="1150"/>
      <c r="C3" s="1151"/>
      <c r="D3" s="1150"/>
      <c r="E3" s="1152"/>
      <c r="H3" s="1153"/>
    </row>
    <row r="4" customFormat="false" ht="31.5" hidden="false" customHeight="true" outlineLevel="0" collapsed="false">
      <c r="A4" s="1154" t="s">
        <v>428</v>
      </c>
      <c r="B4" s="1155" t="s">
        <v>550</v>
      </c>
      <c r="C4" s="1155"/>
      <c r="D4" s="1155" t="s">
        <v>551</v>
      </c>
      <c r="E4" s="1155"/>
      <c r="F4" s="1156" t="s">
        <v>552</v>
      </c>
      <c r="G4" s="1065"/>
      <c r="H4" s="1065"/>
      <c r="I4" s="1065"/>
      <c r="J4" s="1065"/>
    </row>
    <row r="5" s="1139" customFormat="true" ht="36" hidden="false" customHeight="true" outlineLevel="0" collapsed="false">
      <c r="A5" s="1154"/>
      <c r="B5" s="1157" t="s">
        <v>553</v>
      </c>
      <c r="C5" s="1158" t="s">
        <v>554</v>
      </c>
      <c r="D5" s="1157" t="s">
        <v>553</v>
      </c>
      <c r="E5" s="1159" t="s">
        <v>554</v>
      </c>
      <c r="F5" s="1156"/>
    </row>
    <row r="6" customFormat="false" ht="27" hidden="false" customHeight="true" outlineLevel="0" collapsed="false">
      <c r="A6" s="1160" t="s">
        <v>445</v>
      </c>
      <c r="B6" s="1161" t="n">
        <v>320000</v>
      </c>
      <c r="C6" s="1162" t="n">
        <f aca="false">ROUNDDOWN(B6*$C$2/1000,0)</f>
        <v>262</v>
      </c>
      <c r="D6" s="1163"/>
      <c r="E6" s="1164" t="n">
        <f aca="false">ROUNDDOWN(D6*$C$2/1000,0)</f>
        <v>0</v>
      </c>
      <c r="F6" s="1165" t="n">
        <f aca="false">C6+E6</f>
        <v>262</v>
      </c>
      <c r="G6" s="1065"/>
      <c r="H6" s="1065"/>
      <c r="I6" s="1065"/>
      <c r="J6" s="1065"/>
    </row>
    <row r="7" customFormat="false" ht="27" hidden="false" customHeight="true" outlineLevel="0" collapsed="false">
      <c r="A7" s="1166" t="s">
        <v>446</v>
      </c>
      <c r="B7" s="1161" t="n">
        <v>320000</v>
      </c>
      <c r="C7" s="1167" t="n">
        <f aca="false">ROUNDDOWN(B7*$C$2/1000,0)</f>
        <v>262</v>
      </c>
      <c r="D7" s="1163"/>
      <c r="E7" s="1168" t="n">
        <f aca="false">ROUNDDOWN(D7*$C$2/1000,0)</f>
        <v>0</v>
      </c>
      <c r="F7" s="1169" t="n">
        <f aca="false">C7+E7</f>
        <v>262</v>
      </c>
      <c r="G7" s="1065"/>
      <c r="H7" s="1065"/>
      <c r="I7" s="1065"/>
      <c r="J7" s="1065"/>
    </row>
    <row r="8" customFormat="false" ht="27" hidden="false" customHeight="true" outlineLevel="0" collapsed="false">
      <c r="A8" s="1166" t="s">
        <v>447</v>
      </c>
      <c r="B8" s="1161" t="n">
        <v>320000</v>
      </c>
      <c r="C8" s="1167" t="n">
        <f aca="false">ROUNDDOWN(B8*$C$2/1000,0)</f>
        <v>262</v>
      </c>
      <c r="D8" s="1163"/>
      <c r="E8" s="1168" t="n">
        <f aca="false">ROUNDDOWN(D8*$C$2/1000,0)</f>
        <v>0</v>
      </c>
      <c r="F8" s="1169" t="n">
        <f aca="false">C8+E8</f>
        <v>262</v>
      </c>
      <c r="G8" s="1065"/>
      <c r="H8" s="1065"/>
      <c r="I8" s="1065"/>
      <c r="J8" s="1065"/>
    </row>
    <row r="9" customFormat="false" ht="27" hidden="false" customHeight="true" outlineLevel="0" collapsed="false">
      <c r="A9" s="1170" t="s">
        <v>555</v>
      </c>
      <c r="B9" s="1171" t="n">
        <v>343000</v>
      </c>
      <c r="C9" s="1172" t="n">
        <f aca="false">ROUNDDOWN(B9*$C$2/1000,0)</f>
        <v>281</v>
      </c>
      <c r="D9" s="1171"/>
      <c r="E9" s="1173" t="n">
        <f aca="false">ROUNDDOWN(D9*$C$2/1000,0)</f>
        <v>0</v>
      </c>
      <c r="F9" s="1174" t="n">
        <f aca="false">C9+E9</f>
        <v>281</v>
      </c>
      <c r="G9" s="1065"/>
      <c r="H9" s="1065"/>
      <c r="I9" s="1065"/>
      <c r="J9" s="1065"/>
    </row>
    <row r="10" customFormat="false" ht="27" hidden="false" customHeight="true" outlineLevel="0" collapsed="false">
      <c r="A10" s="1166" t="s">
        <v>448</v>
      </c>
      <c r="B10" s="1161" t="n">
        <v>320000</v>
      </c>
      <c r="C10" s="1167" t="n">
        <f aca="false">ROUNDDOWN(B10*$C$2/1000,0)</f>
        <v>262</v>
      </c>
      <c r="D10" s="1175"/>
      <c r="E10" s="1168" t="n">
        <f aca="false">ROUNDDOWN(D10*$C$2/1000,0)</f>
        <v>0</v>
      </c>
      <c r="F10" s="1176" t="n">
        <f aca="false">C10+E10</f>
        <v>262</v>
      </c>
      <c r="G10" s="1065"/>
      <c r="H10" s="1065"/>
      <c r="I10" s="1065"/>
      <c r="J10" s="1065"/>
    </row>
    <row r="11" customFormat="false" ht="27" hidden="false" customHeight="true" outlineLevel="0" collapsed="false">
      <c r="A11" s="1166" t="s">
        <v>449</v>
      </c>
      <c r="B11" s="1161" t="n">
        <v>320000</v>
      </c>
      <c r="C11" s="1167" t="n">
        <f aca="false">ROUNDDOWN(B11*$C$2/1000,0)</f>
        <v>262</v>
      </c>
      <c r="D11" s="1175"/>
      <c r="E11" s="1168" t="n">
        <f aca="false">ROUNDDOWN(D11*$C$2/1000,0)</f>
        <v>0</v>
      </c>
      <c r="F11" s="1169" t="n">
        <f aca="false">C11+E11</f>
        <v>262</v>
      </c>
      <c r="G11" s="1065"/>
      <c r="H11" s="1065"/>
      <c r="I11" s="1065"/>
      <c r="J11" s="1065"/>
    </row>
    <row r="12" customFormat="false" ht="27" hidden="false" customHeight="true" outlineLevel="0" collapsed="false">
      <c r="A12" s="1166" t="s">
        <v>450</v>
      </c>
      <c r="B12" s="1177" t="n">
        <v>340000</v>
      </c>
      <c r="C12" s="1167" t="n">
        <f aca="false">ROUNDDOWN(B12*$C$2/1000,0)</f>
        <v>278</v>
      </c>
      <c r="D12" s="1175"/>
      <c r="E12" s="1168" t="n">
        <f aca="false">ROUNDDOWN(D12*$C$2/1000,0)</f>
        <v>0</v>
      </c>
      <c r="F12" s="1169" t="n">
        <f aca="false">C12+E12</f>
        <v>278</v>
      </c>
      <c r="G12" s="1065"/>
      <c r="H12" s="1065"/>
      <c r="I12" s="1065"/>
      <c r="J12" s="1065"/>
    </row>
    <row r="13" customFormat="false" ht="27" hidden="false" customHeight="true" outlineLevel="0" collapsed="false">
      <c r="A13" s="1178" t="s">
        <v>451</v>
      </c>
      <c r="B13" s="1179" t="n">
        <v>320000</v>
      </c>
      <c r="C13" s="1167" t="n">
        <f aca="false">ROUNDDOWN(B13*$C$2/1000,0)</f>
        <v>262</v>
      </c>
      <c r="D13" s="1175"/>
      <c r="E13" s="1168" t="n">
        <f aca="false">ROUNDDOWN(D13*$C$2/1000,0)</f>
        <v>0</v>
      </c>
      <c r="F13" s="1180" t="n">
        <f aca="false">C13+E13</f>
        <v>262</v>
      </c>
      <c r="G13" s="1065"/>
      <c r="H13" s="1065"/>
      <c r="I13" s="1065"/>
      <c r="J13" s="1065"/>
    </row>
    <row r="14" customFormat="false" ht="27" hidden="false" customHeight="true" outlineLevel="0" collapsed="false">
      <c r="A14" s="1178" t="s">
        <v>452</v>
      </c>
      <c r="B14" s="1179" t="n">
        <v>320000</v>
      </c>
      <c r="C14" s="1167" t="n">
        <f aca="false">ROUNDDOWN(B14*$C$2/1000,0)</f>
        <v>262</v>
      </c>
      <c r="D14" s="1175"/>
      <c r="E14" s="1168" t="n">
        <f aca="false">ROUNDDOWN(D14*$C$2/1000,0)</f>
        <v>0</v>
      </c>
      <c r="F14" s="1180" t="n">
        <f aca="false">C14+E14</f>
        <v>262</v>
      </c>
      <c r="G14" s="1065"/>
      <c r="H14" s="1065"/>
      <c r="I14" s="1065"/>
      <c r="J14" s="1065"/>
    </row>
    <row r="15" customFormat="false" ht="27" hidden="false" customHeight="true" outlineLevel="0" collapsed="false">
      <c r="A15" s="1170" t="s">
        <v>556</v>
      </c>
      <c r="B15" s="1181" t="n">
        <v>305000</v>
      </c>
      <c r="C15" s="1172" t="n">
        <f aca="false">ROUNDDOWN(B15*$C$2/1000,0)</f>
        <v>250</v>
      </c>
      <c r="D15" s="1171"/>
      <c r="E15" s="1173" t="n">
        <f aca="false">ROUNDDOWN(D15*$C$2/1000,0)</f>
        <v>0</v>
      </c>
      <c r="F15" s="1182" t="n">
        <f aca="false">C15+E15</f>
        <v>250</v>
      </c>
      <c r="G15" s="1065"/>
      <c r="H15" s="1065"/>
      <c r="I15" s="1065"/>
      <c r="J15" s="1065"/>
      <c r="K15" s="1065" t="s">
        <v>557</v>
      </c>
    </row>
    <row r="16" customFormat="false" ht="27" hidden="false" customHeight="true" outlineLevel="0" collapsed="false">
      <c r="A16" s="1178" t="s">
        <v>453</v>
      </c>
      <c r="B16" s="1179" t="n">
        <v>320000</v>
      </c>
      <c r="C16" s="1167" t="n">
        <f aca="false">ROUNDDOWN(B16*$C$2/1000,0)</f>
        <v>262</v>
      </c>
      <c r="D16" s="1175"/>
      <c r="E16" s="1168" t="n">
        <f aca="false">ROUNDDOWN(D16*$C$2/1000,0)</f>
        <v>0</v>
      </c>
      <c r="F16" s="1180" t="n">
        <f aca="false">C16+E16</f>
        <v>262</v>
      </c>
      <c r="G16" s="1065"/>
      <c r="H16" s="1065"/>
      <c r="I16" s="1065"/>
      <c r="J16" s="1065"/>
    </row>
    <row r="17" customFormat="false" ht="27" hidden="false" customHeight="true" outlineLevel="0" collapsed="false">
      <c r="A17" s="1178" t="s">
        <v>454</v>
      </c>
      <c r="B17" s="1179" t="n">
        <v>320000</v>
      </c>
      <c r="C17" s="1167" t="n">
        <f aca="false">ROUNDDOWN(B17*$C$2/1000,0)</f>
        <v>262</v>
      </c>
      <c r="D17" s="1175"/>
      <c r="E17" s="1168" t="n">
        <f aca="false">ROUNDDOWN(D17*$C$2/1000,0)</f>
        <v>0</v>
      </c>
      <c r="F17" s="1180" t="n">
        <f aca="false">C17+E17</f>
        <v>262</v>
      </c>
      <c r="G17" s="1065"/>
      <c r="H17" s="1065"/>
      <c r="I17" s="1065"/>
      <c r="J17" s="1065"/>
    </row>
    <row r="18" customFormat="false" ht="27" hidden="false" customHeight="true" outlineLevel="0" collapsed="false">
      <c r="A18" s="1178" t="s">
        <v>455</v>
      </c>
      <c r="B18" s="1179" t="n">
        <v>320000</v>
      </c>
      <c r="C18" s="1167" t="n">
        <f aca="false">ROUNDDOWN(B18*$C$2/1000,0)</f>
        <v>262</v>
      </c>
      <c r="D18" s="1175"/>
      <c r="E18" s="1168" t="n">
        <f aca="false">ROUNDDOWN(D18*$C$2/1000,0)</f>
        <v>0</v>
      </c>
      <c r="F18" s="1180" t="n">
        <f aca="false">C18+E18</f>
        <v>262</v>
      </c>
      <c r="G18" s="1065"/>
      <c r="H18" s="1065"/>
      <c r="I18" s="1065"/>
      <c r="J18" s="1065"/>
    </row>
    <row r="19" customFormat="false" ht="27" hidden="false" customHeight="true" outlineLevel="0" collapsed="false">
      <c r="A19" s="1183" t="s">
        <v>558</v>
      </c>
      <c r="B19" s="1181" t="n">
        <v>93000</v>
      </c>
      <c r="C19" s="1172" t="n">
        <f aca="false">ROUNDDOWN(B19*$C$2/1000,0)</f>
        <v>76</v>
      </c>
      <c r="D19" s="1171"/>
      <c r="E19" s="1173" t="n">
        <f aca="false">ROUNDDOWN(D19*$C$2/1000,0)</f>
        <v>0</v>
      </c>
      <c r="F19" s="1182" t="n">
        <f aca="false">C19+E19</f>
        <v>76</v>
      </c>
      <c r="G19" s="1065"/>
      <c r="H19" s="1065"/>
      <c r="I19" s="1065"/>
      <c r="J19" s="1065"/>
    </row>
    <row r="20" customFormat="false" ht="27" hidden="false" customHeight="true" outlineLevel="0" collapsed="false">
      <c r="A20" s="1184" t="s">
        <v>456</v>
      </c>
      <c r="B20" s="1179" t="n">
        <v>320000</v>
      </c>
      <c r="C20" s="1167" t="n">
        <f aca="false">ROUNDDOWN(B20*$C$2/1000,0)</f>
        <v>262</v>
      </c>
      <c r="D20" s="1175"/>
      <c r="E20" s="1168" t="n">
        <f aca="false">ROUNDDOWN(D20*$C$2/1000,0)</f>
        <v>0</v>
      </c>
      <c r="F20" s="1180" t="n">
        <f aca="false">C20+E20</f>
        <v>262</v>
      </c>
      <c r="G20" s="1065"/>
      <c r="H20" s="1065"/>
      <c r="I20" s="1065"/>
      <c r="J20" s="1065"/>
    </row>
    <row r="21" customFormat="false" ht="27" hidden="false" customHeight="true" outlineLevel="0" collapsed="false">
      <c r="A21" s="1185" t="s">
        <v>559</v>
      </c>
      <c r="B21" s="1186" t="n">
        <v>44000</v>
      </c>
      <c r="C21" s="1187" t="n">
        <f aca="false">ROUNDDOWN(B21*$C$2/1000,0)</f>
        <v>36</v>
      </c>
      <c r="D21" s="1188" t="n">
        <v>0</v>
      </c>
      <c r="E21" s="1189" t="n">
        <f aca="false">ROUNDDOWN(D21*$C$2/1000,0)</f>
        <v>0</v>
      </c>
      <c r="F21" s="1190" t="n">
        <f aca="false">C21+E21</f>
        <v>36</v>
      </c>
      <c r="G21" s="1065"/>
      <c r="H21" s="1065"/>
      <c r="I21" s="1065"/>
      <c r="J21" s="1065"/>
    </row>
    <row r="22" customFormat="false" ht="27" hidden="false" customHeight="true" outlineLevel="0" collapsed="false">
      <c r="A22" s="1191" t="s">
        <v>560</v>
      </c>
      <c r="B22" s="1186" t="n">
        <v>30000</v>
      </c>
      <c r="C22" s="1192" t="n">
        <f aca="false">ROUNDDOWN(B22*$C$2/1000,0)</f>
        <v>24</v>
      </c>
      <c r="D22" s="1193" t="n">
        <v>0</v>
      </c>
      <c r="E22" s="1194" t="n">
        <f aca="false">ROUNDDOWN(D22*$C$2/1000,0)</f>
        <v>0</v>
      </c>
      <c r="F22" s="1195" t="n">
        <f aca="false">C22+E22</f>
        <v>24</v>
      </c>
      <c r="G22" s="1065"/>
      <c r="H22" s="1065"/>
      <c r="I22" s="1065"/>
      <c r="J22" s="1065"/>
    </row>
    <row r="23" customFormat="false" ht="13.5" hidden="false" customHeight="true" outlineLevel="0" collapsed="false"/>
    <row r="24" s="1146" customFormat="true" ht="18" hidden="false" customHeight="true" outlineLevel="0" collapsed="false">
      <c r="A24" s="1196" t="s">
        <v>561</v>
      </c>
      <c r="B24" s="1147"/>
      <c r="C24" s="1147"/>
      <c r="D24" s="1147"/>
      <c r="G24" s="1147"/>
      <c r="H24" s="1147"/>
      <c r="I24" s="1147"/>
      <c r="J24" s="1147"/>
    </row>
    <row r="25" s="1146" customFormat="true" ht="18" hidden="false" customHeight="true" outlineLevel="0" collapsed="false">
      <c r="A25" s="1196" t="s">
        <v>562</v>
      </c>
      <c r="B25" s="1147"/>
      <c r="C25" s="1147"/>
      <c r="D25" s="1147"/>
      <c r="G25" s="1147"/>
      <c r="H25" s="1147"/>
      <c r="I25" s="1147"/>
      <c r="J25" s="1147"/>
    </row>
  </sheetData>
  <mergeCells count="5">
    <mergeCell ref="A2:B2"/>
    <mergeCell ref="A4:A5"/>
    <mergeCell ref="B4:C4"/>
    <mergeCell ref="D4:E4"/>
    <mergeCell ref="F4:F5"/>
  </mergeCells>
  <printOptions headings="false" gridLines="false" gridLinesSet="true" horizontalCentered="true" verticalCentered="false"/>
  <pageMargins left="0" right="0" top="0.590277777777778"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B1:AR150"/>
  <sheetViews>
    <sheetView showFormulas="false" showGridLines="true" showRowColHeaders="true" showZeros="true" rightToLeft="false" tabSelected="false" showOutlineSymbols="true" defaultGridColor="true" view="normal" topLeftCell="X29" colorId="64" zoomScale="55" zoomScaleNormal="55" zoomScalePageLayoutView="70" workbookViewId="0">
      <selection pane="topLeft" activeCell="D41" activeCellId="0" sqref="D41"/>
    </sheetView>
  </sheetViews>
  <sheetFormatPr defaultColWidth="10.69140625" defaultRowHeight="18" zeroHeight="false" outlineLevelRow="0" outlineLevelCol="0"/>
  <cols>
    <col collapsed="false" customWidth="true" hidden="false" outlineLevel="0" max="1" min="1" style="1197" width="1.99"/>
    <col collapsed="false" customWidth="true" hidden="false" outlineLevel="0" max="2" min="2" style="1197" width="13.59"/>
    <col collapsed="false" customWidth="true" hidden="false" outlineLevel="0" max="3" min="3" style="1197" width="19.09"/>
    <col collapsed="false" customWidth="true" hidden="false" outlineLevel="0" max="6" min="4" style="1197" width="29.89"/>
    <col collapsed="false" customWidth="true" hidden="false" outlineLevel="0" max="8" min="7" style="1197" width="1.99"/>
    <col collapsed="false" customWidth="true" hidden="false" outlineLevel="0" max="9" min="9" style="1197" width="16.69"/>
    <col collapsed="false" customWidth="true" hidden="false" outlineLevel="0" max="10" min="10" style="1197" width="24.29"/>
    <col collapsed="false" customWidth="true" hidden="false" outlineLevel="0" max="11" min="11" style="1197" width="20"/>
    <col collapsed="false" customWidth="true" hidden="false" outlineLevel="0" max="13" min="12" style="1197" width="9.99"/>
    <col collapsed="false" customWidth="true" hidden="false" outlineLevel="0" max="14" min="14" style="1197" width="20"/>
    <col collapsed="false" customWidth="true" hidden="false" outlineLevel="0" max="15" min="15" style="1197" width="1.89"/>
    <col collapsed="false" customWidth="true" hidden="false" outlineLevel="0" max="16" min="16" style="1197" width="1.99"/>
    <col collapsed="false" customWidth="true" hidden="false" outlineLevel="0" max="17" min="17" style="1197" width="13.99"/>
    <col collapsed="false" customWidth="true" hidden="false" outlineLevel="0" max="18" min="18" style="1197" width="21"/>
    <col collapsed="false" customWidth="true" hidden="false" outlineLevel="0" max="24" min="19" style="1197" width="13.49"/>
    <col collapsed="false" customWidth="true" hidden="false" outlineLevel="0" max="26" min="25" style="1197" width="1.99"/>
    <col collapsed="false" customWidth="true" hidden="false" outlineLevel="0" max="27" min="27" style="1197" width="29.69"/>
    <col collapsed="false" customWidth="true" hidden="false" outlineLevel="0" max="28" min="28" style="1197" width="27.19"/>
    <col collapsed="false" customWidth="true" hidden="false" outlineLevel="0" max="32" min="29" style="1197" width="13.59"/>
    <col collapsed="false" customWidth="true" hidden="false" outlineLevel="0" max="34" min="33" style="1197" width="1.99"/>
    <col collapsed="false" customWidth="true" hidden="false" outlineLevel="0" max="35" min="35" style="1197" width="13.99"/>
    <col collapsed="false" customWidth="true" hidden="false" outlineLevel="0" max="36" min="36" style="1197" width="21.09"/>
    <col collapsed="false" customWidth="true" hidden="false" outlineLevel="0" max="42" min="37" style="1197" width="13.49"/>
    <col collapsed="false" customWidth="true" hidden="false" outlineLevel="0" max="43" min="43" style="1197" width="1.69"/>
    <col collapsed="false" customWidth="false" hidden="false" outlineLevel="0" max="257" min="44" style="1197" width="10.69"/>
  </cols>
  <sheetData>
    <row r="1" s="920" customFormat="true" ht="17.25" hidden="false" customHeight="true" outlineLevel="0" collapsed="false">
      <c r="B1" s="1198" t="s">
        <v>563</v>
      </c>
      <c r="C1" s="1199"/>
      <c r="D1" s="1199"/>
      <c r="E1" s="1199"/>
      <c r="F1" s="1199"/>
      <c r="G1" s="1200"/>
      <c r="H1" s="1199"/>
      <c r="I1" s="1198" t="s">
        <v>563</v>
      </c>
      <c r="J1" s="1199"/>
      <c r="K1" s="1199"/>
      <c r="L1" s="1199"/>
      <c r="M1" s="1199"/>
      <c r="N1" s="1199"/>
      <c r="O1" s="1199"/>
      <c r="P1" s="1199"/>
      <c r="Q1" s="1198" t="s">
        <v>563</v>
      </c>
      <c r="R1" s="1199"/>
      <c r="S1" s="1199"/>
      <c r="T1" s="1199"/>
      <c r="U1" s="1199"/>
      <c r="V1" s="1199"/>
      <c r="W1" s="1199"/>
      <c r="X1" s="1199"/>
      <c r="Y1" s="1199"/>
      <c r="Z1" s="1199"/>
      <c r="AB1" s="1199"/>
      <c r="AC1" s="1199"/>
      <c r="AD1" s="1199"/>
      <c r="AE1" s="1199"/>
      <c r="AF1" s="1199"/>
      <c r="AG1" s="1199"/>
      <c r="AH1" s="1199"/>
      <c r="AI1" s="1198" t="s">
        <v>564</v>
      </c>
      <c r="AJ1" s="1199"/>
      <c r="AK1" s="1199"/>
      <c r="AL1" s="1199"/>
      <c r="AM1" s="1199"/>
      <c r="AN1" s="1199"/>
      <c r="AO1" s="1199"/>
      <c r="AP1" s="1199"/>
    </row>
    <row r="2" customFormat="false" ht="24" hidden="false" customHeight="true" outlineLevel="0" collapsed="false">
      <c r="B2" s="1201" t="s">
        <v>565</v>
      </c>
      <c r="C2" s="1201"/>
      <c r="D2" s="1201"/>
      <c r="E2" s="1201"/>
      <c r="F2" s="1201"/>
      <c r="G2" s="1202"/>
      <c r="H2" s="1203"/>
      <c r="I2" s="1204" t="s">
        <v>566</v>
      </c>
      <c r="J2" s="1204"/>
      <c r="K2" s="1204"/>
      <c r="L2" s="1204"/>
      <c r="M2" s="1204"/>
      <c r="N2" s="1204"/>
      <c r="O2" s="1203"/>
      <c r="P2" s="1205"/>
      <c r="Q2" s="1206" t="s">
        <v>567</v>
      </c>
      <c r="R2" s="1206"/>
      <c r="S2" s="1206"/>
      <c r="T2" s="1206"/>
      <c r="U2" s="1206"/>
      <c r="V2" s="1206"/>
      <c r="W2" s="1206"/>
      <c r="X2" s="1206"/>
      <c r="Y2" s="1203"/>
      <c r="Z2" s="1203"/>
      <c r="AA2" s="1207" t="s">
        <v>568</v>
      </c>
      <c r="AB2" s="1207"/>
      <c r="AC2" s="1207"/>
      <c r="AD2" s="1207"/>
      <c r="AE2" s="1207"/>
      <c r="AF2" s="1207"/>
      <c r="AG2" s="1203"/>
      <c r="AH2" s="1203"/>
      <c r="AI2" s="1201" t="s">
        <v>569</v>
      </c>
      <c r="AJ2" s="1201"/>
      <c r="AK2" s="1201"/>
      <c r="AL2" s="1201"/>
      <c r="AM2" s="1201"/>
      <c r="AN2" s="1201"/>
      <c r="AO2" s="1201"/>
      <c r="AP2" s="1201"/>
    </row>
    <row r="3" customFormat="false" ht="32.25" hidden="false" customHeight="true" outlineLevel="0" collapsed="false">
      <c r="F3" s="1208" t="s">
        <v>570</v>
      </c>
      <c r="G3" s="1209"/>
      <c r="L3" s="1203"/>
      <c r="M3" s="1210"/>
      <c r="N3" s="1208" t="s">
        <v>570</v>
      </c>
      <c r="U3" s="1203"/>
      <c r="V3" s="1203"/>
      <c r="W3" s="1203"/>
      <c r="X3" s="1208" t="s">
        <v>570</v>
      </c>
      <c r="AD3" s="1203"/>
      <c r="AE3" s="1203"/>
      <c r="AF3" s="1208" t="s">
        <v>570</v>
      </c>
      <c r="AM3" s="1203"/>
      <c r="AN3" s="1203"/>
      <c r="AO3" s="1203"/>
      <c r="AP3" s="1208" t="s">
        <v>570</v>
      </c>
    </row>
    <row r="4" customFormat="false" ht="23.25" hidden="false" customHeight="true" outlineLevel="0" collapsed="false">
      <c r="E4" s="1211"/>
      <c r="F4" s="1212"/>
      <c r="G4" s="1209"/>
      <c r="L4" s="1211"/>
      <c r="M4" s="1211"/>
      <c r="N4" s="1212"/>
      <c r="U4" s="1211"/>
      <c r="V4" s="1211"/>
      <c r="W4" s="1211"/>
      <c r="X4" s="1212"/>
      <c r="AD4" s="1211"/>
      <c r="AE4" s="1211"/>
      <c r="AF4" s="1212"/>
      <c r="AM4" s="1211"/>
      <c r="AN4" s="1211"/>
      <c r="AO4" s="1211"/>
      <c r="AP4" s="1212"/>
    </row>
    <row r="5" customFormat="false" ht="24.75" hidden="false" customHeight="true" outlineLevel="0" collapsed="false">
      <c r="B5" s="1213" t="str">
        <f aca="false">'☆掛負収入'!A2</f>
        <v>令和8年度</v>
      </c>
      <c r="C5" s="1214"/>
      <c r="D5" s="1215"/>
      <c r="F5" s="1216" t="s">
        <v>571</v>
      </c>
      <c r="G5" s="1209"/>
      <c r="I5" s="1217" t="str">
        <f aca="false">B5</f>
        <v>令和8年度</v>
      </c>
      <c r="M5" s="1218" t="s">
        <v>571</v>
      </c>
      <c r="Q5" s="1219" t="str">
        <f aca="false">I5</f>
        <v>令和8年度</v>
      </c>
      <c r="X5" s="1216" t="s">
        <v>571</v>
      </c>
      <c r="AA5" s="1220" t="str">
        <f aca="false">'☆掛負収入'!A2</f>
        <v>令和8年度</v>
      </c>
      <c r="AF5" s="1218" t="s">
        <v>571</v>
      </c>
      <c r="AI5" s="1219" t="str">
        <f aca="false">Q5</f>
        <v>令和8年度</v>
      </c>
      <c r="AP5" s="1216" t="s">
        <v>571</v>
      </c>
    </row>
    <row r="6" customFormat="false" ht="26.25" hidden="false" customHeight="true" outlineLevel="0" collapsed="false">
      <c r="B6" s="1221" t="s">
        <v>572</v>
      </c>
      <c r="C6" s="1221"/>
      <c r="D6" s="1222" t="s">
        <v>573</v>
      </c>
      <c r="E6" s="1222"/>
      <c r="F6" s="1223" t="n">
        <f aca="false">'☆振替R7'!D2+'☆振替R7'!E2</f>
        <v>5.46</v>
      </c>
      <c r="G6" s="1209"/>
      <c r="I6" s="1221" t="s">
        <v>572</v>
      </c>
      <c r="J6" s="1221"/>
      <c r="K6" s="1224" t="s">
        <v>574</v>
      </c>
      <c r="L6" s="1224"/>
      <c r="M6" s="1225" t="n">
        <f aca="false">'☆振替R7'!F2</f>
        <v>0.05</v>
      </c>
      <c r="N6" s="1209"/>
      <c r="Q6" s="1221" t="s">
        <v>572</v>
      </c>
      <c r="R6" s="1221"/>
      <c r="S6" s="1221" t="s">
        <v>575</v>
      </c>
      <c r="T6" s="1221"/>
      <c r="U6" s="1221"/>
      <c r="V6" s="1226" t="s">
        <v>574</v>
      </c>
      <c r="W6" s="1226"/>
      <c r="X6" s="1227" t="n">
        <f aca="false">'☆振替R7'!G2</f>
        <v>1.1</v>
      </c>
      <c r="AA6" s="1221" t="s">
        <v>576</v>
      </c>
      <c r="AB6" s="1228" t="s">
        <v>577</v>
      </c>
      <c r="AC6" s="1228"/>
      <c r="AD6" s="1226" t="s">
        <v>578</v>
      </c>
      <c r="AE6" s="1226"/>
      <c r="AF6" s="1227" t="n">
        <f aca="false">'☆振替R7'!H2</f>
        <v>0.2</v>
      </c>
      <c r="AI6" s="1221" t="s">
        <v>572</v>
      </c>
      <c r="AJ6" s="1221"/>
      <c r="AK6" s="1221" t="s">
        <v>575</v>
      </c>
      <c r="AL6" s="1221"/>
      <c r="AM6" s="1221"/>
      <c r="AN6" s="1229" t="s">
        <v>579</v>
      </c>
      <c r="AO6" s="1229"/>
      <c r="AP6" s="1229"/>
    </row>
    <row r="7" customFormat="false" ht="26.25" hidden="false" customHeight="true" outlineLevel="0" collapsed="false">
      <c r="B7" s="1221"/>
      <c r="C7" s="1221"/>
      <c r="D7" s="1228" t="s">
        <v>580</v>
      </c>
      <c r="E7" s="1228" t="s">
        <v>581</v>
      </c>
      <c r="F7" s="1230" t="s">
        <v>582</v>
      </c>
      <c r="G7" s="1231"/>
      <c r="H7" s="1209"/>
      <c r="I7" s="1221"/>
      <c r="J7" s="1221"/>
      <c r="K7" s="1224"/>
      <c r="L7" s="1224"/>
      <c r="M7" s="1225"/>
      <c r="N7" s="1209"/>
      <c r="Q7" s="1221"/>
      <c r="R7" s="1221"/>
      <c r="S7" s="1221"/>
      <c r="T7" s="1221"/>
      <c r="U7" s="1221"/>
      <c r="V7" s="1226"/>
      <c r="W7" s="1226"/>
      <c r="X7" s="1227"/>
      <c r="AA7" s="1221"/>
      <c r="AB7" s="1228"/>
      <c r="AC7" s="1228"/>
      <c r="AD7" s="1226"/>
      <c r="AE7" s="1226"/>
      <c r="AF7" s="1227"/>
      <c r="AI7" s="1221"/>
      <c r="AJ7" s="1221"/>
      <c r="AK7" s="1221"/>
      <c r="AL7" s="1221"/>
      <c r="AM7" s="1221"/>
      <c r="AN7" s="1232" t="s">
        <v>583</v>
      </c>
      <c r="AO7" s="1232"/>
      <c r="AP7" s="1233" t="n">
        <f aca="false">'☆振替R7'!I2</f>
        <v>0.024</v>
      </c>
    </row>
    <row r="8" customFormat="false" ht="26.25" hidden="false" customHeight="true" outlineLevel="0" collapsed="false">
      <c r="B8" s="1091" t="s">
        <v>584</v>
      </c>
      <c r="C8" s="1090" t="s">
        <v>585</v>
      </c>
      <c r="D8" s="1234" t="n">
        <v>46346523</v>
      </c>
      <c r="E8" s="1234" t="n">
        <v>6062198</v>
      </c>
      <c r="F8" s="1235" t="n">
        <f aca="false">SUM(D8:E8)</f>
        <v>52408721</v>
      </c>
      <c r="G8" s="1231"/>
      <c r="H8" s="1209"/>
      <c r="I8" s="1236" t="s">
        <v>586</v>
      </c>
      <c r="J8" s="1237" t="s">
        <v>585</v>
      </c>
      <c r="K8" s="1238" t="n">
        <v>919859</v>
      </c>
      <c r="L8" s="1238"/>
      <c r="M8" s="1238"/>
      <c r="N8" s="1239"/>
      <c r="O8" s="1209"/>
      <c r="P8" s="1209"/>
      <c r="Q8" s="1236" t="s">
        <v>586</v>
      </c>
      <c r="R8" s="1237" t="s">
        <v>585</v>
      </c>
      <c r="S8" s="1238" t="n">
        <v>9195736000</v>
      </c>
      <c r="T8" s="1238"/>
      <c r="U8" s="1238"/>
      <c r="V8" s="1238" t="n">
        <v>10115309</v>
      </c>
      <c r="W8" s="1238"/>
      <c r="X8" s="1238"/>
      <c r="Y8" s="1231"/>
      <c r="Z8" s="1209"/>
      <c r="AA8" s="1221" t="s">
        <v>587</v>
      </c>
      <c r="AB8" s="1240" t="n">
        <f aca="false">'☆振替R7'!B26</f>
        <v>7643087000</v>
      </c>
      <c r="AC8" s="1240"/>
      <c r="AD8" s="1241" t="n">
        <f aca="false">ROUNDDOWN(AB8*AF6/1000,0)</f>
        <v>1528617</v>
      </c>
      <c r="AE8" s="1241"/>
      <c r="AF8" s="1241"/>
      <c r="AG8" s="1209"/>
      <c r="AH8" s="1209"/>
      <c r="AI8" s="1236" t="s">
        <v>586</v>
      </c>
      <c r="AJ8" s="1237" t="s">
        <v>585</v>
      </c>
      <c r="AK8" s="1238" t="n">
        <v>9195736000</v>
      </c>
      <c r="AL8" s="1238"/>
      <c r="AM8" s="1238"/>
      <c r="AN8" s="1241" t="n">
        <f aca="false">ROUNDDOWN(AK8*AR8/1000,0)</f>
        <v>220697</v>
      </c>
      <c r="AO8" s="1241"/>
      <c r="AP8" s="1241"/>
      <c r="AR8" s="1197" t="n">
        <v>0.024</v>
      </c>
    </row>
    <row r="9" customFormat="false" ht="26.25" hidden="false" customHeight="true" outlineLevel="0" collapsed="false">
      <c r="B9" s="1091"/>
      <c r="C9" s="1090" t="s">
        <v>588</v>
      </c>
      <c r="D9" s="1242" t="n">
        <v>46347178</v>
      </c>
      <c r="E9" s="1242" t="n">
        <v>6062198</v>
      </c>
      <c r="F9" s="1235" t="n">
        <f aca="false">SUM(D9:E9)</f>
        <v>52409376</v>
      </c>
      <c r="G9" s="1231"/>
      <c r="H9" s="1209"/>
      <c r="I9" s="1236"/>
      <c r="J9" s="1237" t="s">
        <v>589</v>
      </c>
      <c r="K9" s="1243" t="n">
        <v>919859</v>
      </c>
      <c r="L9" s="1243"/>
      <c r="M9" s="1243"/>
      <c r="N9" s="1239"/>
      <c r="Q9" s="1236"/>
      <c r="R9" s="1237" t="s">
        <v>589</v>
      </c>
      <c r="S9" s="1243" t="n">
        <v>9195866000</v>
      </c>
      <c r="T9" s="1243"/>
      <c r="U9" s="1243"/>
      <c r="V9" s="1241" t="n">
        <f aca="false">ROUNDDOWN(S9*X6/1000,0)</f>
        <v>10115452</v>
      </c>
      <c r="W9" s="1241"/>
      <c r="X9" s="1241"/>
      <c r="Y9" s="1231"/>
      <c r="AA9" s="1221"/>
      <c r="AB9" s="1240"/>
      <c r="AC9" s="1240"/>
      <c r="AD9" s="1241"/>
      <c r="AE9" s="1241"/>
      <c r="AF9" s="1241"/>
      <c r="AI9" s="1236"/>
      <c r="AJ9" s="1237" t="s">
        <v>589</v>
      </c>
      <c r="AK9" s="1243" t="n">
        <v>9195866000</v>
      </c>
      <c r="AL9" s="1243"/>
      <c r="AM9" s="1243"/>
      <c r="AN9" s="1241" t="n">
        <f aca="false">ROUNDDOWN(AK9*AR9/1000,0)</f>
        <v>220700</v>
      </c>
      <c r="AO9" s="1241"/>
      <c r="AP9" s="1241"/>
      <c r="AR9" s="1197" t="n">
        <v>0.024</v>
      </c>
    </row>
    <row r="10" customFormat="false" ht="26.25" hidden="false" customHeight="true" outlineLevel="0" collapsed="false">
      <c r="B10" s="1221" t="s">
        <v>590</v>
      </c>
      <c r="C10" s="1221"/>
      <c r="D10" s="1235" t="n">
        <f aca="false">D8-D9</f>
        <v>-655</v>
      </c>
      <c r="E10" s="1244" t="n">
        <f aca="false">E8-E9</f>
        <v>0</v>
      </c>
      <c r="F10" s="1235" t="n">
        <f aca="false">F8-F9</f>
        <v>-655</v>
      </c>
      <c r="G10" s="1231"/>
      <c r="I10" s="1221" t="s">
        <v>591</v>
      </c>
      <c r="J10" s="1221"/>
      <c r="K10" s="1245" t="n">
        <f aca="false">K8-K9</f>
        <v>0</v>
      </c>
      <c r="L10" s="1245"/>
      <c r="M10" s="1245"/>
      <c r="N10" s="1239"/>
      <c r="Q10" s="1221" t="s">
        <v>591</v>
      </c>
      <c r="R10" s="1221"/>
      <c r="S10" s="1241" t="n">
        <f aca="false">S8-S9</f>
        <v>-130000</v>
      </c>
      <c r="T10" s="1241"/>
      <c r="U10" s="1241"/>
      <c r="V10" s="1241" t="n">
        <f aca="false">V8-V9</f>
        <v>-143</v>
      </c>
      <c r="W10" s="1241"/>
      <c r="X10" s="1241"/>
      <c r="AA10" s="1221" t="s">
        <v>592</v>
      </c>
      <c r="AB10" s="1240" t="n">
        <f aca="false">'☆振替R7'!B57</f>
        <v>6776359000</v>
      </c>
      <c r="AC10" s="1240"/>
      <c r="AD10" s="1241" t="n">
        <f aca="false">ROUNDDOWN(AB10*AF6/1000,0)</f>
        <v>1355271</v>
      </c>
      <c r="AE10" s="1241"/>
      <c r="AF10" s="1241"/>
      <c r="AI10" s="1221" t="s">
        <v>591</v>
      </c>
      <c r="AJ10" s="1221"/>
      <c r="AK10" s="1241" t="n">
        <f aca="false">AK8-AK9</f>
        <v>-130000</v>
      </c>
      <c r="AL10" s="1241"/>
      <c r="AM10" s="1241"/>
      <c r="AN10" s="1241" t="n">
        <f aca="false">AN8-AN9</f>
        <v>-3</v>
      </c>
      <c r="AO10" s="1241"/>
      <c r="AP10" s="1241"/>
    </row>
    <row r="11" customFormat="false" ht="26.25" hidden="false" customHeight="true" outlineLevel="0" collapsed="false">
      <c r="B11" s="1246" t="s">
        <v>593</v>
      </c>
      <c r="C11" s="1247" t="s">
        <v>594</v>
      </c>
      <c r="D11" s="1235" t="n">
        <f aca="false">'☆振替R7'!D10:E10+'☆振替R7'!D21</f>
        <v>35463930</v>
      </c>
      <c r="E11" s="1235" t="n">
        <f aca="false">'☆振替R7'!E21</f>
        <v>4025496</v>
      </c>
      <c r="F11" s="1235" t="n">
        <f aca="false">SUM(D11:E11)</f>
        <v>39489426</v>
      </c>
      <c r="G11" s="1231"/>
      <c r="I11" s="1246" t="s">
        <v>593</v>
      </c>
      <c r="J11" s="1247" t="s">
        <v>594</v>
      </c>
      <c r="K11" s="1241" t="n">
        <f aca="false">'☆振替R7'!F21</f>
        <v>334776</v>
      </c>
      <c r="L11" s="1241"/>
      <c r="M11" s="1241"/>
      <c r="N11" s="1239"/>
      <c r="Q11" s="1246" t="s">
        <v>593</v>
      </c>
      <c r="R11" s="1247" t="s">
        <v>594</v>
      </c>
      <c r="S11" s="1241" t="n">
        <f aca="false">'☆振替R7'!B26</f>
        <v>7643087000</v>
      </c>
      <c r="T11" s="1241"/>
      <c r="U11" s="1241"/>
      <c r="V11" s="1241" t="n">
        <f aca="false">ROUNDDOWN(S11*X6/1000,0)</f>
        <v>8407395</v>
      </c>
      <c r="W11" s="1241"/>
      <c r="X11" s="1241"/>
      <c r="AA11" s="1221"/>
      <c r="AB11" s="1240"/>
      <c r="AC11" s="1240"/>
      <c r="AD11" s="1241"/>
      <c r="AE11" s="1241"/>
      <c r="AF11" s="1241"/>
      <c r="AI11" s="1246" t="s">
        <v>593</v>
      </c>
      <c r="AJ11" s="1247" t="s">
        <v>594</v>
      </c>
      <c r="AK11" s="1241" t="n">
        <f aca="false">'☆振替R7'!B26</f>
        <v>7643087000</v>
      </c>
      <c r="AL11" s="1241"/>
      <c r="AM11" s="1241"/>
      <c r="AN11" s="1241" t="n">
        <f aca="false">ROUNDDOWN(AK11*AP7/1000,0)</f>
        <v>183434</v>
      </c>
      <c r="AO11" s="1241"/>
      <c r="AP11" s="1241"/>
    </row>
    <row r="12" customFormat="false" ht="26.25" hidden="false" customHeight="true" outlineLevel="0" collapsed="false">
      <c r="B12" s="1246" t="s">
        <v>595</v>
      </c>
      <c r="C12" s="1247" t="s">
        <v>596</v>
      </c>
      <c r="D12" s="1235" t="n">
        <f aca="false">'☆振替R7'!D41:E41+'☆振替R7'!D52</f>
        <v>31442308</v>
      </c>
      <c r="E12" s="1235" t="n">
        <f aca="false">'☆振替R7'!E52</f>
        <v>4057893</v>
      </c>
      <c r="F12" s="1235" t="n">
        <f aca="false">SUM(D12:E12)</f>
        <v>35500201</v>
      </c>
      <c r="G12" s="1231"/>
      <c r="I12" s="1246" t="s">
        <v>595</v>
      </c>
      <c r="J12" s="1247" t="s">
        <v>596</v>
      </c>
      <c r="K12" s="1241" t="n">
        <f aca="false">'☆振替R7'!F52</f>
        <v>337874</v>
      </c>
      <c r="L12" s="1241"/>
      <c r="M12" s="1241"/>
      <c r="N12" s="1239"/>
      <c r="Q12" s="1246" t="s">
        <v>595</v>
      </c>
      <c r="R12" s="1247" t="s">
        <v>596</v>
      </c>
      <c r="S12" s="1241" t="n">
        <f aca="false">'☆振替R7'!B57</f>
        <v>6776359000</v>
      </c>
      <c r="T12" s="1241"/>
      <c r="U12" s="1241"/>
      <c r="V12" s="1241" t="n">
        <f aca="false">ROUNDDOWN(S12*X6/1000,0)</f>
        <v>7453994</v>
      </c>
      <c r="W12" s="1241"/>
      <c r="X12" s="1241"/>
      <c r="AA12" s="1221" t="s">
        <v>597</v>
      </c>
      <c r="AB12" s="1240" t="n">
        <f aca="false">'☆振替R7'!B88+'☆振替R7'!B119</f>
        <v>18622020000</v>
      </c>
      <c r="AC12" s="1240"/>
      <c r="AD12" s="1241" t="n">
        <f aca="false">ROUNDDOWN(AB12*AF6/1000,0)</f>
        <v>3724404</v>
      </c>
      <c r="AE12" s="1241"/>
      <c r="AF12" s="1241"/>
      <c r="AI12" s="1246" t="s">
        <v>595</v>
      </c>
      <c r="AJ12" s="1247" t="s">
        <v>596</v>
      </c>
      <c r="AK12" s="1241" t="n">
        <f aca="false">'☆振替R7'!B57</f>
        <v>6776359000</v>
      </c>
      <c r="AL12" s="1241"/>
      <c r="AM12" s="1241"/>
      <c r="AN12" s="1241" t="n">
        <f aca="false">ROUNDDOWN(AK12*AP7/1000,0)</f>
        <v>162632</v>
      </c>
      <c r="AO12" s="1241"/>
      <c r="AP12" s="1241"/>
    </row>
    <row r="13" customFormat="false" ht="26.25" hidden="false" customHeight="true" outlineLevel="0" collapsed="false">
      <c r="B13" s="1246" t="s">
        <v>598</v>
      </c>
      <c r="C13" s="1247" t="s">
        <v>599</v>
      </c>
      <c r="D13" s="1235" t="n">
        <f aca="false">'☆振替R7'!D72:E72+'☆振替R7'!D83+'☆振替R7'!D103:E103+'☆振替R7'!D114</f>
        <v>86406179</v>
      </c>
      <c r="E13" s="1235" t="n">
        <f aca="false">'☆振替R7'!E83+'☆振替R7'!E114</f>
        <v>11759303</v>
      </c>
      <c r="F13" s="1235" t="n">
        <f aca="false">SUM(D13:E13)</f>
        <v>98165482</v>
      </c>
      <c r="G13" s="1209"/>
      <c r="I13" s="1246" t="s">
        <v>598</v>
      </c>
      <c r="J13" s="1247" t="s">
        <v>600</v>
      </c>
      <c r="K13" s="1241" t="n">
        <f aca="false">'☆振替R7'!F83+'☆振替R7'!F114</f>
        <v>929791</v>
      </c>
      <c r="L13" s="1241"/>
      <c r="M13" s="1241"/>
      <c r="N13" s="1239"/>
      <c r="Q13" s="1246" t="s">
        <v>598</v>
      </c>
      <c r="R13" s="1247" t="s">
        <v>600</v>
      </c>
      <c r="S13" s="1241" t="n">
        <f aca="false">'☆振替R7'!B88+'☆振替R7'!B119</f>
        <v>18622020000</v>
      </c>
      <c r="T13" s="1241"/>
      <c r="U13" s="1241"/>
      <c r="V13" s="1241" t="n">
        <f aca="false">ROUNDDOWN(S13*X6/1000,0)</f>
        <v>20484222</v>
      </c>
      <c r="W13" s="1241"/>
      <c r="X13" s="1241"/>
      <c r="AA13" s="1221"/>
      <c r="AB13" s="1240"/>
      <c r="AC13" s="1240"/>
      <c r="AD13" s="1241"/>
      <c r="AE13" s="1241"/>
      <c r="AF13" s="1241"/>
      <c r="AI13" s="1246" t="s">
        <v>598</v>
      </c>
      <c r="AJ13" s="1247" t="s">
        <v>600</v>
      </c>
      <c r="AK13" s="1241" t="n">
        <f aca="false">'☆振替R7'!B88+'☆振替R7'!B119</f>
        <v>18622020000</v>
      </c>
      <c r="AL13" s="1241"/>
      <c r="AM13" s="1241"/>
      <c r="AN13" s="1241" t="n">
        <f aca="false">ROUNDDOWN(AK13*AP7/1000,0)</f>
        <v>446928</v>
      </c>
      <c r="AO13" s="1241"/>
      <c r="AP13" s="1241"/>
    </row>
    <row r="14" customFormat="false" ht="26.25" hidden="false" customHeight="true" outlineLevel="0" collapsed="false">
      <c r="B14" s="1221" t="s">
        <v>601</v>
      </c>
      <c r="C14" s="1221"/>
      <c r="D14" s="1235" t="n">
        <f aca="false">SUM(D11:D13)</f>
        <v>153312417</v>
      </c>
      <c r="E14" s="1235" t="n">
        <f aca="false">SUM(E11:E13)</f>
        <v>19842692</v>
      </c>
      <c r="F14" s="1235" t="n">
        <f aca="false">SUM(D14:E14)</f>
        <v>173155109</v>
      </c>
      <c r="G14" s="1209"/>
      <c r="I14" s="1221" t="s">
        <v>601</v>
      </c>
      <c r="J14" s="1221"/>
      <c r="K14" s="1241" t="n">
        <f aca="false">SUM(K11:M13)</f>
        <v>1602441</v>
      </c>
      <c r="L14" s="1241"/>
      <c r="M14" s="1241"/>
      <c r="N14" s="1239"/>
      <c r="Q14" s="1221" t="s">
        <v>601</v>
      </c>
      <c r="R14" s="1221"/>
      <c r="S14" s="1241" t="n">
        <f aca="false">SUM(S11:U13)</f>
        <v>33041466000</v>
      </c>
      <c r="T14" s="1241"/>
      <c r="U14" s="1241"/>
      <c r="V14" s="1241" t="n">
        <f aca="false">SUM(V11:X13)</f>
        <v>36345611</v>
      </c>
      <c r="W14" s="1241"/>
      <c r="X14" s="1241"/>
      <c r="AA14" s="1221" t="s">
        <v>375</v>
      </c>
      <c r="AB14" s="1240" t="n">
        <f aca="false">SUM(AB8:AC13)</f>
        <v>33041466000</v>
      </c>
      <c r="AC14" s="1240"/>
      <c r="AD14" s="1241" t="n">
        <f aca="false">SUM(AD8:AF13)</f>
        <v>6608292</v>
      </c>
      <c r="AE14" s="1241"/>
      <c r="AF14" s="1241"/>
      <c r="AI14" s="1221" t="s">
        <v>601</v>
      </c>
      <c r="AJ14" s="1221"/>
      <c r="AK14" s="1241" t="n">
        <f aca="false">SUM(AK11:AM13)</f>
        <v>33041466000</v>
      </c>
      <c r="AL14" s="1241"/>
      <c r="AM14" s="1241"/>
      <c r="AN14" s="1241" t="n">
        <f aca="false">SUM(AN11:AP13)</f>
        <v>792994</v>
      </c>
      <c r="AO14" s="1241"/>
      <c r="AP14" s="1241"/>
    </row>
    <row r="15" customFormat="false" ht="26.25" hidden="false" customHeight="true" outlineLevel="0" collapsed="false">
      <c r="B15" s="1221" t="s">
        <v>602</v>
      </c>
      <c r="C15" s="1221"/>
      <c r="D15" s="1235" t="n">
        <f aca="false">D10+D14</f>
        <v>153311762</v>
      </c>
      <c r="E15" s="1235" t="n">
        <f aca="false">E10+E14</f>
        <v>19842692</v>
      </c>
      <c r="F15" s="1248" t="n">
        <f aca="false">SUM(D15:E15)</f>
        <v>173154454</v>
      </c>
      <c r="G15" s="1209"/>
      <c r="I15" s="1221" t="s">
        <v>602</v>
      </c>
      <c r="J15" s="1221"/>
      <c r="K15" s="1241" t="n">
        <f aca="false">K10+K14</f>
        <v>1602441</v>
      </c>
      <c r="L15" s="1241"/>
      <c r="M15" s="1241"/>
      <c r="N15" s="1249"/>
      <c r="Q15" s="1221" t="s">
        <v>602</v>
      </c>
      <c r="R15" s="1221"/>
      <c r="S15" s="1241" t="n">
        <f aca="false">S10+S14</f>
        <v>33041336000</v>
      </c>
      <c r="T15" s="1241"/>
      <c r="U15" s="1241"/>
      <c r="V15" s="1250" t="n">
        <f aca="false">V10+V14</f>
        <v>36345468</v>
      </c>
      <c r="W15" s="1250"/>
      <c r="X15" s="1250"/>
      <c r="AA15" s="1221"/>
      <c r="AB15" s="1240"/>
      <c r="AC15" s="1240"/>
      <c r="AD15" s="1241"/>
      <c r="AE15" s="1241"/>
      <c r="AF15" s="1241"/>
      <c r="AI15" s="1221" t="s">
        <v>602</v>
      </c>
      <c r="AJ15" s="1221"/>
      <c r="AK15" s="1241" t="n">
        <f aca="false">AK10+AK14</f>
        <v>33041336000</v>
      </c>
      <c r="AL15" s="1241"/>
      <c r="AM15" s="1241"/>
      <c r="AN15" s="1250" t="n">
        <f aca="false">AN10+AN14</f>
        <v>792991</v>
      </c>
      <c r="AO15" s="1250"/>
      <c r="AP15" s="1250"/>
    </row>
    <row r="16" customFormat="false" ht="7.5" hidden="false" customHeight="true" outlineLevel="0" collapsed="false">
      <c r="G16" s="1209"/>
      <c r="N16" s="1209"/>
      <c r="AF16" s="1209"/>
    </row>
    <row r="17" s="920" customFormat="true" ht="20.25" hidden="false" customHeight="true" outlineLevel="0" collapsed="false">
      <c r="B17" s="1251" t="s">
        <v>603</v>
      </c>
      <c r="C17" s="1252"/>
      <c r="D17" s="1252"/>
      <c r="E17" s="1252"/>
      <c r="F17" s="1252"/>
      <c r="G17" s="1253"/>
      <c r="I17" s="1251" t="s">
        <v>603</v>
      </c>
      <c r="J17" s="1251"/>
      <c r="K17" s="1251"/>
      <c r="L17" s="1251"/>
      <c r="M17" s="1251"/>
      <c r="N17" s="1251"/>
      <c r="Q17" s="1251" t="s">
        <v>603</v>
      </c>
      <c r="R17" s="1251"/>
      <c r="S17" s="1251"/>
      <c r="T17" s="1251"/>
      <c r="U17" s="1251"/>
      <c r="V17" s="1251"/>
      <c r="W17" s="1252"/>
      <c r="X17" s="1252"/>
      <c r="AA17" s="1251" t="s">
        <v>603</v>
      </c>
      <c r="AB17" s="1252"/>
      <c r="AC17" s="1252"/>
      <c r="AD17" s="1252"/>
      <c r="AE17" s="1252"/>
      <c r="AF17" s="1252"/>
      <c r="AI17" s="1251" t="s">
        <v>604</v>
      </c>
      <c r="AJ17" s="1251"/>
      <c r="AK17" s="1251"/>
      <c r="AL17" s="1251"/>
      <c r="AM17" s="1251"/>
      <c r="AN17" s="1251"/>
      <c r="AO17" s="1252"/>
      <c r="AP17" s="1252"/>
    </row>
    <row r="18" s="920" customFormat="true" ht="20.25" hidden="false" customHeight="true" outlineLevel="0" collapsed="false">
      <c r="B18" s="920" t="s">
        <v>605</v>
      </c>
      <c r="G18" s="1253"/>
      <c r="I18" s="920" t="s">
        <v>606</v>
      </c>
      <c r="Q18" s="920" t="s">
        <v>606</v>
      </c>
      <c r="AA18" s="920" t="s">
        <v>606</v>
      </c>
      <c r="AI18" s="920" t="s">
        <v>606</v>
      </c>
    </row>
    <row r="19" s="920" customFormat="true" ht="20.25" hidden="false" customHeight="true" outlineLevel="0" collapsed="false">
      <c r="B19" s="920" t="s">
        <v>607</v>
      </c>
      <c r="G19" s="1253"/>
      <c r="H19" s="1253"/>
      <c r="I19" s="920" t="s">
        <v>608</v>
      </c>
      <c r="O19" s="1253"/>
      <c r="P19" s="1253"/>
      <c r="Q19" s="920" t="s">
        <v>609</v>
      </c>
      <c r="Y19" s="1253"/>
      <c r="Z19" s="1253"/>
      <c r="AA19" s="920" t="s">
        <v>609</v>
      </c>
      <c r="AG19" s="1253"/>
      <c r="AH19" s="1253"/>
      <c r="AI19" s="920" t="s">
        <v>609</v>
      </c>
    </row>
    <row r="20" s="920" customFormat="true" ht="20.25" hidden="false" customHeight="true" outlineLevel="0" collapsed="false">
      <c r="B20" s="920" t="s">
        <v>610</v>
      </c>
      <c r="G20" s="1253"/>
      <c r="I20" s="920" t="s">
        <v>611</v>
      </c>
      <c r="Q20" s="920" t="s">
        <v>612</v>
      </c>
      <c r="AA20" s="920" t="s">
        <v>612</v>
      </c>
      <c r="AI20" s="920" t="s">
        <v>612</v>
      </c>
    </row>
    <row r="21" s="920" customFormat="true" ht="20.25" hidden="false" customHeight="true" outlineLevel="0" collapsed="false">
      <c r="B21" s="920" t="s">
        <v>613</v>
      </c>
      <c r="G21" s="1253"/>
      <c r="I21" s="920" t="s">
        <v>614</v>
      </c>
      <c r="Q21" s="920" t="s">
        <v>614</v>
      </c>
      <c r="AA21" s="920" t="s">
        <v>614</v>
      </c>
      <c r="AI21" s="920" t="s">
        <v>614</v>
      </c>
    </row>
    <row r="22" s="920" customFormat="true" ht="20.25" hidden="false" customHeight="true" outlineLevel="0" collapsed="false">
      <c r="B22" s="920" t="s">
        <v>615</v>
      </c>
      <c r="I22" s="920" t="s">
        <v>616</v>
      </c>
      <c r="Q22" s="920" t="s">
        <v>617</v>
      </c>
      <c r="AA22" s="920" t="s">
        <v>617</v>
      </c>
      <c r="AI22" s="920" t="s">
        <v>618</v>
      </c>
    </row>
    <row r="23" s="920" customFormat="true" ht="20.25" hidden="false" customHeight="true" outlineLevel="0" collapsed="false">
      <c r="B23" s="920" t="s">
        <v>619</v>
      </c>
      <c r="I23" s="920" t="s">
        <v>619</v>
      </c>
      <c r="Q23" s="920" t="s">
        <v>620</v>
      </c>
      <c r="AA23" s="920" t="s">
        <v>621</v>
      </c>
      <c r="AI23" s="920" t="s">
        <v>622</v>
      </c>
    </row>
    <row r="24" s="920" customFormat="true" ht="14.25" hidden="false" customHeight="true" outlineLevel="0" collapsed="false">
      <c r="AI24" s="1254" t="n">
        <f aca="false">AP7</f>
        <v>0.024</v>
      </c>
      <c r="AJ24" s="1254"/>
      <c r="AK24" s="1255" t="s">
        <v>623</v>
      </c>
      <c r="AL24" s="1256"/>
    </row>
    <row r="25" s="920" customFormat="true" ht="14.25" hidden="false" customHeight="true" outlineLevel="0" collapsed="false"/>
    <row r="26" customFormat="false" ht="24.75" hidden="false" customHeight="true" outlineLevel="0" collapsed="false">
      <c r="B26" s="1201" t="s">
        <v>624</v>
      </c>
      <c r="C26" s="1201"/>
      <c r="D26" s="1201"/>
      <c r="E26" s="1201"/>
      <c r="F26" s="1201"/>
      <c r="I26" s="1201" t="s">
        <v>625</v>
      </c>
      <c r="J26" s="1201"/>
      <c r="K26" s="1201"/>
      <c r="L26" s="1201"/>
      <c r="M26" s="1201"/>
      <c r="N26" s="1201"/>
      <c r="Q26" s="1201" t="s">
        <v>624</v>
      </c>
      <c r="R26" s="1201"/>
      <c r="S26" s="1201"/>
      <c r="T26" s="1201"/>
      <c r="U26" s="1201"/>
      <c r="V26" s="1201"/>
      <c r="W26" s="1201"/>
      <c r="X26" s="1201"/>
      <c r="AA26" s="1207" t="s">
        <v>626</v>
      </c>
      <c r="AB26" s="1207"/>
      <c r="AC26" s="1207"/>
      <c r="AD26" s="1207"/>
      <c r="AE26" s="1207"/>
      <c r="AF26" s="1207"/>
      <c r="AI26" s="1201" t="s">
        <v>624</v>
      </c>
      <c r="AJ26" s="1201"/>
      <c r="AK26" s="1201"/>
      <c r="AL26" s="1201"/>
      <c r="AM26" s="1201"/>
      <c r="AN26" s="1201"/>
      <c r="AO26" s="1201"/>
      <c r="AP26" s="1201"/>
    </row>
    <row r="27" customFormat="false" ht="24.75" hidden="false" customHeight="true" outlineLevel="0" collapsed="false">
      <c r="B27" s="1257" t="s">
        <v>627</v>
      </c>
      <c r="F27" s="1216" t="s">
        <v>571</v>
      </c>
      <c r="I27" s="1257" t="s">
        <v>627</v>
      </c>
      <c r="N27" s="1216" t="s">
        <v>571</v>
      </c>
      <c r="Q27" s="1257" t="s">
        <v>627</v>
      </c>
      <c r="X27" s="1216" t="s">
        <v>571</v>
      </c>
      <c r="AA27" s="1257" t="s">
        <v>627</v>
      </c>
      <c r="AF27" s="1216" t="s">
        <v>571</v>
      </c>
      <c r="AI27" s="1257" t="s">
        <v>627</v>
      </c>
      <c r="AP27" s="1216" t="s">
        <v>571</v>
      </c>
    </row>
    <row r="28" customFormat="false" ht="24.75" hidden="false" customHeight="true" outlineLevel="0" collapsed="false">
      <c r="B28" s="1221" t="s">
        <v>572</v>
      </c>
      <c r="C28" s="1221"/>
      <c r="D28" s="1221" t="s">
        <v>628</v>
      </c>
      <c r="E28" s="1221"/>
      <c r="F28" s="1221"/>
      <c r="I28" s="1221" t="s">
        <v>572</v>
      </c>
      <c r="J28" s="1221"/>
      <c r="K28" s="1258" t="s">
        <v>629</v>
      </c>
      <c r="L28" s="1258"/>
      <c r="M28" s="1258"/>
      <c r="N28" s="1258"/>
      <c r="Q28" s="1221" t="s">
        <v>572</v>
      </c>
      <c r="R28" s="1221"/>
      <c r="S28" s="1221" t="s">
        <v>630</v>
      </c>
      <c r="T28" s="1221"/>
      <c r="U28" s="1221"/>
      <c r="V28" s="1221"/>
      <c r="W28" s="1221"/>
      <c r="X28" s="1221"/>
      <c r="AA28" s="1221" t="s">
        <v>576</v>
      </c>
      <c r="AB28" s="1221" t="s">
        <v>631</v>
      </c>
      <c r="AC28" s="1221"/>
      <c r="AD28" s="1221"/>
      <c r="AE28" s="1221"/>
      <c r="AF28" s="1221"/>
      <c r="AI28" s="1221" t="s">
        <v>572</v>
      </c>
      <c r="AJ28" s="1221"/>
      <c r="AK28" s="1221" t="s">
        <v>632</v>
      </c>
      <c r="AL28" s="1221"/>
      <c r="AM28" s="1221"/>
      <c r="AN28" s="1221"/>
      <c r="AO28" s="1221"/>
      <c r="AP28" s="1221"/>
    </row>
    <row r="29" customFormat="false" ht="24.75" hidden="false" customHeight="true" outlineLevel="0" collapsed="false">
      <c r="B29" s="1221"/>
      <c r="C29" s="1221"/>
      <c r="D29" s="1259" t="s">
        <v>580</v>
      </c>
      <c r="E29" s="1228" t="s">
        <v>581</v>
      </c>
      <c r="F29" s="1221" t="s">
        <v>582</v>
      </c>
      <c r="I29" s="1221"/>
      <c r="J29" s="1221"/>
      <c r="K29" s="1260" t="s">
        <v>633</v>
      </c>
      <c r="L29" s="1221" t="s">
        <v>634</v>
      </c>
      <c r="M29" s="1221"/>
      <c r="N29" s="1221" t="s">
        <v>635</v>
      </c>
      <c r="Q29" s="1221"/>
      <c r="R29" s="1221"/>
      <c r="S29" s="1221" t="s">
        <v>636</v>
      </c>
      <c r="T29" s="1221"/>
      <c r="U29" s="1221" t="s">
        <v>637</v>
      </c>
      <c r="V29" s="1221"/>
      <c r="W29" s="1221" t="s">
        <v>638</v>
      </c>
      <c r="X29" s="1221"/>
      <c r="AA29" s="1221"/>
      <c r="AB29" s="1261" t="s">
        <v>636</v>
      </c>
      <c r="AC29" s="1262" t="s">
        <v>637</v>
      </c>
      <c r="AD29" s="1262"/>
      <c r="AE29" s="1262" t="s">
        <v>638</v>
      </c>
      <c r="AF29" s="1262"/>
      <c r="AI29" s="1221"/>
      <c r="AJ29" s="1221"/>
      <c r="AK29" s="1221" t="s">
        <v>639</v>
      </c>
      <c r="AL29" s="1221"/>
      <c r="AM29" s="1221" t="s">
        <v>640</v>
      </c>
      <c r="AN29" s="1221"/>
      <c r="AO29" s="1221" t="s">
        <v>641</v>
      </c>
      <c r="AP29" s="1221"/>
    </row>
    <row r="30" customFormat="false" ht="24.75" hidden="false" customHeight="true" outlineLevel="0" collapsed="false">
      <c r="B30" s="1263" t="s">
        <v>642</v>
      </c>
      <c r="C30" s="1263"/>
      <c r="D30" s="1264"/>
      <c r="E30" s="1264"/>
      <c r="F30" s="1264"/>
      <c r="I30" s="1263" t="s">
        <v>642</v>
      </c>
      <c r="J30" s="1263"/>
      <c r="K30" s="1265"/>
      <c r="L30" s="1265"/>
      <c r="M30" s="1265"/>
      <c r="N30" s="1265"/>
      <c r="Q30" s="1263" t="s">
        <v>642</v>
      </c>
      <c r="R30" s="1263"/>
      <c r="S30" s="1265"/>
      <c r="T30" s="1265"/>
      <c r="U30" s="1265"/>
      <c r="V30" s="1265"/>
      <c r="W30" s="1265"/>
      <c r="X30" s="1265"/>
      <c r="AA30" s="1263" t="s">
        <v>643</v>
      </c>
      <c r="AB30" s="1264"/>
      <c r="AC30" s="1263"/>
      <c r="AD30" s="1263"/>
      <c r="AE30" s="1263"/>
      <c r="AF30" s="1263"/>
      <c r="AI30" s="1263" t="s">
        <v>642</v>
      </c>
      <c r="AJ30" s="1263"/>
      <c r="AK30" s="1265"/>
      <c r="AL30" s="1265"/>
      <c r="AM30" s="1265"/>
      <c r="AN30" s="1265"/>
      <c r="AO30" s="1265"/>
      <c r="AP30" s="1265"/>
    </row>
    <row r="31" customFormat="false" ht="24.75" hidden="false" customHeight="true" outlineLevel="0" collapsed="false">
      <c r="B31" s="1263" t="s">
        <v>644</v>
      </c>
      <c r="C31" s="1263"/>
      <c r="D31" s="1266"/>
      <c r="E31" s="1264"/>
      <c r="F31" s="1264"/>
      <c r="I31" s="1263" t="s">
        <v>644</v>
      </c>
      <c r="J31" s="1263"/>
      <c r="K31" s="1265"/>
      <c r="L31" s="1265"/>
      <c r="M31" s="1265"/>
      <c r="N31" s="1265"/>
      <c r="Q31" s="1263" t="s">
        <v>644</v>
      </c>
      <c r="R31" s="1263"/>
      <c r="S31" s="1265"/>
      <c r="T31" s="1265"/>
      <c r="U31" s="1265"/>
      <c r="V31" s="1265"/>
      <c r="W31" s="1265"/>
      <c r="X31" s="1265"/>
      <c r="AA31" s="1263" t="s">
        <v>645</v>
      </c>
      <c r="AB31" s="1264"/>
      <c r="AC31" s="1263"/>
      <c r="AD31" s="1263"/>
      <c r="AE31" s="1263"/>
      <c r="AF31" s="1263"/>
      <c r="AI31" s="1263" t="s">
        <v>644</v>
      </c>
      <c r="AJ31" s="1263"/>
      <c r="AK31" s="1265"/>
      <c r="AL31" s="1265"/>
      <c r="AM31" s="1265"/>
      <c r="AN31" s="1265"/>
      <c r="AO31" s="1265"/>
      <c r="AP31" s="1265"/>
    </row>
    <row r="32" customFormat="false" ht="24.75" hidden="false" customHeight="true" outlineLevel="0" collapsed="false">
      <c r="B32" s="1263" t="s">
        <v>646</v>
      </c>
      <c r="C32" s="1263"/>
      <c r="D32" s="1264"/>
      <c r="E32" s="1264"/>
      <c r="F32" s="1264"/>
      <c r="I32" s="1263" t="s">
        <v>646</v>
      </c>
      <c r="J32" s="1263"/>
      <c r="K32" s="1265"/>
      <c r="L32" s="1265"/>
      <c r="M32" s="1265"/>
      <c r="N32" s="1265"/>
      <c r="Q32" s="1263" t="s">
        <v>646</v>
      </c>
      <c r="R32" s="1263"/>
      <c r="S32" s="1265"/>
      <c r="T32" s="1265"/>
      <c r="U32" s="1265"/>
      <c r="V32" s="1265"/>
      <c r="W32" s="1265"/>
      <c r="X32" s="1265"/>
      <c r="AA32" s="1263" t="s">
        <v>647</v>
      </c>
      <c r="AB32" s="1264"/>
      <c r="AC32" s="1263"/>
      <c r="AD32" s="1263"/>
      <c r="AE32" s="1263"/>
      <c r="AF32" s="1263"/>
      <c r="AI32" s="1263" t="s">
        <v>646</v>
      </c>
      <c r="AJ32" s="1263"/>
      <c r="AK32" s="1265"/>
      <c r="AL32" s="1265"/>
      <c r="AM32" s="1265"/>
      <c r="AN32" s="1265"/>
      <c r="AO32" s="1265"/>
      <c r="AP32" s="1265"/>
    </row>
    <row r="33" customFormat="false" ht="24.75" hidden="false" customHeight="true" outlineLevel="0" collapsed="false">
      <c r="B33" s="1263" t="s">
        <v>648</v>
      </c>
      <c r="C33" s="1263"/>
      <c r="D33" s="1264"/>
      <c r="E33" s="1264"/>
      <c r="F33" s="1264"/>
      <c r="I33" s="1263" t="s">
        <v>648</v>
      </c>
      <c r="J33" s="1263"/>
      <c r="K33" s="1265"/>
      <c r="L33" s="1265"/>
      <c r="M33" s="1265"/>
      <c r="N33" s="1265"/>
      <c r="Q33" s="1263" t="s">
        <v>648</v>
      </c>
      <c r="R33" s="1263"/>
      <c r="S33" s="1265"/>
      <c r="T33" s="1265"/>
      <c r="U33" s="1265"/>
      <c r="V33" s="1265"/>
      <c r="W33" s="1265"/>
      <c r="X33" s="1265"/>
      <c r="AA33" s="1263" t="s">
        <v>649</v>
      </c>
      <c r="AB33" s="1264"/>
      <c r="AC33" s="1263"/>
      <c r="AD33" s="1263"/>
      <c r="AE33" s="1263"/>
      <c r="AF33" s="1263"/>
      <c r="AI33" s="1263" t="s">
        <v>648</v>
      </c>
      <c r="AJ33" s="1263"/>
      <c r="AK33" s="1265"/>
      <c r="AL33" s="1265"/>
      <c r="AM33" s="1265"/>
      <c r="AN33" s="1265"/>
      <c r="AO33" s="1265"/>
      <c r="AP33" s="1265"/>
    </row>
    <row r="34" customFormat="false" ht="24.75" hidden="false" customHeight="true" outlineLevel="0" collapsed="false">
      <c r="B34" s="1221" t="s">
        <v>582</v>
      </c>
      <c r="C34" s="1221"/>
      <c r="D34" s="1267"/>
      <c r="E34" s="1267"/>
      <c r="F34" s="1268"/>
      <c r="I34" s="1221" t="s">
        <v>582</v>
      </c>
      <c r="J34" s="1221"/>
      <c r="K34" s="1265"/>
      <c r="L34" s="1265"/>
      <c r="M34" s="1265"/>
      <c r="N34" s="1241"/>
      <c r="Q34" s="1221" t="s">
        <v>582</v>
      </c>
      <c r="R34" s="1221"/>
      <c r="S34" s="1265"/>
      <c r="T34" s="1265"/>
      <c r="U34" s="1265"/>
      <c r="V34" s="1265"/>
      <c r="W34" s="1265"/>
      <c r="X34" s="1265"/>
      <c r="AA34" s="1221" t="s">
        <v>650</v>
      </c>
      <c r="AB34" s="1264"/>
      <c r="AC34" s="1263"/>
      <c r="AD34" s="1263"/>
      <c r="AE34" s="1263"/>
      <c r="AF34" s="1263"/>
      <c r="AI34" s="1221" t="s">
        <v>582</v>
      </c>
      <c r="AJ34" s="1221"/>
      <c r="AK34" s="1265"/>
      <c r="AL34" s="1265"/>
      <c r="AM34" s="1265"/>
      <c r="AN34" s="1265"/>
      <c r="AO34" s="1265"/>
      <c r="AP34" s="1265"/>
    </row>
    <row r="35" s="920" customFormat="true" ht="17.25" hidden="false" customHeight="true" outlineLevel="0" collapsed="false">
      <c r="B35" s="1198" t="s">
        <v>563</v>
      </c>
      <c r="C35" s="1199"/>
      <c r="D35" s="1199"/>
      <c r="E35" s="1199"/>
      <c r="F35" s="1199"/>
      <c r="G35" s="1200"/>
      <c r="H35" s="1199"/>
      <c r="I35" s="1198" t="s">
        <v>563</v>
      </c>
      <c r="J35" s="1199"/>
      <c r="K35" s="1199"/>
      <c r="L35" s="1199"/>
      <c r="M35" s="1199"/>
      <c r="N35" s="1199"/>
      <c r="O35" s="1199"/>
      <c r="P35" s="1199"/>
      <c r="Q35" s="1198" t="s">
        <v>563</v>
      </c>
      <c r="R35" s="1199"/>
      <c r="S35" s="1199"/>
      <c r="T35" s="1199"/>
      <c r="U35" s="1199"/>
      <c r="V35" s="1199"/>
      <c r="W35" s="1199"/>
      <c r="X35" s="1199"/>
      <c r="Y35" s="1199"/>
      <c r="Z35" s="1199"/>
      <c r="AB35" s="1199"/>
      <c r="AC35" s="1199"/>
      <c r="AD35" s="1199"/>
      <c r="AE35" s="1199"/>
      <c r="AF35" s="1199"/>
      <c r="AG35" s="1199"/>
      <c r="AH35" s="1199"/>
      <c r="AI35" s="1198" t="s">
        <v>564</v>
      </c>
      <c r="AJ35" s="1199"/>
      <c r="AK35" s="1199"/>
      <c r="AL35" s="1199"/>
      <c r="AM35" s="1199"/>
      <c r="AN35" s="1199"/>
      <c r="AO35" s="1199"/>
      <c r="AP35" s="1199"/>
    </row>
    <row r="36" customFormat="false" ht="24" hidden="false" customHeight="true" outlineLevel="0" collapsed="false">
      <c r="B36" s="1201" t="s">
        <v>565</v>
      </c>
      <c r="C36" s="1201"/>
      <c r="D36" s="1201"/>
      <c r="E36" s="1201"/>
      <c r="F36" s="1201"/>
      <c r="G36" s="1202"/>
      <c r="H36" s="1203"/>
      <c r="I36" s="1204" t="s">
        <v>566</v>
      </c>
      <c r="J36" s="1204"/>
      <c r="K36" s="1204"/>
      <c r="L36" s="1204"/>
      <c r="M36" s="1204"/>
      <c r="N36" s="1204"/>
      <c r="O36" s="1203"/>
      <c r="P36" s="1205"/>
      <c r="Q36" s="1206" t="s">
        <v>567</v>
      </c>
      <c r="R36" s="1206"/>
      <c r="S36" s="1206"/>
      <c r="T36" s="1206"/>
      <c r="U36" s="1206"/>
      <c r="V36" s="1206"/>
      <c r="W36" s="1206"/>
      <c r="X36" s="1206"/>
      <c r="Y36" s="1203"/>
      <c r="Z36" s="1203"/>
      <c r="AA36" s="1207" t="s">
        <v>568</v>
      </c>
      <c r="AB36" s="1207"/>
      <c r="AC36" s="1207"/>
      <c r="AD36" s="1207"/>
      <c r="AE36" s="1207"/>
      <c r="AF36" s="1207"/>
      <c r="AG36" s="1203"/>
      <c r="AH36" s="1203"/>
      <c r="AI36" s="1201" t="s">
        <v>569</v>
      </c>
      <c r="AJ36" s="1201"/>
      <c r="AK36" s="1201"/>
      <c r="AL36" s="1201"/>
      <c r="AM36" s="1201"/>
      <c r="AN36" s="1201"/>
      <c r="AO36" s="1201"/>
      <c r="AP36" s="1201"/>
    </row>
    <row r="37" customFormat="false" ht="32.25" hidden="false" customHeight="true" outlineLevel="0" collapsed="false">
      <c r="F37" s="1208" t="s">
        <v>570</v>
      </c>
      <c r="G37" s="1209"/>
      <c r="L37" s="1203"/>
      <c r="M37" s="1210"/>
      <c r="N37" s="1208" t="s">
        <v>570</v>
      </c>
      <c r="U37" s="1203"/>
      <c r="V37" s="1203"/>
      <c r="W37" s="1203"/>
      <c r="X37" s="1208" t="s">
        <v>570</v>
      </c>
      <c r="AD37" s="1203"/>
      <c r="AE37" s="1203"/>
      <c r="AF37" s="1208" t="s">
        <v>570</v>
      </c>
      <c r="AM37" s="1203"/>
      <c r="AN37" s="1203"/>
      <c r="AO37" s="1203"/>
      <c r="AP37" s="1208" t="s">
        <v>570</v>
      </c>
    </row>
    <row r="38" customFormat="false" ht="23.25" hidden="false" customHeight="true" outlineLevel="0" collapsed="false">
      <c r="E38" s="1211"/>
      <c r="F38" s="1212"/>
      <c r="G38" s="1209"/>
      <c r="L38" s="1211"/>
      <c r="M38" s="1211"/>
      <c r="N38" s="1212"/>
      <c r="U38" s="1211"/>
      <c r="V38" s="1211"/>
      <c r="W38" s="1211"/>
      <c r="X38" s="1212"/>
      <c r="AD38" s="1211"/>
      <c r="AE38" s="1211"/>
      <c r="AF38" s="1212"/>
      <c r="AM38" s="1211"/>
      <c r="AN38" s="1211"/>
      <c r="AO38" s="1211"/>
      <c r="AP38" s="1212"/>
    </row>
    <row r="39" customFormat="false" ht="24.75" hidden="false" customHeight="true" outlineLevel="0" collapsed="false">
      <c r="B39" s="1269" t="str">
        <f aca="false">'☆掛負収入'!A2</f>
        <v>令和8年度</v>
      </c>
      <c r="C39" s="1270"/>
      <c r="D39" s="1271"/>
      <c r="E39" s="1272"/>
      <c r="F39" s="1216" t="s">
        <v>571</v>
      </c>
      <c r="G39" s="1209"/>
      <c r="I39" s="1273" t="s">
        <v>651</v>
      </c>
      <c r="M39" s="1218" t="s">
        <v>571</v>
      </c>
      <c r="Q39" s="1273" t="s">
        <v>651</v>
      </c>
      <c r="X39" s="1216" t="s">
        <v>571</v>
      </c>
      <c r="AA39" s="1274" t="str">
        <f aca="false">'☆掛負収入'!A2</f>
        <v>令和8年度</v>
      </c>
      <c r="AF39" s="1218" t="s">
        <v>571</v>
      </c>
      <c r="AI39" s="1273" t="s">
        <v>651</v>
      </c>
      <c r="AP39" s="1216" t="s">
        <v>571</v>
      </c>
    </row>
    <row r="40" customFormat="false" ht="26.25" hidden="false" customHeight="true" outlineLevel="0" collapsed="false">
      <c r="B40" s="1221" t="s">
        <v>572</v>
      </c>
      <c r="C40" s="1221"/>
      <c r="D40" s="1222" t="s">
        <v>573</v>
      </c>
      <c r="E40" s="1222"/>
      <c r="F40" s="1223" t="n">
        <f aca="false">F6</f>
        <v>5.46</v>
      </c>
      <c r="G40" s="1209"/>
      <c r="I40" s="1221" t="s">
        <v>572</v>
      </c>
      <c r="J40" s="1221"/>
      <c r="K40" s="1224" t="s">
        <v>574</v>
      </c>
      <c r="L40" s="1224"/>
      <c r="M40" s="1275" t="n">
        <f aca="false">M6</f>
        <v>0.05</v>
      </c>
      <c r="N40" s="1209"/>
      <c r="Q40" s="1221" t="s">
        <v>572</v>
      </c>
      <c r="R40" s="1221"/>
      <c r="S40" s="1221" t="s">
        <v>575</v>
      </c>
      <c r="T40" s="1221"/>
      <c r="U40" s="1221"/>
      <c r="V40" s="1226" t="s">
        <v>574</v>
      </c>
      <c r="W40" s="1226"/>
      <c r="X40" s="1276" t="n">
        <f aca="false">X6</f>
        <v>1.1</v>
      </c>
      <c r="AA40" s="1221" t="s">
        <v>576</v>
      </c>
      <c r="AB40" s="1228" t="s">
        <v>577</v>
      </c>
      <c r="AC40" s="1228"/>
      <c r="AD40" s="1226" t="s">
        <v>578</v>
      </c>
      <c r="AE40" s="1226"/>
      <c r="AF40" s="1276" t="n">
        <f aca="false">AF6</f>
        <v>0.2</v>
      </c>
      <c r="AI40" s="1221" t="s">
        <v>572</v>
      </c>
      <c r="AJ40" s="1221"/>
      <c r="AK40" s="1221" t="s">
        <v>575</v>
      </c>
      <c r="AL40" s="1221"/>
      <c r="AM40" s="1221"/>
      <c r="AN40" s="1229" t="s">
        <v>579</v>
      </c>
      <c r="AO40" s="1229"/>
      <c r="AP40" s="1229"/>
    </row>
    <row r="41" customFormat="false" ht="26.25" hidden="false" customHeight="true" outlineLevel="0" collapsed="false">
      <c r="B41" s="1221"/>
      <c r="C41" s="1221"/>
      <c r="D41" s="1228" t="s">
        <v>580</v>
      </c>
      <c r="E41" s="1228" t="s">
        <v>581</v>
      </c>
      <c r="F41" s="1230" t="s">
        <v>582</v>
      </c>
      <c r="G41" s="1231"/>
      <c r="H41" s="1209"/>
      <c r="I41" s="1221"/>
      <c r="J41" s="1221"/>
      <c r="K41" s="1224"/>
      <c r="L41" s="1224"/>
      <c r="M41" s="1275"/>
      <c r="N41" s="1209"/>
      <c r="Q41" s="1221"/>
      <c r="R41" s="1221"/>
      <c r="S41" s="1221"/>
      <c r="T41" s="1221"/>
      <c r="U41" s="1221"/>
      <c r="V41" s="1226"/>
      <c r="W41" s="1226"/>
      <c r="X41" s="1276"/>
      <c r="AA41" s="1221"/>
      <c r="AB41" s="1228"/>
      <c r="AC41" s="1228"/>
      <c r="AD41" s="1226"/>
      <c r="AE41" s="1226"/>
      <c r="AF41" s="1276"/>
      <c r="AI41" s="1221"/>
      <c r="AJ41" s="1221"/>
      <c r="AK41" s="1221"/>
      <c r="AL41" s="1221"/>
      <c r="AM41" s="1221"/>
      <c r="AN41" s="1232" t="s">
        <v>583</v>
      </c>
      <c r="AO41" s="1232"/>
      <c r="AP41" s="1233" t="n">
        <f aca="false">AP7</f>
        <v>0.024</v>
      </c>
    </row>
    <row r="42" customFormat="false" ht="26.25" hidden="false" customHeight="true" outlineLevel="0" collapsed="false">
      <c r="B42" s="1091" t="s">
        <v>584</v>
      </c>
      <c r="C42" s="1090" t="s">
        <v>652</v>
      </c>
      <c r="D42" s="1235" t="n">
        <f aca="false">D13</f>
        <v>86406179</v>
      </c>
      <c r="E42" s="1235" t="n">
        <f aca="false">E13</f>
        <v>11759303</v>
      </c>
      <c r="F42" s="1235" t="n">
        <f aca="false">SUM(D42:E42)</f>
        <v>98165482</v>
      </c>
      <c r="G42" s="1231"/>
      <c r="H42" s="1209"/>
      <c r="I42" s="1236" t="s">
        <v>586</v>
      </c>
      <c r="J42" s="1237" t="s">
        <v>652</v>
      </c>
      <c r="K42" s="1241" t="n">
        <f aca="false">K13</f>
        <v>929791</v>
      </c>
      <c r="L42" s="1241"/>
      <c r="M42" s="1241"/>
      <c r="N42" s="1239"/>
      <c r="O42" s="1209"/>
      <c r="P42" s="1209"/>
      <c r="Q42" s="1236" t="s">
        <v>586</v>
      </c>
      <c r="R42" s="1237" t="s">
        <v>652</v>
      </c>
      <c r="S42" s="1241" t="n">
        <f aca="false">S13</f>
        <v>18622020000</v>
      </c>
      <c r="T42" s="1241"/>
      <c r="U42" s="1241"/>
      <c r="V42" s="1241" t="n">
        <f aca="false">ROUNDDOWN(S42*X40/1000,0)</f>
        <v>20484222</v>
      </c>
      <c r="W42" s="1241"/>
      <c r="X42" s="1241"/>
      <c r="Y42" s="1231"/>
      <c r="Z42" s="1209"/>
      <c r="AA42" s="1221" t="s">
        <v>653</v>
      </c>
      <c r="AB42" s="1240" t="n">
        <f aca="false">'☆振替R7'!B150</f>
        <v>6869574000</v>
      </c>
      <c r="AC42" s="1240"/>
      <c r="AD42" s="1241" t="n">
        <f aca="false">ROUNDDOWN(AB42*AF40/1000,0)</f>
        <v>1373914</v>
      </c>
      <c r="AE42" s="1241"/>
      <c r="AF42" s="1241"/>
      <c r="AG42" s="1209"/>
      <c r="AH42" s="1209"/>
      <c r="AI42" s="1236" t="s">
        <v>586</v>
      </c>
      <c r="AJ42" s="1237" t="s">
        <v>652</v>
      </c>
      <c r="AK42" s="1241" t="n">
        <f aca="false">AK13</f>
        <v>18622020000</v>
      </c>
      <c r="AL42" s="1241"/>
      <c r="AM42" s="1241"/>
      <c r="AN42" s="1241" t="n">
        <f aca="false">ROUNDDOWN(AK42*AP41/1000,0)</f>
        <v>446928</v>
      </c>
      <c r="AO42" s="1241"/>
      <c r="AP42" s="1241"/>
    </row>
    <row r="43" customFormat="false" ht="26.25" hidden="false" customHeight="true" outlineLevel="0" collapsed="false">
      <c r="B43" s="1091"/>
      <c r="C43" s="1090" t="s">
        <v>654</v>
      </c>
      <c r="D43" s="1235" t="n">
        <f aca="false">D42</f>
        <v>86406179</v>
      </c>
      <c r="E43" s="1235" t="n">
        <f aca="false">E42</f>
        <v>11759303</v>
      </c>
      <c r="F43" s="1235" t="n">
        <f aca="false">SUM(D43:E43)</f>
        <v>98165482</v>
      </c>
      <c r="G43" s="1231"/>
      <c r="H43" s="1209"/>
      <c r="I43" s="1236"/>
      <c r="J43" s="1237" t="s">
        <v>655</v>
      </c>
      <c r="K43" s="1241" t="n">
        <f aca="false">K42</f>
        <v>929791</v>
      </c>
      <c r="L43" s="1241"/>
      <c r="M43" s="1241"/>
      <c r="N43" s="1239"/>
      <c r="Q43" s="1236"/>
      <c r="R43" s="1237" t="s">
        <v>655</v>
      </c>
      <c r="S43" s="1241" t="n">
        <f aca="false">S42</f>
        <v>18622020000</v>
      </c>
      <c r="T43" s="1241"/>
      <c r="U43" s="1241"/>
      <c r="V43" s="1241" t="n">
        <f aca="false">ROUNDDOWN(S43*X40/1000,0)</f>
        <v>20484222</v>
      </c>
      <c r="W43" s="1241"/>
      <c r="X43" s="1241"/>
      <c r="Y43" s="1231"/>
      <c r="AA43" s="1221"/>
      <c r="AB43" s="1240"/>
      <c r="AC43" s="1240"/>
      <c r="AD43" s="1241"/>
      <c r="AE43" s="1241"/>
      <c r="AF43" s="1241"/>
      <c r="AI43" s="1236"/>
      <c r="AJ43" s="1237" t="s">
        <v>655</v>
      </c>
      <c r="AK43" s="1241" t="n">
        <f aca="false">AK42</f>
        <v>18622020000</v>
      </c>
      <c r="AL43" s="1241"/>
      <c r="AM43" s="1241"/>
      <c r="AN43" s="1241" t="n">
        <f aca="false">ROUNDDOWN(AK43*AP41/1000,0)</f>
        <v>446928</v>
      </c>
      <c r="AO43" s="1241"/>
      <c r="AP43" s="1241"/>
    </row>
    <row r="44" customFormat="false" ht="26.25" hidden="false" customHeight="true" outlineLevel="0" collapsed="false">
      <c r="B44" s="1221" t="s">
        <v>590</v>
      </c>
      <c r="C44" s="1221"/>
      <c r="D44" s="1235" t="n">
        <f aca="false">D42-D43</f>
        <v>0</v>
      </c>
      <c r="E44" s="1235" t="n">
        <f aca="false">E42-E43</f>
        <v>0</v>
      </c>
      <c r="F44" s="1235" t="n">
        <f aca="false">F42-F43</f>
        <v>0</v>
      </c>
      <c r="G44" s="1231"/>
      <c r="I44" s="1221" t="s">
        <v>591</v>
      </c>
      <c r="J44" s="1221"/>
      <c r="K44" s="1241" t="n">
        <f aca="false">K42-K43</f>
        <v>0</v>
      </c>
      <c r="L44" s="1241"/>
      <c r="M44" s="1241"/>
      <c r="N44" s="1239"/>
      <c r="Q44" s="1221" t="s">
        <v>591</v>
      </c>
      <c r="R44" s="1221"/>
      <c r="S44" s="1241" t="n">
        <f aca="false">S42-S43</f>
        <v>0</v>
      </c>
      <c r="T44" s="1241"/>
      <c r="U44" s="1241"/>
      <c r="V44" s="1241" t="n">
        <f aca="false">V42-V43</f>
        <v>0</v>
      </c>
      <c r="W44" s="1241"/>
      <c r="X44" s="1241"/>
      <c r="AA44" s="1221" t="s">
        <v>656</v>
      </c>
      <c r="AB44" s="1240" t="n">
        <f aca="false">'☆振替R7'!B181</f>
        <v>6810137000</v>
      </c>
      <c r="AC44" s="1240"/>
      <c r="AD44" s="1241" t="n">
        <f aca="false">ROUNDDOWN(AB44*AF40/1000,0)</f>
        <v>1362027</v>
      </c>
      <c r="AE44" s="1241"/>
      <c r="AF44" s="1241"/>
      <c r="AI44" s="1221" t="s">
        <v>591</v>
      </c>
      <c r="AJ44" s="1221"/>
      <c r="AK44" s="1241" t="n">
        <f aca="false">AK42-AK43</f>
        <v>0</v>
      </c>
      <c r="AL44" s="1241"/>
      <c r="AM44" s="1241"/>
      <c r="AN44" s="1241" t="n">
        <f aca="false">AN42-AN43</f>
        <v>0</v>
      </c>
      <c r="AO44" s="1241"/>
      <c r="AP44" s="1241"/>
    </row>
    <row r="45" customFormat="false" ht="26.25" hidden="false" customHeight="true" outlineLevel="0" collapsed="false">
      <c r="B45" s="1246" t="s">
        <v>657</v>
      </c>
      <c r="C45" s="1247" t="s">
        <v>594</v>
      </c>
      <c r="D45" s="1235" t="n">
        <f aca="false">'☆振替R7'!D134:E134+'☆振替R7'!D145</f>
        <v>31874827</v>
      </c>
      <c r="E45" s="1235" t="n">
        <f aca="false">'☆振替R7'!E145</f>
        <v>4136470</v>
      </c>
      <c r="F45" s="1235" t="n">
        <f aca="false">SUM(D45:E45)</f>
        <v>36011297</v>
      </c>
      <c r="G45" s="1231"/>
      <c r="I45" s="1246" t="s">
        <v>657</v>
      </c>
      <c r="J45" s="1247" t="s">
        <v>594</v>
      </c>
      <c r="K45" s="1241" t="n">
        <f aca="false">'☆振替R7'!F145</f>
        <v>342976</v>
      </c>
      <c r="L45" s="1241"/>
      <c r="M45" s="1241"/>
      <c r="N45" s="1239"/>
      <c r="Q45" s="1246" t="s">
        <v>657</v>
      </c>
      <c r="R45" s="1247" t="s">
        <v>594</v>
      </c>
      <c r="S45" s="1241" t="n">
        <f aca="false">'☆振替R7'!B150</f>
        <v>6869574000</v>
      </c>
      <c r="T45" s="1241"/>
      <c r="U45" s="1241"/>
      <c r="V45" s="1241" t="n">
        <f aca="false">ROUNDDOWN(S45*X40/1000,0)</f>
        <v>7556531</v>
      </c>
      <c r="W45" s="1241"/>
      <c r="X45" s="1241"/>
      <c r="AA45" s="1221"/>
      <c r="AB45" s="1240"/>
      <c r="AC45" s="1240"/>
      <c r="AD45" s="1241"/>
      <c r="AE45" s="1241"/>
      <c r="AF45" s="1241"/>
      <c r="AI45" s="1246" t="s">
        <v>657</v>
      </c>
      <c r="AJ45" s="1247" t="s">
        <v>594</v>
      </c>
      <c r="AK45" s="1241" t="n">
        <f aca="false">'☆振替R7'!B150</f>
        <v>6869574000</v>
      </c>
      <c r="AL45" s="1241"/>
      <c r="AM45" s="1241"/>
      <c r="AN45" s="1241" t="n">
        <f aca="false">ROUNDDOWN(AK45*AP41/1000,0)</f>
        <v>164869</v>
      </c>
      <c r="AO45" s="1241"/>
      <c r="AP45" s="1241"/>
    </row>
    <row r="46" customFormat="false" ht="26.25" hidden="false" customHeight="true" outlineLevel="0" collapsed="false">
      <c r="B46" s="1246" t="s">
        <v>658</v>
      </c>
      <c r="C46" s="1247" t="s">
        <v>596</v>
      </c>
      <c r="D46" s="1235" t="n">
        <f aca="false">'☆振替R7'!D165:E165+'☆振替R7'!D176</f>
        <v>31599041</v>
      </c>
      <c r="E46" s="1235" t="n">
        <f aca="false">'☆振替R7'!E176</f>
        <v>4089706</v>
      </c>
      <c r="F46" s="1235" t="n">
        <f aca="false">SUM(D46:E46)</f>
        <v>35688747</v>
      </c>
      <c r="G46" s="1231"/>
      <c r="I46" s="1246" t="s">
        <v>658</v>
      </c>
      <c r="J46" s="1247" t="s">
        <v>596</v>
      </c>
      <c r="K46" s="1241" t="n">
        <f aca="false">'☆振替R7'!F176</f>
        <v>339683</v>
      </c>
      <c r="L46" s="1241"/>
      <c r="M46" s="1241"/>
      <c r="N46" s="1239"/>
      <c r="Q46" s="1246" t="s">
        <v>658</v>
      </c>
      <c r="R46" s="1247" t="s">
        <v>596</v>
      </c>
      <c r="S46" s="1241" t="n">
        <f aca="false">'☆振替R7'!B181</f>
        <v>6810137000</v>
      </c>
      <c r="T46" s="1241"/>
      <c r="U46" s="1241"/>
      <c r="V46" s="1241" t="n">
        <f aca="false">ROUNDDOWN(S46*X40/1000,0)</f>
        <v>7491150</v>
      </c>
      <c r="W46" s="1241"/>
      <c r="X46" s="1241"/>
      <c r="AA46" s="1221" t="s">
        <v>659</v>
      </c>
      <c r="AB46" s="1240" t="n">
        <f aca="false">'☆振替R7'!B212</f>
        <v>6904166000</v>
      </c>
      <c r="AC46" s="1240"/>
      <c r="AD46" s="1241" t="n">
        <f aca="false">ROUNDDOWN(AB46*AF40/1000,0)</f>
        <v>1380833</v>
      </c>
      <c r="AE46" s="1241"/>
      <c r="AF46" s="1241"/>
      <c r="AI46" s="1246" t="s">
        <v>658</v>
      </c>
      <c r="AJ46" s="1247" t="s">
        <v>596</v>
      </c>
      <c r="AK46" s="1241" t="n">
        <f aca="false">'☆振替R7'!B181</f>
        <v>6810137000</v>
      </c>
      <c r="AL46" s="1241"/>
      <c r="AM46" s="1241"/>
      <c r="AN46" s="1241" t="n">
        <f aca="false">ROUNDDOWN(AK46*AP41/1000,0)</f>
        <v>163443</v>
      </c>
      <c r="AO46" s="1241"/>
      <c r="AP46" s="1241"/>
    </row>
    <row r="47" customFormat="false" ht="26.25" hidden="false" customHeight="true" outlineLevel="0" collapsed="false">
      <c r="B47" s="1246" t="s">
        <v>660</v>
      </c>
      <c r="C47" s="1247" t="s">
        <v>599</v>
      </c>
      <c r="D47" s="1235" t="n">
        <f aca="false">'☆振替R7'!D196:E196+'☆振替R7'!D207</f>
        <v>32035335</v>
      </c>
      <c r="E47" s="1235" t="n">
        <f aca="false">'☆振替R7'!E207</f>
        <v>4145893</v>
      </c>
      <c r="F47" s="1235" t="n">
        <f aca="false">SUM(D47:E47)</f>
        <v>36181228</v>
      </c>
      <c r="G47" s="1209"/>
      <c r="I47" s="1246" t="s">
        <v>660</v>
      </c>
      <c r="J47" s="1247" t="s">
        <v>600</v>
      </c>
      <c r="K47" s="1241" t="n">
        <f aca="false">'☆振替R7'!F207</f>
        <v>342892</v>
      </c>
      <c r="L47" s="1241"/>
      <c r="M47" s="1241"/>
      <c r="N47" s="1239"/>
      <c r="Q47" s="1246" t="s">
        <v>660</v>
      </c>
      <c r="R47" s="1247" t="s">
        <v>600</v>
      </c>
      <c r="S47" s="1241" t="n">
        <f aca="false">'☆振替R7'!B212</f>
        <v>6904166000</v>
      </c>
      <c r="T47" s="1241"/>
      <c r="U47" s="1241"/>
      <c r="V47" s="1241" t="n">
        <f aca="false">ROUNDDOWN(S47*X40/1000,0)</f>
        <v>7594582</v>
      </c>
      <c r="W47" s="1241"/>
      <c r="X47" s="1241"/>
      <c r="AA47" s="1221"/>
      <c r="AB47" s="1240"/>
      <c r="AC47" s="1240"/>
      <c r="AD47" s="1241"/>
      <c r="AE47" s="1241"/>
      <c r="AF47" s="1241"/>
      <c r="AI47" s="1246" t="s">
        <v>660</v>
      </c>
      <c r="AJ47" s="1247" t="s">
        <v>600</v>
      </c>
      <c r="AK47" s="1241" t="n">
        <f aca="false">'☆振替R7'!B212</f>
        <v>6904166000</v>
      </c>
      <c r="AL47" s="1241"/>
      <c r="AM47" s="1241"/>
      <c r="AN47" s="1241" t="n">
        <f aca="false">ROUNDDOWN(AK47*AP41/1000,0)</f>
        <v>165699</v>
      </c>
      <c r="AO47" s="1241"/>
      <c r="AP47" s="1241"/>
    </row>
    <row r="48" customFormat="false" ht="26.25" hidden="false" customHeight="true" outlineLevel="0" collapsed="false">
      <c r="B48" s="1221" t="s">
        <v>601</v>
      </c>
      <c r="C48" s="1221"/>
      <c r="D48" s="1235" t="n">
        <f aca="false">SUM(D45:D47)</f>
        <v>95509203</v>
      </c>
      <c r="E48" s="1235" t="n">
        <f aca="false">SUM(E45:E47)</f>
        <v>12372069</v>
      </c>
      <c r="F48" s="1235" t="n">
        <f aca="false">SUM(D48:E48)</f>
        <v>107881272</v>
      </c>
      <c r="G48" s="1209"/>
      <c r="I48" s="1221" t="s">
        <v>601</v>
      </c>
      <c r="J48" s="1221"/>
      <c r="K48" s="1241" t="n">
        <f aca="false">SUM(K45:M47)</f>
        <v>1025551</v>
      </c>
      <c r="L48" s="1241"/>
      <c r="M48" s="1241"/>
      <c r="N48" s="1239"/>
      <c r="Q48" s="1221" t="s">
        <v>601</v>
      </c>
      <c r="R48" s="1221"/>
      <c r="S48" s="1241" t="n">
        <f aca="false">SUM(S45:U47)</f>
        <v>20583877000</v>
      </c>
      <c r="T48" s="1241"/>
      <c r="U48" s="1241"/>
      <c r="V48" s="1241" t="n">
        <f aca="false">SUM(V45:X47)</f>
        <v>22642263</v>
      </c>
      <c r="W48" s="1241"/>
      <c r="X48" s="1241"/>
      <c r="AA48" s="1221" t="s">
        <v>375</v>
      </c>
      <c r="AB48" s="1240" t="n">
        <f aca="false">SUM(AB42:AC47)</f>
        <v>20583877000</v>
      </c>
      <c r="AC48" s="1240"/>
      <c r="AD48" s="1241" t="n">
        <f aca="false">SUM(AD42:AF47)</f>
        <v>4116774</v>
      </c>
      <c r="AE48" s="1241"/>
      <c r="AF48" s="1241"/>
      <c r="AI48" s="1221" t="s">
        <v>601</v>
      </c>
      <c r="AJ48" s="1221"/>
      <c r="AK48" s="1241" t="n">
        <f aca="false">SUM(AK45:AM47)</f>
        <v>20583877000</v>
      </c>
      <c r="AL48" s="1241"/>
      <c r="AM48" s="1241"/>
      <c r="AN48" s="1241" t="n">
        <f aca="false">SUM(AN45:AP47)</f>
        <v>494011</v>
      </c>
      <c r="AO48" s="1241"/>
      <c r="AP48" s="1241"/>
    </row>
    <row r="49" customFormat="false" ht="26.25" hidden="false" customHeight="true" outlineLevel="0" collapsed="false">
      <c r="B49" s="1221" t="s">
        <v>602</v>
      </c>
      <c r="C49" s="1221"/>
      <c r="D49" s="1235" t="n">
        <f aca="false">D44+D48</f>
        <v>95509203</v>
      </c>
      <c r="E49" s="1235" t="n">
        <f aca="false">E44+E48</f>
        <v>12372069</v>
      </c>
      <c r="F49" s="1248" t="n">
        <f aca="false">SUM(D49:E49)</f>
        <v>107881272</v>
      </c>
      <c r="G49" s="1209"/>
      <c r="I49" s="1221" t="s">
        <v>602</v>
      </c>
      <c r="J49" s="1221"/>
      <c r="K49" s="1241" t="n">
        <f aca="false">K44+K48</f>
        <v>1025551</v>
      </c>
      <c r="L49" s="1241"/>
      <c r="M49" s="1241"/>
      <c r="N49" s="1249"/>
      <c r="Q49" s="1221" t="s">
        <v>602</v>
      </c>
      <c r="R49" s="1221"/>
      <c r="S49" s="1241" t="n">
        <f aca="false">S44+S48</f>
        <v>20583877000</v>
      </c>
      <c r="T49" s="1241"/>
      <c r="U49" s="1241"/>
      <c r="V49" s="1250" t="n">
        <f aca="false">V44+V48</f>
        <v>22642263</v>
      </c>
      <c r="W49" s="1250"/>
      <c r="X49" s="1250"/>
      <c r="AA49" s="1221"/>
      <c r="AB49" s="1240"/>
      <c r="AC49" s="1240"/>
      <c r="AD49" s="1241"/>
      <c r="AE49" s="1241"/>
      <c r="AF49" s="1241"/>
      <c r="AI49" s="1221" t="s">
        <v>602</v>
      </c>
      <c r="AJ49" s="1221"/>
      <c r="AK49" s="1241" t="n">
        <f aca="false">AK44+AK48</f>
        <v>20583877000</v>
      </c>
      <c r="AL49" s="1241"/>
      <c r="AM49" s="1241"/>
      <c r="AN49" s="1250" t="n">
        <f aca="false">AN44+AN48</f>
        <v>494011</v>
      </c>
      <c r="AO49" s="1250"/>
      <c r="AP49" s="1250"/>
    </row>
    <row r="50" customFormat="false" ht="7.5" hidden="false" customHeight="true" outlineLevel="0" collapsed="false">
      <c r="G50" s="1209"/>
      <c r="N50" s="1209"/>
      <c r="AF50" s="1209"/>
    </row>
    <row r="51" s="920" customFormat="true" ht="20.25" hidden="false" customHeight="true" outlineLevel="0" collapsed="false">
      <c r="B51" s="1251" t="s">
        <v>603</v>
      </c>
      <c r="C51" s="1252"/>
      <c r="D51" s="1252"/>
      <c r="E51" s="1252"/>
      <c r="F51" s="1252"/>
      <c r="G51" s="1253"/>
      <c r="I51" s="1251" t="s">
        <v>603</v>
      </c>
      <c r="J51" s="1251"/>
      <c r="K51" s="1251"/>
      <c r="L51" s="1251"/>
      <c r="M51" s="1251"/>
      <c r="N51" s="1251"/>
      <c r="Q51" s="1251" t="s">
        <v>603</v>
      </c>
      <c r="R51" s="1251"/>
      <c r="S51" s="1251"/>
      <c r="T51" s="1251"/>
      <c r="U51" s="1251"/>
      <c r="V51" s="1251"/>
      <c r="W51" s="1252"/>
      <c r="X51" s="1252"/>
      <c r="AA51" s="1251" t="s">
        <v>603</v>
      </c>
      <c r="AB51" s="1252"/>
      <c r="AC51" s="1252"/>
      <c r="AD51" s="1252"/>
      <c r="AE51" s="1252"/>
      <c r="AF51" s="1252"/>
      <c r="AI51" s="1251" t="s">
        <v>604</v>
      </c>
      <c r="AJ51" s="1251"/>
      <c r="AK51" s="1251"/>
      <c r="AL51" s="1251"/>
      <c r="AM51" s="1251"/>
      <c r="AN51" s="1251"/>
      <c r="AO51" s="1252"/>
      <c r="AP51" s="1252"/>
    </row>
    <row r="52" s="920" customFormat="true" ht="20.25" hidden="false" customHeight="true" outlineLevel="0" collapsed="false">
      <c r="B52" s="920" t="s">
        <v>605</v>
      </c>
      <c r="G52" s="1253"/>
      <c r="I52" s="920" t="s">
        <v>606</v>
      </c>
      <c r="Q52" s="920" t="s">
        <v>606</v>
      </c>
      <c r="AA52" s="920" t="s">
        <v>606</v>
      </c>
      <c r="AI52" s="920" t="s">
        <v>606</v>
      </c>
    </row>
    <row r="53" s="920" customFormat="true" ht="20.25" hidden="false" customHeight="true" outlineLevel="0" collapsed="false">
      <c r="B53" s="920" t="s">
        <v>607</v>
      </c>
      <c r="G53" s="1253"/>
      <c r="H53" s="1253"/>
      <c r="I53" s="920" t="s">
        <v>608</v>
      </c>
      <c r="O53" s="1253"/>
      <c r="P53" s="1253"/>
      <c r="Q53" s="920" t="s">
        <v>609</v>
      </c>
      <c r="Y53" s="1253"/>
      <c r="Z53" s="1253"/>
      <c r="AA53" s="920" t="s">
        <v>609</v>
      </c>
      <c r="AG53" s="1253"/>
      <c r="AH53" s="1253"/>
      <c r="AI53" s="920" t="s">
        <v>609</v>
      </c>
    </row>
    <row r="54" s="920" customFormat="true" ht="20.25" hidden="false" customHeight="true" outlineLevel="0" collapsed="false">
      <c r="B54" s="920" t="s">
        <v>610</v>
      </c>
      <c r="G54" s="1253"/>
      <c r="I54" s="920" t="s">
        <v>611</v>
      </c>
      <c r="Q54" s="920" t="s">
        <v>612</v>
      </c>
      <c r="AA54" s="920" t="s">
        <v>612</v>
      </c>
      <c r="AI54" s="920" t="s">
        <v>612</v>
      </c>
    </row>
    <row r="55" s="920" customFormat="true" ht="20.25" hidden="false" customHeight="true" outlineLevel="0" collapsed="false">
      <c r="B55" s="920" t="s">
        <v>613</v>
      </c>
      <c r="G55" s="1253"/>
      <c r="I55" s="920" t="s">
        <v>614</v>
      </c>
      <c r="Q55" s="920" t="s">
        <v>614</v>
      </c>
      <c r="AA55" s="920" t="s">
        <v>614</v>
      </c>
      <c r="AI55" s="920" t="s">
        <v>614</v>
      </c>
    </row>
    <row r="56" s="920" customFormat="true" ht="20.25" hidden="false" customHeight="true" outlineLevel="0" collapsed="false">
      <c r="B56" s="920" t="s">
        <v>615</v>
      </c>
      <c r="I56" s="920" t="s">
        <v>616</v>
      </c>
      <c r="Q56" s="920" t="s">
        <v>617</v>
      </c>
      <c r="AA56" s="920" t="s">
        <v>617</v>
      </c>
      <c r="AI56" s="920" t="s">
        <v>618</v>
      </c>
    </row>
    <row r="57" s="920" customFormat="true" ht="20.25" hidden="false" customHeight="true" outlineLevel="0" collapsed="false">
      <c r="B57" s="920" t="s">
        <v>619</v>
      </c>
      <c r="I57" s="920" t="s">
        <v>619</v>
      </c>
      <c r="Q57" s="920" t="s">
        <v>620</v>
      </c>
      <c r="AA57" s="920" t="s">
        <v>621</v>
      </c>
      <c r="AI57" s="920" t="s">
        <v>622</v>
      </c>
    </row>
    <row r="58" s="920" customFormat="true" ht="14.25" hidden="false" customHeight="true" outlineLevel="0" collapsed="false">
      <c r="AI58" s="1254" t="n">
        <f aca="false">AI24</f>
        <v>0.024</v>
      </c>
      <c r="AJ58" s="1254"/>
      <c r="AK58" s="1255" t="s">
        <v>623</v>
      </c>
    </row>
    <row r="59" s="920" customFormat="true" ht="14.25" hidden="false" customHeight="true" outlineLevel="0" collapsed="false"/>
    <row r="60" customFormat="false" ht="24.75" hidden="false" customHeight="true" outlineLevel="0" collapsed="false">
      <c r="B60" s="1201" t="s">
        <v>624</v>
      </c>
      <c r="C60" s="1201"/>
      <c r="D60" s="1201"/>
      <c r="E60" s="1201"/>
      <c r="F60" s="1201"/>
      <c r="I60" s="1201" t="s">
        <v>625</v>
      </c>
      <c r="J60" s="1201"/>
      <c r="K60" s="1201"/>
      <c r="L60" s="1201"/>
      <c r="M60" s="1201"/>
      <c r="N60" s="1201"/>
      <c r="Q60" s="1201" t="s">
        <v>624</v>
      </c>
      <c r="R60" s="1201"/>
      <c r="S60" s="1201"/>
      <c r="T60" s="1201"/>
      <c r="U60" s="1201"/>
      <c r="V60" s="1201"/>
      <c r="W60" s="1201"/>
      <c r="X60" s="1201"/>
      <c r="AA60" s="1207" t="s">
        <v>626</v>
      </c>
      <c r="AB60" s="1207"/>
      <c r="AC60" s="1207"/>
      <c r="AD60" s="1207"/>
      <c r="AE60" s="1207"/>
      <c r="AF60" s="1207"/>
      <c r="AI60" s="1201" t="s">
        <v>624</v>
      </c>
      <c r="AJ60" s="1201"/>
      <c r="AK60" s="1201"/>
      <c r="AL60" s="1201"/>
      <c r="AM60" s="1201"/>
      <c r="AN60" s="1201"/>
      <c r="AO60" s="1201"/>
      <c r="AP60" s="1201"/>
    </row>
    <row r="61" customFormat="false" ht="24.75" hidden="false" customHeight="true" outlineLevel="0" collapsed="false">
      <c r="B61" s="1257" t="s">
        <v>627</v>
      </c>
      <c r="F61" s="1216" t="s">
        <v>571</v>
      </c>
      <c r="I61" s="1257" t="s">
        <v>627</v>
      </c>
      <c r="N61" s="1216" t="s">
        <v>571</v>
      </c>
      <c r="Q61" s="1257" t="s">
        <v>627</v>
      </c>
      <c r="X61" s="1216" t="s">
        <v>571</v>
      </c>
      <c r="AA61" s="1257" t="s">
        <v>627</v>
      </c>
      <c r="AF61" s="1216" t="s">
        <v>571</v>
      </c>
      <c r="AI61" s="1257" t="s">
        <v>627</v>
      </c>
      <c r="AP61" s="1216" t="s">
        <v>571</v>
      </c>
    </row>
    <row r="62" customFormat="false" ht="24.75" hidden="false" customHeight="true" outlineLevel="0" collapsed="false">
      <c r="B62" s="1221" t="s">
        <v>572</v>
      </c>
      <c r="C62" s="1221"/>
      <c r="D62" s="1221" t="s">
        <v>628</v>
      </c>
      <c r="E62" s="1221"/>
      <c r="F62" s="1221"/>
      <c r="I62" s="1221" t="s">
        <v>572</v>
      </c>
      <c r="J62" s="1221"/>
      <c r="K62" s="1258" t="s">
        <v>629</v>
      </c>
      <c r="L62" s="1258"/>
      <c r="M62" s="1258"/>
      <c r="N62" s="1258"/>
      <c r="Q62" s="1221" t="s">
        <v>572</v>
      </c>
      <c r="R62" s="1221"/>
      <c r="S62" s="1221" t="s">
        <v>630</v>
      </c>
      <c r="T62" s="1221"/>
      <c r="U62" s="1221"/>
      <c r="V62" s="1221"/>
      <c r="W62" s="1221"/>
      <c r="X62" s="1221"/>
      <c r="AA62" s="1221" t="s">
        <v>576</v>
      </c>
      <c r="AB62" s="1221" t="s">
        <v>631</v>
      </c>
      <c r="AC62" s="1221"/>
      <c r="AD62" s="1221"/>
      <c r="AE62" s="1221"/>
      <c r="AF62" s="1221"/>
      <c r="AI62" s="1221" t="s">
        <v>572</v>
      </c>
      <c r="AJ62" s="1221"/>
      <c r="AK62" s="1221" t="s">
        <v>632</v>
      </c>
      <c r="AL62" s="1221"/>
      <c r="AM62" s="1221"/>
      <c r="AN62" s="1221"/>
      <c r="AO62" s="1221"/>
      <c r="AP62" s="1221"/>
    </row>
    <row r="63" customFormat="false" ht="24.75" hidden="false" customHeight="true" outlineLevel="0" collapsed="false">
      <c r="B63" s="1221"/>
      <c r="C63" s="1221"/>
      <c r="D63" s="1259" t="s">
        <v>580</v>
      </c>
      <c r="E63" s="1228" t="s">
        <v>581</v>
      </c>
      <c r="F63" s="1221" t="s">
        <v>582</v>
      </c>
      <c r="I63" s="1221"/>
      <c r="J63" s="1221"/>
      <c r="K63" s="1260" t="s">
        <v>633</v>
      </c>
      <c r="L63" s="1221" t="s">
        <v>634</v>
      </c>
      <c r="M63" s="1221"/>
      <c r="N63" s="1221" t="s">
        <v>635</v>
      </c>
      <c r="Q63" s="1221"/>
      <c r="R63" s="1221"/>
      <c r="S63" s="1221" t="s">
        <v>636</v>
      </c>
      <c r="T63" s="1221"/>
      <c r="U63" s="1221" t="s">
        <v>637</v>
      </c>
      <c r="V63" s="1221"/>
      <c r="W63" s="1221" t="s">
        <v>638</v>
      </c>
      <c r="X63" s="1221"/>
      <c r="AA63" s="1221"/>
      <c r="AB63" s="1261" t="s">
        <v>636</v>
      </c>
      <c r="AC63" s="1262" t="s">
        <v>637</v>
      </c>
      <c r="AD63" s="1262"/>
      <c r="AE63" s="1262" t="s">
        <v>638</v>
      </c>
      <c r="AF63" s="1262"/>
      <c r="AI63" s="1221"/>
      <c r="AJ63" s="1221"/>
      <c r="AK63" s="1221" t="s">
        <v>639</v>
      </c>
      <c r="AL63" s="1221"/>
      <c r="AM63" s="1221" t="s">
        <v>640</v>
      </c>
      <c r="AN63" s="1221"/>
      <c r="AO63" s="1221" t="s">
        <v>641</v>
      </c>
      <c r="AP63" s="1221"/>
    </row>
    <row r="64" customFormat="false" ht="24.75" hidden="false" customHeight="true" outlineLevel="0" collapsed="false">
      <c r="B64" s="1263" t="s">
        <v>642</v>
      </c>
      <c r="C64" s="1263"/>
      <c r="D64" s="1264"/>
      <c r="E64" s="1264"/>
      <c r="F64" s="1264"/>
      <c r="I64" s="1263" t="s">
        <v>642</v>
      </c>
      <c r="J64" s="1263"/>
      <c r="K64" s="1265"/>
      <c r="L64" s="1265"/>
      <c r="M64" s="1265"/>
      <c r="N64" s="1265"/>
      <c r="Q64" s="1263" t="s">
        <v>642</v>
      </c>
      <c r="R64" s="1263"/>
      <c r="S64" s="1265"/>
      <c r="T64" s="1265"/>
      <c r="U64" s="1265"/>
      <c r="V64" s="1265"/>
      <c r="W64" s="1265"/>
      <c r="X64" s="1265"/>
      <c r="AA64" s="1263" t="s">
        <v>643</v>
      </c>
      <c r="AB64" s="1264"/>
      <c r="AC64" s="1263"/>
      <c r="AD64" s="1263"/>
      <c r="AE64" s="1263"/>
      <c r="AF64" s="1263"/>
      <c r="AI64" s="1263" t="s">
        <v>642</v>
      </c>
      <c r="AJ64" s="1263"/>
      <c r="AK64" s="1265"/>
      <c r="AL64" s="1265"/>
      <c r="AM64" s="1265"/>
      <c r="AN64" s="1265"/>
      <c r="AO64" s="1265"/>
      <c r="AP64" s="1265"/>
    </row>
    <row r="65" customFormat="false" ht="24.75" hidden="false" customHeight="true" outlineLevel="0" collapsed="false">
      <c r="B65" s="1263" t="s">
        <v>644</v>
      </c>
      <c r="C65" s="1263"/>
      <c r="D65" s="1266"/>
      <c r="E65" s="1264"/>
      <c r="F65" s="1264"/>
      <c r="I65" s="1263" t="s">
        <v>644</v>
      </c>
      <c r="J65" s="1263"/>
      <c r="K65" s="1265"/>
      <c r="L65" s="1265"/>
      <c r="M65" s="1265"/>
      <c r="N65" s="1265"/>
      <c r="Q65" s="1263" t="s">
        <v>644</v>
      </c>
      <c r="R65" s="1263"/>
      <c r="S65" s="1265"/>
      <c r="T65" s="1265"/>
      <c r="U65" s="1265"/>
      <c r="V65" s="1265"/>
      <c r="W65" s="1265"/>
      <c r="X65" s="1265"/>
      <c r="AA65" s="1263" t="s">
        <v>645</v>
      </c>
      <c r="AB65" s="1264"/>
      <c r="AC65" s="1263"/>
      <c r="AD65" s="1263"/>
      <c r="AE65" s="1263"/>
      <c r="AF65" s="1263"/>
      <c r="AI65" s="1263" t="s">
        <v>644</v>
      </c>
      <c r="AJ65" s="1263"/>
      <c r="AK65" s="1265"/>
      <c r="AL65" s="1265"/>
      <c r="AM65" s="1265"/>
      <c r="AN65" s="1265"/>
      <c r="AO65" s="1265"/>
      <c r="AP65" s="1265"/>
    </row>
    <row r="66" customFormat="false" ht="24.75" hidden="false" customHeight="true" outlineLevel="0" collapsed="false">
      <c r="B66" s="1263" t="s">
        <v>646</v>
      </c>
      <c r="C66" s="1263"/>
      <c r="D66" s="1264"/>
      <c r="E66" s="1264"/>
      <c r="F66" s="1264"/>
      <c r="I66" s="1263" t="s">
        <v>646</v>
      </c>
      <c r="J66" s="1263"/>
      <c r="K66" s="1265"/>
      <c r="L66" s="1265"/>
      <c r="M66" s="1265"/>
      <c r="N66" s="1265"/>
      <c r="Q66" s="1263" t="s">
        <v>646</v>
      </c>
      <c r="R66" s="1263"/>
      <c r="S66" s="1265"/>
      <c r="T66" s="1265"/>
      <c r="U66" s="1265"/>
      <c r="V66" s="1265"/>
      <c r="W66" s="1265"/>
      <c r="X66" s="1265"/>
      <c r="AA66" s="1263" t="s">
        <v>647</v>
      </c>
      <c r="AB66" s="1264"/>
      <c r="AC66" s="1263"/>
      <c r="AD66" s="1263"/>
      <c r="AE66" s="1263"/>
      <c r="AF66" s="1263"/>
      <c r="AI66" s="1263" t="s">
        <v>646</v>
      </c>
      <c r="AJ66" s="1263"/>
      <c r="AK66" s="1265"/>
      <c r="AL66" s="1265"/>
      <c r="AM66" s="1265"/>
      <c r="AN66" s="1265"/>
      <c r="AO66" s="1265"/>
      <c r="AP66" s="1265"/>
    </row>
    <row r="67" customFormat="false" ht="24.75" hidden="false" customHeight="true" outlineLevel="0" collapsed="false">
      <c r="B67" s="1263" t="s">
        <v>648</v>
      </c>
      <c r="C67" s="1263"/>
      <c r="D67" s="1264"/>
      <c r="E67" s="1264"/>
      <c r="F67" s="1264"/>
      <c r="I67" s="1263" t="s">
        <v>648</v>
      </c>
      <c r="J67" s="1263"/>
      <c r="K67" s="1265"/>
      <c r="L67" s="1265"/>
      <c r="M67" s="1265"/>
      <c r="N67" s="1265"/>
      <c r="Q67" s="1263" t="s">
        <v>648</v>
      </c>
      <c r="R67" s="1263"/>
      <c r="S67" s="1265"/>
      <c r="T67" s="1265"/>
      <c r="U67" s="1265"/>
      <c r="V67" s="1265"/>
      <c r="W67" s="1265"/>
      <c r="X67" s="1265"/>
      <c r="AA67" s="1263" t="s">
        <v>649</v>
      </c>
      <c r="AB67" s="1264"/>
      <c r="AC67" s="1263"/>
      <c r="AD67" s="1263"/>
      <c r="AE67" s="1263"/>
      <c r="AF67" s="1263"/>
      <c r="AI67" s="1263" t="s">
        <v>648</v>
      </c>
      <c r="AJ67" s="1263"/>
      <c r="AK67" s="1265"/>
      <c r="AL67" s="1265"/>
      <c r="AM67" s="1265"/>
      <c r="AN67" s="1265"/>
      <c r="AO67" s="1265"/>
      <c r="AP67" s="1265"/>
    </row>
    <row r="68" customFormat="false" ht="24.75" hidden="false" customHeight="true" outlineLevel="0" collapsed="false">
      <c r="B68" s="1221" t="s">
        <v>582</v>
      </c>
      <c r="C68" s="1221"/>
      <c r="D68" s="1267"/>
      <c r="E68" s="1267"/>
      <c r="F68" s="1268"/>
      <c r="I68" s="1221" t="s">
        <v>582</v>
      </c>
      <c r="J68" s="1221"/>
      <c r="K68" s="1265"/>
      <c r="L68" s="1265"/>
      <c r="M68" s="1265"/>
      <c r="N68" s="1241"/>
      <c r="Q68" s="1221" t="s">
        <v>582</v>
      </c>
      <c r="R68" s="1221"/>
      <c r="S68" s="1265"/>
      <c r="T68" s="1265"/>
      <c r="U68" s="1265"/>
      <c r="V68" s="1265"/>
      <c r="W68" s="1265"/>
      <c r="X68" s="1265"/>
      <c r="AA68" s="1221" t="s">
        <v>650</v>
      </c>
      <c r="AB68" s="1264"/>
      <c r="AC68" s="1263"/>
      <c r="AD68" s="1263"/>
      <c r="AE68" s="1263"/>
      <c r="AF68" s="1263"/>
      <c r="AI68" s="1221" t="s">
        <v>582</v>
      </c>
      <c r="AJ68" s="1221"/>
      <c r="AK68" s="1265"/>
      <c r="AL68" s="1265"/>
      <c r="AM68" s="1265"/>
      <c r="AN68" s="1265"/>
      <c r="AO68" s="1265"/>
      <c r="AP68" s="1265"/>
    </row>
    <row r="69" s="920" customFormat="true" ht="17.25" hidden="false" customHeight="true" outlineLevel="0" collapsed="false">
      <c r="B69" s="1198" t="s">
        <v>563</v>
      </c>
      <c r="C69" s="1199"/>
      <c r="D69" s="1199"/>
      <c r="E69" s="1199"/>
      <c r="F69" s="1199"/>
      <c r="G69" s="1200"/>
      <c r="H69" s="1199"/>
      <c r="I69" s="1198" t="s">
        <v>563</v>
      </c>
      <c r="J69" s="1199"/>
      <c r="K69" s="1199"/>
      <c r="L69" s="1199"/>
      <c r="M69" s="1199"/>
      <c r="N69" s="1199"/>
      <c r="O69" s="1199"/>
      <c r="P69" s="1199"/>
      <c r="Q69" s="1198" t="s">
        <v>563</v>
      </c>
      <c r="R69" s="1199"/>
      <c r="S69" s="1199"/>
      <c r="T69" s="1199"/>
      <c r="U69" s="1199"/>
      <c r="V69" s="1199"/>
      <c r="W69" s="1199"/>
      <c r="X69" s="1199"/>
      <c r="Y69" s="1199"/>
      <c r="Z69" s="1199"/>
      <c r="AB69" s="1199"/>
      <c r="AC69" s="1199"/>
      <c r="AD69" s="1199"/>
      <c r="AE69" s="1199"/>
      <c r="AF69" s="1199"/>
      <c r="AG69" s="1199"/>
      <c r="AH69" s="1199"/>
      <c r="AI69" s="1198" t="s">
        <v>564</v>
      </c>
      <c r="AJ69" s="1199"/>
      <c r="AK69" s="1199"/>
      <c r="AL69" s="1199"/>
      <c r="AM69" s="1199"/>
      <c r="AN69" s="1199"/>
      <c r="AO69" s="1199"/>
      <c r="AP69" s="1199"/>
    </row>
    <row r="70" customFormat="false" ht="24" hidden="false" customHeight="true" outlineLevel="0" collapsed="false">
      <c r="B70" s="1201" t="s">
        <v>565</v>
      </c>
      <c r="C70" s="1201"/>
      <c r="D70" s="1201"/>
      <c r="E70" s="1201"/>
      <c r="F70" s="1201"/>
      <c r="G70" s="1202"/>
      <c r="H70" s="1203"/>
      <c r="I70" s="1204" t="s">
        <v>566</v>
      </c>
      <c r="J70" s="1204"/>
      <c r="K70" s="1204"/>
      <c r="L70" s="1204"/>
      <c r="M70" s="1204"/>
      <c r="N70" s="1204"/>
      <c r="O70" s="1203"/>
      <c r="P70" s="1205"/>
      <c r="Q70" s="1206" t="s">
        <v>567</v>
      </c>
      <c r="R70" s="1206"/>
      <c r="S70" s="1206"/>
      <c r="T70" s="1206"/>
      <c r="U70" s="1206"/>
      <c r="V70" s="1206"/>
      <c r="W70" s="1206"/>
      <c r="X70" s="1206"/>
      <c r="Y70" s="1203"/>
      <c r="Z70" s="1203"/>
      <c r="AA70" s="1207" t="s">
        <v>568</v>
      </c>
      <c r="AB70" s="1207"/>
      <c r="AC70" s="1207"/>
      <c r="AD70" s="1207"/>
      <c r="AE70" s="1207"/>
      <c r="AF70" s="1207"/>
      <c r="AG70" s="1203"/>
      <c r="AH70" s="1203"/>
      <c r="AI70" s="1201" t="s">
        <v>569</v>
      </c>
      <c r="AJ70" s="1201"/>
      <c r="AK70" s="1201"/>
      <c r="AL70" s="1201"/>
      <c r="AM70" s="1201"/>
      <c r="AN70" s="1201"/>
      <c r="AO70" s="1201"/>
      <c r="AP70" s="1201"/>
    </row>
    <row r="71" customFormat="false" ht="32.25" hidden="false" customHeight="true" outlineLevel="0" collapsed="false">
      <c r="F71" s="1208" t="s">
        <v>570</v>
      </c>
      <c r="G71" s="1209"/>
      <c r="L71" s="1203"/>
      <c r="M71" s="1210"/>
      <c r="N71" s="1208" t="s">
        <v>570</v>
      </c>
      <c r="U71" s="1203"/>
      <c r="V71" s="1203"/>
      <c r="W71" s="1203"/>
      <c r="X71" s="1208" t="s">
        <v>570</v>
      </c>
      <c r="AD71" s="1203"/>
      <c r="AE71" s="1203"/>
      <c r="AF71" s="1208" t="s">
        <v>570</v>
      </c>
      <c r="AM71" s="1203"/>
      <c r="AN71" s="1203"/>
      <c r="AO71" s="1203"/>
      <c r="AP71" s="1208" t="s">
        <v>570</v>
      </c>
    </row>
    <row r="72" customFormat="false" ht="23.25" hidden="false" customHeight="true" outlineLevel="0" collapsed="false">
      <c r="E72" s="1211"/>
      <c r="F72" s="1212"/>
      <c r="G72" s="1209"/>
      <c r="L72" s="1211"/>
      <c r="M72" s="1211"/>
      <c r="N72" s="1212"/>
      <c r="U72" s="1211"/>
      <c r="V72" s="1211"/>
      <c r="W72" s="1211"/>
      <c r="X72" s="1212"/>
      <c r="AD72" s="1211"/>
      <c r="AE72" s="1211"/>
      <c r="AF72" s="1212"/>
      <c r="AM72" s="1211"/>
      <c r="AN72" s="1211"/>
      <c r="AO72" s="1211"/>
      <c r="AP72" s="1212"/>
    </row>
    <row r="73" customFormat="false" ht="24.75" hidden="false" customHeight="true" outlineLevel="0" collapsed="false">
      <c r="B73" s="1277" t="str">
        <f aca="false">'☆掛負収入'!A2</f>
        <v>令和8年度</v>
      </c>
      <c r="F73" s="1216" t="s">
        <v>571</v>
      </c>
      <c r="G73" s="1209"/>
      <c r="I73" s="1277" t="str">
        <f aca="false">B73</f>
        <v>令和8年度</v>
      </c>
      <c r="M73" s="1218" t="s">
        <v>571</v>
      </c>
      <c r="Q73" s="1278" t="str">
        <f aca="false">I73</f>
        <v>令和8年度</v>
      </c>
      <c r="X73" s="1216" t="s">
        <v>571</v>
      </c>
      <c r="AA73" s="1279" t="str">
        <f aca="false">'☆掛負収入'!A2</f>
        <v>令和8年度</v>
      </c>
      <c r="AF73" s="1218" t="s">
        <v>571</v>
      </c>
      <c r="AI73" s="1278" t="str">
        <f aca="false">Q73</f>
        <v>令和8年度</v>
      </c>
      <c r="AP73" s="1216" t="s">
        <v>571</v>
      </c>
    </row>
    <row r="74" customFormat="false" ht="26.25" hidden="false" customHeight="true" outlineLevel="0" collapsed="false">
      <c r="B74" s="1221" t="s">
        <v>572</v>
      </c>
      <c r="C74" s="1221"/>
      <c r="D74" s="1222" t="s">
        <v>573</v>
      </c>
      <c r="E74" s="1222"/>
      <c r="F74" s="1223" t="n">
        <f aca="false">F40</f>
        <v>5.46</v>
      </c>
      <c r="G74" s="1209"/>
      <c r="I74" s="1221" t="s">
        <v>572</v>
      </c>
      <c r="J74" s="1221"/>
      <c r="K74" s="1224" t="s">
        <v>574</v>
      </c>
      <c r="L74" s="1224"/>
      <c r="M74" s="1275" t="n">
        <f aca="false">M40</f>
        <v>0.05</v>
      </c>
      <c r="N74" s="1209"/>
      <c r="Q74" s="1221" t="s">
        <v>572</v>
      </c>
      <c r="R74" s="1221"/>
      <c r="S74" s="1221" t="s">
        <v>575</v>
      </c>
      <c r="T74" s="1221"/>
      <c r="U74" s="1221"/>
      <c r="V74" s="1226" t="s">
        <v>574</v>
      </c>
      <c r="W74" s="1226"/>
      <c r="X74" s="1276" t="n">
        <f aca="false">X40</f>
        <v>1.1</v>
      </c>
      <c r="AA74" s="1221" t="s">
        <v>576</v>
      </c>
      <c r="AB74" s="1228" t="s">
        <v>577</v>
      </c>
      <c r="AC74" s="1228"/>
      <c r="AD74" s="1226" t="s">
        <v>578</v>
      </c>
      <c r="AE74" s="1226"/>
      <c r="AF74" s="1276" t="n">
        <f aca="false">AF40</f>
        <v>0.2</v>
      </c>
      <c r="AI74" s="1221" t="s">
        <v>572</v>
      </c>
      <c r="AJ74" s="1221"/>
      <c r="AK74" s="1221" t="s">
        <v>575</v>
      </c>
      <c r="AL74" s="1221"/>
      <c r="AM74" s="1221"/>
      <c r="AN74" s="1229" t="s">
        <v>579</v>
      </c>
      <c r="AO74" s="1229"/>
      <c r="AP74" s="1229"/>
    </row>
    <row r="75" customFormat="false" ht="26.25" hidden="false" customHeight="true" outlineLevel="0" collapsed="false">
      <c r="B75" s="1221"/>
      <c r="C75" s="1221"/>
      <c r="D75" s="1228" t="s">
        <v>580</v>
      </c>
      <c r="E75" s="1228" t="s">
        <v>581</v>
      </c>
      <c r="F75" s="1230" t="s">
        <v>582</v>
      </c>
      <c r="G75" s="1231"/>
      <c r="H75" s="1209"/>
      <c r="I75" s="1221"/>
      <c r="J75" s="1221"/>
      <c r="K75" s="1224"/>
      <c r="L75" s="1224"/>
      <c r="M75" s="1275"/>
      <c r="N75" s="1209"/>
      <c r="Q75" s="1221"/>
      <c r="R75" s="1221"/>
      <c r="S75" s="1221"/>
      <c r="T75" s="1221"/>
      <c r="U75" s="1221"/>
      <c r="V75" s="1226"/>
      <c r="W75" s="1226"/>
      <c r="X75" s="1276"/>
      <c r="AA75" s="1221"/>
      <c r="AB75" s="1228"/>
      <c r="AC75" s="1228"/>
      <c r="AD75" s="1226"/>
      <c r="AE75" s="1226"/>
      <c r="AF75" s="1276"/>
      <c r="AI75" s="1221"/>
      <c r="AJ75" s="1221"/>
      <c r="AK75" s="1221"/>
      <c r="AL75" s="1221"/>
      <c r="AM75" s="1221"/>
      <c r="AN75" s="1232" t="s">
        <v>583</v>
      </c>
      <c r="AO75" s="1232"/>
      <c r="AP75" s="1233" t="n">
        <f aca="false">AP41</f>
        <v>0.024</v>
      </c>
    </row>
    <row r="76" customFormat="false" ht="26.25" hidden="false" customHeight="true" outlineLevel="0" collapsed="false">
      <c r="B76" s="1091" t="s">
        <v>584</v>
      </c>
      <c r="C76" s="1090" t="s">
        <v>661</v>
      </c>
      <c r="D76" s="1235" t="n">
        <f aca="false">D47</f>
        <v>32035335</v>
      </c>
      <c r="E76" s="1235" t="n">
        <f aca="false">E47</f>
        <v>4145893</v>
      </c>
      <c r="F76" s="1235" t="n">
        <f aca="false">SUM(D76:E76)</f>
        <v>36181228</v>
      </c>
      <c r="G76" s="1231"/>
      <c r="H76" s="1209"/>
      <c r="I76" s="1236" t="s">
        <v>586</v>
      </c>
      <c r="J76" s="1237" t="s">
        <v>661</v>
      </c>
      <c r="K76" s="1241" t="n">
        <f aca="false">K47</f>
        <v>342892</v>
      </c>
      <c r="L76" s="1241"/>
      <c r="M76" s="1241"/>
      <c r="N76" s="1239"/>
      <c r="O76" s="1209"/>
      <c r="P76" s="1209"/>
      <c r="Q76" s="1236" t="s">
        <v>586</v>
      </c>
      <c r="R76" s="1237" t="s">
        <v>661</v>
      </c>
      <c r="S76" s="1241" t="n">
        <f aca="false">S47</f>
        <v>6904166000</v>
      </c>
      <c r="T76" s="1241"/>
      <c r="U76" s="1241"/>
      <c r="V76" s="1241" t="n">
        <f aca="false">ROUNDDOWN(S76*X74/1000,0)</f>
        <v>7594582</v>
      </c>
      <c r="W76" s="1241"/>
      <c r="X76" s="1241"/>
      <c r="Y76" s="1231"/>
      <c r="Z76" s="1209"/>
      <c r="AA76" s="1221" t="s">
        <v>662</v>
      </c>
      <c r="AB76" s="1240" t="n">
        <f aca="false">'☆振替R7'!B243</f>
        <v>7068625000</v>
      </c>
      <c r="AC76" s="1240"/>
      <c r="AD76" s="1241" t="n">
        <f aca="false">ROUNDDOWN(AB76*AF74/1000,0)</f>
        <v>1413725</v>
      </c>
      <c r="AE76" s="1241"/>
      <c r="AF76" s="1241"/>
      <c r="AG76" s="1209"/>
      <c r="AH76" s="1209"/>
      <c r="AI76" s="1236" t="s">
        <v>586</v>
      </c>
      <c r="AJ76" s="1237" t="s">
        <v>661</v>
      </c>
      <c r="AK76" s="1241" t="n">
        <f aca="false">AK47</f>
        <v>6904166000</v>
      </c>
      <c r="AL76" s="1241"/>
      <c r="AM76" s="1241"/>
      <c r="AN76" s="1241" t="n">
        <f aca="false">ROUNDDOWN(AK76*AP75/1000,0)</f>
        <v>165699</v>
      </c>
      <c r="AO76" s="1241"/>
      <c r="AP76" s="1241"/>
    </row>
    <row r="77" customFormat="false" ht="26.25" hidden="false" customHeight="true" outlineLevel="0" collapsed="false">
      <c r="B77" s="1091"/>
      <c r="C77" s="1090" t="s">
        <v>663</v>
      </c>
      <c r="D77" s="1280" t="n">
        <v>33663622</v>
      </c>
      <c r="E77" s="1280" t="n">
        <v>4262347</v>
      </c>
      <c r="F77" s="1235" t="n">
        <f aca="false">SUM(D77:E77)</f>
        <v>37925969</v>
      </c>
      <c r="G77" s="1231"/>
      <c r="H77" s="1209"/>
      <c r="I77" s="1236"/>
      <c r="J77" s="1237" t="s">
        <v>664</v>
      </c>
      <c r="K77" s="1281" t="n">
        <v>664010</v>
      </c>
      <c r="L77" s="1281"/>
      <c r="M77" s="1281"/>
      <c r="N77" s="1239"/>
      <c r="Q77" s="1236"/>
      <c r="R77" s="1237" t="s">
        <v>664</v>
      </c>
      <c r="S77" s="1282" t="n">
        <v>6679289000</v>
      </c>
      <c r="T77" s="1282"/>
      <c r="U77" s="1282"/>
      <c r="V77" s="1241" t="n">
        <f aca="false">ROUNDDOWN(S77*X74/1000,0)</f>
        <v>7347217</v>
      </c>
      <c r="W77" s="1241"/>
      <c r="X77" s="1241"/>
      <c r="Y77" s="1231"/>
      <c r="AA77" s="1221"/>
      <c r="AB77" s="1240"/>
      <c r="AC77" s="1240"/>
      <c r="AD77" s="1241"/>
      <c r="AE77" s="1241"/>
      <c r="AF77" s="1241"/>
      <c r="AI77" s="1236"/>
      <c r="AJ77" s="1237" t="s">
        <v>664</v>
      </c>
      <c r="AK77" s="1282" t="n">
        <v>6679289000</v>
      </c>
      <c r="AL77" s="1282"/>
      <c r="AM77" s="1282"/>
      <c r="AN77" s="1241" t="n">
        <f aca="false">ROUNDDOWN(AK77*AP75/1000,0)</f>
        <v>160302</v>
      </c>
      <c r="AO77" s="1241"/>
      <c r="AP77" s="1241"/>
    </row>
    <row r="78" customFormat="false" ht="26.25" hidden="false" customHeight="true" outlineLevel="0" collapsed="false">
      <c r="B78" s="1221" t="s">
        <v>590</v>
      </c>
      <c r="C78" s="1221"/>
      <c r="D78" s="1235" t="n">
        <f aca="false">D76-D77</f>
        <v>-1628287</v>
      </c>
      <c r="E78" s="1235" t="n">
        <f aca="false">E76-E77</f>
        <v>-116454</v>
      </c>
      <c r="F78" s="1235" t="n">
        <f aca="false">F76-F77</f>
        <v>-1744741</v>
      </c>
      <c r="G78" s="1231"/>
      <c r="I78" s="1221" t="s">
        <v>591</v>
      </c>
      <c r="J78" s="1221"/>
      <c r="K78" s="1241" t="n">
        <f aca="false">K76-K77</f>
        <v>-321118</v>
      </c>
      <c r="L78" s="1241"/>
      <c r="M78" s="1241"/>
      <c r="N78" s="1239"/>
      <c r="Q78" s="1221" t="s">
        <v>591</v>
      </c>
      <c r="R78" s="1221"/>
      <c r="S78" s="1241" t="n">
        <f aca="false">S76-S77</f>
        <v>224877000</v>
      </c>
      <c r="T78" s="1241"/>
      <c r="U78" s="1241"/>
      <c r="V78" s="1241" t="n">
        <f aca="false">V76-V77</f>
        <v>247365</v>
      </c>
      <c r="W78" s="1241"/>
      <c r="X78" s="1241"/>
      <c r="AA78" s="1221" t="s">
        <v>665</v>
      </c>
      <c r="AB78" s="1240" t="n">
        <f aca="false">'☆振替R7'!B274</f>
        <v>7045707000</v>
      </c>
      <c r="AC78" s="1240"/>
      <c r="AD78" s="1241" t="n">
        <f aca="false">ROUNDDOWN(AB78*AF74/1000,0)</f>
        <v>1409141</v>
      </c>
      <c r="AE78" s="1241"/>
      <c r="AF78" s="1241"/>
      <c r="AI78" s="1221" t="s">
        <v>591</v>
      </c>
      <c r="AJ78" s="1221"/>
      <c r="AK78" s="1241" t="n">
        <f aca="false">AK76-AK77</f>
        <v>224877000</v>
      </c>
      <c r="AL78" s="1241"/>
      <c r="AM78" s="1241"/>
      <c r="AN78" s="1241" t="n">
        <f aca="false">AN76-AN77</f>
        <v>5397</v>
      </c>
      <c r="AO78" s="1241"/>
      <c r="AP78" s="1241"/>
    </row>
    <row r="79" customFormat="false" ht="26.25" hidden="false" customHeight="true" outlineLevel="0" collapsed="false">
      <c r="B79" s="1246" t="s">
        <v>666</v>
      </c>
      <c r="C79" s="1247" t="s">
        <v>594</v>
      </c>
      <c r="D79" s="1235" t="n">
        <f aca="false">'☆振替R7'!D227:E227+'☆振替R7'!D238</f>
        <v>32798430</v>
      </c>
      <c r="E79" s="1235" t="n">
        <f aca="false">'☆振替R7'!E238</f>
        <v>4264974</v>
      </c>
      <c r="F79" s="1235" t="n">
        <f aca="false">SUM(D79:E79)</f>
        <v>37063404</v>
      </c>
      <c r="G79" s="1231"/>
      <c r="I79" s="1246" t="s">
        <v>666</v>
      </c>
      <c r="J79" s="1247" t="s">
        <v>594</v>
      </c>
      <c r="K79" s="1241" t="n">
        <f aca="false">'☆振替R7'!F238</f>
        <v>352516</v>
      </c>
      <c r="L79" s="1241"/>
      <c r="M79" s="1241"/>
      <c r="N79" s="1239"/>
      <c r="Q79" s="1246" t="s">
        <v>666</v>
      </c>
      <c r="R79" s="1247" t="s">
        <v>594</v>
      </c>
      <c r="S79" s="1241" t="n">
        <f aca="false">'☆振替R7'!B243</f>
        <v>7068625000</v>
      </c>
      <c r="T79" s="1241"/>
      <c r="U79" s="1241"/>
      <c r="V79" s="1241" t="n">
        <f aca="false">ROUNDDOWN(S79*X74/1000,0)</f>
        <v>7775487</v>
      </c>
      <c r="W79" s="1241"/>
      <c r="X79" s="1241"/>
      <c r="AA79" s="1221"/>
      <c r="AB79" s="1240"/>
      <c r="AC79" s="1240"/>
      <c r="AD79" s="1241"/>
      <c r="AE79" s="1241"/>
      <c r="AF79" s="1241"/>
      <c r="AI79" s="1246" t="s">
        <v>666</v>
      </c>
      <c r="AJ79" s="1247" t="s">
        <v>594</v>
      </c>
      <c r="AK79" s="1241" t="n">
        <f aca="false">'☆振替R7'!B243</f>
        <v>7068625000</v>
      </c>
      <c r="AL79" s="1241"/>
      <c r="AM79" s="1241"/>
      <c r="AN79" s="1241" t="n">
        <f aca="false">ROUNDDOWN(AK79*AP75/1000,0)</f>
        <v>169647</v>
      </c>
      <c r="AO79" s="1241"/>
      <c r="AP79" s="1241"/>
    </row>
    <row r="80" customFormat="false" ht="26.25" hidden="false" customHeight="true" outlineLevel="0" collapsed="false">
      <c r="B80" s="1246" t="s">
        <v>667</v>
      </c>
      <c r="C80" s="1247" t="s">
        <v>596</v>
      </c>
      <c r="D80" s="1235" t="n">
        <f aca="false">'☆振替R7'!D258:E258+'☆振替R7'!D269</f>
        <v>32692085</v>
      </c>
      <c r="E80" s="1235" t="n">
        <f aca="false">'☆振替R7'!E269</f>
        <v>4256216</v>
      </c>
      <c r="F80" s="1235" t="n">
        <f aca="false">SUM(D80:E80)</f>
        <v>36948301</v>
      </c>
      <c r="G80" s="1231"/>
      <c r="I80" s="1246" t="s">
        <v>667</v>
      </c>
      <c r="J80" s="1247" t="s">
        <v>596</v>
      </c>
      <c r="K80" s="1241" t="n">
        <f aca="false">'☆振替R7'!F269</f>
        <v>351865</v>
      </c>
      <c r="L80" s="1241"/>
      <c r="M80" s="1241"/>
      <c r="N80" s="1239"/>
      <c r="Q80" s="1246" t="s">
        <v>667</v>
      </c>
      <c r="R80" s="1247" t="s">
        <v>596</v>
      </c>
      <c r="S80" s="1241" t="n">
        <f aca="false">'☆振替R7'!B274</f>
        <v>7045707000</v>
      </c>
      <c r="T80" s="1241"/>
      <c r="U80" s="1241"/>
      <c r="V80" s="1241" t="n">
        <f aca="false">ROUNDDOWN(S80*X74/1000,0)</f>
        <v>7750277</v>
      </c>
      <c r="W80" s="1241"/>
      <c r="X80" s="1241"/>
      <c r="AA80" s="1221" t="s">
        <v>668</v>
      </c>
      <c r="AB80" s="1240" t="n">
        <f aca="false">'☆振替R7'!B305+'☆振替R7'!B336</f>
        <v>19172425000</v>
      </c>
      <c r="AC80" s="1240"/>
      <c r="AD80" s="1241" t="n">
        <f aca="false">ROUNDDOWN(AB80*AF74/1000,0)</f>
        <v>3834485</v>
      </c>
      <c r="AE80" s="1241"/>
      <c r="AF80" s="1241"/>
      <c r="AI80" s="1246" t="s">
        <v>667</v>
      </c>
      <c r="AJ80" s="1247" t="s">
        <v>596</v>
      </c>
      <c r="AK80" s="1241" t="n">
        <f aca="false">'☆振替R7'!B274</f>
        <v>7045707000</v>
      </c>
      <c r="AL80" s="1241"/>
      <c r="AM80" s="1241"/>
      <c r="AN80" s="1241" t="n">
        <f aca="false">ROUNDDOWN(AK80*AP75/1000,0)</f>
        <v>169096</v>
      </c>
      <c r="AO80" s="1241"/>
      <c r="AP80" s="1241"/>
    </row>
    <row r="81" customFormat="false" ht="26.25" hidden="false" customHeight="true" outlineLevel="0" collapsed="false">
      <c r="B81" s="1246" t="s">
        <v>669</v>
      </c>
      <c r="C81" s="1247" t="s">
        <v>599</v>
      </c>
      <c r="D81" s="1235" t="n">
        <f aca="false">'☆振替R7'!D289:E289+'☆振替R7'!D300+'☆振替R7'!D320:E320+'☆振替R7'!D331</f>
        <v>88960072</v>
      </c>
      <c r="E81" s="1235" t="n">
        <f aca="false">'☆振替R7'!E300+'☆振替R7'!E331</f>
        <v>12136475</v>
      </c>
      <c r="F81" s="1235" t="n">
        <f aca="false">SUM(D81:E81)</f>
        <v>101096547</v>
      </c>
      <c r="G81" s="1209"/>
      <c r="I81" s="1246" t="s">
        <v>669</v>
      </c>
      <c r="J81" s="1247" t="s">
        <v>600</v>
      </c>
      <c r="K81" s="1241" t="n">
        <f aca="false">'☆振替R7'!F300+'☆振替R7'!F331</f>
        <v>958301</v>
      </c>
      <c r="L81" s="1241"/>
      <c r="M81" s="1241"/>
      <c r="N81" s="1239"/>
      <c r="Q81" s="1246" t="s">
        <v>669</v>
      </c>
      <c r="R81" s="1247" t="s">
        <v>600</v>
      </c>
      <c r="S81" s="1241" t="n">
        <f aca="false">'☆振替R7'!B305+'☆振替R7'!B336</f>
        <v>19172425000</v>
      </c>
      <c r="T81" s="1241"/>
      <c r="U81" s="1241"/>
      <c r="V81" s="1241" t="n">
        <f aca="false">ROUNDDOWN(S81*X74/1000,0)</f>
        <v>21089667</v>
      </c>
      <c r="W81" s="1241"/>
      <c r="X81" s="1241"/>
      <c r="AA81" s="1221"/>
      <c r="AB81" s="1240"/>
      <c r="AC81" s="1240"/>
      <c r="AD81" s="1241"/>
      <c r="AE81" s="1241"/>
      <c r="AF81" s="1241"/>
      <c r="AI81" s="1246" t="s">
        <v>669</v>
      </c>
      <c r="AJ81" s="1247" t="s">
        <v>600</v>
      </c>
      <c r="AK81" s="1241" t="n">
        <f aca="false">'☆振替R7'!B305+'☆振替R7'!B336</f>
        <v>19172425000</v>
      </c>
      <c r="AL81" s="1241"/>
      <c r="AM81" s="1241"/>
      <c r="AN81" s="1241" t="n">
        <f aca="false">ROUNDDOWN(AK81*AP75/1000,0)</f>
        <v>460138</v>
      </c>
      <c r="AO81" s="1241"/>
      <c r="AP81" s="1241"/>
    </row>
    <row r="82" customFormat="false" ht="26.25" hidden="false" customHeight="true" outlineLevel="0" collapsed="false">
      <c r="B82" s="1221" t="s">
        <v>601</v>
      </c>
      <c r="C82" s="1221"/>
      <c r="D82" s="1235" t="n">
        <f aca="false">SUM(D79:D81)</f>
        <v>154450587</v>
      </c>
      <c r="E82" s="1235" t="n">
        <f aca="false">SUM(E79:E81)</f>
        <v>20657665</v>
      </c>
      <c r="F82" s="1235" t="n">
        <f aca="false">SUM(D82:E82)</f>
        <v>175108252</v>
      </c>
      <c r="G82" s="1209"/>
      <c r="I82" s="1221" t="s">
        <v>601</v>
      </c>
      <c r="J82" s="1221"/>
      <c r="K82" s="1241" t="n">
        <f aca="false">SUM(K79:M81)</f>
        <v>1662682</v>
      </c>
      <c r="L82" s="1241"/>
      <c r="M82" s="1241"/>
      <c r="N82" s="1239"/>
      <c r="Q82" s="1221" t="s">
        <v>601</v>
      </c>
      <c r="R82" s="1221"/>
      <c r="S82" s="1241" t="n">
        <f aca="false">SUM(S79:U81)</f>
        <v>33286757000</v>
      </c>
      <c r="T82" s="1241"/>
      <c r="U82" s="1241"/>
      <c r="V82" s="1241" t="n">
        <f aca="false">SUM(V79:X81)</f>
        <v>36615431</v>
      </c>
      <c r="W82" s="1241"/>
      <c r="X82" s="1241"/>
      <c r="AA82" s="1221" t="s">
        <v>375</v>
      </c>
      <c r="AB82" s="1240" t="n">
        <f aca="false">SUM(AB76:AC81)</f>
        <v>33286757000</v>
      </c>
      <c r="AC82" s="1240"/>
      <c r="AD82" s="1241" t="n">
        <f aca="false">SUM(AD76:AF81)</f>
        <v>6657351</v>
      </c>
      <c r="AE82" s="1241"/>
      <c r="AF82" s="1241"/>
      <c r="AI82" s="1221" t="s">
        <v>601</v>
      </c>
      <c r="AJ82" s="1221"/>
      <c r="AK82" s="1241" t="n">
        <f aca="false">SUM(AK79:AM81)</f>
        <v>33286757000</v>
      </c>
      <c r="AL82" s="1241"/>
      <c r="AM82" s="1241"/>
      <c r="AN82" s="1241" t="n">
        <f aca="false">SUM(AN79:AP81)</f>
        <v>798881</v>
      </c>
      <c r="AO82" s="1241"/>
      <c r="AP82" s="1241"/>
    </row>
    <row r="83" customFormat="false" ht="26.25" hidden="false" customHeight="true" outlineLevel="0" collapsed="false">
      <c r="B83" s="1221" t="s">
        <v>602</v>
      </c>
      <c r="C83" s="1221"/>
      <c r="D83" s="1235" t="n">
        <f aca="false">D78+D82</f>
        <v>152822300</v>
      </c>
      <c r="E83" s="1235" t="n">
        <f aca="false">E78+E82</f>
        <v>20541211</v>
      </c>
      <c r="F83" s="1248" t="n">
        <f aca="false">SUM(D83:E83)</f>
        <v>173363511</v>
      </c>
      <c r="G83" s="1209"/>
      <c r="I83" s="1221" t="s">
        <v>602</v>
      </c>
      <c r="J83" s="1221"/>
      <c r="K83" s="1241" t="n">
        <f aca="false">K78+K82</f>
        <v>1341564</v>
      </c>
      <c r="L83" s="1241"/>
      <c r="M83" s="1241"/>
      <c r="N83" s="1249"/>
      <c r="Q83" s="1221" t="s">
        <v>602</v>
      </c>
      <c r="R83" s="1221"/>
      <c r="S83" s="1241" t="n">
        <f aca="false">S78+S82</f>
        <v>33511634000</v>
      </c>
      <c r="T83" s="1241"/>
      <c r="U83" s="1241"/>
      <c r="V83" s="1250" t="n">
        <f aca="false">V78+V82</f>
        <v>36862796</v>
      </c>
      <c r="W83" s="1250"/>
      <c r="X83" s="1250"/>
      <c r="AA83" s="1221"/>
      <c r="AB83" s="1240"/>
      <c r="AC83" s="1240"/>
      <c r="AD83" s="1241"/>
      <c r="AE83" s="1241"/>
      <c r="AF83" s="1241"/>
      <c r="AI83" s="1221" t="s">
        <v>602</v>
      </c>
      <c r="AJ83" s="1221"/>
      <c r="AK83" s="1241" t="n">
        <f aca="false">AK78+AK82</f>
        <v>33511634000</v>
      </c>
      <c r="AL83" s="1241"/>
      <c r="AM83" s="1241"/>
      <c r="AN83" s="1250" t="n">
        <f aca="false">AN78+AN82</f>
        <v>804278</v>
      </c>
      <c r="AO83" s="1250"/>
      <c r="AP83" s="1250"/>
    </row>
    <row r="84" customFormat="false" ht="7.5" hidden="false" customHeight="true" outlineLevel="0" collapsed="false">
      <c r="G84" s="1209"/>
      <c r="N84" s="1209"/>
      <c r="AF84" s="1209"/>
    </row>
    <row r="85" s="920" customFormat="true" ht="20.25" hidden="false" customHeight="true" outlineLevel="0" collapsed="false">
      <c r="B85" s="1251" t="s">
        <v>603</v>
      </c>
      <c r="C85" s="1252"/>
      <c r="D85" s="1252"/>
      <c r="E85" s="1252"/>
      <c r="F85" s="1252"/>
      <c r="G85" s="1253"/>
      <c r="I85" s="1251" t="s">
        <v>603</v>
      </c>
      <c r="J85" s="1251"/>
      <c r="K85" s="1251"/>
      <c r="L85" s="1251"/>
      <c r="M85" s="1251"/>
      <c r="N85" s="1251"/>
      <c r="Q85" s="1251" t="s">
        <v>603</v>
      </c>
      <c r="R85" s="1251"/>
      <c r="S85" s="1251"/>
      <c r="T85" s="1251"/>
      <c r="U85" s="1251"/>
      <c r="V85" s="1251"/>
      <c r="W85" s="1252"/>
      <c r="X85" s="1252"/>
      <c r="AA85" s="1251" t="s">
        <v>603</v>
      </c>
      <c r="AB85" s="1252"/>
      <c r="AC85" s="1252"/>
      <c r="AD85" s="1252"/>
      <c r="AE85" s="1252"/>
      <c r="AF85" s="1252"/>
      <c r="AI85" s="1251" t="s">
        <v>604</v>
      </c>
      <c r="AJ85" s="1251"/>
      <c r="AK85" s="1251"/>
      <c r="AL85" s="1251"/>
      <c r="AM85" s="1251"/>
      <c r="AN85" s="1251"/>
      <c r="AO85" s="1252"/>
      <c r="AP85" s="1252"/>
    </row>
    <row r="86" s="920" customFormat="true" ht="20.25" hidden="false" customHeight="true" outlineLevel="0" collapsed="false">
      <c r="B86" s="920" t="s">
        <v>605</v>
      </c>
      <c r="G86" s="1253"/>
      <c r="I86" s="920" t="s">
        <v>606</v>
      </c>
      <c r="Q86" s="920" t="s">
        <v>606</v>
      </c>
      <c r="AA86" s="920" t="s">
        <v>606</v>
      </c>
      <c r="AI86" s="920" t="s">
        <v>606</v>
      </c>
    </row>
    <row r="87" s="920" customFormat="true" ht="20.25" hidden="false" customHeight="true" outlineLevel="0" collapsed="false">
      <c r="B87" s="920" t="s">
        <v>607</v>
      </c>
      <c r="G87" s="1253"/>
      <c r="H87" s="1253"/>
      <c r="I87" s="920" t="s">
        <v>608</v>
      </c>
      <c r="O87" s="1253"/>
      <c r="P87" s="1253"/>
      <c r="Q87" s="920" t="s">
        <v>609</v>
      </c>
      <c r="Y87" s="1253"/>
      <c r="Z87" s="1253"/>
      <c r="AA87" s="920" t="s">
        <v>609</v>
      </c>
      <c r="AG87" s="1253"/>
      <c r="AH87" s="1253"/>
      <c r="AI87" s="920" t="s">
        <v>609</v>
      </c>
    </row>
    <row r="88" s="920" customFormat="true" ht="20.25" hidden="false" customHeight="true" outlineLevel="0" collapsed="false">
      <c r="B88" s="920" t="s">
        <v>610</v>
      </c>
      <c r="G88" s="1253"/>
      <c r="I88" s="920" t="s">
        <v>611</v>
      </c>
      <c r="Q88" s="920" t="s">
        <v>612</v>
      </c>
      <c r="AA88" s="920" t="s">
        <v>612</v>
      </c>
      <c r="AI88" s="920" t="s">
        <v>612</v>
      </c>
    </row>
    <row r="89" s="920" customFormat="true" ht="20.25" hidden="false" customHeight="true" outlineLevel="0" collapsed="false">
      <c r="B89" s="920" t="s">
        <v>613</v>
      </c>
      <c r="G89" s="1253"/>
      <c r="I89" s="920" t="s">
        <v>614</v>
      </c>
      <c r="Q89" s="920" t="s">
        <v>614</v>
      </c>
      <c r="AA89" s="920" t="s">
        <v>614</v>
      </c>
      <c r="AI89" s="920" t="s">
        <v>614</v>
      </c>
    </row>
    <row r="90" s="920" customFormat="true" ht="20.25" hidden="false" customHeight="true" outlineLevel="0" collapsed="false">
      <c r="B90" s="920" t="s">
        <v>615</v>
      </c>
      <c r="I90" s="920" t="s">
        <v>616</v>
      </c>
      <c r="Q90" s="920" t="s">
        <v>617</v>
      </c>
      <c r="AA90" s="920" t="s">
        <v>617</v>
      </c>
      <c r="AI90" s="920" t="s">
        <v>618</v>
      </c>
    </row>
    <row r="91" s="920" customFormat="true" ht="20.25" hidden="false" customHeight="true" outlineLevel="0" collapsed="false">
      <c r="B91" s="920" t="s">
        <v>619</v>
      </c>
      <c r="I91" s="920" t="s">
        <v>619</v>
      </c>
      <c r="Q91" s="920" t="s">
        <v>620</v>
      </c>
      <c r="AA91" s="920" t="s">
        <v>621</v>
      </c>
      <c r="AI91" s="920" t="s">
        <v>622</v>
      </c>
    </row>
    <row r="92" s="920" customFormat="true" ht="14.25" hidden="false" customHeight="true" outlineLevel="0" collapsed="false">
      <c r="AI92" s="1254" t="n">
        <f aca="false">AI58</f>
        <v>0.024</v>
      </c>
      <c r="AJ92" s="1254"/>
      <c r="AK92" s="1255" t="s">
        <v>623</v>
      </c>
    </row>
    <row r="93" s="920" customFormat="true" ht="14.25" hidden="false" customHeight="true" outlineLevel="0" collapsed="false"/>
    <row r="94" customFormat="false" ht="24.75" hidden="false" customHeight="true" outlineLevel="0" collapsed="false">
      <c r="B94" s="1201" t="s">
        <v>624</v>
      </c>
      <c r="C94" s="1201"/>
      <c r="D94" s="1201"/>
      <c r="E94" s="1201"/>
      <c r="F94" s="1201"/>
      <c r="I94" s="1201" t="s">
        <v>625</v>
      </c>
      <c r="J94" s="1201"/>
      <c r="K94" s="1201"/>
      <c r="L94" s="1201"/>
      <c r="M94" s="1201"/>
      <c r="N94" s="1201"/>
      <c r="Q94" s="1201" t="s">
        <v>624</v>
      </c>
      <c r="R94" s="1201"/>
      <c r="S94" s="1201"/>
      <c r="T94" s="1201"/>
      <c r="U94" s="1201"/>
      <c r="V94" s="1201"/>
      <c r="W94" s="1201"/>
      <c r="X94" s="1201"/>
      <c r="AA94" s="1207" t="s">
        <v>626</v>
      </c>
      <c r="AB94" s="1207"/>
      <c r="AC94" s="1207"/>
      <c r="AD94" s="1207"/>
      <c r="AE94" s="1207"/>
      <c r="AF94" s="1207"/>
      <c r="AI94" s="1201" t="s">
        <v>624</v>
      </c>
      <c r="AJ94" s="1201"/>
      <c r="AK94" s="1201"/>
      <c r="AL94" s="1201"/>
      <c r="AM94" s="1201"/>
      <c r="AN94" s="1201"/>
      <c r="AO94" s="1201"/>
      <c r="AP94" s="1201"/>
    </row>
    <row r="95" customFormat="false" ht="24.75" hidden="false" customHeight="true" outlineLevel="0" collapsed="false">
      <c r="B95" s="1257" t="s">
        <v>627</v>
      </c>
      <c r="F95" s="1216" t="s">
        <v>571</v>
      </c>
      <c r="I95" s="1257" t="s">
        <v>627</v>
      </c>
      <c r="N95" s="1216" t="s">
        <v>571</v>
      </c>
      <c r="Q95" s="1257" t="s">
        <v>627</v>
      </c>
      <c r="X95" s="1216" t="s">
        <v>571</v>
      </c>
      <c r="AA95" s="1257" t="s">
        <v>627</v>
      </c>
      <c r="AF95" s="1216" t="s">
        <v>571</v>
      </c>
      <c r="AI95" s="1257" t="s">
        <v>627</v>
      </c>
      <c r="AP95" s="1216" t="s">
        <v>571</v>
      </c>
    </row>
    <row r="96" customFormat="false" ht="24.75" hidden="false" customHeight="true" outlineLevel="0" collapsed="false">
      <c r="B96" s="1221" t="s">
        <v>572</v>
      </c>
      <c r="C96" s="1221"/>
      <c r="D96" s="1221" t="s">
        <v>628</v>
      </c>
      <c r="E96" s="1221"/>
      <c r="F96" s="1221"/>
      <c r="I96" s="1221" t="s">
        <v>572</v>
      </c>
      <c r="J96" s="1221"/>
      <c r="K96" s="1258" t="s">
        <v>629</v>
      </c>
      <c r="L96" s="1258"/>
      <c r="M96" s="1258"/>
      <c r="N96" s="1258"/>
      <c r="Q96" s="1221" t="s">
        <v>572</v>
      </c>
      <c r="R96" s="1221"/>
      <c r="S96" s="1221" t="s">
        <v>630</v>
      </c>
      <c r="T96" s="1221"/>
      <c r="U96" s="1221"/>
      <c r="V96" s="1221"/>
      <c r="W96" s="1221"/>
      <c r="X96" s="1221"/>
      <c r="AA96" s="1221" t="s">
        <v>576</v>
      </c>
      <c r="AB96" s="1221" t="s">
        <v>631</v>
      </c>
      <c r="AC96" s="1221"/>
      <c r="AD96" s="1221"/>
      <c r="AE96" s="1221"/>
      <c r="AF96" s="1221"/>
      <c r="AI96" s="1221" t="s">
        <v>572</v>
      </c>
      <c r="AJ96" s="1221"/>
      <c r="AK96" s="1221" t="s">
        <v>632</v>
      </c>
      <c r="AL96" s="1221"/>
      <c r="AM96" s="1221"/>
      <c r="AN96" s="1221"/>
      <c r="AO96" s="1221"/>
      <c r="AP96" s="1221"/>
    </row>
    <row r="97" customFormat="false" ht="24.75" hidden="false" customHeight="true" outlineLevel="0" collapsed="false">
      <c r="B97" s="1221"/>
      <c r="C97" s="1221"/>
      <c r="D97" s="1259" t="s">
        <v>580</v>
      </c>
      <c r="E97" s="1228" t="s">
        <v>581</v>
      </c>
      <c r="F97" s="1221" t="s">
        <v>582</v>
      </c>
      <c r="I97" s="1221"/>
      <c r="J97" s="1221"/>
      <c r="K97" s="1260" t="s">
        <v>633</v>
      </c>
      <c r="L97" s="1221" t="s">
        <v>634</v>
      </c>
      <c r="M97" s="1221"/>
      <c r="N97" s="1221" t="s">
        <v>635</v>
      </c>
      <c r="Q97" s="1221"/>
      <c r="R97" s="1221"/>
      <c r="S97" s="1221" t="s">
        <v>636</v>
      </c>
      <c r="T97" s="1221"/>
      <c r="U97" s="1221" t="s">
        <v>637</v>
      </c>
      <c r="V97" s="1221"/>
      <c r="W97" s="1221" t="s">
        <v>638</v>
      </c>
      <c r="X97" s="1221"/>
      <c r="AA97" s="1221"/>
      <c r="AB97" s="1261" t="s">
        <v>636</v>
      </c>
      <c r="AC97" s="1262" t="s">
        <v>637</v>
      </c>
      <c r="AD97" s="1262"/>
      <c r="AE97" s="1262" t="s">
        <v>638</v>
      </c>
      <c r="AF97" s="1262"/>
      <c r="AI97" s="1221"/>
      <c r="AJ97" s="1221"/>
      <c r="AK97" s="1221" t="s">
        <v>639</v>
      </c>
      <c r="AL97" s="1221"/>
      <c r="AM97" s="1221" t="s">
        <v>640</v>
      </c>
      <c r="AN97" s="1221"/>
      <c r="AO97" s="1221" t="s">
        <v>641</v>
      </c>
      <c r="AP97" s="1221"/>
    </row>
    <row r="98" customFormat="false" ht="24.75" hidden="false" customHeight="true" outlineLevel="0" collapsed="false">
      <c r="B98" s="1263" t="s">
        <v>642</v>
      </c>
      <c r="C98" s="1263"/>
      <c r="D98" s="1264"/>
      <c r="E98" s="1264"/>
      <c r="F98" s="1264"/>
      <c r="I98" s="1263" t="s">
        <v>642</v>
      </c>
      <c r="J98" s="1263"/>
      <c r="K98" s="1265"/>
      <c r="L98" s="1265"/>
      <c r="M98" s="1265"/>
      <c r="N98" s="1265"/>
      <c r="Q98" s="1263" t="s">
        <v>642</v>
      </c>
      <c r="R98" s="1263"/>
      <c r="S98" s="1265"/>
      <c r="T98" s="1265"/>
      <c r="U98" s="1265"/>
      <c r="V98" s="1265"/>
      <c r="W98" s="1265"/>
      <c r="X98" s="1265"/>
      <c r="AA98" s="1263" t="s">
        <v>643</v>
      </c>
      <c r="AB98" s="1264"/>
      <c r="AC98" s="1263"/>
      <c r="AD98" s="1263"/>
      <c r="AE98" s="1263"/>
      <c r="AF98" s="1263"/>
      <c r="AI98" s="1263" t="s">
        <v>642</v>
      </c>
      <c r="AJ98" s="1263"/>
      <c r="AK98" s="1265"/>
      <c r="AL98" s="1265"/>
      <c r="AM98" s="1265"/>
      <c r="AN98" s="1265"/>
      <c r="AO98" s="1265"/>
      <c r="AP98" s="1265"/>
    </row>
    <row r="99" customFormat="false" ht="24.75" hidden="false" customHeight="true" outlineLevel="0" collapsed="false">
      <c r="B99" s="1263" t="s">
        <v>644</v>
      </c>
      <c r="C99" s="1263"/>
      <c r="D99" s="1266"/>
      <c r="E99" s="1264"/>
      <c r="F99" s="1264"/>
      <c r="I99" s="1263" t="s">
        <v>644</v>
      </c>
      <c r="J99" s="1263"/>
      <c r="K99" s="1265"/>
      <c r="L99" s="1265"/>
      <c r="M99" s="1265"/>
      <c r="N99" s="1265"/>
      <c r="Q99" s="1263" t="s">
        <v>644</v>
      </c>
      <c r="R99" s="1263"/>
      <c r="S99" s="1265"/>
      <c r="T99" s="1265"/>
      <c r="U99" s="1265"/>
      <c r="V99" s="1265"/>
      <c r="W99" s="1265"/>
      <c r="X99" s="1265"/>
      <c r="AA99" s="1263" t="s">
        <v>645</v>
      </c>
      <c r="AB99" s="1264"/>
      <c r="AC99" s="1263"/>
      <c r="AD99" s="1263"/>
      <c r="AE99" s="1263"/>
      <c r="AF99" s="1263"/>
      <c r="AI99" s="1263" t="s">
        <v>644</v>
      </c>
      <c r="AJ99" s="1263"/>
      <c r="AK99" s="1265"/>
      <c r="AL99" s="1265"/>
      <c r="AM99" s="1265"/>
      <c r="AN99" s="1265"/>
      <c r="AO99" s="1265"/>
      <c r="AP99" s="1265"/>
    </row>
    <row r="100" customFormat="false" ht="24.75" hidden="false" customHeight="true" outlineLevel="0" collapsed="false">
      <c r="B100" s="1263" t="s">
        <v>646</v>
      </c>
      <c r="C100" s="1263"/>
      <c r="D100" s="1264"/>
      <c r="E100" s="1264"/>
      <c r="F100" s="1264"/>
      <c r="I100" s="1263" t="s">
        <v>646</v>
      </c>
      <c r="J100" s="1263"/>
      <c r="K100" s="1265"/>
      <c r="L100" s="1265"/>
      <c r="M100" s="1265"/>
      <c r="N100" s="1265"/>
      <c r="Q100" s="1263" t="s">
        <v>646</v>
      </c>
      <c r="R100" s="1263"/>
      <c r="S100" s="1265"/>
      <c r="T100" s="1265"/>
      <c r="U100" s="1265"/>
      <c r="V100" s="1265"/>
      <c r="W100" s="1265"/>
      <c r="X100" s="1265"/>
      <c r="AA100" s="1263" t="s">
        <v>647</v>
      </c>
      <c r="AB100" s="1264"/>
      <c r="AC100" s="1263"/>
      <c r="AD100" s="1263"/>
      <c r="AE100" s="1263"/>
      <c r="AF100" s="1263"/>
      <c r="AI100" s="1263" t="s">
        <v>646</v>
      </c>
      <c r="AJ100" s="1263"/>
      <c r="AK100" s="1265"/>
      <c r="AL100" s="1265"/>
      <c r="AM100" s="1265"/>
      <c r="AN100" s="1265"/>
      <c r="AO100" s="1265"/>
      <c r="AP100" s="1265"/>
    </row>
    <row r="101" customFormat="false" ht="24.75" hidden="false" customHeight="true" outlineLevel="0" collapsed="false">
      <c r="B101" s="1263" t="s">
        <v>648</v>
      </c>
      <c r="C101" s="1263"/>
      <c r="D101" s="1264"/>
      <c r="E101" s="1264"/>
      <c r="F101" s="1264"/>
      <c r="I101" s="1263" t="s">
        <v>648</v>
      </c>
      <c r="J101" s="1263"/>
      <c r="K101" s="1265"/>
      <c r="L101" s="1265"/>
      <c r="M101" s="1265"/>
      <c r="N101" s="1265"/>
      <c r="Q101" s="1263" t="s">
        <v>648</v>
      </c>
      <c r="R101" s="1263"/>
      <c r="S101" s="1265"/>
      <c r="T101" s="1265"/>
      <c r="U101" s="1265"/>
      <c r="V101" s="1265"/>
      <c r="W101" s="1265"/>
      <c r="X101" s="1265"/>
      <c r="AA101" s="1263" t="s">
        <v>649</v>
      </c>
      <c r="AB101" s="1264"/>
      <c r="AC101" s="1263"/>
      <c r="AD101" s="1263"/>
      <c r="AE101" s="1263"/>
      <c r="AF101" s="1263"/>
      <c r="AI101" s="1263" t="s">
        <v>648</v>
      </c>
      <c r="AJ101" s="1263"/>
      <c r="AK101" s="1265"/>
      <c r="AL101" s="1265"/>
      <c r="AM101" s="1265"/>
      <c r="AN101" s="1265"/>
      <c r="AO101" s="1265"/>
      <c r="AP101" s="1265"/>
    </row>
    <row r="102" customFormat="false" ht="24.75" hidden="false" customHeight="true" outlineLevel="0" collapsed="false">
      <c r="B102" s="1221" t="s">
        <v>582</v>
      </c>
      <c r="C102" s="1221"/>
      <c r="D102" s="1267"/>
      <c r="E102" s="1267"/>
      <c r="F102" s="1268"/>
      <c r="I102" s="1221" t="s">
        <v>582</v>
      </c>
      <c r="J102" s="1221"/>
      <c r="K102" s="1265"/>
      <c r="L102" s="1265"/>
      <c r="M102" s="1265"/>
      <c r="N102" s="1241"/>
      <c r="Q102" s="1221" t="s">
        <v>582</v>
      </c>
      <c r="R102" s="1221"/>
      <c r="S102" s="1265"/>
      <c r="T102" s="1265"/>
      <c r="U102" s="1265"/>
      <c r="V102" s="1265"/>
      <c r="W102" s="1265"/>
      <c r="X102" s="1265"/>
      <c r="AA102" s="1221" t="s">
        <v>650</v>
      </c>
      <c r="AB102" s="1264"/>
      <c r="AC102" s="1263"/>
      <c r="AD102" s="1263"/>
      <c r="AE102" s="1263"/>
      <c r="AF102" s="1263"/>
      <c r="AI102" s="1221" t="s">
        <v>582</v>
      </c>
      <c r="AJ102" s="1221"/>
      <c r="AK102" s="1265"/>
      <c r="AL102" s="1265"/>
      <c r="AM102" s="1265"/>
      <c r="AN102" s="1265"/>
      <c r="AO102" s="1265"/>
      <c r="AP102" s="1265"/>
    </row>
    <row r="103" s="920" customFormat="true" ht="17.25" hidden="false" customHeight="true" outlineLevel="0" collapsed="false">
      <c r="B103" s="1198" t="s">
        <v>563</v>
      </c>
      <c r="C103" s="1199"/>
      <c r="D103" s="1199"/>
      <c r="E103" s="1199"/>
      <c r="F103" s="1199"/>
      <c r="G103" s="1200"/>
      <c r="H103" s="1199"/>
      <c r="I103" s="1198" t="s">
        <v>563</v>
      </c>
      <c r="J103" s="1199"/>
      <c r="K103" s="1199"/>
      <c r="L103" s="1199"/>
      <c r="M103" s="1199"/>
      <c r="N103" s="1199"/>
      <c r="O103" s="1199"/>
      <c r="P103" s="1199"/>
      <c r="Q103" s="1198" t="s">
        <v>563</v>
      </c>
      <c r="R103" s="1199"/>
      <c r="S103" s="1199"/>
      <c r="T103" s="1199"/>
      <c r="U103" s="1199"/>
      <c r="V103" s="1199"/>
      <c r="W103" s="1199"/>
      <c r="X103" s="1199"/>
      <c r="Y103" s="1199"/>
      <c r="Z103" s="1199"/>
      <c r="AB103" s="1199"/>
      <c r="AC103" s="1199"/>
      <c r="AD103" s="1199"/>
      <c r="AE103" s="1199"/>
      <c r="AF103" s="1199"/>
      <c r="AG103" s="1199"/>
      <c r="AH103" s="1199"/>
      <c r="AI103" s="1198" t="s">
        <v>564</v>
      </c>
      <c r="AJ103" s="1199"/>
      <c r="AK103" s="1199"/>
      <c r="AL103" s="1199"/>
      <c r="AM103" s="1199"/>
      <c r="AN103" s="1199"/>
      <c r="AO103" s="1199"/>
      <c r="AP103" s="1199"/>
    </row>
    <row r="104" customFormat="false" ht="24" hidden="false" customHeight="true" outlineLevel="0" collapsed="false">
      <c r="B104" s="1201" t="s">
        <v>565</v>
      </c>
      <c r="C104" s="1201"/>
      <c r="D104" s="1201"/>
      <c r="E104" s="1201"/>
      <c r="F104" s="1201"/>
      <c r="G104" s="1202"/>
      <c r="H104" s="1203"/>
      <c r="I104" s="1204" t="s">
        <v>566</v>
      </c>
      <c r="J104" s="1204"/>
      <c r="K104" s="1204"/>
      <c r="L104" s="1204"/>
      <c r="M104" s="1204"/>
      <c r="N104" s="1204"/>
      <c r="O104" s="1203"/>
      <c r="P104" s="1205"/>
      <c r="Q104" s="1206" t="s">
        <v>567</v>
      </c>
      <c r="R104" s="1206"/>
      <c r="S104" s="1206"/>
      <c r="T104" s="1206"/>
      <c r="U104" s="1206"/>
      <c r="V104" s="1206"/>
      <c r="W104" s="1206"/>
      <c r="X104" s="1206"/>
      <c r="Y104" s="1203"/>
      <c r="Z104" s="1203"/>
      <c r="AA104" s="1207" t="s">
        <v>568</v>
      </c>
      <c r="AB104" s="1207"/>
      <c r="AC104" s="1207"/>
      <c r="AD104" s="1207"/>
      <c r="AE104" s="1207"/>
      <c r="AF104" s="1207"/>
      <c r="AG104" s="1203"/>
      <c r="AH104" s="1203"/>
      <c r="AI104" s="1201" t="s">
        <v>569</v>
      </c>
      <c r="AJ104" s="1201"/>
      <c r="AK104" s="1201"/>
      <c r="AL104" s="1201"/>
      <c r="AM104" s="1201"/>
      <c r="AN104" s="1201"/>
      <c r="AO104" s="1201"/>
      <c r="AP104" s="1201"/>
    </row>
    <row r="105" customFormat="false" ht="32.25" hidden="false" customHeight="true" outlineLevel="0" collapsed="false">
      <c r="F105" s="1208" t="s">
        <v>570</v>
      </c>
      <c r="G105" s="1209"/>
      <c r="L105" s="1203"/>
      <c r="M105" s="1210"/>
      <c r="N105" s="1208" t="s">
        <v>570</v>
      </c>
      <c r="U105" s="1203"/>
      <c r="V105" s="1203"/>
      <c r="W105" s="1203"/>
      <c r="X105" s="1208" t="s">
        <v>570</v>
      </c>
      <c r="AD105" s="1203"/>
      <c r="AE105" s="1203"/>
      <c r="AF105" s="1208" t="s">
        <v>570</v>
      </c>
      <c r="AM105" s="1203"/>
      <c r="AN105" s="1203"/>
      <c r="AO105" s="1203"/>
      <c r="AP105" s="1208" t="s">
        <v>570</v>
      </c>
    </row>
    <row r="106" customFormat="false" ht="23.25" hidden="false" customHeight="true" outlineLevel="0" collapsed="false">
      <c r="E106" s="1211"/>
      <c r="F106" s="1212"/>
      <c r="G106" s="1209"/>
      <c r="L106" s="1211"/>
      <c r="M106" s="1211"/>
      <c r="N106" s="1212"/>
      <c r="U106" s="1211"/>
      <c r="V106" s="1211"/>
      <c r="W106" s="1211"/>
      <c r="X106" s="1212"/>
      <c r="AD106" s="1211"/>
      <c r="AE106" s="1211"/>
      <c r="AF106" s="1212"/>
      <c r="AM106" s="1211"/>
      <c r="AN106" s="1211"/>
      <c r="AO106" s="1211"/>
      <c r="AP106" s="1212"/>
    </row>
    <row r="107" customFormat="false" ht="24.75" hidden="false" customHeight="true" outlineLevel="0" collapsed="false">
      <c r="B107" s="1283" t="str">
        <f aca="false">'☆掛負収入'!A2</f>
        <v>令和8年度</v>
      </c>
      <c r="F107" s="1216" t="s">
        <v>571</v>
      </c>
      <c r="G107" s="1209"/>
      <c r="I107" s="1283" t="str">
        <f aca="false">B107</f>
        <v>令和8年度</v>
      </c>
      <c r="M107" s="1218" t="s">
        <v>571</v>
      </c>
      <c r="Q107" s="1284" t="str">
        <f aca="false">I107</f>
        <v>令和8年度</v>
      </c>
      <c r="X107" s="1216" t="s">
        <v>571</v>
      </c>
      <c r="AA107" s="1285" t="n">
        <f aca="false">AA143</f>
        <v>46507</v>
      </c>
      <c r="AB107" s="1286"/>
      <c r="AF107" s="1218" t="s">
        <v>571</v>
      </c>
      <c r="AI107" s="1284" t="str">
        <f aca="false">Q107</f>
        <v>令和8年度</v>
      </c>
      <c r="AP107" s="1216" t="s">
        <v>571</v>
      </c>
    </row>
    <row r="108" customFormat="false" ht="26.25" hidden="false" customHeight="true" outlineLevel="0" collapsed="false">
      <c r="B108" s="1221" t="s">
        <v>572</v>
      </c>
      <c r="C108" s="1221"/>
      <c r="D108" s="1222" t="s">
        <v>573</v>
      </c>
      <c r="E108" s="1222"/>
      <c r="F108" s="1223" t="n">
        <f aca="false">F74</f>
        <v>5.46</v>
      </c>
      <c r="G108" s="1209"/>
      <c r="I108" s="1221" t="s">
        <v>572</v>
      </c>
      <c r="J108" s="1221"/>
      <c r="K108" s="1224" t="s">
        <v>574</v>
      </c>
      <c r="L108" s="1224"/>
      <c r="M108" s="1275" t="n">
        <f aca="false">M74</f>
        <v>0.05</v>
      </c>
      <c r="N108" s="1209"/>
      <c r="Q108" s="1221" t="s">
        <v>572</v>
      </c>
      <c r="R108" s="1221"/>
      <c r="S108" s="1221" t="s">
        <v>575</v>
      </c>
      <c r="T108" s="1221"/>
      <c r="U108" s="1221"/>
      <c r="V108" s="1226" t="s">
        <v>574</v>
      </c>
      <c r="W108" s="1226"/>
      <c r="X108" s="1276" t="n">
        <f aca="false">X74</f>
        <v>1.1</v>
      </c>
      <c r="AA108" s="1221" t="s">
        <v>576</v>
      </c>
      <c r="AB108" s="1228" t="s">
        <v>577</v>
      </c>
      <c r="AC108" s="1228"/>
      <c r="AD108" s="1226" t="s">
        <v>578</v>
      </c>
      <c r="AE108" s="1226"/>
      <c r="AF108" s="1276" t="n">
        <f aca="false">AF74</f>
        <v>0.2</v>
      </c>
      <c r="AI108" s="1221" t="s">
        <v>572</v>
      </c>
      <c r="AJ108" s="1221"/>
      <c r="AK108" s="1221" t="s">
        <v>575</v>
      </c>
      <c r="AL108" s="1221"/>
      <c r="AM108" s="1221"/>
      <c r="AN108" s="1229" t="s">
        <v>579</v>
      </c>
      <c r="AO108" s="1229"/>
      <c r="AP108" s="1229"/>
    </row>
    <row r="109" customFormat="false" ht="26.25" hidden="false" customHeight="true" outlineLevel="0" collapsed="false">
      <c r="B109" s="1221"/>
      <c r="C109" s="1221"/>
      <c r="D109" s="1228" t="s">
        <v>580</v>
      </c>
      <c r="E109" s="1228" t="s">
        <v>581</v>
      </c>
      <c r="F109" s="1230" t="s">
        <v>582</v>
      </c>
      <c r="G109" s="1231"/>
      <c r="H109" s="1209"/>
      <c r="I109" s="1221"/>
      <c r="J109" s="1221"/>
      <c r="K109" s="1224"/>
      <c r="L109" s="1224"/>
      <c r="M109" s="1275"/>
      <c r="N109" s="1209"/>
      <c r="Q109" s="1221"/>
      <c r="R109" s="1221"/>
      <c r="S109" s="1221"/>
      <c r="T109" s="1221"/>
      <c r="U109" s="1221"/>
      <c r="V109" s="1226"/>
      <c r="W109" s="1226"/>
      <c r="X109" s="1276"/>
      <c r="AA109" s="1221"/>
      <c r="AB109" s="1228"/>
      <c r="AC109" s="1228"/>
      <c r="AD109" s="1226"/>
      <c r="AE109" s="1226"/>
      <c r="AF109" s="1276"/>
      <c r="AI109" s="1221"/>
      <c r="AJ109" s="1221"/>
      <c r="AK109" s="1221"/>
      <c r="AL109" s="1221"/>
      <c r="AM109" s="1221"/>
      <c r="AN109" s="1232" t="s">
        <v>583</v>
      </c>
      <c r="AO109" s="1232"/>
      <c r="AP109" s="1233" t="n">
        <f aca="false">AP75</f>
        <v>0.024</v>
      </c>
    </row>
    <row r="110" customFormat="false" ht="26.25" hidden="false" customHeight="true" outlineLevel="0" collapsed="false">
      <c r="B110" s="1091" t="s">
        <v>584</v>
      </c>
      <c r="C110" s="1090" t="s">
        <v>670</v>
      </c>
      <c r="D110" s="1235" t="n">
        <f aca="false">D81</f>
        <v>88960072</v>
      </c>
      <c r="E110" s="1235" t="n">
        <f aca="false">E81</f>
        <v>12136475</v>
      </c>
      <c r="F110" s="1235" t="n">
        <f aca="false">SUM(D110:E110)</f>
        <v>101096547</v>
      </c>
      <c r="G110" s="1231"/>
      <c r="H110" s="1209"/>
      <c r="I110" s="1236" t="s">
        <v>586</v>
      </c>
      <c r="J110" s="1237" t="s">
        <v>671</v>
      </c>
      <c r="K110" s="1241" t="n">
        <f aca="false">K81</f>
        <v>958301</v>
      </c>
      <c r="L110" s="1241"/>
      <c r="M110" s="1241"/>
      <c r="N110" s="1239"/>
      <c r="O110" s="1209"/>
      <c r="P110" s="1209"/>
      <c r="Q110" s="1236" t="s">
        <v>586</v>
      </c>
      <c r="R110" s="1237" t="s">
        <v>671</v>
      </c>
      <c r="S110" s="1241" t="n">
        <f aca="false">S81</f>
        <v>19172425000</v>
      </c>
      <c r="T110" s="1241"/>
      <c r="U110" s="1241"/>
      <c r="V110" s="1241" t="n">
        <f aca="false">ROUNDDOWN(S110*X108/1000,0)</f>
        <v>21089667</v>
      </c>
      <c r="W110" s="1241"/>
      <c r="X110" s="1241"/>
      <c r="Y110" s="1231"/>
      <c r="Z110" s="1209"/>
      <c r="AA110" s="1221" t="s">
        <v>672</v>
      </c>
      <c r="AB110" s="1240" t="n">
        <f aca="false">'☆振替R7'!B367</f>
        <v>7049879000</v>
      </c>
      <c r="AC110" s="1240"/>
      <c r="AD110" s="1241" t="n">
        <f aca="false">ROUNDDOWN(AB110*AF108/1000,0)</f>
        <v>1409975</v>
      </c>
      <c r="AE110" s="1241"/>
      <c r="AF110" s="1241"/>
      <c r="AG110" s="1209"/>
      <c r="AH110" s="1209"/>
      <c r="AI110" s="1236" t="s">
        <v>586</v>
      </c>
      <c r="AJ110" s="1237" t="s">
        <v>671</v>
      </c>
      <c r="AK110" s="1241" t="n">
        <f aca="false">AK81</f>
        <v>19172425000</v>
      </c>
      <c r="AL110" s="1241"/>
      <c r="AM110" s="1241"/>
      <c r="AN110" s="1241" t="n">
        <f aca="false">ROUNDDOWN(AK110*AP109/1000,0)</f>
        <v>460138</v>
      </c>
      <c r="AO110" s="1241"/>
      <c r="AP110" s="1241"/>
    </row>
    <row r="111" customFormat="false" ht="26.25" hidden="false" customHeight="true" outlineLevel="0" collapsed="false">
      <c r="B111" s="1091"/>
      <c r="C111" s="1090" t="s">
        <v>673</v>
      </c>
      <c r="D111" s="1287" t="n">
        <v>91025718</v>
      </c>
      <c r="E111" s="1287" t="n">
        <v>12133236</v>
      </c>
      <c r="F111" s="1235" t="n">
        <f aca="false">SUM(D111:E111)</f>
        <v>103158954</v>
      </c>
      <c r="G111" s="1231"/>
      <c r="H111" s="1209"/>
      <c r="I111" s="1236"/>
      <c r="J111" s="1237" t="s">
        <v>674</v>
      </c>
      <c r="K111" s="1288" t="n">
        <v>1805595</v>
      </c>
      <c r="L111" s="1288"/>
      <c r="M111" s="1288"/>
      <c r="N111" s="1239"/>
      <c r="Q111" s="1236"/>
      <c r="R111" s="1237" t="s">
        <v>674</v>
      </c>
      <c r="S111" s="1289" t="n">
        <v>18060654000</v>
      </c>
      <c r="T111" s="1289"/>
      <c r="U111" s="1289"/>
      <c r="V111" s="1241" t="n">
        <f aca="false">ROUNDDOWN(S111*X108/1000,0)</f>
        <v>19866719</v>
      </c>
      <c r="W111" s="1241"/>
      <c r="X111" s="1241"/>
      <c r="Y111" s="1231"/>
      <c r="AA111" s="1221"/>
      <c r="AB111" s="1240"/>
      <c r="AC111" s="1240"/>
      <c r="AD111" s="1241"/>
      <c r="AE111" s="1241"/>
      <c r="AF111" s="1241"/>
      <c r="AI111" s="1236"/>
      <c r="AJ111" s="1237" t="s">
        <v>674</v>
      </c>
      <c r="AK111" s="1289" t="n">
        <v>18060654000</v>
      </c>
      <c r="AL111" s="1289"/>
      <c r="AM111" s="1289"/>
      <c r="AN111" s="1241" t="n">
        <f aca="false">ROUNDDOWN(AK111*AP109/1000,0)</f>
        <v>433455</v>
      </c>
      <c r="AO111" s="1241"/>
      <c r="AP111" s="1241"/>
    </row>
    <row r="112" customFormat="false" ht="26.25" hidden="false" customHeight="true" outlineLevel="0" collapsed="false">
      <c r="B112" s="1221" t="s">
        <v>590</v>
      </c>
      <c r="C112" s="1221"/>
      <c r="D112" s="1235" t="n">
        <f aca="false">D110-D111</f>
        <v>-2065646</v>
      </c>
      <c r="E112" s="1235" t="n">
        <f aca="false">E110-E111</f>
        <v>3239</v>
      </c>
      <c r="F112" s="1235" t="n">
        <f aca="false">F110-F111</f>
        <v>-2062407</v>
      </c>
      <c r="G112" s="1231"/>
      <c r="I112" s="1221" t="s">
        <v>591</v>
      </c>
      <c r="J112" s="1221"/>
      <c r="K112" s="1241" t="n">
        <f aca="false">K110-K111</f>
        <v>-847294</v>
      </c>
      <c r="L112" s="1241"/>
      <c r="M112" s="1241"/>
      <c r="N112" s="1239"/>
      <c r="Q112" s="1221" t="s">
        <v>591</v>
      </c>
      <c r="R112" s="1221"/>
      <c r="S112" s="1241" t="n">
        <f aca="false">S110-S111</f>
        <v>1111771000</v>
      </c>
      <c r="T112" s="1241"/>
      <c r="U112" s="1241"/>
      <c r="V112" s="1241" t="n">
        <f aca="false">V110-V111</f>
        <v>1222948</v>
      </c>
      <c r="W112" s="1241"/>
      <c r="X112" s="1241"/>
      <c r="AA112" s="1221" t="s">
        <v>675</v>
      </c>
      <c r="AB112" s="1240" t="n">
        <f aca="false">'☆振替R7'!B398</f>
        <v>7043869000</v>
      </c>
      <c r="AC112" s="1240"/>
      <c r="AD112" s="1241" t="n">
        <f aca="false">ROUNDDOWN(AB112*AF108/1000,0)</f>
        <v>1408773</v>
      </c>
      <c r="AE112" s="1241"/>
      <c r="AF112" s="1241"/>
      <c r="AI112" s="1221" t="s">
        <v>591</v>
      </c>
      <c r="AJ112" s="1221"/>
      <c r="AK112" s="1241" t="n">
        <f aca="false">AK110-AK111</f>
        <v>1111771000</v>
      </c>
      <c r="AL112" s="1241"/>
      <c r="AM112" s="1241"/>
      <c r="AN112" s="1241" t="n">
        <f aca="false">AN110-AN111</f>
        <v>26683</v>
      </c>
      <c r="AO112" s="1241"/>
      <c r="AP112" s="1241"/>
    </row>
    <row r="113" customFormat="false" ht="26.25" hidden="false" customHeight="true" outlineLevel="0" collapsed="false">
      <c r="B113" s="1246" t="s">
        <v>676</v>
      </c>
      <c r="C113" s="1247" t="s">
        <v>594</v>
      </c>
      <c r="D113" s="1235" t="n">
        <f aca="false">'☆振替R7'!D351:E351+'☆振替R7'!D362</f>
        <v>32711439</v>
      </c>
      <c r="E113" s="1235" t="n">
        <f aca="false">'☆振替R7'!E362</f>
        <v>4252498</v>
      </c>
      <c r="F113" s="1235" t="n">
        <f aca="false">SUM(D113:E113)</f>
        <v>36963937</v>
      </c>
      <c r="G113" s="1231"/>
      <c r="I113" s="1246" t="s">
        <v>676</v>
      </c>
      <c r="J113" s="1247" t="s">
        <v>594</v>
      </c>
      <c r="K113" s="1241" t="n">
        <f aca="false">'☆振替R7'!F362</f>
        <v>351965</v>
      </c>
      <c r="L113" s="1241"/>
      <c r="M113" s="1241"/>
      <c r="N113" s="1239"/>
      <c r="Q113" s="1246" t="s">
        <v>676</v>
      </c>
      <c r="R113" s="1247" t="s">
        <v>594</v>
      </c>
      <c r="S113" s="1241" t="n">
        <f aca="false">'☆振替R7'!B367</f>
        <v>7049879000</v>
      </c>
      <c r="T113" s="1241"/>
      <c r="U113" s="1241"/>
      <c r="V113" s="1241" t="n">
        <f aca="false">ROUNDDOWN(S113*X108/1000,0)</f>
        <v>7754866</v>
      </c>
      <c r="W113" s="1241"/>
      <c r="X113" s="1241"/>
      <c r="AA113" s="1221"/>
      <c r="AB113" s="1240"/>
      <c r="AC113" s="1240"/>
      <c r="AD113" s="1241"/>
      <c r="AE113" s="1241"/>
      <c r="AF113" s="1241"/>
      <c r="AI113" s="1246" t="s">
        <v>676</v>
      </c>
      <c r="AJ113" s="1247" t="s">
        <v>594</v>
      </c>
      <c r="AK113" s="1241" t="n">
        <f aca="false">'☆振替R7'!B367</f>
        <v>7049879000</v>
      </c>
      <c r="AL113" s="1241"/>
      <c r="AM113" s="1241"/>
      <c r="AN113" s="1241" t="n">
        <f aca="false">ROUNDDOWN(AK113*AP109/1000,0)</f>
        <v>169197</v>
      </c>
      <c r="AO113" s="1241"/>
      <c r="AP113" s="1241"/>
    </row>
    <row r="114" customFormat="false" ht="26.25" hidden="false" customHeight="true" outlineLevel="0" collapsed="false">
      <c r="B114" s="1246" t="s">
        <v>677</v>
      </c>
      <c r="C114" s="1247" t="s">
        <v>596</v>
      </c>
      <c r="D114" s="1235" t="n">
        <f aca="false">'☆振替R7'!D382:E382+'☆振替R7'!D393</f>
        <v>32683554</v>
      </c>
      <c r="E114" s="1235" t="n">
        <f aca="false">'☆振替R7'!E393</f>
        <v>4256616</v>
      </c>
      <c r="F114" s="1235" t="n">
        <f aca="false">SUM(D114:E114)</f>
        <v>36940170</v>
      </c>
      <c r="G114" s="1231"/>
      <c r="I114" s="1246" t="s">
        <v>677</v>
      </c>
      <c r="J114" s="1247" t="s">
        <v>596</v>
      </c>
      <c r="K114" s="1241" t="n">
        <f aca="false">'☆振替R7'!F393</f>
        <v>351979</v>
      </c>
      <c r="L114" s="1241"/>
      <c r="M114" s="1241"/>
      <c r="N114" s="1239"/>
      <c r="Q114" s="1246" t="s">
        <v>677</v>
      </c>
      <c r="R114" s="1247" t="s">
        <v>596</v>
      </c>
      <c r="S114" s="1241" t="n">
        <f aca="false">'☆振替R7'!B398</f>
        <v>7043869000</v>
      </c>
      <c r="T114" s="1241"/>
      <c r="U114" s="1241"/>
      <c r="V114" s="1241" t="n">
        <f aca="false">ROUNDDOWN(S114*X108/1000,0)</f>
        <v>7748255</v>
      </c>
      <c r="W114" s="1241"/>
      <c r="X114" s="1241"/>
      <c r="AA114" s="1221" t="s">
        <v>678</v>
      </c>
      <c r="AB114" s="1240" t="n">
        <f aca="false">'☆振替R7'!B429+'☆振替R7'!B460</f>
        <v>9590667000</v>
      </c>
      <c r="AC114" s="1240"/>
      <c r="AD114" s="1241" t="n">
        <f aca="false">ROUNDDOWN(AB114*AF108/1000,0)</f>
        <v>1918133</v>
      </c>
      <c r="AE114" s="1241"/>
      <c r="AF114" s="1241"/>
      <c r="AI114" s="1246" t="s">
        <v>677</v>
      </c>
      <c r="AJ114" s="1247" t="s">
        <v>596</v>
      </c>
      <c r="AK114" s="1241" t="n">
        <f aca="false">'☆振替R7'!B398</f>
        <v>7043869000</v>
      </c>
      <c r="AL114" s="1241"/>
      <c r="AM114" s="1241"/>
      <c r="AN114" s="1241" t="n">
        <f aca="false">ROUNDDOWN(AK114*AP109/1000,0)</f>
        <v>169052</v>
      </c>
      <c r="AO114" s="1241"/>
      <c r="AP114" s="1241"/>
    </row>
    <row r="115" customFormat="false" ht="26.25" hidden="false" customHeight="true" outlineLevel="0" collapsed="false">
      <c r="B115" s="1246" t="s">
        <v>679</v>
      </c>
      <c r="C115" s="1247" t="s">
        <v>599</v>
      </c>
      <c r="D115" s="1235" t="n">
        <f aca="false">'☆振替R7'!D413:E413+'☆振替R7'!D424+'☆振替R7'!D444:E444+'☆振替R7'!D455</f>
        <v>44500705</v>
      </c>
      <c r="E115" s="1235" t="n">
        <f aca="false">'☆振替R7'!E424+'☆振替R7'!E455</f>
        <v>5958100</v>
      </c>
      <c r="F115" s="1235" t="n">
        <f aca="false">SUM(D115:E115)</f>
        <v>50458805</v>
      </c>
      <c r="G115" s="1209"/>
      <c r="I115" s="1246" t="s">
        <v>679</v>
      </c>
      <c r="J115" s="1247" t="s">
        <v>600</v>
      </c>
      <c r="K115" s="1241" t="n">
        <f aca="false">'☆振替R7'!F424+'☆振替R7'!F455</f>
        <v>481230</v>
      </c>
      <c r="L115" s="1241"/>
      <c r="M115" s="1241"/>
      <c r="N115" s="1239"/>
      <c r="Q115" s="1246" t="s">
        <v>679</v>
      </c>
      <c r="R115" s="1247" t="s">
        <v>600</v>
      </c>
      <c r="S115" s="1241" t="n">
        <f aca="false">'☆振替R7'!B429+'☆振替R7'!B460</f>
        <v>9590667000</v>
      </c>
      <c r="T115" s="1241"/>
      <c r="U115" s="1241"/>
      <c r="V115" s="1241" t="n">
        <f aca="false">ROUNDDOWN(S115*X108/1000,0)</f>
        <v>10549733</v>
      </c>
      <c r="W115" s="1241"/>
      <c r="X115" s="1241"/>
      <c r="AA115" s="1221"/>
      <c r="AB115" s="1240"/>
      <c r="AC115" s="1240"/>
      <c r="AD115" s="1241"/>
      <c r="AE115" s="1241"/>
      <c r="AF115" s="1241"/>
      <c r="AI115" s="1246" t="s">
        <v>679</v>
      </c>
      <c r="AJ115" s="1247" t="s">
        <v>600</v>
      </c>
      <c r="AK115" s="1241" t="n">
        <f aca="false">'☆振替R7'!B429+'☆振替R7'!B460</f>
        <v>9590667000</v>
      </c>
      <c r="AL115" s="1241"/>
      <c r="AM115" s="1241"/>
      <c r="AN115" s="1241" t="n">
        <f aca="false">ROUNDDOWN(AK115*AP109/1000,0)</f>
        <v>230176</v>
      </c>
      <c r="AO115" s="1241"/>
      <c r="AP115" s="1241"/>
    </row>
    <row r="116" customFormat="false" ht="26.25" hidden="false" customHeight="true" outlineLevel="0" collapsed="false">
      <c r="B116" s="1221" t="s">
        <v>601</v>
      </c>
      <c r="C116" s="1221"/>
      <c r="D116" s="1235" t="n">
        <f aca="false">SUM(D113:D115)</f>
        <v>109895698</v>
      </c>
      <c r="E116" s="1235" t="n">
        <f aca="false">SUM(E113:E115)</f>
        <v>14467214</v>
      </c>
      <c r="F116" s="1235" t="n">
        <f aca="false">SUM(D116:E116)</f>
        <v>124362912</v>
      </c>
      <c r="G116" s="1209"/>
      <c r="I116" s="1221" t="s">
        <v>601</v>
      </c>
      <c r="J116" s="1221"/>
      <c r="K116" s="1241" t="n">
        <f aca="false">SUM(K113:M115)</f>
        <v>1185174</v>
      </c>
      <c r="L116" s="1241"/>
      <c r="M116" s="1241"/>
      <c r="N116" s="1239"/>
      <c r="Q116" s="1221" t="s">
        <v>601</v>
      </c>
      <c r="R116" s="1221"/>
      <c r="S116" s="1241" t="n">
        <f aca="false">SUM(S113:U115)</f>
        <v>23684415000</v>
      </c>
      <c r="T116" s="1241"/>
      <c r="U116" s="1241"/>
      <c r="V116" s="1241" t="n">
        <f aca="false">SUM(V113:X115)</f>
        <v>26052854</v>
      </c>
      <c r="W116" s="1241"/>
      <c r="X116" s="1241"/>
      <c r="AA116" s="1221" t="s">
        <v>375</v>
      </c>
      <c r="AB116" s="1240" t="n">
        <f aca="false">SUM(AB110:AC115)</f>
        <v>23684415000</v>
      </c>
      <c r="AC116" s="1240"/>
      <c r="AD116" s="1241" t="n">
        <f aca="false">SUM(AD110:AF115)</f>
        <v>4736881</v>
      </c>
      <c r="AE116" s="1241"/>
      <c r="AF116" s="1241"/>
      <c r="AI116" s="1221" t="s">
        <v>601</v>
      </c>
      <c r="AJ116" s="1221"/>
      <c r="AK116" s="1241" t="n">
        <f aca="false">SUM(AK113:AM115)</f>
        <v>23684415000</v>
      </c>
      <c r="AL116" s="1241"/>
      <c r="AM116" s="1241"/>
      <c r="AN116" s="1241" t="n">
        <f aca="false">SUM(AN113:AP115)</f>
        <v>568425</v>
      </c>
      <c r="AO116" s="1241"/>
      <c r="AP116" s="1241"/>
    </row>
    <row r="117" customFormat="false" ht="26.25" hidden="false" customHeight="true" outlineLevel="0" collapsed="false">
      <c r="B117" s="1221" t="s">
        <v>602</v>
      </c>
      <c r="C117" s="1221"/>
      <c r="D117" s="1235" t="n">
        <f aca="false">D112+D116</f>
        <v>107830052</v>
      </c>
      <c r="E117" s="1235" t="n">
        <f aca="false">E112+E116</f>
        <v>14470453</v>
      </c>
      <c r="F117" s="1248" t="n">
        <f aca="false">SUM(D117:E117)</f>
        <v>122300505</v>
      </c>
      <c r="G117" s="1209"/>
      <c r="I117" s="1221" t="s">
        <v>602</v>
      </c>
      <c r="J117" s="1221"/>
      <c r="K117" s="1241" t="n">
        <f aca="false">K112+K116</f>
        <v>337880</v>
      </c>
      <c r="L117" s="1241"/>
      <c r="M117" s="1241"/>
      <c r="N117" s="1249"/>
      <c r="Q117" s="1221" t="s">
        <v>602</v>
      </c>
      <c r="R117" s="1221"/>
      <c r="S117" s="1241" t="n">
        <f aca="false">S112+S116</f>
        <v>24796186000</v>
      </c>
      <c r="T117" s="1241"/>
      <c r="U117" s="1241"/>
      <c r="V117" s="1250" t="n">
        <f aca="false">V112+V116</f>
        <v>27275802</v>
      </c>
      <c r="W117" s="1250"/>
      <c r="X117" s="1250"/>
      <c r="AA117" s="1221"/>
      <c r="AB117" s="1240"/>
      <c r="AC117" s="1240"/>
      <c r="AD117" s="1241"/>
      <c r="AE117" s="1241"/>
      <c r="AF117" s="1241"/>
      <c r="AI117" s="1221" t="s">
        <v>602</v>
      </c>
      <c r="AJ117" s="1221"/>
      <c r="AK117" s="1241" t="n">
        <f aca="false">AK112+AK116</f>
        <v>24796186000</v>
      </c>
      <c r="AL117" s="1241"/>
      <c r="AM117" s="1241"/>
      <c r="AN117" s="1250" t="n">
        <f aca="false">AN112+AN116</f>
        <v>595108</v>
      </c>
      <c r="AO117" s="1250"/>
      <c r="AP117" s="1250"/>
    </row>
    <row r="118" customFormat="false" ht="7.5" hidden="false" customHeight="true" outlineLevel="0" collapsed="false">
      <c r="G118" s="1209"/>
      <c r="N118" s="1209"/>
      <c r="AF118" s="1209"/>
    </row>
    <row r="119" s="920" customFormat="true" ht="20.25" hidden="false" customHeight="true" outlineLevel="0" collapsed="false">
      <c r="B119" s="1251" t="s">
        <v>603</v>
      </c>
      <c r="C119" s="1252"/>
      <c r="D119" s="1252"/>
      <c r="E119" s="1252"/>
      <c r="F119" s="1252"/>
      <c r="G119" s="1253"/>
      <c r="I119" s="1251" t="s">
        <v>603</v>
      </c>
      <c r="J119" s="1251"/>
      <c r="K119" s="1251"/>
      <c r="L119" s="1251"/>
      <c r="M119" s="1251"/>
      <c r="N119" s="1251"/>
      <c r="Q119" s="1251" t="s">
        <v>603</v>
      </c>
      <c r="R119" s="1251"/>
      <c r="S119" s="1251"/>
      <c r="T119" s="1251"/>
      <c r="U119" s="1251"/>
      <c r="V119" s="1251"/>
      <c r="W119" s="1252"/>
      <c r="X119" s="1252"/>
      <c r="AA119" s="1251" t="s">
        <v>603</v>
      </c>
      <c r="AB119" s="1252"/>
      <c r="AC119" s="1252"/>
      <c r="AD119" s="1252"/>
      <c r="AE119" s="1252"/>
      <c r="AF119" s="1252"/>
      <c r="AI119" s="1251" t="s">
        <v>604</v>
      </c>
      <c r="AJ119" s="1251"/>
      <c r="AK119" s="1251"/>
      <c r="AL119" s="1251"/>
      <c r="AM119" s="1251"/>
      <c r="AN119" s="1251"/>
      <c r="AO119" s="1252"/>
      <c r="AP119" s="1252"/>
    </row>
    <row r="120" s="920" customFormat="true" ht="20.25" hidden="false" customHeight="true" outlineLevel="0" collapsed="false">
      <c r="B120" s="920" t="s">
        <v>605</v>
      </c>
      <c r="G120" s="1253"/>
      <c r="I120" s="920" t="s">
        <v>606</v>
      </c>
      <c r="Q120" s="920" t="s">
        <v>606</v>
      </c>
      <c r="AA120" s="920" t="s">
        <v>606</v>
      </c>
      <c r="AI120" s="920" t="s">
        <v>606</v>
      </c>
    </row>
    <row r="121" s="920" customFormat="true" ht="20.25" hidden="false" customHeight="true" outlineLevel="0" collapsed="false">
      <c r="B121" s="920" t="s">
        <v>607</v>
      </c>
      <c r="G121" s="1253"/>
      <c r="H121" s="1253"/>
      <c r="I121" s="920" t="s">
        <v>608</v>
      </c>
      <c r="O121" s="1253"/>
      <c r="P121" s="1253"/>
      <c r="Q121" s="920" t="s">
        <v>609</v>
      </c>
      <c r="Y121" s="1253"/>
      <c r="Z121" s="1253"/>
      <c r="AA121" s="920" t="s">
        <v>609</v>
      </c>
      <c r="AG121" s="1253"/>
      <c r="AH121" s="1253"/>
      <c r="AI121" s="920" t="s">
        <v>609</v>
      </c>
    </row>
    <row r="122" s="920" customFormat="true" ht="20.25" hidden="false" customHeight="true" outlineLevel="0" collapsed="false">
      <c r="B122" s="920" t="s">
        <v>610</v>
      </c>
      <c r="G122" s="1253"/>
      <c r="I122" s="920" t="s">
        <v>611</v>
      </c>
      <c r="Q122" s="920" t="s">
        <v>612</v>
      </c>
      <c r="AA122" s="920" t="s">
        <v>612</v>
      </c>
      <c r="AI122" s="920" t="s">
        <v>612</v>
      </c>
    </row>
    <row r="123" s="920" customFormat="true" ht="20.25" hidden="false" customHeight="true" outlineLevel="0" collapsed="false">
      <c r="B123" s="920" t="s">
        <v>613</v>
      </c>
      <c r="G123" s="1253"/>
      <c r="I123" s="920" t="s">
        <v>614</v>
      </c>
      <c r="Q123" s="920" t="s">
        <v>614</v>
      </c>
      <c r="AA123" s="920" t="s">
        <v>614</v>
      </c>
      <c r="AI123" s="920" t="s">
        <v>614</v>
      </c>
    </row>
    <row r="124" s="920" customFormat="true" ht="20.25" hidden="false" customHeight="true" outlineLevel="0" collapsed="false">
      <c r="B124" s="920" t="s">
        <v>615</v>
      </c>
      <c r="I124" s="920" t="s">
        <v>616</v>
      </c>
      <c r="Q124" s="920" t="s">
        <v>617</v>
      </c>
      <c r="AA124" s="920" t="s">
        <v>617</v>
      </c>
      <c r="AI124" s="920" t="s">
        <v>618</v>
      </c>
    </row>
    <row r="125" s="920" customFormat="true" ht="20.25" hidden="false" customHeight="true" outlineLevel="0" collapsed="false">
      <c r="B125" s="920" t="s">
        <v>619</v>
      </c>
      <c r="I125" s="920" t="s">
        <v>619</v>
      </c>
      <c r="Q125" s="920" t="s">
        <v>620</v>
      </c>
      <c r="AA125" s="920" t="s">
        <v>621</v>
      </c>
      <c r="AI125" s="920" t="s">
        <v>622</v>
      </c>
    </row>
    <row r="126" s="920" customFormat="true" ht="14.25" hidden="false" customHeight="true" outlineLevel="0" collapsed="false">
      <c r="AI126" s="1254" t="n">
        <f aca="false">AI92</f>
        <v>0.024</v>
      </c>
      <c r="AJ126" s="1254"/>
      <c r="AK126" s="1255" t="s">
        <v>623</v>
      </c>
    </row>
    <row r="127" s="920" customFormat="true" ht="14.25" hidden="false" customHeight="true" outlineLevel="0" collapsed="false"/>
    <row r="128" customFormat="false" ht="24.75" hidden="false" customHeight="true" outlineLevel="0" collapsed="false">
      <c r="B128" s="1201" t="s">
        <v>624</v>
      </c>
      <c r="C128" s="1201"/>
      <c r="D128" s="1201"/>
      <c r="E128" s="1201"/>
      <c r="F128" s="1201"/>
      <c r="I128" s="1201" t="s">
        <v>625</v>
      </c>
      <c r="J128" s="1201"/>
      <c r="K128" s="1201"/>
      <c r="L128" s="1201"/>
      <c r="M128" s="1201"/>
      <c r="N128" s="1201"/>
      <c r="Q128" s="1201" t="s">
        <v>624</v>
      </c>
      <c r="R128" s="1201"/>
      <c r="S128" s="1201"/>
      <c r="T128" s="1201"/>
      <c r="U128" s="1201"/>
      <c r="V128" s="1201"/>
      <c r="W128" s="1201"/>
      <c r="X128" s="1201"/>
      <c r="AA128" s="1207" t="s">
        <v>626</v>
      </c>
      <c r="AB128" s="1207"/>
      <c r="AC128" s="1207"/>
      <c r="AD128" s="1207"/>
      <c r="AE128" s="1207"/>
      <c r="AF128" s="1207"/>
      <c r="AI128" s="1201" t="s">
        <v>624</v>
      </c>
      <c r="AJ128" s="1201"/>
      <c r="AK128" s="1201"/>
      <c r="AL128" s="1201"/>
      <c r="AM128" s="1201"/>
      <c r="AN128" s="1201"/>
      <c r="AO128" s="1201"/>
      <c r="AP128" s="1201"/>
    </row>
    <row r="129" customFormat="false" ht="24.75" hidden="false" customHeight="true" outlineLevel="0" collapsed="false">
      <c r="B129" s="1290" t="str">
        <f aca="false">'☆掛負収入'!A2</f>
        <v>令和8年度</v>
      </c>
      <c r="F129" s="1216" t="s">
        <v>571</v>
      </c>
      <c r="I129" s="1290" t="str">
        <f aca="false">B129</f>
        <v>令和8年度</v>
      </c>
      <c r="N129" s="1216" t="s">
        <v>571</v>
      </c>
      <c r="Q129" s="1290" t="str">
        <f aca="false">I129</f>
        <v>令和8年度</v>
      </c>
      <c r="X129" s="1216" t="s">
        <v>571</v>
      </c>
      <c r="AA129" s="1290" t="str">
        <f aca="false">Q129</f>
        <v>令和8年度</v>
      </c>
      <c r="AF129" s="1216" t="s">
        <v>571</v>
      </c>
      <c r="AI129" s="1290" t="str">
        <f aca="false">AA129</f>
        <v>令和8年度</v>
      </c>
      <c r="AP129" s="1216" t="s">
        <v>571</v>
      </c>
    </row>
    <row r="130" customFormat="false" ht="24.75" hidden="false" customHeight="true" outlineLevel="0" collapsed="false">
      <c r="B130" s="1221" t="s">
        <v>572</v>
      </c>
      <c r="C130" s="1221"/>
      <c r="D130" s="1222" t="s">
        <v>680</v>
      </c>
      <c r="E130" s="1222"/>
      <c r="F130" s="1223" t="n">
        <f aca="false">F108</f>
        <v>5.46</v>
      </c>
      <c r="I130" s="1221" t="s">
        <v>572</v>
      </c>
      <c r="J130" s="1221"/>
      <c r="K130" s="1258" t="s">
        <v>629</v>
      </c>
      <c r="L130" s="1258"/>
      <c r="M130" s="1258"/>
      <c r="N130" s="1258"/>
      <c r="Q130" s="1221" t="s">
        <v>572</v>
      </c>
      <c r="R130" s="1221"/>
      <c r="S130" s="1221" t="s">
        <v>630</v>
      </c>
      <c r="T130" s="1221"/>
      <c r="U130" s="1221"/>
      <c r="V130" s="1221"/>
      <c r="W130" s="1221"/>
      <c r="X130" s="1221"/>
      <c r="AA130" s="1221" t="s">
        <v>576</v>
      </c>
      <c r="AB130" s="1221" t="s">
        <v>631</v>
      </c>
      <c r="AC130" s="1221"/>
      <c r="AD130" s="1221"/>
      <c r="AE130" s="1221"/>
      <c r="AF130" s="1221"/>
      <c r="AI130" s="1221" t="s">
        <v>572</v>
      </c>
      <c r="AJ130" s="1221"/>
      <c r="AK130" s="1221" t="s">
        <v>632</v>
      </c>
      <c r="AL130" s="1221"/>
      <c r="AM130" s="1221"/>
      <c r="AN130" s="1221"/>
      <c r="AO130" s="1221"/>
      <c r="AP130" s="1221"/>
    </row>
    <row r="131" customFormat="false" ht="24.75" hidden="false" customHeight="true" outlineLevel="0" collapsed="false">
      <c r="B131" s="1221"/>
      <c r="C131" s="1221"/>
      <c r="D131" s="1259" t="s">
        <v>580</v>
      </c>
      <c r="E131" s="1228" t="s">
        <v>581</v>
      </c>
      <c r="F131" s="1230" t="s">
        <v>582</v>
      </c>
      <c r="I131" s="1221"/>
      <c r="J131" s="1221"/>
      <c r="K131" s="1260" t="s">
        <v>633</v>
      </c>
      <c r="L131" s="1221" t="s">
        <v>634</v>
      </c>
      <c r="M131" s="1221"/>
      <c r="N131" s="1221" t="s">
        <v>635</v>
      </c>
      <c r="Q131" s="1221"/>
      <c r="R131" s="1221"/>
      <c r="S131" s="1221" t="s">
        <v>636</v>
      </c>
      <c r="T131" s="1221"/>
      <c r="U131" s="1221" t="s">
        <v>637</v>
      </c>
      <c r="V131" s="1221"/>
      <c r="W131" s="1221" t="s">
        <v>638</v>
      </c>
      <c r="X131" s="1221"/>
      <c r="AA131" s="1221"/>
      <c r="AB131" s="1261" t="s">
        <v>636</v>
      </c>
      <c r="AC131" s="1262" t="s">
        <v>637</v>
      </c>
      <c r="AD131" s="1262"/>
      <c r="AE131" s="1262" t="s">
        <v>638</v>
      </c>
      <c r="AF131" s="1262"/>
      <c r="AI131" s="1221"/>
      <c r="AJ131" s="1221"/>
      <c r="AK131" s="1221" t="s">
        <v>639</v>
      </c>
      <c r="AL131" s="1221"/>
      <c r="AM131" s="1221" t="s">
        <v>640</v>
      </c>
      <c r="AN131" s="1221"/>
      <c r="AO131" s="1221" t="s">
        <v>641</v>
      </c>
      <c r="AP131" s="1221"/>
    </row>
    <row r="132" customFormat="false" ht="24.75" hidden="false" customHeight="true" outlineLevel="0" collapsed="false">
      <c r="B132" s="1263" t="s">
        <v>642</v>
      </c>
      <c r="C132" s="1263"/>
      <c r="D132" s="1268" t="n">
        <f aca="false">'☆振替R7'!D475+'☆振替R7'!D486</f>
        <v>1582473</v>
      </c>
      <c r="E132" s="1268" t="n">
        <f aca="false">'☆振替R7'!E486</f>
        <v>224681</v>
      </c>
      <c r="F132" s="1268" t="n">
        <f aca="false">SUM(D132:E132)</f>
        <v>1807154</v>
      </c>
      <c r="I132" s="1263" t="s">
        <v>642</v>
      </c>
      <c r="J132" s="1263"/>
      <c r="K132" s="1241" t="n">
        <f aca="false">L132+N132</f>
        <v>609510</v>
      </c>
      <c r="L132" s="1241" t="n">
        <f aca="false">'☆振替R7'!F114</f>
        <v>592581</v>
      </c>
      <c r="M132" s="1241"/>
      <c r="N132" s="1241" t="n">
        <f aca="false">'☆振替R7'!F486</f>
        <v>16929</v>
      </c>
      <c r="Q132" s="1263" t="s">
        <v>642</v>
      </c>
      <c r="R132" s="1263"/>
      <c r="S132" s="1241" t="n">
        <f aca="false">U132+W132</f>
        <v>13410924</v>
      </c>
      <c r="T132" s="1241"/>
      <c r="U132" s="1241" t="n">
        <f aca="false">'☆振替R7'!H117</f>
        <v>13035769</v>
      </c>
      <c r="V132" s="1241"/>
      <c r="W132" s="1241" t="n">
        <f aca="false">'☆振替R7'!H489</f>
        <v>375155</v>
      </c>
      <c r="X132" s="1241"/>
      <c r="AA132" s="1263" t="s">
        <v>643</v>
      </c>
      <c r="AB132" s="1241"/>
      <c r="AC132" s="1241"/>
      <c r="AD132" s="1241"/>
      <c r="AE132" s="1241"/>
      <c r="AF132" s="1241"/>
      <c r="AI132" s="1263" t="s">
        <v>642</v>
      </c>
      <c r="AJ132" s="1263"/>
      <c r="AK132" s="1241" t="n">
        <f aca="false">AM132+AO132</f>
        <v>292602</v>
      </c>
      <c r="AL132" s="1241"/>
      <c r="AM132" s="1241" t="n">
        <f aca="false">'☆振替R7'!H121</f>
        <v>284417</v>
      </c>
      <c r="AN132" s="1241"/>
      <c r="AO132" s="1241" t="n">
        <f aca="false">'☆振替R7'!H493</f>
        <v>8185</v>
      </c>
      <c r="AP132" s="1241"/>
    </row>
    <row r="133" customFormat="false" ht="24.75" hidden="false" customHeight="true" outlineLevel="0" collapsed="false">
      <c r="B133" s="1263" t="s">
        <v>644</v>
      </c>
      <c r="C133" s="1263"/>
      <c r="D133" s="1235"/>
      <c r="E133" s="1268"/>
      <c r="F133" s="1291"/>
      <c r="I133" s="1263" t="s">
        <v>644</v>
      </c>
      <c r="J133" s="1263"/>
      <c r="K133" s="1241"/>
      <c r="L133" s="1241"/>
      <c r="M133" s="1241"/>
      <c r="N133" s="1241"/>
      <c r="Q133" s="1263" t="s">
        <v>644</v>
      </c>
      <c r="R133" s="1263"/>
      <c r="S133" s="1241"/>
      <c r="T133" s="1241"/>
      <c r="U133" s="1241"/>
      <c r="V133" s="1241"/>
      <c r="W133" s="1241"/>
      <c r="X133" s="1241"/>
      <c r="AA133" s="1263" t="s">
        <v>645</v>
      </c>
      <c r="AB133" s="1241" t="n">
        <f aca="false">AC133+AE133</f>
        <v>2438350</v>
      </c>
      <c r="AC133" s="1241" t="n">
        <f aca="false">'☆振替R7'!H119</f>
        <v>2370140</v>
      </c>
      <c r="AD133" s="1241"/>
      <c r="AE133" s="1241" t="n">
        <f aca="false">'☆振替R7'!H491</f>
        <v>68210</v>
      </c>
      <c r="AF133" s="1241"/>
      <c r="AI133" s="1263" t="s">
        <v>644</v>
      </c>
      <c r="AJ133" s="1263"/>
      <c r="AK133" s="1241"/>
      <c r="AL133" s="1241"/>
      <c r="AM133" s="1241"/>
      <c r="AN133" s="1241"/>
      <c r="AO133" s="1241"/>
      <c r="AP133" s="1241"/>
    </row>
    <row r="134" customFormat="false" ht="24.75" hidden="false" customHeight="true" outlineLevel="0" collapsed="false">
      <c r="B134" s="1263" t="s">
        <v>646</v>
      </c>
      <c r="C134" s="1263"/>
      <c r="D134" s="1268" t="n">
        <f aca="false">'☆振替R7'!D506+'☆振替R7'!D517</f>
        <v>1582475</v>
      </c>
      <c r="E134" s="1268" t="n">
        <f aca="false">'☆振替R7'!E517</f>
        <v>224669</v>
      </c>
      <c r="F134" s="1291" t="n">
        <f aca="false">SUM(D134:E134)</f>
        <v>1807144</v>
      </c>
      <c r="I134" s="1263" t="s">
        <v>646</v>
      </c>
      <c r="J134" s="1263"/>
      <c r="K134" s="1241" t="n">
        <f aca="false">L134+N134</f>
        <v>623285</v>
      </c>
      <c r="L134" s="1241" t="n">
        <f aca="false">'☆振替R7'!F300</f>
        <v>606356</v>
      </c>
      <c r="M134" s="1241"/>
      <c r="N134" s="1241" t="n">
        <f aca="false">'☆振替R7'!F517</f>
        <v>16929</v>
      </c>
      <c r="Q134" s="1263" t="s">
        <v>646</v>
      </c>
      <c r="R134" s="1263"/>
      <c r="S134" s="1241" t="n">
        <f aca="false">U134+W134</f>
        <v>13708503</v>
      </c>
      <c r="T134" s="1241"/>
      <c r="U134" s="1241" t="n">
        <f aca="false">'☆振替R7'!H303</f>
        <v>13333348</v>
      </c>
      <c r="V134" s="1241"/>
      <c r="W134" s="1241" t="n">
        <f aca="false">'☆振替R7'!H520</f>
        <v>375155</v>
      </c>
      <c r="X134" s="1241"/>
      <c r="AA134" s="1263" t="s">
        <v>647</v>
      </c>
      <c r="AB134" s="1241"/>
      <c r="AC134" s="1241"/>
      <c r="AD134" s="1241"/>
      <c r="AE134" s="1241"/>
      <c r="AF134" s="1241"/>
      <c r="AI134" s="1263" t="s">
        <v>646</v>
      </c>
      <c r="AJ134" s="1263"/>
      <c r="AK134" s="1241" t="n">
        <f aca="false">AM134+AO134</f>
        <v>299095</v>
      </c>
      <c r="AL134" s="1241"/>
      <c r="AM134" s="1241" t="n">
        <f aca="false">'☆振替R7'!H307</f>
        <v>290910</v>
      </c>
      <c r="AN134" s="1241"/>
      <c r="AO134" s="1241" t="n">
        <f aca="false">'☆振替R7'!H524</f>
        <v>8185</v>
      </c>
      <c r="AP134" s="1241"/>
    </row>
    <row r="135" customFormat="false" ht="24.75" hidden="false" customHeight="true" outlineLevel="0" collapsed="false">
      <c r="B135" s="1263" t="s">
        <v>648</v>
      </c>
      <c r="C135" s="1263"/>
      <c r="D135" s="1292"/>
      <c r="E135" s="1292"/>
      <c r="F135" s="1292"/>
      <c r="I135" s="1263" t="s">
        <v>648</v>
      </c>
      <c r="J135" s="1263"/>
      <c r="K135" s="1241"/>
      <c r="L135" s="1241"/>
      <c r="M135" s="1241"/>
      <c r="N135" s="1241"/>
      <c r="Q135" s="1263" t="s">
        <v>648</v>
      </c>
      <c r="R135" s="1263"/>
      <c r="S135" s="1241"/>
      <c r="T135" s="1241"/>
      <c r="U135" s="1241"/>
      <c r="V135" s="1241"/>
      <c r="W135" s="1241"/>
      <c r="X135" s="1241"/>
      <c r="AA135" s="1263" t="s">
        <v>649</v>
      </c>
      <c r="AB135" s="1241" t="n">
        <f aca="false">AC135+AE135</f>
        <v>2492455</v>
      </c>
      <c r="AC135" s="1241" t="n">
        <f aca="false">'☆振替R7'!H305</f>
        <v>2424245</v>
      </c>
      <c r="AD135" s="1241"/>
      <c r="AE135" s="1241" t="n">
        <f aca="false">'☆振替R7'!H522</f>
        <v>68210</v>
      </c>
      <c r="AF135" s="1241"/>
      <c r="AI135" s="1263" t="s">
        <v>648</v>
      </c>
      <c r="AJ135" s="1263"/>
      <c r="AK135" s="1241"/>
      <c r="AL135" s="1241"/>
      <c r="AM135" s="1241"/>
      <c r="AN135" s="1241"/>
      <c r="AO135" s="1241"/>
      <c r="AP135" s="1241"/>
    </row>
    <row r="136" customFormat="false" ht="24.75" hidden="false" customHeight="true" outlineLevel="0" collapsed="false">
      <c r="B136" s="1221" t="s">
        <v>582</v>
      </c>
      <c r="C136" s="1221"/>
      <c r="D136" s="1268" t="n">
        <f aca="false">SUM(D132:D135)</f>
        <v>3164948</v>
      </c>
      <c r="E136" s="1268" t="n">
        <f aca="false">SUM(E132:E135)</f>
        <v>449350</v>
      </c>
      <c r="F136" s="1268" t="n">
        <f aca="false">SUM(D136:E136)</f>
        <v>3614298</v>
      </c>
      <c r="I136" s="1221" t="s">
        <v>582</v>
      </c>
      <c r="J136" s="1221"/>
      <c r="K136" s="1241" t="n">
        <f aca="false">SUM(K132:K135)</f>
        <v>1232795</v>
      </c>
      <c r="L136" s="1241" t="n">
        <f aca="false">SUM(L132:M135)</f>
        <v>1198937</v>
      </c>
      <c r="M136" s="1241"/>
      <c r="N136" s="1241" t="n">
        <f aca="false">SUM(N132:N135)</f>
        <v>33858</v>
      </c>
      <c r="Q136" s="1221" t="s">
        <v>582</v>
      </c>
      <c r="R136" s="1221"/>
      <c r="S136" s="1241" t="n">
        <f aca="false">SUM(S132:T135)</f>
        <v>27119427</v>
      </c>
      <c r="T136" s="1241"/>
      <c r="U136" s="1241" t="n">
        <f aca="false">SUM(U132:V135)</f>
        <v>26369117</v>
      </c>
      <c r="V136" s="1241"/>
      <c r="W136" s="1241" t="n">
        <f aca="false">SUM(W132:X135)</f>
        <v>750310</v>
      </c>
      <c r="X136" s="1241"/>
      <c r="AA136" s="1221" t="s">
        <v>650</v>
      </c>
      <c r="AB136" s="1241" t="n">
        <f aca="false">SUM(AB132:AB135)</f>
        <v>4930805</v>
      </c>
      <c r="AC136" s="1241" t="n">
        <f aca="false">SUM(AC132:AD135)</f>
        <v>4794385</v>
      </c>
      <c r="AD136" s="1241"/>
      <c r="AE136" s="1241" t="n">
        <f aca="false">SUM(AE132:AF135)</f>
        <v>136420</v>
      </c>
      <c r="AF136" s="1241"/>
      <c r="AI136" s="1221" t="s">
        <v>582</v>
      </c>
      <c r="AJ136" s="1221"/>
      <c r="AK136" s="1241" t="n">
        <f aca="false">SUM(AK132:AL135)</f>
        <v>591697</v>
      </c>
      <c r="AL136" s="1241"/>
      <c r="AM136" s="1241" t="n">
        <f aca="false">SUM(AM132:AN135)</f>
        <v>575327</v>
      </c>
      <c r="AN136" s="1241"/>
      <c r="AO136" s="1241" t="n">
        <f aca="false">SUM(AO132:AP135)</f>
        <v>16370</v>
      </c>
      <c r="AP136" s="1241"/>
    </row>
    <row r="137" customFormat="false" ht="16.5" hidden="false" customHeight="true" outlineLevel="0" collapsed="false">
      <c r="B137" s="1293"/>
      <c r="C137" s="1293"/>
      <c r="D137" s="1294"/>
      <c r="E137" s="1294"/>
      <c r="F137" s="1294"/>
      <c r="I137" s="1293"/>
      <c r="J137" s="1293"/>
      <c r="K137" s="1295"/>
      <c r="L137" s="1295"/>
      <c r="M137" s="1295"/>
      <c r="N137" s="1295"/>
      <c r="Q137" s="1293"/>
      <c r="R137" s="1293"/>
      <c r="S137" s="1295"/>
      <c r="T137" s="1295"/>
      <c r="U137" s="1295"/>
      <c r="V137" s="1295"/>
      <c r="W137" s="1295"/>
      <c r="X137" s="1295"/>
      <c r="AA137" s="1293"/>
      <c r="AB137" s="1295"/>
      <c r="AC137" s="1295"/>
      <c r="AD137" s="1295"/>
      <c r="AE137" s="1295"/>
      <c r="AF137" s="1295"/>
      <c r="AI137" s="1293"/>
      <c r="AJ137" s="1293"/>
      <c r="AK137" s="1295"/>
      <c r="AL137" s="1295"/>
      <c r="AM137" s="1295"/>
      <c r="AN137" s="1295"/>
      <c r="AO137" s="1295"/>
      <c r="AP137" s="1295"/>
    </row>
    <row r="138" customFormat="false" ht="30.75" hidden="false" customHeight="true" outlineLevel="0" collapsed="false">
      <c r="B138" s="925" t="s">
        <v>681</v>
      </c>
      <c r="C138" s="582"/>
      <c r="D138" s="1296" t="str">
        <f aca="false">'☆掛負収入'!A2</f>
        <v>令和8年度</v>
      </c>
      <c r="E138" s="582"/>
      <c r="F138" s="582"/>
      <c r="I138" s="925" t="s">
        <v>682</v>
      </c>
      <c r="J138" s="582"/>
      <c r="K138" s="1297" t="str">
        <f aca="false">D138</f>
        <v>令和8年度</v>
      </c>
      <c r="L138" s="582"/>
      <c r="M138" s="582"/>
      <c r="Q138" s="925" t="s">
        <v>683</v>
      </c>
      <c r="R138" s="582"/>
      <c r="S138" s="1297" t="str">
        <f aca="false">K138</f>
        <v>令和8年度</v>
      </c>
      <c r="T138" s="582"/>
      <c r="U138" s="582"/>
      <c r="AA138" s="925" t="s">
        <v>684</v>
      </c>
      <c r="AB138" s="1297" t="str">
        <f aca="false">S138</f>
        <v>令和8年度</v>
      </c>
      <c r="AC138" s="1297"/>
      <c r="AD138" s="582"/>
      <c r="AE138" s="582"/>
      <c r="AI138" s="925" t="s">
        <v>685</v>
      </c>
      <c r="AJ138" s="582"/>
      <c r="AK138" s="1297" t="str">
        <f aca="false">AB138</f>
        <v>令和8年度</v>
      </c>
      <c r="AL138" s="582"/>
      <c r="AM138" s="582"/>
    </row>
    <row r="139" customFormat="false" ht="30.75" hidden="false" customHeight="true" outlineLevel="0" collapsed="false">
      <c r="B139" s="1298" t="s">
        <v>686</v>
      </c>
      <c r="C139" s="1299" t="s">
        <v>687</v>
      </c>
      <c r="D139" s="1293"/>
      <c r="E139" s="1293"/>
      <c r="F139" s="1293"/>
      <c r="I139" s="1298" t="s">
        <v>686</v>
      </c>
      <c r="J139" s="1298"/>
      <c r="K139" s="1299" t="s">
        <v>687</v>
      </c>
      <c r="L139" s="1293"/>
      <c r="M139" s="1293"/>
      <c r="N139" s="1293"/>
      <c r="Q139" s="1298" t="s">
        <v>686</v>
      </c>
      <c r="R139" s="1298"/>
      <c r="S139" s="1299" t="s">
        <v>687</v>
      </c>
      <c r="T139" s="1299"/>
      <c r="U139" s="1293"/>
      <c r="V139" s="1293"/>
      <c r="W139" s="1293"/>
      <c r="X139" s="1293"/>
      <c r="AA139" s="1300" t="s">
        <v>686</v>
      </c>
      <c r="AB139" s="1299" t="s">
        <v>376</v>
      </c>
      <c r="AC139" s="1293"/>
      <c r="AD139" s="1293"/>
      <c r="AE139" s="1293"/>
      <c r="AF139" s="1293"/>
      <c r="AG139" s="1293"/>
      <c r="AI139" s="1298" t="s">
        <v>686</v>
      </c>
      <c r="AJ139" s="1298"/>
      <c r="AK139" s="1299" t="s">
        <v>376</v>
      </c>
      <c r="AL139" s="1299"/>
      <c r="AM139" s="1293"/>
      <c r="AN139" s="1293"/>
      <c r="AO139" s="1293"/>
      <c r="AP139" s="1293"/>
    </row>
    <row r="140" customFormat="false" ht="30.75" hidden="false" customHeight="true" outlineLevel="0" collapsed="false">
      <c r="B140" s="1301" t="n">
        <f aca="false">'☆掛負収入'!B132</f>
        <v>46203</v>
      </c>
      <c r="C140" s="1302"/>
      <c r="D140" s="1303"/>
      <c r="E140" s="1303"/>
      <c r="F140" s="1304"/>
      <c r="I140" s="1305" t="n">
        <f aca="false">B140</f>
        <v>46203</v>
      </c>
      <c r="J140" s="1305"/>
      <c r="K140" s="1306"/>
      <c r="L140" s="1307"/>
      <c r="M140" s="1307"/>
      <c r="N140" s="1308"/>
      <c r="Q140" s="1305" t="n">
        <f aca="false">I140</f>
        <v>46203</v>
      </c>
      <c r="R140" s="1305"/>
      <c r="S140" s="1309"/>
      <c r="T140" s="1309"/>
      <c r="U140" s="1310"/>
      <c r="V140" s="1310"/>
      <c r="W140" s="1311"/>
      <c r="X140" s="1311"/>
      <c r="AA140" s="1312" t="n">
        <f aca="false">EOMONTH(Q140,1)</f>
        <v>46234</v>
      </c>
      <c r="AB140" s="1306"/>
      <c r="AC140" s="1310"/>
      <c r="AD140" s="1310"/>
      <c r="AE140" s="1311"/>
      <c r="AF140" s="1311"/>
      <c r="AG140" s="1311"/>
      <c r="AI140" s="1305" t="n">
        <f aca="false">Q140</f>
        <v>46203</v>
      </c>
      <c r="AJ140" s="1305"/>
      <c r="AK140" s="1313"/>
      <c r="AL140" s="1313"/>
      <c r="AM140" s="1314"/>
      <c r="AN140" s="1314"/>
      <c r="AO140" s="1295"/>
      <c r="AP140" s="1295"/>
    </row>
    <row r="141" customFormat="false" ht="30.75" hidden="false" customHeight="true" outlineLevel="0" collapsed="false">
      <c r="B141" s="1312" t="n">
        <f aca="false">EOMONTH(B140,3)</f>
        <v>46295</v>
      </c>
      <c r="C141" s="1315"/>
      <c r="D141" s="1303"/>
      <c r="E141" s="1303"/>
      <c r="F141" s="1304"/>
      <c r="I141" s="1312" t="n">
        <f aca="false">EOMONTH(I140,3)</f>
        <v>46295</v>
      </c>
      <c r="J141" s="1312"/>
      <c r="K141" s="1316"/>
      <c r="L141" s="1307"/>
      <c r="M141" s="1307"/>
      <c r="N141" s="1308"/>
      <c r="Q141" s="1312" t="n">
        <f aca="false">EOMONTH(Q140,3)</f>
        <v>46295</v>
      </c>
      <c r="R141" s="1312"/>
      <c r="S141" s="1316"/>
      <c r="T141" s="1316"/>
      <c r="U141" s="1310"/>
      <c r="V141" s="1310"/>
      <c r="W141" s="1311"/>
      <c r="X141" s="1311"/>
      <c r="AA141" s="1317" t="n">
        <f aca="false">EOMONTH(AA140,3)</f>
        <v>46326</v>
      </c>
      <c r="AB141" s="1316"/>
      <c r="AC141" s="1310"/>
      <c r="AD141" s="1310"/>
      <c r="AE141" s="1311"/>
      <c r="AF141" s="1311"/>
      <c r="AG141" s="1311"/>
      <c r="AI141" s="1312" t="n">
        <f aca="false">EOMONTH(AI140,3)</f>
        <v>46295</v>
      </c>
      <c r="AJ141" s="1312"/>
      <c r="AK141" s="1318"/>
      <c r="AL141" s="1318"/>
      <c r="AM141" s="1314"/>
      <c r="AN141" s="1314"/>
      <c r="AO141" s="1295"/>
      <c r="AP141" s="1295"/>
    </row>
    <row r="142" customFormat="false" ht="30.75" hidden="false" customHeight="true" outlineLevel="0" collapsed="false">
      <c r="B142" s="1312" t="n">
        <f aca="false">EOMONTH(B141,3)</f>
        <v>46387</v>
      </c>
      <c r="C142" s="1315"/>
      <c r="D142" s="1303"/>
      <c r="E142" s="1303"/>
      <c r="F142" s="1304"/>
      <c r="I142" s="1312" t="n">
        <f aca="false">EOMONTH(I141,3)</f>
        <v>46387</v>
      </c>
      <c r="J142" s="1312"/>
      <c r="K142" s="1316"/>
      <c r="L142" s="1307"/>
      <c r="M142" s="1307"/>
      <c r="N142" s="1308"/>
      <c r="Q142" s="1312" t="n">
        <f aca="false">EOMONTH(Q141,3)</f>
        <v>46387</v>
      </c>
      <c r="R142" s="1312"/>
      <c r="S142" s="1316"/>
      <c r="T142" s="1316"/>
      <c r="U142" s="1310"/>
      <c r="V142" s="1310"/>
      <c r="W142" s="1311"/>
      <c r="X142" s="1311"/>
      <c r="AA142" s="1317" t="n">
        <f aca="false">EOMONTH(AA141,3)</f>
        <v>46418</v>
      </c>
      <c r="AB142" s="1316"/>
      <c r="AC142" s="1310"/>
      <c r="AD142" s="1310"/>
      <c r="AE142" s="1311"/>
      <c r="AF142" s="1311"/>
      <c r="AG142" s="1311"/>
      <c r="AI142" s="1312" t="n">
        <f aca="false">EOMONTH(AI141,3)</f>
        <v>46387</v>
      </c>
      <c r="AJ142" s="1312"/>
      <c r="AK142" s="1319"/>
      <c r="AL142" s="1319"/>
      <c r="AM142" s="1314"/>
      <c r="AN142" s="1314"/>
      <c r="AO142" s="1295"/>
      <c r="AP142" s="1295"/>
    </row>
    <row r="143" customFormat="false" ht="30.75" hidden="false" customHeight="true" outlineLevel="0" collapsed="false">
      <c r="B143" s="1320" t="n">
        <f aca="false">EOMONTH(B142,3)</f>
        <v>46477</v>
      </c>
      <c r="C143" s="1321"/>
      <c r="D143" s="1303"/>
      <c r="E143" s="1303"/>
      <c r="F143" s="1304"/>
      <c r="I143" s="1320" t="n">
        <f aca="false">EOMONTH(I142,3)</f>
        <v>46477</v>
      </c>
      <c r="J143" s="1320"/>
      <c r="K143" s="1322"/>
      <c r="L143" s="1323"/>
      <c r="M143" s="1323"/>
      <c r="N143" s="1308"/>
      <c r="Q143" s="1320" t="n">
        <f aca="false">EOMONTH(Q142,3)</f>
        <v>46477</v>
      </c>
      <c r="R143" s="1320"/>
      <c r="S143" s="1324"/>
      <c r="T143" s="1324"/>
      <c r="U143" s="1310"/>
      <c r="V143" s="1310"/>
      <c r="W143" s="1311"/>
      <c r="X143" s="1311"/>
      <c r="AA143" s="1325" t="n">
        <f aca="false">EOMONTH(AA142,3)</f>
        <v>46507</v>
      </c>
      <c r="AB143" s="1326"/>
      <c r="AC143" s="1310"/>
      <c r="AD143" s="1310"/>
      <c r="AE143" s="1311"/>
      <c r="AF143" s="1311"/>
      <c r="AG143" s="1311"/>
      <c r="AI143" s="1320" t="n">
        <f aca="false">EOMONTH(AI142,3)</f>
        <v>46477</v>
      </c>
      <c r="AJ143" s="1320"/>
      <c r="AK143" s="1327"/>
      <c r="AL143" s="1327"/>
      <c r="AM143" s="1314"/>
      <c r="AN143" s="1314"/>
      <c r="AO143" s="1295"/>
      <c r="AP143" s="1295"/>
    </row>
    <row r="144" customFormat="false" ht="30.75" hidden="false" customHeight="true" outlineLevel="0" collapsed="false">
      <c r="B144" s="1328" t="s">
        <v>457</v>
      </c>
      <c r="C144" s="1329" t="n">
        <f aca="false">SUM(C140:C143)</f>
        <v>0</v>
      </c>
      <c r="D144" s="1304"/>
      <c r="E144" s="1304"/>
      <c r="F144" s="1304"/>
      <c r="I144" s="1330" t="s">
        <v>457</v>
      </c>
      <c r="J144" s="1330"/>
      <c r="K144" s="1331" t="n">
        <f aca="false">SUM(K140:K143)</f>
        <v>0</v>
      </c>
      <c r="L144" s="1332"/>
      <c r="M144" s="1332"/>
      <c r="N144" s="1308"/>
      <c r="Q144" s="1330" t="s">
        <v>457</v>
      </c>
      <c r="R144" s="1330"/>
      <c r="S144" s="1333" t="n">
        <f aca="false">SUM(S140:T143)</f>
        <v>0</v>
      </c>
      <c r="T144" s="1333"/>
      <c r="U144" s="1332"/>
      <c r="V144" s="1332"/>
      <c r="W144" s="1311"/>
      <c r="X144" s="1311"/>
      <c r="AA144" s="1334" t="s">
        <v>457</v>
      </c>
      <c r="AB144" s="1333" t="n">
        <f aca="false">SUM(AB140:AB143)</f>
        <v>0</v>
      </c>
      <c r="AC144" s="1332"/>
      <c r="AD144" s="1332"/>
      <c r="AE144" s="1311"/>
      <c r="AF144" s="1311"/>
      <c r="AG144" s="1311"/>
      <c r="AI144" s="1330" t="s">
        <v>457</v>
      </c>
      <c r="AJ144" s="1330"/>
      <c r="AK144" s="1335" t="n">
        <f aca="false">SUM(AK140:AL143)</f>
        <v>0</v>
      </c>
      <c r="AL144" s="1335"/>
      <c r="AM144" s="1295"/>
      <c r="AN144" s="1295"/>
      <c r="AO144" s="1295"/>
      <c r="AP144" s="1295"/>
    </row>
    <row r="150" customFormat="false" ht="18" hidden="false" customHeight="true" outlineLevel="0" collapsed="false">
      <c r="S150" s="1336"/>
    </row>
  </sheetData>
  <mergeCells count="792">
    <mergeCell ref="B2:F2"/>
    <mergeCell ref="I2:N2"/>
    <mergeCell ref="Q2:X2"/>
    <mergeCell ref="AA2:AF2"/>
    <mergeCell ref="AI2:AP2"/>
    <mergeCell ref="B6:C7"/>
    <mergeCell ref="D6:E6"/>
    <mergeCell ref="I6:J7"/>
    <mergeCell ref="K6:L7"/>
    <mergeCell ref="M6:M7"/>
    <mergeCell ref="Q6:R7"/>
    <mergeCell ref="S6:U7"/>
    <mergeCell ref="V6:W7"/>
    <mergeCell ref="X6:X7"/>
    <mergeCell ref="AA6:AA7"/>
    <mergeCell ref="AB6:AC7"/>
    <mergeCell ref="AD6:AE7"/>
    <mergeCell ref="AF6:AF7"/>
    <mergeCell ref="AI6:AJ7"/>
    <mergeCell ref="AK6:AM7"/>
    <mergeCell ref="AN6:AP6"/>
    <mergeCell ref="AN7:AO7"/>
    <mergeCell ref="B8:B9"/>
    <mergeCell ref="I8:I9"/>
    <mergeCell ref="K8:M8"/>
    <mergeCell ref="Q8:Q9"/>
    <mergeCell ref="S8:U8"/>
    <mergeCell ref="V8:X8"/>
    <mergeCell ref="AA8:AA9"/>
    <mergeCell ref="AB8:AC9"/>
    <mergeCell ref="AD8:AF9"/>
    <mergeCell ref="AI8:AI9"/>
    <mergeCell ref="AK8:AM8"/>
    <mergeCell ref="AN8:AP8"/>
    <mergeCell ref="K9:M9"/>
    <mergeCell ref="S9:U9"/>
    <mergeCell ref="V9:X9"/>
    <mergeCell ref="AK9:AM9"/>
    <mergeCell ref="AN9:AP9"/>
    <mergeCell ref="B10:C10"/>
    <mergeCell ref="I10:J10"/>
    <mergeCell ref="K10:M10"/>
    <mergeCell ref="Q10:R10"/>
    <mergeCell ref="S10:U10"/>
    <mergeCell ref="V10:X10"/>
    <mergeCell ref="AA10:AA11"/>
    <mergeCell ref="AB10:AC11"/>
    <mergeCell ref="AD10:AF11"/>
    <mergeCell ref="AI10:AJ10"/>
    <mergeCell ref="AK10:AM10"/>
    <mergeCell ref="AN10:AP10"/>
    <mergeCell ref="K11:M11"/>
    <mergeCell ref="S11:U11"/>
    <mergeCell ref="V11:X11"/>
    <mergeCell ref="AK11:AM11"/>
    <mergeCell ref="AN11:AP11"/>
    <mergeCell ref="K12:M12"/>
    <mergeCell ref="S12:U12"/>
    <mergeCell ref="V12:X12"/>
    <mergeCell ref="AA12:AA13"/>
    <mergeCell ref="AB12:AC13"/>
    <mergeCell ref="AD12:AF13"/>
    <mergeCell ref="AK12:AM12"/>
    <mergeCell ref="AN12:AP12"/>
    <mergeCell ref="K13:M13"/>
    <mergeCell ref="S13:U13"/>
    <mergeCell ref="V13:X13"/>
    <mergeCell ref="AK13:AM13"/>
    <mergeCell ref="AN13:AP13"/>
    <mergeCell ref="B14:C14"/>
    <mergeCell ref="I14:J14"/>
    <mergeCell ref="K14:M14"/>
    <mergeCell ref="Q14:R14"/>
    <mergeCell ref="S14:U14"/>
    <mergeCell ref="V14:X14"/>
    <mergeCell ref="AA14:AA15"/>
    <mergeCell ref="AB14:AC15"/>
    <mergeCell ref="AD14:AF15"/>
    <mergeCell ref="AI14:AJ14"/>
    <mergeCell ref="AK14:AM14"/>
    <mergeCell ref="AN14:AP14"/>
    <mergeCell ref="B15:C15"/>
    <mergeCell ref="I15:J15"/>
    <mergeCell ref="K15:M15"/>
    <mergeCell ref="Q15:R15"/>
    <mergeCell ref="S15:U15"/>
    <mergeCell ref="V15:X15"/>
    <mergeCell ref="AI15:AJ15"/>
    <mergeCell ref="AK15:AM15"/>
    <mergeCell ref="AN15:AP15"/>
    <mergeCell ref="AI24:AJ24"/>
    <mergeCell ref="B26:F26"/>
    <mergeCell ref="I26:N26"/>
    <mergeCell ref="Q26:X26"/>
    <mergeCell ref="AA26:AF26"/>
    <mergeCell ref="AI26:AP26"/>
    <mergeCell ref="B28:C29"/>
    <mergeCell ref="D28:F28"/>
    <mergeCell ref="I28:J29"/>
    <mergeCell ref="K28:N28"/>
    <mergeCell ref="Q28:R29"/>
    <mergeCell ref="S28:X28"/>
    <mergeCell ref="AA28:AA29"/>
    <mergeCell ref="AB28:AF28"/>
    <mergeCell ref="AI28:AJ29"/>
    <mergeCell ref="AK28:AP28"/>
    <mergeCell ref="L29:M29"/>
    <mergeCell ref="S29:T29"/>
    <mergeCell ref="U29:V29"/>
    <mergeCell ref="W29:X29"/>
    <mergeCell ref="AC29:AD29"/>
    <mergeCell ref="AE29:AF29"/>
    <mergeCell ref="AK29:AL29"/>
    <mergeCell ref="AM29:AN29"/>
    <mergeCell ref="AO29:AP29"/>
    <mergeCell ref="B30:C30"/>
    <mergeCell ref="I30:J30"/>
    <mergeCell ref="L30:M30"/>
    <mergeCell ref="Q30:R30"/>
    <mergeCell ref="S30:T30"/>
    <mergeCell ref="U30:V30"/>
    <mergeCell ref="W30:X30"/>
    <mergeCell ref="AC30:AD30"/>
    <mergeCell ref="AE30:AF30"/>
    <mergeCell ref="AI30:AJ30"/>
    <mergeCell ref="AK30:AL30"/>
    <mergeCell ref="AM30:AN30"/>
    <mergeCell ref="AO30:AP30"/>
    <mergeCell ref="B31:C31"/>
    <mergeCell ref="I31:J31"/>
    <mergeCell ref="L31:M31"/>
    <mergeCell ref="Q31:R31"/>
    <mergeCell ref="S31:T31"/>
    <mergeCell ref="U31:V31"/>
    <mergeCell ref="W31:X31"/>
    <mergeCell ref="AC31:AD31"/>
    <mergeCell ref="AE31:AF31"/>
    <mergeCell ref="AI31:AJ31"/>
    <mergeCell ref="AK31:AL31"/>
    <mergeCell ref="AM31:AN31"/>
    <mergeCell ref="AO31:AP31"/>
    <mergeCell ref="B32:C32"/>
    <mergeCell ref="I32:J32"/>
    <mergeCell ref="L32:M32"/>
    <mergeCell ref="Q32:R32"/>
    <mergeCell ref="S32:T32"/>
    <mergeCell ref="U32:V32"/>
    <mergeCell ref="W32:X32"/>
    <mergeCell ref="AC32:AD32"/>
    <mergeCell ref="AE32:AF32"/>
    <mergeCell ref="AI32:AJ32"/>
    <mergeCell ref="AK32:AL32"/>
    <mergeCell ref="AM32:AN32"/>
    <mergeCell ref="AO32:AP32"/>
    <mergeCell ref="B33:C33"/>
    <mergeCell ref="I33:J33"/>
    <mergeCell ref="L33:M33"/>
    <mergeCell ref="Q33:R33"/>
    <mergeCell ref="S33:T33"/>
    <mergeCell ref="U33:V33"/>
    <mergeCell ref="W33:X33"/>
    <mergeCell ref="AC33:AD33"/>
    <mergeCell ref="AE33:AF33"/>
    <mergeCell ref="AI33:AJ33"/>
    <mergeCell ref="AK33:AL33"/>
    <mergeCell ref="AM33:AN33"/>
    <mergeCell ref="AO33:AP33"/>
    <mergeCell ref="B34:C34"/>
    <mergeCell ref="I34:J34"/>
    <mergeCell ref="L34:M34"/>
    <mergeCell ref="Q34:R34"/>
    <mergeCell ref="S34:T34"/>
    <mergeCell ref="U34:V34"/>
    <mergeCell ref="W34:X34"/>
    <mergeCell ref="AC34:AD34"/>
    <mergeCell ref="AE34:AF34"/>
    <mergeCell ref="AI34:AJ34"/>
    <mergeCell ref="AK34:AL34"/>
    <mergeCell ref="AM34:AN34"/>
    <mergeCell ref="AO34:AP34"/>
    <mergeCell ref="B36:F36"/>
    <mergeCell ref="I36:N36"/>
    <mergeCell ref="Q36:X36"/>
    <mergeCell ref="AA36:AF36"/>
    <mergeCell ref="AI36:AP36"/>
    <mergeCell ref="B40:C41"/>
    <mergeCell ref="D40:E40"/>
    <mergeCell ref="I40:J41"/>
    <mergeCell ref="K40:L41"/>
    <mergeCell ref="M40:M41"/>
    <mergeCell ref="Q40:R41"/>
    <mergeCell ref="S40:U41"/>
    <mergeCell ref="V40:W41"/>
    <mergeCell ref="X40:X41"/>
    <mergeCell ref="AA40:AA41"/>
    <mergeCell ref="AB40:AC41"/>
    <mergeCell ref="AD40:AE41"/>
    <mergeCell ref="AF40:AF41"/>
    <mergeCell ref="AI40:AJ41"/>
    <mergeCell ref="AK40:AM41"/>
    <mergeCell ref="AN40:AP40"/>
    <mergeCell ref="AN41:AO41"/>
    <mergeCell ref="B42:B43"/>
    <mergeCell ref="I42:I43"/>
    <mergeCell ref="K42:M42"/>
    <mergeCell ref="Q42:Q43"/>
    <mergeCell ref="S42:U42"/>
    <mergeCell ref="V42:X42"/>
    <mergeCell ref="AA42:AA43"/>
    <mergeCell ref="AB42:AC43"/>
    <mergeCell ref="AD42:AF43"/>
    <mergeCell ref="AI42:AI43"/>
    <mergeCell ref="AK42:AM42"/>
    <mergeCell ref="AN42:AP42"/>
    <mergeCell ref="K43:M43"/>
    <mergeCell ref="S43:U43"/>
    <mergeCell ref="V43:X43"/>
    <mergeCell ref="AK43:AM43"/>
    <mergeCell ref="AN43:AP43"/>
    <mergeCell ref="B44:C44"/>
    <mergeCell ref="I44:J44"/>
    <mergeCell ref="K44:M44"/>
    <mergeCell ref="Q44:R44"/>
    <mergeCell ref="S44:U44"/>
    <mergeCell ref="V44:X44"/>
    <mergeCell ref="AA44:AA45"/>
    <mergeCell ref="AB44:AC45"/>
    <mergeCell ref="AD44:AF45"/>
    <mergeCell ref="AI44:AJ44"/>
    <mergeCell ref="AK44:AM44"/>
    <mergeCell ref="AN44:AP44"/>
    <mergeCell ref="K45:M45"/>
    <mergeCell ref="S45:U45"/>
    <mergeCell ref="V45:X45"/>
    <mergeCell ref="AK45:AM45"/>
    <mergeCell ref="AN45:AP45"/>
    <mergeCell ref="K46:M46"/>
    <mergeCell ref="S46:U46"/>
    <mergeCell ref="V46:X46"/>
    <mergeCell ref="AA46:AA47"/>
    <mergeCell ref="AB46:AC47"/>
    <mergeCell ref="AD46:AF47"/>
    <mergeCell ref="AK46:AM46"/>
    <mergeCell ref="AN46:AP46"/>
    <mergeCell ref="K47:M47"/>
    <mergeCell ref="S47:U47"/>
    <mergeCell ref="V47:X47"/>
    <mergeCell ref="AK47:AM47"/>
    <mergeCell ref="AN47:AP47"/>
    <mergeCell ref="B48:C48"/>
    <mergeCell ref="I48:J48"/>
    <mergeCell ref="K48:M48"/>
    <mergeCell ref="Q48:R48"/>
    <mergeCell ref="S48:U48"/>
    <mergeCell ref="V48:X48"/>
    <mergeCell ref="AA48:AA49"/>
    <mergeCell ref="AB48:AC49"/>
    <mergeCell ref="AD48:AF49"/>
    <mergeCell ref="AI48:AJ48"/>
    <mergeCell ref="AK48:AM48"/>
    <mergeCell ref="AN48:AP48"/>
    <mergeCell ref="B49:C49"/>
    <mergeCell ref="I49:J49"/>
    <mergeCell ref="K49:M49"/>
    <mergeCell ref="Q49:R49"/>
    <mergeCell ref="S49:U49"/>
    <mergeCell ref="V49:X49"/>
    <mergeCell ref="AI49:AJ49"/>
    <mergeCell ref="AK49:AM49"/>
    <mergeCell ref="AN49:AP49"/>
    <mergeCell ref="AI58:AJ58"/>
    <mergeCell ref="B60:F60"/>
    <mergeCell ref="I60:N60"/>
    <mergeCell ref="Q60:X60"/>
    <mergeCell ref="AA60:AF60"/>
    <mergeCell ref="AI60:AP60"/>
    <mergeCell ref="B62:C63"/>
    <mergeCell ref="D62:F62"/>
    <mergeCell ref="I62:J63"/>
    <mergeCell ref="K62:N62"/>
    <mergeCell ref="Q62:R63"/>
    <mergeCell ref="S62:X62"/>
    <mergeCell ref="AA62:AA63"/>
    <mergeCell ref="AB62:AF62"/>
    <mergeCell ref="AI62:AJ63"/>
    <mergeCell ref="AK62:AP62"/>
    <mergeCell ref="L63:M63"/>
    <mergeCell ref="S63:T63"/>
    <mergeCell ref="U63:V63"/>
    <mergeCell ref="W63:X63"/>
    <mergeCell ref="AC63:AD63"/>
    <mergeCell ref="AE63:AF63"/>
    <mergeCell ref="AK63:AL63"/>
    <mergeCell ref="AM63:AN63"/>
    <mergeCell ref="AO63:AP63"/>
    <mergeCell ref="B64:C64"/>
    <mergeCell ref="I64:J64"/>
    <mergeCell ref="L64:M64"/>
    <mergeCell ref="Q64:R64"/>
    <mergeCell ref="S64:T64"/>
    <mergeCell ref="U64:V64"/>
    <mergeCell ref="W64:X64"/>
    <mergeCell ref="AC64:AD64"/>
    <mergeCell ref="AE64:AF64"/>
    <mergeCell ref="AI64:AJ64"/>
    <mergeCell ref="AK64:AL64"/>
    <mergeCell ref="AM64:AN64"/>
    <mergeCell ref="AO64:AP64"/>
    <mergeCell ref="B65:C65"/>
    <mergeCell ref="I65:J65"/>
    <mergeCell ref="L65:M65"/>
    <mergeCell ref="Q65:R65"/>
    <mergeCell ref="S65:T65"/>
    <mergeCell ref="U65:V65"/>
    <mergeCell ref="W65:X65"/>
    <mergeCell ref="AC65:AD65"/>
    <mergeCell ref="AE65:AF65"/>
    <mergeCell ref="AI65:AJ65"/>
    <mergeCell ref="AK65:AL65"/>
    <mergeCell ref="AM65:AN65"/>
    <mergeCell ref="AO65:AP65"/>
    <mergeCell ref="B66:C66"/>
    <mergeCell ref="I66:J66"/>
    <mergeCell ref="L66:M66"/>
    <mergeCell ref="Q66:R66"/>
    <mergeCell ref="S66:T66"/>
    <mergeCell ref="U66:V66"/>
    <mergeCell ref="W66:X66"/>
    <mergeCell ref="AC66:AD66"/>
    <mergeCell ref="AE66:AF66"/>
    <mergeCell ref="AI66:AJ66"/>
    <mergeCell ref="AK66:AL66"/>
    <mergeCell ref="AM66:AN66"/>
    <mergeCell ref="AO66:AP66"/>
    <mergeCell ref="B67:C67"/>
    <mergeCell ref="I67:J67"/>
    <mergeCell ref="L67:M67"/>
    <mergeCell ref="Q67:R67"/>
    <mergeCell ref="S67:T67"/>
    <mergeCell ref="U67:V67"/>
    <mergeCell ref="W67:X67"/>
    <mergeCell ref="AC67:AD67"/>
    <mergeCell ref="AE67:AF67"/>
    <mergeCell ref="AI67:AJ67"/>
    <mergeCell ref="AK67:AL67"/>
    <mergeCell ref="AM67:AN67"/>
    <mergeCell ref="AO67:AP67"/>
    <mergeCell ref="B68:C68"/>
    <mergeCell ref="I68:J68"/>
    <mergeCell ref="L68:M68"/>
    <mergeCell ref="Q68:R68"/>
    <mergeCell ref="S68:T68"/>
    <mergeCell ref="U68:V68"/>
    <mergeCell ref="W68:X68"/>
    <mergeCell ref="AC68:AD68"/>
    <mergeCell ref="AE68:AF68"/>
    <mergeCell ref="AI68:AJ68"/>
    <mergeCell ref="AK68:AL68"/>
    <mergeCell ref="AM68:AN68"/>
    <mergeCell ref="AO68:AP68"/>
    <mergeCell ref="B70:F70"/>
    <mergeCell ref="I70:N70"/>
    <mergeCell ref="Q70:X70"/>
    <mergeCell ref="AA70:AF70"/>
    <mergeCell ref="AI70:AP70"/>
    <mergeCell ref="B74:C75"/>
    <mergeCell ref="D74:E74"/>
    <mergeCell ref="I74:J75"/>
    <mergeCell ref="K74:L75"/>
    <mergeCell ref="M74:M75"/>
    <mergeCell ref="Q74:R75"/>
    <mergeCell ref="S74:U75"/>
    <mergeCell ref="V74:W75"/>
    <mergeCell ref="X74:X75"/>
    <mergeCell ref="AA74:AA75"/>
    <mergeCell ref="AB74:AC75"/>
    <mergeCell ref="AD74:AE75"/>
    <mergeCell ref="AF74:AF75"/>
    <mergeCell ref="AI74:AJ75"/>
    <mergeCell ref="AK74:AM75"/>
    <mergeCell ref="AN74:AP74"/>
    <mergeCell ref="AN75:AO75"/>
    <mergeCell ref="B76:B77"/>
    <mergeCell ref="I76:I77"/>
    <mergeCell ref="K76:M76"/>
    <mergeCell ref="Q76:Q77"/>
    <mergeCell ref="S76:U76"/>
    <mergeCell ref="V76:X76"/>
    <mergeCell ref="AA76:AA77"/>
    <mergeCell ref="AB76:AC77"/>
    <mergeCell ref="AD76:AF77"/>
    <mergeCell ref="AI76:AI77"/>
    <mergeCell ref="AK76:AM76"/>
    <mergeCell ref="AN76:AP76"/>
    <mergeCell ref="K77:M77"/>
    <mergeCell ref="S77:U77"/>
    <mergeCell ref="V77:X77"/>
    <mergeCell ref="AK77:AM77"/>
    <mergeCell ref="AN77:AP77"/>
    <mergeCell ref="B78:C78"/>
    <mergeCell ref="I78:J78"/>
    <mergeCell ref="K78:M78"/>
    <mergeCell ref="Q78:R78"/>
    <mergeCell ref="S78:U78"/>
    <mergeCell ref="V78:X78"/>
    <mergeCell ref="AA78:AA79"/>
    <mergeCell ref="AB78:AC79"/>
    <mergeCell ref="AD78:AF79"/>
    <mergeCell ref="AI78:AJ78"/>
    <mergeCell ref="AK78:AM78"/>
    <mergeCell ref="AN78:AP78"/>
    <mergeCell ref="K79:M79"/>
    <mergeCell ref="S79:U79"/>
    <mergeCell ref="V79:X79"/>
    <mergeCell ref="AK79:AM79"/>
    <mergeCell ref="AN79:AP79"/>
    <mergeCell ref="K80:M80"/>
    <mergeCell ref="S80:U80"/>
    <mergeCell ref="V80:X80"/>
    <mergeCell ref="AA80:AA81"/>
    <mergeCell ref="AB80:AC81"/>
    <mergeCell ref="AD80:AF81"/>
    <mergeCell ref="AK80:AM80"/>
    <mergeCell ref="AN80:AP80"/>
    <mergeCell ref="K81:M81"/>
    <mergeCell ref="S81:U81"/>
    <mergeCell ref="V81:X81"/>
    <mergeCell ref="AK81:AM81"/>
    <mergeCell ref="AN81:AP81"/>
    <mergeCell ref="B82:C82"/>
    <mergeCell ref="I82:J82"/>
    <mergeCell ref="K82:M82"/>
    <mergeCell ref="Q82:R82"/>
    <mergeCell ref="S82:U82"/>
    <mergeCell ref="V82:X82"/>
    <mergeCell ref="AA82:AA83"/>
    <mergeCell ref="AB82:AC83"/>
    <mergeCell ref="AD82:AF83"/>
    <mergeCell ref="AI82:AJ82"/>
    <mergeCell ref="AK82:AM82"/>
    <mergeCell ref="AN82:AP82"/>
    <mergeCell ref="B83:C83"/>
    <mergeCell ref="I83:J83"/>
    <mergeCell ref="K83:M83"/>
    <mergeCell ref="Q83:R83"/>
    <mergeCell ref="S83:U83"/>
    <mergeCell ref="V83:X83"/>
    <mergeCell ref="AI83:AJ83"/>
    <mergeCell ref="AK83:AM83"/>
    <mergeCell ref="AN83:AP83"/>
    <mergeCell ref="AI92:AJ92"/>
    <mergeCell ref="B94:F94"/>
    <mergeCell ref="I94:N94"/>
    <mergeCell ref="Q94:X94"/>
    <mergeCell ref="AA94:AF94"/>
    <mergeCell ref="AI94:AP94"/>
    <mergeCell ref="B96:C97"/>
    <mergeCell ref="D96:F96"/>
    <mergeCell ref="I96:J97"/>
    <mergeCell ref="K96:N96"/>
    <mergeCell ref="Q96:R97"/>
    <mergeCell ref="S96:X96"/>
    <mergeCell ref="AA96:AA97"/>
    <mergeCell ref="AB96:AF96"/>
    <mergeCell ref="AI96:AJ97"/>
    <mergeCell ref="AK96:AP96"/>
    <mergeCell ref="L97:M97"/>
    <mergeCell ref="S97:T97"/>
    <mergeCell ref="U97:V97"/>
    <mergeCell ref="W97:X97"/>
    <mergeCell ref="AC97:AD97"/>
    <mergeCell ref="AE97:AF97"/>
    <mergeCell ref="AK97:AL97"/>
    <mergeCell ref="AM97:AN97"/>
    <mergeCell ref="AO97:AP97"/>
    <mergeCell ref="B98:C98"/>
    <mergeCell ref="I98:J98"/>
    <mergeCell ref="L98:M98"/>
    <mergeCell ref="Q98:R98"/>
    <mergeCell ref="S98:T98"/>
    <mergeCell ref="U98:V98"/>
    <mergeCell ref="W98:X98"/>
    <mergeCell ref="AC98:AD98"/>
    <mergeCell ref="AE98:AF98"/>
    <mergeCell ref="AI98:AJ98"/>
    <mergeCell ref="AK98:AL98"/>
    <mergeCell ref="AM98:AN98"/>
    <mergeCell ref="AO98:AP98"/>
    <mergeCell ref="B99:C99"/>
    <mergeCell ref="I99:J99"/>
    <mergeCell ref="L99:M99"/>
    <mergeCell ref="Q99:R99"/>
    <mergeCell ref="S99:T99"/>
    <mergeCell ref="U99:V99"/>
    <mergeCell ref="W99:X99"/>
    <mergeCell ref="AC99:AD99"/>
    <mergeCell ref="AE99:AF99"/>
    <mergeCell ref="AI99:AJ99"/>
    <mergeCell ref="AK99:AL99"/>
    <mergeCell ref="AM99:AN99"/>
    <mergeCell ref="AO99:AP99"/>
    <mergeCell ref="B100:C100"/>
    <mergeCell ref="I100:J100"/>
    <mergeCell ref="L100:M100"/>
    <mergeCell ref="Q100:R100"/>
    <mergeCell ref="S100:T100"/>
    <mergeCell ref="U100:V100"/>
    <mergeCell ref="W100:X100"/>
    <mergeCell ref="AC100:AD100"/>
    <mergeCell ref="AE100:AF100"/>
    <mergeCell ref="AI100:AJ100"/>
    <mergeCell ref="AK100:AL100"/>
    <mergeCell ref="AM100:AN100"/>
    <mergeCell ref="AO100:AP100"/>
    <mergeCell ref="B101:C101"/>
    <mergeCell ref="I101:J101"/>
    <mergeCell ref="L101:M101"/>
    <mergeCell ref="Q101:R101"/>
    <mergeCell ref="S101:T101"/>
    <mergeCell ref="U101:V101"/>
    <mergeCell ref="W101:X101"/>
    <mergeCell ref="AC101:AD101"/>
    <mergeCell ref="AE101:AF101"/>
    <mergeCell ref="AI101:AJ101"/>
    <mergeCell ref="AK101:AL101"/>
    <mergeCell ref="AM101:AN101"/>
    <mergeCell ref="AO101:AP101"/>
    <mergeCell ref="B102:C102"/>
    <mergeCell ref="I102:J102"/>
    <mergeCell ref="L102:M102"/>
    <mergeCell ref="Q102:R102"/>
    <mergeCell ref="S102:T102"/>
    <mergeCell ref="U102:V102"/>
    <mergeCell ref="W102:X102"/>
    <mergeCell ref="AC102:AD102"/>
    <mergeCell ref="AE102:AF102"/>
    <mergeCell ref="AI102:AJ102"/>
    <mergeCell ref="AK102:AL102"/>
    <mergeCell ref="AM102:AN102"/>
    <mergeCell ref="AO102:AP102"/>
    <mergeCell ref="B104:F104"/>
    <mergeCell ref="I104:N104"/>
    <mergeCell ref="Q104:X104"/>
    <mergeCell ref="AA104:AF104"/>
    <mergeCell ref="AI104:AP104"/>
    <mergeCell ref="B108:C109"/>
    <mergeCell ref="D108:E108"/>
    <mergeCell ref="I108:J109"/>
    <mergeCell ref="K108:L109"/>
    <mergeCell ref="M108:M109"/>
    <mergeCell ref="Q108:R109"/>
    <mergeCell ref="S108:U109"/>
    <mergeCell ref="V108:W109"/>
    <mergeCell ref="X108:X109"/>
    <mergeCell ref="AA108:AA109"/>
    <mergeCell ref="AB108:AC109"/>
    <mergeCell ref="AD108:AE109"/>
    <mergeCell ref="AF108:AF109"/>
    <mergeCell ref="AI108:AJ109"/>
    <mergeCell ref="AK108:AM109"/>
    <mergeCell ref="AN108:AP108"/>
    <mergeCell ref="AN109:AO109"/>
    <mergeCell ref="B110:B111"/>
    <mergeCell ref="I110:I111"/>
    <mergeCell ref="K110:M110"/>
    <mergeCell ref="Q110:Q111"/>
    <mergeCell ref="S110:U110"/>
    <mergeCell ref="V110:X110"/>
    <mergeCell ref="AA110:AA111"/>
    <mergeCell ref="AB110:AC111"/>
    <mergeCell ref="AD110:AF111"/>
    <mergeCell ref="AI110:AI111"/>
    <mergeCell ref="AK110:AM110"/>
    <mergeCell ref="AN110:AP110"/>
    <mergeCell ref="K111:M111"/>
    <mergeCell ref="S111:U111"/>
    <mergeCell ref="V111:X111"/>
    <mergeCell ref="AK111:AM111"/>
    <mergeCell ref="AN111:AP111"/>
    <mergeCell ref="B112:C112"/>
    <mergeCell ref="I112:J112"/>
    <mergeCell ref="K112:M112"/>
    <mergeCell ref="Q112:R112"/>
    <mergeCell ref="S112:U112"/>
    <mergeCell ref="V112:X112"/>
    <mergeCell ref="AA112:AA113"/>
    <mergeCell ref="AB112:AC113"/>
    <mergeCell ref="AD112:AF113"/>
    <mergeCell ref="AI112:AJ112"/>
    <mergeCell ref="AK112:AM112"/>
    <mergeCell ref="AN112:AP112"/>
    <mergeCell ref="K113:M113"/>
    <mergeCell ref="S113:U113"/>
    <mergeCell ref="V113:X113"/>
    <mergeCell ref="AK113:AM113"/>
    <mergeCell ref="AN113:AP113"/>
    <mergeCell ref="K114:M114"/>
    <mergeCell ref="S114:U114"/>
    <mergeCell ref="V114:X114"/>
    <mergeCell ref="AA114:AA115"/>
    <mergeCell ref="AB114:AC115"/>
    <mergeCell ref="AD114:AF115"/>
    <mergeCell ref="AK114:AM114"/>
    <mergeCell ref="AN114:AP114"/>
    <mergeCell ref="K115:M115"/>
    <mergeCell ref="S115:U115"/>
    <mergeCell ref="V115:X115"/>
    <mergeCell ref="AK115:AM115"/>
    <mergeCell ref="AN115:AP115"/>
    <mergeCell ref="B116:C116"/>
    <mergeCell ref="I116:J116"/>
    <mergeCell ref="K116:M116"/>
    <mergeCell ref="Q116:R116"/>
    <mergeCell ref="S116:U116"/>
    <mergeCell ref="V116:X116"/>
    <mergeCell ref="AA116:AA117"/>
    <mergeCell ref="AB116:AC117"/>
    <mergeCell ref="AD116:AF117"/>
    <mergeCell ref="AI116:AJ116"/>
    <mergeCell ref="AK116:AM116"/>
    <mergeCell ref="AN116:AP116"/>
    <mergeCell ref="B117:C117"/>
    <mergeCell ref="I117:J117"/>
    <mergeCell ref="K117:M117"/>
    <mergeCell ref="Q117:R117"/>
    <mergeCell ref="S117:U117"/>
    <mergeCell ref="V117:X117"/>
    <mergeCell ref="AI117:AJ117"/>
    <mergeCell ref="AK117:AM117"/>
    <mergeCell ref="AN117:AP117"/>
    <mergeCell ref="AI126:AJ126"/>
    <mergeCell ref="B128:F128"/>
    <mergeCell ref="I128:N128"/>
    <mergeCell ref="Q128:X128"/>
    <mergeCell ref="AA128:AF128"/>
    <mergeCell ref="AI128:AP128"/>
    <mergeCell ref="B130:C131"/>
    <mergeCell ref="D130:E130"/>
    <mergeCell ref="I130:J131"/>
    <mergeCell ref="K130:N130"/>
    <mergeCell ref="Q130:R131"/>
    <mergeCell ref="S130:X130"/>
    <mergeCell ref="AA130:AA131"/>
    <mergeCell ref="AB130:AF130"/>
    <mergeCell ref="AI130:AJ131"/>
    <mergeCell ref="AK130:AP130"/>
    <mergeCell ref="L131:M131"/>
    <mergeCell ref="S131:T131"/>
    <mergeCell ref="U131:V131"/>
    <mergeCell ref="W131:X131"/>
    <mergeCell ref="AC131:AD131"/>
    <mergeCell ref="AE131:AF131"/>
    <mergeCell ref="AK131:AL131"/>
    <mergeCell ref="AM131:AN131"/>
    <mergeCell ref="AO131:AP131"/>
    <mergeCell ref="B132:C132"/>
    <mergeCell ref="I132:J132"/>
    <mergeCell ref="L132:M132"/>
    <mergeCell ref="Q132:R132"/>
    <mergeCell ref="S132:T132"/>
    <mergeCell ref="U132:V132"/>
    <mergeCell ref="W132:X132"/>
    <mergeCell ref="AC132:AD132"/>
    <mergeCell ref="AE132:AF132"/>
    <mergeCell ref="AI132:AJ132"/>
    <mergeCell ref="AK132:AL132"/>
    <mergeCell ref="AM132:AN132"/>
    <mergeCell ref="AO132:AP132"/>
    <mergeCell ref="B133:C133"/>
    <mergeCell ref="I133:J133"/>
    <mergeCell ref="L133:M133"/>
    <mergeCell ref="Q133:R133"/>
    <mergeCell ref="S133:T133"/>
    <mergeCell ref="U133:V133"/>
    <mergeCell ref="W133:X133"/>
    <mergeCell ref="AC133:AD133"/>
    <mergeCell ref="AE133:AF133"/>
    <mergeCell ref="AI133:AJ133"/>
    <mergeCell ref="AK133:AL133"/>
    <mergeCell ref="AM133:AN133"/>
    <mergeCell ref="AO133:AP133"/>
    <mergeCell ref="B134:C134"/>
    <mergeCell ref="I134:J134"/>
    <mergeCell ref="L134:M134"/>
    <mergeCell ref="Q134:R134"/>
    <mergeCell ref="S134:T134"/>
    <mergeCell ref="U134:V134"/>
    <mergeCell ref="W134:X134"/>
    <mergeCell ref="AC134:AD134"/>
    <mergeCell ref="AE134:AF134"/>
    <mergeCell ref="AI134:AJ134"/>
    <mergeCell ref="AK134:AL134"/>
    <mergeCell ref="AM134:AN134"/>
    <mergeCell ref="AO134:AP134"/>
    <mergeCell ref="B135:C135"/>
    <mergeCell ref="I135:J135"/>
    <mergeCell ref="L135:M135"/>
    <mergeCell ref="Q135:R135"/>
    <mergeCell ref="S135:T135"/>
    <mergeCell ref="U135:V135"/>
    <mergeCell ref="W135:X135"/>
    <mergeCell ref="AC135:AD135"/>
    <mergeCell ref="AE135:AF135"/>
    <mergeCell ref="AI135:AJ135"/>
    <mergeCell ref="AK135:AL135"/>
    <mergeCell ref="AM135:AN135"/>
    <mergeCell ref="AO135:AP135"/>
    <mergeCell ref="B136:C136"/>
    <mergeCell ref="I136:J136"/>
    <mergeCell ref="L136:M136"/>
    <mergeCell ref="Q136:R136"/>
    <mergeCell ref="S136:T136"/>
    <mergeCell ref="U136:V136"/>
    <mergeCell ref="W136:X136"/>
    <mergeCell ref="AC136:AD136"/>
    <mergeCell ref="AE136:AF136"/>
    <mergeCell ref="AI136:AJ136"/>
    <mergeCell ref="AK136:AL136"/>
    <mergeCell ref="AM136:AN136"/>
    <mergeCell ref="AO136:AP136"/>
    <mergeCell ref="I139:J139"/>
    <mergeCell ref="L139:M139"/>
    <mergeCell ref="Q139:R139"/>
    <mergeCell ref="S139:T139"/>
    <mergeCell ref="U139:V139"/>
    <mergeCell ref="W139:X139"/>
    <mergeCell ref="AC139:AD139"/>
    <mergeCell ref="AE139:AG139"/>
    <mergeCell ref="AI139:AJ139"/>
    <mergeCell ref="AK139:AL139"/>
    <mergeCell ref="AM139:AN139"/>
    <mergeCell ref="AO139:AP139"/>
    <mergeCell ref="I140:J140"/>
    <mergeCell ref="L140:M140"/>
    <mergeCell ref="Q140:R140"/>
    <mergeCell ref="S140:T140"/>
    <mergeCell ref="U140:V140"/>
    <mergeCell ref="W140:X140"/>
    <mergeCell ref="AC140:AD140"/>
    <mergeCell ref="AE140:AG140"/>
    <mergeCell ref="AI140:AJ140"/>
    <mergeCell ref="AK140:AL140"/>
    <mergeCell ref="AM140:AN140"/>
    <mergeCell ref="AO140:AP140"/>
    <mergeCell ref="I141:J141"/>
    <mergeCell ref="L141:M141"/>
    <mergeCell ref="Q141:R141"/>
    <mergeCell ref="S141:T141"/>
    <mergeCell ref="U141:V141"/>
    <mergeCell ref="W141:X141"/>
    <mergeCell ref="AC141:AD141"/>
    <mergeCell ref="AE141:AG141"/>
    <mergeCell ref="AI141:AJ141"/>
    <mergeCell ref="AK141:AL141"/>
    <mergeCell ref="AM141:AN141"/>
    <mergeCell ref="AO141:AP141"/>
    <mergeCell ref="I142:J142"/>
    <mergeCell ref="L142:M142"/>
    <mergeCell ref="Q142:R142"/>
    <mergeCell ref="S142:T142"/>
    <mergeCell ref="U142:V142"/>
    <mergeCell ref="W142:X142"/>
    <mergeCell ref="AC142:AD142"/>
    <mergeCell ref="AE142:AG142"/>
    <mergeCell ref="AI142:AJ142"/>
    <mergeCell ref="AK142:AL142"/>
    <mergeCell ref="AM142:AN142"/>
    <mergeCell ref="AO142:AP142"/>
    <mergeCell ref="I143:J143"/>
    <mergeCell ref="L143:M143"/>
    <mergeCell ref="Q143:R143"/>
    <mergeCell ref="S143:T143"/>
    <mergeCell ref="U143:V143"/>
    <mergeCell ref="W143:X143"/>
    <mergeCell ref="AC143:AD143"/>
    <mergeCell ref="AE143:AG143"/>
    <mergeCell ref="AI143:AJ143"/>
    <mergeCell ref="AK143:AL143"/>
    <mergeCell ref="AM143:AN143"/>
    <mergeCell ref="AO143:AP143"/>
    <mergeCell ref="I144:J144"/>
    <mergeCell ref="L144:M144"/>
    <mergeCell ref="Q144:R144"/>
    <mergeCell ref="S144:T144"/>
    <mergeCell ref="U144:V144"/>
    <mergeCell ref="W144:X144"/>
    <mergeCell ref="AC144:AD144"/>
    <mergeCell ref="AE144:AG144"/>
    <mergeCell ref="AI144:AJ144"/>
    <mergeCell ref="AK144:AL144"/>
    <mergeCell ref="AM144:AN144"/>
    <mergeCell ref="AO144:AP144"/>
  </mergeCells>
  <printOptions headings="false" gridLines="false" gridLinesSet="true" horizontalCentered="true" verticalCentered="false"/>
  <pageMargins left="0.39375" right="0.39375" top="0.708333333333333" bottom="0"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4" man="true" max="16383" min="0"/>
  </rowBreaks>
  <colBreaks count="4" manualBreakCount="4">
    <brk id="7" man="true" max="65535" min="0"/>
    <brk id="15" man="true" max="65535" min="0"/>
    <brk id="25" man="true" max="65535" min="0"/>
    <brk id="33" man="true" max="65535" min="0"/>
  </col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R527"/>
  <sheetViews>
    <sheetView showFormulas="false" showGridLines="true" showRowColHeaders="true" showZeros="true" rightToLeft="false" tabSelected="false" showOutlineSymbols="true" defaultGridColor="true" view="normal" topLeftCell="A114" colorId="64" zoomScale="75" zoomScaleNormal="75" zoomScalePageLayoutView="75" workbookViewId="0">
      <selection pane="topLeft" activeCell="D194" activeCellId="0" sqref="D194"/>
    </sheetView>
  </sheetViews>
  <sheetFormatPr defaultColWidth="8.79296875" defaultRowHeight="17.25" zeroHeight="false" outlineLevelRow="0" outlineLevelCol="0"/>
  <cols>
    <col collapsed="false" customWidth="true" hidden="false" outlineLevel="0" max="1" min="1" style="582" width="13.49"/>
    <col collapsed="false" customWidth="true" hidden="false" outlineLevel="0" max="4" min="2" style="582" width="11.99"/>
    <col collapsed="false" customWidth="true" hidden="false" outlineLevel="0" max="5" min="5" style="582" width="13.39"/>
    <col collapsed="false" customWidth="true" hidden="false" outlineLevel="0" max="10" min="6" style="582" width="11.99"/>
    <col collapsed="false" customWidth="true" hidden="false" outlineLevel="0" max="11" min="11" style="582" width="2.19"/>
    <col collapsed="false" customWidth="true" hidden="false" outlineLevel="0" max="12" min="12" style="1337" width="11.49"/>
    <col collapsed="false" customWidth="true" hidden="false" outlineLevel="0" max="14" min="13" style="582" width="8.49"/>
    <col collapsed="false" customWidth="true" hidden="false" outlineLevel="0" max="16" min="15" style="582" width="12.89"/>
    <col collapsed="false" customWidth="true" hidden="false" outlineLevel="0" max="17" min="17" style="582" width="11.69"/>
  </cols>
  <sheetData>
    <row r="1" s="764" customFormat="true" ht="26.25" hidden="false" customHeight="true" outlineLevel="0" collapsed="false">
      <c r="A1" s="1338" t="n">
        <f aca="false">'☆掛負収入'!B2</f>
        <v>46113</v>
      </c>
      <c r="B1" s="1339" t="s">
        <v>688</v>
      </c>
      <c r="C1" s="1340" t="s">
        <v>689</v>
      </c>
      <c r="D1" s="1105" t="s">
        <v>690</v>
      </c>
      <c r="E1" s="1105" t="s">
        <v>691</v>
      </c>
      <c r="F1" s="1105" t="s">
        <v>692</v>
      </c>
      <c r="G1" s="1105" t="s">
        <v>693</v>
      </c>
      <c r="H1" s="1105" t="s">
        <v>694</v>
      </c>
      <c r="I1" s="1105" t="s">
        <v>695</v>
      </c>
      <c r="J1" s="1341"/>
      <c r="L1" s="1342"/>
    </row>
    <row r="2" s="1344" customFormat="true" ht="26.25" hidden="false" customHeight="true" outlineLevel="0" collapsed="false">
      <c r="A2" s="1343"/>
      <c r="C2" s="1340"/>
      <c r="D2" s="1345" t="n">
        <v>4.64</v>
      </c>
      <c r="E2" s="1346" t="n">
        <v>0.82</v>
      </c>
      <c r="F2" s="1346" t="n">
        <v>0.05</v>
      </c>
      <c r="G2" s="1347" t="n">
        <v>1.1</v>
      </c>
      <c r="H2" s="1347" t="n">
        <v>0.2</v>
      </c>
      <c r="I2" s="1347" t="n">
        <v>0.024</v>
      </c>
      <c r="J2" s="1348"/>
      <c r="L2" s="1349"/>
    </row>
    <row r="3" customFormat="false" ht="13.9" hidden="false" customHeight="true" outlineLevel="0" collapsed="false">
      <c r="C3" s="1341"/>
      <c r="D3" s="1350" t="s">
        <v>696</v>
      </c>
      <c r="E3" s="1341"/>
      <c r="F3" s="1350" t="s">
        <v>696</v>
      </c>
      <c r="G3" s="1351" t="s">
        <v>697</v>
      </c>
      <c r="H3" s="1351" t="s">
        <v>697</v>
      </c>
      <c r="I3" s="1351" t="s">
        <v>697</v>
      </c>
      <c r="J3" s="1341"/>
    </row>
    <row r="4" customFormat="false" ht="20.1" hidden="false" customHeight="true" outlineLevel="0" collapsed="false">
      <c r="A4" s="771" t="s">
        <v>698</v>
      </c>
      <c r="G4" s="1352"/>
      <c r="L4" s="1353" t="s">
        <v>699</v>
      </c>
    </row>
    <row r="5" s="1197" customFormat="true" ht="30" hidden="false" customHeight="true" outlineLevel="0" collapsed="false">
      <c r="A5" s="1354" t="s">
        <v>369</v>
      </c>
      <c r="B5" s="1355" t="s">
        <v>700</v>
      </c>
      <c r="C5" s="1356" t="s">
        <v>701</v>
      </c>
      <c r="D5" s="1357" t="s">
        <v>702</v>
      </c>
      <c r="E5" s="1357"/>
      <c r="F5" s="1358" t="s">
        <v>703</v>
      </c>
      <c r="G5" s="1357" t="s">
        <v>704</v>
      </c>
      <c r="H5" s="1357" t="s">
        <v>705</v>
      </c>
      <c r="I5" s="1357" t="s">
        <v>706</v>
      </c>
      <c r="J5" s="1359" t="s">
        <v>707</v>
      </c>
      <c r="L5" s="1360" t="s">
        <v>708</v>
      </c>
    </row>
    <row r="6" customFormat="false" ht="32.25" hidden="false" customHeight="true" outlineLevel="0" collapsed="false">
      <c r="A6" s="1361" t="s">
        <v>709</v>
      </c>
      <c r="B6" s="1362" t="n">
        <f aca="false">B10-B8</f>
        <v>347616215</v>
      </c>
      <c r="C6" s="1363" t="n">
        <f aca="false">ROUNDDOWN(B6*C7/B7,0)</f>
        <v>311621246</v>
      </c>
      <c r="D6" s="1364" t="n">
        <f aca="false">ROUNDDOWN(B6*D7/B7,0)</f>
        <v>15550898</v>
      </c>
      <c r="E6" s="1364" t="n">
        <f aca="false">ROUNDDOWN(D6*E7/D7,0)</f>
        <v>0</v>
      </c>
      <c r="F6" s="1365" t="s">
        <v>522</v>
      </c>
      <c r="G6" s="1366" t="n">
        <f aca="false">ROUNDDOWN(B6*G7/B7,0)</f>
        <v>3686635</v>
      </c>
      <c r="H6" s="1367" t="n">
        <f aca="false">ROUNDDOWN(B6*H7/B7,0)</f>
        <v>670297</v>
      </c>
      <c r="I6" s="1364" t="n">
        <f aca="false">ROUNDDOWN(B6*I7/B7,0)</f>
        <v>80435</v>
      </c>
      <c r="J6" s="1368" t="n">
        <f aca="false">B6-C6-D6-G6-H6-I6</f>
        <v>16006704</v>
      </c>
      <c r="L6" s="1369" t="n">
        <f aca="false">SUM(I6:J6)</f>
        <v>16087139</v>
      </c>
    </row>
    <row r="7" s="1381" customFormat="true" ht="15" hidden="false" customHeight="true" outlineLevel="0" collapsed="false">
      <c r="A7" s="1370" t="s">
        <v>710</v>
      </c>
      <c r="B7" s="1371" t="n">
        <f aca="false">SUM(C7:J7)</f>
        <v>51.86</v>
      </c>
      <c r="C7" s="1372" t="n">
        <v>46.49</v>
      </c>
      <c r="D7" s="1373" t="n">
        <v>2.32</v>
      </c>
      <c r="E7" s="1373"/>
      <c r="F7" s="1374" t="s">
        <v>522</v>
      </c>
      <c r="G7" s="1375" t="n">
        <v>0.55</v>
      </c>
      <c r="H7" s="1376" t="n">
        <v>0.1</v>
      </c>
      <c r="I7" s="1377" t="n">
        <v>0.012</v>
      </c>
      <c r="J7" s="1378" t="n">
        <v>2.388</v>
      </c>
      <c r="K7" s="1379" t="s">
        <v>711</v>
      </c>
      <c r="L7" s="1380" t="n">
        <f aca="false">SUM(I7:J7)</f>
        <v>2.4</v>
      </c>
    </row>
    <row r="8" customFormat="false" ht="32.25" hidden="false" customHeight="true" outlineLevel="0" collapsed="false">
      <c r="A8" s="1361" t="s">
        <v>712</v>
      </c>
      <c r="B8" s="1362" t="n">
        <f aca="false">'☆短期集計R7'!D25</f>
        <v>97893428</v>
      </c>
      <c r="C8" s="1363" t="n">
        <f aca="false">ROUNDDOWN(B8*C9/B9,0)</f>
        <v>87756757</v>
      </c>
      <c r="D8" s="1382" t="n">
        <f aca="false">ROUNDDOWN(B8*D9/B9,0)</f>
        <v>4379343</v>
      </c>
      <c r="E8" s="1382" t="n">
        <f aca="false">ROUNDDOWN(D8*E9/D9,0)</f>
        <v>0</v>
      </c>
      <c r="F8" s="1383" t="s">
        <v>522</v>
      </c>
      <c r="G8" s="1384" t="n">
        <f aca="false">ROUNDDOWN(B8*G9/B9,0)</f>
        <v>1038206</v>
      </c>
      <c r="H8" s="1385" t="n">
        <f aca="false">ROUNDDOWN(B8*H9/B9,0)</f>
        <v>188764</v>
      </c>
      <c r="I8" s="1386" t="n">
        <f aca="false">ROUNDDOWN(B8*I9/B9,0)</f>
        <v>22651</v>
      </c>
      <c r="J8" s="1387" t="n">
        <f aca="false">B8-C8-D8-G8-H8-I8</f>
        <v>4507707</v>
      </c>
      <c r="K8" s="1379"/>
      <c r="L8" s="1388" t="n">
        <f aca="false">SUM(I8:J8)</f>
        <v>4530358</v>
      </c>
    </row>
    <row r="9" s="1381" customFormat="true" ht="15" hidden="false" customHeight="true" outlineLevel="0" collapsed="false">
      <c r="A9" s="1389" t="s">
        <v>710</v>
      </c>
      <c r="B9" s="1390" t="n">
        <f aca="false">SUM(C9:J9)</f>
        <v>103.72</v>
      </c>
      <c r="C9" s="1391" t="n">
        <f aca="false">C7*2</f>
        <v>92.98</v>
      </c>
      <c r="D9" s="1392" t="n">
        <f aca="false">D7*2</f>
        <v>4.64</v>
      </c>
      <c r="E9" s="1392"/>
      <c r="F9" s="1393" t="s">
        <v>522</v>
      </c>
      <c r="G9" s="1394" t="n">
        <f aca="false">G7*2</f>
        <v>1.1</v>
      </c>
      <c r="H9" s="1395" t="n">
        <f aca="false">H7*2</f>
        <v>0.2</v>
      </c>
      <c r="I9" s="1396" t="n">
        <f aca="false">I7*2</f>
        <v>0.024</v>
      </c>
      <c r="J9" s="1397" t="n">
        <f aca="false">J7*2</f>
        <v>4.776</v>
      </c>
      <c r="L9" s="1398" t="n">
        <f aca="false">L7*2</f>
        <v>4.8</v>
      </c>
    </row>
    <row r="10" customFormat="false" ht="30" hidden="false" customHeight="true" outlineLevel="0" collapsed="false">
      <c r="A10" s="1399" t="s">
        <v>650</v>
      </c>
      <c r="B10" s="1400" t="n">
        <f aca="false">'☆短期集計R7'!B25+'☆短期集計R7'!D25</f>
        <v>445509643</v>
      </c>
      <c r="C10" s="1401" t="n">
        <f aca="false">C6+C8</f>
        <v>399378003</v>
      </c>
      <c r="D10" s="1402" t="n">
        <f aca="false">D6+D8</f>
        <v>19930241</v>
      </c>
      <c r="E10" s="1402"/>
      <c r="F10" s="1403" t="s">
        <v>522</v>
      </c>
      <c r="G10" s="1402" t="n">
        <f aca="false">G6+G8</f>
        <v>4724841</v>
      </c>
      <c r="H10" s="1401" t="n">
        <f aca="false">H6+H8</f>
        <v>859061</v>
      </c>
      <c r="I10" s="1402" t="n">
        <f aca="false">I6+I8</f>
        <v>103086</v>
      </c>
      <c r="J10" s="1404" t="n">
        <f aca="false">J6+J8</f>
        <v>20514411</v>
      </c>
      <c r="L10" s="1405" t="n">
        <f aca="false">L6+L8</f>
        <v>20617497</v>
      </c>
    </row>
    <row r="11" s="1406" customFormat="true" ht="20.1" hidden="false" customHeight="true" outlineLevel="0" collapsed="false">
      <c r="C11" s="1407" t="s">
        <v>713</v>
      </c>
      <c r="D11" s="1408" t="s">
        <v>714</v>
      </c>
      <c r="E11" s="1408"/>
      <c r="F11" s="1407" t="s">
        <v>715</v>
      </c>
      <c r="G11" s="1407" t="s">
        <v>716</v>
      </c>
      <c r="H11" s="1409" t="s">
        <v>717</v>
      </c>
      <c r="I11" s="1409" t="s">
        <v>718</v>
      </c>
      <c r="J11" s="1409" t="s">
        <v>719</v>
      </c>
      <c r="L11" s="1410"/>
    </row>
    <row r="12" s="1064" customFormat="true" ht="13.5" hidden="false" customHeight="true" outlineLevel="0" collapsed="false">
      <c r="C12" s="1411"/>
      <c r="D12" s="1412"/>
      <c r="E12" s="1412"/>
      <c r="F12" s="1411"/>
      <c r="G12" s="1412"/>
      <c r="H12" s="1412"/>
      <c r="I12" s="1412"/>
      <c r="J12" s="1412"/>
      <c r="L12" s="1413"/>
    </row>
    <row r="13" customFormat="false" ht="20.1" hidden="false" customHeight="true" outlineLevel="0" collapsed="false">
      <c r="A13" s="771" t="s">
        <v>230</v>
      </c>
      <c r="B13" s="1064"/>
      <c r="C13" s="1064"/>
      <c r="D13" s="1064"/>
      <c r="E13" s="1064"/>
      <c r="F13" s="1064"/>
      <c r="G13" s="1352"/>
      <c r="H13" s="1064"/>
      <c r="I13" s="1064"/>
      <c r="J13" s="1064"/>
      <c r="L13" s="1353" t="s">
        <v>699</v>
      </c>
    </row>
    <row r="14" s="920" customFormat="true" ht="30" hidden="false" customHeight="true" outlineLevel="0" collapsed="false">
      <c r="A14" s="1354" t="s">
        <v>369</v>
      </c>
      <c r="B14" s="1355" t="s">
        <v>700</v>
      </c>
      <c r="C14" s="1356" t="s">
        <v>701</v>
      </c>
      <c r="D14" s="1414" t="s">
        <v>702</v>
      </c>
      <c r="E14" s="1415" t="s">
        <v>720</v>
      </c>
      <c r="F14" s="1416" t="s">
        <v>721</v>
      </c>
      <c r="G14" s="1417" t="s">
        <v>704</v>
      </c>
      <c r="H14" s="1357" t="s">
        <v>705</v>
      </c>
      <c r="I14" s="1357" t="s">
        <v>706</v>
      </c>
      <c r="J14" s="1359" t="s">
        <v>707</v>
      </c>
      <c r="L14" s="1360" t="s">
        <v>708</v>
      </c>
    </row>
    <row r="15" customFormat="false" ht="32.25" hidden="false" customHeight="true" outlineLevel="0" collapsed="false">
      <c r="A15" s="1418" t="s">
        <v>722</v>
      </c>
      <c r="B15" s="1362" t="n">
        <f aca="false">B21-B17-B19</f>
        <v>258188920</v>
      </c>
      <c r="C15" s="1363" t="n">
        <f aca="false">ROUNDDOWN(B15*C16/B16,0)</f>
        <v>227635177</v>
      </c>
      <c r="D15" s="1419" t="n">
        <f aca="false">ROUNDDOWN(B15*D16/B16,0)</f>
        <v>11359724</v>
      </c>
      <c r="E15" s="1420" t="n">
        <f aca="false">ROUNDDOWN(B15*E16/B16,0)</f>
        <v>4015075</v>
      </c>
      <c r="F15" s="1421" t="n">
        <f aca="false">ROUNDDOWN(B15*F16/B16,0)</f>
        <v>244821</v>
      </c>
      <c r="G15" s="1421" t="n">
        <f aca="false">ROUNDDOWN(B15*G16/B16,0)</f>
        <v>2693038</v>
      </c>
      <c r="H15" s="1366" t="n">
        <f aca="false">ROUNDDOWN(B15*H16/B16,0)</f>
        <v>489643</v>
      </c>
      <c r="I15" s="1366" t="n">
        <f aca="false">ROUNDDOWN(B15*I16/B16,0)</f>
        <v>58757</v>
      </c>
      <c r="J15" s="1422" t="n">
        <f aca="false">B15-C15-D15-E15-F15-G15-H15-I15</f>
        <v>11692685</v>
      </c>
      <c r="L15" s="1423" t="n">
        <f aca="false">SUM(I15:J15)</f>
        <v>11751442</v>
      </c>
    </row>
    <row r="16" s="1381" customFormat="true" ht="15" hidden="false" customHeight="true" outlineLevel="0" collapsed="false">
      <c r="A16" s="1370" t="s">
        <v>710</v>
      </c>
      <c r="B16" s="1424" t="n">
        <f aca="false">SUM(C16:J16)</f>
        <v>52.73</v>
      </c>
      <c r="C16" s="1425" t="n">
        <f aca="false">C7</f>
        <v>46.49</v>
      </c>
      <c r="D16" s="1426" t="n">
        <f aca="false">D7</f>
        <v>2.32</v>
      </c>
      <c r="E16" s="1427" t="n">
        <f aca="false">E2</f>
        <v>0.82</v>
      </c>
      <c r="F16" s="1428" t="n">
        <f aca="false">F2</f>
        <v>0.05</v>
      </c>
      <c r="G16" s="1428" t="n">
        <f aca="false">G7</f>
        <v>0.55</v>
      </c>
      <c r="H16" s="1429" t="n">
        <f aca="false">H7</f>
        <v>0.1</v>
      </c>
      <c r="I16" s="1430" t="n">
        <f aca="false">I7</f>
        <v>0.012</v>
      </c>
      <c r="J16" s="1431" t="n">
        <f aca="false">J7</f>
        <v>2.388</v>
      </c>
      <c r="L16" s="1432" t="n">
        <f aca="false">SUM(I16:J16)</f>
        <v>2.4</v>
      </c>
    </row>
    <row r="17" customFormat="false" ht="32.25" hidden="false" customHeight="true" outlineLevel="0" collapsed="false">
      <c r="A17" s="1361" t="s">
        <v>723</v>
      </c>
      <c r="B17" s="1362" t="n">
        <f aca="false">'☆掛負収入'!I46+'☆掛負収入'!I47</f>
        <v>93354895</v>
      </c>
      <c r="C17" s="1363" t="n">
        <f aca="false">ROUNDDOWN((B17-E17)/B18*C18,0)</f>
        <v>83598473</v>
      </c>
      <c r="D17" s="1433" t="n">
        <f aca="false">ROUNDDOWN((B17-E17)/B18*D18,0)</f>
        <v>4171831</v>
      </c>
      <c r="E17" s="1434" t="n">
        <f aca="false">ROUNDDOWN(B28*E2/1000,0)</f>
        <v>10159</v>
      </c>
      <c r="F17" s="1363" t="n">
        <f aca="false">ROUNDDOWN((B17-E17)/B18*F18,0)</f>
        <v>89910</v>
      </c>
      <c r="G17" s="1363" t="n">
        <f aca="false">ROUNDDOWN((B17-E17)/B18*G18,0)</f>
        <v>989011</v>
      </c>
      <c r="H17" s="1384" t="n">
        <f aca="false">ROUNDDOWN((B17-E17)/B18*H18,0)</f>
        <v>179820</v>
      </c>
      <c r="I17" s="1384" t="n">
        <f aca="false">ROUNDDOWN((B17-E17)/B18*I18,0)</f>
        <v>21578</v>
      </c>
      <c r="J17" s="1435" t="n">
        <f aca="false">B17-C17-D17-E17-F17-G17-H17-I17</f>
        <v>4294113</v>
      </c>
      <c r="K17" s="1379" t="s">
        <v>711</v>
      </c>
      <c r="L17" s="1436" t="n">
        <f aca="false">SUM(I17:J17)</f>
        <v>4315691</v>
      </c>
    </row>
    <row r="18" s="1381" customFormat="true" ht="15" hidden="false" customHeight="true" outlineLevel="0" collapsed="false">
      <c r="A18" s="1437" t="s">
        <v>710</v>
      </c>
      <c r="B18" s="1438" t="n">
        <f aca="false">SUM(C18:J18)</f>
        <v>51.91</v>
      </c>
      <c r="C18" s="1439" t="n">
        <f aca="false">C16</f>
        <v>46.49</v>
      </c>
      <c r="D18" s="1440" t="n">
        <f aca="false">D16</f>
        <v>2.32</v>
      </c>
      <c r="E18" s="1441" t="s">
        <v>724</v>
      </c>
      <c r="F18" s="1442" t="n">
        <f aca="false">F16</f>
        <v>0.05</v>
      </c>
      <c r="G18" s="1442" t="n">
        <f aca="false">G16</f>
        <v>0.55</v>
      </c>
      <c r="H18" s="1443" t="n">
        <f aca="false">H16</f>
        <v>0.1</v>
      </c>
      <c r="I18" s="1444" t="n">
        <f aca="false">I16</f>
        <v>0.012</v>
      </c>
      <c r="J18" s="1445" t="n">
        <f aca="false">J16</f>
        <v>2.388</v>
      </c>
      <c r="K18" s="1379"/>
      <c r="L18" s="1446" t="n">
        <f aca="false">SUM(I18:J18)</f>
        <v>2.4</v>
      </c>
    </row>
    <row r="19" customFormat="false" ht="32.25" hidden="false" customHeight="true" outlineLevel="0" collapsed="false">
      <c r="A19" s="1447" t="s">
        <v>725</v>
      </c>
      <c r="B19" s="1362" t="n">
        <f aca="false">'☆掛負収入'!I63+E19</f>
        <v>48019</v>
      </c>
      <c r="C19" s="1363" t="n">
        <f aca="false">ROUNDDOWN((B19-E19)/B20*C20,0)</f>
        <v>42770</v>
      </c>
      <c r="D19" s="1433" t="n">
        <f aca="false">ROUNDDOWN((B19-E19)/B20*D20,0)</f>
        <v>2134</v>
      </c>
      <c r="E19" s="1448" t="n">
        <f aca="false">'☆労組公的負担（短期）'!F6</f>
        <v>262</v>
      </c>
      <c r="F19" s="1363" t="n">
        <f aca="false">ROUNDDOWN((B19-E19)/B20*F20,0)</f>
        <v>45</v>
      </c>
      <c r="G19" s="1363" t="n">
        <f aca="false">ROUNDDOWN((B19-E19)/B20*G20,0)</f>
        <v>505</v>
      </c>
      <c r="H19" s="1384" t="n">
        <f aca="false">H21-H15-H17</f>
        <v>93</v>
      </c>
      <c r="I19" s="1384" t="n">
        <f aca="false">I21-I15-I17</f>
        <v>13</v>
      </c>
      <c r="J19" s="1435" t="n">
        <f aca="false">B19-C19-D19-E19-F19-G19-H19-I19</f>
        <v>2197</v>
      </c>
      <c r="L19" s="1436" t="n">
        <f aca="false">SUM(I19:J19)</f>
        <v>2210</v>
      </c>
    </row>
    <row r="20" s="1381" customFormat="true" ht="15" hidden="false" customHeight="true" outlineLevel="0" collapsed="false">
      <c r="A20" s="1389" t="s">
        <v>710</v>
      </c>
      <c r="B20" s="1449" t="n">
        <f aca="false">SUM(C20:J20)</f>
        <v>51.91</v>
      </c>
      <c r="C20" s="1439" t="n">
        <f aca="false">C16</f>
        <v>46.49</v>
      </c>
      <c r="D20" s="1440" t="n">
        <f aca="false">D16</f>
        <v>2.32</v>
      </c>
      <c r="E20" s="1450" t="s">
        <v>726</v>
      </c>
      <c r="F20" s="1451" t="n">
        <f aca="false">F16</f>
        <v>0.05</v>
      </c>
      <c r="G20" s="1451" t="n">
        <f aca="false">G16</f>
        <v>0.55</v>
      </c>
      <c r="H20" s="1452" t="n">
        <f aca="false">H16</f>
        <v>0.1</v>
      </c>
      <c r="I20" s="1453" t="n">
        <f aca="false">I16</f>
        <v>0.012</v>
      </c>
      <c r="J20" s="1454" t="n">
        <f aca="false">J16</f>
        <v>2.388</v>
      </c>
      <c r="L20" s="1455" t="n">
        <f aca="false">SUM(I20:J20)</f>
        <v>2.4</v>
      </c>
    </row>
    <row r="21" customFormat="false" ht="30" hidden="false" customHeight="true" outlineLevel="0" collapsed="false">
      <c r="A21" s="1399" t="s">
        <v>650</v>
      </c>
      <c r="B21" s="1456" t="n">
        <f aca="false">'☆掛負収入'!I65</f>
        <v>351591834</v>
      </c>
      <c r="C21" s="1457" t="n">
        <f aca="false">C15+C17+C19</f>
        <v>311276420</v>
      </c>
      <c r="D21" s="1458" t="n">
        <f aca="false">D15+D17+D19</f>
        <v>15533689</v>
      </c>
      <c r="E21" s="1459" t="n">
        <f aca="false">E15+E17+E19</f>
        <v>4025496</v>
      </c>
      <c r="F21" s="1460" t="n">
        <f aca="false">F15+F17+F19</f>
        <v>334776</v>
      </c>
      <c r="G21" s="1460" t="n">
        <f aca="false">G15+G17+G19</f>
        <v>3682554</v>
      </c>
      <c r="H21" s="1460" t="n">
        <f aca="false">ROUNDDOWN(B26*H2/1000,0)-H10</f>
        <v>669556</v>
      </c>
      <c r="I21" s="1460" t="n">
        <f aca="false">ROUNDDOWN(B26*I2/1000,0)-I10</f>
        <v>80348</v>
      </c>
      <c r="J21" s="1461" t="n">
        <f aca="false">J15+J17+J19</f>
        <v>15988995</v>
      </c>
      <c r="K21" s="1462"/>
      <c r="L21" s="1463" t="n">
        <f aca="false">SUM(I21:J21)</f>
        <v>16069343</v>
      </c>
    </row>
    <row r="22" s="1407" customFormat="true" ht="20.1" hidden="false" customHeight="true" outlineLevel="0" collapsed="false">
      <c r="C22" s="1407" t="s">
        <v>713</v>
      </c>
      <c r="D22" s="1407" t="s">
        <v>714</v>
      </c>
      <c r="E22" s="1407" t="s">
        <v>714</v>
      </c>
      <c r="F22" s="1407" t="s">
        <v>715</v>
      </c>
      <c r="G22" s="1407" t="s">
        <v>716</v>
      </c>
      <c r="H22" s="1407" t="s">
        <v>717</v>
      </c>
      <c r="I22" s="1407" t="s">
        <v>718</v>
      </c>
      <c r="J22" s="1407" t="s">
        <v>719</v>
      </c>
      <c r="L22" s="1464"/>
    </row>
    <row r="23" s="764" customFormat="true" ht="18.75" hidden="false" customHeight="true" outlineLevel="0" collapsed="false">
      <c r="A23" s="1465" t="s">
        <v>727</v>
      </c>
      <c r="B23" s="1466" t="n">
        <f aca="false">B10+B21</f>
        <v>797101477</v>
      </c>
      <c r="C23" s="1467"/>
      <c r="D23" s="1467"/>
      <c r="E23" s="1467"/>
      <c r="H23" s="1468"/>
      <c r="K23" s="1342"/>
    </row>
    <row r="24" s="764" customFormat="true" ht="18.75" hidden="false" customHeight="true" outlineLevel="0" collapsed="false">
      <c r="A24" s="1469"/>
      <c r="B24" s="1470"/>
      <c r="C24" s="1471" t="s">
        <v>728</v>
      </c>
      <c r="D24" s="1472"/>
      <c r="E24" s="1473"/>
      <c r="F24" s="1474" t="s">
        <v>729</v>
      </c>
      <c r="G24" s="1473"/>
      <c r="H24" s="1475" t="n">
        <f aca="false">G10+G21</f>
        <v>8407395</v>
      </c>
      <c r="I24" s="1476" t="s">
        <v>430</v>
      </c>
      <c r="K24" s="1342"/>
    </row>
    <row r="25" s="764" customFormat="true" ht="18.75" hidden="false" customHeight="true" outlineLevel="0" collapsed="false">
      <c r="A25" s="1477" t="s">
        <v>730</v>
      </c>
      <c r="B25" s="1478"/>
      <c r="C25" s="1479"/>
      <c r="D25" s="1480"/>
      <c r="E25" s="1475" t="n">
        <f aca="false">C10+C21</f>
        <v>710654423</v>
      </c>
      <c r="F25" s="1481" t="str">
        <f aca="false">IF(H24='☆拠出金明細R7'!V11,"　","明細と不一致!")</f>
        <v>　</v>
      </c>
      <c r="G25" s="1482" t="n">
        <f aca="false">B26</f>
        <v>7643087000</v>
      </c>
      <c r="H25" s="1483" t="n">
        <f aca="false">G2</f>
        <v>1.1</v>
      </c>
      <c r="I25" s="1475"/>
      <c r="K25" s="1342"/>
    </row>
    <row r="26" s="764" customFormat="true" ht="18.75" hidden="false" customHeight="true" outlineLevel="0" collapsed="false">
      <c r="A26" s="1484" t="s">
        <v>577</v>
      </c>
      <c r="B26" s="1485" t="n">
        <f aca="false">ROUNDUP(H24/G2*1000,-3)</f>
        <v>7643087000</v>
      </c>
      <c r="C26" s="1471" t="s">
        <v>731</v>
      </c>
      <c r="D26" s="1472"/>
      <c r="E26" s="1486"/>
      <c r="F26" s="1474" t="s">
        <v>732</v>
      </c>
      <c r="G26" s="1473"/>
      <c r="H26" s="1475" t="n">
        <f aca="false">H10+H21</f>
        <v>1528617</v>
      </c>
      <c r="I26" s="1069" t="s">
        <v>431</v>
      </c>
      <c r="K26" s="1342"/>
    </row>
    <row r="27" s="1381" customFormat="true" ht="18.75" hidden="false" customHeight="true" outlineLevel="0" collapsed="false">
      <c r="A27" s="1484"/>
      <c r="B27" s="1485"/>
      <c r="C27" s="1487"/>
      <c r="D27" s="1480"/>
      <c r="E27" s="1475" t="n">
        <f aca="false">D10+D21+E21</f>
        <v>39489426</v>
      </c>
      <c r="F27" s="1481" t="str">
        <f aca="false">IF(H26='☆拠出金明細R7'!AD8,"　","明細と不一致!")</f>
        <v>　</v>
      </c>
      <c r="G27" s="1482" t="n">
        <f aca="false">B26</f>
        <v>7643087000</v>
      </c>
      <c r="H27" s="1483" t="n">
        <f aca="false">H2</f>
        <v>0.2</v>
      </c>
      <c r="I27" s="1069"/>
      <c r="K27" s="1488"/>
    </row>
    <row r="28" customFormat="false" ht="18.75" hidden="false" customHeight="true" outlineLevel="0" collapsed="false">
      <c r="A28" s="1489" t="s">
        <v>733</v>
      </c>
      <c r="B28" s="1490" t="n">
        <v>12390000</v>
      </c>
      <c r="C28" s="1491" t="s">
        <v>734</v>
      </c>
      <c r="D28" s="1492"/>
      <c r="E28" s="1473"/>
      <c r="F28" s="1493" t="s">
        <v>735</v>
      </c>
      <c r="G28" s="1472"/>
      <c r="H28" s="1475" t="n">
        <f aca="false">I10+I21</f>
        <v>183434</v>
      </c>
      <c r="I28" s="1069" t="s">
        <v>432</v>
      </c>
      <c r="K28" s="1337"/>
      <c r="L28" s="582"/>
    </row>
    <row r="29" customFormat="false" ht="18.75" hidden="false" customHeight="true" outlineLevel="0" collapsed="false">
      <c r="A29" s="1489"/>
      <c r="B29" s="1490"/>
      <c r="C29" s="1494"/>
      <c r="D29" s="1481" t="str">
        <f aca="false">IF(E29='☆拠出金明細R7'!K11,"　","明細と不一致!")</f>
        <v>　</v>
      </c>
      <c r="E29" s="1475" t="n">
        <f aca="false">F21</f>
        <v>334776</v>
      </c>
      <c r="F29" s="1481" t="str">
        <f aca="false">IF(H28='☆拠出金明細R7'!AN11,"　","明細と不一致!")</f>
        <v>　</v>
      </c>
      <c r="G29" s="1482" t="n">
        <f aca="false">B26</f>
        <v>7643087000</v>
      </c>
      <c r="H29" s="1495" t="n">
        <f aca="false">I2</f>
        <v>0.024</v>
      </c>
      <c r="K29" s="1337"/>
      <c r="L29" s="582"/>
    </row>
    <row r="30" customFormat="false" ht="18.75" hidden="false" customHeight="true" outlineLevel="0" collapsed="false">
      <c r="A30" s="1253"/>
      <c r="B30" s="1496"/>
      <c r="C30" s="1491" t="s">
        <v>736</v>
      </c>
      <c r="D30" s="1493"/>
      <c r="E30" s="1497"/>
      <c r="F30" s="1498" t="s">
        <v>737</v>
      </c>
      <c r="G30" s="1498"/>
      <c r="H30" s="1498"/>
      <c r="K30" s="1337"/>
      <c r="L30" s="582"/>
    </row>
    <row r="31" customFormat="false" ht="18.75" hidden="false" customHeight="true" outlineLevel="0" collapsed="false">
      <c r="A31" s="1253"/>
      <c r="B31" s="1496"/>
      <c r="C31" s="1499"/>
      <c r="D31" s="1486"/>
      <c r="E31" s="1475" t="n">
        <f aca="false">J10+J21</f>
        <v>36503406</v>
      </c>
      <c r="F31" s="1498"/>
      <c r="G31" s="1498"/>
      <c r="H31" s="1498"/>
      <c r="I31" s="1500"/>
      <c r="K31" s="1337"/>
      <c r="L31" s="582"/>
    </row>
    <row r="32" s="764" customFormat="true" ht="26.25" hidden="false" customHeight="true" outlineLevel="0" collapsed="false">
      <c r="A32" s="1338" t="n">
        <f aca="false">EOMONTH(A1,1)</f>
        <v>46173</v>
      </c>
      <c r="B32" s="1339" t="s">
        <v>688</v>
      </c>
      <c r="C32" s="1340" t="s">
        <v>689</v>
      </c>
      <c r="D32" s="1105" t="s">
        <v>690</v>
      </c>
      <c r="E32" s="1105" t="s">
        <v>691</v>
      </c>
      <c r="F32" s="1105" t="s">
        <v>692</v>
      </c>
      <c r="G32" s="1105" t="s">
        <v>693</v>
      </c>
      <c r="H32" s="1105" t="s">
        <v>694</v>
      </c>
      <c r="I32" s="1105" t="s">
        <v>695</v>
      </c>
      <c r="J32" s="1341"/>
      <c r="L32" s="1342"/>
    </row>
    <row r="33" s="1344" customFormat="true" ht="26.25" hidden="false" customHeight="true" outlineLevel="0" collapsed="false">
      <c r="A33" s="1343"/>
      <c r="C33" s="1340"/>
      <c r="D33" s="1501" t="n">
        <f aca="false">$D$2</f>
        <v>4.64</v>
      </c>
      <c r="E33" s="1502" t="n">
        <f aca="false">$E$2</f>
        <v>0.82</v>
      </c>
      <c r="F33" s="1502" t="n">
        <f aca="false">$F$2</f>
        <v>0.05</v>
      </c>
      <c r="G33" s="1502" t="n">
        <f aca="false">$G$2</f>
        <v>1.1</v>
      </c>
      <c r="H33" s="1502" t="n">
        <f aca="false">$H$2</f>
        <v>0.2</v>
      </c>
      <c r="I33" s="1502" t="n">
        <f aca="false">$I$2</f>
        <v>0.024</v>
      </c>
      <c r="J33" s="1348"/>
      <c r="L33" s="1349"/>
    </row>
    <row r="34" customFormat="false" ht="13.9" hidden="false" customHeight="true" outlineLevel="0" collapsed="false">
      <c r="C34" s="1341"/>
      <c r="D34" s="1341"/>
      <c r="E34" s="1341"/>
      <c r="F34" s="1503"/>
      <c r="G34" s="1341"/>
      <c r="H34" s="1341"/>
      <c r="I34" s="1341"/>
      <c r="J34" s="1341"/>
    </row>
    <row r="35" customFormat="false" ht="20.1" hidden="false" customHeight="true" outlineLevel="0" collapsed="false">
      <c r="A35" s="771" t="s">
        <v>698</v>
      </c>
      <c r="G35" s="1352"/>
      <c r="L35" s="1353" t="s">
        <v>699</v>
      </c>
    </row>
    <row r="36" s="1197" customFormat="true" ht="30" hidden="false" customHeight="true" outlineLevel="0" collapsed="false">
      <c r="A36" s="1354" t="s">
        <v>369</v>
      </c>
      <c r="B36" s="1355" t="s">
        <v>700</v>
      </c>
      <c r="C36" s="1356" t="s">
        <v>701</v>
      </c>
      <c r="D36" s="1357" t="s">
        <v>702</v>
      </c>
      <c r="E36" s="1357"/>
      <c r="F36" s="1358" t="s">
        <v>703</v>
      </c>
      <c r="G36" s="1357" t="s">
        <v>704</v>
      </c>
      <c r="H36" s="1357" t="s">
        <v>705</v>
      </c>
      <c r="I36" s="1357" t="s">
        <v>706</v>
      </c>
      <c r="J36" s="1359" t="s">
        <v>707</v>
      </c>
      <c r="L36" s="1360" t="s">
        <v>708</v>
      </c>
    </row>
    <row r="37" customFormat="false" ht="32.25" hidden="false" customHeight="true" outlineLevel="0" collapsed="false">
      <c r="A37" s="1361" t="s">
        <v>709</v>
      </c>
      <c r="B37" s="1362" t="n">
        <f aca="false">B41-B39</f>
        <v>350207199</v>
      </c>
      <c r="C37" s="1363" t="n">
        <f aca="false">ROUNDDOWN(B37*C38/B38,0)</f>
        <v>313943939</v>
      </c>
      <c r="D37" s="1364" t="n">
        <f aca="false">ROUNDDOWN(B37*D38/B38,0)</f>
        <v>15666808</v>
      </c>
      <c r="E37" s="1364" t="n">
        <f aca="false">ROUNDDOWN(D37*E38/D38,0)</f>
        <v>0</v>
      </c>
      <c r="F37" s="1365" t="s">
        <v>522</v>
      </c>
      <c r="G37" s="1366" t="n">
        <f aca="false">ROUNDDOWN(B37*G38/B38,0)</f>
        <v>3714114</v>
      </c>
      <c r="H37" s="1367" t="n">
        <f aca="false">ROUNDDOWN(B37*H38/B38,0)</f>
        <v>675293</v>
      </c>
      <c r="I37" s="1364" t="n">
        <f aca="false">ROUNDDOWN(B37*I38/B38,0)</f>
        <v>81035</v>
      </c>
      <c r="J37" s="1368" t="n">
        <f aca="false">B37-C37-D37-G37-H37-I37</f>
        <v>16126010</v>
      </c>
      <c r="L37" s="1369" t="n">
        <f aca="false">SUM(I37:J37)</f>
        <v>16207045</v>
      </c>
    </row>
    <row r="38" s="1511" customFormat="true" ht="15" hidden="false" customHeight="true" outlineLevel="0" collapsed="false">
      <c r="A38" s="1504" t="s">
        <v>710</v>
      </c>
      <c r="B38" s="1505" t="n">
        <f aca="false">SUM(C38:J38)</f>
        <v>51.86</v>
      </c>
      <c r="C38" s="1506" t="n">
        <f aca="false">$C$7</f>
        <v>46.49</v>
      </c>
      <c r="D38" s="1507" t="n">
        <f aca="false">$D$7</f>
        <v>2.32</v>
      </c>
      <c r="E38" s="1507"/>
      <c r="F38" s="1508" t="s">
        <v>522</v>
      </c>
      <c r="G38" s="1509" t="n">
        <f aca="false">$G$7</f>
        <v>0.55</v>
      </c>
      <c r="H38" s="1442" t="n">
        <f aca="false">$H$7</f>
        <v>0.1</v>
      </c>
      <c r="I38" s="1443" t="n">
        <f aca="false">$I$7</f>
        <v>0.012</v>
      </c>
      <c r="J38" s="1510" t="n">
        <f aca="false">$J$7</f>
        <v>2.388</v>
      </c>
      <c r="K38" s="1379" t="s">
        <v>711</v>
      </c>
      <c r="L38" s="1380" t="n">
        <f aca="false">SUM(I38:J38)</f>
        <v>2.4</v>
      </c>
    </row>
    <row r="39" customFormat="false" ht="32.25" hidden="false" customHeight="true" outlineLevel="0" collapsed="false">
      <c r="A39" s="1361" t="s">
        <v>738</v>
      </c>
      <c r="B39" s="1362" t="n">
        <f aca="false">'☆短期集計R7'!D26</f>
        <v>2192748</v>
      </c>
      <c r="C39" s="1363" t="n">
        <f aca="false">ROUNDDOWN(B39*C40/B40,0)</f>
        <v>1965693</v>
      </c>
      <c r="D39" s="1382" t="n">
        <f aca="false">ROUNDDOWN(B39*D40/B40,0)</f>
        <v>98094</v>
      </c>
      <c r="E39" s="1382" t="n">
        <f aca="false">ROUNDDOWN(D39*E40/D40,0)</f>
        <v>0</v>
      </c>
      <c r="F39" s="1383" t="s">
        <v>522</v>
      </c>
      <c r="G39" s="1384" t="n">
        <f aca="false">ROUNDDOWN(B39*G40/B40,0)</f>
        <v>23255</v>
      </c>
      <c r="H39" s="1385" t="n">
        <f aca="false">ROUNDDOWN(B39*H40/B40,0)</f>
        <v>4228</v>
      </c>
      <c r="I39" s="1386" t="n">
        <f aca="false">ROUNDDOWN(B39*I40/B40,0)</f>
        <v>507</v>
      </c>
      <c r="J39" s="1387" t="n">
        <f aca="false">B39-C39-D39-G39-H39-I39</f>
        <v>100971</v>
      </c>
      <c r="K39" s="1379"/>
      <c r="L39" s="1388" t="n">
        <f aca="false">SUM(I39:J39)</f>
        <v>101478</v>
      </c>
    </row>
    <row r="40" s="1381" customFormat="true" ht="15" hidden="false" customHeight="true" outlineLevel="0" collapsed="false">
      <c r="A40" s="1512" t="s">
        <v>710</v>
      </c>
      <c r="B40" s="1449" t="n">
        <f aca="false">SUM(C40:J40)</f>
        <v>103.72</v>
      </c>
      <c r="C40" s="1513" t="n">
        <f aca="false">C38*2</f>
        <v>92.98</v>
      </c>
      <c r="D40" s="1514" t="n">
        <f aca="false">D38*2</f>
        <v>4.64</v>
      </c>
      <c r="E40" s="1514"/>
      <c r="F40" s="1515" t="s">
        <v>522</v>
      </c>
      <c r="G40" s="1516" t="n">
        <f aca="false">G38*2</f>
        <v>1.1</v>
      </c>
      <c r="H40" s="1517" t="n">
        <f aca="false">H38*2</f>
        <v>0.2</v>
      </c>
      <c r="I40" s="1518" t="n">
        <f aca="false">I38*2</f>
        <v>0.024</v>
      </c>
      <c r="J40" s="1519" t="n">
        <f aca="false">J38*2</f>
        <v>4.776</v>
      </c>
      <c r="L40" s="1398" t="n">
        <f aca="false">L38*2</f>
        <v>4.8</v>
      </c>
    </row>
    <row r="41" customFormat="false" ht="30" hidden="false" customHeight="true" outlineLevel="0" collapsed="false">
      <c r="A41" s="1399" t="s">
        <v>650</v>
      </c>
      <c r="B41" s="1400" t="n">
        <f aca="false">'☆短期集計R7'!B26+'☆短期集計R7'!D26</f>
        <v>352399947</v>
      </c>
      <c r="C41" s="1401" t="n">
        <f aca="false">C37+C39</f>
        <v>315909632</v>
      </c>
      <c r="D41" s="1402" t="n">
        <f aca="false">D37+D39</f>
        <v>15764902</v>
      </c>
      <c r="E41" s="1402"/>
      <c r="F41" s="1403" t="s">
        <v>522</v>
      </c>
      <c r="G41" s="1402" t="n">
        <f aca="false">G37+G39</f>
        <v>3737369</v>
      </c>
      <c r="H41" s="1401" t="n">
        <f aca="false">H37+H39</f>
        <v>679521</v>
      </c>
      <c r="I41" s="1402" t="n">
        <f aca="false">I37+I39</f>
        <v>81542</v>
      </c>
      <c r="J41" s="1404" t="n">
        <f aca="false">J37+J39</f>
        <v>16226981</v>
      </c>
      <c r="L41" s="1405" t="n">
        <f aca="false">L37+L39</f>
        <v>16308523</v>
      </c>
    </row>
    <row r="42" s="1406" customFormat="true" ht="20.1" hidden="false" customHeight="true" outlineLevel="0" collapsed="false">
      <c r="C42" s="1407" t="s">
        <v>713</v>
      </c>
      <c r="D42" s="1408" t="s">
        <v>714</v>
      </c>
      <c r="E42" s="1408"/>
      <c r="F42" s="1407" t="s">
        <v>715</v>
      </c>
      <c r="G42" s="1407" t="s">
        <v>716</v>
      </c>
      <c r="H42" s="1409" t="s">
        <v>717</v>
      </c>
      <c r="I42" s="1409" t="s">
        <v>718</v>
      </c>
      <c r="J42" s="1409" t="s">
        <v>719</v>
      </c>
      <c r="L42" s="1410"/>
    </row>
    <row r="43" s="1064" customFormat="true" ht="13.5" hidden="false" customHeight="true" outlineLevel="0" collapsed="false">
      <c r="C43" s="1411"/>
      <c r="D43" s="1412"/>
      <c r="E43" s="1412"/>
      <c r="F43" s="1411"/>
      <c r="G43" s="1412"/>
      <c r="H43" s="1412"/>
      <c r="I43" s="1412"/>
      <c r="J43" s="1412"/>
      <c r="L43" s="1413"/>
    </row>
    <row r="44" customFormat="false" ht="20.1" hidden="false" customHeight="true" outlineLevel="0" collapsed="false">
      <c r="A44" s="771" t="s">
        <v>230</v>
      </c>
      <c r="B44" s="1064"/>
      <c r="C44" s="1064"/>
      <c r="D44" s="1064"/>
      <c r="E44" s="1064"/>
      <c r="F44" s="1064"/>
      <c r="G44" s="1352"/>
      <c r="H44" s="1064"/>
      <c r="I44" s="1064"/>
      <c r="J44" s="1064"/>
      <c r="L44" s="1353" t="s">
        <v>699</v>
      </c>
    </row>
    <row r="45" s="920" customFormat="true" ht="30" hidden="false" customHeight="true" outlineLevel="0" collapsed="false">
      <c r="A45" s="1354" t="s">
        <v>369</v>
      </c>
      <c r="B45" s="1355" t="s">
        <v>700</v>
      </c>
      <c r="C45" s="1356" t="s">
        <v>701</v>
      </c>
      <c r="D45" s="1414" t="s">
        <v>702</v>
      </c>
      <c r="E45" s="1415" t="s">
        <v>739</v>
      </c>
      <c r="F45" s="1416" t="s">
        <v>721</v>
      </c>
      <c r="G45" s="1417" t="s">
        <v>704</v>
      </c>
      <c r="H45" s="1357" t="s">
        <v>705</v>
      </c>
      <c r="I45" s="1357" t="s">
        <v>706</v>
      </c>
      <c r="J45" s="1359" t="s">
        <v>707</v>
      </c>
      <c r="L45" s="1360" t="s">
        <v>708</v>
      </c>
    </row>
    <row r="46" customFormat="false" ht="32.25" hidden="false" customHeight="true" outlineLevel="0" collapsed="false">
      <c r="A46" s="1418" t="s">
        <v>722</v>
      </c>
      <c r="B46" s="1362" t="n">
        <f aca="false">B52-B48-B50</f>
        <v>260272217</v>
      </c>
      <c r="C46" s="1363" t="n">
        <f aca="false">ROUNDDOWN(B46*C47/B47,0)</f>
        <v>229471939</v>
      </c>
      <c r="D46" s="1419" t="n">
        <f aca="false">ROUNDDOWN(B46*D47/B47,0)</f>
        <v>11451385</v>
      </c>
      <c r="E46" s="1420" t="n">
        <f aca="false">ROUNDDOWN(B46*E47/B47,0)</f>
        <v>4047472</v>
      </c>
      <c r="F46" s="1421" t="n">
        <f aca="false">ROUNDDOWN(B46*F47/B47,0)</f>
        <v>246797</v>
      </c>
      <c r="G46" s="1421" t="n">
        <f aca="false">ROUNDDOWN(B46*G47/B47,0)</f>
        <v>2714768</v>
      </c>
      <c r="H46" s="1366" t="n">
        <f aca="false">ROUNDDOWN(B46*H47/B47,0)</f>
        <v>493594</v>
      </c>
      <c r="I46" s="1366" t="n">
        <f aca="false">ROUNDDOWN(B46*I47/B47,0)</f>
        <v>59231</v>
      </c>
      <c r="J46" s="1422" t="n">
        <f aca="false">B46-C46-D46-E46-F46-G46-H46-I46</f>
        <v>11787031</v>
      </c>
      <c r="L46" s="1423" t="n">
        <f aca="false">SUM(I46:J46)</f>
        <v>11846262</v>
      </c>
    </row>
    <row r="47" s="1511" customFormat="true" ht="15" hidden="false" customHeight="true" outlineLevel="0" collapsed="false">
      <c r="A47" s="1504" t="s">
        <v>710</v>
      </c>
      <c r="B47" s="1438" t="n">
        <f aca="false">SUM(C47:J47)</f>
        <v>52.73</v>
      </c>
      <c r="C47" s="1520" t="n">
        <f aca="false">$C$16</f>
        <v>46.49</v>
      </c>
      <c r="D47" s="1440" t="n">
        <f aca="false">$D$16</f>
        <v>2.32</v>
      </c>
      <c r="E47" s="1521" t="n">
        <f aca="false">$E$16</f>
        <v>0.82</v>
      </c>
      <c r="F47" s="1522" t="n">
        <f aca="false">$F$16</f>
        <v>0.05</v>
      </c>
      <c r="G47" s="1522" t="n">
        <f aca="false">$G$16</f>
        <v>0.55</v>
      </c>
      <c r="H47" s="1523" t="n">
        <f aca="false">$H$16</f>
        <v>0.1</v>
      </c>
      <c r="I47" s="1524" t="n">
        <f aca="false">$I$16</f>
        <v>0.012</v>
      </c>
      <c r="J47" s="1525" t="n">
        <f aca="false">$J$16</f>
        <v>2.388</v>
      </c>
      <c r="K47" s="1381"/>
      <c r="L47" s="1432" t="n">
        <f aca="false">SUM(I47:J47)</f>
        <v>2.4</v>
      </c>
    </row>
    <row r="48" customFormat="false" ht="32.25" hidden="false" customHeight="true" outlineLevel="0" collapsed="false">
      <c r="A48" s="1361" t="s">
        <v>723</v>
      </c>
      <c r="B48" s="1362" t="n">
        <f aca="false">'☆掛負収入'!I111+'☆掛負収入'!I112</f>
        <v>94519641</v>
      </c>
      <c r="C48" s="1363" t="n">
        <f aca="false">ROUNDDOWN((B48-E48)/B49*C49,0)</f>
        <v>84641606</v>
      </c>
      <c r="D48" s="1433" t="n">
        <f aca="false">ROUNDDOWN((B48-E48)/B49*D49,0)</f>
        <v>4223887</v>
      </c>
      <c r="E48" s="1434" t="n">
        <f aca="false">ROUNDDOWN(B59*E33/1000,0)</f>
        <v>10159</v>
      </c>
      <c r="F48" s="1363" t="n">
        <f aca="false">ROUNDDOWN((B48-E48)/B49*F49,0)</f>
        <v>91032</v>
      </c>
      <c r="G48" s="1363" t="n">
        <f aca="false">ROUNDDOWN((B48-E48)/B49*G49,0)</f>
        <v>1001352</v>
      </c>
      <c r="H48" s="1384" t="n">
        <f aca="false">ROUNDDOWN((B48-E48)/B49*H49,0)</f>
        <v>182064</v>
      </c>
      <c r="I48" s="1384" t="n">
        <f aca="false">ROUNDDOWN((B48-E48)/B49*I49,0)</f>
        <v>21847</v>
      </c>
      <c r="J48" s="1435" t="n">
        <f aca="false">B48-C48-D48-E48-F48-G48-H48-I48</f>
        <v>4347694</v>
      </c>
      <c r="K48" s="1379" t="s">
        <v>711</v>
      </c>
      <c r="L48" s="1436" t="n">
        <f aca="false">SUM(I48:J48)</f>
        <v>4369541</v>
      </c>
    </row>
    <row r="49" s="1381" customFormat="true" ht="15" hidden="false" customHeight="true" outlineLevel="0" collapsed="false">
      <c r="A49" s="1526" t="s">
        <v>710</v>
      </c>
      <c r="B49" s="1438" t="n">
        <f aca="false">SUM(C49:J49)</f>
        <v>51.91</v>
      </c>
      <c r="C49" s="1439" t="n">
        <f aca="false">C47</f>
        <v>46.49</v>
      </c>
      <c r="D49" s="1440" t="n">
        <f aca="false">D47</f>
        <v>2.32</v>
      </c>
      <c r="E49" s="1441" t="s">
        <v>724</v>
      </c>
      <c r="F49" s="1442" t="n">
        <f aca="false">F47</f>
        <v>0.05</v>
      </c>
      <c r="G49" s="1442" t="n">
        <f aca="false">G47</f>
        <v>0.55</v>
      </c>
      <c r="H49" s="1443" t="n">
        <f aca="false">H47</f>
        <v>0.1</v>
      </c>
      <c r="I49" s="1444" t="n">
        <f aca="false">I47</f>
        <v>0.012</v>
      </c>
      <c r="J49" s="1445" t="n">
        <f aca="false">J47</f>
        <v>2.388</v>
      </c>
      <c r="K49" s="1379"/>
      <c r="L49" s="1446" t="n">
        <f aca="false">SUM(I49:J49)</f>
        <v>2.4</v>
      </c>
    </row>
    <row r="50" customFormat="false" ht="32.25" hidden="false" customHeight="true" outlineLevel="0" collapsed="false">
      <c r="A50" s="1447" t="s">
        <v>725</v>
      </c>
      <c r="B50" s="1362" t="n">
        <f aca="false">'☆掛負収入'!I128+E50</f>
        <v>48019</v>
      </c>
      <c r="C50" s="1363" t="n">
        <f aca="false">ROUNDDOWN((B50-E50)/B51*C51,0)</f>
        <v>42770</v>
      </c>
      <c r="D50" s="1433" t="n">
        <f aca="false">ROUNDDOWN((B50-E50)/B51*D51,0)</f>
        <v>2134</v>
      </c>
      <c r="E50" s="1448" t="n">
        <f aca="false">'☆労組公的負担（短期）'!F7</f>
        <v>262</v>
      </c>
      <c r="F50" s="1363" t="n">
        <f aca="false">ROUNDDOWN((B50-E50)/B51*F51,0)</f>
        <v>45</v>
      </c>
      <c r="G50" s="1363" t="n">
        <f aca="false">ROUNDDOWN((B50-E50)/B51*G51,0)</f>
        <v>505</v>
      </c>
      <c r="H50" s="1384" t="n">
        <f aca="false">H52-H46-H48</f>
        <v>92</v>
      </c>
      <c r="I50" s="1384" t="n">
        <f aca="false">I52-I46-I48</f>
        <v>12</v>
      </c>
      <c r="J50" s="1435" t="n">
        <f aca="false">B50-C50-D50-E50-F50-G50-H50-I50</f>
        <v>2199</v>
      </c>
      <c r="L50" s="1436" t="n">
        <f aca="false">SUM(I50:J50)</f>
        <v>2211</v>
      </c>
    </row>
    <row r="51" s="1381" customFormat="true" ht="15" hidden="false" customHeight="true" outlineLevel="0" collapsed="false">
      <c r="A51" s="1512" t="s">
        <v>710</v>
      </c>
      <c r="B51" s="1449" t="n">
        <f aca="false">SUM(C51:J51)</f>
        <v>51.91</v>
      </c>
      <c r="C51" s="1439" t="n">
        <f aca="false">C47</f>
        <v>46.49</v>
      </c>
      <c r="D51" s="1440" t="n">
        <f aca="false">D47</f>
        <v>2.32</v>
      </c>
      <c r="E51" s="1450" t="s">
        <v>726</v>
      </c>
      <c r="F51" s="1451" t="n">
        <f aca="false">F47</f>
        <v>0.05</v>
      </c>
      <c r="G51" s="1451" t="n">
        <f aca="false">G47</f>
        <v>0.55</v>
      </c>
      <c r="H51" s="1452" t="n">
        <f aca="false">H47</f>
        <v>0.1</v>
      </c>
      <c r="I51" s="1453" t="n">
        <f aca="false">I47</f>
        <v>0.012</v>
      </c>
      <c r="J51" s="1454" t="n">
        <f aca="false">J47</f>
        <v>2.388</v>
      </c>
      <c r="L51" s="1455" t="n">
        <f aca="false">SUM(I51:J51)</f>
        <v>2.4</v>
      </c>
    </row>
    <row r="52" customFormat="false" ht="30" hidden="false" customHeight="true" outlineLevel="0" collapsed="false">
      <c r="A52" s="1399" t="s">
        <v>650</v>
      </c>
      <c r="B52" s="1456" t="n">
        <f aca="false">'☆掛負収入'!I130</f>
        <v>354839877</v>
      </c>
      <c r="C52" s="1457" t="n">
        <f aca="false">C46+C48+C50</f>
        <v>314156315</v>
      </c>
      <c r="D52" s="1458" t="n">
        <f aca="false">D46+D48+D50</f>
        <v>15677406</v>
      </c>
      <c r="E52" s="1459" t="n">
        <f aca="false">E46+E48+E50</f>
        <v>4057893</v>
      </c>
      <c r="F52" s="1460" t="n">
        <f aca="false">F46+F48+F50</f>
        <v>337874</v>
      </c>
      <c r="G52" s="1460" t="n">
        <f aca="false">G46+G48+G50</f>
        <v>3716625</v>
      </c>
      <c r="H52" s="1460" t="n">
        <f aca="false">ROUNDDOWN(B57*H33/1000,0)-H41</f>
        <v>675750</v>
      </c>
      <c r="I52" s="1460" t="n">
        <f aca="false">ROUNDDOWN(B57*I33/1000,0)-I41</f>
        <v>81090</v>
      </c>
      <c r="J52" s="1527" t="n">
        <f aca="false">J46+J48+J50</f>
        <v>16136924</v>
      </c>
      <c r="L52" s="1463" t="n">
        <f aca="false">SUM(I52:J52)</f>
        <v>16218014</v>
      </c>
    </row>
    <row r="53" s="1407" customFormat="true" ht="20.1" hidden="false" customHeight="true" outlineLevel="0" collapsed="false">
      <c r="C53" s="1407" t="s">
        <v>713</v>
      </c>
      <c r="D53" s="1407" t="s">
        <v>714</v>
      </c>
      <c r="E53" s="1407" t="s">
        <v>714</v>
      </c>
      <c r="F53" s="1407" t="s">
        <v>715</v>
      </c>
      <c r="G53" s="1407" t="s">
        <v>716</v>
      </c>
      <c r="H53" s="1407" t="s">
        <v>717</v>
      </c>
      <c r="I53" s="1407" t="s">
        <v>718</v>
      </c>
      <c r="J53" s="1407" t="s">
        <v>719</v>
      </c>
      <c r="L53" s="1464"/>
    </row>
    <row r="54" s="764" customFormat="true" ht="18.75" hidden="false" customHeight="true" outlineLevel="0" collapsed="false">
      <c r="A54" s="1465" t="s">
        <v>727</v>
      </c>
      <c r="B54" s="1466" t="n">
        <f aca="false">B41+B52</f>
        <v>707239824</v>
      </c>
      <c r="C54" s="1467"/>
      <c r="D54" s="1467"/>
      <c r="E54" s="1467"/>
      <c r="K54" s="1342"/>
    </row>
    <row r="55" s="764" customFormat="true" ht="18.75" hidden="false" customHeight="true" outlineLevel="0" collapsed="false">
      <c r="A55" s="1477"/>
      <c r="B55" s="1470"/>
      <c r="C55" s="1471" t="s">
        <v>728</v>
      </c>
      <c r="D55" s="1472"/>
      <c r="E55" s="1473"/>
      <c r="F55" s="1474" t="s">
        <v>729</v>
      </c>
      <c r="G55" s="1473"/>
      <c r="H55" s="1475" t="n">
        <f aca="false">G41+G52</f>
        <v>7453994</v>
      </c>
      <c r="I55" s="1476" t="s">
        <v>430</v>
      </c>
      <c r="K55" s="1342"/>
    </row>
    <row r="56" s="764" customFormat="true" ht="18.75" hidden="false" customHeight="true" outlineLevel="0" collapsed="false">
      <c r="A56" s="1477" t="s">
        <v>730</v>
      </c>
      <c r="B56" s="1478"/>
      <c r="C56" s="1479"/>
      <c r="D56" s="1480"/>
      <c r="E56" s="1475" t="n">
        <f aca="false">C41+C52</f>
        <v>630065947</v>
      </c>
      <c r="F56" s="1481" t="str">
        <f aca="false">IF(H55='☆拠出金明細R7'!V12,"　","明細と不一致!")</f>
        <v>　</v>
      </c>
      <c r="G56" s="1482" t="n">
        <f aca="false">B57</f>
        <v>6776359000</v>
      </c>
      <c r="H56" s="1483" t="n">
        <f aca="false">G33</f>
        <v>1.1</v>
      </c>
      <c r="I56" s="1475"/>
      <c r="K56" s="1342"/>
    </row>
    <row r="57" s="764" customFormat="true" ht="18.75" hidden="false" customHeight="true" outlineLevel="0" collapsed="false">
      <c r="A57" s="1484" t="s">
        <v>577</v>
      </c>
      <c r="B57" s="1485" t="n">
        <f aca="false">ROUNDUP(H55/G33*1000,-3)</f>
        <v>6776359000</v>
      </c>
      <c r="C57" s="1471" t="s">
        <v>731</v>
      </c>
      <c r="D57" s="1472"/>
      <c r="E57" s="1486"/>
      <c r="F57" s="1474" t="s">
        <v>732</v>
      </c>
      <c r="G57" s="1473"/>
      <c r="H57" s="1475" t="n">
        <f aca="false">H41+H52</f>
        <v>1355271</v>
      </c>
      <c r="I57" s="1069" t="s">
        <v>431</v>
      </c>
      <c r="K57" s="1342"/>
    </row>
    <row r="58" s="1381" customFormat="true" ht="18.75" hidden="false" customHeight="true" outlineLevel="0" collapsed="false">
      <c r="A58" s="1484"/>
      <c r="B58" s="1485"/>
      <c r="C58" s="1487"/>
      <c r="D58" s="1480"/>
      <c r="E58" s="1475" t="n">
        <f aca="false">D41+D52+E52</f>
        <v>35500201</v>
      </c>
      <c r="F58" s="1481" t="str">
        <f aca="false">IF(H57='☆拠出金明細R7'!AD10,"　","明細と不一致!")</f>
        <v>　</v>
      </c>
      <c r="G58" s="1482" t="n">
        <f aca="false">B57</f>
        <v>6776359000</v>
      </c>
      <c r="H58" s="1483" t="n">
        <f aca="false">H33</f>
        <v>0.2</v>
      </c>
      <c r="I58" s="1069"/>
      <c r="K58" s="1488"/>
    </row>
    <row r="59" customFormat="false" ht="18.75" hidden="false" customHeight="true" outlineLevel="0" collapsed="false">
      <c r="A59" s="1489" t="s">
        <v>733</v>
      </c>
      <c r="B59" s="1490" t="n">
        <v>12390000</v>
      </c>
      <c r="C59" s="1491" t="s">
        <v>734</v>
      </c>
      <c r="D59" s="1493"/>
      <c r="E59" s="1473"/>
      <c r="F59" s="1493" t="s">
        <v>735</v>
      </c>
      <c r="G59" s="1472"/>
      <c r="H59" s="1475" t="n">
        <f aca="false">I41+I52</f>
        <v>162632</v>
      </c>
      <c r="I59" s="1069" t="s">
        <v>432</v>
      </c>
      <c r="K59" s="1337"/>
      <c r="L59" s="582"/>
    </row>
    <row r="60" customFormat="false" ht="18.75" hidden="false" customHeight="true" outlineLevel="0" collapsed="false">
      <c r="A60" s="1489"/>
      <c r="B60" s="1490"/>
      <c r="C60" s="1494"/>
      <c r="D60" s="1481" t="str">
        <f aca="false">IF(E60='☆拠出金明細R7'!K12,"　","明細と不一致!")</f>
        <v>　</v>
      </c>
      <c r="E60" s="1475" t="n">
        <f aca="false">F52</f>
        <v>337874</v>
      </c>
      <c r="F60" s="1481" t="str">
        <f aca="false">IF(H59='☆拠出金明細R7'!AN12,"　","明細と不一致!")</f>
        <v>　</v>
      </c>
      <c r="G60" s="1482" t="n">
        <f aca="false">B57</f>
        <v>6776359000</v>
      </c>
      <c r="H60" s="1495" t="n">
        <f aca="false">I33</f>
        <v>0.024</v>
      </c>
      <c r="K60" s="1337"/>
      <c r="L60" s="582"/>
    </row>
    <row r="61" customFormat="false" ht="18.75" hidden="false" customHeight="true" outlineLevel="0" collapsed="false">
      <c r="A61" s="1253"/>
      <c r="B61" s="1496"/>
      <c r="C61" s="1491" t="s">
        <v>736</v>
      </c>
      <c r="D61" s="1493"/>
      <c r="E61" s="1497"/>
      <c r="F61" s="1498" t="s">
        <v>737</v>
      </c>
      <c r="G61" s="1498"/>
      <c r="H61" s="1498"/>
      <c r="K61" s="1337"/>
      <c r="L61" s="582"/>
    </row>
    <row r="62" customFormat="false" ht="18.75" hidden="false" customHeight="true" outlineLevel="0" collapsed="false">
      <c r="A62" s="1253"/>
      <c r="B62" s="1496"/>
      <c r="C62" s="1499"/>
      <c r="D62" s="1486"/>
      <c r="E62" s="1475" t="n">
        <f aca="false">J41+J52</f>
        <v>32363905</v>
      </c>
      <c r="F62" s="1498"/>
      <c r="G62" s="1498"/>
      <c r="H62" s="1498"/>
      <c r="I62" s="1500"/>
      <c r="K62" s="1337"/>
      <c r="L62" s="582"/>
    </row>
    <row r="63" s="764" customFormat="true" ht="26.25" hidden="false" customHeight="true" outlineLevel="0" collapsed="false">
      <c r="A63" s="1338" t="n">
        <f aca="false">EOMONTH(A32,1)</f>
        <v>46203</v>
      </c>
      <c r="B63" s="1339" t="s">
        <v>688</v>
      </c>
      <c r="C63" s="1340" t="s">
        <v>689</v>
      </c>
      <c r="D63" s="1105" t="s">
        <v>690</v>
      </c>
      <c r="E63" s="1105" t="s">
        <v>691</v>
      </c>
      <c r="F63" s="1105" t="s">
        <v>692</v>
      </c>
      <c r="G63" s="1105" t="s">
        <v>693</v>
      </c>
      <c r="H63" s="1105" t="s">
        <v>694</v>
      </c>
      <c r="I63" s="1105" t="s">
        <v>695</v>
      </c>
      <c r="J63" s="1341"/>
      <c r="L63" s="1342"/>
    </row>
    <row r="64" s="1344" customFormat="true" ht="26.25" hidden="false" customHeight="true" outlineLevel="0" collapsed="false">
      <c r="A64" s="1343"/>
      <c r="C64" s="1340"/>
      <c r="D64" s="1501" t="n">
        <f aca="false">$D$2</f>
        <v>4.64</v>
      </c>
      <c r="E64" s="1502" t="n">
        <f aca="false">$E$2</f>
        <v>0.82</v>
      </c>
      <c r="F64" s="1502" t="n">
        <f aca="false">$F$2</f>
        <v>0.05</v>
      </c>
      <c r="G64" s="1502" t="n">
        <f aca="false">$G$2</f>
        <v>1.1</v>
      </c>
      <c r="H64" s="1502" t="n">
        <f aca="false">$H$2</f>
        <v>0.2</v>
      </c>
      <c r="I64" s="1502" t="n">
        <f aca="false">$I$2</f>
        <v>0.024</v>
      </c>
      <c r="J64" s="1348"/>
      <c r="L64" s="1349"/>
    </row>
    <row r="65" customFormat="false" ht="13.9" hidden="false" customHeight="true" outlineLevel="0" collapsed="false">
      <c r="C65" s="1341"/>
      <c r="D65" s="1341"/>
      <c r="E65" s="1341"/>
      <c r="F65" s="1503"/>
      <c r="G65" s="1341"/>
      <c r="H65" s="1341"/>
      <c r="I65" s="1341"/>
      <c r="J65" s="1341"/>
    </row>
    <row r="66" customFormat="false" ht="20.1" hidden="false" customHeight="true" outlineLevel="0" collapsed="false">
      <c r="A66" s="771" t="s">
        <v>698</v>
      </c>
      <c r="G66" s="1352"/>
      <c r="L66" s="1353" t="s">
        <v>699</v>
      </c>
    </row>
    <row r="67" s="1197" customFormat="true" ht="30" hidden="false" customHeight="true" outlineLevel="0" collapsed="false">
      <c r="A67" s="1354" t="s">
        <v>369</v>
      </c>
      <c r="B67" s="1355" t="s">
        <v>700</v>
      </c>
      <c r="C67" s="1356" t="s">
        <v>701</v>
      </c>
      <c r="D67" s="1357" t="s">
        <v>702</v>
      </c>
      <c r="E67" s="1357"/>
      <c r="F67" s="1358" t="s">
        <v>703</v>
      </c>
      <c r="G67" s="1357" t="s">
        <v>704</v>
      </c>
      <c r="H67" s="1357" t="s">
        <v>705</v>
      </c>
      <c r="I67" s="1357" t="s">
        <v>706</v>
      </c>
      <c r="J67" s="1359" t="s">
        <v>707</v>
      </c>
      <c r="L67" s="1360" t="s">
        <v>708</v>
      </c>
    </row>
    <row r="68" customFormat="false" ht="32.25" hidden="false" customHeight="true" outlineLevel="0" collapsed="false">
      <c r="A68" s="1361" t="s">
        <v>709</v>
      </c>
      <c r="B68" s="1362" t="n">
        <f aca="false">B72-B70</f>
        <v>349686293</v>
      </c>
      <c r="C68" s="1363" t="n">
        <f aca="false">ROUNDDOWN(B68*C69/B69,0)</f>
        <v>313476971</v>
      </c>
      <c r="D68" s="1364" t="n">
        <f aca="false">ROUNDDOWN(B68*D69/B69,0)</f>
        <v>15643505</v>
      </c>
      <c r="E68" s="1364" t="n">
        <f aca="false">ROUNDDOWN(D68*E69/D69,0)</f>
        <v>0</v>
      </c>
      <c r="F68" s="1365" t="s">
        <v>522</v>
      </c>
      <c r="G68" s="1366" t="n">
        <f aca="false">ROUNDDOWN(B68*G69/B69,0)</f>
        <v>3708589</v>
      </c>
      <c r="H68" s="1367" t="n">
        <f aca="false">ROUNDDOWN(B68*H69/B69,0)</f>
        <v>674289</v>
      </c>
      <c r="I68" s="1364" t="n">
        <f aca="false">ROUNDDOWN(B68*I69/B69,0)</f>
        <v>80914</v>
      </c>
      <c r="J68" s="1368" t="n">
        <f aca="false">B68-C68-D68-G68-H68-I68</f>
        <v>16102025</v>
      </c>
      <c r="L68" s="1369" t="n">
        <f aca="false">SUM(I68:J68)</f>
        <v>16182939</v>
      </c>
    </row>
    <row r="69" s="1511" customFormat="true" ht="15" hidden="false" customHeight="true" outlineLevel="0" collapsed="false">
      <c r="A69" s="1504" t="s">
        <v>710</v>
      </c>
      <c r="B69" s="1505" t="n">
        <f aca="false">SUM(C69:J69)</f>
        <v>51.86</v>
      </c>
      <c r="C69" s="1506" t="n">
        <f aca="false">$C$7</f>
        <v>46.49</v>
      </c>
      <c r="D69" s="1507" t="n">
        <f aca="false">$D$7</f>
        <v>2.32</v>
      </c>
      <c r="E69" s="1507"/>
      <c r="F69" s="1508" t="s">
        <v>522</v>
      </c>
      <c r="G69" s="1509" t="n">
        <f aca="false">$G$7</f>
        <v>0.55</v>
      </c>
      <c r="H69" s="1442" t="n">
        <f aca="false">$H$7</f>
        <v>0.1</v>
      </c>
      <c r="I69" s="1443" t="n">
        <f aca="false">$I$7</f>
        <v>0.012</v>
      </c>
      <c r="J69" s="1510" t="n">
        <f aca="false">$J$7</f>
        <v>2.388</v>
      </c>
      <c r="K69" s="1379" t="s">
        <v>711</v>
      </c>
      <c r="L69" s="1380" t="n">
        <f aca="false">SUM(I69:J69)</f>
        <v>2.4</v>
      </c>
    </row>
    <row r="70" customFormat="false" ht="32.25" hidden="false" customHeight="true" outlineLevel="0" collapsed="false">
      <c r="A70" s="1361" t="s">
        <v>712</v>
      </c>
      <c r="B70" s="1362" t="n">
        <f aca="false">'☆短期集計R7'!D27</f>
        <v>2880046</v>
      </c>
      <c r="C70" s="1363" t="n">
        <f aca="false">ROUNDDOWN(B70*C71/B71,0)</f>
        <v>2581822</v>
      </c>
      <c r="D70" s="1382" t="n">
        <f aca="false">ROUNDDOWN(B70*D71/B71,0)</f>
        <v>128841</v>
      </c>
      <c r="E70" s="1382" t="n">
        <f aca="false">ROUNDDOWN(D70*E71/D71,0)</f>
        <v>0</v>
      </c>
      <c r="F70" s="1383" t="s">
        <v>522</v>
      </c>
      <c r="G70" s="1384" t="n">
        <f aca="false">ROUNDDOWN(B70*G71/B71,0)</f>
        <v>30544</v>
      </c>
      <c r="H70" s="1385" t="n">
        <f aca="false">ROUNDDOWN(B70*H71/B71,0)</f>
        <v>5553</v>
      </c>
      <c r="I70" s="1386" t="n">
        <f aca="false">ROUNDDOWN(B70*I71/B71,0)</f>
        <v>666</v>
      </c>
      <c r="J70" s="1387" t="n">
        <f aca="false">B70-C70-D70-G70-H70-I70</f>
        <v>132620</v>
      </c>
      <c r="K70" s="1379"/>
      <c r="L70" s="1388" t="n">
        <f aca="false">SUM(I70:J70)</f>
        <v>133286</v>
      </c>
    </row>
    <row r="71" s="1381" customFormat="true" ht="15" hidden="false" customHeight="true" outlineLevel="0" collapsed="false">
      <c r="A71" s="1512" t="s">
        <v>710</v>
      </c>
      <c r="B71" s="1449" t="n">
        <f aca="false">SUM(C71:J71)</f>
        <v>103.72</v>
      </c>
      <c r="C71" s="1513" t="n">
        <f aca="false">C69*2</f>
        <v>92.98</v>
      </c>
      <c r="D71" s="1514" t="n">
        <f aca="false">D69*2</f>
        <v>4.64</v>
      </c>
      <c r="E71" s="1514"/>
      <c r="F71" s="1515" t="s">
        <v>522</v>
      </c>
      <c r="G71" s="1516" t="n">
        <f aca="false">G69*2</f>
        <v>1.1</v>
      </c>
      <c r="H71" s="1517" t="n">
        <f aca="false">H69*2</f>
        <v>0.2</v>
      </c>
      <c r="I71" s="1518" t="n">
        <f aca="false">I69*2</f>
        <v>0.024</v>
      </c>
      <c r="J71" s="1519" t="n">
        <f aca="false">J69*2</f>
        <v>4.776</v>
      </c>
      <c r="L71" s="1398" t="n">
        <f aca="false">L69*2</f>
        <v>4.8</v>
      </c>
    </row>
    <row r="72" customFormat="false" ht="30" hidden="false" customHeight="true" outlineLevel="0" collapsed="false">
      <c r="A72" s="1399" t="s">
        <v>650</v>
      </c>
      <c r="B72" s="1400" t="n">
        <f aca="false">'☆短期集計R7'!B27+'☆短期集計R7'!D27</f>
        <v>352566339</v>
      </c>
      <c r="C72" s="1401" t="n">
        <f aca="false">C68+C70</f>
        <v>316058793</v>
      </c>
      <c r="D72" s="1402" t="n">
        <f aca="false">D68+D70</f>
        <v>15772346</v>
      </c>
      <c r="E72" s="1402"/>
      <c r="F72" s="1403" t="s">
        <v>522</v>
      </c>
      <c r="G72" s="1402" t="n">
        <f aca="false">G68+G70</f>
        <v>3739133</v>
      </c>
      <c r="H72" s="1401" t="n">
        <f aca="false">H68+H70</f>
        <v>679842</v>
      </c>
      <c r="I72" s="1402" t="n">
        <f aca="false">I68+I70</f>
        <v>81580</v>
      </c>
      <c r="J72" s="1404" t="n">
        <f aca="false">J68+J70</f>
        <v>16234645</v>
      </c>
      <c r="L72" s="1405" t="n">
        <f aca="false">L68+L70</f>
        <v>16316225</v>
      </c>
    </row>
    <row r="73" s="1406" customFormat="true" ht="20.1" hidden="false" customHeight="true" outlineLevel="0" collapsed="false">
      <c r="C73" s="1407" t="s">
        <v>713</v>
      </c>
      <c r="D73" s="1408" t="s">
        <v>714</v>
      </c>
      <c r="E73" s="1408"/>
      <c r="F73" s="1407" t="s">
        <v>715</v>
      </c>
      <c r="G73" s="1407" t="s">
        <v>716</v>
      </c>
      <c r="H73" s="1409" t="s">
        <v>717</v>
      </c>
      <c r="I73" s="1409" t="s">
        <v>718</v>
      </c>
      <c r="J73" s="1409" t="s">
        <v>719</v>
      </c>
      <c r="L73" s="1410"/>
    </row>
    <row r="74" s="1064" customFormat="true" ht="13.5" hidden="false" customHeight="true" outlineLevel="0" collapsed="false">
      <c r="C74" s="1411"/>
      <c r="D74" s="1412"/>
      <c r="E74" s="1412"/>
      <c r="F74" s="1411"/>
      <c r="G74" s="1412"/>
      <c r="H74" s="1412"/>
      <c r="I74" s="1412"/>
      <c r="J74" s="1412"/>
      <c r="L74" s="1413"/>
    </row>
    <row r="75" customFormat="false" ht="20.1" hidden="false" customHeight="true" outlineLevel="0" collapsed="false">
      <c r="A75" s="771" t="s">
        <v>230</v>
      </c>
      <c r="B75" s="1064"/>
      <c r="C75" s="1064"/>
      <c r="D75" s="1064"/>
      <c r="E75" s="1064"/>
      <c r="F75" s="1064"/>
      <c r="G75" s="1352"/>
      <c r="H75" s="1064"/>
      <c r="I75" s="1064"/>
      <c r="J75" s="1064"/>
      <c r="L75" s="1353" t="s">
        <v>699</v>
      </c>
    </row>
    <row r="76" s="920" customFormat="true" ht="30" hidden="false" customHeight="true" outlineLevel="0" collapsed="false">
      <c r="A76" s="1354" t="s">
        <v>369</v>
      </c>
      <c r="B76" s="1355" t="s">
        <v>700</v>
      </c>
      <c r="C76" s="1356" t="s">
        <v>701</v>
      </c>
      <c r="D76" s="1414" t="s">
        <v>702</v>
      </c>
      <c r="E76" s="1415" t="s">
        <v>739</v>
      </c>
      <c r="F76" s="1416" t="s">
        <v>721</v>
      </c>
      <c r="G76" s="1417" t="s">
        <v>704</v>
      </c>
      <c r="H76" s="1357" t="s">
        <v>705</v>
      </c>
      <c r="I76" s="1357" t="s">
        <v>706</v>
      </c>
      <c r="J76" s="1359" t="s">
        <v>707</v>
      </c>
      <c r="L76" s="1360" t="s">
        <v>708</v>
      </c>
    </row>
    <row r="77" customFormat="false" ht="32.25" hidden="false" customHeight="true" outlineLevel="0" collapsed="false">
      <c r="A77" s="1418" t="s">
        <v>722</v>
      </c>
      <c r="B77" s="1362" t="n">
        <f aca="false">B83-B79-B81</f>
        <v>259722713</v>
      </c>
      <c r="C77" s="1363" t="n">
        <f aca="false">ROUNDDOWN(B77*C78/B78,0)</f>
        <v>228987463</v>
      </c>
      <c r="D77" s="1419" t="n">
        <f aca="false">ROUNDDOWN(B77*D78/B78,0)</f>
        <v>11427208</v>
      </c>
      <c r="E77" s="1420" t="n">
        <f aca="false">ROUNDDOWN(B77*E78/B78,0)</f>
        <v>4038927</v>
      </c>
      <c r="F77" s="1421" t="n">
        <f aca="false">ROUNDDOWN(B77*F78/B78,0)</f>
        <v>246276</v>
      </c>
      <c r="G77" s="1421" t="n">
        <f aca="false">ROUNDDOWN(B77*G78/B78,0)+1</f>
        <v>2709037</v>
      </c>
      <c r="H77" s="1421" t="n">
        <f aca="false">ROUNDDOWN(B77*H78/B78,0)</f>
        <v>492552</v>
      </c>
      <c r="I77" s="1421" t="n">
        <f aca="false">ROUNDDOWN(B77*I78/B78,0)</f>
        <v>59106</v>
      </c>
      <c r="J77" s="1422" t="n">
        <f aca="false">B77-C77-D77-E77-F77-G77-H77-I77</f>
        <v>11762144</v>
      </c>
      <c r="L77" s="1423" t="n">
        <f aca="false">SUM(I77:J77)</f>
        <v>11821250</v>
      </c>
    </row>
    <row r="78" s="1511" customFormat="true" ht="15" hidden="false" customHeight="true" outlineLevel="0" collapsed="false">
      <c r="A78" s="1504" t="s">
        <v>710</v>
      </c>
      <c r="B78" s="1438" t="n">
        <f aca="false">SUM(C78:J78)</f>
        <v>52.73</v>
      </c>
      <c r="C78" s="1520" t="n">
        <f aca="false">$C$16</f>
        <v>46.49</v>
      </c>
      <c r="D78" s="1440" t="n">
        <f aca="false">$D$16</f>
        <v>2.32</v>
      </c>
      <c r="E78" s="1521" t="n">
        <f aca="false">$E$16</f>
        <v>0.82</v>
      </c>
      <c r="F78" s="1522" t="n">
        <f aca="false">$F$16</f>
        <v>0.05</v>
      </c>
      <c r="G78" s="1522" t="n">
        <f aca="false">$G$16</f>
        <v>0.55</v>
      </c>
      <c r="H78" s="1523" t="n">
        <f aca="false">$H$16</f>
        <v>0.1</v>
      </c>
      <c r="I78" s="1524" t="n">
        <f aca="false">$I$16</f>
        <v>0.012</v>
      </c>
      <c r="J78" s="1525" t="n">
        <f aca="false">$J$16</f>
        <v>2.388</v>
      </c>
      <c r="K78" s="1381"/>
      <c r="L78" s="1432" t="n">
        <f aca="false">SUM(I78:J78)</f>
        <v>2.4</v>
      </c>
    </row>
    <row r="79" customFormat="false" ht="32.25" hidden="false" customHeight="true" outlineLevel="0" collapsed="false">
      <c r="A79" s="1361" t="s">
        <v>723</v>
      </c>
      <c r="B79" s="1362" t="n">
        <f aca="false">'☆掛負収入'!I176+'☆掛負収入'!I177</f>
        <v>94369711</v>
      </c>
      <c r="C79" s="1363" t="n">
        <f aca="false">ROUNDDOWN((B79-E79)/B80*C80,0)</f>
        <v>84507331</v>
      </c>
      <c r="D79" s="1433" t="n">
        <f aca="false">ROUNDDOWN((B79-E79)/B80*D80,0)</f>
        <v>4217186</v>
      </c>
      <c r="E79" s="1434" t="n">
        <f aca="false">ROUNDDOWN(B90*E64/1000,0)</f>
        <v>10159</v>
      </c>
      <c r="F79" s="1363" t="n">
        <f aca="false">ROUNDDOWN((B79-E79)/B80*F80,0)</f>
        <v>90887</v>
      </c>
      <c r="G79" s="1363" t="n">
        <f aca="false">ROUNDDOWN((B79-E79)/B80*G80,0)</f>
        <v>999764</v>
      </c>
      <c r="H79" s="1384" t="n">
        <f aca="false">ROUNDDOWN((B79-E79)/B80*H80,0)</f>
        <v>181775</v>
      </c>
      <c r="I79" s="1384" t="n">
        <f aca="false">ROUNDDOWN((B79-E79)/B80*I80,0)</f>
        <v>21813</v>
      </c>
      <c r="J79" s="1435" t="n">
        <f aca="false">B79-C79-D79-E79-F79-G79-H79-I79</f>
        <v>4340796</v>
      </c>
      <c r="K79" s="1379" t="s">
        <v>711</v>
      </c>
      <c r="L79" s="1436" t="n">
        <f aca="false">SUM(I79:J79)</f>
        <v>4362609</v>
      </c>
    </row>
    <row r="80" s="1381" customFormat="true" ht="15" hidden="false" customHeight="true" outlineLevel="0" collapsed="false">
      <c r="A80" s="1526" t="s">
        <v>710</v>
      </c>
      <c r="B80" s="1438" t="n">
        <f aca="false">SUM(C80:J80)</f>
        <v>51.91</v>
      </c>
      <c r="C80" s="1439" t="n">
        <f aca="false">C78</f>
        <v>46.49</v>
      </c>
      <c r="D80" s="1440" t="n">
        <f aca="false">D78</f>
        <v>2.32</v>
      </c>
      <c r="E80" s="1441" t="s">
        <v>724</v>
      </c>
      <c r="F80" s="1442" t="n">
        <f aca="false">F78</f>
        <v>0.05</v>
      </c>
      <c r="G80" s="1442" t="n">
        <f aca="false">G78</f>
        <v>0.55</v>
      </c>
      <c r="H80" s="1443" t="n">
        <f aca="false">H78</f>
        <v>0.1</v>
      </c>
      <c r="I80" s="1444" t="n">
        <f aca="false">I78</f>
        <v>0.012</v>
      </c>
      <c r="J80" s="1445" t="n">
        <f aca="false">J78</f>
        <v>2.388</v>
      </c>
      <c r="K80" s="1379"/>
      <c r="L80" s="1446" t="n">
        <f aca="false">SUM(I80:J80)</f>
        <v>2.4</v>
      </c>
    </row>
    <row r="81" customFormat="false" ht="32.25" hidden="false" customHeight="true" outlineLevel="0" collapsed="false">
      <c r="A81" s="1447" t="s">
        <v>725</v>
      </c>
      <c r="B81" s="1362" t="n">
        <f aca="false">'☆掛負収入'!I193+E81</f>
        <v>49315</v>
      </c>
      <c r="C81" s="1363" t="n">
        <f aca="false">ROUNDDOWN((B81-E81)/B82*C82,0)</f>
        <v>43931</v>
      </c>
      <c r="D81" s="1433" t="n">
        <f aca="false">ROUNDDOWN((B81-E81)/B82*D82,0)</f>
        <v>2192</v>
      </c>
      <c r="E81" s="1448" t="n">
        <f aca="false">'☆労組公的負担（短期）'!F8</f>
        <v>262</v>
      </c>
      <c r="F81" s="1363" t="n">
        <f aca="false">ROUNDDOWN((B81-E81)/B82*F82,0)</f>
        <v>47</v>
      </c>
      <c r="G81" s="1363" t="n">
        <f aca="false">ROUNDDOWN((B81-E81)/B82*G82,0)</f>
        <v>519</v>
      </c>
      <c r="H81" s="1384" t="n">
        <f aca="false">H83-H77-H79</f>
        <v>95</v>
      </c>
      <c r="I81" s="1384" t="n">
        <f aca="false">I83-I77-I79</f>
        <v>12</v>
      </c>
      <c r="J81" s="1435" t="n">
        <f aca="false">B81-C81-D81-E81-F81-G81-H81-I81</f>
        <v>2257</v>
      </c>
      <c r="L81" s="1436" t="n">
        <f aca="false">SUM(I81:J81)</f>
        <v>2269</v>
      </c>
    </row>
    <row r="82" s="1381" customFormat="true" ht="15" hidden="false" customHeight="true" outlineLevel="0" collapsed="false">
      <c r="A82" s="1512" t="s">
        <v>710</v>
      </c>
      <c r="B82" s="1449" t="n">
        <f aca="false">SUM(C82:J82)</f>
        <v>51.91</v>
      </c>
      <c r="C82" s="1439" t="n">
        <f aca="false">C78</f>
        <v>46.49</v>
      </c>
      <c r="D82" s="1440" t="n">
        <f aca="false">D78</f>
        <v>2.32</v>
      </c>
      <c r="E82" s="1450" t="s">
        <v>726</v>
      </c>
      <c r="F82" s="1451" t="n">
        <f aca="false">F78</f>
        <v>0.05</v>
      </c>
      <c r="G82" s="1451" t="n">
        <f aca="false">G78</f>
        <v>0.55</v>
      </c>
      <c r="H82" s="1452" t="n">
        <f aca="false">H78</f>
        <v>0.1</v>
      </c>
      <c r="I82" s="1453" t="n">
        <f aca="false">I78</f>
        <v>0.012</v>
      </c>
      <c r="J82" s="1454" t="n">
        <f aca="false">J78</f>
        <v>2.388</v>
      </c>
      <c r="L82" s="1455" t="n">
        <f aca="false">SUM(I82:J82)</f>
        <v>2.4</v>
      </c>
    </row>
    <row r="83" customFormat="false" ht="30" hidden="false" customHeight="true" outlineLevel="0" collapsed="false">
      <c r="A83" s="1399" t="s">
        <v>650</v>
      </c>
      <c r="B83" s="1456" t="n">
        <f aca="false">'☆掛負収入'!I195</f>
        <v>354141739</v>
      </c>
      <c r="C83" s="1457" t="n">
        <f aca="false">C77+C79+C81</f>
        <v>313538725</v>
      </c>
      <c r="D83" s="1458" t="n">
        <f aca="false">D77+D79+D81</f>
        <v>15646586</v>
      </c>
      <c r="E83" s="1459" t="n">
        <f aca="false">E77+E79+E81</f>
        <v>4049348</v>
      </c>
      <c r="F83" s="1460" t="n">
        <f aca="false">F77+F79+F81</f>
        <v>337210</v>
      </c>
      <c r="G83" s="1460" t="n">
        <f aca="false">G77+G79+G81</f>
        <v>3709320</v>
      </c>
      <c r="H83" s="1460" t="n">
        <f aca="false">ROUNDDOWN(B88*H64/1000,0)-H72</f>
        <v>674422</v>
      </c>
      <c r="I83" s="1460" t="n">
        <f aca="false">ROUNDDOWN(B88*I64/1000,0)-I72</f>
        <v>80931</v>
      </c>
      <c r="J83" s="1461" t="n">
        <f aca="false">J77+J79+J81</f>
        <v>16105197</v>
      </c>
      <c r="K83" s="1462"/>
      <c r="L83" s="1463" t="n">
        <f aca="false">SUM(I83:J83)</f>
        <v>16186128</v>
      </c>
    </row>
    <row r="84" s="1407" customFormat="true" ht="20.1" hidden="false" customHeight="true" outlineLevel="0" collapsed="false">
      <c r="C84" s="1407" t="s">
        <v>713</v>
      </c>
      <c r="D84" s="1407" t="s">
        <v>714</v>
      </c>
      <c r="E84" s="1407" t="s">
        <v>714</v>
      </c>
      <c r="F84" s="1407" t="s">
        <v>715</v>
      </c>
      <c r="G84" s="1407" t="s">
        <v>716</v>
      </c>
      <c r="H84" s="1407" t="s">
        <v>717</v>
      </c>
      <c r="I84" s="1407" t="s">
        <v>718</v>
      </c>
      <c r="J84" s="1407" t="s">
        <v>719</v>
      </c>
      <c r="K84" s="764"/>
      <c r="L84" s="1337"/>
    </row>
    <row r="85" s="764" customFormat="true" ht="18.75" hidden="false" customHeight="true" outlineLevel="0" collapsed="false">
      <c r="A85" s="1465" t="s">
        <v>727</v>
      </c>
      <c r="B85" s="1466" t="n">
        <f aca="false">B72+B83</f>
        <v>706708078</v>
      </c>
      <c r="C85" s="1467"/>
      <c r="D85" s="1467"/>
      <c r="E85" s="1467"/>
      <c r="I85" s="861"/>
      <c r="J85" s="1528"/>
      <c r="K85" s="1529"/>
    </row>
    <row r="86" s="764" customFormat="true" ht="18.75" hidden="false" customHeight="true" outlineLevel="0" collapsed="false">
      <c r="A86" s="1477"/>
      <c r="B86" s="1470"/>
      <c r="C86" s="1471" t="s">
        <v>728</v>
      </c>
      <c r="D86" s="1472"/>
      <c r="E86" s="1473"/>
      <c r="F86" s="1474" t="s">
        <v>729</v>
      </c>
      <c r="G86" s="1473"/>
      <c r="H86" s="1475" t="n">
        <f aca="false">G72+G83</f>
        <v>7448453</v>
      </c>
      <c r="I86" s="1476" t="s">
        <v>430</v>
      </c>
      <c r="J86" s="1528"/>
      <c r="K86" s="1530"/>
      <c r="L86" s="861"/>
    </row>
    <row r="87" s="764" customFormat="true" ht="18.75" hidden="false" customHeight="true" outlineLevel="0" collapsed="false">
      <c r="A87" s="1477" t="s">
        <v>730</v>
      </c>
      <c r="B87" s="1478"/>
      <c r="C87" s="1479"/>
      <c r="D87" s="1480"/>
      <c r="E87" s="1475" t="n">
        <f aca="false">C72+C83</f>
        <v>629597518</v>
      </c>
      <c r="F87" s="1481" t="str">
        <f aca="false">IF(H86=('☆拠出金明細R7'!V13-H117),"　","明細と不一致!")</f>
        <v>　</v>
      </c>
      <c r="G87" s="1482" t="n">
        <f aca="false">B88</f>
        <v>6771321000</v>
      </c>
      <c r="H87" s="1483" t="n">
        <f aca="false">G64</f>
        <v>1.1</v>
      </c>
      <c r="I87" s="1475"/>
      <c r="J87" s="1528"/>
      <c r="K87" s="1531"/>
      <c r="L87" s="861"/>
    </row>
    <row r="88" s="764" customFormat="true" ht="18.75" hidden="false" customHeight="true" outlineLevel="0" collapsed="false">
      <c r="A88" s="1484" t="s">
        <v>577</v>
      </c>
      <c r="B88" s="1485" t="n">
        <f aca="false">ROUNDUP(H86/G64*1000,-3)</f>
        <v>6771321000</v>
      </c>
      <c r="C88" s="1471" t="s">
        <v>731</v>
      </c>
      <c r="D88" s="1472"/>
      <c r="E88" s="1486"/>
      <c r="F88" s="1474" t="s">
        <v>732</v>
      </c>
      <c r="G88" s="1473"/>
      <c r="H88" s="1475" t="n">
        <f aca="false">H72+H83</f>
        <v>1354264</v>
      </c>
      <c r="I88" s="1069" t="s">
        <v>431</v>
      </c>
      <c r="J88" s="1528"/>
      <c r="K88" s="1530"/>
      <c r="L88" s="861"/>
    </row>
    <row r="89" s="1381" customFormat="true" ht="18.75" hidden="false" customHeight="true" outlineLevel="0" collapsed="false">
      <c r="A89" s="1484"/>
      <c r="B89" s="1485"/>
      <c r="C89" s="1487"/>
      <c r="D89" s="1480"/>
      <c r="E89" s="1475" t="n">
        <f aca="false">D72+D83+E83</f>
        <v>35468280</v>
      </c>
      <c r="F89" s="1481" t="str">
        <f aca="false">IF(H88=('☆拠出金明細R7'!AD12-H119),"　","明細と不一致!")</f>
        <v>　</v>
      </c>
      <c r="G89" s="1482" t="n">
        <f aca="false">B88</f>
        <v>6771321000</v>
      </c>
      <c r="H89" s="1483" t="n">
        <f aca="false">H64</f>
        <v>0.2</v>
      </c>
      <c r="I89" s="1069"/>
      <c r="J89" s="1532"/>
      <c r="K89" s="1533"/>
      <c r="L89" s="1534"/>
    </row>
    <row r="90" customFormat="false" ht="18.75" hidden="false" customHeight="true" outlineLevel="0" collapsed="false">
      <c r="A90" s="1489" t="s">
        <v>733</v>
      </c>
      <c r="B90" s="1490" t="n">
        <v>12390000</v>
      </c>
      <c r="C90" s="1491" t="s">
        <v>734</v>
      </c>
      <c r="D90" s="1493"/>
      <c r="E90" s="1473"/>
      <c r="F90" s="1493" t="s">
        <v>735</v>
      </c>
      <c r="G90" s="1472"/>
      <c r="H90" s="1475" t="n">
        <f aca="false">I72+I83</f>
        <v>162511</v>
      </c>
      <c r="I90" s="1069" t="s">
        <v>432</v>
      </c>
      <c r="J90" s="1532"/>
      <c r="K90" s="1530"/>
      <c r="L90" s="584"/>
    </row>
    <row r="91" customFormat="false" ht="18.75" hidden="false" customHeight="true" outlineLevel="0" collapsed="false">
      <c r="A91" s="1489"/>
      <c r="B91" s="1490"/>
      <c r="C91" s="1494"/>
      <c r="D91" s="1481" t="str">
        <f aca="false">IF(E91=('☆拠出金明細R7'!K13-E122),"　","明細と不一致!")</f>
        <v>　</v>
      </c>
      <c r="E91" s="1475" t="n">
        <f aca="false">F83</f>
        <v>337210</v>
      </c>
      <c r="F91" s="1481" t="str">
        <f aca="false">IF(H90=('☆拠出金明細R7'!AN13-H121),"　","明細と不一致!")</f>
        <v>　</v>
      </c>
      <c r="G91" s="1482" t="n">
        <f aca="false">B88</f>
        <v>6771321000</v>
      </c>
      <c r="H91" s="1495" t="n">
        <f aca="false">I64</f>
        <v>0.024</v>
      </c>
      <c r="J91" s="1532"/>
      <c r="K91" s="1533"/>
      <c r="L91" s="584"/>
    </row>
    <row r="92" customFormat="false" ht="18.75" hidden="false" customHeight="true" outlineLevel="0" collapsed="false">
      <c r="A92" s="1253"/>
      <c r="B92" s="1496"/>
      <c r="C92" s="1491" t="s">
        <v>736</v>
      </c>
      <c r="D92" s="1493"/>
      <c r="E92" s="1497"/>
      <c r="F92" s="1498" t="s">
        <v>737</v>
      </c>
      <c r="G92" s="1498"/>
      <c r="H92" s="1498"/>
      <c r="J92" s="1532"/>
      <c r="K92" s="1530"/>
      <c r="L92" s="584"/>
    </row>
    <row r="93" customFormat="false" ht="18.75" hidden="false" customHeight="true" outlineLevel="0" collapsed="false">
      <c r="A93" s="1253"/>
      <c r="B93" s="1496"/>
      <c r="C93" s="1499"/>
      <c r="D93" s="1486"/>
      <c r="E93" s="1475" t="n">
        <f aca="false">J72+J83</f>
        <v>32339842</v>
      </c>
      <c r="F93" s="1498"/>
      <c r="G93" s="1498"/>
      <c r="H93" s="1498"/>
      <c r="I93" s="1535"/>
      <c r="J93" s="1532"/>
      <c r="K93" s="1530"/>
      <c r="L93" s="584"/>
    </row>
    <row r="94" s="764" customFormat="true" ht="26.25" hidden="false" customHeight="true" outlineLevel="0" collapsed="false">
      <c r="A94" s="1536" t="n">
        <f aca="false">A63</f>
        <v>46203</v>
      </c>
      <c r="B94" s="1537" t="s">
        <v>740</v>
      </c>
      <c r="C94" s="1340" t="s">
        <v>689</v>
      </c>
      <c r="D94" s="1105" t="s">
        <v>690</v>
      </c>
      <c r="E94" s="1105" t="s">
        <v>691</v>
      </c>
      <c r="F94" s="1105" t="s">
        <v>692</v>
      </c>
      <c r="G94" s="1105" t="s">
        <v>693</v>
      </c>
      <c r="H94" s="1105" t="s">
        <v>694</v>
      </c>
      <c r="I94" s="1105" t="s">
        <v>695</v>
      </c>
      <c r="J94" s="1341"/>
      <c r="L94" s="1342"/>
    </row>
    <row r="95" s="1344" customFormat="true" ht="26.25" hidden="false" customHeight="true" outlineLevel="0" collapsed="false">
      <c r="A95" s="1343"/>
      <c r="C95" s="1340"/>
      <c r="D95" s="1501" t="n">
        <f aca="false">$D$2</f>
        <v>4.64</v>
      </c>
      <c r="E95" s="1502" t="n">
        <f aca="false">$E$2</f>
        <v>0.82</v>
      </c>
      <c r="F95" s="1502" t="n">
        <f aca="false">$F$2</f>
        <v>0.05</v>
      </c>
      <c r="G95" s="1502" t="n">
        <f aca="false">$G$2</f>
        <v>1.1</v>
      </c>
      <c r="H95" s="1502" t="n">
        <f aca="false">$H$2</f>
        <v>0.2</v>
      </c>
      <c r="I95" s="1502" t="n">
        <f aca="false">$I$2</f>
        <v>0.024</v>
      </c>
      <c r="J95" s="1348"/>
      <c r="L95" s="1349"/>
    </row>
    <row r="96" customFormat="false" ht="13.9" hidden="false" customHeight="true" outlineLevel="0" collapsed="false">
      <c r="C96" s="1341"/>
      <c r="D96" s="1341"/>
      <c r="E96" s="1341"/>
      <c r="F96" s="1503"/>
      <c r="G96" s="1341"/>
      <c r="H96" s="1341"/>
      <c r="I96" s="1341"/>
      <c r="J96" s="1341"/>
    </row>
    <row r="97" customFormat="false" ht="20.1" hidden="false" customHeight="true" outlineLevel="0" collapsed="false">
      <c r="A97" s="771" t="s">
        <v>698</v>
      </c>
      <c r="G97" s="1352"/>
      <c r="L97" s="1353" t="s">
        <v>699</v>
      </c>
    </row>
    <row r="98" s="1197" customFormat="true" ht="30" hidden="false" customHeight="true" outlineLevel="0" collapsed="false">
      <c r="A98" s="1354" t="s">
        <v>369</v>
      </c>
      <c r="B98" s="1355" t="s">
        <v>700</v>
      </c>
      <c r="C98" s="1356" t="s">
        <v>701</v>
      </c>
      <c r="D98" s="1357" t="s">
        <v>702</v>
      </c>
      <c r="E98" s="1357"/>
      <c r="F98" s="1358" t="s">
        <v>703</v>
      </c>
      <c r="G98" s="1357" t="s">
        <v>704</v>
      </c>
      <c r="H98" s="1357" t="s">
        <v>705</v>
      </c>
      <c r="I98" s="1357" t="s">
        <v>706</v>
      </c>
      <c r="J98" s="1359" t="s">
        <v>707</v>
      </c>
      <c r="L98" s="1360" t="s">
        <v>708</v>
      </c>
    </row>
    <row r="99" customFormat="false" ht="32.25" hidden="false" customHeight="true" outlineLevel="0" collapsed="false">
      <c r="A99" s="1361" t="s">
        <v>709</v>
      </c>
      <c r="B99" s="1362" t="n">
        <f aca="false">B103-B101</f>
        <v>614527425</v>
      </c>
      <c r="C99" s="1363" t="n">
        <f aca="false">ROUNDDOWN(B99*C100/B100,0)</f>
        <v>550894330</v>
      </c>
      <c r="D99" s="1364" t="n">
        <f aca="false">ROUNDDOWN(B99*D100/B100,0)</f>
        <v>27491392</v>
      </c>
      <c r="E99" s="1364" t="n">
        <f aca="false">ROUNDDOWN(D99*E100/D100,0)</f>
        <v>0</v>
      </c>
      <c r="F99" s="1365" t="s">
        <v>522</v>
      </c>
      <c r="G99" s="1366" t="n">
        <f aca="false">ROUNDDOWN(B99*G100/B100,0)</f>
        <v>6517356</v>
      </c>
      <c r="H99" s="1367" t="n">
        <f aca="false">ROUNDDOWN(B99*H100/B100,0)</f>
        <v>1184973</v>
      </c>
      <c r="I99" s="1364" t="n">
        <f aca="false">ROUNDDOWN(B99*I100/B100,0)</f>
        <v>142196</v>
      </c>
      <c r="J99" s="1368" t="n">
        <f aca="false">B99-C99-D99-G99-H99-I99</f>
        <v>28297178</v>
      </c>
      <c r="L99" s="1369" t="n">
        <f aca="false">SUM(I99:J99)</f>
        <v>28439374</v>
      </c>
    </row>
    <row r="100" s="1511" customFormat="true" ht="15" hidden="false" customHeight="true" outlineLevel="0" collapsed="false">
      <c r="A100" s="1504" t="s">
        <v>710</v>
      </c>
      <c r="B100" s="1505" t="n">
        <f aca="false">SUM(C100:J100)</f>
        <v>51.86</v>
      </c>
      <c r="C100" s="1506" t="n">
        <f aca="false">$C$7</f>
        <v>46.49</v>
      </c>
      <c r="D100" s="1507" t="n">
        <f aca="false">$D$7</f>
        <v>2.32</v>
      </c>
      <c r="E100" s="1507"/>
      <c r="F100" s="1508" t="s">
        <v>522</v>
      </c>
      <c r="G100" s="1509" t="n">
        <f aca="false">$G$7</f>
        <v>0.55</v>
      </c>
      <c r="H100" s="1442" t="n">
        <f aca="false">$H$7</f>
        <v>0.1</v>
      </c>
      <c r="I100" s="1443" t="n">
        <f aca="false">$I$7</f>
        <v>0.012</v>
      </c>
      <c r="J100" s="1510" t="n">
        <f aca="false">$J$7</f>
        <v>2.388</v>
      </c>
      <c r="K100" s="1379" t="s">
        <v>711</v>
      </c>
      <c r="L100" s="1380" t="n">
        <f aca="false">SUM(I100:J100)</f>
        <v>2.4</v>
      </c>
    </row>
    <row r="101" customFormat="false" ht="32.25" hidden="false" customHeight="true" outlineLevel="0" collapsed="false">
      <c r="A101" s="1361" t="s">
        <v>712</v>
      </c>
      <c r="B101" s="1538" t="n">
        <v>0</v>
      </c>
      <c r="C101" s="1363" t="n">
        <f aca="false">ROUNDDOWN(B101*C102/B102,0)</f>
        <v>0</v>
      </c>
      <c r="D101" s="1382" t="n">
        <f aca="false">ROUNDDOWN(B101*D102/B102,0)</f>
        <v>0</v>
      </c>
      <c r="E101" s="1382" t="n">
        <f aca="false">ROUNDDOWN(D101*E102/D102,0)</f>
        <v>0</v>
      </c>
      <c r="F101" s="1383" t="s">
        <v>522</v>
      </c>
      <c r="G101" s="1384" t="n">
        <f aca="false">ROUNDDOWN(B101*G102/B102,0)</f>
        <v>0</v>
      </c>
      <c r="H101" s="1385" t="n">
        <f aca="false">ROUNDDOWN(B101*H102/B102,0)</f>
        <v>0</v>
      </c>
      <c r="I101" s="1386" t="n">
        <f aca="false">ROUNDDOWN(B101*I102/B102,0)</f>
        <v>0</v>
      </c>
      <c r="J101" s="1387" t="n">
        <f aca="false">B101-C101-D101-G101-H101-I101</f>
        <v>0</v>
      </c>
      <c r="K101" s="1379"/>
      <c r="L101" s="1388" t="n">
        <f aca="false">SUM(I101:J101)</f>
        <v>0</v>
      </c>
    </row>
    <row r="102" s="1381" customFormat="true" ht="15" hidden="false" customHeight="true" outlineLevel="0" collapsed="false">
      <c r="A102" s="1512" t="s">
        <v>710</v>
      </c>
      <c r="B102" s="1449" t="n">
        <f aca="false">SUM(C102:J102)</f>
        <v>103.72</v>
      </c>
      <c r="C102" s="1513" t="n">
        <f aca="false">C100*2</f>
        <v>92.98</v>
      </c>
      <c r="D102" s="1514" t="n">
        <f aca="false">D100*2</f>
        <v>4.64</v>
      </c>
      <c r="E102" s="1514"/>
      <c r="F102" s="1515" t="s">
        <v>522</v>
      </c>
      <c r="G102" s="1516" t="n">
        <f aca="false">G100*2</f>
        <v>1.1</v>
      </c>
      <c r="H102" s="1517" t="n">
        <f aca="false">H100*2</f>
        <v>0.2</v>
      </c>
      <c r="I102" s="1518" t="n">
        <f aca="false">I100*2</f>
        <v>0.024</v>
      </c>
      <c r="J102" s="1519" t="n">
        <f aca="false">J100*2</f>
        <v>4.776</v>
      </c>
      <c r="L102" s="1398" t="n">
        <f aca="false">L100*2</f>
        <v>4.8</v>
      </c>
    </row>
    <row r="103" customFormat="false" ht="30" hidden="false" customHeight="true" outlineLevel="0" collapsed="false">
      <c r="A103" s="1399" t="s">
        <v>650</v>
      </c>
      <c r="B103" s="1400" t="n">
        <f aca="false">'☆短期集計R7'!B28+'☆短期集計R7'!D28</f>
        <v>614527425</v>
      </c>
      <c r="C103" s="1401" t="n">
        <f aca="false">C99+C101</f>
        <v>550894330</v>
      </c>
      <c r="D103" s="1402" t="n">
        <f aca="false">D99+D101</f>
        <v>27491392</v>
      </c>
      <c r="E103" s="1402"/>
      <c r="F103" s="1403" t="s">
        <v>522</v>
      </c>
      <c r="G103" s="1402" t="n">
        <f aca="false">G99+G101</f>
        <v>6517356</v>
      </c>
      <c r="H103" s="1401" t="n">
        <f aca="false">H99+H101</f>
        <v>1184973</v>
      </c>
      <c r="I103" s="1402" t="n">
        <f aca="false">I99+I101</f>
        <v>142196</v>
      </c>
      <c r="J103" s="1404" t="n">
        <f aca="false">J99+J101</f>
        <v>28297178</v>
      </c>
      <c r="L103" s="1405" t="n">
        <f aca="false">L99+L101</f>
        <v>28439374</v>
      </c>
    </row>
    <row r="104" s="1406" customFormat="true" ht="20.1" hidden="false" customHeight="true" outlineLevel="0" collapsed="false">
      <c r="C104" s="1407" t="s">
        <v>713</v>
      </c>
      <c r="D104" s="1408" t="s">
        <v>714</v>
      </c>
      <c r="E104" s="1408"/>
      <c r="F104" s="1407" t="s">
        <v>715</v>
      </c>
      <c r="G104" s="1407" t="s">
        <v>716</v>
      </c>
      <c r="H104" s="1409" t="s">
        <v>717</v>
      </c>
      <c r="I104" s="1409" t="s">
        <v>718</v>
      </c>
      <c r="J104" s="1409" t="s">
        <v>719</v>
      </c>
      <c r="L104" s="1410"/>
    </row>
    <row r="105" s="1064" customFormat="true" ht="13.5" hidden="false" customHeight="true" outlineLevel="0" collapsed="false">
      <c r="C105" s="1411"/>
      <c r="D105" s="1412"/>
      <c r="E105" s="1412"/>
      <c r="F105" s="1411"/>
      <c r="G105" s="1412"/>
      <c r="H105" s="1412"/>
      <c r="I105" s="1412"/>
      <c r="J105" s="1412"/>
      <c r="L105" s="1413"/>
    </row>
    <row r="106" customFormat="false" ht="20.1" hidden="false" customHeight="true" outlineLevel="0" collapsed="false">
      <c r="A106" s="771" t="s">
        <v>230</v>
      </c>
      <c r="B106" s="1064"/>
      <c r="C106" s="1064"/>
      <c r="D106" s="1064"/>
      <c r="E106" s="1064"/>
      <c r="F106" s="1064"/>
      <c r="G106" s="1352"/>
      <c r="H106" s="1064"/>
      <c r="I106" s="1064"/>
      <c r="J106" s="1064"/>
      <c r="L106" s="1353" t="s">
        <v>699</v>
      </c>
    </row>
    <row r="107" s="920" customFormat="true" ht="30" hidden="false" customHeight="true" outlineLevel="0" collapsed="false">
      <c r="A107" s="1354" t="s">
        <v>369</v>
      </c>
      <c r="B107" s="1355" t="s">
        <v>700</v>
      </c>
      <c r="C107" s="1356" t="s">
        <v>701</v>
      </c>
      <c r="D107" s="1414" t="s">
        <v>702</v>
      </c>
      <c r="E107" s="1415" t="s">
        <v>739</v>
      </c>
      <c r="F107" s="1416" t="s">
        <v>721</v>
      </c>
      <c r="G107" s="1417" t="s">
        <v>704</v>
      </c>
      <c r="H107" s="1357" t="s">
        <v>705</v>
      </c>
      <c r="I107" s="1357" t="s">
        <v>706</v>
      </c>
      <c r="J107" s="1359" t="s">
        <v>707</v>
      </c>
      <c r="L107" s="1360" t="s">
        <v>708</v>
      </c>
    </row>
    <row r="108" customFormat="false" ht="32.25" hidden="false" customHeight="true" outlineLevel="0" collapsed="false">
      <c r="A108" s="1418" t="s">
        <v>722</v>
      </c>
      <c r="B108" s="1362" t="n">
        <f aca="false">B114-B110-B112</f>
        <v>494518705</v>
      </c>
      <c r="C108" s="1363" t="n">
        <f aca="false">ROUNDDOWN(B108*C109/B109,0)</f>
        <v>435998001</v>
      </c>
      <c r="D108" s="1419" t="n">
        <f aca="false">ROUNDDOWN(B108*D109/B109,0)</f>
        <v>21757697</v>
      </c>
      <c r="E108" s="1420" t="n">
        <f aca="false">ROUNDDOWN(B108*E109/B109,0)</f>
        <v>7690220</v>
      </c>
      <c r="F108" s="1421" t="n">
        <f aca="false">ROUNDDOWN(B108*F109/B109,0)</f>
        <v>468915</v>
      </c>
      <c r="G108" s="1421" t="n">
        <f aca="false">ROUNDDOWN(B108*G109/B109,0)</f>
        <v>5158074</v>
      </c>
      <c r="H108" s="1421" t="n">
        <f aca="false">ROUNDDOWN(B108*H109/B109,0)</f>
        <v>937831</v>
      </c>
      <c r="I108" s="1421" t="n">
        <f aca="false">ROUNDDOWN(B108*I109/B109,0)</f>
        <v>112539</v>
      </c>
      <c r="J108" s="1422" t="n">
        <f aca="false">B108-C108-D108-E108-F108-G108-H108-I108</f>
        <v>22395428</v>
      </c>
      <c r="L108" s="1423" t="n">
        <f aca="false">SUM(I108:J108)</f>
        <v>22507967</v>
      </c>
    </row>
    <row r="109" s="1511" customFormat="true" ht="15" hidden="false" customHeight="true" outlineLevel="0" collapsed="false">
      <c r="A109" s="1504" t="s">
        <v>710</v>
      </c>
      <c r="B109" s="1438" t="n">
        <f aca="false">SUM(C109:J109)</f>
        <v>52.73</v>
      </c>
      <c r="C109" s="1520" t="n">
        <f aca="false">$C$16</f>
        <v>46.49</v>
      </c>
      <c r="D109" s="1440" t="n">
        <f aca="false">$D$16</f>
        <v>2.32</v>
      </c>
      <c r="E109" s="1521" t="n">
        <f aca="false">$E$16</f>
        <v>0.82</v>
      </c>
      <c r="F109" s="1522" t="n">
        <f aca="false">$F$16</f>
        <v>0.05</v>
      </c>
      <c r="G109" s="1522" t="n">
        <f aca="false">$G$16</f>
        <v>0.55</v>
      </c>
      <c r="H109" s="1523" t="n">
        <f aca="false">$H$16</f>
        <v>0.1</v>
      </c>
      <c r="I109" s="1524" t="n">
        <f aca="false">$I$16</f>
        <v>0.012</v>
      </c>
      <c r="J109" s="1525" t="n">
        <f aca="false">$J$16</f>
        <v>2.388</v>
      </c>
      <c r="K109" s="1381"/>
      <c r="L109" s="1432" t="n">
        <f aca="false">SUM(I109:J109)</f>
        <v>2.4</v>
      </c>
    </row>
    <row r="110" customFormat="false" ht="32.25" hidden="false" customHeight="true" outlineLevel="0" collapsed="false">
      <c r="A110" s="1361" t="s">
        <v>723</v>
      </c>
      <c r="B110" s="1362" t="n">
        <f aca="false">'☆掛負収入'!I241+'☆掛負収入'!I242</f>
        <v>128353348</v>
      </c>
      <c r="C110" s="1363" t="n">
        <f aca="false">ROUNDDOWN((B110-E110)/B111*C111,0)</f>
        <v>114934362</v>
      </c>
      <c r="D110" s="1433" t="n">
        <f aca="false">ROUNDDOWN((B110-E110)/B111*D111,0)</f>
        <v>5735593</v>
      </c>
      <c r="E110" s="1434" t="n">
        <f aca="false">ROUNDDOWN(B121*E95/1000,0)</f>
        <v>19454</v>
      </c>
      <c r="F110" s="1363" t="n">
        <f aca="false">ROUNDDOWN((B110-E110)/B111*F111,0)</f>
        <v>123611</v>
      </c>
      <c r="G110" s="1363" t="n">
        <f aca="false">ROUNDDOWN((B110-E110)/B111*G111,0)</f>
        <v>1359731</v>
      </c>
      <c r="H110" s="1384" t="n">
        <f aca="false">ROUNDDOWN((B110-E110)/B111*H111,0)</f>
        <v>247223</v>
      </c>
      <c r="I110" s="1384" t="n">
        <f aca="false">ROUNDDOWN((B110-E110)/B111*I111,0)</f>
        <v>29666</v>
      </c>
      <c r="J110" s="1435" t="n">
        <f aca="false">B110-C110-D110-E110-F110-G110-H110-I110</f>
        <v>5903708</v>
      </c>
      <c r="K110" s="1379" t="s">
        <v>711</v>
      </c>
      <c r="L110" s="1436" t="n">
        <f aca="false">SUM(I110:J110)</f>
        <v>5933374</v>
      </c>
    </row>
    <row r="111" s="1381" customFormat="true" ht="15" hidden="false" customHeight="true" outlineLevel="0" collapsed="false">
      <c r="A111" s="1526" t="s">
        <v>710</v>
      </c>
      <c r="B111" s="1438" t="n">
        <f aca="false">SUM(C111:J111)</f>
        <v>51.91</v>
      </c>
      <c r="C111" s="1439" t="n">
        <f aca="false">C109</f>
        <v>46.49</v>
      </c>
      <c r="D111" s="1440" t="n">
        <f aca="false">D109</f>
        <v>2.32</v>
      </c>
      <c r="E111" s="1441" t="s">
        <v>724</v>
      </c>
      <c r="F111" s="1442" t="n">
        <f aca="false">F109</f>
        <v>0.05</v>
      </c>
      <c r="G111" s="1442" t="n">
        <f aca="false">G109</f>
        <v>0.55</v>
      </c>
      <c r="H111" s="1443" t="n">
        <f aca="false">H109</f>
        <v>0.1</v>
      </c>
      <c r="I111" s="1444" t="n">
        <f aca="false">I109</f>
        <v>0.012</v>
      </c>
      <c r="J111" s="1445" t="n">
        <f aca="false">J109</f>
        <v>2.388</v>
      </c>
      <c r="K111" s="1379"/>
      <c r="L111" s="1446" t="n">
        <f aca="false">SUM(I111:J111)</f>
        <v>2.4</v>
      </c>
    </row>
    <row r="112" customFormat="false" ht="32.25" hidden="false" customHeight="true" outlineLevel="0" collapsed="false">
      <c r="A112" s="1447" t="s">
        <v>725</v>
      </c>
      <c r="B112" s="1362" t="n">
        <f aca="false">'☆掛負収入'!I258+E112</f>
        <v>57693</v>
      </c>
      <c r="C112" s="1363" t="n">
        <f aca="false">ROUNDDOWN((B112-E112)/B113*C113,0)</f>
        <v>51417</v>
      </c>
      <c r="D112" s="1433" t="n">
        <f aca="false">ROUNDDOWN((B112-E112)/B113*D113,0)</f>
        <v>2565</v>
      </c>
      <c r="E112" s="1448" t="n">
        <f aca="false">'☆労組公的負担（短期）'!F9</f>
        <v>281</v>
      </c>
      <c r="F112" s="1363" t="n">
        <f aca="false">ROUNDDOWN((B112-E112)/B113*F113,0)</f>
        <v>55</v>
      </c>
      <c r="G112" s="1363" t="n">
        <f aca="false">ROUNDDOWN((B112-E112)/B113*G113,0)</f>
        <v>608</v>
      </c>
      <c r="H112" s="1384" t="n">
        <f aca="false">H114-H108-H110</f>
        <v>113</v>
      </c>
      <c r="I112" s="1384" t="n">
        <f aca="false">I114-I108-I110</f>
        <v>16</v>
      </c>
      <c r="J112" s="1435" t="n">
        <f aca="false">B112-C112-D112-E112-F112-G112-H112-I112</f>
        <v>2638</v>
      </c>
      <c r="L112" s="1436" t="n">
        <f aca="false">SUM(I112:J112)</f>
        <v>2654</v>
      </c>
    </row>
    <row r="113" s="1381" customFormat="true" ht="15" hidden="false" customHeight="true" outlineLevel="0" collapsed="false">
      <c r="A113" s="1512" t="s">
        <v>710</v>
      </c>
      <c r="B113" s="1449" t="n">
        <f aca="false">SUM(C113:J113)</f>
        <v>51.91</v>
      </c>
      <c r="C113" s="1439" t="n">
        <f aca="false">C109</f>
        <v>46.49</v>
      </c>
      <c r="D113" s="1440" t="n">
        <f aca="false">D109</f>
        <v>2.32</v>
      </c>
      <c r="E113" s="1450" t="s">
        <v>726</v>
      </c>
      <c r="F113" s="1451" t="n">
        <f aca="false">F109</f>
        <v>0.05</v>
      </c>
      <c r="G113" s="1451" t="n">
        <f aca="false">G109</f>
        <v>0.55</v>
      </c>
      <c r="H113" s="1452" t="n">
        <f aca="false">H109</f>
        <v>0.1</v>
      </c>
      <c r="I113" s="1453" t="n">
        <f aca="false">I109</f>
        <v>0.012</v>
      </c>
      <c r="J113" s="1454" t="n">
        <f aca="false">J109</f>
        <v>2.388</v>
      </c>
      <c r="L113" s="1455" t="n">
        <f aca="false">SUM(I113:J113)</f>
        <v>2.4</v>
      </c>
    </row>
    <row r="114" customFormat="false" ht="30" hidden="false" customHeight="true" outlineLevel="0" collapsed="false">
      <c r="A114" s="1399" t="s">
        <v>650</v>
      </c>
      <c r="B114" s="1456" t="n">
        <f aca="false">'☆掛負収入'!I260</f>
        <v>622929746</v>
      </c>
      <c r="C114" s="1457" t="n">
        <f aca="false">C108+C110+C112</f>
        <v>550983780</v>
      </c>
      <c r="D114" s="1458" t="n">
        <f aca="false">D108+D110+D112</f>
        <v>27495855</v>
      </c>
      <c r="E114" s="1459" t="n">
        <f aca="false">E108+E110+E112</f>
        <v>7709955</v>
      </c>
      <c r="F114" s="1460" t="n">
        <f aca="false">F108+F110+F112</f>
        <v>592581</v>
      </c>
      <c r="G114" s="1460" t="n">
        <f aca="false">G108+G110+G112</f>
        <v>6518413</v>
      </c>
      <c r="H114" s="1460" t="n">
        <f aca="false">ROUNDDOWN((B119+B88)*H95/1000,0)-H88-H103</f>
        <v>1185167</v>
      </c>
      <c r="I114" s="1460" t="n">
        <f aca="false">ROUNDDOWN((B119+B88)*I95/1000,0)-H90-I103</f>
        <v>142221</v>
      </c>
      <c r="J114" s="1527" t="n">
        <f aca="false">J108+J110+J112</f>
        <v>28301774</v>
      </c>
      <c r="L114" s="1463" t="n">
        <f aca="false">SUM(I114:J114)</f>
        <v>28443995</v>
      </c>
    </row>
    <row r="115" s="1407" customFormat="true" ht="20.1" hidden="false" customHeight="true" outlineLevel="0" collapsed="false">
      <c r="C115" s="1407" t="s">
        <v>713</v>
      </c>
      <c r="D115" s="1407" t="s">
        <v>714</v>
      </c>
      <c r="E115" s="1407" t="s">
        <v>714</v>
      </c>
      <c r="F115" s="1407" t="s">
        <v>715</v>
      </c>
      <c r="G115" s="1407" t="s">
        <v>716</v>
      </c>
      <c r="H115" s="1407" t="s">
        <v>717</v>
      </c>
      <c r="I115" s="1407" t="s">
        <v>718</v>
      </c>
      <c r="J115" s="1407" t="s">
        <v>719</v>
      </c>
      <c r="L115" s="1464"/>
    </row>
    <row r="116" s="764" customFormat="true" ht="18.75" hidden="false" customHeight="true" outlineLevel="0" collapsed="false">
      <c r="A116" s="1465" t="s">
        <v>727</v>
      </c>
      <c r="B116" s="1466" t="n">
        <f aca="false">B103+B114</f>
        <v>1237457171</v>
      </c>
      <c r="C116" s="1467"/>
      <c r="D116" s="1467"/>
      <c r="E116" s="1467"/>
      <c r="F116" s="1539"/>
      <c r="J116" s="1540" t="s">
        <v>741</v>
      </c>
      <c r="K116" s="1540"/>
      <c r="L116" s="1540"/>
    </row>
    <row r="117" s="764" customFormat="true" ht="18.75" hidden="false" customHeight="true" outlineLevel="0" collapsed="false">
      <c r="A117" s="1477"/>
      <c r="B117" s="1470"/>
      <c r="C117" s="1471" t="s">
        <v>728</v>
      </c>
      <c r="D117" s="1472"/>
      <c r="E117" s="1473"/>
      <c r="F117" s="1474" t="s">
        <v>729</v>
      </c>
      <c r="G117" s="1473"/>
      <c r="H117" s="1475" t="n">
        <f aca="false">G103+G114</f>
        <v>13035769</v>
      </c>
      <c r="I117" s="1476" t="s">
        <v>430</v>
      </c>
      <c r="J117" s="1541" t="s">
        <v>742</v>
      </c>
      <c r="K117" s="1541"/>
      <c r="L117" s="1542" t="n">
        <f aca="false">L6+L37+L68</f>
        <v>48477123</v>
      </c>
    </row>
    <row r="118" s="764" customFormat="true" ht="18.75" hidden="false" customHeight="true" outlineLevel="0" collapsed="false">
      <c r="A118" s="1477" t="s">
        <v>730</v>
      </c>
      <c r="B118" s="1478"/>
      <c r="C118" s="1479"/>
      <c r="D118" s="1480"/>
      <c r="E118" s="1475" t="n">
        <f aca="false">C103+C114</f>
        <v>1101878110</v>
      </c>
      <c r="F118" s="1481" t="str">
        <f aca="false">IF(H117=('☆拠出金明細R7'!V13-H86),"　","明細と不一致!")</f>
        <v>　</v>
      </c>
      <c r="G118" s="1482" t="n">
        <f aca="false">B119</f>
        <v>11850699000</v>
      </c>
      <c r="H118" s="1483" t="n">
        <f aca="false">G95</f>
        <v>1.1</v>
      </c>
      <c r="I118" s="1475"/>
      <c r="J118" s="1541" t="s">
        <v>743</v>
      </c>
      <c r="K118" s="1541"/>
      <c r="L118" s="1542" t="n">
        <f aca="false">L99</f>
        <v>28439374</v>
      </c>
    </row>
    <row r="119" s="764" customFormat="true" ht="18.75" hidden="false" customHeight="true" outlineLevel="0" collapsed="false">
      <c r="A119" s="1484" t="s">
        <v>577</v>
      </c>
      <c r="B119" s="1485" t="n">
        <f aca="false">ROUNDUP(((H86+H117)/G95*1000)-B88,-3)</f>
        <v>11850699000</v>
      </c>
      <c r="C119" s="1471" t="s">
        <v>731</v>
      </c>
      <c r="D119" s="1472"/>
      <c r="E119" s="1486"/>
      <c r="F119" s="1474" t="s">
        <v>732</v>
      </c>
      <c r="G119" s="1473"/>
      <c r="H119" s="1475" t="n">
        <f aca="false">H103+H114</f>
        <v>2370140</v>
      </c>
      <c r="I119" s="1069" t="s">
        <v>431</v>
      </c>
      <c r="J119" s="1541" t="s">
        <v>744</v>
      </c>
      <c r="K119" s="1541"/>
      <c r="L119" s="1542" t="n">
        <f aca="false">L8+L39+L70+L101</f>
        <v>4765122</v>
      </c>
    </row>
    <row r="120" s="1381" customFormat="true" ht="18.75" hidden="false" customHeight="true" outlineLevel="0" collapsed="false">
      <c r="A120" s="1484"/>
      <c r="B120" s="1485"/>
      <c r="C120" s="1487"/>
      <c r="D120" s="1480"/>
      <c r="E120" s="1475" t="n">
        <f aca="false">D103+D114+E114</f>
        <v>62697202</v>
      </c>
      <c r="F120" s="1481" t="str">
        <f aca="false">IF(H119=('☆拠出金明細R7'!AD12-H88),"　","明細と不一致!")</f>
        <v>　</v>
      </c>
      <c r="G120" s="1482" t="n">
        <f aca="false">B119</f>
        <v>11850699000</v>
      </c>
      <c r="H120" s="1483" t="n">
        <f aca="false">H95</f>
        <v>0.2</v>
      </c>
      <c r="I120" s="1069"/>
      <c r="J120" s="1541" t="s">
        <v>745</v>
      </c>
      <c r="K120" s="1541"/>
      <c r="L120" s="1542" t="n">
        <f aca="false">L15+L17+L46+L48+L77+L79</f>
        <v>48466795</v>
      </c>
    </row>
    <row r="121" customFormat="false" ht="18.75" hidden="false" customHeight="true" outlineLevel="0" collapsed="false">
      <c r="A121" s="1489" t="s">
        <v>746</v>
      </c>
      <c r="B121" s="1490" t="n">
        <v>23725000</v>
      </c>
      <c r="C121" s="1491" t="s">
        <v>734</v>
      </c>
      <c r="D121" s="1493"/>
      <c r="E121" s="1473"/>
      <c r="F121" s="1493" t="s">
        <v>735</v>
      </c>
      <c r="G121" s="1472"/>
      <c r="H121" s="1475" t="n">
        <f aca="false">I103+I114</f>
        <v>284417</v>
      </c>
      <c r="I121" s="1069" t="s">
        <v>432</v>
      </c>
      <c r="J121" s="1541" t="s">
        <v>747</v>
      </c>
      <c r="K121" s="1541"/>
      <c r="L121" s="1542" t="n">
        <f aca="false">L108+L110</f>
        <v>28441341</v>
      </c>
    </row>
    <row r="122" customFormat="false" ht="18.75" hidden="false" customHeight="true" outlineLevel="0" collapsed="false">
      <c r="A122" s="1489"/>
      <c r="B122" s="1490"/>
      <c r="C122" s="1494"/>
      <c r="D122" s="1481" t="str">
        <f aca="false">IF(E122=('☆拠出金明細R7'!K13-E91),"　","明細と不一致!")</f>
        <v>　</v>
      </c>
      <c r="E122" s="1475" t="n">
        <f aca="false">F114</f>
        <v>592581</v>
      </c>
      <c r="F122" s="1481" t="str">
        <f aca="false">IF(H121=('☆拠出金明細R7'!AN13-H90),"　","明細と不一致!")</f>
        <v>　</v>
      </c>
      <c r="G122" s="1482" t="n">
        <f aca="false">B119</f>
        <v>11850699000</v>
      </c>
      <c r="H122" s="1495" t="n">
        <f aca="false">I95</f>
        <v>0.024</v>
      </c>
      <c r="J122" s="1541" t="s">
        <v>748</v>
      </c>
      <c r="K122" s="1541"/>
      <c r="L122" s="1542" t="n">
        <f aca="false">L19+L50+L81</f>
        <v>6690</v>
      </c>
    </row>
    <row r="123" customFormat="false" ht="18.75" hidden="false" customHeight="true" outlineLevel="0" collapsed="false">
      <c r="A123" s="1253"/>
      <c r="B123" s="1496"/>
      <c r="C123" s="1491" t="s">
        <v>736</v>
      </c>
      <c r="D123" s="1493"/>
      <c r="E123" s="1497"/>
      <c r="F123" s="1498" t="s">
        <v>737</v>
      </c>
      <c r="G123" s="1498"/>
      <c r="H123" s="1498"/>
      <c r="J123" s="1543" t="s">
        <v>749</v>
      </c>
      <c r="K123" s="1543"/>
      <c r="L123" s="1544" t="n">
        <f aca="false">L112</f>
        <v>2654</v>
      </c>
    </row>
    <row r="124" customFormat="false" ht="18.75" hidden="false" customHeight="true" outlineLevel="0" collapsed="false">
      <c r="A124" s="1253"/>
      <c r="B124" s="1496"/>
      <c r="C124" s="1499"/>
      <c r="D124" s="1486"/>
      <c r="E124" s="1475" t="n">
        <f aca="false">J103+J114</f>
        <v>56598952</v>
      </c>
      <c r="F124" s="1498"/>
      <c r="G124" s="1498"/>
      <c r="H124" s="1498"/>
      <c r="I124" s="1500"/>
      <c r="J124" s="1545" t="s">
        <v>375</v>
      </c>
      <c r="K124" s="1545"/>
      <c r="L124" s="1546" t="n">
        <f aca="false">SUM(L117:L123)</f>
        <v>158599099</v>
      </c>
    </row>
    <row r="125" s="764" customFormat="true" ht="26.25" hidden="false" customHeight="true" outlineLevel="0" collapsed="false">
      <c r="A125" s="1338" t="n">
        <f aca="false">EOMONTH(A94,1)</f>
        <v>46234</v>
      </c>
      <c r="B125" s="1339" t="s">
        <v>688</v>
      </c>
      <c r="C125" s="1340" t="s">
        <v>689</v>
      </c>
      <c r="D125" s="1105" t="s">
        <v>690</v>
      </c>
      <c r="E125" s="1105" t="s">
        <v>691</v>
      </c>
      <c r="F125" s="1105" t="s">
        <v>692</v>
      </c>
      <c r="G125" s="1105" t="s">
        <v>693</v>
      </c>
      <c r="H125" s="1105" t="s">
        <v>694</v>
      </c>
      <c r="I125" s="1105" t="s">
        <v>695</v>
      </c>
      <c r="J125" s="1341"/>
      <c r="L125" s="1342"/>
    </row>
    <row r="126" s="1344" customFormat="true" ht="26.25" hidden="false" customHeight="true" outlineLevel="0" collapsed="false">
      <c r="A126" s="1343"/>
      <c r="C126" s="1340"/>
      <c r="D126" s="1501" t="n">
        <f aca="false">$D$2</f>
        <v>4.64</v>
      </c>
      <c r="E126" s="1502" t="n">
        <f aca="false">$E$2</f>
        <v>0.82</v>
      </c>
      <c r="F126" s="1502" t="n">
        <f aca="false">$F$2</f>
        <v>0.05</v>
      </c>
      <c r="G126" s="1502" t="n">
        <f aca="false">$G$2</f>
        <v>1.1</v>
      </c>
      <c r="H126" s="1502" t="n">
        <f aca="false">$H$2</f>
        <v>0.2</v>
      </c>
      <c r="I126" s="1502" t="n">
        <f aca="false">$I$2</f>
        <v>0.024</v>
      </c>
      <c r="J126" s="1348"/>
      <c r="L126" s="1349"/>
    </row>
    <row r="127" customFormat="false" ht="13.9" hidden="false" customHeight="true" outlineLevel="0" collapsed="false">
      <c r="C127" s="1341"/>
      <c r="D127" s="1341"/>
      <c r="E127" s="1341"/>
      <c r="F127" s="1503"/>
      <c r="G127" s="1341"/>
      <c r="H127" s="1341"/>
      <c r="I127" s="1341"/>
      <c r="J127" s="1341"/>
    </row>
    <row r="128" customFormat="false" ht="20.1" hidden="false" customHeight="true" outlineLevel="0" collapsed="false">
      <c r="A128" s="771" t="s">
        <v>698</v>
      </c>
      <c r="G128" s="1352"/>
      <c r="L128" s="1353" t="s">
        <v>699</v>
      </c>
    </row>
    <row r="129" s="1197" customFormat="true" ht="30" hidden="false" customHeight="true" outlineLevel="0" collapsed="false">
      <c r="A129" s="1354" t="s">
        <v>369</v>
      </c>
      <c r="B129" s="1355" t="s">
        <v>700</v>
      </c>
      <c r="C129" s="1356" t="s">
        <v>701</v>
      </c>
      <c r="D129" s="1357" t="s">
        <v>702</v>
      </c>
      <c r="E129" s="1357"/>
      <c r="F129" s="1358" t="s">
        <v>703</v>
      </c>
      <c r="G129" s="1357" t="s">
        <v>704</v>
      </c>
      <c r="H129" s="1357" t="s">
        <v>705</v>
      </c>
      <c r="I129" s="1357" t="s">
        <v>706</v>
      </c>
      <c r="J129" s="1359" t="s">
        <v>707</v>
      </c>
      <c r="L129" s="1360" t="s">
        <v>708</v>
      </c>
    </row>
    <row r="130" customFormat="false" ht="32.25" hidden="false" customHeight="true" outlineLevel="0" collapsed="false">
      <c r="A130" s="1361" t="s">
        <v>709</v>
      </c>
      <c r="B130" s="1362" t="n">
        <f aca="false">B134-B132</f>
        <v>355477296</v>
      </c>
      <c r="C130" s="1363" t="n">
        <f aca="false">ROUNDDOWN(B130*C131/B131,0)</f>
        <v>318668328</v>
      </c>
      <c r="D130" s="1364" t="n">
        <f aca="false">ROUNDDOWN(B130*D131/B131,0)</f>
        <v>15902570</v>
      </c>
      <c r="E130" s="1364" t="n">
        <f aca="false">ROUNDDOWN(D130*E131/D131,0)</f>
        <v>0</v>
      </c>
      <c r="F130" s="1365" t="s">
        <v>522</v>
      </c>
      <c r="G130" s="1366" t="n">
        <f aca="false">ROUNDDOWN(B130*G131/B131,0)</f>
        <v>3770006</v>
      </c>
      <c r="H130" s="1367" t="n">
        <f aca="false">ROUNDDOWN(B130*H131/B131,0)</f>
        <v>685455</v>
      </c>
      <c r="I130" s="1364" t="n">
        <f aca="false">ROUNDDOWN(B130*I131/B131,0)</f>
        <v>82254</v>
      </c>
      <c r="J130" s="1368" t="n">
        <f aca="false">B130-C130-D130-G130-H130-I130</f>
        <v>16368683</v>
      </c>
      <c r="L130" s="1369" t="n">
        <f aca="false">SUM(I130:J130)</f>
        <v>16450937</v>
      </c>
    </row>
    <row r="131" s="1511" customFormat="true" ht="15" hidden="false" customHeight="true" outlineLevel="0" collapsed="false">
      <c r="A131" s="1504" t="s">
        <v>710</v>
      </c>
      <c r="B131" s="1505" t="n">
        <f aca="false">SUM(C131:J131)</f>
        <v>51.86</v>
      </c>
      <c r="C131" s="1506" t="n">
        <f aca="false">$C$7</f>
        <v>46.49</v>
      </c>
      <c r="D131" s="1507" t="n">
        <f aca="false">$D$7</f>
        <v>2.32</v>
      </c>
      <c r="E131" s="1507"/>
      <c r="F131" s="1508" t="s">
        <v>522</v>
      </c>
      <c r="G131" s="1509" t="n">
        <f aca="false">$G$7</f>
        <v>0.55</v>
      </c>
      <c r="H131" s="1442" t="n">
        <f aca="false">$H$7</f>
        <v>0.1</v>
      </c>
      <c r="I131" s="1443" t="n">
        <f aca="false">$I$7</f>
        <v>0.012</v>
      </c>
      <c r="J131" s="1510" t="n">
        <f aca="false">$J$7</f>
        <v>2.388</v>
      </c>
      <c r="K131" s="1379" t="s">
        <v>711</v>
      </c>
      <c r="L131" s="1380" t="n">
        <f aca="false">SUM(I131:J131)</f>
        <v>2.4</v>
      </c>
    </row>
    <row r="132" customFormat="false" ht="32.25" hidden="false" customHeight="true" outlineLevel="0" collapsed="false">
      <c r="A132" s="1361" t="s">
        <v>712</v>
      </c>
      <c r="B132" s="1362" t="n">
        <f aca="false">'☆短期集計R7'!D29</f>
        <v>1298881</v>
      </c>
      <c r="C132" s="1363" t="n">
        <f aca="false">ROUNDDOWN(B132*C133/B133,0)</f>
        <v>1164384</v>
      </c>
      <c r="D132" s="1382" t="n">
        <f aca="false">ROUNDDOWN(B132*D133/B133,0)</f>
        <v>58106</v>
      </c>
      <c r="E132" s="1382" t="n">
        <f aca="false">ROUNDDOWN(D132*E133/D133,0)</f>
        <v>0</v>
      </c>
      <c r="F132" s="1383" t="s">
        <v>522</v>
      </c>
      <c r="G132" s="1384" t="n">
        <f aca="false">ROUNDDOWN(B132*G133/B133,0)</f>
        <v>13775</v>
      </c>
      <c r="H132" s="1385" t="n">
        <f aca="false">ROUNDDOWN(B132*H133/B133,0)</f>
        <v>2504</v>
      </c>
      <c r="I132" s="1386" t="n">
        <f aca="false">ROUNDDOWN(B132*I133/B133,0)</f>
        <v>300</v>
      </c>
      <c r="J132" s="1387" t="n">
        <f aca="false">B132-C132-D132-G132-H132-I132</f>
        <v>59812</v>
      </c>
      <c r="K132" s="1379"/>
      <c r="L132" s="1388" t="n">
        <f aca="false">SUM(I132:J132)</f>
        <v>60112</v>
      </c>
    </row>
    <row r="133" s="1381" customFormat="true" ht="15" hidden="false" customHeight="true" outlineLevel="0" collapsed="false">
      <c r="A133" s="1512" t="s">
        <v>710</v>
      </c>
      <c r="B133" s="1449" t="n">
        <f aca="false">SUM(C133:J133)</f>
        <v>103.72</v>
      </c>
      <c r="C133" s="1513" t="n">
        <f aca="false">C131*2</f>
        <v>92.98</v>
      </c>
      <c r="D133" s="1514" t="n">
        <f aca="false">D131*2</f>
        <v>4.64</v>
      </c>
      <c r="E133" s="1514"/>
      <c r="F133" s="1515" t="s">
        <v>522</v>
      </c>
      <c r="G133" s="1516" t="n">
        <f aca="false">G131*2</f>
        <v>1.1</v>
      </c>
      <c r="H133" s="1517" t="n">
        <f aca="false">H131*2</f>
        <v>0.2</v>
      </c>
      <c r="I133" s="1518" t="n">
        <f aca="false">I131*2</f>
        <v>0.024</v>
      </c>
      <c r="J133" s="1519" t="n">
        <f aca="false">J131*2</f>
        <v>4.776</v>
      </c>
      <c r="L133" s="1398" t="n">
        <f aca="false">L131*2</f>
        <v>4.8</v>
      </c>
    </row>
    <row r="134" customFormat="false" ht="30" hidden="false" customHeight="true" outlineLevel="0" collapsed="false">
      <c r="A134" s="1399" t="s">
        <v>650</v>
      </c>
      <c r="B134" s="1400" t="n">
        <f aca="false">'☆短期集計R7'!B29+'☆短期集計R7'!D29</f>
        <v>356776177</v>
      </c>
      <c r="C134" s="1401" t="n">
        <f aca="false">C130+C132</f>
        <v>319832712</v>
      </c>
      <c r="D134" s="1402" t="n">
        <f aca="false">D130+D132</f>
        <v>15960676</v>
      </c>
      <c r="E134" s="1402"/>
      <c r="F134" s="1403" t="s">
        <v>522</v>
      </c>
      <c r="G134" s="1402" t="n">
        <f aca="false">G130+G132</f>
        <v>3783781</v>
      </c>
      <c r="H134" s="1401" t="n">
        <f aca="false">H130+H132</f>
        <v>687959</v>
      </c>
      <c r="I134" s="1402" t="n">
        <f aca="false">I130+I132</f>
        <v>82554</v>
      </c>
      <c r="J134" s="1404" t="n">
        <f aca="false">J130+J132</f>
        <v>16428495</v>
      </c>
      <c r="L134" s="1405" t="n">
        <f aca="false">L130+L132</f>
        <v>16511049</v>
      </c>
    </row>
    <row r="135" s="1406" customFormat="true" ht="20.1" hidden="false" customHeight="true" outlineLevel="0" collapsed="false">
      <c r="C135" s="1407" t="s">
        <v>713</v>
      </c>
      <c r="D135" s="1408" t="s">
        <v>714</v>
      </c>
      <c r="E135" s="1408"/>
      <c r="F135" s="1407" t="s">
        <v>715</v>
      </c>
      <c r="G135" s="1407" t="s">
        <v>716</v>
      </c>
      <c r="H135" s="1409" t="s">
        <v>717</v>
      </c>
      <c r="I135" s="1409" t="s">
        <v>718</v>
      </c>
      <c r="J135" s="1409" t="s">
        <v>719</v>
      </c>
      <c r="L135" s="1410"/>
    </row>
    <row r="136" s="1064" customFormat="true" ht="13.5" hidden="false" customHeight="true" outlineLevel="0" collapsed="false">
      <c r="C136" s="1411"/>
      <c r="D136" s="1412"/>
      <c r="E136" s="1412"/>
      <c r="F136" s="1411"/>
      <c r="G136" s="1412"/>
      <c r="H136" s="1412"/>
      <c r="I136" s="1412"/>
      <c r="J136" s="1412"/>
      <c r="L136" s="1413"/>
    </row>
    <row r="137" customFormat="false" ht="20.1" hidden="false" customHeight="true" outlineLevel="0" collapsed="false">
      <c r="A137" s="771" t="s">
        <v>230</v>
      </c>
      <c r="B137" s="1064"/>
      <c r="C137" s="1064"/>
      <c r="D137" s="1064"/>
      <c r="E137" s="1064"/>
      <c r="F137" s="1064"/>
      <c r="G137" s="1352"/>
      <c r="H137" s="1064"/>
      <c r="I137" s="1064"/>
      <c r="J137" s="1064"/>
      <c r="L137" s="1353" t="s">
        <v>699</v>
      </c>
    </row>
    <row r="138" s="920" customFormat="true" ht="30" hidden="false" customHeight="true" outlineLevel="0" collapsed="false">
      <c r="A138" s="1354" t="s">
        <v>369</v>
      </c>
      <c r="B138" s="1355" t="s">
        <v>700</v>
      </c>
      <c r="C138" s="1356" t="s">
        <v>701</v>
      </c>
      <c r="D138" s="1414" t="s">
        <v>702</v>
      </c>
      <c r="E138" s="1415" t="s">
        <v>739</v>
      </c>
      <c r="F138" s="1416" t="s">
        <v>721</v>
      </c>
      <c r="G138" s="1417" t="s">
        <v>704</v>
      </c>
      <c r="H138" s="1357" t="s">
        <v>705</v>
      </c>
      <c r="I138" s="1357" t="s">
        <v>706</v>
      </c>
      <c r="J138" s="1359" t="s">
        <v>707</v>
      </c>
      <c r="L138" s="1360" t="s">
        <v>708</v>
      </c>
    </row>
    <row r="139" customFormat="false" ht="32.25" hidden="false" customHeight="true" outlineLevel="0" collapsed="false">
      <c r="A139" s="1418" t="s">
        <v>722</v>
      </c>
      <c r="B139" s="1362" t="n">
        <f aca="false">B145-B141-B143</f>
        <v>265296597</v>
      </c>
      <c r="C139" s="1363" t="n">
        <f aca="false">ROUNDDOWN(B139*C140/B140,0)</f>
        <v>233901740</v>
      </c>
      <c r="D139" s="1419" t="n">
        <f aca="false">ROUNDDOWN(B139*D140/B140,0)</f>
        <v>11672446</v>
      </c>
      <c r="E139" s="1420" t="n">
        <f aca="false">ROUNDDOWN(B139*E140/B140,0)</f>
        <v>4125606</v>
      </c>
      <c r="F139" s="1421" t="n">
        <f aca="false">ROUNDDOWN(B139*F140/B140,0)</f>
        <v>251561</v>
      </c>
      <c r="G139" s="1421" t="n">
        <f aca="false">ROUNDDOWN(B139*G140/B140,0)</f>
        <v>2767174</v>
      </c>
      <c r="H139" s="1421" t="n">
        <f aca="false">ROUNDDOWN(B139*H140/B140,0)</f>
        <v>503122</v>
      </c>
      <c r="I139" s="1421" t="n">
        <f aca="false">ROUNDDOWN(B139*I140/B140,0)</f>
        <v>60374</v>
      </c>
      <c r="J139" s="1422" t="n">
        <f aca="false">B139-C139-D139-E139-F139-G139-H139-I139</f>
        <v>12014574</v>
      </c>
      <c r="L139" s="1423" t="n">
        <f aca="false">SUM(I139:J139)</f>
        <v>12074948</v>
      </c>
    </row>
    <row r="140" s="1511" customFormat="true" ht="15" hidden="false" customHeight="true" outlineLevel="0" collapsed="false">
      <c r="A140" s="1504" t="s">
        <v>710</v>
      </c>
      <c r="B140" s="1438" t="n">
        <f aca="false">SUM(C140:J140)</f>
        <v>52.73</v>
      </c>
      <c r="C140" s="1520" t="n">
        <f aca="false">$C$16</f>
        <v>46.49</v>
      </c>
      <c r="D140" s="1440" t="n">
        <f aca="false">$D$16</f>
        <v>2.32</v>
      </c>
      <c r="E140" s="1521" t="n">
        <f aca="false">$E$16</f>
        <v>0.82</v>
      </c>
      <c r="F140" s="1522" t="n">
        <f aca="false">$F$16</f>
        <v>0.05</v>
      </c>
      <c r="G140" s="1522" t="n">
        <f aca="false">$G$16</f>
        <v>0.55</v>
      </c>
      <c r="H140" s="1523" t="n">
        <f aca="false">$H$16</f>
        <v>0.1</v>
      </c>
      <c r="I140" s="1524" t="n">
        <f aca="false">$I$16</f>
        <v>0.012</v>
      </c>
      <c r="J140" s="1525" t="n">
        <f aca="false">$J$16</f>
        <v>2.388</v>
      </c>
      <c r="K140" s="1381"/>
      <c r="L140" s="1432" t="n">
        <f aca="false">SUM(I140:J140)</f>
        <v>2.4</v>
      </c>
    </row>
    <row r="141" customFormat="false" ht="32.25" hidden="false" customHeight="true" outlineLevel="0" collapsed="false">
      <c r="A141" s="1361" t="s">
        <v>723</v>
      </c>
      <c r="B141" s="1362" t="n">
        <f aca="false">'☆掛負収入'!I306+'☆掛負収入'!I307</f>
        <v>94872311</v>
      </c>
      <c r="C141" s="1363" t="n">
        <f aca="false">ROUNDDOWN((B141-E141)/B142*C142,0)</f>
        <v>84957057</v>
      </c>
      <c r="D141" s="1433" t="n">
        <f aca="false">ROUNDDOWN((B141-E141)/B142*D142,0)</f>
        <v>4239629</v>
      </c>
      <c r="E141" s="1434" t="n">
        <f aca="false">ROUNDDOWN(B152*E126/1000,0)</f>
        <v>10602</v>
      </c>
      <c r="F141" s="1363" t="n">
        <f aca="false">ROUNDDOWN((B141-E141)/B142*F142,0)</f>
        <v>91371</v>
      </c>
      <c r="G141" s="1363" t="n">
        <f aca="false">ROUNDDOWN((B141-E141)/B142*G142,0)</f>
        <v>1005084</v>
      </c>
      <c r="H141" s="1384" t="n">
        <f aca="false">ROUNDDOWN((B141-E141)/B142*H142,0)</f>
        <v>182742</v>
      </c>
      <c r="I141" s="1384" t="n">
        <f aca="false">ROUNDDOWN((B141-E141)/B142*I142,0)</f>
        <v>21929</v>
      </c>
      <c r="J141" s="1435" t="n">
        <f aca="false">B141-C141-D141-E141-F141-G141-H141-I141</f>
        <v>4363897</v>
      </c>
      <c r="K141" s="1379" t="s">
        <v>711</v>
      </c>
      <c r="L141" s="1436" t="n">
        <f aca="false">SUM(I141:J141)</f>
        <v>4385826</v>
      </c>
    </row>
    <row r="142" s="1381" customFormat="true" ht="15" hidden="false" customHeight="true" outlineLevel="0" collapsed="false">
      <c r="A142" s="1526" t="s">
        <v>710</v>
      </c>
      <c r="B142" s="1438" t="n">
        <f aca="false">SUM(C142:J142)</f>
        <v>51.91</v>
      </c>
      <c r="C142" s="1439" t="n">
        <f aca="false">C140</f>
        <v>46.49</v>
      </c>
      <c r="D142" s="1440" t="n">
        <f aca="false">D140</f>
        <v>2.32</v>
      </c>
      <c r="E142" s="1441" t="s">
        <v>724</v>
      </c>
      <c r="F142" s="1442" t="n">
        <f aca="false">F140</f>
        <v>0.05</v>
      </c>
      <c r="G142" s="1442" t="n">
        <f aca="false">G140</f>
        <v>0.55</v>
      </c>
      <c r="H142" s="1443" t="n">
        <f aca="false">H140</f>
        <v>0.1</v>
      </c>
      <c r="I142" s="1444" t="n">
        <f aca="false">I140</f>
        <v>0.012</v>
      </c>
      <c r="J142" s="1445" t="n">
        <f aca="false">J140</f>
        <v>2.388</v>
      </c>
      <c r="K142" s="1379"/>
      <c r="L142" s="1446" t="n">
        <f aca="false">SUM(I142:J142)</f>
        <v>2.4</v>
      </c>
    </row>
    <row r="143" customFormat="false" ht="32.25" hidden="false" customHeight="true" outlineLevel="0" collapsed="false">
      <c r="A143" s="1447" t="s">
        <v>725</v>
      </c>
      <c r="B143" s="1362" t="n">
        <f aca="false">'☆掛負収入'!I323+E143</f>
        <v>46723</v>
      </c>
      <c r="C143" s="1363" t="n">
        <f aca="false">ROUNDDOWN((B143-E143)/B144*C144,0)</f>
        <v>41609</v>
      </c>
      <c r="D143" s="1433" t="n">
        <f aca="false">ROUNDDOWN((B143-E143)/B144*D144,0)</f>
        <v>2076</v>
      </c>
      <c r="E143" s="1448" t="n">
        <f aca="false">'☆労組公的負担（短期）'!F10</f>
        <v>262</v>
      </c>
      <c r="F143" s="1363" t="n">
        <f aca="false">ROUNDDOWN((B143-E143)/B144*F144,0)</f>
        <v>44</v>
      </c>
      <c r="G143" s="1363" t="n">
        <f aca="false">ROUNDDOWN((B143-E143)/B144*G144,0)</f>
        <v>492</v>
      </c>
      <c r="H143" s="1384" t="n">
        <f aca="false">H145-H139-H141</f>
        <v>91</v>
      </c>
      <c r="I143" s="1384" t="n">
        <f aca="false">I145-I139-I141</f>
        <v>12</v>
      </c>
      <c r="J143" s="1435" t="n">
        <f aca="false">B143-C143-D143-E143-F143-G143-H143-I143</f>
        <v>2137</v>
      </c>
      <c r="L143" s="1436" t="n">
        <f aca="false">SUM(I143:J143)</f>
        <v>2149</v>
      </c>
    </row>
    <row r="144" s="1381" customFormat="true" ht="15" hidden="false" customHeight="true" outlineLevel="0" collapsed="false">
      <c r="A144" s="1512" t="s">
        <v>710</v>
      </c>
      <c r="B144" s="1449" t="n">
        <f aca="false">SUM(C144:J144)</f>
        <v>51.91</v>
      </c>
      <c r="C144" s="1439" t="n">
        <f aca="false">C140</f>
        <v>46.49</v>
      </c>
      <c r="D144" s="1440" t="n">
        <f aca="false">D140</f>
        <v>2.32</v>
      </c>
      <c r="E144" s="1450" t="s">
        <v>726</v>
      </c>
      <c r="F144" s="1451" t="n">
        <f aca="false">F140</f>
        <v>0.05</v>
      </c>
      <c r="G144" s="1451" t="n">
        <f aca="false">G140</f>
        <v>0.55</v>
      </c>
      <c r="H144" s="1452" t="n">
        <f aca="false">H140</f>
        <v>0.1</v>
      </c>
      <c r="I144" s="1453" t="n">
        <f aca="false">I140</f>
        <v>0.012</v>
      </c>
      <c r="J144" s="1454" t="n">
        <f aca="false">J140</f>
        <v>2.388</v>
      </c>
      <c r="L144" s="1455" t="n">
        <f aca="false">SUM(I144:J144)</f>
        <v>2.4</v>
      </c>
    </row>
    <row r="145" customFormat="false" ht="30" hidden="false" customHeight="true" outlineLevel="0" collapsed="false">
      <c r="A145" s="1399" t="s">
        <v>650</v>
      </c>
      <c r="B145" s="1456" t="n">
        <f aca="false">'☆掛負収入'!I325</f>
        <v>360215631</v>
      </c>
      <c r="C145" s="1457" t="n">
        <f aca="false">C139+C141+C143</f>
        <v>318900406</v>
      </c>
      <c r="D145" s="1458" t="n">
        <f aca="false">D139+D141+D143</f>
        <v>15914151</v>
      </c>
      <c r="E145" s="1459" t="n">
        <f aca="false">E139+E141+E143</f>
        <v>4136470</v>
      </c>
      <c r="F145" s="1460" t="n">
        <f aca="false">F139+F141+F143</f>
        <v>342976</v>
      </c>
      <c r="G145" s="1460" t="n">
        <f aca="false">G139+G141+G143</f>
        <v>3772750</v>
      </c>
      <c r="H145" s="1460" t="n">
        <f aca="false">ROUNDDOWN(B150*H126/1000,0)-H134</f>
        <v>685955</v>
      </c>
      <c r="I145" s="1460" t="n">
        <f aca="false">ROUNDDOWN(B150*I126/1000,0)-I134</f>
        <v>82315</v>
      </c>
      <c r="J145" s="1461" t="n">
        <f aca="false">J139+J141+J143</f>
        <v>16380608</v>
      </c>
      <c r="K145" s="1462"/>
      <c r="L145" s="1463" t="n">
        <f aca="false">SUM(I145:J145)</f>
        <v>16462923</v>
      </c>
    </row>
    <row r="146" s="1407" customFormat="true" ht="20.1" hidden="false" customHeight="true" outlineLevel="0" collapsed="false">
      <c r="C146" s="1407" t="s">
        <v>713</v>
      </c>
      <c r="D146" s="1407" t="s">
        <v>714</v>
      </c>
      <c r="E146" s="1407" t="s">
        <v>714</v>
      </c>
      <c r="F146" s="1407" t="s">
        <v>715</v>
      </c>
      <c r="G146" s="1407" t="s">
        <v>716</v>
      </c>
      <c r="H146" s="1407" t="s">
        <v>717</v>
      </c>
      <c r="I146" s="1407" t="s">
        <v>718</v>
      </c>
      <c r="J146" s="1407" t="s">
        <v>719</v>
      </c>
      <c r="L146" s="1464"/>
    </row>
    <row r="147" s="764" customFormat="true" ht="18.75" hidden="false" customHeight="true" outlineLevel="0" collapsed="false">
      <c r="A147" s="1465" t="s">
        <v>727</v>
      </c>
      <c r="B147" s="1466" t="n">
        <f aca="false">B134+B145</f>
        <v>716991808</v>
      </c>
      <c r="C147" s="1467"/>
      <c r="D147" s="1467"/>
      <c r="E147" s="1467"/>
      <c r="K147" s="1342"/>
    </row>
    <row r="148" s="764" customFormat="true" ht="18.75" hidden="false" customHeight="true" outlineLevel="0" collapsed="false">
      <c r="A148" s="1477"/>
      <c r="B148" s="1470"/>
      <c r="C148" s="1471" t="s">
        <v>728</v>
      </c>
      <c r="D148" s="1472"/>
      <c r="E148" s="1473"/>
      <c r="F148" s="1474" t="s">
        <v>729</v>
      </c>
      <c r="G148" s="1473"/>
      <c r="H148" s="1475" t="n">
        <f aca="false">G134+G145</f>
        <v>7556531</v>
      </c>
      <c r="I148" s="1476" t="s">
        <v>430</v>
      </c>
      <c r="K148" s="1342"/>
    </row>
    <row r="149" s="764" customFormat="true" ht="18.75" hidden="false" customHeight="true" outlineLevel="0" collapsed="false">
      <c r="A149" s="1477" t="s">
        <v>730</v>
      </c>
      <c r="B149" s="1478"/>
      <c r="C149" s="1479"/>
      <c r="D149" s="1480"/>
      <c r="E149" s="1475" t="n">
        <f aca="false">C134+C145</f>
        <v>638733118</v>
      </c>
      <c r="F149" s="1481" t="str">
        <f aca="false">IF(H148='☆拠出金明細R7'!V45,"　","明細と不一致!")</f>
        <v>　</v>
      </c>
      <c r="G149" s="1482" t="n">
        <f aca="false">B150</f>
        <v>6869574000</v>
      </c>
      <c r="H149" s="1483" t="n">
        <f aca="false">G126</f>
        <v>1.1</v>
      </c>
      <c r="I149" s="1475"/>
      <c r="K149" s="1342"/>
    </row>
    <row r="150" s="764" customFormat="true" ht="18.75" hidden="false" customHeight="true" outlineLevel="0" collapsed="false">
      <c r="A150" s="1484" t="s">
        <v>577</v>
      </c>
      <c r="B150" s="1485" t="n">
        <f aca="false">ROUNDUP(H148/G126*1000,-3)</f>
        <v>6869574000</v>
      </c>
      <c r="C150" s="1471" t="s">
        <v>731</v>
      </c>
      <c r="D150" s="1472"/>
      <c r="E150" s="1486"/>
      <c r="F150" s="1474" t="s">
        <v>732</v>
      </c>
      <c r="G150" s="1473"/>
      <c r="H150" s="1475" t="n">
        <f aca="false">H134+H145</f>
        <v>1373914</v>
      </c>
      <c r="I150" s="1069" t="s">
        <v>431</v>
      </c>
      <c r="K150" s="1342"/>
    </row>
    <row r="151" s="1381" customFormat="true" ht="18.75" hidden="false" customHeight="true" outlineLevel="0" collapsed="false">
      <c r="A151" s="1484"/>
      <c r="B151" s="1485"/>
      <c r="C151" s="1487"/>
      <c r="D151" s="1480"/>
      <c r="E151" s="1475" t="n">
        <f aca="false">D134+D145+E145</f>
        <v>36011297</v>
      </c>
      <c r="F151" s="1481" t="str">
        <f aca="false">IF(H150='☆拠出金明細R7'!AD42,"　","明細と不一致!")</f>
        <v>　</v>
      </c>
      <c r="G151" s="1482" t="n">
        <f aca="false">B150</f>
        <v>6869574000</v>
      </c>
      <c r="H151" s="1483" t="n">
        <f aca="false">H126</f>
        <v>0.2</v>
      </c>
      <c r="I151" s="1069"/>
      <c r="K151" s="1488"/>
    </row>
    <row r="152" customFormat="false" ht="18.75" hidden="false" customHeight="true" outlineLevel="0" collapsed="false">
      <c r="A152" s="1489" t="s">
        <v>733</v>
      </c>
      <c r="B152" s="1490" t="n">
        <v>12930000</v>
      </c>
      <c r="C152" s="1491" t="s">
        <v>734</v>
      </c>
      <c r="D152" s="1493"/>
      <c r="E152" s="1473"/>
      <c r="F152" s="1493" t="s">
        <v>735</v>
      </c>
      <c r="G152" s="1472"/>
      <c r="H152" s="1475" t="n">
        <f aca="false">I134+I145</f>
        <v>164869</v>
      </c>
      <c r="I152" s="1069" t="s">
        <v>432</v>
      </c>
      <c r="K152" s="1337"/>
      <c r="L152" s="582"/>
    </row>
    <row r="153" customFormat="false" ht="18.75" hidden="false" customHeight="true" outlineLevel="0" collapsed="false">
      <c r="A153" s="1489"/>
      <c r="B153" s="1490"/>
      <c r="C153" s="1494"/>
      <c r="D153" s="1481" t="str">
        <f aca="false">IF(E153='☆拠出金明細R7'!K45,"　","明細と不一致!")</f>
        <v>　</v>
      </c>
      <c r="E153" s="1475" t="n">
        <f aca="false">F145</f>
        <v>342976</v>
      </c>
      <c r="F153" s="1481" t="str">
        <f aca="false">IF(H152='☆拠出金明細R7'!AN45,"　","明細と不一致!")</f>
        <v>　</v>
      </c>
      <c r="G153" s="1482" t="n">
        <f aca="false">B150</f>
        <v>6869574000</v>
      </c>
      <c r="H153" s="1495" t="n">
        <f aca="false">I126</f>
        <v>0.024</v>
      </c>
      <c r="K153" s="1337"/>
      <c r="L153" s="582"/>
    </row>
    <row r="154" customFormat="false" ht="18.75" hidden="false" customHeight="true" outlineLevel="0" collapsed="false">
      <c r="A154" s="1253"/>
      <c r="B154" s="1496"/>
      <c r="C154" s="1491" t="s">
        <v>736</v>
      </c>
      <c r="D154" s="1493"/>
      <c r="E154" s="1497"/>
      <c r="F154" s="1498" t="s">
        <v>737</v>
      </c>
      <c r="G154" s="1498"/>
      <c r="H154" s="1498"/>
      <c r="K154" s="1337"/>
      <c r="L154" s="582"/>
    </row>
    <row r="155" customFormat="false" ht="18.75" hidden="false" customHeight="true" outlineLevel="0" collapsed="false">
      <c r="A155" s="1253"/>
      <c r="B155" s="1496"/>
      <c r="C155" s="1499"/>
      <c r="D155" s="1486"/>
      <c r="E155" s="1475" t="n">
        <f aca="false">J134+J145</f>
        <v>32809103</v>
      </c>
      <c r="F155" s="1498"/>
      <c r="G155" s="1498"/>
      <c r="H155" s="1498"/>
      <c r="I155" s="1500"/>
      <c r="K155" s="1337"/>
      <c r="L155" s="582"/>
    </row>
    <row r="156" s="764" customFormat="true" ht="26.25" hidden="false" customHeight="true" outlineLevel="0" collapsed="false">
      <c r="A156" s="1338" t="n">
        <f aca="false">EOMONTH(A125,1)</f>
        <v>46265</v>
      </c>
      <c r="B156" s="1339" t="s">
        <v>688</v>
      </c>
      <c r="C156" s="1340" t="s">
        <v>689</v>
      </c>
      <c r="D156" s="1105" t="s">
        <v>690</v>
      </c>
      <c r="E156" s="1105" t="s">
        <v>691</v>
      </c>
      <c r="F156" s="1105" t="s">
        <v>692</v>
      </c>
      <c r="G156" s="1105" t="s">
        <v>693</v>
      </c>
      <c r="H156" s="1105" t="s">
        <v>694</v>
      </c>
      <c r="I156" s="1105" t="s">
        <v>695</v>
      </c>
      <c r="J156" s="1341"/>
      <c r="L156" s="1342"/>
    </row>
    <row r="157" s="1344" customFormat="true" ht="26.25" hidden="false" customHeight="true" outlineLevel="0" collapsed="false">
      <c r="A157" s="1343"/>
      <c r="C157" s="1340"/>
      <c r="D157" s="1501" t="n">
        <f aca="false">$D$2</f>
        <v>4.64</v>
      </c>
      <c r="E157" s="1502" t="n">
        <f aca="false">$E$2</f>
        <v>0.82</v>
      </c>
      <c r="F157" s="1502" t="n">
        <f aca="false">$F$2</f>
        <v>0.05</v>
      </c>
      <c r="G157" s="1502" t="n">
        <f aca="false">$G$2</f>
        <v>1.1</v>
      </c>
      <c r="H157" s="1502" t="n">
        <f aca="false">$H$2</f>
        <v>0.2</v>
      </c>
      <c r="I157" s="1502" t="n">
        <f aca="false">$I$2</f>
        <v>0.024</v>
      </c>
      <c r="J157" s="1348"/>
      <c r="L157" s="1349"/>
    </row>
    <row r="158" customFormat="false" ht="13.9" hidden="false" customHeight="true" outlineLevel="0" collapsed="false">
      <c r="C158" s="1341"/>
      <c r="D158" s="1341"/>
      <c r="E158" s="1341"/>
      <c r="F158" s="1503"/>
      <c r="G158" s="1341"/>
      <c r="H158" s="1341"/>
      <c r="I158" s="1341"/>
      <c r="J158" s="1341"/>
    </row>
    <row r="159" customFormat="false" ht="20.1" hidden="false" customHeight="true" outlineLevel="0" collapsed="false">
      <c r="A159" s="771" t="s">
        <v>698</v>
      </c>
      <c r="G159" s="1352"/>
      <c r="L159" s="1353" t="s">
        <v>699</v>
      </c>
    </row>
    <row r="160" s="1197" customFormat="true" ht="30" hidden="false" customHeight="true" outlineLevel="0" collapsed="false">
      <c r="A160" s="1354" t="s">
        <v>369</v>
      </c>
      <c r="B160" s="1355" t="s">
        <v>700</v>
      </c>
      <c r="C160" s="1356" t="s">
        <v>701</v>
      </c>
      <c r="D160" s="1357" t="s">
        <v>702</v>
      </c>
      <c r="E160" s="1357"/>
      <c r="F160" s="1358" t="s">
        <v>703</v>
      </c>
      <c r="G160" s="1357" t="s">
        <v>704</v>
      </c>
      <c r="H160" s="1357" t="s">
        <v>705</v>
      </c>
      <c r="I160" s="1357" t="s">
        <v>706</v>
      </c>
      <c r="J160" s="1359" t="s">
        <v>707</v>
      </c>
      <c r="L160" s="1360" t="s">
        <v>708</v>
      </c>
    </row>
    <row r="161" customFormat="false" ht="32.25" hidden="false" customHeight="true" outlineLevel="0" collapsed="false">
      <c r="A161" s="1361" t="s">
        <v>709</v>
      </c>
      <c r="B161" s="1362" t="n">
        <f aca="false">B165-B163</f>
        <v>352107037</v>
      </c>
      <c r="C161" s="1363" t="n">
        <f aca="false">ROUNDDOWN(B161*C162/B162,0)</f>
        <v>315647052</v>
      </c>
      <c r="D161" s="1364" t="n">
        <f aca="false">ROUNDDOWN(B161*D162/B162,0)</f>
        <v>15751799</v>
      </c>
      <c r="E161" s="1364" t="n">
        <f aca="false">ROUNDDOWN(D161*E162/D162,0)</f>
        <v>0</v>
      </c>
      <c r="F161" s="1365" t="s">
        <v>522</v>
      </c>
      <c r="G161" s="1366" t="n">
        <f aca="false">ROUNDDOWN(B161*G162/B162,0)</f>
        <v>3734262</v>
      </c>
      <c r="H161" s="1367" t="n">
        <f aca="false">ROUNDDOWN(B161*H162/B162,0)</f>
        <v>678956</v>
      </c>
      <c r="I161" s="1364" t="n">
        <f aca="false">ROUNDDOWN(B161*I162/B162,0)</f>
        <v>81474</v>
      </c>
      <c r="J161" s="1368" t="n">
        <f aca="false">B161-C161-D161-G161-H161-I161</f>
        <v>16213494</v>
      </c>
      <c r="L161" s="1369" t="n">
        <f aca="false">SUM(I161:J161)</f>
        <v>16294968</v>
      </c>
    </row>
    <row r="162" s="1511" customFormat="true" ht="15" hidden="false" customHeight="true" outlineLevel="0" collapsed="false">
      <c r="A162" s="1504" t="s">
        <v>710</v>
      </c>
      <c r="B162" s="1505" t="n">
        <f aca="false">SUM(C162:J162)</f>
        <v>51.86</v>
      </c>
      <c r="C162" s="1506" t="n">
        <f aca="false">$C$7</f>
        <v>46.49</v>
      </c>
      <c r="D162" s="1507" t="n">
        <f aca="false">$D$7</f>
        <v>2.32</v>
      </c>
      <c r="E162" s="1507"/>
      <c r="F162" s="1508" t="s">
        <v>522</v>
      </c>
      <c r="G162" s="1509" t="n">
        <f aca="false">$G$7</f>
        <v>0.55</v>
      </c>
      <c r="H162" s="1442" t="n">
        <f aca="false">$H$7</f>
        <v>0.1</v>
      </c>
      <c r="I162" s="1443" t="n">
        <f aca="false">$I$7</f>
        <v>0.012</v>
      </c>
      <c r="J162" s="1510" t="n">
        <f aca="false">$J$7</f>
        <v>2.388</v>
      </c>
      <c r="K162" s="1379" t="s">
        <v>711</v>
      </c>
      <c r="L162" s="1380" t="n">
        <f aca="false">SUM(I162:J162)</f>
        <v>2.4</v>
      </c>
    </row>
    <row r="163" customFormat="false" ht="32.25" hidden="false" customHeight="true" outlineLevel="0" collapsed="false">
      <c r="A163" s="1361" t="s">
        <v>712</v>
      </c>
      <c r="B163" s="1362" t="n">
        <f aca="false">'☆短期集計R7'!D30</f>
        <v>1918883</v>
      </c>
      <c r="C163" s="1363" t="n">
        <f aca="false">ROUNDDOWN(B163*C164/B164,0)</f>
        <v>1720186</v>
      </c>
      <c r="D163" s="1382" t="n">
        <f aca="false">ROUNDDOWN(B163*D164/B164,0)</f>
        <v>85842</v>
      </c>
      <c r="E163" s="1382" t="n">
        <f aca="false">ROUNDDOWN(D163*E164/D164,0)</f>
        <v>0</v>
      </c>
      <c r="F163" s="1383" t="s">
        <v>522</v>
      </c>
      <c r="G163" s="1384" t="n">
        <f aca="false">ROUNDDOWN(B163*G164/B164,0)</f>
        <v>20350</v>
      </c>
      <c r="H163" s="1385" t="n">
        <f aca="false">ROUNDDOWN(B163*H164/B164,0)</f>
        <v>3700</v>
      </c>
      <c r="I163" s="1386" t="n">
        <f aca="false">ROUNDDOWN(B163*I164/B164,0)</f>
        <v>444</v>
      </c>
      <c r="J163" s="1387" t="n">
        <f aca="false">B163-C163-D163-G163-H163-I163</f>
        <v>88361</v>
      </c>
      <c r="K163" s="1379"/>
      <c r="L163" s="1388" t="n">
        <f aca="false">SUM(I163:J163)</f>
        <v>88805</v>
      </c>
    </row>
    <row r="164" s="1381" customFormat="true" ht="15" hidden="false" customHeight="true" outlineLevel="0" collapsed="false">
      <c r="A164" s="1512" t="s">
        <v>710</v>
      </c>
      <c r="B164" s="1449" t="n">
        <f aca="false">SUM(C164:J164)</f>
        <v>103.72</v>
      </c>
      <c r="C164" s="1513" t="n">
        <f aca="false">C162*2</f>
        <v>92.98</v>
      </c>
      <c r="D164" s="1514" t="n">
        <f aca="false">D162*2</f>
        <v>4.64</v>
      </c>
      <c r="E164" s="1514"/>
      <c r="F164" s="1515" t="s">
        <v>522</v>
      </c>
      <c r="G164" s="1516" t="n">
        <f aca="false">G162*2</f>
        <v>1.1</v>
      </c>
      <c r="H164" s="1517" t="n">
        <f aca="false">H162*2</f>
        <v>0.2</v>
      </c>
      <c r="I164" s="1518" t="n">
        <f aca="false">I162*2</f>
        <v>0.024</v>
      </c>
      <c r="J164" s="1519" t="n">
        <f aca="false">J162*2</f>
        <v>4.776</v>
      </c>
      <c r="L164" s="1398" t="n">
        <f aca="false">L162*2</f>
        <v>4.8</v>
      </c>
    </row>
    <row r="165" customFormat="false" ht="30" hidden="false" customHeight="true" outlineLevel="0" collapsed="false">
      <c r="A165" s="1399" t="s">
        <v>650</v>
      </c>
      <c r="B165" s="1400" t="n">
        <f aca="false">'☆短期集計R7'!B30+'☆短期集計R7'!D30</f>
        <v>354025920</v>
      </c>
      <c r="C165" s="1401" t="n">
        <f aca="false">C161+C163</f>
        <v>317367238</v>
      </c>
      <c r="D165" s="1402" t="n">
        <f aca="false">D161+D163</f>
        <v>15837641</v>
      </c>
      <c r="E165" s="1402"/>
      <c r="F165" s="1403" t="s">
        <v>522</v>
      </c>
      <c r="G165" s="1402" t="n">
        <f aca="false">G161+G163</f>
        <v>3754612</v>
      </c>
      <c r="H165" s="1401" t="n">
        <f aca="false">H161+H163</f>
        <v>682656</v>
      </c>
      <c r="I165" s="1402" t="n">
        <f aca="false">I161+I163</f>
        <v>81918</v>
      </c>
      <c r="J165" s="1404" t="n">
        <f aca="false">J161+J163</f>
        <v>16301855</v>
      </c>
      <c r="L165" s="1405" t="n">
        <f aca="false">L161+L163</f>
        <v>16383773</v>
      </c>
    </row>
    <row r="166" s="1406" customFormat="true" ht="20.1" hidden="false" customHeight="true" outlineLevel="0" collapsed="false">
      <c r="C166" s="1407" t="s">
        <v>713</v>
      </c>
      <c r="D166" s="1408" t="s">
        <v>714</v>
      </c>
      <c r="E166" s="1408"/>
      <c r="F166" s="1407" t="s">
        <v>715</v>
      </c>
      <c r="G166" s="1407" t="s">
        <v>716</v>
      </c>
      <c r="H166" s="1409" t="s">
        <v>717</v>
      </c>
      <c r="I166" s="1409" t="s">
        <v>718</v>
      </c>
      <c r="J166" s="1409" t="s">
        <v>719</v>
      </c>
      <c r="L166" s="1410"/>
    </row>
    <row r="167" s="1064" customFormat="true" ht="13.5" hidden="false" customHeight="true" outlineLevel="0" collapsed="false">
      <c r="C167" s="1411"/>
      <c r="D167" s="1412"/>
      <c r="E167" s="1412"/>
      <c r="F167" s="1411"/>
      <c r="G167" s="1412"/>
      <c r="H167" s="1412"/>
      <c r="I167" s="1412"/>
      <c r="J167" s="1412"/>
      <c r="L167" s="1413"/>
    </row>
    <row r="168" customFormat="false" ht="20.1" hidden="false" customHeight="true" outlineLevel="0" collapsed="false">
      <c r="A168" s="771" t="s">
        <v>230</v>
      </c>
      <c r="B168" s="1064"/>
      <c r="C168" s="1064"/>
      <c r="D168" s="1064"/>
      <c r="E168" s="1064"/>
      <c r="F168" s="1064"/>
      <c r="G168" s="1352"/>
      <c r="H168" s="1064"/>
      <c r="I168" s="1064"/>
      <c r="J168" s="1064"/>
      <c r="L168" s="1353" t="s">
        <v>699</v>
      </c>
    </row>
    <row r="169" s="920" customFormat="true" ht="30" hidden="false" customHeight="true" outlineLevel="0" collapsed="false">
      <c r="A169" s="1354" t="s">
        <v>369</v>
      </c>
      <c r="B169" s="1355" t="s">
        <v>700</v>
      </c>
      <c r="C169" s="1356" t="s">
        <v>701</v>
      </c>
      <c r="D169" s="1414" t="s">
        <v>702</v>
      </c>
      <c r="E169" s="1415" t="s">
        <v>720</v>
      </c>
      <c r="F169" s="1416" t="s">
        <v>721</v>
      </c>
      <c r="G169" s="1417" t="s">
        <v>704</v>
      </c>
      <c r="H169" s="1357" t="s">
        <v>705</v>
      </c>
      <c r="I169" s="1357" t="s">
        <v>706</v>
      </c>
      <c r="J169" s="1359" t="s">
        <v>707</v>
      </c>
      <c r="L169" s="1360" t="s">
        <v>708</v>
      </c>
    </row>
    <row r="170" customFormat="false" ht="32.25" hidden="false" customHeight="true" outlineLevel="0" collapsed="false">
      <c r="A170" s="1418" t="s">
        <v>722</v>
      </c>
      <c r="B170" s="1362" t="n">
        <f aca="false">B176-B172-B174</f>
        <v>262302134</v>
      </c>
      <c r="C170" s="1363" t="n">
        <f aca="false">ROUNDDOWN(B170*C171/B171,0)</f>
        <v>231261638</v>
      </c>
      <c r="D170" s="1419" t="n">
        <f aca="false">ROUNDDOWN(B170*D171/B171,0)</f>
        <v>11540696</v>
      </c>
      <c r="E170" s="1420" t="n">
        <f aca="false">ROUNDDOWN(B170*E171/B171,0)</f>
        <v>4079039</v>
      </c>
      <c r="F170" s="1421" t="n">
        <f aca="false">ROUNDDOWN(B170*F171/B171,0)</f>
        <v>248721</v>
      </c>
      <c r="G170" s="1421" t="n">
        <f aca="false">ROUNDDOWN(B170*G171/B171,0)</f>
        <v>2735941</v>
      </c>
      <c r="H170" s="1421" t="n">
        <f aca="false">ROUNDDOWN(B170*H171/B171,0)</f>
        <v>497443</v>
      </c>
      <c r="I170" s="1421" t="n">
        <f aca="false">ROUNDDOWN(B170*I171/B171,0)</f>
        <v>59693</v>
      </c>
      <c r="J170" s="1422" t="n">
        <f aca="false">B170-C170-D170-E170-F170-G170-H170-I170</f>
        <v>11878963</v>
      </c>
      <c r="L170" s="1423" t="n">
        <f aca="false">SUM(I170:J170)</f>
        <v>11938656</v>
      </c>
    </row>
    <row r="171" s="1511" customFormat="true" ht="15" hidden="false" customHeight="true" outlineLevel="0" collapsed="false">
      <c r="A171" s="1504" t="s">
        <v>710</v>
      </c>
      <c r="B171" s="1438" t="n">
        <f aca="false">SUM(C171:J171)</f>
        <v>52.73</v>
      </c>
      <c r="C171" s="1520" t="n">
        <f aca="false">$C$16</f>
        <v>46.49</v>
      </c>
      <c r="D171" s="1440" t="n">
        <f aca="false">$D$16</f>
        <v>2.32</v>
      </c>
      <c r="E171" s="1521" t="n">
        <f aca="false">$E$16</f>
        <v>0.82</v>
      </c>
      <c r="F171" s="1522" t="n">
        <f aca="false">$F$16</f>
        <v>0.05</v>
      </c>
      <c r="G171" s="1522" t="n">
        <f aca="false">$G$16</f>
        <v>0.55</v>
      </c>
      <c r="H171" s="1523" t="n">
        <f aca="false">$H$16</f>
        <v>0.1</v>
      </c>
      <c r="I171" s="1524" t="n">
        <f aca="false">$I$16</f>
        <v>0.012</v>
      </c>
      <c r="J171" s="1525" t="n">
        <f aca="false">$J$16</f>
        <v>2.388</v>
      </c>
      <c r="K171" s="1381"/>
      <c r="L171" s="1432" t="n">
        <f aca="false">SUM(I171:J171)</f>
        <v>2.4</v>
      </c>
    </row>
    <row r="172" customFormat="false" ht="32.25" hidden="false" customHeight="true" outlineLevel="0" collapsed="false">
      <c r="A172" s="1361" t="s">
        <v>723</v>
      </c>
      <c r="B172" s="1362" t="n">
        <f aca="false">'☆掛負収入'!I371+'☆掛負収入'!I372</f>
        <v>94400915</v>
      </c>
      <c r="C172" s="1363" t="n">
        <f aca="false">ROUNDDOWN((B172-E172)/B173*C173,0)</f>
        <v>84535057</v>
      </c>
      <c r="D172" s="1433" t="n">
        <f aca="false">ROUNDDOWN((B172-E172)/B173*D173,0)</f>
        <v>4218570</v>
      </c>
      <c r="E172" s="1434" t="n">
        <f aca="false">ROUNDDOWN(B183*E157/1000,0)</f>
        <v>10405</v>
      </c>
      <c r="F172" s="1363" t="n">
        <f aca="false">ROUNDDOWN((B172-E172)/B173*F173,0)</f>
        <v>90917</v>
      </c>
      <c r="G172" s="1363" t="n">
        <f aca="false">ROUNDDOWN((B172-E172)/B173*G173,0)</f>
        <v>1000092</v>
      </c>
      <c r="H172" s="1384" t="n">
        <f aca="false">ROUNDDOWN((B172-E172)/B173*H173,0)</f>
        <v>181834</v>
      </c>
      <c r="I172" s="1384" t="n">
        <f aca="false">ROUNDDOWN((B172-E172)/B173*I173,0)</f>
        <v>21820</v>
      </c>
      <c r="J172" s="1435" t="n">
        <f aca="false">B172-C172-D172-E172-F172-G172-H172-I172</f>
        <v>4342220</v>
      </c>
      <c r="K172" s="1379" t="s">
        <v>711</v>
      </c>
      <c r="L172" s="1436" t="n">
        <f aca="false">SUM(I172:J172)</f>
        <v>4364040</v>
      </c>
    </row>
    <row r="173" s="1381" customFormat="true" ht="15" hidden="false" customHeight="true" outlineLevel="0" collapsed="false">
      <c r="A173" s="1526" t="s">
        <v>710</v>
      </c>
      <c r="B173" s="1438" t="n">
        <f aca="false">SUM(C173:J173)</f>
        <v>51.91</v>
      </c>
      <c r="C173" s="1439" t="n">
        <f aca="false">C171</f>
        <v>46.49</v>
      </c>
      <c r="D173" s="1440" t="n">
        <f aca="false">D171</f>
        <v>2.32</v>
      </c>
      <c r="E173" s="1441" t="s">
        <v>724</v>
      </c>
      <c r="F173" s="1442" t="n">
        <f aca="false">F171</f>
        <v>0.05</v>
      </c>
      <c r="G173" s="1442" t="n">
        <f aca="false">G171</f>
        <v>0.55</v>
      </c>
      <c r="H173" s="1443" t="n">
        <f aca="false">H171</f>
        <v>0.1</v>
      </c>
      <c r="I173" s="1444" t="n">
        <f aca="false">I171</f>
        <v>0.012</v>
      </c>
      <c r="J173" s="1445" t="n">
        <f aca="false">J171</f>
        <v>2.388</v>
      </c>
      <c r="K173" s="1379"/>
      <c r="L173" s="1446" t="n">
        <f aca="false">SUM(I173:J173)</f>
        <v>2.4</v>
      </c>
    </row>
    <row r="174" customFormat="false" ht="32.25" hidden="false" customHeight="true" outlineLevel="0" collapsed="false">
      <c r="A174" s="1447" t="s">
        <v>725</v>
      </c>
      <c r="B174" s="1362" t="n">
        <f aca="false">'☆掛負収入'!I388+E174</f>
        <v>48019</v>
      </c>
      <c r="C174" s="1363" t="n">
        <f aca="false">ROUNDDOWN((B174-E174)/B175*C175,0)</f>
        <v>42770</v>
      </c>
      <c r="D174" s="1433" t="n">
        <f aca="false">ROUNDDOWN((B174-E174)/B175*D175,0)</f>
        <v>2134</v>
      </c>
      <c r="E174" s="1448" t="n">
        <f aca="false">'☆労組公的負担（短期）'!F11</f>
        <v>262</v>
      </c>
      <c r="F174" s="1363" t="n">
        <f aca="false">ROUNDDOWN((B174-E174)/B175*F175,0)</f>
        <v>45</v>
      </c>
      <c r="G174" s="1363" t="n">
        <f aca="false">ROUNDDOWN((B174-E174)/B175*G175,0)</f>
        <v>505</v>
      </c>
      <c r="H174" s="1384" t="n">
        <f aca="false">H176-H170-H172</f>
        <v>94</v>
      </c>
      <c r="I174" s="1384" t="n">
        <f aca="false">I176-I170-I172</f>
        <v>12</v>
      </c>
      <c r="J174" s="1435" t="n">
        <f aca="false">B174-C174-D174-E174-F174-G174-H174-I174</f>
        <v>2197</v>
      </c>
      <c r="L174" s="1436" t="n">
        <f aca="false">SUM(I174:J174)</f>
        <v>2209</v>
      </c>
    </row>
    <row r="175" s="1381" customFormat="true" ht="15" hidden="false" customHeight="true" outlineLevel="0" collapsed="false">
      <c r="A175" s="1512" t="s">
        <v>710</v>
      </c>
      <c r="B175" s="1449" t="n">
        <f aca="false">SUM(C175:J175)</f>
        <v>51.91</v>
      </c>
      <c r="C175" s="1439" t="n">
        <f aca="false">C171</f>
        <v>46.49</v>
      </c>
      <c r="D175" s="1440" t="n">
        <f aca="false">D171</f>
        <v>2.32</v>
      </c>
      <c r="E175" s="1450" t="s">
        <v>726</v>
      </c>
      <c r="F175" s="1451" t="n">
        <f aca="false">F171</f>
        <v>0.05</v>
      </c>
      <c r="G175" s="1451" t="n">
        <f aca="false">G171</f>
        <v>0.55</v>
      </c>
      <c r="H175" s="1452" t="n">
        <f aca="false">H171</f>
        <v>0.1</v>
      </c>
      <c r="I175" s="1453" t="n">
        <f aca="false">I171</f>
        <v>0.012</v>
      </c>
      <c r="J175" s="1454" t="n">
        <f aca="false">J171</f>
        <v>2.388</v>
      </c>
      <c r="L175" s="1455" t="n">
        <f aca="false">SUM(I175:J175)</f>
        <v>2.4</v>
      </c>
    </row>
    <row r="176" customFormat="false" ht="30" hidden="false" customHeight="true" outlineLevel="0" collapsed="false">
      <c r="A176" s="1399" t="s">
        <v>650</v>
      </c>
      <c r="B176" s="1456" t="n">
        <f aca="false">'☆掛負収入'!I390</f>
        <v>356751068</v>
      </c>
      <c r="C176" s="1457" t="n">
        <f aca="false">C170+C172+C174</f>
        <v>315839465</v>
      </c>
      <c r="D176" s="1458" t="n">
        <f aca="false">D170+D172+D174</f>
        <v>15761400</v>
      </c>
      <c r="E176" s="1459" t="n">
        <f aca="false">E170+E172+E174</f>
        <v>4089706</v>
      </c>
      <c r="F176" s="1460" t="n">
        <f aca="false">F170+F172+F174</f>
        <v>339683</v>
      </c>
      <c r="G176" s="1460" t="n">
        <f aca="false">G170+G172+G174</f>
        <v>3736538</v>
      </c>
      <c r="H176" s="1460" t="n">
        <f aca="false">ROUNDDOWN(B181*H157/1000,0)-H165</f>
        <v>679371</v>
      </c>
      <c r="I176" s="1460" t="n">
        <f aca="false">ROUNDDOWN(B181*I157/1000,0)-I165</f>
        <v>81525</v>
      </c>
      <c r="J176" s="1461" t="n">
        <f aca="false">J170+J172+J174</f>
        <v>16223380</v>
      </c>
      <c r="K176" s="1462"/>
      <c r="L176" s="1463" t="n">
        <f aca="false">SUM(I176:J176)</f>
        <v>16304905</v>
      </c>
    </row>
    <row r="177" s="1407" customFormat="true" ht="20.1" hidden="false" customHeight="true" outlineLevel="0" collapsed="false">
      <c r="C177" s="1407" t="s">
        <v>713</v>
      </c>
      <c r="D177" s="1407" t="s">
        <v>714</v>
      </c>
      <c r="E177" s="1407" t="s">
        <v>714</v>
      </c>
      <c r="F177" s="1407" t="s">
        <v>715</v>
      </c>
      <c r="G177" s="1407" t="s">
        <v>716</v>
      </c>
      <c r="H177" s="1407" t="s">
        <v>717</v>
      </c>
      <c r="I177" s="1407" t="s">
        <v>718</v>
      </c>
      <c r="J177" s="1407" t="s">
        <v>719</v>
      </c>
      <c r="L177" s="1464"/>
    </row>
    <row r="178" s="764" customFormat="true" ht="18.75" hidden="false" customHeight="true" outlineLevel="0" collapsed="false">
      <c r="A178" s="1465" t="s">
        <v>727</v>
      </c>
      <c r="B178" s="1466" t="n">
        <f aca="false">B165+B176</f>
        <v>710776988</v>
      </c>
      <c r="C178" s="1467"/>
      <c r="D178" s="1467"/>
      <c r="E178" s="1467"/>
      <c r="K178" s="1342"/>
    </row>
    <row r="179" s="764" customFormat="true" ht="18.75" hidden="false" customHeight="true" outlineLevel="0" collapsed="false">
      <c r="A179" s="1477"/>
      <c r="B179" s="1470"/>
      <c r="C179" s="1471" t="s">
        <v>728</v>
      </c>
      <c r="D179" s="1472"/>
      <c r="E179" s="1473"/>
      <c r="F179" s="1474" t="s">
        <v>729</v>
      </c>
      <c r="G179" s="1473"/>
      <c r="H179" s="1475" t="n">
        <f aca="false">G165+G176</f>
        <v>7491150</v>
      </c>
      <c r="I179" s="1476" t="s">
        <v>430</v>
      </c>
      <c r="K179" s="1342"/>
    </row>
    <row r="180" s="764" customFormat="true" ht="18.75" hidden="false" customHeight="true" outlineLevel="0" collapsed="false">
      <c r="A180" s="1477" t="s">
        <v>730</v>
      </c>
      <c r="B180" s="1478"/>
      <c r="C180" s="1479"/>
      <c r="D180" s="1480"/>
      <c r="E180" s="1475" t="n">
        <f aca="false">C165+C176</f>
        <v>633206703</v>
      </c>
      <c r="F180" s="1481" t="str">
        <f aca="false">IF(H179='☆拠出金明細R7'!V46,"　","明細と不一致!")</f>
        <v>　</v>
      </c>
      <c r="G180" s="1482" t="n">
        <f aca="false">B181</f>
        <v>6810137000</v>
      </c>
      <c r="H180" s="1483" t="n">
        <f aca="false">G157</f>
        <v>1.1</v>
      </c>
      <c r="I180" s="1475"/>
      <c r="K180" s="1342"/>
    </row>
    <row r="181" s="764" customFormat="true" ht="18.75" hidden="false" customHeight="true" outlineLevel="0" collapsed="false">
      <c r="A181" s="1484" t="s">
        <v>577</v>
      </c>
      <c r="B181" s="1485" t="n">
        <f aca="false">ROUNDUP(H179/G157*1000,-3)</f>
        <v>6810137000</v>
      </c>
      <c r="C181" s="1471" t="s">
        <v>731</v>
      </c>
      <c r="D181" s="1472"/>
      <c r="E181" s="1486"/>
      <c r="F181" s="1474" t="s">
        <v>732</v>
      </c>
      <c r="G181" s="1473"/>
      <c r="H181" s="1475" t="n">
        <f aca="false">H165+H176</f>
        <v>1362027</v>
      </c>
      <c r="I181" s="1069" t="s">
        <v>431</v>
      </c>
      <c r="K181" s="1342"/>
    </row>
    <row r="182" s="1381" customFormat="true" ht="18.75" hidden="false" customHeight="true" outlineLevel="0" collapsed="false">
      <c r="A182" s="1484"/>
      <c r="B182" s="1485"/>
      <c r="C182" s="1487"/>
      <c r="D182" s="1480"/>
      <c r="E182" s="1475" t="n">
        <f aca="false">D165+D176+E176</f>
        <v>35688747</v>
      </c>
      <c r="F182" s="1481" t="str">
        <f aca="false">IF(H181='☆拠出金明細R7'!AD44,"　","明細と不一致!")</f>
        <v>　</v>
      </c>
      <c r="G182" s="1482" t="n">
        <f aca="false">B181</f>
        <v>6810137000</v>
      </c>
      <c r="H182" s="1483" t="n">
        <f aca="false">H157</f>
        <v>0.2</v>
      </c>
      <c r="I182" s="1069"/>
      <c r="K182" s="1488"/>
    </row>
    <row r="183" customFormat="false" ht="18.75" hidden="false" customHeight="true" outlineLevel="0" collapsed="false">
      <c r="A183" s="1489" t="s">
        <v>733</v>
      </c>
      <c r="B183" s="1490" t="n">
        <v>12690000</v>
      </c>
      <c r="C183" s="1491" t="s">
        <v>734</v>
      </c>
      <c r="D183" s="1493"/>
      <c r="E183" s="1473"/>
      <c r="F183" s="1493" t="s">
        <v>735</v>
      </c>
      <c r="G183" s="1472"/>
      <c r="H183" s="1475" t="n">
        <f aca="false">I165+I176</f>
        <v>163443</v>
      </c>
      <c r="I183" s="1069" t="s">
        <v>432</v>
      </c>
      <c r="K183" s="1337"/>
      <c r="L183" s="582"/>
    </row>
    <row r="184" customFormat="false" ht="18.75" hidden="false" customHeight="true" outlineLevel="0" collapsed="false">
      <c r="A184" s="1489"/>
      <c r="B184" s="1490"/>
      <c r="C184" s="1494"/>
      <c r="D184" s="1481" t="str">
        <f aca="false">IF(E184='☆拠出金明細R7'!K46,"　","明細と不一致!")</f>
        <v>　</v>
      </c>
      <c r="E184" s="1475" t="n">
        <f aca="false">F176</f>
        <v>339683</v>
      </c>
      <c r="F184" s="1481" t="str">
        <f aca="false">IF(H183='☆拠出金明細R7'!AN46,"　","明細と不一致!")</f>
        <v>　</v>
      </c>
      <c r="G184" s="1482" t="n">
        <f aca="false">B181</f>
        <v>6810137000</v>
      </c>
      <c r="H184" s="1495" t="n">
        <f aca="false">I157</f>
        <v>0.024</v>
      </c>
      <c r="K184" s="1337"/>
      <c r="L184" s="582"/>
    </row>
    <row r="185" customFormat="false" ht="18.75" hidden="false" customHeight="true" outlineLevel="0" collapsed="false">
      <c r="A185" s="1253"/>
      <c r="B185" s="1496"/>
      <c r="C185" s="1491" t="s">
        <v>736</v>
      </c>
      <c r="D185" s="1493"/>
      <c r="E185" s="1497"/>
      <c r="F185" s="1498" t="s">
        <v>737</v>
      </c>
      <c r="G185" s="1498"/>
      <c r="H185" s="1498"/>
      <c r="K185" s="1337"/>
      <c r="L185" s="582"/>
    </row>
    <row r="186" customFormat="false" ht="18.75" hidden="false" customHeight="true" outlineLevel="0" collapsed="false">
      <c r="A186" s="1253"/>
      <c r="B186" s="1496"/>
      <c r="C186" s="1499"/>
      <c r="D186" s="1486"/>
      <c r="E186" s="1475" t="n">
        <f aca="false">J165+J176</f>
        <v>32525235</v>
      </c>
      <c r="F186" s="1498"/>
      <c r="G186" s="1498"/>
      <c r="H186" s="1498"/>
      <c r="I186" s="1500"/>
      <c r="K186" s="1337"/>
      <c r="L186" s="582"/>
    </row>
    <row r="187" s="764" customFormat="true" ht="26.25" hidden="false" customHeight="true" outlineLevel="0" collapsed="false">
      <c r="A187" s="1338" t="n">
        <f aca="false">EOMONTH(A156,1)</f>
        <v>46295</v>
      </c>
      <c r="B187" s="1339" t="s">
        <v>688</v>
      </c>
      <c r="C187" s="1340" t="s">
        <v>689</v>
      </c>
      <c r="D187" s="1105" t="s">
        <v>690</v>
      </c>
      <c r="E187" s="1105" t="s">
        <v>691</v>
      </c>
      <c r="F187" s="1105" t="s">
        <v>692</v>
      </c>
      <c r="G187" s="1105" t="s">
        <v>693</v>
      </c>
      <c r="H187" s="1105" t="s">
        <v>694</v>
      </c>
      <c r="I187" s="1105" t="s">
        <v>695</v>
      </c>
      <c r="J187" s="1341"/>
      <c r="L187" s="1342"/>
    </row>
    <row r="188" s="1344" customFormat="true" ht="26.25" hidden="false" customHeight="true" outlineLevel="0" collapsed="false">
      <c r="A188" s="1343"/>
      <c r="C188" s="1340"/>
      <c r="D188" s="1501" t="n">
        <f aca="false">$D$2</f>
        <v>4.64</v>
      </c>
      <c r="E188" s="1502" t="n">
        <f aca="false">$E$2</f>
        <v>0.82</v>
      </c>
      <c r="F188" s="1502" t="n">
        <f aca="false">$F$2</f>
        <v>0.05</v>
      </c>
      <c r="G188" s="1502" t="n">
        <f aca="false">$G$2</f>
        <v>1.1</v>
      </c>
      <c r="H188" s="1502" t="n">
        <f aca="false">$H$2</f>
        <v>0.2</v>
      </c>
      <c r="I188" s="1502" t="n">
        <f aca="false">$I$2</f>
        <v>0.024</v>
      </c>
      <c r="J188" s="1348"/>
      <c r="L188" s="1349"/>
    </row>
    <row r="189" customFormat="false" ht="13.9" hidden="false" customHeight="true" outlineLevel="0" collapsed="false">
      <c r="C189" s="1341"/>
      <c r="D189" s="1341"/>
      <c r="E189" s="1341"/>
      <c r="F189" s="1503"/>
      <c r="G189" s="1341"/>
      <c r="H189" s="1341"/>
      <c r="I189" s="1341"/>
      <c r="J189" s="1341"/>
    </row>
    <row r="190" customFormat="false" ht="20.1" hidden="false" customHeight="true" outlineLevel="0" collapsed="false">
      <c r="A190" s="771" t="s">
        <v>698</v>
      </c>
      <c r="G190" s="1352"/>
      <c r="L190" s="1353" t="s">
        <v>699</v>
      </c>
    </row>
    <row r="191" s="1197" customFormat="true" ht="30" hidden="false" customHeight="true" outlineLevel="0" collapsed="false">
      <c r="A191" s="1354" t="s">
        <v>369</v>
      </c>
      <c r="B191" s="1355" t="s">
        <v>700</v>
      </c>
      <c r="C191" s="1356" t="s">
        <v>701</v>
      </c>
      <c r="D191" s="1357" t="s">
        <v>702</v>
      </c>
      <c r="E191" s="1357"/>
      <c r="F191" s="1358" t="s">
        <v>703</v>
      </c>
      <c r="G191" s="1357" t="s">
        <v>704</v>
      </c>
      <c r="H191" s="1357" t="s">
        <v>705</v>
      </c>
      <c r="I191" s="1357" t="s">
        <v>706</v>
      </c>
      <c r="J191" s="1359" t="s">
        <v>707</v>
      </c>
      <c r="L191" s="1360" t="s">
        <v>708</v>
      </c>
    </row>
    <row r="192" customFormat="false" ht="32.25" hidden="false" customHeight="true" outlineLevel="0" collapsed="false">
      <c r="A192" s="1361" t="s">
        <v>709</v>
      </c>
      <c r="B192" s="1362" t="n">
        <f aca="false">B196-B194</f>
        <v>355514939</v>
      </c>
      <c r="C192" s="1363" t="n">
        <f aca="false">ROUNDDOWN(B192*C193/B193,0)</f>
        <v>318702073</v>
      </c>
      <c r="D192" s="1364" t="n">
        <f aca="false">ROUNDDOWN(B192*D193/B193,0)</f>
        <v>15904254</v>
      </c>
      <c r="E192" s="1364" t="n">
        <f aca="false">ROUNDDOWN(D192*E193/D193,0)</f>
        <v>0</v>
      </c>
      <c r="F192" s="1365" t="s">
        <v>522</v>
      </c>
      <c r="G192" s="1366" t="n">
        <f aca="false">ROUNDDOWN(B192*G193/B193,0)</f>
        <v>3770405</v>
      </c>
      <c r="H192" s="1367" t="n">
        <f aca="false">ROUNDDOWN(B192*H193/B193,0)</f>
        <v>685528</v>
      </c>
      <c r="I192" s="1364" t="n">
        <f aca="false">ROUNDDOWN(B192*I193/B193,0)</f>
        <v>82263</v>
      </c>
      <c r="J192" s="1368" t="n">
        <f aca="false">B192-C192-D192-G192-H192-I192</f>
        <v>16370416</v>
      </c>
      <c r="L192" s="1369" t="n">
        <f aca="false">SUM(I192:J192)</f>
        <v>16452679</v>
      </c>
    </row>
    <row r="193" s="1511" customFormat="true" ht="15" hidden="false" customHeight="true" outlineLevel="0" collapsed="false">
      <c r="A193" s="1504" t="s">
        <v>710</v>
      </c>
      <c r="B193" s="1505" t="n">
        <f aca="false">SUM(C193:J193)</f>
        <v>51.86</v>
      </c>
      <c r="C193" s="1506" t="n">
        <f aca="false">$C$7</f>
        <v>46.49</v>
      </c>
      <c r="D193" s="1507" t="n">
        <f aca="false">$D$7</f>
        <v>2.32</v>
      </c>
      <c r="E193" s="1507"/>
      <c r="F193" s="1508" t="s">
        <v>522</v>
      </c>
      <c r="G193" s="1509" t="n">
        <f aca="false">$G$7</f>
        <v>0.55</v>
      </c>
      <c r="H193" s="1442" t="n">
        <f aca="false">$H$7</f>
        <v>0.1</v>
      </c>
      <c r="I193" s="1443" t="n">
        <f aca="false">$I$7</f>
        <v>0.012</v>
      </c>
      <c r="J193" s="1510" t="n">
        <f aca="false">$J$7</f>
        <v>2.388</v>
      </c>
      <c r="K193" s="1379" t="s">
        <v>711</v>
      </c>
      <c r="L193" s="1380" t="n">
        <f aca="false">SUM(I193:J193)</f>
        <v>2.4</v>
      </c>
    </row>
    <row r="194" customFormat="false" ht="32.25" hidden="false" customHeight="true" outlineLevel="0" collapsed="false">
      <c r="A194" s="1361" t="s">
        <v>712</v>
      </c>
      <c r="B194" s="1362" t="n">
        <f aca="false">'☆短期集計R7'!D31</f>
        <v>4935296</v>
      </c>
      <c r="C194" s="1363" t="n">
        <f aca="false">ROUNDDOWN(B194*C195/B195,0)</f>
        <v>4424255</v>
      </c>
      <c r="D194" s="1382" t="n">
        <f aca="false">ROUNDDOWN(B194*D195/B195,0)</f>
        <v>220784</v>
      </c>
      <c r="E194" s="1382" t="n">
        <f aca="false">ROUNDDOWN(D194*E195/D195,0)</f>
        <v>0</v>
      </c>
      <c r="F194" s="1383" t="s">
        <v>522</v>
      </c>
      <c r="G194" s="1384" t="n">
        <f aca="false">ROUNDDOWN(B194*G195/B195,0)</f>
        <v>52341</v>
      </c>
      <c r="H194" s="1385" t="n">
        <f aca="false">ROUNDDOWN(B194*H195/B195,0)</f>
        <v>9516</v>
      </c>
      <c r="I194" s="1386" t="n">
        <f aca="false">ROUNDDOWN(B194*I195/B195,0)</f>
        <v>1141</v>
      </c>
      <c r="J194" s="1387" t="n">
        <f aca="false">B194-C194-D194-G194-H194-I194</f>
        <v>227259</v>
      </c>
      <c r="K194" s="1379"/>
      <c r="L194" s="1388" t="n">
        <f aca="false">SUM(I194:J194)</f>
        <v>228400</v>
      </c>
    </row>
    <row r="195" s="1381" customFormat="true" ht="15" hidden="false" customHeight="true" outlineLevel="0" collapsed="false">
      <c r="A195" s="1512" t="s">
        <v>710</v>
      </c>
      <c r="B195" s="1449" t="n">
        <f aca="false">SUM(C195:J195)</f>
        <v>103.72</v>
      </c>
      <c r="C195" s="1513" t="n">
        <f aca="false">C193*2</f>
        <v>92.98</v>
      </c>
      <c r="D195" s="1514" t="n">
        <f aca="false">D193*2</f>
        <v>4.64</v>
      </c>
      <c r="E195" s="1514"/>
      <c r="F195" s="1515" t="s">
        <v>522</v>
      </c>
      <c r="G195" s="1516" t="n">
        <f aca="false">G193*2</f>
        <v>1.1</v>
      </c>
      <c r="H195" s="1517" t="n">
        <f aca="false">H193*2</f>
        <v>0.2</v>
      </c>
      <c r="I195" s="1518" t="n">
        <f aca="false">I193*2</f>
        <v>0.024</v>
      </c>
      <c r="J195" s="1519" t="n">
        <f aca="false">J193*2</f>
        <v>4.776</v>
      </c>
      <c r="L195" s="1398" t="n">
        <f aca="false">L193*2</f>
        <v>4.8</v>
      </c>
    </row>
    <row r="196" customFormat="false" ht="30" hidden="false" customHeight="true" outlineLevel="0" collapsed="false">
      <c r="A196" s="1399" t="s">
        <v>650</v>
      </c>
      <c r="B196" s="1400" t="n">
        <f aca="false">'☆短期集計R7'!B31+'☆短期集計R7'!D31</f>
        <v>360450235</v>
      </c>
      <c r="C196" s="1401" t="n">
        <f aca="false">C192+C194</f>
        <v>323126328</v>
      </c>
      <c r="D196" s="1402" t="n">
        <f aca="false">D192+D194</f>
        <v>16125038</v>
      </c>
      <c r="E196" s="1402"/>
      <c r="F196" s="1403" t="s">
        <v>522</v>
      </c>
      <c r="G196" s="1402" t="n">
        <f aca="false">G192+G194</f>
        <v>3822746</v>
      </c>
      <c r="H196" s="1401" t="n">
        <f aca="false">H192+H194</f>
        <v>695044</v>
      </c>
      <c r="I196" s="1402" t="n">
        <f aca="false">I192+I194</f>
        <v>83404</v>
      </c>
      <c r="J196" s="1404" t="n">
        <f aca="false">J192+J194</f>
        <v>16597675</v>
      </c>
      <c r="L196" s="1405" t="n">
        <f aca="false">L192+L194</f>
        <v>16681079</v>
      </c>
    </row>
    <row r="197" s="1406" customFormat="true" ht="20.1" hidden="false" customHeight="true" outlineLevel="0" collapsed="false">
      <c r="C197" s="1407" t="s">
        <v>713</v>
      </c>
      <c r="D197" s="1408" t="s">
        <v>714</v>
      </c>
      <c r="E197" s="1408"/>
      <c r="F197" s="1407" t="s">
        <v>715</v>
      </c>
      <c r="G197" s="1407" t="s">
        <v>716</v>
      </c>
      <c r="H197" s="1409" t="s">
        <v>717</v>
      </c>
      <c r="I197" s="1409" t="s">
        <v>718</v>
      </c>
      <c r="J197" s="1409" t="s">
        <v>719</v>
      </c>
      <c r="L197" s="1410"/>
    </row>
    <row r="198" s="1064" customFormat="true" ht="13.5" hidden="false" customHeight="true" outlineLevel="0" collapsed="false">
      <c r="C198" s="1411"/>
      <c r="D198" s="1412"/>
      <c r="E198" s="1412"/>
      <c r="F198" s="1411"/>
      <c r="G198" s="1412"/>
      <c r="H198" s="1412"/>
      <c r="I198" s="1412"/>
      <c r="J198" s="1412"/>
      <c r="L198" s="1413"/>
    </row>
    <row r="199" customFormat="false" ht="20.1" hidden="false" customHeight="true" outlineLevel="0" collapsed="false">
      <c r="A199" s="771" t="s">
        <v>230</v>
      </c>
      <c r="B199" s="1064"/>
      <c r="C199" s="1064"/>
      <c r="D199" s="1064"/>
      <c r="E199" s="1064"/>
      <c r="F199" s="1064"/>
      <c r="G199" s="1352"/>
      <c r="H199" s="1064"/>
      <c r="I199" s="1064"/>
      <c r="J199" s="1064"/>
      <c r="L199" s="1353" t="s">
        <v>699</v>
      </c>
    </row>
    <row r="200" s="920" customFormat="true" ht="30" hidden="false" customHeight="true" outlineLevel="0" collapsed="false">
      <c r="A200" s="1354" t="s">
        <v>369</v>
      </c>
      <c r="B200" s="1355" t="s">
        <v>700</v>
      </c>
      <c r="C200" s="1356" t="s">
        <v>701</v>
      </c>
      <c r="D200" s="1414" t="s">
        <v>702</v>
      </c>
      <c r="E200" s="1415" t="s">
        <v>739</v>
      </c>
      <c r="F200" s="1416" t="s">
        <v>721</v>
      </c>
      <c r="G200" s="1417" t="s">
        <v>704</v>
      </c>
      <c r="H200" s="1357" t="s">
        <v>705</v>
      </c>
      <c r="I200" s="1357" t="s">
        <v>706</v>
      </c>
      <c r="J200" s="1359" t="s">
        <v>707</v>
      </c>
      <c r="L200" s="1360" t="s">
        <v>708</v>
      </c>
    </row>
    <row r="201" customFormat="false" ht="32.25" hidden="false" customHeight="true" outlineLevel="0" collapsed="false">
      <c r="A201" s="1418" t="s">
        <v>722</v>
      </c>
      <c r="B201" s="1362" t="n">
        <f aca="false">B207-B203-B205</f>
        <v>265939995</v>
      </c>
      <c r="C201" s="1363" t="n">
        <f aca="false">ROUNDDOWN(B201*C202/B202,0)</f>
        <v>234468999</v>
      </c>
      <c r="D201" s="1419" t="n">
        <f aca="false">ROUNDDOWN(B201*D202/B202,0)</f>
        <v>11700754</v>
      </c>
      <c r="E201" s="1420" t="n">
        <f aca="false">ROUNDDOWN(B201*E202/B202,0)</f>
        <v>4135611</v>
      </c>
      <c r="F201" s="1421" t="n">
        <f aca="false">ROUNDDOWN(B201*F202/B202,0)</f>
        <v>252171</v>
      </c>
      <c r="G201" s="1421" t="n">
        <f aca="false">ROUNDDOWN(B201*G202/B202,0)</f>
        <v>2773885</v>
      </c>
      <c r="H201" s="1421" t="n">
        <f aca="false">ROUNDDOWN(B201*H202/B202,0)</f>
        <v>504342</v>
      </c>
      <c r="I201" s="1421" t="n">
        <f aca="false">ROUNDDOWN(B201*I202/B202,0)</f>
        <v>60521</v>
      </c>
      <c r="J201" s="1422" t="n">
        <f aca="false">B201-C201-D201-E201-F201-G201-H201-I201</f>
        <v>12043712</v>
      </c>
      <c r="L201" s="1423" t="n">
        <f aca="false">SUM(I201:J201)</f>
        <v>12104233</v>
      </c>
    </row>
    <row r="202" s="1511" customFormat="true" ht="15" hidden="false" customHeight="true" outlineLevel="0" collapsed="false">
      <c r="A202" s="1504" t="s">
        <v>710</v>
      </c>
      <c r="B202" s="1438" t="n">
        <f aca="false">SUM(C202:J202)</f>
        <v>52.73</v>
      </c>
      <c r="C202" s="1520" t="n">
        <f aca="false">$C$16</f>
        <v>46.49</v>
      </c>
      <c r="D202" s="1440" t="n">
        <f aca="false">$D$16</f>
        <v>2.32</v>
      </c>
      <c r="E202" s="1521" t="n">
        <f aca="false">$E$16</f>
        <v>0.82</v>
      </c>
      <c r="F202" s="1522" t="n">
        <f aca="false">$F$16</f>
        <v>0.05</v>
      </c>
      <c r="G202" s="1522" t="n">
        <f aca="false">$G$16</f>
        <v>0.55</v>
      </c>
      <c r="H202" s="1523" t="n">
        <f aca="false">$H$16</f>
        <v>0.1</v>
      </c>
      <c r="I202" s="1524" t="n">
        <f aca="false">$I$16</f>
        <v>0.012</v>
      </c>
      <c r="J202" s="1525" t="n">
        <f aca="false">$J$16</f>
        <v>2.388</v>
      </c>
      <c r="K202" s="1381"/>
      <c r="L202" s="1432" t="n">
        <f aca="false">SUM(I202:J202)</f>
        <v>2.4</v>
      </c>
    </row>
    <row r="203" customFormat="false" ht="32.25" hidden="false" customHeight="true" outlineLevel="0" collapsed="false">
      <c r="A203" s="1361" t="s">
        <v>723</v>
      </c>
      <c r="B203" s="1362" t="n">
        <f aca="false">'☆掛負収入'!I436+'☆掛負収入'!I437</f>
        <v>94148721</v>
      </c>
      <c r="C203" s="1363" t="n">
        <f aca="false">ROUNDDOWN((B203-E203)/B204*C204,0)</f>
        <v>84309554</v>
      </c>
      <c r="D203" s="1433" t="n">
        <f aca="false">ROUNDDOWN((B203-E203)/B204*D204,0)</f>
        <v>4207316</v>
      </c>
      <c r="E203" s="1434" t="n">
        <f aca="false">ROUNDDOWN(B214*E188/1000,0)</f>
        <v>10004</v>
      </c>
      <c r="F203" s="1363" t="n">
        <f aca="false">ROUNDDOWN((B203-E203)/B204*F204,0)</f>
        <v>90674</v>
      </c>
      <c r="G203" s="1363" t="n">
        <f aca="false">ROUNDDOWN((B203-E203)/B204*G204,0)</f>
        <v>997424</v>
      </c>
      <c r="H203" s="1384" t="n">
        <f aca="false">ROUNDDOWN((B203-E203)/B204*H204,0)</f>
        <v>181349</v>
      </c>
      <c r="I203" s="1384" t="n">
        <f aca="false">ROUNDDOWN((B203-E203)/B204*I204,0)</f>
        <v>21761</v>
      </c>
      <c r="J203" s="1435" t="n">
        <f aca="false">B203-C203-D203-E203-F203-G203-H203-I203</f>
        <v>4330639</v>
      </c>
      <c r="K203" s="1379" t="s">
        <v>711</v>
      </c>
      <c r="L203" s="1436" t="n">
        <f aca="false">SUM(I203:J203)</f>
        <v>4352400</v>
      </c>
    </row>
    <row r="204" s="1381" customFormat="true" ht="15" hidden="false" customHeight="true" outlineLevel="0" collapsed="false">
      <c r="A204" s="1526" t="s">
        <v>710</v>
      </c>
      <c r="B204" s="1438" t="n">
        <f aca="false">SUM(C204:J204)</f>
        <v>51.91</v>
      </c>
      <c r="C204" s="1439" t="n">
        <f aca="false">C202</f>
        <v>46.49</v>
      </c>
      <c r="D204" s="1440" t="n">
        <f aca="false">D202</f>
        <v>2.32</v>
      </c>
      <c r="E204" s="1441" t="s">
        <v>724</v>
      </c>
      <c r="F204" s="1442" t="n">
        <f aca="false">F202</f>
        <v>0.05</v>
      </c>
      <c r="G204" s="1442" t="n">
        <f aca="false">G202</f>
        <v>0.55</v>
      </c>
      <c r="H204" s="1443" t="n">
        <f aca="false">H202</f>
        <v>0.1</v>
      </c>
      <c r="I204" s="1444" t="n">
        <f aca="false">I202</f>
        <v>0.012</v>
      </c>
      <c r="J204" s="1445" t="n">
        <f aca="false">J202</f>
        <v>2.388</v>
      </c>
      <c r="K204" s="1379"/>
      <c r="L204" s="1446" t="n">
        <f aca="false">SUM(I204:J204)</f>
        <v>2.4</v>
      </c>
    </row>
    <row r="205" customFormat="false" ht="32.25" hidden="false" customHeight="true" outlineLevel="0" collapsed="false">
      <c r="A205" s="1447" t="s">
        <v>725</v>
      </c>
      <c r="B205" s="1362" t="n">
        <f aca="false">'☆掛負収入'!I453+E205</f>
        <v>50111</v>
      </c>
      <c r="C205" s="1363" t="n">
        <f aca="false">ROUNDDOWN((B205-E205)/B206*C206,0)</f>
        <v>44629</v>
      </c>
      <c r="D205" s="1433" t="n">
        <f aca="false">ROUNDDOWN((B205-E205)/B206*D206,0)</f>
        <v>2227</v>
      </c>
      <c r="E205" s="1448" t="n">
        <f aca="false">'☆労組公的負担（短期）'!F12</f>
        <v>278</v>
      </c>
      <c r="F205" s="1363" t="n">
        <f aca="false">ROUNDDOWN((B205-E205)/B206*F206,0)</f>
        <v>47</v>
      </c>
      <c r="G205" s="1363" t="n">
        <f aca="false">ROUNDDOWN((B205-E205)/B206*G206,0)</f>
        <v>527</v>
      </c>
      <c r="H205" s="1384" t="n">
        <f aca="false">H207-H201-H203</f>
        <v>98</v>
      </c>
      <c r="I205" s="1384" t="n">
        <f aca="false">I207-I201-I203</f>
        <v>13</v>
      </c>
      <c r="J205" s="1435" t="n">
        <f aca="false">B205-C205-D205-E205-F205-G205-H205-I205</f>
        <v>2292</v>
      </c>
      <c r="L205" s="1436" t="n">
        <f aca="false">SUM(I205:J205)</f>
        <v>2305</v>
      </c>
    </row>
    <row r="206" s="1381" customFormat="true" ht="15" hidden="false" customHeight="true" outlineLevel="0" collapsed="false">
      <c r="A206" s="1512" t="s">
        <v>710</v>
      </c>
      <c r="B206" s="1449" t="n">
        <f aca="false">SUM(C206:J206)</f>
        <v>51.91</v>
      </c>
      <c r="C206" s="1439" t="n">
        <f aca="false">C202</f>
        <v>46.49</v>
      </c>
      <c r="D206" s="1440" t="n">
        <f aca="false">D202</f>
        <v>2.32</v>
      </c>
      <c r="E206" s="1450" t="s">
        <v>726</v>
      </c>
      <c r="F206" s="1451" t="n">
        <f aca="false">F202</f>
        <v>0.05</v>
      </c>
      <c r="G206" s="1451" t="n">
        <f aca="false">G202</f>
        <v>0.55</v>
      </c>
      <c r="H206" s="1452" t="n">
        <f aca="false">H202</f>
        <v>0.1</v>
      </c>
      <c r="I206" s="1453" t="n">
        <f aca="false">I202</f>
        <v>0.012</v>
      </c>
      <c r="J206" s="1454" t="n">
        <f aca="false">J202</f>
        <v>2.388</v>
      </c>
      <c r="L206" s="1455" t="n">
        <f aca="false">SUM(I206:J206)</f>
        <v>2.4</v>
      </c>
    </row>
    <row r="207" customFormat="false" ht="30" hidden="false" customHeight="true" outlineLevel="0" collapsed="false">
      <c r="A207" s="1399" t="s">
        <v>650</v>
      </c>
      <c r="B207" s="1456" t="n">
        <f aca="false">'☆掛負収入'!I455</f>
        <v>360138827</v>
      </c>
      <c r="C207" s="1457" t="n">
        <f aca="false">C201+C203+C205</f>
        <v>318823182</v>
      </c>
      <c r="D207" s="1458" t="n">
        <f aca="false">D201+D203+D205</f>
        <v>15910297</v>
      </c>
      <c r="E207" s="1459" t="n">
        <f aca="false">E201+E203+E205</f>
        <v>4145893</v>
      </c>
      <c r="F207" s="1460" t="n">
        <f aca="false">F201+F203+F205</f>
        <v>342892</v>
      </c>
      <c r="G207" s="1460" t="n">
        <f aca="false">G201+G203+G205</f>
        <v>3771836</v>
      </c>
      <c r="H207" s="1460" t="n">
        <f aca="false">ROUNDDOWN(B212*H188/1000,0)-H196</f>
        <v>685789</v>
      </c>
      <c r="I207" s="1460" t="n">
        <f aca="false">ROUNDDOWN(B212*I188/1000,0)-I196</f>
        <v>82295</v>
      </c>
      <c r="J207" s="1527" t="n">
        <f aca="false">J201+J203+J205</f>
        <v>16376643</v>
      </c>
      <c r="L207" s="1463" t="n">
        <f aca="false">SUM(I207:J207)</f>
        <v>16458938</v>
      </c>
    </row>
    <row r="208" s="1407" customFormat="true" ht="20.1" hidden="false" customHeight="true" outlineLevel="0" collapsed="false">
      <c r="C208" s="1407" t="s">
        <v>713</v>
      </c>
      <c r="D208" s="1407" t="s">
        <v>714</v>
      </c>
      <c r="E208" s="1407" t="s">
        <v>714</v>
      </c>
      <c r="F208" s="1407" t="s">
        <v>715</v>
      </c>
      <c r="G208" s="1407" t="s">
        <v>716</v>
      </c>
      <c r="H208" s="1407" t="s">
        <v>717</v>
      </c>
      <c r="I208" s="1407" t="s">
        <v>718</v>
      </c>
      <c r="J208" s="1407" t="s">
        <v>719</v>
      </c>
      <c r="L208" s="1464"/>
    </row>
    <row r="209" s="764" customFormat="true" ht="18.75" hidden="false" customHeight="true" outlineLevel="0" collapsed="false">
      <c r="A209" s="1465" t="s">
        <v>727</v>
      </c>
      <c r="B209" s="1466" t="n">
        <f aca="false">B196+B207</f>
        <v>720589062</v>
      </c>
      <c r="C209" s="1467"/>
      <c r="D209" s="1467"/>
      <c r="E209" s="1467"/>
      <c r="F209" s="1539"/>
      <c r="J209" s="1540" t="s">
        <v>750</v>
      </c>
      <c r="K209" s="1540"/>
      <c r="L209" s="1540"/>
    </row>
    <row r="210" s="764" customFormat="true" ht="18.75" hidden="false" customHeight="true" outlineLevel="0" collapsed="false">
      <c r="A210" s="1477"/>
      <c r="B210" s="1470"/>
      <c r="C210" s="1471" t="s">
        <v>728</v>
      </c>
      <c r="D210" s="1472"/>
      <c r="E210" s="1473"/>
      <c r="F210" s="1474" t="s">
        <v>729</v>
      </c>
      <c r="G210" s="1473"/>
      <c r="H210" s="1475" t="n">
        <f aca="false">G196+G207</f>
        <v>7594582</v>
      </c>
      <c r="I210" s="1476" t="s">
        <v>430</v>
      </c>
      <c r="J210" s="1547" t="s">
        <v>742</v>
      </c>
      <c r="K210" s="1547"/>
      <c r="L210" s="1542" t="n">
        <f aca="false">L130+L161+L192</f>
        <v>49198584</v>
      </c>
    </row>
    <row r="211" s="764" customFormat="true" ht="18.75" hidden="false" customHeight="true" outlineLevel="0" collapsed="false">
      <c r="A211" s="1477" t="s">
        <v>730</v>
      </c>
      <c r="B211" s="1478"/>
      <c r="C211" s="1479"/>
      <c r="D211" s="1480"/>
      <c r="E211" s="1475" t="n">
        <f aca="false">C196+C207</f>
        <v>641949510</v>
      </c>
      <c r="F211" s="1481" t="str">
        <f aca="false">IF(H210='☆拠出金明細R7'!V47,"　","明細と不一致!")</f>
        <v>　</v>
      </c>
      <c r="G211" s="1482" t="n">
        <f aca="false">B212</f>
        <v>6904166000</v>
      </c>
      <c r="H211" s="1483" t="n">
        <f aca="false">G188</f>
        <v>1.1</v>
      </c>
      <c r="I211" s="1475"/>
      <c r="J211" s="1547" t="s">
        <v>743</v>
      </c>
      <c r="K211" s="1547"/>
      <c r="L211" s="1548" t="n">
        <v>0</v>
      </c>
    </row>
    <row r="212" s="764" customFormat="true" ht="18.75" hidden="false" customHeight="true" outlineLevel="0" collapsed="false">
      <c r="A212" s="1484" t="s">
        <v>577</v>
      </c>
      <c r="B212" s="1485" t="n">
        <f aca="false">ROUNDUP(H210/G188*1000,-3)</f>
        <v>6904166000</v>
      </c>
      <c r="C212" s="1471" t="s">
        <v>731</v>
      </c>
      <c r="D212" s="1472"/>
      <c r="E212" s="1486"/>
      <c r="F212" s="1474" t="s">
        <v>732</v>
      </c>
      <c r="G212" s="1473"/>
      <c r="H212" s="1475" t="n">
        <f aca="false">H196+H207</f>
        <v>1380833</v>
      </c>
      <c r="I212" s="1069" t="s">
        <v>431</v>
      </c>
      <c r="J212" s="1547" t="s">
        <v>744</v>
      </c>
      <c r="K212" s="1547"/>
      <c r="L212" s="1542" t="n">
        <f aca="false">L132+L163+L194</f>
        <v>377317</v>
      </c>
    </row>
    <row r="213" s="1381" customFormat="true" ht="18.75" hidden="false" customHeight="true" outlineLevel="0" collapsed="false">
      <c r="A213" s="1484"/>
      <c r="B213" s="1485"/>
      <c r="C213" s="1487"/>
      <c r="D213" s="1480"/>
      <c r="E213" s="1475" t="n">
        <f aca="false">D196+D207+E207</f>
        <v>36181228</v>
      </c>
      <c r="F213" s="1481" t="str">
        <f aca="false">IF(H212='☆拠出金明細R7'!AD46,"　","明細と不一致!")</f>
        <v>　</v>
      </c>
      <c r="G213" s="1482" t="n">
        <f aca="false">B212</f>
        <v>6904166000</v>
      </c>
      <c r="H213" s="1483" t="n">
        <f aca="false">H188</f>
        <v>0.2</v>
      </c>
      <c r="I213" s="1069"/>
      <c r="J213" s="1547" t="s">
        <v>751</v>
      </c>
      <c r="K213" s="1547"/>
      <c r="L213" s="1542" t="n">
        <f aca="false">L139+L141+L170+L172+L201+L203</f>
        <v>49220103</v>
      </c>
    </row>
    <row r="214" customFormat="false" ht="18.75" hidden="false" customHeight="true" outlineLevel="0" collapsed="false">
      <c r="A214" s="1489" t="s">
        <v>733</v>
      </c>
      <c r="B214" s="1490" t="n">
        <v>12200000</v>
      </c>
      <c r="C214" s="1491" t="s">
        <v>734</v>
      </c>
      <c r="D214" s="1493"/>
      <c r="E214" s="1473"/>
      <c r="F214" s="1493" t="s">
        <v>735</v>
      </c>
      <c r="G214" s="1472"/>
      <c r="H214" s="1475" t="n">
        <f aca="false">I196+I207</f>
        <v>165699</v>
      </c>
      <c r="I214" s="1069" t="s">
        <v>432</v>
      </c>
      <c r="J214" s="1549" t="s">
        <v>752</v>
      </c>
      <c r="K214" s="1549"/>
      <c r="L214" s="1544" t="n">
        <f aca="false">L143+L174+L205</f>
        <v>6663</v>
      </c>
    </row>
    <row r="215" customFormat="false" ht="18.75" hidden="false" customHeight="true" outlineLevel="0" collapsed="false">
      <c r="A215" s="1489"/>
      <c r="B215" s="1490"/>
      <c r="C215" s="1494"/>
      <c r="D215" s="1481" t="str">
        <f aca="false">IF(E215='☆拠出金明細R7'!K47,"　","明細と不一致!")</f>
        <v>　</v>
      </c>
      <c r="E215" s="1475" t="n">
        <f aca="false">F207</f>
        <v>342892</v>
      </c>
      <c r="F215" s="1481" t="str">
        <f aca="false">IF(H214='☆拠出金明細R7'!AN47,"　","明細と不一致!")</f>
        <v>　</v>
      </c>
      <c r="G215" s="1482" t="n">
        <f aca="false">B212</f>
        <v>6904166000</v>
      </c>
      <c r="H215" s="1495" t="n">
        <f aca="false">I188</f>
        <v>0.024</v>
      </c>
      <c r="J215" s="1545" t="s">
        <v>375</v>
      </c>
      <c r="K215" s="1545"/>
      <c r="L215" s="1546" t="n">
        <f aca="false">SUM(L210:L214)</f>
        <v>98802667</v>
      </c>
    </row>
    <row r="216" customFormat="false" ht="18.75" hidden="false" customHeight="true" outlineLevel="0" collapsed="false">
      <c r="A216" s="1253"/>
      <c r="B216" s="1496"/>
      <c r="C216" s="1491" t="s">
        <v>736</v>
      </c>
      <c r="D216" s="1493"/>
      <c r="E216" s="1497"/>
      <c r="F216" s="1498" t="s">
        <v>737</v>
      </c>
      <c r="G216" s="1498"/>
      <c r="H216" s="1498"/>
    </row>
    <row r="217" customFormat="false" ht="18.75" hidden="false" customHeight="true" outlineLevel="0" collapsed="false">
      <c r="A217" s="1253"/>
      <c r="B217" s="1496"/>
      <c r="C217" s="1499"/>
      <c r="D217" s="1486"/>
      <c r="E217" s="1475" t="n">
        <f aca="false">J196+J207</f>
        <v>32974318</v>
      </c>
      <c r="F217" s="1498"/>
      <c r="G217" s="1498"/>
      <c r="H217" s="1498"/>
      <c r="I217" s="1535"/>
      <c r="J217" s="1535"/>
      <c r="M217" s="764"/>
    </row>
    <row r="218" s="764" customFormat="true" ht="26.25" hidden="false" customHeight="true" outlineLevel="0" collapsed="false">
      <c r="A218" s="1338" t="n">
        <f aca="false">EOMONTH(A187,1)</f>
        <v>46326</v>
      </c>
      <c r="B218" s="1339" t="s">
        <v>688</v>
      </c>
      <c r="C218" s="1340" t="s">
        <v>689</v>
      </c>
      <c r="D218" s="1105" t="s">
        <v>690</v>
      </c>
      <c r="E218" s="1105" t="s">
        <v>691</v>
      </c>
      <c r="F218" s="1105" t="s">
        <v>692</v>
      </c>
      <c r="G218" s="1105" t="s">
        <v>693</v>
      </c>
      <c r="H218" s="1105" t="s">
        <v>694</v>
      </c>
      <c r="I218" s="1105" t="s">
        <v>695</v>
      </c>
      <c r="J218" s="1341"/>
      <c r="L218" s="1342"/>
      <c r="M218" s="1344"/>
    </row>
    <row r="219" s="1344" customFormat="true" ht="26.25" hidden="false" customHeight="true" outlineLevel="0" collapsed="false">
      <c r="A219" s="1343"/>
      <c r="C219" s="1340"/>
      <c r="D219" s="1501" t="n">
        <f aca="false">$D$2</f>
        <v>4.64</v>
      </c>
      <c r="E219" s="1502" t="n">
        <f aca="false">$E$2</f>
        <v>0.82</v>
      </c>
      <c r="F219" s="1502" t="n">
        <f aca="false">$F$2</f>
        <v>0.05</v>
      </c>
      <c r="G219" s="1502" t="n">
        <f aca="false">$G$2</f>
        <v>1.1</v>
      </c>
      <c r="H219" s="1502" t="n">
        <f aca="false">$H$2</f>
        <v>0.2</v>
      </c>
      <c r="I219" s="1502" t="n">
        <f aca="false">$I$2</f>
        <v>0.024</v>
      </c>
      <c r="J219" s="1348"/>
      <c r="L219" s="1349"/>
      <c r="M219" s="582"/>
    </row>
    <row r="220" customFormat="false" ht="13.9" hidden="false" customHeight="true" outlineLevel="0" collapsed="false">
      <c r="C220" s="1341"/>
      <c r="D220" s="1341"/>
      <c r="E220" s="1341"/>
      <c r="F220" s="1503"/>
      <c r="G220" s="1341"/>
      <c r="H220" s="1341"/>
      <c r="I220" s="1341"/>
      <c r="J220" s="1341"/>
    </row>
    <row r="221" customFormat="false" ht="20.1" hidden="false" customHeight="true" outlineLevel="0" collapsed="false">
      <c r="A221" s="771" t="s">
        <v>698</v>
      </c>
      <c r="G221" s="1352"/>
      <c r="L221" s="1353" t="s">
        <v>699</v>
      </c>
      <c r="M221" s="1197"/>
      <c r="N221" s="1197"/>
      <c r="O221" s="1197"/>
      <c r="P221" s="1197"/>
      <c r="Q221" s="1197"/>
      <c r="R221" s="1197"/>
    </row>
    <row r="222" s="1197" customFormat="true" ht="30" hidden="false" customHeight="true" outlineLevel="0" collapsed="false">
      <c r="A222" s="1354" t="s">
        <v>369</v>
      </c>
      <c r="B222" s="1355" t="s">
        <v>700</v>
      </c>
      <c r="C222" s="1356" t="s">
        <v>701</v>
      </c>
      <c r="D222" s="1357" t="s">
        <v>702</v>
      </c>
      <c r="E222" s="1357"/>
      <c r="F222" s="1358" t="s">
        <v>703</v>
      </c>
      <c r="G222" s="1357" t="s">
        <v>704</v>
      </c>
      <c r="H222" s="1357" t="s">
        <v>705</v>
      </c>
      <c r="I222" s="1357" t="s">
        <v>706</v>
      </c>
      <c r="J222" s="1359" t="s">
        <v>707</v>
      </c>
      <c r="L222" s="1360" t="s">
        <v>708</v>
      </c>
      <c r="M222" s="582"/>
      <c r="N222" s="582"/>
      <c r="O222" s="582"/>
      <c r="P222" s="582"/>
      <c r="Q222" s="582"/>
      <c r="R222" s="582"/>
    </row>
    <row r="223" customFormat="false" ht="32.25" hidden="false" customHeight="true" outlineLevel="0" collapsed="false">
      <c r="A223" s="1361" t="s">
        <v>709</v>
      </c>
      <c r="B223" s="1362" t="n">
        <f aca="false">B227-B225</f>
        <v>365227784</v>
      </c>
      <c r="C223" s="1363" t="n">
        <f aca="false">ROUNDDOWN(B223*C224/B224,0)</f>
        <v>327409172</v>
      </c>
      <c r="D223" s="1364" t="n">
        <f aca="false">ROUNDDOWN(B223*D224/B224,0)</f>
        <v>16338767</v>
      </c>
      <c r="E223" s="1364" t="n">
        <f aca="false">ROUNDDOWN(D223*E224/D224,0)</f>
        <v>0</v>
      </c>
      <c r="F223" s="1365" t="s">
        <v>522</v>
      </c>
      <c r="G223" s="1366" t="n">
        <f aca="false">ROUNDDOWN(B223*G224/B224,0)</f>
        <v>3873414</v>
      </c>
      <c r="H223" s="1367" t="n">
        <f aca="false">ROUNDDOWN(B223*H224/B224,0)</f>
        <v>704257</v>
      </c>
      <c r="I223" s="1364" t="n">
        <f aca="false">ROUNDDOWN(B223*I224/B224,0)</f>
        <v>84510</v>
      </c>
      <c r="J223" s="1368" t="n">
        <f aca="false">B223-C223-D223-G223-H223-I223</f>
        <v>16817664</v>
      </c>
      <c r="L223" s="1369" t="n">
        <f aca="false">SUM(I223:J223)</f>
        <v>16902174</v>
      </c>
      <c r="M223" s="1511"/>
      <c r="N223" s="1511"/>
      <c r="O223" s="1511"/>
      <c r="P223" s="1511"/>
      <c r="Q223" s="1511"/>
      <c r="R223" s="1511"/>
    </row>
    <row r="224" s="1511" customFormat="true" ht="15" hidden="false" customHeight="true" outlineLevel="0" collapsed="false">
      <c r="A224" s="1504" t="s">
        <v>710</v>
      </c>
      <c r="B224" s="1505" t="n">
        <f aca="false">SUM(C224:J224)</f>
        <v>51.86</v>
      </c>
      <c r="C224" s="1506" t="n">
        <f aca="false">$C$7</f>
        <v>46.49</v>
      </c>
      <c r="D224" s="1507" t="n">
        <f aca="false">$D$7</f>
        <v>2.32</v>
      </c>
      <c r="E224" s="1507"/>
      <c r="F224" s="1508" t="s">
        <v>522</v>
      </c>
      <c r="G224" s="1509" t="n">
        <f aca="false">$G$7</f>
        <v>0.55</v>
      </c>
      <c r="H224" s="1442" t="n">
        <f aca="false">$H$7</f>
        <v>0.1</v>
      </c>
      <c r="I224" s="1443" t="n">
        <f aca="false">$I$7</f>
        <v>0.012</v>
      </c>
      <c r="J224" s="1510" t="n">
        <f aca="false">$J$7</f>
        <v>2.388</v>
      </c>
      <c r="K224" s="1379" t="s">
        <v>711</v>
      </c>
      <c r="L224" s="1380" t="n">
        <f aca="false">SUM(I224:J224)</f>
        <v>2.4</v>
      </c>
      <c r="M224" s="582"/>
      <c r="N224" s="582"/>
      <c r="O224" s="582"/>
      <c r="P224" s="582"/>
      <c r="Q224" s="582"/>
      <c r="R224" s="582"/>
    </row>
    <row r="225" customFormat="false" ht="32.25" hidden="false" customHeight="true" outlineLevel="0" collapsed="false">
      <c r="A225" s="1361" t="s">
        <v>712</v>
      </c>
      <c r="B225" s="1362" t="n">
        <f aca="false">'☆短期集計R7'!D32</f>
        <v>2298242</v>
      </c>
      <c r="C225" s="1363" t="n">
        <f aca="false">ROUNDDOWN(B225*C226/B226,0)</f>
        <v>2060263</v>
      </c>
      <c r="D225" s="1382" t="n">
        <f aca="false">ROUNDDOWN(B225*D226/B226,0)</f>
        <v>102813</v>
      </c>
      <c r="E225" s="1382" t="n">
        <f aca="false">ROUNDDOWN(D225*E226/D226,0)</f>
        <v>0</v>
      </c>
      <c r="F225" s="1383" t="s">
        <v>522</v>
      </c>
      <c r="G225" s="1384" t="n">
        <f aca="false">ROUNDDOWN(B225*G226/B226,0)</f>
        <v>24373</v>
      </c>
      <c r="H225" s="1385" t="n">
        <f aca="false">ROUNDDOWN(B225*H226/B226,0)</f>
        <v>4431</v>
      </c>
      <c r="I225" s="1386" t="n">
        <f aca="false">ROUNDDOWN(B225*I226/B226,0)</f>
        <v>531</v>
      </c>
      <c r="J225" s="1387" t="n">
        <f aca="false">B225-C225-D225-G225-H225-I225</f>
        <v>105831</v>
      </c>
      <c r="K225" s="1379"/>
      <c r="L225" s="1388" t="n">
        <f aca="false">SUM(I225:J225)</f>
        <v>106362</v>
      </c>
      <c r="M225" s="1381"/>
      <c r="N225" s="1381"/>
      <c r="O225" s="1381"/>
      <c r="P225" s="1381"/>
      <c r="Q225" s="1381"/>
      <c r="R225" s="1381"/>
    </row>
    <row r="226" s="1381" customFormat="true" ht="15" hidden="false" customHeight="true" outlineLevel="0" collapsed="false">
      <c r="A226" s="1512" t="s">
        <v>710</v>
      </c>
      <c r="B226" s="1449" t="n">
        <f aca="false">SUM(C226:J226)</f>
        <v>103.72</v>
      </c>
      <c r="C226" s="1513" t="n">
        <f aca="false">C224*2</f>
        <v>92.98</v>
      </c>
      <c r="D226" s="1514" t="n">
        <f aca="false">D224*2</f>
        <v>4.64</v>
      </c>
      <c r="E226" s="1514"/>
      <c r="F226" s="1515" t="s">
        <v>522</v>
      </c>
      <c r="G226" s="1516" t="n">
        <f aca="false">G224*2</f>
        <v>1.1</v>
      </c>
      <c r="H226" s="1517" t="n">
        <f aca="false">H224*2</f>
        <v>0.2</v>
      </c>
      <c r="I226" s="1518" t="n">
        <f aca="false">I224*2</f>
        <v>0.024</v>
      </c>
      <c r="J226" s="1519" t="n">
        <f aca="false">J224*2</f>
        <v>4.776</v>
      </c>
      <c r="L226" s="1398" t="n">
        <f aca="false">L224*2</f>
        <v>4.8</v>
      </c>
      <c r="M226" s="582"/>
      <c r="N226" s="582"/>
      <c r="O226" s="582"/>
      <c r="P226" s="582"/>
      <c r="Q226" s="582"/>
      <c r="R226" s="582"/>
    </row>
    <row r="227" customFormat="false" ht="30" hidden="false" customHeight="true" outlineLevel="0" collapsed="false">
      <c r="A227" s="1399" t="s">
        <v>650</v>
      </c>
      <c r="B227" s="1400" t="n">
        <f aca="false">'☆短期集計R7'!B32+'☆短期集計R7'!D32</f>
        <v>367526026</v>
      </c>
      <c r="C227" s="1401" t="n">
        <f aca="false">C223+C225</f>
        <v>329469435</v>
      </c>
      <c r="D227" s="1402" t="n">
        <f aca="false">D223+D225</f>
        <v>16441580</v>
      </c>
      <c r="E227" s="1402"/>
      <c r="F227" s="1403" t="s">
        <v>522</v>
      </c>
      <c r="G227" s="1402" t="n">
        <f aca="false">G223+G225</f>
        <v>3897787</v>
      </c>
      <c r="H227" s="1401" t="n">
        <f aca="false">H223+H225</f>
        <v>708688</v>
      </c>
      <c r="I227" s="1402" t="n">
        <f aca="false">I223+I225</f>
        <v>85041</v>
      </c>
      <c r="J227" s="1404" t="n">
        <f aca="false">J223+J225</f>
        <v>16923495</v>
      </c>
      <c r="L227" s="1405" t="n">
        <f aca="false">L223+L225</f>
        <v>17008536</v>
      </c>
      <c r="M227" s="1406"/>
      <c r="N227" s="1406"/>
      <c r="O227" s="1406"/>
      <c r="P227" s="1406"/>
      <c r="Q227" s="1406"/>
      <c r="R227" s="1406"/>
    </row>
    <row r="228" s="1406" customFormat="true" ht="20.1" hidden="false" customHeight="true" outlineLevel="0" collapsed="false">
      <c r="C228" s="1407" t="s">
        <v>713</v>
      </c>
      <c r="D228" s="1408" t="s">
        <v>714</v>
      </c>
      <c r="E228" s="1408"/>
      <c r="F228" s="1407" t="s">
        <v>715</v>
      </c>
      <c r="G228" s="1407" t="s">
        <v>716</v>
      </c>
      <c r="H228" s="1409" t="s">
        <v>717</v>
      </c>
      <c r="I228" s="1409" t="s">
        <v>718</v>
      </c>
      <c r="J228" s="1409" t="s">
        <v>719</v>
      </c>
      <c r="L228" s="1410"/>
      <c r="M228" s="1064"/>
      <c r="N228" s="1064"/>
      <c r="O228" s="1064"/>
      <c r="P228" s="1064"/>
      <c r="Q228" s="1064"/>
      <c r="R228" s="1064"/>
    </row>
    <row r="229" s="1064" customFormat="true" ht="13.5" hidden="false" customHeight="true" outlineLevel="0" collapsed="false">
      <c r="C229" s="1411"/>
      <c r="D229" s="1412"/>
      <c r="E229" s="1412"/>
      <c r="F229" s="1411"/>
      <c r="G229" s="1412"/>
      <c r="H229" s="1412"/>
      <c r="I229" s="1412"/>
      <c r="J229" s="1412"/>
      <c r="L229" s="1413"/>
      <c r="M229" s="582"/>
      <c r="N229" s="582"/>
      <c r="O229" s="582"/>
      <c r="P229" s="582"/>
      <c r="Q229" s="582"/>
      <c r="R229" s="582"/>
    </row>
    <row r="230" customFormat="false" ht="20.1" hidden="false" customHeight="true" outlineLevel="0" collapsed="false">
      <c r="A230" s="771" t="s">
        <v>230</v>
      </c>
      <c r="B230" s="1064"/>
      <c r="C230" s="1064"/>
      <c r="D230" s="1064"/>
      <c r="E230" s="1064"/>
      <c r="F230" s="1064"/>
      <c r="G230" s="1352"/>
      <c r="H230" s="1064"/>
      <c r="I230" s="1064"/>
      <c r="J230" s="1064"/>
      <c r="L230" s="1353" t="s">
        <v>699</v>
      </c>
      <c r="M230" s="920"/>
      <c r="N230" s="920"/>
      <c r="O230" s="920"/>
      <c r="P230" s="920"/>
      <c r="Q230" s="920"/>
      <c r="R230" s="920"/>
    </row>
    <row r="231" s="920" customFormat="true" ht="30" hidden="false" customHeight="true" outlineLevel="0" collapsed="false">
      <c r="A231" s="1354" t="s">
        <v>369</v>
      </c>
      <c r="B231" s="1355" t="s">
        <v>700</v>
      </c>
      <c r="C231" s="1356" t="s">
        <v>701</v>
      </c>
      <c r="D231" s="1414" t="s">
        <v>702</v>
      </c>
      <c r="E231" s="1415" t="s">
        <v>739</v>
      </c>
      <c r="F231" s="1416" t="s">
        <v>721</v>
      </c>
      <c r="G231" s="1417" t="s">
        <v>704</v>
      </c>
      <c r="H231" s="1357" t="s">
        <v>705</v>
      </c>
      <c r="I231" s="1357" t="s">
        <v>706</v>
      </c>
      <c r="J231" s="1359" t="s">
        <v>707</v>
      </c>
      <c r="L231" s="1360" t="s">
        <v>708</v>
      </c>
      <c r="M231" s="582"/>
      <c r="N231" s="582"/>
      <c r="O231" s="582"/>
      <c r="P231" s="582"/>
      <c r="Q231" s="582"/>
      <c r="R231" s="582"/>
    </row>
    <row r="232" customFormat="false" ht="32.25" hidden="false" customHeight="true" outlineLevel="0" collapsed="false">
      <c r="A232" s="1418" t="s">
        <v>722</v>
      </c>
      <c r="B232" s="1362" t="n">
        <f aca="false">B238-B234-B236</f>
        <v>273549495</v>
      </c>
      <c r="C232" s="1363" t="n">
        <f aca="false">ROUNDDOWN(B232*C233/B233,0)</f>
        <v>241178001</v>
      </c>
      <c r="D232" s="1419" t="n">
        <f aca="false">ROUNDDOWN(B232*D233/B233,0)</f>
        <v>12035555</v>
      </c>
      <c r="E232" s="1420" t="n">
        <f aca="false">ROUNDDOWN(B232*E233/B233,0)</f>
        <v>4253946</v>
      </c>
      <c r="F232" s="1421" t="n">
        <f aca="false">ROUNDDOWN(B232*F233/B233,0)</f>
        <v>259386</v>
      </c>
      <c r="G232" s="1421" t="n">
        <f aca="false">ROUNDDOWN(B232*G233/B233,0)</f>
        <v>2853256</v>
      </c>
      <c r="H232" s="1421" t="n">
        <f aca="false">ROUNDDOWN(B232*H233/B233,0)</f>
        <v>518773</v>
      </c>
      <c r="I232" s="1421" t="n">
        <f aca="false">ROUNDDOWN(B232*I233/B233,0)</f>
        <v>62252</v>
      </c>
      <c r="J232" s="1422" t="n">
        <f aca="false">B232-C232-D232-E232-F232-G232-H232-I232</f>
        <v>12388326</v>
      </c>
      <c r="L232" s="1423" t="n">
        <f aca="false">SUM(I232:J232)</f>
        <v>12450578</v>
      </c>
      <c r="M232" s="1511"/>
      <c r="N232" s="1511"/>
      <c r="O232" s="1511"/>
      <c r="P232" s="1511"/>
      <c r="Q232" s="1511"/>
      <c r="R232" s="1511"/>
    </row>
    <row r="233" s="1511" customFormat="true" ht="15" hidden="false" customHeight="true" outlineLevel="0" collapsed="false">
      <c r="A233" s="1504" t="s">
        <v>710</v>
      </c>
      <c r="B233" s="1438" t="n">
        <f aca="false">SUM(C233:J233)</f>
        <v>52.73</v>
      </c>
      <c r="C233" s="1520" t="n">
        <f aca="false">$C$16</f>
        <v>46.49</v>
      </c>
      <c r="D233" s="1440" t="n">
        <f aca="false">$D$16</f>
        <v>2.32</v>
      </c>
      <c r="E233" s="1521" t="n">
        <f aca="false">$E$16</f>
        <v>0.82</v>
      </c>
      <c r="F233" s="1522" t="n">
        <f aca="false">$F$16</f>
        <v>0.05</v>
      </c>
      <c r="G233" s="1522" t="n">
        <f aca="false">$G$16</f>
        <v>0.55</v>
      </c>
      <c r="H233" s="1523" t="n">
        <f aca="false">$H$16</f>
        <v>0.1</v>
      </c>
      <c r="I233" s="1524" t="n">
        <f aca="false">$I$16</f>
        <v>0.012</v>
      </c>
      <c r="J233" s="1525" t="n">
        <f aca="false">$J$16</f>
        <v>2.388</v>
      </c>
      <c r="K233" s="1381"/>
      <c r="L233" s="1432" t="n">
        <f aca="false">SUM(I233:J233)</f>
        <v>2.4</v>
      </c>
      <c r="M233" s="582"/>
      <c r="N233" s="582"/>
      <c r="O233" s="582"/>
      <c r="P233" s="582"/>
      <c r="Q233" s="582"/>
      <c r="R233" s="582"/>
    </row>
    <row r="234" customFormat="false" ht="32.25" hidden="false" customHeight="true" outlineLevel="0" collapsed="false">
      <c r="A234" s="1361" t="s">
        <v>723</v>
      </c>
      <c r="B234" s="1362" t="n">
        <f aca="false">'☆掛負収入'!I501+'☆掛負収入'!I502</f>
        <v>96649939</v>
      </c>
      <c r="C234" s="1363" t="n">
        <f aca="false">ROUNDDOWN((B234-E234)/B235*C235,0)</f>
        <v>86548933</v>
      </c>
      <c r="D234" s="1433" t="n">
        <f aca="false">ROUNDDOWN((B234-E234)/B235*D235,0)</f>
        <v>4319069</v>
      </c>
      <c r="E234" s="1434" t="n">
        <f aca="false">ROUNDDOWN(B245*E219/1000,0)</f>
        <v>10766</v>
      </c>
      <c r="F234" s="1363" t="n">
        <f aca="false">ROUNDDOWN((B234-E234)/B235*F235,0)</f>
        <v>93083</v>
      </c>
      <c r="G234" s="1363" t="n">
        <f aca="false">ROUNDDOWN((B234-E234)/B235*G235,0)</f>
        <v>1023917</v>
      </c>
      <c r="H234" s="1384" t="n">
        <f aca="false">ROUNDDOWN((B234-E234)/B235*H235,0)</f>
        <v>186166</v>
      </c>
      <c r="I234" s="1384" t="n">
        <f aca="false">ROUNDDOWN((B234-E234)/B235*I235,0)</f>
        <v>22340</v>
      </c>
      <c r="J234" s="1435" t="n">
        <f aca="false">B234-C234-D234-E234-F234-G234-H234-I234</f>
        <v>4445665</v>
      </c>
      <c r="K234" s="1379" t="s">
        <v>711</v>
      </c>
      <c r="L234" s="1436" t="n">
        <f aca="false">SUM(I234:J234)</f>
        <v>4468005</v>
      </c>
      <c r="M234" s="1381"/>
      <c r="N234" s="1381"/>
      <c r="O234" s="1381"/>
      <c r="P234" s="1381"/>
      <c r="Q234" s="1381"/>
      <c r="R234" s="1381"/>
    </row>
    <row r="235" s="1381" customFormat="true" ht="15" hidden="false" customHeight="true" outlineLevel="0" collapsed="false">
      <c r="A235" s="1526" t="s">
        <v>710</v>
      </c>
      <c r="B235" s="1438" t="n">
        <f aca="false">SUM(C235:J235)</f>
        <v>51.91</v>
      </c>
      <c r="C235" s="1439" t="n">
        <f aca="false">C233</f>
        <v>46.49</v>
      </c>
      <c r="D235" s="1440" t="n">
        <f aca="false">D233</f>
        <v>2.32</v>
      </c>
      <c r="E235" s="1441" t="s">
        <v>724</v>
      </c>
      <c r="F235" s="1442" t="n">
        <f aca="false">F233</f>
        <v>0.05</v>
      </c>
      <c r="G235" s="1442" t="n">
        <f aca="false">G233</f>
        <v>0.55</v>
      </c>
      <c r="H235" s="1443" t="n">
        <f aca="false">H233</f>
        <v>0.1</v>
      </c>
      <c r="I235" s="1444" t="n">
        <f aca="false">I233</f>
        <v>0.012</v>
      </c>
      <c r="J235" s="1445" t="n">
        <f aca="false">J233</f>
        <v>2.388</v>
      </c>
      <c r="K235" s="1379"/>
      <c r="L235" s="1446" t="n">
        <f aca="false">SUM(I235:J235)</f>
        <v>2.4</v>
      </c>
      <c r="M235" s="582"/>
      <c r="N235" s="582"/>
      <c r="O235" s="582"/>
      <c r="P235" s="582"/>
      <c r="Q235" s="582"/>
      <c r="R235" s="582"/>
    </row>
    <row r="236" customFormat="false" ht="32.25" hidden="false" customHeight="true" outlineLevel="0" collapsed="false">
      <c r="A236" s="1447" t="s">
        <v>725</v>
      </c>
      <c r="B236" s="1362" t="n">
        <f aca="false">'☆掛負収入'!I518+E236</f>
        <v>50081</v>
      </c>
      <c r="C236" s="1363" t="n">
        <f aca="false">ROUNDDOWN((B236-E236)/B237*C237,0)</f>
        <v>44617</v>
      </c>
      <c r="D236" s="1433" t="n">
        <f aca="false">ROUNDDOWN((B236-E236)/B237*D237,0)</f>
        <v>2226</v>
      </c>
      <c r="E236" s="1448" t="n">
        <f aca="false">'☆労組公的負担（短期）'!F13</f>
        <v>262</v>
      </c>
      <c r="F236" s="1363" t="n">
        <f aca="false">ROUNDDOWN((B236-E236)/B237*F237,0)</f>
        <v>47</v>
      </c>
      <c r="G236" s="1363" t="n">
        <f aca="false">ROUNDDOWN((B236-E236)/B237*G237,0)</f>
        <v>527</v>
      </c>
      <c r="H236" s="1384" t="n">
        <f aca="false">H238-H232-H234</f>
        <v>98</v>
      </c>
      <c r="I236" s="1384" t="n">
        <f aca="false">I238-I232-I234</f>
        <v>14</v>
      </c>
      <c r="J236" s="1435" t="n">
        <f aca="false">B236-C236-D236-E236-F236-G236-H236-I236</f>
        <v>2290</v>
      </c>
      <c r="L236" s="1436" t="n">
        <f aca="false">SUM(I236:J236)</f>
        <v>2304</v>
      </c>
      <c r="M236" s="1381"/>
      <c r="N236" s="1381"/>
      <c r="O236" s="1381"/>
      <c r="P236" s="1381"/>
      <c r="Q236" s="1381"/>
      <c r="R236" s="1381"/>
    </row>
    <row r="237" s="1381" customFormat="true" ht="15" hidden="false" customHeight="true" outlineLevel="0" collapsed="false">
      <c r="A237" s="1512" t="s">
        <v>710</v>
      </c>
      <c r="B237" s="1449" t="n">
        <f aca="false">SUM(C237:J237)</f>
        <v>51.91</v>
      </c>
      <c r="C237" s="1439" t="n">
        <f aca="false">C233</f>
        <v>46.49</v>
      </c>
      <c r="D237" s="1440" t="n">
        <f aca="false">D233</f>
        <v>2.32</v>
      </c>
      <c r="E237" s="1450" t="s">
        <v>726</v>
      </c>
      <c r="F237" s="1451" t="n">
        <f aca="false">F233</f>
        <v>0.05</v>
      </c>
      <c r="G237" s="1451" t="n">
        <f aca="false">G233</f>
        <v>0.55</v>
      </c>
      <c r="H237" s="1452" t="n">
        <f aca="false">H233</f>
        <v>0.1</v>
      </c>
      <c r="I237" s="1453" t="n">
        <f aca="false">I233</f>
        <v>0.012</v>
      </c>
      <c r="J237" s="1454" t="n">
        <f aca="false">J233</f>
        <v>2.388</v>
      </c>
      <c r="L237" s="1455" t="n">
        <f aca="false">SUM(I237:J237)</f>
        <v>2.4</v>
      </c>
      <c r="M237" s="582"/>
      <c r="N237" s="582"/>
      <c r="O237" s="582"/>
      <c r="P237" s="582"/>
      <c r="Q237" s="582"/>
      <c r="R237" s="582"/>
    </row>
    <row r="238" customFormat="false" ht="30" hidden="false" customHeight="true" outlineLevel="0" collapsed="false">
      <c r="A238" s="1399" t="s">
        <v>650</v>
      </c>
      <c r="B238" s="1456" t="n">
        <f aca="false">'☆掛負収入'!I520</f>
        <v>370249515</v>
      </c>
      <c r="C238" s="1457" t="n">
        <f aca="false">C232+C234+C236</f>
        <v>327771551</v>
      </c>
      <c r="D238" s="1458" t="n">
        <f aca="false">D232+D234+D236</f>
        <v>16356850</v>
      </c>
      <c r="E238" s="1459" t="n">
        <f aca="false">E232+E234+E236</f>
        <v>4264974</v>
      </c>
      <c r="F238" s="1460" t="n">
        <f aca="false">F232+F234+F236</f>
        <v>352516</v>
      </c>
      <c r="G238" s="1460" t="n">
        <f aca="false">G232+G234+G236</f>
        <v>3877700</v>
      </c>
      <c r="H238" s="1460" t="n">
        <f aca="false">ROUNDDOWN(B243*H219/1000,0)-H227</f>
        <v>705037</v>
      </c>
      <c r="I238" s="1460" t="n">
        <f aca="false">ROUNDDOWN(B243*I219/1000,0)-I227</f>
        <v>84606</v>
      </c>
      <c r="J238" s="1461" t="n">
        <f aca="false">J232+J234+J236</f>
        <v>16836281</v>
      </c>
      <c r="K238" s="1462"/>
      <c r="L238" s="1463" t="n">
        <f aca="false">SUM(I238:J238)</f>
        <v>16920887</v>
      </c>
      <c r="M238" s="1407"/>
      <c r="N238" s="1407"/>
      <c r="O238" s="1407"/>
      <c r="P238" s="1407"/>
      <c r="Q238" s="1407"/>
      <c r="R238" s="1407"/>
    </row>
    <row r="239" s="1407" customFormat="true" ht="20.1" hidden="false" customHeight="true" outlineLevel="0" collapsed="false">
      <c r="C239" s="1407" t="s">
        <v>713</v>
      </c>
      <c r="D239" s="1407" t="s">
        <v>714</v>
      </c>
      <c r="E239" s="1407" t="s">
        <v>714</v>
      </c>
      <c r="F239" s="1407" t="s">
        <v>715</v>
      </c>
      <c r="G239" s="1407" t="s">
        <v>716</v>
      </c>
      <c r="H239" s="1407" t="s">
        <v>717</v>
      </c>
      <c r="I239" s="1407" t="s">
        <v>718</v>
      </c>
      <c r="J239" s="1407" t="s">
        <v>719</v>
      </c>
      <c r="L239" s="1464"/>
      <c r="M239" s="764"/>
      <c r="N239" s="764"/>
      <c r="O239" s="764"/>
      <c r="P239" s="764"/>
      <c r="Q239" s="764"/>
      <c r="R239" s="764"/>
    </row>
    <row r="240" s="764" customFormat="true" ht="18.75" hidden="false" customHeight="true" outlineLevel="0" collapsed="false">
      <c r="A240" s="1465" t="s">
        <v>727</v>
      </c>
      <c r="B240" s="1466" t="n">
        <f aca="false">B227+B238</f>
        <v>737775541</v>
      </c>
      <c r="C240" s="1467"/>
      <c r="D240" s="1467"/>
      <c r="E240" s="1467"/>
      <c r="K240" s="1342"/>
    </row>
    <row r="241" s="764" customFormat="true" ht="18.75" hidden="false" customHeight="true" outlineLevel="0" collapsed="false">
      <c r="A241" s="1477"/>
      <c r="B241" s="1470"/>
      <c r="C241" s="1471" t="s">
        <v>728</v>
      </c>
      <c r="D241" s="1472"/>
      <c r="E241" s="1473"/>
      <c r="F241" s="1474" t="s">
        <v>729</v>
      </c>
      <c r="G241" s="1473"/>
      <c r="H241" s="1475" t="n">
        <f aca="false">G227+G238</f>
        <v>7775487</v>
      </c>
      <c r="I241" s="1476" t="s">
        <v>430</v>
      </c>
      <c r="J241" s="1550"/>
      <c r="K241" s="1342"/>
    </row>
    <row r="242" s="764" customFormat="true" ht="18.75" hidden="false" customHeight="true" outlineLevel="0" collapsed="false">
      <c r="A242" s="1477" t="s">
        <v>730</v>
      </c>
      <c r="B242" s="1478"/>
      <c r="C242" s="1479"/>
      <c r="D242" s="1480"/>
      <c r="E242" s="1475" t="n">
        <f aca="false">C227+C238</f>
        <v>657240986</v>
      </c>
      <c r="F242" s="1481" t="str">
        <f aca="false">IF(H241='☆拠出金明細R7'!V79,"　","明細と不一致!")</f>
        <v>　</v>
      </c>
      <c r="G242" s="1482" t="n">
        <f aca="false">B243</f>
        <v>7068625000</v>
      </c>
      <c r="H242" s="1483" t="n">
        <f aca="false">G219</f>
        <v>1.1</v>
      </c>
      <c r="I242" s="1475"/>
      <c r="J242" s="1550"/>
      <c r="K242" s="1342"/>
    </row>
    <row r="243" s="764" customFormat="true" ht="18.75" hidden="false" customHeight="true" outlineLevel="0" collapsed="false">
      <c r="A243" s="1484" t="s">
        <v>577</v>
      </c>
      <c r="B243" s="1485" t="n">
        <f aca="false">ROUNDUP(H241/G219*1000,-3)</f>
        <v>7068625000</v>
      </c>
      <c r="C243" s="1471" t="s">
        <v>731</v>
      </c>
      <c r="D243" s="1472"/>
      <c r="E243" s="1486"/>
      <c r="F243" s="1474" t="s">
        <v>732</v>
      </c>
      <c r="G243" s="1473"/>
      <c r="H243" s="1475" t="n">
        <f aca="false">H227+H238</f>
        <v>1413725</v>
      </c>
      <c r="I243" s="1069" t="s">
        <v>431</v>
      </c>
      <c r="K243" s="1342"/>
      <c r="L243" s="1381"/>
      <c r="M243" s="1381"/>
      <c r="N243" s="1381"/>
      <c r="O243" s="1381"/>
      <c r="P243" s="1381"/>
      <c r="Q243" s="1381"/>
    </row>
    <row r="244" s="1381" customFormat="true" ht="18.75" hidden="false" customHeight="true" outlineLevel="0" collapsed="false">
      <c r="A244" s="1484"/>
      <c r="B244" s="1485"/>
      <c r="C244" s="1487"/>
      <c r="D244" s="1480"/>
      <c r="E244" s="1475" t="n">
        <f aca="false">D227+D238+E238</f>
        <v>37063404</v>
      </c>
      <c r="F244" s="1481" t="str">
        <f aca="false">IF(H243='☆拠出金明細R7'!AD76,"　","明細と不一致!")</f>
        <v>　</v>
      </c>
      <c r="G244" s="1482" t="n">
        <f aca="false">B243</f>
        <v>7068625000</v>
      </c>
      <c r="H244" s="1483" t="n">
        <f aca="false">H219</f>
        <v>0.2</v>
      </c>
      <c r="I244" s="1069"/>
      <c r="K244" s="1488"/>
      <c r="L244" s="582"/>
      <c r="M244" s="582"/>
      <c r="N244" s="582"/>
      <c r="O244" s="582"/>
      <c r="P244" s="582"/>
      <c r="Q244" s="582"/>
    </row>
    <row r="245" customFormat="false" ht="18.75" hidden="false" customHeight="true" outlineLevel="0" collapsed="false">
      <c r="A245" s="1489" t="s">
        <v>733</v>
      </c>
      <c r="B245" s="1490" t="n">
        <v>13130000</v>
      </c>
      <c r="C245" s="1491" t="s">
        <v>734</v>
      </c>
      <c r="D245" s="1493"/>
      <c r="E245" s="1473"/>
      <c r="F245" s="1493" t="s">
        <v>735</v>
      </c>
      <c r="G245" s="1472"/>
      <c r="H245" s="1475" t="n">
        <f aca="false">I227+I238</f>
        <v>169647</v>
      </c>
      <c r="I245" s="1069" t="s">
        <v>432</v>
      </c>
      <c r="K245" s="1337"/>
      <c r="L245" s="582"/>
    </row>
    <row r="246" customFormat="false" ht="18.75" hidden="false" customHeight="true" outlineLevel="0" collapsed="false">
      <c r="A246" s="1489"/>
      <c r="B246" s="1490"/>
      <c r="C246" s="1494"/>
      <c r="D246" s="1481" t="str">
        <f aca="false">IF(E246='☆拠出金明細R7'!K79,"　","明細と不一致!")</f>
        <v>　</v>
      </c>
      <c r="E246" s="1475" t="n">
        <f aca="false">F238</f>
        <v>352516</v>
      </c>
      <c r="F246" s="1481" t="str">
        <f aca="false">IF(H245='☆拠出金明細R7'!AN79,"　","明細と不一致!")</f>
        <v>　</v>
      </c>
      <c r="G246" s="1482" t="n">
        <f aca="false">B243</f>
        <v>7068625000</v>
      </c>
      <c r="H246" s="1495" t="n">
        <f aca="false">I219</f>
        <v>0.024</v>
      </c>
      <c r="K246" s="1337"/>
      <c r="L246" s="582"/>
    </row>
    <row r="247" customFormat="false" ht="18.75" hidden="false" customHeight="true" outlineLevel="0" collapsed="false">
      <c r="A247" s="1253"/>
      <c r="B247" s="1496"/>
      <c r="C247" s="1491" t="s">
        <v>736</v>
      </c>
      <c r="D247" s="1493"/>
      <c r="E247" s="1497"/>
      <c r="F247" s="1498" t="s">
        <v>737</v>
      </c>
      <c r="G247" s="1498"/>
      <c r="H247" s="1498"/>
      <c r="K247" s="1337"/>
      <c r="L247" s="582"/>
    </row>
    <row r="248" customFormat="false" ht="18.75" hidden="false" customHeight="true" outlineLevel="0" collapsed="false">
      <c r="A248" s="1253"/>
      <c r="B248" s="1496"/>
      <c r="C248" s="1499"/>
      <c r="D248" s="1486"/>
      <c r="E248" s="1475" t="n">
        <f aca="false">J227+J238</f>
        <v>33759776</v>
      </c>
      <c r="F248" s="1498"/>
      <c r="G248" s="1498"/>
      <c r="H248" s="1498"/>
      <c r="I248" s="1535"/>
      <c r="K248" s="1337"/>
      <c r="L248" s="764"/>
      <c r="M248" s="764"/>
      <c r="N248" s="764"/>
      <c r="O248" s="764"/>
      <c r="P248" s="764"/>
      <c r="Q248" s="764"/>
    </row>
    <row r="249" s="764" customFormat="true" ht="26.25" hidden="false" customHeight="true" outlineLevel="0" collapsed="false">
      <c r="A249" s="1338" t="n">
        <f aca="false">EOMONTH(A218,1)</f>
        <v>46356</v>
      </c>
      <c r="B249" s="1339" t="s">
        <v>688</v>
      </c>
      <c r="C249" s="1340" t="s">
        <v>689</v>
      </c>
      <c r="D249" s="1105" t="s">
        <v>690</v>
      </c>
      <c r="E249" s="1105" t="s">
        <v>691</v>
      </c>
      <c r="F249" s="1105" t="s">
        <v>692</v>
      </c>
      <c r="G249" s="1105" t="s">
        <v>693</v>
      </c>
      <c r="H249" s="1105" t="s">
        <v>694</v>
      </c>
      <c r="I249" s="1105" t="s">
        <v>695</v>
      </c>
      <c r="J249" s="1341"/>
      <c r="L249" s="1342"/>
      <c r="M249" s="1344"/>
      <c r="N249" s="1344"/>
      <c r="O249" s="1344"/>
      <c r="P249" s="1344"/>
      <c r="Q249" s="1344"/>
      <c r="R249" s="1344"/>
    </row>
    <row r="250" s="1344" customFormat="true" ht="26.25" hidden="false" customHeight="true" outlineLevel="0" collapsed="false">
      <c r="A250" s="1343"/>
      <c r="C250" s="1340"/>
      <c r="D250" s="1501" t="n">
        <f aca="false">$D$2</f>
        <v>4.64</v>
      </c>
      <c r="E250" s="1502" t="n">
        <f aca="false">$E$2</f>
        <v>0.82</v>
      </c>
      <c r="F250" s="1502" t="n">
        <f aca="false">$F$2</f>
        <v>0.05</v>
      </c>
      <c r="G250" s="1502" t="n">
        <f aca="false">$G$2</f>
        <v>1.1</v>
      </c>
      <c r="H250" s="1502" t="n">
        <f aca="false">$H$2</f>
        <v>0.2</v>
      </c>
      <c r="I250" s="1502" t="n">
        <f aca="false">$I$2</f>
        <v>0.024</v>
      </c>
      <c r="J250" s="1348"/>
      <c r="L250" s="1349"/>
      <c r="M250" s="582"/>
      <c r="N250" s="582"/>
      <c r="O250" s="582"/>
      <c r="P250" s="582"/>
      <c r="Q250" s="582"/>
      <c r="R250" s="582"/>
    </row>
    <row r="251" customFormat="false" ht="13.9" hidden="false" customHeight="true" outlineLevel="0" collapsed="false">
      <c r="C251" s="1341"/>
      <c r="D251" s="1341"/>
      <c r="E251" s="1341"/>
      <c r="F251" s="1503"/>
      <c r="G251" s="1341"/>
      <c r="H251" s="1341"/>
      <c r="I251" s="1341"/>
      <c r="J251" s="1341"/>
    </row>
    <row r="252" customFormat="false" ht="20.1" hidden="false" customHeight="true" outlineLevel="0" collapsed="false">
      <c r="A252" s="771" t="s">
        <v>698</v>
      </c>
      <c r="G252" s="1352"/>
      <c r="L252" s="1353" t="s">
        <v>699</v>
      </c>
      <c r="M252" s="1197"/>
      <c r="N252" s="1197"/>
      <c r="O252" s="1197"/>
      <c r="P252" s="1197"/>
      <c r="Q252" s="1197"/>
      <c r="R252" s="1197"/>
    </row>
    <row r="253" s="1197" customFormat="true" ht="30" hidden="false" customHeight="true" outlineLevel="0" collapsed="false">
      <c r="A253" s="1354" t="s">
        <v>369</v>
      </c>
      <c r="B253" s="1355" t="s">
        <v>700</v>
      </c>
      <c r="C253" s="1356" t="s">
        <v>701</v>
      </c>
      <c r="D253" s="1357" t="s">
        <v>702</v>
      </c>
      <c r="E253" s="1357"/>
      <c r="F253" s="1358" t="s">
        <v>703</v>
      </c>
      <c r="G253" s="1357" t="s">
        <v>704</v>
      </c>
      <c r="H253" s="1357" t="s">
        <v>705</v>
      </c>
      <c r="I253" s="1357" t="s">
        <v>706</v>
      </c>
      <c r="J253" s="1359" t="s">
        <v>707</v>
      </c>
      <c r="L253" s="1360" t="s">
        <v>708</v>
      </c>
      <c r="M253" s="582"/>
      <c r="N253" s="582"/>
      <c r="O253" s="582"/>
      <c r="P253" s="582"/>
      <c r="Q253" s="582"/>
      <c r="R253" s="582"/>
    </row>
    <row r="254" customFormat="false" ht="32.25" hidden="false" customHeight="true" outlineLevel="0" collapsed="false">
      <c r="A254" s="1361" t="s">
        <v>709</v>
      </c>
      <c r="B254" s="1362" t="n">
        <f aca="false">B258-B256</f>
        <v>364811284</v>
      </c>
      <c r="C254" s="1363" t="n">
        <f aca="false">ROUNDDOWN(B254*C255/B255,0)</f>
        <v>327035800</v>
      </c>
      <c r="D254" s="1364" t="n">
        <f aca="false">ROUNDDOWN(B254*D255/B255,0)</f>
        <v>16320134</v>
      </c>
      <c r="E254" s="1364" t="n">
        <f aca="false">ROUNDDOWN(D254*E255/D255,0)</f>
        <v>0</v>
      </c>
      <c r="F254" s="1365" t="s">
        <v>522</v>
      </c>
      <c r="G254" s="1366" t="n">
        <f aca="false">ROUNDDOWN(B254*G255/B255,0)</f>
        <v>3868997</v>
      </c>
      <c r="H254" s="1367" t="n">
        <f aca="false">ROUNDDOWN(B254*H255/B255,0)</f>
        <v>703454</v>
      </c>
      <c r="I254" s="1364" t="n">
        <f aca="false">ROUNDDOWN(B254*I255/B255,0)</f>
        <v>84414</v>
      </c>
      <c r="J254" s="1368" t="n">
        <f aca="false">B254-C254-D254-G254-H254-I254</f>
        <v>16798485</v>
      </c>
      <c r="L254" s="1369" t="n">
        <f aca="false">SUM(I254:J254)</f>
        <v>16882899</v>
      </c>
      <c r="M254" s="1511"/>
      <c r="N254" s="1511"/>
      <c r="O254" s="1511"/>
      <c r="P254" s="1511"/>
      <c r="Q254" s="1511"/>
      <c r="R254" s="1511"/>
    </row>
    <row r="255" s="1511" customFormat="true" ht="15" hidden="false" customHeight="true" outlineLevel="0" collapsed="false">
      <c r="A255" s="1504" t="s">
        <v>710</v>
      </c>
      <c r="B255" s="1505" t="n">
        <f aca="false">SUM(C255:J255)</f>
        <v>51.86</v>
      </c>
      <c r="C255" s="1506" t="n">
        <f aca="false">$C$7</f>
        <v>46.49</v>
      </c>
      <c r="D255" s="1507" t="n">
        <f aca="false">$D$7</f>
        <v>2.32</v>
      </c>
      <c r="E255" s="1507"/>
      <c r="F255" s="1508" t="s">
        <v>522</v>
      </c>
      <c r="G255" s="1509" t="n">
        <f aca="false">$G$7</f>
        <v>0.55</v>
      </c>
      <c r="H255" s="1442" t="n">
        <f aca="false">$H$7</f>
        <v>0.1</v>
      </c>
      <c r="I255" s="1443" t="n">
        <f aca="false">$I$7</f>
        <v>0.012</v>
      </c>
      <c r="J255" s="1510" t="n">
        <f aca="false">$J$7</f>
        <v>2.388</v>
      </c>
      <c r="K255" s="1379" t="s">
        <v>711</v>
      </c>
      <c r="L255" s="1380" t="n">
        <f aca="false">SUM(I255:J255)</f>
        <v>2.4</v>
      </c>
      <c r="M255" s="582"/>
      <c r="N255" s="582"/>
      <c r="O255" s="582"/>
      <c r="P255" s="582"/>
      <c r="Q255" s="582"/>
      <c r="R255" s="582"/>
    </row>
    <row r="256" customFormat="false" ht="32.25" hidden="false" customHeight="true" outlineLevel="0" collapsed="false">
      <c r="A256" s="1361" t="s">
        <v>712</v>
      </c>
      <c r="B256" s="1362" t="n">
        <f aca="false">'☆短期集計R7'!D33</f>
        <v>1013274</v>
      </c>
      <c r="C256" s="1363" t="n">
        <f aca="false">ROUNDDOWN(B256*C257/B257,0)</f>
        <v>908351</v>
      </c>
      <c r="D256" s="1382" t="n">
        <f aca="false">ROUNDDOWN(B256*D257/B257,0)</f>
        <v>45329</v>
      </c>
      <c r="E256" s="1382" t="n">
        <f aca="false">ROUNDDOWN(D256*E257/D257,0)</f>
        <v>0</v>
      </c>
      <c r="F256" s="1383" t="s">
        <v>522</v>
      </c>
      <c r="G256" s="1384" t="n">
        <f aca="false">ROUNDDOWN(B256*G257/B257,0)</f>
        <v>10746</v>
      </c>
      <c r="H256" s="1385" t="n">
        <f aca="false">ROUNDDOWN(B256*H257/B257,0)</f>
        <v>1953</v>
      </c>
      <c r="I256" s="1386" t="n">
        <f aca="false">ROUNDDOWN(B256*I257/B257,0)</f>
        <v>234</v>
      </c>
      <c r="J256" s="1387" t="n">
        <f aca="false">B256-C256-D256-G256-H256-I256</f>
        <v>46661</v>
      </c>
      <c r="K256" s="1379"/>
      <c r="L256" s="1388" t="n">
        <f aca="false">SUM(I256:J256)</f>
        <v>46895</v>
      </c>
      <c r="M256" s="1381"/>
      <c r="N256" s="1381"/>
      <c r="O256" s="1381"/>
      <c r="P256" s="1381"/>
      <c r="Q256" s="1381"/>
      <c r="R256" s="1381"/>
    </row>
    <row r="257" s="1381" customFormat="true" ht="15" hidden="false" customHeight="true" outlineLevel="0" collapsed="false">
      <c r="A257" s="1512" t="s">
        <v>710</v>
      </c>
      <c r="B257" s="1449" t="n">
        <f aca="false">SUM(C257:J257)</f>
        <v>103.72</v>
      </c>
      <c r="C257" s="1513" t="n">
        <f aca="false">C255*2</f>
        <v>92.98</v>
      </c>
      <c r="D257" s="1514" t="n">
        <f aca="false">D255*2</f>
        <v>4.64</v>
      </c>
      <c r="E257" s="1514"/>
      <c r="F257" s="1515" t="s">
        <v>522</v>
      </c>
      <c r="G257" s="1516" t="n">
        <f aca="false">G255*2</f>
        <v>1.1</v>
      </c>
      <c r="H257" s="1517" t="n">
        <f aca="false">H255*2</f>
        <v>0.2</v>
      </c>
      <c r="I257" s="1518" t="n">
        <f aca="false">I255*2</f>
        <v>0.024</v>
      </c>
      <c r="J257" s="1519" t="n">
        <f aca="false">J255*2</f>
        <v>4.776</v>
      </c>
      <c r="L257" s="1398" t="n">
        <f aca="false">L255*2</f>
        <v>4.8</v>
      </c>
      <c r="M257" s="582"/>
      <c r="N257" s="582"/>
      <c r="O257" s="582"/>
      <c r="P257" s="582"/>
      <c r="Q257" s="582"/>
      <c r="R257" s="582"/>
    </row>
    <row r="258" customFormat="false" ht="30" hidden="false" customHeight="true" outlineLevel="0" collapsed="false">
      <c r="A258" s="1399" t="s">
        <v>650</v>
      </c>
      <c r="B258" s="1400" t="n">
        <f aca="false">'☆短期集計R7'!B33+'☆短期集計R7'!D33</f>
        <v>365824558</v>
      </c>
      <c r="C258" s="1401" t="n">
        <f aca="false">C254+C256</f>
        <v>327944151</v>
      </c>
      <c r="D258" s="1402" t="n">
        <f aca="false">D254+D256</f>
        <v>16365463</v>
      </c>
      <c r="E258" s="1402"/>
      <c r="F258" s="1403" t="s">
        <v>522</v>
      </c>
      <c r="G258" s="1402" t="n">
        <f aca="false">G254+G256</f>
        <v>3879743</v>
      </c>
      <c r="H258" s="1401" t="n">
        <f aca="false">H254+H256</f>
        <v>705407</v>
      </c>
      <c r="I258" s="1402" t="n">
        <f aca="false">I254+I256</f>
        <v>84648</v>
      </c>
      <c r="J258" s="1404" t="n">
        <f aca="false">J254+J256</f>
        <v>16845146</v>
      </c>
      <c r="L258" s="1405" t="n">
        <f aca="false">L254+L256</f>
        <v>16929794</v>
      </c>
      <c r="M258" s="1406"/>
      <c r="N258" s="1406"/>
      <c r="O258" s="1406"/>
      <c r="P258" s="1406"/>
      <c r="Q258" s="1406"/>
      <c r="R258" s="1406"/>
    </row>
    <row r="259" s="1406" customFormat="true" ht="20.1" hidden="false" customHeight="true" outlineLevel="0" collapsed="false">
      <c r="C259" s="1407" t="s">
        <v>713</v>
      </c>
      <c r="D259" s="1408" t="s">
        <v>714</v>
      </c>
      <c r="E259" s="1408"/>
      <c r="F259" s="1407" t="s">
        <v>715</v>
      </c>
      <c r="G259" s="1407" t="s">
        <v>716</v>
      </c>
      <c r="H259" s="1409" t="s">
        <v>717</v>
      </c>
      <c r="I259" s="1409" t="s">
        <v>718</v>
      </c>
      <c r="J259" s="1409" t="s">
        <v>719</v>
      </c>
      <c r="L259" s="1410"/>
      <c r="M259" s="1064"/>
      <c r="N259" s="1064"/>
      <c r="O259" s="1064"/>
      <c r="P259" s="1064"/>
      <c r="Q259" s="1064"/>
      <c r="R259" s="1064"/>
    </row>
    <row r="260" s="1064" customFormat="true" ht="13.5" hidden="false" customHeight="true" outlineLevel="0" collapsed="false">
      <c r="C260" s="1411"/>
      <c r="D260" s="1412"/>
      <c r="E260" s="1412"/>
      <c r="F260" s="1411"/>
      <c r="G260" s="1412"/>
      <c r="H260" s="1412"/>
      <c r="I260" s="1412"/>
      <c r="J260" s="1412"/>
      <c r="L260" s="1413"/>
      <c r="M260" s="582"/>
      <c r="N260" s="582"/>
      <c r="O260" s="582"/>
      <c r="P260" s="582"/>
      <c r="Q260" s="582"/>
      <c r="R260" s="582"/>
    </row>
    <row r="261" customFormat="false" ht="20.1" hidden="false" customHeight="true" outlineLevel="0" collapsed="false">
      <c r="A261" s="771" t="s">
        <v>230</v>
      </c>
      <c r="B261" s="1064"/>
      <c r="C261" s="1064"/>
      <c r="D261" s="1064"/>
      <c r="E261" s="1064"/>
      <c r="F261" s="1064"/>
      <c r="G261" s="1352"/>
      <c r="H261" s="1064"/>
      <c r="I261" s="1064"/>
      <c r="J261" s="1064"/>
      <c r="L261" s="1353" t="s">
        <v>699</v>
      </c>
      <c r="M261" s="920"/>
      <c r="N261" s="920"/>
      <c r="O261" s="920"/>
      <c r="P261" s="920"/>
      <c r="Q261" s="920"/>
      <c r="R261" s="920"/>
    </row>
    <row r="262" s="920" customFormat="true" ht="30" hidden="false" customHeight="true" outlineLevel="0" collapsed="false">
      <c r="A262" s="1354" t="s">
        <v>369</v>
      </c>
      <c r="B262" s="1355" t="s">
        <v>700</v>
      </c>
      <c r="C262" s="1356" t="s">
        <v>701</v>
      </c>
      <c r="D262" s="1414" t="s">
        <v>702</v>
      </c>
      <c r="E262" s="1415" t="s">
        <v>739</v>
      </c>
      <c r="F262" s="1416" t="s">
        <v>721</v>
      </c>
      <c r="G262" s="1417" t="s">
        <v>704</v>
      </c>
      <c r="H262" s="1357" t="s">
        <v>705</v>
      </c>
      <c r="I262" s="1357" t="s">
        <v>706</v>
      </c>
      <c r="J262" s="1359" t="s">
        <v>707</v>
      </c>
      <c r="L262" s="1360" t="s">
        <v>708</v>
      </c>
      <c r="M262" s="582"/>
      <c r="N262" s="582"/>
      <c r="O262" s="582"/>
      <c r="P262" s="582"/>
      <c r="Q262" s="582"/>
      <c r="R262" s="582"/>
    </row>
    <row r="263" customFormat="false" ht="32.25" hidden="false" customHeight="true" outlineLevel="0" collapsed="false">
      <c r="A263" s="1418" t="s">
        <v>722</v>
      </c>
      <c r="B263" s="1362" t="n">
        <f aca="false">B269-B265-B267</f>
        <v>272986339</v>
      </c>
      <c r="C263" s="1363" t="n">
        <f aca="false">ROUNDDOWN(B263*C264/B264,0)</f>
        <v>240681488</v>
      </c>
      <c r="D263" s="1419" t="n">
        <f aca="false">ROUNDDOWN(B263*D264/B264,0)</f>
        <v>12010777</v>
      </c>
      <c r="E263" s="1420" t="n">
        <f aca="false">ROUNDDOWN(B263*E264/B264,0)</f>
        <v>4245188</v>
      </c>
      <c r="F263" s="1421" t="n">
        <f aca="false">ROUNDDOWN(B263*F264/B264,0)</f>
        <v>258852</v>
      </c>
      <c r="G263" s="1421" t="n">
        <f aca="false">ROUNDDOWN(B263*G264/B264,0)</f>
        <v>2847382</v>
      </c>
      <c r="H263" s="1421" t="n">
        <f aca="false">ROUNDDOWN(B263*H264/B264,0)</f>
        <v>517705</v>
      </c>
      <c r="I263" s="1421" t="n">
        <f aca="false">ROUNDDOWN(B263*I264/B264,0)</f>
        <v>62124</v>
      </c>
      <c r="J263" s="1422" t="n">
        <f aca="false">B263-C263-D263-E263-F263-G263-H263-I263</f>
        <v>12362823</v>
      </c>
      <c r="L263" s="1423" t="n">
        <f aca="false">SUM(I263:J263)</f>
        <v>12424947</v>
      </c>
      <c r="M263" s="1511"/>
      <c r="N263" s="1511"/>
      <c r="O263" s="1511"/>
      <c r="P263" s="1511"/>
      <c r="Q263" s="1511"/>
      <c r="R263" s="1511"/>
    </row>
    <row r="264" s="1511" customFormat="true" ht="15" hidden="false" customHeight="true" outlineLevel="0" collapsed="false">
      <c r="A264" s="1504" t="s">
        <v>710</v>
      </c>
      <c r="B264" s="1438" t="n">
        <f aca="false">SUM(C264:J264)</f>
        <v>52.73</v>
      </c>
      <c r="C264" s="1520" t="n">
        <f aca="false">$C$16</f>
        <v>46.49</v>
      </c>
      <c r="D264" s="1440" t="n">
        <f aca="false">$D$16</f>
        <v>2.32</v>
      </c>
      <c r="E264" s="1521" t="n">
        <f aca="false">$E$16</f>
        <v>0.82</v>
      </c>
      <c r="F264" s="1522" t="n">
        <f aca="false">$F$16</f>
        <v>0.05</v>
      </c>
      <c r="G264" s="1522" t="n">
        <f aca="false">$G$16</f>
        <v>0.55</v>
      </c>
      <c r="H264" s="1523" t="n">
        <f aca="false">$H$16</f>
        <v>0.1</v>
      </c>
      <c r="I264" s="1524" t="n">
        <f aca="false">$I$16</f>
        <v>0.012</v>
      </c>
      <c r="J264" s="1525" t="n">
        <f aca="false">$J$16</f>
        <v>2.388</v>
      </c>
      <c r="K264" s="1381"/>
      <c r="L264" s="1432" t="n">
        <f aca="false">SUM(I264:J264)</f>
        <v>2.4</v>
      </c>
      <c r="M264" s="582"/>
      <c r="N264" s="582"/>
      <c r="O264" s="582"/>
      <c r="P264" s="582"/>
      <c r="Q264" s="582"/>
      <c r="R264" s="582"/>
    </row>
    <row r="265" customFormat="false" ht="32.25" hidden="false" customHeight="true" outlineLevel="0" collapsed="false">
      <c r="A265" s="1361" t="s">
        <v>723</v>
      </c>
      <c r="B265" s="1362" t="n">
        <f aca="false">'☆掛負収入'!I566+'☆掛負収入'!I567</f>
        <v>96529320</v>
      </c>
      <c r="C265" s="1363" t="n">
        <f aca="false">ROUNDDOWN((B265-E265)/B266*C266,0)</f>
        <v>86440908</v>
      </c>
      <c r="D265" s="1433" t="n">
        <f aca="false">ROUNDDOWN((B265-E265)/B266*D266,0)</f>
        <v>4313678</v>
      </c>
      <c r="E265" s="1434" t="n">
        <f aca="false">ROUNDDOWN(B276*E250/1000,0)</f>
        <v>10766</v>
      </c>
      <c r="F265" s="1363" t="n">
        <f aca="false">ROUNDDOWN((B265-E265)/B266*F266,0)</f>
        <v>92967</v>
      </c>
      <c r="G265" s="1363" t="n">
        <f aca="false">ROUNDDOWN((B265-E265)/B266*G266,0)</f>
        <v>1022639</v>
      </c>
      <c r="H265" s="1384" t="n">
        <f aca="false">ROUNDDOWN((B265-E265)/B266*H266,0)</f>
        <v>185934</v>
      </c>
      <c r="I265" s="1384" t="n">
        <f aca="false">ROUNDDOWN((B265-E265)/B266*I266,0)</f>
        <v>22312</v>
      </c>
      <c r="J265" s="1435" t="n">
        <f aca="false">B265-C265-D265-E265-F265-G265-H265-I265</f>
        <v>4440116</v>
      </c>
      <c r="K265" s="1379" t="s">
        <v>711</v>
      </c>
      <c r="L265" s="1436" t="n">
        <f aca="false">SUM(I265:J265)</f>
        <v>4462428</v>
      </c>
      <c r="M265" s="1381"/>
      <c r="N265" s="1381"/>
      <c r="O265" s="1381"/>
      <c r="P265" s="1381"/>
      <c r="Q265" s="1381"/>
      <c r="R265" s="1381"/>
    </row>
    <row r="266" s="1381" customFormat="true" ht="15" hidden="false" customHeight="true" outlineLevel="0" collapsed="false">
      <c r="A266" s="1526" t="s">
        <v>710</v>
      </c>
      <c r="B266" s="1438" t="n">
        <f aca="false">SUM(C266:J266)</f>
        <v>51.91</v>
      </c>
      <c r="C266" s="1439" t="n">
        <f aca="false">C264</f>
        <v>46.49</v>
      </c>
      <c r="D266" s="1440" t="n">
        <f aca="false">D264</f>
        <v>2.32</v>
      </c>
      <c r="E266" s="1441" t="s">
        <v>724</v>
      </c>
      <c r="F266" s="1442" t="n">
        <f aca="false">F264</f>
        <v>0.05</v>
      </c>
      <c r="G266" s="1442" t="n">
        <f aca="false">G264</f>
        <v>0.55</v>
      </c>
      <c r="H266" s="1443" t="n">
        <f aca="false">H264</f>
        <v>0.1</v>
      </c>
      <c r="I266" s="1444" t="n">
        <f aca="false">I264</f>
        <v>0.012</v>
      </c>
      <c r="J266" s="1445" t="n">
        <f aca="false">J264</f>
        <v>2.388</v>
      </c>
      <c r="K266" s="1379"/>
      <c r="L266" s="1446" t="n">
        <f aca="false">SUM(I266:J266)</f>
        <v>2.4</v>
      </c>
      <c r="M266" s="582"/>
      <c r="N266" s="582"/>
      <c r="O266" s="582"/>
      <c r="P266" s="582"/>
      <c r="Q266" s="582"/>
      <c r="R266" s="582"/>
    </row>
    <row r="267" customFormat="false" ht="32.25" hidden="false" customHeight="true" outlineLevel="0" collapsed="false">
      <c r="A267" s="1447" t="s">
        <v>725</v>
      </c>
      <c r="B267" s="1362" t="n">
        <f aca="false">'☆掛負収入'!I583+E267</f>
        <v>48758</v>
      </c>
      <c r="C267" s="1363" t="n">
        <f aca="false">ROUNDDOWN((B267-E267)/B268*C268,0)</f>
        <v>43432</v>
      </c>
      <c r="D267" s="1433" t="n">
        <f aca="false">ROUNDDOWN((B267-E267)/B268*D268,0)</f>
        <v>2167</v>
      </c>
      <c r="E267" s="1448" t="n">
        <f aca="false">'☆労組公的負担（短期）'!F14</f>
        <v>262</v>
      </c>
      <c r="F267" s="1363" t="n">
        <f aca="false">ROUNDDOWN((B267-E267)/B268*F268,0)</f>
        <v>46</v>
      </c>
      <c r="G267" s="1363" t="n">
        <f aca="false">ROUNDDOWN((B267-E267)/B268*G268,0)</f>
        <v>513</v>
      </c>
      <c r="H267" s="1384" t="n">
        <f aca="false">H269-H263-H265</f>
        <v>95</v>
      </c>
      <c r="I267" s="1384" t="n">
        <f aca="false">I269-I263-I265</f>
        <v>12</v>
      </c>
      <c r="J267" s="1435" t="n">
        <f aca="false">B267-C267-D267-E267-F267-G267-H267-I267</f>
        <v>2231</v>
      </c>
      <c r="L267" s="1436" t="n">
        <f aca="false">SUM(I267:J267)</f>
        <v>2243</v>
      </c>
      <c r="M267" s="1381"/>
      <c r="N267" s="1381"/>
      <c r="O267" s="1381"/>
      <c r="P267" s="1381"/>
      <c r="Q267" s="1381"/>
      <c r="R267" s="1381"/>
    </row>
    <row r="268" s="1381" customFormat="true" ht="15" hidden="false" customHeight="true" outlineLevel="0" collapsed="false">
      <c r="A268" s="1512" t="s">
        <v>710</v>
      </c>
      <c r="B268" s="1449" t="n">
        <f aca="false">SUM(C268:J268)</f>
        <v>51.91</v>
      </c>
      <c r="C268" s="1439" t="n">
        <f aca="false">C264</f>
        <v>46.49</v>
      </c>
      <c r="D268" s="1440" t="n">
        <f aca="false">D264</f>
        <v>2.32</v>
      </c>
      <c r="E268" s="1450" t="s">
        <v>726</v>
      </c>
      <c r="F268" s="1451" t="n">
        <f aca="false">F264</f>
        <v>0.05</v>
      </c>
      <c r="G268" s="1451" t="n">
        <f aca="false">G264</f>
        <v>0.55</v>
      </c>
      <c r="H268" s="1452" t="n">
        <f aca="false">H264</f>
        <v>0.1</v>
      </c>
      <c r="I268" s="1453" t="n">
        <f aca="false">I264</f>
        <v>0.012</v>
      </c>
      <c r="J268" s="1454" t="n">
        <f aca="false">J264</f>
        <v>2.388</v>
      </c>
      <c r="L268" s="1455" t="n">
        <f aca="false">SUM(I268:J268)</f>
        <v>2.4</v>
      </c>
      <c r="M268" s="582"/>
      <c r="N268" s="582"/>
      <c r="O268" s="582"/>
      <c r="P268" s="582"/>
      <c r="Q268" s="582"/>
      <c r="R268" s="582"/>
    </row>
    <row r="269" customFormat="false" ht="30" hidden="false" customHeight="true" outlineLevel="0" collapsed="false">
      <c r="A269" s="1399" t="s">
        <v>650</v>
      </c>
      <c r="B269" s="1456" t="n">
        <f aca="false">'☆掛負収入'!I585</f>
        <v>369564417</v>
      </c>
      <c r="C269" s="1457" t="n">
        <f aca="false">C263+C265+C267</f>
        <v>327165828</v>
      </c>
      <c r="D269" s="1458" t="n">
        <f aca="false">D263+D265+D267</f>
        <v>16326622</v>
      </c>
      <c r="E269" s="1459" t="n">
        <f aca="false">E263+E265+E267</f>
        <v>4256216</v>
      </c>
      <c r="F269" s="1460" t="n">
        <f aca="false">F263+F265+F267</f>
        <v>351865</v>
      </c>
      <c r="G269" s="1460" t="n">
        <f aca="false">G263+G265+G267</f>
        <v>3870534</v>
      </c>
      <c r="H269" s="1460" t="n">
        <f aca="false">ROUNDDOWN(B274*H250/1000,0)-H258</f>
        <v>703734</v>
      </c>
      <c r="I269" s="1460" t="n">
        <f aca="false">ROUNDDOWN(B274*I250/1000,0)-I258</f>
        <v>84448</v>
      </c>
      <c r="J269" s="1461" t="n">
        <f aca="false">J263+J265+J267</f>
        <v>16805170</v>
      </c>
      <c r="K269" s="1462"/>
      <c r="L269" s="1463" t="n">
        <f aca="false">SUM(I269:J269)</f>
        <v>16889618</v>
      </c>
      <c r="M269" s="1407"/>
      <c r="N269" s="1407"/>
      <c r="O269" s="1407"/>
      <c r="P269" s="1407"/>
      <c r="Q269" s="1407"/>
      <c r="R269" s="1407"/>
    </row>
    <row r="270" s="1407" customFormat="true" ht="20.1" hidden="false" customHeight="true" outlineLevel="0" collapsed="false">
      <c r="C270" s="1407" t="s">
        <v>713</v>
      </c>
      <c r="D270" s="1407" t="s">
        <v>714</v>
      </c>
      <c r="E270" s="1407" t="s">
        <v>714</v>
      </c>
      <c r="F270" s="1407" t="s">
        <v>715</v>
      </c>
      <c r="G270" s="1407" t="s">
        <v>716</v>
      </c>
      <c r="H270" s="1407" t="s">
        <v>717</v>
      </c>
      <c r="I270" s="1407" t="s">
        <v>718</v>
      </c>
      <c r="J270" s="1407" t="s">
        <v>719</v>
      </c>
      <c r="L270" s="1464"/>
      <c r="M270" s="764"/>
      <c r="N270" s="764"/>
      <c r="O270" s="764"/>
      <c r="P270" s="764"/>
      <c r="Q270" s="764"/>
      <c r="R270" s="764"/>
    </row>
    <row r="271" s="764" customFormat="true" ht="18.75" hidden="false" customHeight="true" outlineLevel="0" collapsed="false">
      <c r="A271" s="1465" t="s">
        <v>727</v>
      </c>
      <c r="B271" s="1466" t="n">
        <f aca="false">B258+B269</f>
        <v>735388975</v>
      </c>
      <c r="C271" s="1467"/>
      <c r="D271" s="1467"/>
      <c r="E271" s="1467"/>
      <c r="K271" s="1342"/>
    </row>
    <row r="272" s="764" customFormat="true" ht="18.75" hidden="false" customHeight="true" outlineLevel="0" collapsed="false">
      <c r="A272" s="1477"/>
      <c r="B272" s="1470"/>
      <c r="C272" s="1471" t="s">
        <v>728</v>
      </c>
      <c r="D272" s="1472"/>
      <c r="E272" s="1473"/>
      <c r="F272" s="1474" t="s">
        <v>729</v>
      </c>
      <c r="G272" s="1473"/>
      <c r="H272" s="1475" t="n">
        <f aca="false">G258+G269</f>
        <v>7750277</v>
      </c>
      <c r="I272" s="1476" t="s">
        <v>430</v>
      </c>
      <c r="K272" s="1342"/>
    </row>
    <row r="273" s="764" customFormat="true" ht="18.75" hidden="false" customHeight="true" outlineLevel="0" collapsed="false">
      <c r="A273" s="1477" t="s">
        <v>730</v>
      </c>
      <c r="B273" s="1478"/>
      <c r="C273" s="1479"/>
      <c r="D273" s="1480"/>
      <c r="E273" s="1475" t="n">
        <f aca="false">C258+C269</f>
        <v>655109979</v>
      </c>
      <c r="F273" s="1481" t="str">
        <f aca="false">IF(H272='☆拠出金明細R7'!V80,"　","明細と不一致!")</f>
        <v>　</v>
      </c>
      <c r="G273" s="1482" t="n">
        <f aca="false">B274</f>
        <v>7045707000</v>
      </c>
      <c r="H273" s="1483" t="n">
        <f aca="false">G250</f>
        <v>1.1</v>
      </c>
      <c r="I273" s="1475"/>
      <c r="K273" s="1342"/>
    </row>
    <row r="274" s="764" customFormat="true" ht="18.75" hidden="false" customHeight="true" outlineLevel="0" collapsed="false">
      <c r="A274" s="1484" t="s">
        <v>577</v>
      </c>
      <c r="B274" s="1485" t="n">
        <f aca="false">ROUNDUP(H272/G250*1000,-3)</f>
        <v>7045707000</v>
      </c>
      <c r="C274" s="1471" t="s">
        <v>731</v>
      </c>
      <c r="D274" s="1472"/>
      <c r="E274" s="1486"/>
      <c r="F274" s="1474" t="s">
        <v>732</v>
      </c>
      <c r="G274" s="1473"/>
      <c r="H274" s="1475" t="n">
        <f aca="false">H258+H269</f>
        <v>1409141</v>
      </c>
      <c r="I274" s="1069" t="s">
        <v>431</v>
      </c>
      <c r="K274" s="1342"/>
      <c r="L274" s="1381"/>
      <c r="M274" s="1381"/>
      <c r="N274" s="1381"/>
      <c r="O274" s="1381"/>
      <c r="P274" s="1381"/>
      <c r="Q274" s="1381"/>
    </row>
    <row r="275" s="1381" customFormat="true" ht="18.75" hidden="false" customHeight="true" outlineLevel="0" collapsed="false">
      <c r="A275" s="1484"/>
      <c r="B275" s="1485"/>
      <c r="C275" s="1487"/>
      <c r="D275" s="1480"/>
      <c r="E275" s="1475" t="n">
        <f aca="false">D258+D269+E269</f>
        <v>36948301</v>
      </c>
      <c r="F275" s="1481" t="str">
        <f aca="false">IF(H274='☆拠出金明細R7'!AD78,"　","明細と不一致!")</f>
        <v>　</v>
      </c>
      <c r="G275" s="1482" t="n">
        <f aca="false">B274</f>
        <v>7045707000</v>
      </c>
      <c r="H275" s="1483" t="n">
        <f aca="false">H250</f>
        <v>0.2</v>
      </c>
      <c r="I275" s="1069"/>
      <c r="K275" s="1488"/>
      <c r="L275" s="582"/>
      <c r="M275" s="582"/>
      <c r="N275" s="582"/>
      <c r="O275" s="582"/>
      <c r="P275" s="582"/>
      <c r="Q275" s="582"/>
    </row>
    <row r="276" customFormat="false" ht="18.75" hidden="false" customHeight="true" outlineLevel="0" collapsed="false">
      <c r="A276" s="1489" t="s">
        <v>733</v>
      </c>
      <c r="B276" s="1490" t="n">
        <v>13130000</v>
      </c>
      <c r="C276" s="1491" t="s">
        <v>734</v>
      </c>
      <c r="D276" s="1493"/>
      <c r="E276" s="1473"/>
      <c r="F276" s="1493" t="s">
        <v>735</v>
      </c>
      <c r="G276" s="1472"/>
      <c r="H276" s="1475" t="n">
        <f aca="false">I258+I269</f>
        <v>169096</v>
      </c>
      <c r="I276" s="1069" t="s">
        <v>432</v>
      </c>
      <c r="K276" s="1337"/>
      <c r="L276" s="582"/>
    </row>
    <row r="277" customFormat="false" ht="18.75" hidden="false" customHeight="true" outlineLevel="0" collapsed="false">
      <c r="A277" s="1489"/>
      <c r="B277" s="1490"/>
      <c r="C277" s="1494"/>
      <c r="D277" s="1481" t="str">
        <f aca="false">IF(E277='☆拠出金明細R7'!K80,"　","明細と不一致!")</f>
        <v>　</v>
      </c>
      <c r="E277" s="1475" t="n">
        <f aca="false">F269</f>
        <v>351865</v>
      </c>
      <c r="F277" s="1481" t="str">
        <f aca="false">IF(H276='☆拠出金明細R7'!AN80,"　","明細と不一致!")</f>
        <v>　</v>
      </c>
      <c r="G277" s="1482" t="n">
        <f aca="false">B274</f>
        <v>7045707000</v>
      </c>
      <c r="H277" s="1495" t="n">
        <f aca="false">I250</f>
        <v>0.024</v>
      </c>
      <c r="K277" s="1337"/>
      <c r="L277" s="582"/>
    </row>
    <row r="278" customFormat="false" ht="18.75" hidden="false" customHeight="true" outlineLevel="0" collapsed="false">
      <c r="A278" s="1253"/>
      <c r="B278" s="1496"/>
      <c r="C278" s="1491" t="s">
        <v>736</v>
      </c>
      <c r="D278" s="1493"/>
      <c r="E278" s="1497"/>
      <c r="F278" s="1498" t="s">
        <v>737</v>
      </c>
      <c r="G278" s="1498"/>
      <c r="H278" s="1498"/>
      <c r="K278" s="1337"/>
      <c r="L278" s="582"/>
    </row>
    <row r="279" customFormat="false" ht="18.75" hidden="false" customHeight="true" outlineLevel="0" collapsed="false">
      <c r="A279" s="1253"/>
      <c r="B279" s="1496"/>
      <c r="C279" s="1499"/>
      <c r="D279" s="1486"/>
      <c r="E279" s="1475" t="n">
        <f aca="false">J258+J269</f>
        <v>33650316</v>
      </c>
      <c r="F279" s="1498"/>
      <c r="G279" s="1498"/>
      <c r="H279" s="1498"/>
      <c r="I279" s="1535"/>
      <c r="K279" s="1337"/>
      <c r="L279" s="764"/>
      <c r="M279" s="764"/>
      <c r="N279" s="764"/>
      <c r="O279" s="764"/>
      <c r="P279" s="764"/>
      <c r="Q279" s="764"/>
    </row>
    <row r="280" s="764" customFormat="true" ht="26.25" hidden="false" customHeight="true" outlineLevel="0" collapsed="false">
      <c r="A280" s="1536" t="n">
        <f aca="false">EOMONTH(A249,1)</f>
        <v>46387</v>
      </c>
      <c r="B280" s="1537" t="s">
        <v>740</v>
      </c>
      <c r="C280" s="1340" t="s">
        <v>689</v>
      </c>
      <c r="D280" s="1105" t="s">
        <v>690</v>
      </c>
      <c r="E280" s="1105" t="s">
        <v>691</v>
      </c>
      <c r="F280" s="1105" t="s">
        <v>692</v>
      </c>
      <c r="G280" s="1105" t="s">
        <v>693</v>
      </c>
      <c r="H280" s="1105" t="s">
        <v>694</v>
      </c>
      <c r="I280" s="1105" t="s">
        <v>695</v>
      </c>
      <c r="J280" s="1341"/>
      <c r="L280" s="1342"/>
      <c r="M280" s="1344"/>
      <c r="N280" s="1344"/>
      <c r="O280" s="1344"/>
      <c r="P280" s="1344"/>
      <c r="Q280" s="1344"/>
      <c r="R280" s="1344"/>
    </row>
    <row r="281" s="1344" customFormat="true" ht="26.25" hidden="false" customHeight="true" outlineLevel="0" collapsed="false">
      <c r="A281" s="1343"/>
      <c r="C281" s="1340"/>
      <c r="D281" s="1501" t="n">
        <f aca="false">$D$2</f>
        <v>4.64</v>
      </c>
      <c r="E281" s="1502" t="n">
        <f aca="false">$E$2</f>
        <v>0.82</v>
      </c>
      <c r="F281" s="1502" t="n">
        <f aca="false">$F$2</f>
        <v>0.05</v>
      </c>
      <c r="G281" s="1502" t="n">
        <f aca="false">$G$2</f>
        <v>1.1</v>
      </c>
      <c r="H281" s="1502" t="n">
        <f aca="false">$H$2</f>
        <v>0.2</v>
      </c>
      <c r="I281" s="1502" t="n">
        <f aca="false">$I$2</f>
        <v>0.024</v>
      </c>
      <c r="J281" s="1348"/>
      <c r="L281" s="1349"/>
      <c r="M281" s="582"/>
      <c r="N281" s="582"/>
      <c r="O281" s="582"/>
      <c r="P281" s="582"/>
      <c r="Q281" s="582"/>
      <c r="R281" s="582"/>
    </row>
    <row r="282" customFormat="false" ht="13.9" hidden="false" customHeight="true" outlineLevel="0" collapsed="false">
      <c r="C282" s="1341"/>
      <c r="D282" s="1341"/>
      <c r="E282" s="1341"/>
      <c r="F282" s="1503"/>
      <c r="G282" s="1341"/>
      <c r="H282" s="1341"/>
      <c r="I282" s="1341"/>
      <c r="J282" s="1341"/>
    </row>
    <row r="283" customFormat="false" ht="20.1" hidden="false" customHeight="true" outlineLevel="0" collapsed="false">
      <c r="A283" s="771" t="s">
        <v>698</v>
      </c>
      <c r="G283" s="1352"/>
      <c r="L283" s="1353" t="s">
        <v>699</v>
      </c>
      <c r="M283" s="1197"/>
      <c r="N283" s="1197"/>
      <c r="O283" s="1197"/>
      <c r="P283" s="1197"/>
      <c r="Q283" s="1197"/>
      <c r="R283" s="1197"/>
    </row>
    <row r="284" s="1197" customFormat="true" ht="30" hidden="false" customHeight="true" outlineLevel="0" collapsed="false">
      <c r="A284" s="1354" t="s">
        <v>369</v>
      </c>
      <c r="B284" s="1355" t="s">
        <v>700</v>
      </c>
      <c r="C284" s="1356" t="s">
        <v>701</v>
      </c>
      <c r="D284" s="1357" t="s">
        <v>702</v>
      </c>
      <c r="E284" s="1357"/>
      <c r="F284" s="1358" t="s">
        <v>703</v>
      </c>
      <c r="G284" s="1357" t="s">
        <v>704</v>
      </c>
      <c r="H284" s="1357" t="s">
        <v>705</v>
      </c>
      <c r="I284" s="1357" t="s">
        <v>706</v>
      </c>
      <c r="J284" s="1359" t="s">
        <v>707</v>
      </c>
      <c r="L284" s="1360" t="s">
        <v>708</v>
      </c>
      <c r="M284" s="582"/>
      <c r="N284" s="582"/>
      <c r="O284" s="582"/>
      <c r="P284" s="582"/>
      <c r="Q284" s="582"/>
      <c r="R284" s="582"/>
    </row>
    <row r="285" customFormat="false" ht="32.25" hidden="false" customHeight="true" outlineLevel="0" collapsed="false">
      <c r="A285" s="1361" t="s">
        <v>709</v>
      </c>
      <c r="B285" s="1362" t="n">
        <f aca="false">B289-B287</f>
        <v>628299535</v>
      </c>
      <c r="C285" s="1363" t="n">
        <f aca="false">ROUNDDOWN(B285*C286/B286,0)</f>
        <v>563240366</v>
      </c>
      <c r="D285" s="1364" t="n">
        <f aca="false">ROUNDDOWN(B285*D286/B286,0)</f>
        <v>28107499</v>
      </c>
      <c r="E285" s="1364" t="n">
        <f aca="false">ROUNDDOWN(D285*E286/D286,0)</f>
        <v>0</v>
      </c>
      <c r="F285" s="1365" t="s">
        <v>522</v>
      </c>
      <c r="G285" s="1366" t="n">
        <f aca="false">ROUNDDOWN(B285*G286/B286,0)</f>
        <v>6663415</v>
      </c>
      <c r="H285" s="1367" t="n">
        <f aca="false">ROUNDDOWN(B285*H286/B286,0)</f>
        <v>1211530</v>
      </c>
      <c r="I285" s="1364" t="n">
        <f aca="false">ROUNDDOWN(B285*I286/B286,0)</f>
        <v>145383</v>
      </c>
      <c r="J285" s="1368" t="n">
        <f aca="false">B285-C285-D285-G285-H285-I285</f>
        <v>28931342</v>
      </c>
      <c r="L285" s="1369" t="n">
        <f aca="false">SUM(I285:J285)</f>
        <v>29076725</v>
      </c>
      <c r="M285" s="1511"/>
      <c r="N285" s="1511"/>
      <c r="O285" s="1511"/>
      <c r="P285" s="1511"/>
      <c r="Q285" s="1511"/>
      <c r="R285" s="1511"/>
    </row>
    <row r="286" s="1511" customFormat="true" ht="15" hidden="false" customHeight="true" outlineLevel="0" collapsed="false">
      <c r="A286" s="1504" t="s">
        <v>710</v>
      </c>
      <c r="B286" s="1505" t="n">
        <f aca="false">SUM(C286:J286)</f>
        <v>51.86</v>
      </c>
      <c r="C286" s="1506" t="n">
        <f aca="false">$C$7</f>
        <v>46.49</v>
      </c>
      <c r="D286" s="1507" t="n">
        <f aca="false">$D$7</f>
        <v>2.32</v>
      </c>
      <c r="E286" s="1507"/>
      <c r="F286" s="1508" t="s">
        <v>522</v>
      </c>
      <c r="G286" s="1509" t="n">
        <f aca="false">$G$7</f>
        <v>0.55</v>
      </c>
      <c r="H286" s="1442" t="n">
        <f aca="false">$H$7</f>
        <v>0.1</v>
      </c>
      <c r="I286" s="1443" t="n">
        <f aca="false">$I$7</f>
        <v>0.012</v>
      </c>
      <c r="J286" s="1510" t="n">
        <f aca="false">$J$7</f>
        <v>2.388</v>
      </c>
      <c r="K286" s="1379" t="s">
        <v>711</v>
      </c>
      <c r="L286" s="1380" t="n">
        <f aca="false">SUM(I286:J286)</f>
        <v>2.4</v>
      </c>
      <c r="M286" s="582"/>
      <c r="N286" s="582"/>
      <c r="O286" s="582"/>
      <c r="P286" s="582"/>
      <c r="Q286" s="582"/>
      <c r="R286" s="582"/>
    </row>
    <row r="287" customFormat="false" ht="32.25" hidden="false" customHeight="true" outlineLevel="0" collapsed="false">
      <c r="A287" s="1361" t="s">
        <v>738</v>
      </c>
      <c r="B287" s="1538" t="n">
        <v>0</v>
      </c>
      <c r="C287" s="1363" t="n">
        <f aca="false">ROUNDDOWN(B287*C288/B288,0)</f>
        <v>0</v>
      </c>
      <c r="D287" s="1382" t="n">
        <f aca="false">ROUNDDOWN(B287*D288/B288,0)</f>
        <v>0</v>
      </c>
      <c r="E287" s="1382" t="n">
        <f aca="false">ROUNDDOWN(D287*E288/D288,0)</f>
        <v>0</v>
      </c>
      <c r="F287" s="1383" t="s">
        <v>522</v>
      </c>
      <c r="G287" s="1384" t="n">
        <f aca="false">ROUNDDOWN(B287*G288/B288,0)</f>
        <v>0</v>
      </c>
      <c r="H287" s="1385" t="n">
        <f aca="false">ROUNDDOWN(B287*H288/B288,0)</f>
        <v>0</v>
      </c>
      <c r="I287" s="1386" t="n">
        <f aca="false">ROUNDDOWN(B287*I288/B288,0)</f>
        <v>0</v>
      </c>
      <c r="J287" s="1387" t="n">
        <f aca="false">B287-C287-D287-G287-H287-I287</f>
        <v>0</v>
      </c>
      <c r="K287" s="1379"/>
      <c r="L287" s="1388" t="n">
        <f aca="false">SUM(I287:J287)</f>
        <v>0</v>
      </c>
      <c r="M287" s="1381"/>
      <c r="N287" s="1381"/>
      <c r="O287" s="1381"/>
      <c r="P287" s="1381"/>
      <c r="Q287" s="1381"/>
      <c r="R287" s="1381"/>
    </row>
    <row r="288" s="1381" customFormat="true" ht="15" hidden="false" customHeight="true" outlineLevel="0" collapsed="false">
      <c r="A288" s="1512" t="s">
        <v>710</v>
      </c>
      <c r="B288" s="1449" t="n">
        <f aca="false">SUM(C288:J288)</f>
        <v>103.72</v>
      </c>
      <c r="C288" s="1513" t="n">
        <f aca="false">C286*2</f>
        <v>92.98</v>
      </c>
      <c r="D288" s="1514" t="n">
        <f aca="false">D286*2</f>
        <v>4.64</v>
      </c>
      <c r="E288" s="1514"/>
      <c r="F288" s="1515" t="s">
        <v>522</v>
      </c>
      <c r="G288" s="1516" t="n">
        <f aca="false">G286*2</f>
        <v>1.1</v>
      </c>
      <c r="H288" s="1517" t="n">
        <f aca="false">H286*2</f>
        <v>0.2</v>
      </c>
      <c r="I288" s="1518" t="n">
        <f aca="false">I286*2</f>
        <v>0.024</v>
      </c>
      <c r="J288" s="1519" t="n">
        <f aca="false">J286*2</f>
        <v>4.776</v>
      </c>
      <c r="L288" s="1398" t="n">
        <f aca="false">L286*2</f>
        <v>4.8</v>
      </c>
      <c r="M288" s="582"/>
      <c r="N288" s="582"/>
      <c r="O288" s="582"/>
      <c r="P288" s="582"/>
      <c r="Q288" s="582"/>
      <c r="R288" s="582"/>
    </row>
    <row r="289" customFormat="false" ht="30" hidden="false" customHeight="true" outlineLevel="0" collapsed="false">
      <c r="A289" s="1399" t="s">
        <v>650</v>
      </c>
      <c r="B289" s="1400" t="n">
        <f aca="false">'☆短期集計R7'!B34+'☆短期集計R7'!D34</f>
        <v>628299535</v>
      </c>
      <c r="C289" s="1401" t="n">
        <f aca="false">C285+C287</f>
        <v>563240366</v>
      </c>
      <c r="D289" s="1402" t="n">
        <f aca="false">D285+D287</f>
        <v>28107499</v>
      </c>
      <c r="E289" s="1402"/>
      <c r="F289" s="1403" t="s">
        <v>522</v>
      </c>
      <c r="G289" s="1402" t="n">
        <f aca="false">G285+G287</f>
        <v>6663415</v>
      </c>
      <c r="H289" s="1401" t="n">
        <f aca="false">H285+H287</f>
        <v>1211530</v>
      </c>
      <c r="I289" s="1402" t="n">
        <f aca="false">I285+I287</f>
        <v>145383</v>
      </c>
      <c r="J289" s="1404" t="n">
        <f aca="false">J285+J287</f>
        <v>28931342</v>
      </c>
      <c r="L289" s="1405" t="n">
        <f aca="false">L285+L287</f>
        <v>29076725</v>
      </c>
      <c r="M289" s="1406"/>
      <c r="N289" s="1406"/>
      <c r="O289" s="1406"/>
      <c r="P289" s="1406"/>
      <c r="Q289" s="1406"/>
      <c r="R289" s="1406"/>
    </row>
    <row r="290" s="1406" customFormat="true" ht="20.1" hidden="false" customHeight="true" outlineLevel="0" collapsed="false">
      <c r="C290" s="1407" t="s">
        <v>713</v>
      </c>
      <c r="D290" s="1408" t="s">
        <v>714</v>
      </c>
      <c r="E290" s="1408"/>
      <c r="F290" s="1407" t="s">
        <v>715</v>
      </c>
      <c r="G290" s="1407" t="s">
        <v>716</v>
      </c>
      <c r="H290" s="1409" t="s">
        <v>717</v>
      </c>
      <c r="I290" s="1409" t="s">
        <v>718</v>
      </c>
      <c r="J290" s="1409" t="s">
        <v>719</v>
      </c>
      <c r="L290" s="1410"/>
      <c r="M290" s="1064"/>
      <c r="N290" s="1064"/>
      <c r="O290" s="1064"/>
      <c r="P290" s="1064"/>
      <c r="Q290" s="1064"/>
      <c r="R290" s="1064"/>
    </row>
    <row r="291" s="1064" customFormat="true" ht="13.5" hidden="false" customHeight="true" outlineLevel="0" collapsed="false">
      <c r="C291" s="1411"/>
      <c r="D291" s="1412"/>
      <c r="E291" s="1412"/>
      <c r="F291" s="1411"/>
      <c r="G291" s="1412"/>
      <c r="H291" s="1412"/>
      <c r="I291" s="1412"/>
      <c r="J291" s="1412"/>
      <c r="L291" s="1413"/>
      <c r="M291" s="582"/>
      <c r="N291" s="582"/>
      <c r="O291" s="582"/>
      <c r="P291" s="582"/>
      <c r="Q291" s="582"/>
      <c r="R291" s="582"/>
    </row>
    <row r="292" customFormat="false" ht="20.1" hidden="false" customHeight="true" outlineLevel="0" collapsed="false">
      <c r="A292" s="771" t="s">
        <v>230</v>
      </c>
      <c r="B292" s="1064"/>
      <c r="C292" s="1064"/>
      <c r="D292" s="1064"/>
      <c r="E292" s="1064"/>
      <c r="F292" s="1064"/>
      <c r="G292" s="1352"/>
      <c r="H292" s="1064"/>
      <c r="I292" s="1064"/>
      <c r="J292" s="1064"/>
      <c r="L292" s="1353" t="s">
        <v>699</v>
      </c>
      <c r="M292" s="920"/>
      <c r="N292" s="920"/>
      <c r="O292" s="920"/>
      <c r="P292" s="920"/>
      <c r="Q292" s="920"/>
      <c r="R292" s="920"/>
    </row>
    <row r="293" s="920" customFormat="true" ht="30" hidden="false" customHeight="true" outlineLevel="0" collapsed="false">
      <c r="A293" s="1354" t="s">
        <v>369</v>
      </c>
      <c r="B293" s="1355" t="s">
        <v>700</v>
      </c>
      <c r="C293" s="1356" t="s">
        <v>701</v>
      </c>
      <c r="D293" s="1414" t="s">
        <v>702</v>
      </c>
      <c r="E293" s="1415" t="s">
        <v>739</v>
      </c>
      <c r="F293" s="1416" t="s">
        <v>721</v>
      </c>
      <c r="G293" s="1417" t="s">
        <v>704</v>
      </c>
      <c r="H293" s="1357" t="s">
        <v>705</v>
      </c>
      <c r="I293" s="1357" t="s">
        <v>706</v>
      </c>
      <c r="J293" s="1359" t="s">
        <v>707</v>
      </c>
      <c r="L293" s="1360" t="s">
        <v>708</v>
      </c>
      <c r="M293" s="582"/>
      <c r="N293" s="582"/>
      <c r="O293" s="582"/>
      <c r="P293" s="582"/>
      <c r="Q293" s="582"/>
      <c r="R293" s="582"/>
    </row>
    <row r="294" customFormat="false" ht="32.25" hidden="false" customHeight="true" outlineLevel="0" collapsed="false">
      <c r="A294" s="1418" t="s">
        <v>753</v>
      </c>
      <c r="B294" s="1362" t="n">
        <f aca="false">B300-B296-B298</f>
        <v>505275364</v>
      </c>
      <c r="C294" s="1363" t="n">
        <f aca="false">ROUNDDOWN(B294*C295/B295,0)</f>
        <v>445481730</v>
      </c>
      <c r="D294" s="1419" t="n">
        <f aca="false">ROUNDDOWN(B294*D295/B295,0)</f>
        <v>22230966</v>
      </c>
      <c r="E294" s="1420" t="n">
        <f aca="false">ROUNDDOWN(B294*E295/B295,0)</f>
        <v>7857496</v>
      </c>
      <c r="F294" s="1421" t="n">
        <f aca="false">ROUNDDOWN(B294*F295/B295,0)</f>
        <v>479115</v>
      </c>
      <c r="G294" s="1421" t="n">
        <f aca="false">ROUNDDOWN(B294*G295/B295,0)</f>
        <v>5270272</v>
      </c>
      <c r="H294" s="1421" t="n">
        <f aca="false">ROUNDDOWN(B294*H295/B295,0)</f>
        <v>958231</v>
      </c>
      <c r="I294" s="1421" t="n">
        <f aca="false">ROUNDDOWN(B294*I295/B295,0)</f>
        <v>114987</v>
      </c>
      <c r="J294" s="1422" t="n">
        <f aca="false">B294-C294-D294-E294-F294-G294-H294-I294</f>
        <v>22882567</v>
      </c>
      <c r="L294" s="1423" t="n">
        <f aca="false">SUM(I294:J294)</f>
        <v>22997554</v>
      </c>
      <c r="M294" s="1511"/>
      <c r="N294" s="1511"/>
      <c r="O294" s="1511"/>
      <c r="P294" s="1511"/>
      <c r="Q294" s="1511"/>
      <c r="R294" s="1511"/>
    </row>
    <row r="295" s="1511" customFormat="true" ht="15" hidden="false" customHeight="true" outlineLevel="0" collapsed="false">
      <c r="A295" s="1504" t="s">
        <v>710</v>
      </c>
      <c r="B295" s="1438" t="n">
        <f aca="false">SUM(C295:J295)</f>
        <v>52.73</v>
      </c>
      <c r="C295" s="1520" t="n">
        <f aca="false">$C$16</f>
        <v>46.49</v>
      </c>
      <c r="D295" s="1440" t="n">
        <f aca="false">$D$16</f>
        <v>2.32</v>
      </c>
      <c r="E295" s="1521" t="n">
        <f aca="false">$E$16</f>
        <v>0.82</v>
      </c>
      <c r="F295" s="1522" t="n">
        <f aca="false">$F$16</f>
        <v>0.05</v>
      </c>
      <c r="G295" s="1522" t="n">
        <f aca="false">$G$16</f>
        <v>0.55</v>
      </c>
      <c r="H295" s="1523" t="n">
        <f aca="false">$H$16</f>
        <v>0.1</v>
      </c>
      <c r="I295" s="1524" t="n">
        <f aca="false">$I$16</f>
        <v>0.012</v>
      </c>
      <c r="J295" s="1525" t="n">
        <f aca="false">$J$16</f>
        <v>2.388</v>
      </c>
      <c r="K295" s="1381"/>
      <c r="L295" s="1432" t="n">
        <f aca="false">SUM(I295:J295)</f>
        <v>2.4</v>
      </c>
      <c r="M295" s="582"/>
      <c r="N295" s="582"/>
      <c r="O295" s="582"/>
      <c r="P295" s="582"/>
      <c r="Q295" s="582"/>
      <c r="R295" s="582"/>
    </row>
    <row r="296" customFormat="false" ht="32.25" hidden="false" customHeight="true" outlineLevel="0" collapsed="false">
      <c r="A296" s="1361" t="s">
        <v>723</v>
      </c>
      <c r="B296" s="1362" t="n">
        <f aca="false">'☆掛負収入'!I631+'☆掛負収入'!I632</f>
        <v>132066353</v>
      </c>
      <c r="C296" s="1363" t="n">
        <f aca="false">ROUNDDOWN((B296-E296)/B297*C297,0)</f>
        <v>118258791</v>
      </c>
      <c r="D296" s="1433" t="n">
        <f aca="false">ROUNDDOWN((B296-E296)/B297*D297,0)</f>
        <v>5901492</v>
      </c>
      <c r="E296" s="1434" t="n">
        <f aca="false">ROUNDDOWN(B307*E281/1000,0)</f>
        <v>20454</v>
      </c>
      <c r="F296" s="1363" t="n">
        <f aca="false">ROUNDDOWN((B296-E296)/B297*F297,0)</f>
        <v>127187</v>
      </c>
      <c r="G296" s="1363" t="n">
        <f aca="false">ROUNDDOWN((B296-E296)/B297*G297,0)</f>
        <v>1399060</v>
      </c>
      <c r="H296" s="1384" t="n">
        <f aca="false">ROUNDDOWN((B296-E296)/B297*H297,0)</f>
        <v>254374</v>
      </c>
      <c r="I296" s="1384" t="n">
        <f aca="false">ROUNDDOWN((B296-E296)/B297*I297,0)</f>
        <v>30524</v>
      </c>
      <c r="J296" s="1435" t="n">
        <f aca="false">B296-C296-D296-E296-F296-G296-H296-I296</f>
        <v>6074471</v>
      </c>
      <c r="K296" s="1379" t="s">
        <v>711</v>
      </c>
      <c r="L296" s="1436" t="n">
        <f aca="false">SUM(I296:J296)</f>
        <v>6104995</v>
      </c>
      <c r="M296" s="1381"/>
      <c r="N296" s="1381"/>
      <c r="O296" s="1381"/>
      <c r="P296" s="1381"/>
      <c r="Q296" s="1381"/>
      <c r="R296" s="1381"/>
    </row>
    <row r="297" s="1381" customFormat="true" ht="15" hidden="false" customHeight="true" outlineLevel="0" collapsed="false">
      <c r="A297" s="1526" t="s">
        <v>710</v>
      </c>
      <c r="B297" s="1438" t="n">
        <f aca="false">SUM(C297:J297)</f>
        <v>51.91</v>
      </c>
      <c r="C297" s="1439" t="n">
        <f aca="false">C295</f>
        <v>46.49</v>
      </c>
      <c r="D297" s="1440" t="n">
        <f aca="false">D295</f>
        <v>2.32</v>
      </c>
      <c r="E297" s="1441" t="s">
        <v>724</v>
      </c>
      <c r="F297" s="1442" t="n">
        <f aca="false">F295</f>
        <v>0.05</v>
      </c>
      <c r="G297" s="1442" t="n">
        <f aca="false">G295</f>
        <v>0.55</v>
      </c>
      <c r="H297" s="1443" t="n">
        <f aca="false">H295</f>
        <v>0.1</v>
      </c>
      <c r="I297" s="1444" t="n">
        <f aca="false">I295</f>
        <v>0.012</v>
      </c>
      <c r="J297" s="1445" t="n">
        <f aca="false">J295</f>
        <v>2.388</v>
      </c>
      <c r="K297" s="1379"/>
      <c r="L297" s="1446" t="n">
        <f aca="false">SUM(I297:J297)</f>
        <v>2.4</v>
      </c>
      <c r="M297" s="582"/>
      <c r="N297" s="582"/>
      <c r="O297" s="582"/>
      <c r="P297" s="582"/>
      <c r="Q297" s="582"/>
      <c r="R297" s="582"/>
    </row>
    <row r="298" customFormat="false" ht="32.25" hidden="false" customHeight="true" outlineLevel="0" collapsed="false">
      <c r="A298" s="1447" t="s">
        <v>725</v>
      </c>
      <c r="B298" s="1362" t="n">
        <f aca="false">'☆掛負収入'!I648+E298</f>
        <v>57067</v>
      </c>
      <c r="C298" s="1363" t="n">
        <f aca="false">ROUNDDOWN((B298-E298)/B299*C299,0)</f>
        <v>50884</v>
      </c>
      <c r="D298" s="1433" t="n">
        <f aca="false">ROUNDDOWN((B298-E298)/B299*D299,0)</f>
        <v>2539</v>
      </c>
      <c r="E298" s="1448" t="n">
        <f aca="false">'☆労組公的負担（短期）'!F15</f>
        <v>250</v>
      </c>
      <c r="F298" s="1363" t="n">
        <f aca="false">ROUNDDOWN((B298-E298)/B299*F299,0)</f>
        <v>54</v>
      </c>
      <c r="G298" s="1363" t="n">
        <f aca="false">ROUNDDOWN((B298-E298)/B299*G299,0)</f>
        <v>601</v>
      </c>
      <c r="H298" s="1384" t="n">
        <f aca="false">H300-H294-H296</f>
        <v>110</v>
      </c>
      <c r="I298" s="1384" t="n">
        <f aca="false">I300-I294-I296</f>
        <v>16</v>
      </c>
      <c r="J298" s="1435" t="n">
        <f aca="false">B298-C298-D298-E298-F298-G298-H298-I298</f>
        <v>2613</v>
      </c>
      <c r="L298" s="1436" t="n">
        <f aca="false">SUM(I298:J298)</f>
        <v>2629</v>
      </c>
      <c r="M298" s="1381"/>
      <c r="N298" s="1381"/>
      <c r="O298" s="1381"/>
      <c r="P298" s="1381"/>
      <c r="Q298" s="1381"/>
      <c r="R298" s="1381"/>
    </row>
    <row r="299" s="1381" customFormat="true" ht="15" hidden="false" customHeight="true" outlineLevel="0" collapsed="false">
      <c r="A299" s="1512" t="s">
        <v>710</v>
      </c>
      <c r="B299" s="1449" t="n">
        <f aca="false">SUM(C299:J299)</f>
        <v>51.91</v>
      </c>
      <c r="C299" s="1439" t="n">
        <f aca="false">C295</f>
        <v>46.49</v>
      </c>
      <c r="D299" s="1440" t="n">
        <f aca="false">D295</f>
        <v>2.32</v>
      </c>
      <c r="E299" s="1450" t="s">
        <v>726</v>
      </c>
      <c r="F299" s="1451" t="n">
        <f aca="false">F295</f>
        <v>0.05</v>
      </c>
      <c r="G299" s="1451" t="n">
        <f aca="false">G295</f>
        <v>0.55</v>
      </c>
      <c r="H299" s="1452" t="n">
        <f aca="false">H295</f>
        <v>0.1</v>
      </c>
      <c r="I299" s="1453" t="n">
        <f aca="false">I295</f>
        <v>0.012</v>
      </c>
      <c r="J299" s="1454" t="n">
        <f aca="false">J295</f>
        <v>2.388</v>
      </c>
      <c r="L299" s="1455" t="n">
        <f aca="false">SUM(I299:J299)</f>
        <v>2.4</v>
      </c>
      <c r="M299" s="582"/>
      <c r="N299" s="582"/>
      <c r="O299" s="582"/>
      <c r="P299" s="582"/>
      <c r="Q299" s="582"/>
      <c r="R299" s="582"/>
    </row>
    <row r="300" customFormat="false" ht="30" hidden="false" customHeight="true" outlineLevel="0" collapsed="false">
      <c r="A300" s="1399" t="s">
        <v>650</v>
      </c>
      <c r="B300" s="1456" t="n">
        <f aca="false">'☆掛負収入'!I650</f>
        <v>637398784</v>
      </c>
      <c r="C300" s="1457" t="n">
        <f aca="false">C294+C296+C298</f>
        <v>563791405</v>
      </c>
      <c r="D300" s="1458" t="n">
        <f aca="false">D294+D296+D298</f>
        <v>28134997</v>
      </c>
      <c r="E300" s="1459" t="n">
        <f aca="false">E294+E296+E298</f>
        <v>7878200</v>
      </c>
      <c r="F300" s="1460" t="n">
        <f aca="false">F294+F296+F298</f>
        <v>606356</v>
      </c>
      <c r="G300" s="1460" t="n">
        <f aca="false">G294+G296+G298</f>
        <v>6669933</v>
      </c>
      <c r="H300" s="1460" t="n">
        <f aca="false">ROUNDDOWN((B305+B336)*H281/1000,0)-H336-H289</f>
        <v>1212715</v>
      </c>
      <c r="I300" s="1460" t="n">
        <f aca="false">ROUNDDOWN((B305+B336)*I281/1000,0)-H338-I289</f>
        <v>145527</v>
      </c>
      <c r="J300" s="1527" t="n">
        <f aca="false">J294+J296+J298</f>
        <v>28959651</v>
      </c>
      <c r="L300" s="1463" t="n">
        <f aca="false">SUM(I300:J300)</f>
        <v>29105178</v>
      </c>
      <c r="M300" s="1407"/>
      <c r="N300" s="1407"/>
      <c r="O300" s="1407"/>
      <c r="P300" s="1407"/>
      <c r="Q300" s="1407"/>
      <c r="R300" s="1407"/>
    </row>
    <row r="301" s="1407" customFormat="true" ht="20.1" hidden="false" customHeight="true" outlineLevel="0" collapsed="false">
      <c r="C301" s="1407" t="s">
        <v>713</v>
      </c>
      <c r="D301" s="1407" t="s">
        <v>714</v>
      </c>
      <c r="E301" s="1407" t="s">
        <v>714</v>
      </c>
      <c r="F301" s="1407" t="s">
        <v>715</v>
      </c>
      <c r="G301" s="1407" t="s">
        <v>716</v>
      </c>
      <c r="H301" s="1407" t="s">
        <v>717</v>
      </c>
      <c r="I301" s="1407" t="s">
        <v>718</v>
      </c>
      <c r="J301" s="1407" t="s">
        <v>719</v>
      </c>
      <c r="L301" s="1464"/>
      <c r="M301" s="764"/>
      <c r="N301" s="764"/>
      <c r="O301" s="764"/>
      <c r="P301" s="764"/>
      <c r="Q301" s="764"/>
      <c r="R301" s="764"/>
    </row>
    <row r="302" s="764" customFormat="true" ht="18.75" hidden="false" customHeight="true" outlineLevel="0" collapsed="false">
      <c r="A302" s="1465" t="s">
        <v>727</v>
      </c>
      <c r="B302" s="1466" t="n">
        <f aca="false">B289+B300</f>
        <v>1265698319</v>
      </c>
      <c r="C302" s="1467"/>
      <c r="D302" s="1467"/>
      <c r="E302" s="1467"/>
      <c r="K302" s="1342"/>
    </row>
    <row r="303" s="764" customFormat="true" ht="18.75" hidden="false" customHeight="true" outlineLevel="0" collapsed="false">
      <c r="A303" s="1477"/>
      <c r="B303" s="1470"/>
      <c r="C303" s="1471" t="s">
        <v>728</v>
      </c>
      <c r="D303" s="1472"/>
      <c r="E303" s="1473"/>
      <c r="F303" s="1474" t="s">
        <v>729</v>
      </c>
      <c r="G303" s="1473"/>
      <c r="H303" s="1475" t="n">
        <f aca="false">G289+G300</f>
        <v>13333348</v>
      </c>
      <c r="I303" s="1476" t="s">
        <v>430</v>
      </c>
      <c r="K303" s="1342"/>
    </row>
    <row r="304" s="764" customFormat="true" ht="18.75" hidden="false" customHeight="true" outlineLevel="0" collapsed="false">
      <c r="A304" s="1477" t="s">
        <v>730</v>
      </c>
      <c r="B304" s="1478"/>
      <c r="C304" s="1479"/>
      <c r="D304" s="1480"/>
      <c r="E304" s="1475" t="n">
        <f aca="false">C289+C300</f>
        <v>1127031771</v>
      </c>
      <c r="F304" s="1481" t="str">
        <f aca="false">IF(H303=('☆拠出金明細R7'!V81-H334),"　","明細と不一致!")</f>
        <v>　</v>
      </c>
      <c r="G304" s="1482" t="n">
        <f aca="false">B305</f>
        <v>12121225000</v>
      </c>
      <c r="H304" s="1483" t="n">
        <f aca="false">G281</f>
        <v>1.1</v>
      </c>
      <c r="I304" s="1475"/>
      <c r="K304" s="1342"/>
    </row>
    <row r="305" s="764" customFormat="true" ht="18.75" hidden="false" customHeight="true" outlineLevel="0" collapsed="false">
      <c r="A305" s="1484" t="s">
        <v>577</v>
      </c>
      <c r="B305" s="1485" t="n">
        <f aca="false">ROUNDUP(((H303+H334)/G281*1000)-B336,-3)</f>
        <v>12121225000</v>
      </c>
      <c r="C305" s="1471" t="s">
        <v>731</v>
      </c>
      <c r="D305" s="1472"/>
      <c r="E305" s="1486"/>
      <c r="F305" s="1474" t="s">
        <v>732</v>
      </c>
      <c r="G305" s="1473"/>
      <c r="H305" s="1475" t="n">
        <f aca="false">H289+H300</f>
        <v>2424245</v>
      </c>
      <c r="I305" s="1069" t="s">
        <v>431</v>
      </c>
      <c r="K305" s="1342"/>
      <c r="L305" s="1381"/>
      <c r="M305" s="1381"/>
      <c r="N305" s="1381"/>
      <c r="O305" s="1381"/>
      <c r="P305" s="1381"/>
      <c r="Q305" s="1381"/>
    </row>
    <row r="306" s="1381" customFormat="true" ht="18.75" hidden="false" customHeight="true" outlineLevel="0" collapsed="false">
      <c r="A306" s="1484"/>
      <c r="B306" s="1485"/>
      <c r="C306" s="1487"/>
      <c r="D306" s="1480"/>
      <c r="E306" s="1475" t="n">
        <f aca="false">D289+D300+E300</f>
        <v>64120696</v>
      </c>
      <c r="F306" s="1481" t="str">
        <f aca="false">IF(H305=('☆拠出金明細R7'!AD80-H336),"　","明細と不一致!")</f>
        <v>　</v>
      </c>
      <c r="G306" s="1482" t="n">
        <f aca="false">B305</f>
        <v>12121225000</v>
      </c>
      <c r="H306" s="1483" t="n">
        <f aca="false">H281</f>
        <v>0.2</v>
      </c>
      <c r="I306" s="1069"/>
      <c r="K306" s="1488"/>
      <c r="L306" s="582"/>
      <c r="M306" s="582"/>
      <c r="N306" s="582"/>
      <c r="O306" s="582"/>
      <c r="P306" s="582"/>
      <c r="Q306" s="582"/>
    </row>
    <row r="307" customFormat="false" ht="18.75" hidden="false" customHeight="true" outlineLevel="0" collapsed="false">
      <c r="A307" s="1489" t="s">
        <v>746</v>
      </c>
      <c r="B307" s="1490" t="n">
        <v>24944000</v>
      </c>
      <c r="C307" s="1491" t="s">
        <v>734</v>
      </c>
      <c r="D307" s="1493"/>
      <c r="E307" s="1473"/>
      <c r="F307" s="1493" t="s">
        <v>735</v>
      </c>
      <c r="G307" s="1472"/>
      <c r="H307" s="1475" t="n">
        <f aca="false">I289+I300</f>
        <v>290910</v>
      </c>
      <c r="I307" s="1069" t="s">
        <v>432</v>
      </c>
      <c r="K307" s="1337"/>
      <c r="L307" s="582"/>
    </row>
    <row r="308" customFormat="false" ht="18.75" hidden="false" customHeight="true" outlineLevel="0" collapsed="false">
      <c r="A308" s="1489"/>
      <c r="B308" s="1490"/>
      <c r="C308" s="1494"/>
      <c r="D308" s="1481" t="str">
        <f aca="false">IF(E308=('☆拠出金明細R7'!K81-E339),"　","明細と不一致!")</f>
        <v>　</v>
      </c>
      <c r="E308" s="1475" t="n">
        <f aca="false">F300</f>
        <v>606356</v>
      </c>
      <c r="F308" s="1481" t="str">
        <f aca="false">IF(H307=('☆拠出金明細R7'!AN81-H338),"　","明細と不一致!")</f>
        <v>　</v>
      </c>
      <c r="G308" s="1482" t="n">
        <f aca="false">B305</f>
        <v>12121225000</v>
      </c>
      <c r="H308" s="1495" t="n">
        <f aca="false">I281</f>
        <v>0.024</v>
      </c>
      <c r="K308" s="1337"/>
      <c r="L308" s="582"/>
    </row>
    <row r="309" customFormat="false" ht="18.75" hidden="false" customHeight="true" outlineLevel="0" collapsed="false">
      <c r="A309" s="1253"/>
      <c r="B309" s="1496"/>
      <c r="C309" s="1491" t="s">
        <v>736</v>
      </c>
      <c r="D309" s="1493"/>
      <c r="E309" s="1497"/>
      <c r="F309" s="1498" t="s">
        <v>737</v>
      </c>
      <c r="G309" s="1498"/>
      <c r="H309" s="1498"/>
      <c r="K309" s="1337"/>
      <c r="L309" s="582"/>
    </row>
    <row r="310" customFormat="false" ht="18.75" hidden="false" customHeight="true" outlineLevel="0" collapsed="false">
      <c r="A310" s="1253"/>
      <c r="B310" s="1496"/>
      <c r="C310" s="1499"/>
      <c r="D310" s="1486"/>
      <c r="E310" s="1475" t="n">
        <f aca="false">J289+J300</f>
        <v>57890993</v>
      </c>
      <c r="F310" s="1498"/>
      <c r="G310" s="1498"/>
      <c r="H310" s="1498"/>
      <c r="I310" s="1535"/>
      <c r="K310" s="1337"/>
      <c r="L310" s="764"/>
      <c r="M310" s="764"/>
      <c r="N310" s="764"/>
      <c r="O310" s="764"/>
      <c r="P310" s="764"/>
      <c r="Q310" s="764"/>
    </row>
    <row r="311" s="764" customFormat="true" ht="26.25" hidden="false" customHeight="true" outlineLevel="0" collapsed="false">
      <c r="A311" s="1338" t="n">
        <f aca="false">A280</f>
        <v>46387</v>
      </c>
      <c r="B311" s="1339" t="s">
        <v>688</v>
      </c>
      <c r="C311" s="1340" t="s">
        <v>689</v>
      </c>
      <c r="D311" s="1105" t="s">
        <v>690</v>
      </c>
      <c r="E311" s="1105" t="s">
        <v>691</v>
      </c>
      <c r="F311" s="1105" t="s">
        <v>692</v>
      </c>
      <c r="G311" s="1105" t="s">
        <v>693</v>
      </c>
      <c r="H311" s="1105" t="s">
        <v>694</v>
      </c>
      <c r="I311" s="1105" t="s">
        <v>695</v>
      </c>
      <c r="J311" s="1341"/>
      <c r="L311" s="1342"/>
      <c r="M311" s="1344"/>
      <c r="N311" s="1344"/>
      <c r="O311" s="1344"/>
      <c r="P311" s="1344"/>
      <c r="Q311" s="1344"/>
      <c r="R311" s="1344"/>
    </row>
    <row r="312" s="1344" customFormat="true" ht="26.25" hidden="false" customHeight="true" outlineLevel="0" collapsed="false">
      <c r="A312" s="1343"/>
      <c r="C312" s="1340"/>
      <c r="D312" s="1501" t="n">
        <f aca="false">$D$2</f>
        <v>4.64</v>
      </c>
      <c r="E312" s="1502" t="n">
        <f aca="false">$E$2</f>
        <v>0.82</v>
      </c>
      <c r="F312" s="1502" t="n">
        <f aca="false">$F$2</f>
        <v>0.05</v>
      </c>
      <c r="G312" s="1502" t="n">
        <f aca="false">$G$2</f>
        <v>1.1</v>
      </c>
      <c r="H312" s="1502" t="n">
        <f aca="false">$H$2</f>
        <v>0.2</v>
      </c>
      <c r="I312" s="1502" t="n">
        <f aca="false">$I$2</f>
        <v>0.024</v>
      </c>
      <c r="J312" s="1348"/>
      <c r="L312" s="1349"/>
      <c r="M312" s="582"/>
      <c r="N312" s="582"/>
      <c r="O312" s="582"/>
      <c r="P312" s="582"/>
      <c r="Q312" s="582"/>
      <c r="R312" s="582"/>
    </row>
    <row r="313" customFormat="false" ht="13.9" hidden="false" customHeight="true" outlineLevel="0" collapsed="false">
      <c r="C313" s="1341"/>
      <c r="D313" s="1341"/>
      <c r="E313" s="1341"/>
      <c r="F313" s="1503"/>
      <c r="G313" s="1341"/>
      <c r="H313" s="1341"/>
      <c r="I313" s="1341"/>
      <c r="J313" s="1341"/>
    </row>
    <row r="314" customFormat="false" ht="20.1" hidden="false" customHeight="true" outlineLevel="0" collapsed="false">
      <c r="A314" s="771" t="s">
        <v>698</v>
      </c>
      <c r="G314" s="1352"/>
      <c r="L314" s="1353" t="s">
        <v>699</v>
      </c>
      <c r="M314" s="1197"/>
      <c r="N314" s="1197"/>
      <c r="O314" s="1197"/>
      <c r="P314" s="1197"/>
      <c r="Q314" s="1197"/>
      <c r="R314" s="1197"/>
    </row>
    <row r="315" s="1197" customFormat="true" ht="30" hidden="false" customHeight="true" outlineLevel="0" collapsed="false">
      <c r="A315" s="1354" t="s">
        <v>369</v>
      </c>
      <c r="B315" s="1355" t="s">
        <v>700</v>
      </c>
      <c r="C315" s="1356" t="s">
        <v>701</v>
      </c>
      <c r="D315" s="1357" t="s">
        <v>702</v>
      </c>
      <c r="E315" s="1357"/>
      <c r="F315" s="1358" t="s">
        <v>703</v>
      </c>
      <c r="G315" s="1357" t="s">
        <v>704</v>
      </c>
      <c r="H315" s="1357" t="s">
        <v>705</v>
      </c>
      <c r="I315" s="1357" t="s">
        <v>706</v>
      </c>
      <c r="J315" s="1359" t="s">
        <v>707</v>
      </c>
      <c r="L315" s="1360" t="s">
        <v>708</v>
      </c>
      <c r="M315" s="582"/>
      <c r="N315" s="582"/>
      <c r="O315" s="582"/>
      <c r="P315" s="582"/>
      <c r="Q315" s="582"/>
      <c r="R315" s="582"/>
    </row>
    <row r="316" customFormat="false" ht="32.25" hidden="false" customHeight="true" outlineLevel="0" collapsed="false">
      <c r="A316" s="1361" t="s">
        <v>709</v>
      </c>
      <c r="B316" s="1362" t="n">
        <f aca="false">B320-B318</f>
        <v>365041686</v>
      </c>
      <c r="C316" s="1363" t="n">
        <f aca="false">ROUNDDOWN(B316*C317/B317,0)</f>
        <v>327242344</v>
      </c>
      <c r="D316" s="1364" t="n">
        <f aca="false">ROUNDDOWN(B316*D317/B317,0)</f>
        <v>16330441</v>
      </c>
      <c r="E316" s="1364" t="n">
        <f aca="false">ROUNDDOWN(D316*E317/D317,0)</f>
        <v>0</v>
      </c>
      <c r="F316" s="1365" t="s">
        <v>522</v>
      </c>
      <c r="G316" s="1366" t="n">
        <f aca="false">ROUNDDOWN(B316*G317/B317,0)</f>
        <v>3871440</v>
      </c>
      <c r="H316" s="1367" t="n">
        <f aca="false">ROUNDDOWN(B316*H317/B317,0)</f>
        <v>703898</v>
      </c>
      <c r="I316" s="1364" t="n">
        <f aca="false">ROUNDDOWN(B316*I317/B317,0)</f>
        <v>84467</v>
      </c>
      <c r="J316" s="1368" t="n">
        <f aca="false">B316-C316-D316-G316-H316-I316</f>
        <v>16809096</v>
      </c>
      <c r="L316" s="1369" t="n">
        <f aca="false">SUM(I316:J316)</f>
        <v>16893563</v>
      </c>
      <c r="M316" s="1511"/>
      <c r="N316" s="1511"/>
      <c r="O316" s="1511"/>
      <c r="P316" s="1511"/>
      <c r="Q316" s="1511"/>
      <c r="R316" s="1511"/>
    </row>
    <row r="317" s="1511" customFormat="true" ht="15" hidden="false" customHeight="true" outlineLevel="0" collapsed="false">
      <c r="A317" s="1504" t="s">
        <v>710</v>
      </c>
      <c r="B317" s="1505" t="n">
        <f aca="false">SUM(C317:J317)</f>
        <v>51.86</v>
      </c>
      <c r="C317" s="1506" t="n">
        <f aca="false">$C$7</f>
        <v>46.49</v>
      </c>
      <c r="D317" s="1507" t="n">
        <f aca="false">$D$7</f>
        <v>2.32</v>
      </c>
      <c r="E317" s="1507"/>
      <c r="F317" s="1508" t="s">
        <v>522</v>
      </c>
      <c r="G317" s="1509" t="n">
        <f aca="false">$G$7</f>
        <v>0.55</v>
      </c>
      <c r="H317" s="1442" t="n">
        <f aca="false">$H$7</f>
        <v>0.1</v>
      </c>
      <c r="I317" s="1443" t="n">
        <f aca="false">$I$7</f>
        <v>0.012</v>
      </c>
      <c r="J317" s="1510" t="n">
        <f aca="false">$J$7</f>
        <v>2.388</v>
      </c>
      <c r="K317" s="1379" t="s">
        <v>711</v>
      </c>
      <c r="L317" s="1380" t="n">
        <f aca="false">SUM(I317:J317)</f>
        <v>2.4</v>
      </c>
      <c r="M317" s="582"/>
      <c r="N317" s="582"/>
      <c r="O317" s="582"/>
      <c r="P317" s="582"/>
      <c r="Q317" s="582"/>
      <c r="R317" s="582"/>
    </row>
    <row r="318" customFormat="false" ht="32.25" hidden="false" customHeight="true" outlineLevel="0" collapsed="false">
      <c r="A318" s="1361" t="s">
        <v>712</v>
      </c>
      <c r="B318" s="1362" t="n">
        <f aca="false">'☆短期集計R7'!D35</f>
        <v>1270075</v>
      </c>
      <c r="C318" s="1363" t="n">
        <f aca="false">ROUNDDOWN(B318*C319/B319,0)</f>
        <v>1138561</v>
      </c>
      <c r="D318" s="1382" t="n">
        <f aca="false">ROUNDDOWN(B318*D319/B319,0)</f>
        <v>56817</v>
      </c>
      <c r="E318" s="1382" t="n">
        <f aca="false">ROUNDDOWN(D318*E319/D319,0)</f>
        <v>0</v>
      </c>
      <c r="F318" s="1383" t="s">
        <v>522</v>
      </c>
      <c r="G318" s="1384" t="n">
        <f aca="false">ROUNDDOWN(B318*G319/B319,0)</f>
        <v>13469</v>
      </c>
      <c r="H318" s="1385" t="n">
        <f aca="false">ROUNDDOWN(B318*H319/B319,0)</f>
        <v>2449</v>
      </c>
      <c r="I318" s="1386" t="n">
        <f aca="false">ROUNDDOWN(B318*I319/B319,0)</f>
        <v>293</v>
      </c>
      <c r="J318" s="1387" t="n">
        <f aca="false">B318-C318-D318-G318-H318-I318</f>
        <v>58486</v>
      </c>
      <c r="K318" s="1379"/>
      <c r="L318" s="1388" t="n">
        <f aca="false">SUM(I318:J318)</f>
        <v>58779</v>
      </c>
      <c r="M318" s="1381"/>
      <c r="N318" s="1381"/>
      <c r="O318" s="1381"/>
      <c r="P318" s="1381"/>
      <c r="Q318" s="1381"/>
      <c r="R318" s="1381"/>
    </row>
    <row r="319" s="1381" customFormat="true" ht="15" hidden="false" customHeight="true" outlineLevel="0" collapsed="false">
      <c r="A319" s="1512" t="s">
        <v>710</v>
      </c>
      <c r="B319" s="1449" t="n">
        <f aca="false">SUM(C319:J319)</f>
        <v>103.72</v>
      </c>
      <c r="C319" s="1513" t="n">
        <f aca="false">C317*2</f>
        <v>92.98</v>
      </c>
      <c r="D319" s="1514" t="n">
        <f aca="false">D317*2</f>
        <v>4.64</v>
      </c>
      <c r="E319" s="1514"/>
      <c r="F319" s="1515" t="s">
        <v>522</v>
      </c>
      <c r="G319" s="1516" t="n">
        <f aca="false">G317*2</f>
        <v>1.1</v>
      </c>
      <c r="H319" s="1517" t="n">
        <f aca="false">H317*2</f>
        <v>0.2</v>
      </c>
      <c r="I319" s="1518" t="n">
        <f aca="false">I317*2</f>
        <v>0.024</v>
      </c>
      <c r="J319" s="1519" t="n">
        <f aca="false">J317*2</f>
        <v>4.776</v>
      </c>
      <c r="L319" s="1398" t="n">
        <f aca="false">L317*2</f>
        <v>4.8</v>
      </c>
      <c r="M319" s="582"/>
      <c r="N319" s="582"/>
      <c r="O319" s="582"/>
      <c r="P319" s="582"/>
      <c r="Q319" s="582"/>
      <c r="R319" s="582"/>
    </row>
    <row r="320" customFormat="false" ht="30" hidden="false" customHeight="true" outlineLevel="0" collapsed="false">
      <c r="A320" s="1399" t="s">
        <v>650</v>
      </c>
      <c r="B320" s="1400" t="n">
        <f aca="false">'☆短期集計R7'!B35+'☆短期集計R7'!D35</f>
        <v>366311761</v>
      </c>
      <c r="C320" s="1401" t="n">
        <f aca="false">C316+C318</f>
        <v>328380905</v>
      </c>
      <c r="D320" s="1402" t="n">
        <f aca="false">D316+D318</f>
        <v>16387258</v>
      </c>
      <c r="E320" s="1402"/>
      <c r="F320" s="1403" t="s">
        <v>522</v>
      </c>
      <c r="G320" s="1402" t="n">
        <f aca="false">G316+G318</f>
        <v>3884909</v>
      </c>
      <c r="H320" s="1401" t="n">
        <f aca="false">H316+H318</f>
        <v>706347</v>
      </c>
      <c r="I320" s="1402" t="n">
        <f aca="false">I316+I318</f>
        <v>84760</v>
      </c>
      <c r="J320" s="1404" t="n">
        <f aca="false">J316+J318</f>
        <v>16867582</v>
      </c>
      <c r="L320" s="1405" t="n">
        <f aca="false">L316+L318</f>
        <v>16952342</v>
      </c>
      <c r="M320" s="1406"/>
      <c r="N320" s="1406"/>
      <c r="O320" s="1406"/>
      <c r="P320" s="1406"/>
      <c r="Q320" s="1406"/>
      <c r="R320" s="1406"/>
    </row>
    <row r="321" s="1406" customFormat="true" ht="20.1" hidden="false" customHeight="true" outlineLevel="0" collapsed="false">
      <c r="C321" s="1407" t="s">
        <v>713</v>
      </c>
      <c r="D321" s="1408" t="s">
        <v>714</v>
      </c>
      <c r="E321" s="1408"/>
      <c r="F321" s="1407" t="s">
        <v>715</v>
      </c>
      <c r="G321" s="1407" t="s">
        <v>716</v>
      </c>
      <c r="H321" s="1409" t="s">
        <v>717</v>
      </c>
      <c r="I321" s="1409" t="s">
        <v>718</v>
      </c>
      <c r="J321" s="1409" t="s">
        <v>719</v>
      </c>
      <c r="L321" s="1410"/>
      <c r="M321" s="1064"/>
      <c r="N321" s="1064"/>
      <c r="O321" s="1064"/>
      <c r="P321" s="1064"/>
      <c r="Q321" s="1064"/>
      <c r="R321" s="1064"/>
    </row>
    <row r="322" s="1064" customFormat="true" ht="13.5" hidden="false" customHeight="true" outlineLevel="0" collapsed="false">
      <c r="C322" s="1411"/>
      <c r="D322" s="1412"/>
      <c r="E322" s="1412"/>
      <c r="F322" s="1411"/>
      <c r="G322" s="1412"/>
      <c r="H322" s="1412"/>
      <c r="I322" s="1412"/>
      <c r="J322" s="1412"/>
      <c r="L322" s="1413"/>
      <c r="M322" s="582"/>
      <c r="N322" s="582"/>
      <c r="O322" s="582"/>
      <c r="P322" s="582"/>
      <c r="Q322" s="582"/>
      <c r="R322" s="582"/>
    </row>
    <row r="323" customFormat="false" ht="20.1" hidden="false" customHeight="true" outlineLevel="0" collapsed="false">
      <c r="A323" s="771" t="s">
        <v>230</v>
      </c>
      <c r="B323" s="1064"/>
      <c r="C323" s="1064"/>
      <c r="D323" s="1064"/>
      <c r="E323" s="1064"/>
      <c r="F323" s="1064"/>
      <c r="G323" s="1352"/>
      <c r="H323" s="1064"/>
      <c r="I323" s="1064"/>
      <c r="J323" s="1064"/>
      <c r="L323" s="1353" t="s">
        <v>699</v>
      </c>
      <c r="M323" s="920"/>
      <c r="N323" s="920"/>
      <c r="O323" s="920"/>
      <c r="P323" s="920"/>
      <c r="Q323" s="920"/>
      <c r="R323" s="920"/>
    </row>
    <row r="324" s="920" customFormat="true" ht="30" hidden="false" customHeight="true" outlineLevel="0" collapsed="false">
      <c r="A324" s="1354" t="s">
        <v>369</v>
      </c>
      <c r="B324" s="1355" t="s">
        <v>700</v>
      </c>
      <c r="C324" s="1356" t="s">
        <v>701</v>
      </c>
      <c r="D324" s="1414" t="s">
        <v>702</v>
      </c>
      <c r="E324" s="1415" t="s">
        <v>739</v>
      </c>
      <c r="F324" s="1416" t="s">
        <v>721</v>
      </c>
      <c r="G324" s="1417" t="s">
        <v>704</v>
      </c>
      <c r="H324" s="1357" t="s">
        <v>705</v>
      </c>
      <c r="I324" s="1357" t="s">
        <v>706</v>
      </c>
      <c r="J324" s="1359" t="s">
        <v>707</v>
      </c>
      <c r="L324" s="1360" t="s">
        <v>708</v>
      </c>
      <c r="M324" s="582"/>
      <c r="N324" s="582"/>
      <c r="O324" s="582"/>
      <c r="P324" s="582"/>
      <c r="Q324" s="582"/>
      <c r="R324" s="582"/>
    </row>
    <row r="325" customFormat="false" ht="32.25" hidden="false" customHeight="true" outlineLevel="0" collapsed="false">
      <c r="A325" s="1418" t="s">
        <v>722</v>
      </c>
      <c r="B325" s="1362" t="n">
        <f aca="false">B331-B327-B329</f>
        <v>273118753</v>
      </c>
      <c r="C325" s="1363" t="n">
        <f aca="false">ROUNDDOWN(B325*C326/B326,0)</f>
        <v>240798233</v>
      </c>
      <c r="D325" s="1419" t="n">
        <f aca="false">ROUNDDOWN(B325*D326/B326,0)</f>
        <v>12016603</v>
      </c>
      <c r="E325" s="1420" t="n">
        <f aca="false">ROUNDDOWN(B325*E326/B326,0)</f>
        <v>4247247</v>
      </c>
      <c r="F325" s="1421" t="n">
        <f aca="false">ROUNDDOWN(B325*F326/B326,0)</f>
        <v>258978</v>
      </c>
      <c r="G325" s="1421" t="n">
        <f aca="false">ROUNDDOWN(B325*G326/B326,0)</f>
        <v>2848763</v>
      </c>
      <c r="H325" s="1421" t="n">
        <f aca="false">ROUNDDOWN(B325*H326/B326,0)</f>
        <v>517957</v>
      </c>
      <c r="I325" s="1421" t="n">
        <f aca="false">ROUNDDOWN(B325*I326/B326,0)</f>
        <v>62154</v>
      </c>
      <c r="J325" s="1422" t="n">
        <f aca="false">B325-C325-D325-E325-F325-G325-H325-I325</f>
        <v>12368818</v>
      </c>
      <c r="L325" s="1423" t="n">
        <f aca="false">SUM(I325:J325)</f>
        <v>12430972</v>
      </c>
      <c r="M325" s="1511"/>
      <c r="N325" s="1511"/>
      <c r="O325" s="1511"/>
      <c r="P325" s="1511"/>
      <c r="Q325" s="1511"/>
      <c r="R325" s="1511"/>
    </row>
    <row r="326" s="1511" customFormat="true" ht="15" hidden="false" customHeight="true" outlineLevel="0" collapsed="false">
      <c r="A326" s="1504" t="s">
        <v>710</v>
      </c>
      <c r="B326" s="1438" t="n">
        <f aca="false">SUM(C326:J326)</f>
        <v>52.73</v>
      </c>
      <c r="C326" s="1520" t="n">
        <f aca="false">$C$16</f>
        <v>46.49</v>
      </c>
      <c r="D326" s="1440" t="n">
        <f aca="false">$D$16</f>
        <v>2.32</v>
      </c>
      <c r="E326" s="1521" t="n">
        <f aca="false">$E$16</f>
        <v>0.82</v>
      </c>
      <c r="F326" s="1522" t="n">
        <f aca="false">$F$16</f>
        <v>0.05</v>
      </c>
      <c r="G326" s="1522" t="n">
        <f aca="false">$G$16</f>
        <v>0.55</v>
      </c>
      <c r="H326" s="1523" t="n">
        <f aca="false">$H$16</f>
        <v>0.1</v>
      </c>
      <c r="I326" s="1524" t="n">
        <f aca="false">$I$16</f>
        <v>0.012</v>
      </c>
      <c r="J326" s="1525" t="n">
        <f aca="false">$J$16</f>
        <v>2.388</v>
      </c>
      <c r="K326" s="1381"/>
      <c r="L326" s="1432" t="n">
        <f aca="false">SUM(I326:J326)</f>
        <v>2.4</v>
      </c>
      <c r="M326" s="582"/>
      <c r="N326" s="582"/>
      <c r="O326" s="582"/>
      <c r="P326" s="582"/>
      <c r="Q326" s="582"/>
      <c r="R326" s="582"/>
    </row>
    <row r="327" customFormat="false" ht="32.25" hidden="false" customHeight="true" outlineLevel="0" collapsed="false">
      <c r="A327" s="1361" t="s">
        <v>723</v>
      </c>
      <c r="B327" s="1362" t="n">
        <f aca="false">'☆掛負収入'!I696+'☆掛負収入'!I697</f>
        <v>96481657</v>
      </c>
      <c r="C327" s="1363" t="n">
        <f aca="false">ROUNDDOWN((B327-E327)/B328*C328,0)</f>
        <v>86398222</v>
      </c>
      <c r="D327" s="1433" t="n">
        <f aca="false">ROUNDDOWN((B327-E327)/B328*D328,0)</f>
        <v>4311548</v>
      </c>
      <c r="E327" s="1434" t="n">
        <f aca="false">ROUNDDOWN(B338*E312/1000,0)</f>
        <v>10766</v>
      </c>
      <c r="F327" s="1363" t="n">
        <f aca="false">ROUNDDOWN((B327-E327)/B328*F328,0)</f>
        <v>92921</v>
      </c>
      <c r="G327" s="1363" t="n">
        <f aca="false">ROUNDDOWN((B327-E327)/B328*G328,0)</f>
        <v>1022134</v>
      </c>
      <c r="H327" s="1384" t="n">
        <f aca="false">ROUNDDOWN((B327-E327)/B328*H328,0)</f>
        <v>185842</v>
      </c>
      <c r="I327" s="1384" t="n">
        <f aca="false">ROUNDDOWN((B327-E327)/B328*I328,0)</f>
        <v>22301</v>
      </c>
      <c r="J327" s="1435" t="n">
        <f aca="false">B327-C327-D327-E327-F327-G327-H327-I327</f>
        <v>4437923</v>
      </c>
      <c r="K327" s="1379" t="s">
        <v>711</v>
      </c>
      <c r="L327" s="1436" t="n">
        <f aca="false">SUM(I327:J327)</f>
        <v>4460224</v>
      </c>
      <c r="M327" s="1381"/>
      <c r="N327" s="1381"/>
      <c r="O327" s="1381"/>
      <c r="P327" s="1381"/>
      <c r="Q327" s="1381"/>
      <c r="R327" s="1381"/>
    </row>
    <row r="328" s="1381" customFormat="true" ht="15" hidden="false" customHeight="true" outlineLevel="0" collapsed="false">
      <c r="A328" s="1526" t="s">
        <v>710</v>
      </c>
      <c r="B328" s="1438" t="n">
        <f aca="false">SUM(C328:J328)</f>
        <v>51.91</v>
      </c>
      <c r="C328" s="1439" t="n">
        <f aca="false">C326</f>
        <v>46.49</v>
      </c>
      <c r="D328" s="1440" t="n">
        <f aca="false">D326</f>
        <v>2.32</v>
      </c>
      <c r="E328" s="1441" t="s">
        <v>724</v>
      </c>
      <c r="F328" s="1442" t="n">
        <f aca="false">F326</f>
        <v>0.05</v>
      </c>
      <c r="G328" s="1442" t="n">
        <f aca="false">G326</f>
        <v>0.55</v>
      </c>
      <c r="H328" s="1443" t="n">
        <f aca="false">H326</f>
        <v>0.1</v>
      </c>
      <c r="I328" s="1444" t="n">
        <f aca="false">I326</f>
        <v>0.012</v>
      </c>
      <c r="J328" s="1445" t="n">
        <f aca="false">J326</f>
        <v>2.388</v>
      </c>
      <c r="K328" s="1379"/>
      <c r="L328" s="1446" t="n">
        <f aca="false">SUM(I328:J328)</f>
        <v>2.4</v>
      </c>
      <c r="M328" s="582"/>
      <c r="N328" s="582"/>
      <c r="O328" s="582"/>
      <c r="P328" s="582"/>
      <c r="Q328" s="582"/>
      <c r="R328" s="582"/>
    </row>
    <row r="329" customFormat="false" ht="32.25" hidden="false" customHeight="true" outlineLevel="0" collapsed="false">
      <c r="A329" s="1447" t="s">
        <v>725</v>
      </c>
      <c r="B329" s="1362" t="n">
        <f aca="false">'☆掛負収入'!I713+E329</f>
        <v>48758</v>
      </c>
      <c r="C329" s="1363" t="n">
        <f aca="false">ROUNDDOWN((B329-E329)/B330*C330,0)</f>
        <v>43432</v>
      </c>
      <c r="D329" s="1433" t="n">
        <f aca="false">ROUNDDOWN((B329-E329)/B330*D330,0)</f>
        <v>2167</v>
      </c>
      <c r="E329" s="1448" t="n">
        <f aca="false">'☆労組公的負担（短期）'!F16</f>
        <v>262</v>
      </c>
      <c r="F329" s="1363" t="n">
        <f aca="false">ROUNDDOWN((B329-E329)/B330*F330,0)</f>
        <v>46</v>
      </c>
      <c r="G329" s="1363" t="n">
        <f aca="false">ROUNDDOWN((B329-E329)/B330*G330,0)</f>
        <v>513</v>
      </c>
      <c r="H329" s="1384" t="n">
        <f aca="false">H331-H325-H327</f>
        <v>94</v>
      </c>
      <c r="I329" s="1384" t="n">
        <f aca="false">I331-I325-I327</f>
        <v>13</v>
      </c>
      <c r="J329" s="1435" t="n">
        <f aca="false">B329-C329-D329-E329-F329-G329-H329-I329</f>
        <v>2231</v>
      </c>
      <c r="L329" s="1436" t="n">
        <f aca="false">SUM(I329:J329)</f>
        <v>2244</v>
      </c>
      <c r="M329" s="1381"/>
      <c r="N329" s="1381"/>
      <c r="O329" s="1381"/>
      <c r="P329" s="1381"/>
      <c r="Q329" s="1381"/>
      <c r="R329" s="1381"/>
    </row>
    <row r="330" s="1381" customFormat="true" ht="15" hidden="false" customHeight="true" outlineLevel="0" collapsed="false">
      <c r="A330" s="1512" t="s">
        <v>710</v>
      </c>
      <c r="B330" s="1449" t="n">
        <f aca="false">SUM(C330:J330)</f>
        <v>51.91</v>
      </c>
      <c r="C330" s="1439" t="n">
        <f aca="false">C326</f>
        <v>46.49</v>
      </c>
      <c r="D330" s="1440" t="n">
        <f aca="false">D326</f>
        <v>2.32</v>
      </c>
      <c r="E330" s="1450" t="s">
        <v>726</v>
      </c>
      <c r="F330" s="1451" t="n">
        <f aca="false">F326</f>
        <v>0.05</v>
      </c>
      <c r="G330" s="1451" t="n">
        <f aca="false">G326</f>
        <v>0.55</v>
      </c>
      <c r="H330" s="1452" t="n">
        <f aca="false">H326</f>
        <v>0.1</v>
      </c>
      <c r="I330" s="1453" t="n">
        <f aca="false">I326</f>
        <v>0.012</v>
      </c>
      <c r="J330" s="1454" t="n">
        <f aca="false">J326</f>
        <v>2.388</v>
      </c>
      <c r="L330" s="1455" t="n">
        <f aca="false">SUM(I330:J330)</f>
        <v>2.4</v>
      </c>
      <c r="M330" s="582"/>
      <c r="N330" s="582"/>
      <c r="O330" s="582"/>
      <c r="P330" s="582"/>
      <c r="Q330" s="582"/>
      <c r="R330" s="582"/>
    </row>
    <row r="331" customFormat="false" ht="30" hidden="false" customHeight="true" outlineLevel="0" collapsed="false">
      <c r="A331" s="1399" t="s">
        <v>650</v>
      </c>
      <c r="B331" s="1456" t="n">
        <f aca="false">'☆掛負収入'!I715</f>
        <v>369649168</v>
      </c>
      <c r="C331" s="1457" t="n">
        <f aca="false">C325+C327+C329</f>
        <v>327239887</v>
      </c>
      <c r="D331" s="1458" t="n">
        <f aca="false">D325+D327+D329</f>
        <v>16330318</v>
      </c>
      <c r="E331" s="1459" t="n">
        <f aca="false">E325+E327+E329</f>
        <v>4258275</v>
      </c>
      <c r="F331" s="1460" t="n">
        <f aca="false">F325+F327+F329</f>
        <v>351945</v>
      </c>
      <c r="G331" s="1460" t="n">
        <f aca="false">G325+G327+G329</f>
        <v>3871410</v>
      </c>
      <c r="H331" s="1460" t="n">
        <f aca="false">ROUNDDOWN(B336*H312/1000,0)-H320</f>
        <v>703893</v>
      </c>
      <c r="I331" s="1460" t="n">
        <f aca="false">ROUNDDOWN(B336*I312/1000,0)-I320</f>
        <v>84468</v>
      </c>
      <c r="J331" s="1527" t="n">
        <f aca="false">J325+J327+J329</f>
        <v>16808972</v>
      </c>
      <c r="L331" s="1463" t="n">
        <f aca="false">SUM(I331:J331)</f>
        <v>16893440</v>
      </c>
      <c r="M331" s="1407"/>
      <c r="N331" s="1407"/>
      <c r="O331" s="1407"/>
      <c r="P331" s="1407"/>
      <c r="Q331" s="1407"/>
      <c r="R331" s="1407"/>
    </row>
    <row r="332" s="1407" customFormat="true" ht="20.1" hidden="false" customHeight="true" outlineLevel="0" collapsed="false">
      <c r="C332" s="1407" t="s">
        <v>713</v>
      </c>
      <c r="D332" s="1407" t="s">
        <v>714</v>
      </c>
      <c r="E332" s="1407" t="s">
        <v>714</v>
      </c>
      <c r="F332" s="1407" t="s">
        <v>715</v>
      </c>
      <c r="G332" s="1407" t="s">
        <v>716</v>
      </c>
      <c r="H332" s="1407" t="s">
        <v>717</v>
      </c>
      <c r="I332" s="1407" t="s">
        <v>718</v>
      </c>
      <c r="J332" s="1407" t="s">
        <v>719</v>
      </c>
      <c r="L332" s="1464"/>
      <c r="M332" s="764"/>
      <c r="N332" s="764"/>
      <c r="O332" s="764"/>
      <c r="P332" s="764"/>
      <c r="Q332" s="764"/>
      <c r="R332" s="764"/>
    </row>
    <row r="333" s="764" customFormat="true" ht="18.75" hidden="false" customHeight="true" outlineLevel="0" collapsed="false">
      <c r="A333" s="1465" t="s">
        <v>727</v>
      </c>
      <c r="B333" s="1466" t="n">
        <f aca="false">B320+B331</f>
        <v>735960929</v>
      </c>
      <c r="C333" s="1467"/>
      <c r="D333" s="1467"/>
      <c r="E333" s="1467"/>
      <c r="F333" s="1539"/>
      <c r="J333" s="1540" t="s">
        <v>754</v>
      </c>
      <c r="K333" s="1540"/>
      <c r="L333" s="1540"/>
    </row>
    <row r="334" s="764" customFormat="true" ht="18.75" hidden="false" customHeight="true" outlineLevel="0" collapsed="false">
      <c r="A334" s="1477"/>
      <c r="B334" s="1470"/>
      <c r="C334" s="1471" t="s">
        <v>728</v>
      </c>
      <c r="D334" s="1472"/>
      <c r="E334" s="1473"/>
      <c r="F334" s="1474" t="s">
        <v>729</v>
      </c>
      <c r="G334" s="1473"/>
      <c r="H334" s="1475" t="n">
        <f aca="false">G320+G331</f>
        <v>7756319</v>
      </c>
      <c r="I334" s="1476" t="s">
        <v>430</v>
      </c>
      <c r="J334" s="1541" t="s">
        <v>742</v>
      </c>
      <c r="K334" s="1541"/>
      <c r="L334" s="1542" t="n">
        <f aca="false">L223+L254+L316</f>
        <v>50678636</v>
      </c>
    </row>
    <row r="335" s="764" customFormat="true" ht="18.75" hidden="false" customHeight="true" outlineLevel="0" collapsed="false">
      <c r="A335" s="1477" t="s">
        <v>730</v>
      </c>
      <c r="B335" s="1478"/>
      <c r="C335" s="1479"/>
      <c r="D335" s="1480"/>
      <c r="E335" s="1475" t="n">
        <f aca="false">C320+C331</f>
        <v>655620792</v>
      </c>
      <c r="F335" s="1481" t="str">
        <f aca="false">IF(H334=('☆拠出金明細R7'!V81-H303),"　","明細と不一致!")</f>
        <v>　</v>
      </c>
      <c r="G335" s="1482" t="n">
        <f aca="false">B336</f>
        <v>7051200000</v>
      </c>
      <c r="H335" s="1483" t="n">
        <f aca="false">G312</f>
        <v>1.1</v>
      </c>
      <c r="I335" s="1475"/>
      <c r="J335" s="1541" t="s">
        <v>743</v>
      </c>
      <c r="K335" s="1541"/>
      <c r="L335" s="1542" t="n">
        <f aca="false">L285</f>
        <v>29076725</v>
      </c>
    </row>
    <row r="336" s="764" customFormat="true" ht="18.75" hidden="false" customHeight="true" outlineLevel="0" collapsed="false">
      <c r="A336" s="1484" t="s">
        <v>577</v>
      </c>
      <c r="B336" s="1485" t="n">
        <f aca="false">ROUNDUP(H334/G312*1000,-3)</f>
        <v>7051200000</v>
      </c>
      <c r="C336" s="1471" t="s">
        <v>731</v>
      </c>
      <c r="D336" s="1472"/>
      <c r="E336" s="1486"/>
      <c r="F336" s="1474" t="s">
        <v>732</v>
      </c>
      <c r="G336" s="1473"/>
      <c r="H336" s="1475" t="n">
        <f aca="false">H320+H331</f>
        <v>1410240</v>
      </c>
      <c r="I336" s="1069" t="s">
        <v>431</v>
      </c>
      <c r="J336" s="1541" t="s">
        <v>744</v>
      </c>
      <c r="K336" s="1541"/>
      <c r="L336" s="1542" t="n">
        <f aca="false">L225+L256+L318</f>
        <v>212036</v>
      </c>
      <c r="M336" s="1381"/>
      <c r="N336" s="1381"/>
      <c r="O336" s="1381"/>
      <c r="P336" s="1381"/>
      <c r="Q336" s="1381"/>
    </row>
    <row r="337" s="1381" customFormat="true" ht="18.75" hidden="false" customHeight="true" outlineLevel="0" collapsed="false">
      <c r="A337" s="1484"/>
      <c r="B337" s="1485"/>
      <c r="C337" s="1487"/>
      <c r="D337" s="1480"/>
      <c r="E337" s="1475" t="n">
        <f aca="false">D320+D331+E331</f>
        <v>36975851</v>
      </c>
      <c r="F337" s="1481" t="str">
        <f aca="false">IF(H336=('☆拠出金明細R7'!AD80-H305),"　","明細と不一致!")</f>
        <v>　</v>
      </c>
      <c r="G337" s="1482" t="n">
        <f aca="false">B336</f>
        <v>7051200000</v>
      </c>
      <c r="H337" s="1483" t="n">
        <f aca="false">H312</f>
        <v>0.2</v>
      </c>
      <c r="I337" s="1069"/>
      <c r="J337" s="1541" t="s">
        <v>745</v>
      </c>
      <c r="K337" s="1541"/>
      <c r="L337" s="1542" t="n">
        <f aca="false">L232+L234+L263+L265+L325+L327</f>
        <v>50697154</v>
      </c>
      <c r="M337" s="582"/>
      <c r="N337" s="582"/>
      <c r="O337" s="582"/>
      <c r="P337" s="582"/>
      <c r="Q337" s="582"/>
    </row>
    <row r="338" customFormat="false" ht="18.75" hidden="false" customHeight="true" outlineLevel="0" collapsed="false">
      <c r="A338" s="1489" t="s">
        <v>733</v>
      </c>
      <c r="B338" s="1490" t="n">
        <v>13130000</v>
      </c>
      <c r="C338" s="1491" t="s">
        <v>734</v>
      </c>
      <c r="D338" s="1493"/>
      <c r="E338" s="1473"/>
      <c r="F338" s="1493" t="s">
        <v>735</v>
      </c>
      <c r="G338" s="1472"/>
      <c r="H338" s="1475" t="n">
        <f aca="false">I320+I331</f>
        <v>169228</v>
      </c>
      <c r="I338" s="1069" t="s">
        <v>432</v>
      </c>
      <c r="J338" s="1541" t="s">
        <v>747</v>
      </c>
      <c r="K338" s="1541"/>
      <c r="L338" s="1542" t="n">
        <f aca="false">L294+L296</f>
        <v>29102549</v>
      </c>
    </row>
    <row r="339" customFormat="false" ht="18.75" hidden="false" customHeight="true" outlineLevel="0" collapsed="false">
      <c r="A339" s="1489"/>
      <c r="B339" s="1490"/>
      <c r="C339" s="1494"/>
      <c r="D339" s="1481" t="str">
        <f aca="false">IF(E339=('☆拠出金明細R7'!K81-E308),"　","明細と不一致!")</f>
        <v>　</v>
      </c>
      <c r="E339" s="1475" t="n">
        <f aca="false">F331</f>
        <v>351945</v>
      </c>
      <c r="F339" s="1481" t="str">
        <f aca="false">IF(H338=('☆拠出金明細R7'!AN81-H307),"　","明細と不一致!")</f>
        <v>　</v>
      </c>
      <c r="G339" s="1482" t="n">
        <f aca="false">B336</f>
        <v>7051200000</v>
      </c>
      <c r="H339" s="1495" t="n">
        <f aca="false">I312</f>
        <v>0.024</v>
      </c>
      <c r="J339" s="1541" t="s">
        <v>748</v>
      </c>
      <c r="K339" s="1541"/>
      <c r="L339" s="1542" t="n">
        <f aca="false">L236+L267+L329</f>
        <v>6791</v>
      </c>
    </row>
    <row r="340" customFormat="false" ht="18.75" hidden="false" customHeight="true" outlineLevel="0" collapsed="false">
      <c r="A340" s="1253"/>
      <c r="B340" s="1496"/>
      <c r="C340" s="1491" t="s">
        <v>736</v>
      </c>
      <c r="D340" s="1493"/>
      <c r="E340" s="1497"/>
      <c r="F340" s="1498" t="s">
        <v>737</v>
      </c>
      <c r="G340" s="1498"/>
      <c r="H340" s="1498"/>
      <c r="J340" s="1543" t="s">
        <v>749</v>
      </c>
      <c r="K340" s="1543"/>
      <c r="L340" s="1544" t="n">
        <f aca="false">L298</f>
        <v>2629</v>
      </c>
    </row>
    <row r="341" customFormat="false" ht="18.75" hidden="false" customHeight="true" outlineLevel="0" collapsed="false">
      <c r="A341" s="1253"/>
      <c r="B341" s="1496"/>
      <c r="C341" s="1499"/>
      <c r="D341" s="1486"/>
      <c r="E341" s="1475" t="n">
        <f aca="false">J320+J331</f>
        <v>33676554</v>
      </c>
      <c r="F341" s="1498"/>
      <c r="G341" s="1498"/>
      <c r="H341" s="1498"/>
      <c r="I341" s="1535"/>
      <c r="J341" s="1545" t="s">
        <v>375</v>
      </c>
      <c r="K341" s="1545"/>
      <c r="L341" s="1546" t="n">
        <f aca="false">SUM(L334:L340)</f>
        <v>159776520</v>
      </c>
      <c r="M341" s="764"/>
      <c r="N341" s="764"/>
      <c r="O341" s="764"/>
      <c r="P341" s="764"/>
      <c r="Q341" s="764"/>
    </row>
    <row r="342" s="764" customFormat="true" ht="26.25" hidden="false" customHeight="true" outlineLevel="0" collapsed="false">
      <c r="A342" s="1338" t="n">
        <f aca="false">EOMONTH(A311,1)</f>
        <v>46418</v>
      </c>
      <c r="B342" s="1339" t="s">
        <v>688</v>
      </c>
      <c r="C342" s="1340" t="s">
        <v>689</v>
      </c>
      <c r="D342" s="1105" t="s">
        <v>690</v>
      </c>
      <c r="E342" s="1105" t="s">
        <v>691</v>
      </c>
      <c r="F342" s="1105" t="s">
        <v>692</v>
      </c>
      <c r="G342" s="1105" t="s">
        <v>693</v>
      </c>
      <c r="H342" s="1105" t="s">
        <v>694</v>
      </c>
      <c r="I342" s="1105" t="s">
        <v>695</v>
      </c>
      <c r="J342" s="1341"/>
      <c r="L342" s="1342"/>
      <c r="M342" s="1344"/>
      <c r="N342" s="1344"/>
      <c r="O342" s="1344"/>
      <c r="P342" s="1344"/>
      <c r="Q342" s="1344"/>
      <c r="R342" s="1344"/>
    </row>
    <row r="343" s="1344" customFormat="true" ht="26.25" hidden="false" customHeight="true" outlineLevel="0" collapsed="false">
      <c r="A343" s="1343"/>
      <c r="C343" s="1340"/>
      <c r="D343" s="1501" t="n">
        <f aca="false">$D$2</f>
        <v>4.64</v>
      </c>
      <c r="E343" s="1502" t="n">
        <f aca="false">$E$2</f>
        <v>0.82</v>
      </c>
      <c r="F343" s="1502" t="n">
        <f aca="false">$F$2</f>
        <v>0.05</v>
      </c>
      <c r="G343" s="1502" t="n">
        <f aca="false">$G$2</f>
        <v>1.1</v>
      </c>
      <c r="H343" s="1502" t="n">
        <f aca="false">$H$2</f>
        <v>0.2</v>
      </c>
      <c r="I343" s="1502" t="n">
        <f aca="false">$I$2</f>
        <v>0.024</v>
      </c>
      <c r="J343" s="1348"/>
      <c r="L343" s="1349"/>
      <c r="M343" s="582"/>
      <c r="N343" s="582"/>
      <c r="O343" s="582"/>
      <c r="P343" s="582"/>
      <c r="Q343" s="582"/>
      <c r="R343" s="582"/>
    </row>
    <row r="344" customFormat="false" ht="13.9" hidden="false" customHeight="true" outlineLevel="0" collapsed="false">
      <c r="C344" s="1341"/>
      <c r="D344" s="1341"/>
      <c r="E344" s="1341"/>
      <c r="F344" s="1503"/>
      <c r="G344" s="1341"/>
      <c r="H344" s="1341"/>
      <c r="I344" s="1341"/>
      <c r="J344" s="1341"/>
    </row>
    <row r="345" customFormat="false" ht="20.1" hidden="false" customHeight="true" outlineLevel="0" collapsed="false">
      <c r="A345" s="771" t="s">
        <v>698</v>
      </c>
      <c r="G345" s="1352"/>
      <c r="L345" s="1353" t="s">
        <v>699</v>
      </c>
      <c r="M345" s="1197"/>
      <c r="N345" s="1197"/>
      <c r="O345" s="1197"/>
      <c r="P345" s="1197"/>
      <c r="Q345" s="1197"/>
      <c r="R345" s="1197"/>
    </row>
    <row r="346" s="1197" customFormat="true" ht="30" hidden="false" customHeight="true" outlineLevel="0" collapsed="false">
      <c r="A346" s="1354" t="s">
        <v>369</v>
      </c>
      <c r="B346" s="1355" t="s">
        <v>700</v>
      </c>
      <c r="C346" s="1356" t="s">
        <v>701</v>
      </c>
      <c r="D346" s="1357" t="s">
        <v>702</v>
      </c>
      <c r="E346" s="1357"/>
      <c r="F346" s="1358" t="s">
        <v>703</v>
      </c>
      <c r="G346" s="1357" t="s">
        <v>704</v>
      </c>
      <c r="H346" s="1357" t="s">
        <v>705</v>
      </c>
      <c r="I346" s="1357" t="s">
        <v>706</v>
      </c>
      <c r="J346" s="1359" t="s">
        <v>707</v>
      </c>
      <c r="L346" s="1360" t="s">
        <v>708</v>
      </c>
      <c r="M346" s="582"/>
      <c r="N346" s="582"/>
      <c r="O346" s="582"/>
      <c r="P346" s="582"/>
      <c r="Q346" s="582"/>
      <c r="R346" s="582"/>
    </row>
    <row r="347" customFormat="false" ht="32.25" hidden="false" customHeight="true" outlineLevel="0" collapsed="false">
      <c r="A347" s="1361" t="s">
        <v>709</v>
      </c>
      <c r="B347" s="1362" t="n">
        <f aca="false">B351-B349</f>
        <v>364666157</v>
      </c>
      <c r="C347" s="1363" t="n">
        <f aca="false">ROUNDDOWN(B347*C348/B348,0)</f>
        <v>326905700</v>
      </c>
      <c r="D347" s="1364" t="n">
        <f aca="false">ROUNDDOWN(B347*D348/B348,0)</f>
        <v>16313642</v>
      </c>
      <c r="E347" s="1364" t="n">
        <f aca="false">ROUNDDOWN(D347*E348/D348,0)</f>
        <v>0</v>
      </c>
      <c r="F347" s="1365" t="s">
        <v>522</v>
      </c>
      <c r="G347" s="1366" t="n">
        <f aca="false">ROUNDDOWN(B347*G348/B348,0)</f>
        <v>3867458</v>
      </c>
      <c r="H347" s="1367" t="n">
        <f aca="false">ROUNDDOWN(B347*H348/B348,0)</f>
        <v>703174</v>
      </c>
      <c r="I347" s="1364" t="n">
        <f aca="false">ROUNDDOWN(B347*I348/B348,0)</f>
        <v>84380</v>
      </c>
      <c r="J347" s="1368" t="n">
        <f aca="false">B347-C347-D347-G347-H347-I347</f>
        <v>16791803</v>
      </c>
      <c r="L347" s="1369" t="n">
        <f aca="false">SUM(I347:J347)</f>
        <v>16876183</v>
      </c>
      <c r="M347" s="1511"/>
      <c r="N347" s="1511"/>
      <c r="O347" s="1511"/>
      <c r="P347" s="1511"/>
      <c r="Q347" s="1511"/>
      <c r="R347" s="1511"/>
    </row>
    <row r="348" s="1511" customFormat="true" ht="15" hidden="false" customHeight="true" outlineLevel="0" collapsed="false">
      <c r="A348" s="1504" t="s">
        <v>710</v>
      </c>
      <c r="B348" s="1505" t="n">
        <f aca="false">SUM(C348:J348)</f>
        <v>51.86</v>
      </c>
      <c r="C348" s="1506" t="n">
        <f aca="false">$C$7</f>
        <v>46.49</v>
      </c>
      <c r="D348" s="1507" t="n">
        <f aca="false">$D$7</f>
        <v>2.32</v>
      </c>
      <c r="E348" s="1507"/>
      <c r="F348" s="1508" t="s">
        <v>522</v>
      </c>
      <c r="G348" s="1509" t="n">
        <f aca="false">$G$7</f>
        <v>0.55</v>
      </c>
      <c r="H348" s="1442" t="n">
        <f aca="false">$H$7</f>
        <v>0.1</v>
      </c>
      <c r="I348" s="1443" t="n">
        <f aca="false">$I$7</f>
        <v>0.012</v>
      </c>
      <c r="J348" s="1510" t="n">
        <f aca="false">$J$7</f>
        <v>2.388</v>
      </c>
      <c r="K348" s="1379" t="s">
        <v>711</v>
      </c>
      <c r="L348" s="1380" t="n">
        <f aca="false">SUM(I348:J348)</f>
        <v>2.4</v>
      </c>
      <c r="M348" s="582"/>
      <c r="N348" s="582"/>
      <c r="O348" s="582"/>
      <c r="P348" s="582"/>
      <c r="Q348" s="582"/>
      <c r="R348" s="582"/>
    </row>
    <row r="349" customFormat="false" ht="32.25" hidden="false" customHeight="true" outlineLevel="0" collapsed="false">
      <c r="A349" s="1361" t="s">
        <v>712</v>
      </c>
      <c r="B349" s="1362" t="n">
        <f aca="false">'☆短期集計R7'!D36</f>
        <v>1487293</v>
      </c>
      <c r="C349" s="1363" t="n">
        <f aca="false">ROUNDDOWN(B349*C350/B350,0)</f>
        <v>1333286</v>
      </c>
      <c r="D349" s="1382" t="n">
        <f aca="false">ROUNDDOWN(B349*D350/B350,0)</f>
        <v>66535</v>
      </c>
      <c r="E349" s="1382" t="n">
        <f aca="false">ROUNDDOWN(D349*E350/D350,0)</f>
        <v>0</v>
      </c>
      <c r="F349" s="1383" t="s">
        <v>522</v>
      </c>
      <c r="G349" s="1384" t="n">
        <f aca="false">ROUNDDOWN(B349*G350/B350,0)</f>
        <v>15773</v>
      </c>
      <c r="H349" s="1385" t="n">
        <f aca="false">ROUNDDOWN(B349*H350/B350,0)</f>
        <v>2867</v>
      </c>
      <c r="I349" s="1386" t="n">
        <f aca="false">ROUNDDOWN(B349*I350/B350,0)</f>
        <v>344</v>
      </c>
      <c r="J349" s="1387" t="n">
        <f aca="false">B349-C349-D349-G349-H349-I349</f>
        <v>68488</v>
      </c>
      <c r="K349" s="1379"/>
      <c r="L349" s="1388" t="n">
        <f aca="false">SUM(I349:J349)</f>
        <v>68832</v>
      </c>
      <c r="M349" s="1381"/>
      <c r="N349" s="1381"/>
      <c r="O349" s="1381"/>
      <c r="P349" s="1381"/>
      <c r="Q349" s="1381"/>
      <c r="R349" s="1381"/>
    </row>
    <row r="350" s="1381" customFormat="true" ht="15" hidden="false" customHeight="true" outlineLevel="0" collapsed="false">
      <c r="A350" s="1512" t="s">
        <v>710</v>
      </c>
      <c r="B350" s="1449" t="n">
        <f aca="false">SUM(C350:J350)</f>
        <v>103.72</v>
      </c>
      <c r="C350" s="1513" t="n">
        <f aca="false">C348*2</f>
        <v>92.98</v>
      </c>
      <c r="D350" s="1514" t="n">
        <f aca="false">D348*2</f>
        <v>4.64</v>
      </c>
      <c r="E350" s="1514"/>
      <c r="F350" s="1515" t="s">
        <v>522</v>
      </c>
      <c r="G350" s="1516" t="n">
        <f aca="false">G348*2</f>
        <v>1.1</v>
      </c>
      <c r="H350" s="1517" t="n">
        <f aca="false">H348*2</f>
        <v>0.2</v>
      </c>
      <c r="I350" s="1518" t="n">
        <f aca="false">I348*2</f>
        <v>0.024</v>
      </c>
      <c r="J350" s="1519" t="n">
        <f aca="false">J348*2</f>
        <v>4.776</v>
      </c>
      <c r="L350" s="1398" t="n">
        <f aca="false">L348*2</f>
        <v>4.8</v>
      </c>
      <c r="M350" s="582"/>
      <c r="N350" s="582"/>
      <c r="O350" s="582"/>
      <c r="P350" s="582"/>
      <c r="Q350" s="582"/>
      <c r="R350" s="582"/>
    </row>
    <row r="351" customFormat="false" ht="30" hidden="false" customHeight="true" outlineLevel="0" collapsed="false">
      <c r="A351" s="1399" t="s">
        <v>650</v>
      </c>
      <c r="B351" s="1400" t="n">
        <f aca="false">'☆短期集計R7'!B36+'☆短期集計R7'!D36</f>
        <v>366153450</v>
      </c>
      <c r="C351" s="1401" t="n">
        <f aca="false">C347+C349</f>
        <v>328238986</v>
      </c>
      <c r="D351" s="1402" t="n">
        <f aca="false">D347+D349</f>
        <v>16380177</v>
      </c>
      <c r="E351" s="1402"/>
      <c r="F351" s="1403" t="s">
        <v>522</v>
      </c>
      <c r="G351" s="1402" t="n">
        <f aca="false">G347+G349</f>
        <v>3883231</v>
      </c>
      <c r="H351" s="1401" t="n">
        <f aca="false">H347+H349</f>
        <v>706041</v>
      </c>
      <c r="I351" s="1402" t="n">
        <f aca="false">I347+I349</f>
        <v>84724</v>
      </c>
      <c r="J351" s="1404" t="n">
        <f aca="false">J347+J349</f>
        <v>16860291</v>
      </c>
      <c r="L351" s="1405" t="n">
        <f aca="false">L347+L349</f>
        <v>16945015</v>
      </c>
      <c r="M351" s="1406"/>
      <c r="N351" s="1406"/>
      <c r="O351" s="1406"/>
      <c r="P351" s="1406"/>
      <c r="Q351" s="1406"/>
      <c r="R351" s="1406"/>
    </row>
    <row r="352" s="1406" customFormat="true" ht="20.1" hidden="false" customHeight="true" outlineLevel="0" collapsed="false">
      <c r="C352" s="1407" t="s">
        <v>713</v>
      </c>
      <c r="D352" s="1408" t="s">
        <v>714</v>
      </c>
      <c r="E352" s="1408"/>
      <c r="F352" s="1407" t="s">
        <v>715</v>
      </c>
      <c r="G352" s="1407" t="s">
        <v>716</v>
      </c>
      <c r="H352" s="1409" t="s">
        <v>717</v>
      </c>
      <c r="I352" s="1409" t="s">
        <v>718</v>
      </c>
      <c r="J352" s="1409" t="s">
        <v>719</v>
      </c>
      <c r="L352" s="1410"/>
      <c r="M352" s="1064"/>
      <c r="N352" s="1064"/>
      <c r="O352" s="1064"/>
      <c r="P352" s="1064"/>
      <c r="Q352" s="1064"/>
      <c r="R352" s="1064"/>
    </row>
    <row r="353" s="1064" customFormat="true" ht="13.5" hidden="false" customHeight="true" outlineLevel="0" collapsed="false">
      <c r="C353" s="1411"/>
      <c r="D353" s="1412"/>
      <c r="E353" s="1412"/>
      <c r="F353" s="1411"/>
      <c r="G353" s="1412"/>
      <c r="H353" s="1412"/>
      <c r="I353" s="1412"/>
      <c r="J353" s="1412"/>
      <c r="L353" s="1413"/>
      <c r="M353" s="582"/>
      <c r="N353" s="582"/>
      <c r="O353" s="582"/>
      <c r="P353" s="582"/>
      <c r="Q353" s="582"/>
      <c r="R353" s="582"/>
    </row>
    <row r="354" customFormat="false" ht="20.1" hidden="false" customHeight="true" outlineLevel="0" collapsed="false">
      <c r="A354" s="771" t="s">
        <v>230</v>
      </c>
      <c r="B354" s="1064"/>
      <c r="C354" s="1064"/>
      <c r="D354" s="1064"/>
      <c r="E354" s="1064"/>
      <c r="F354" s="1064"/>
      <c r="G354" s="1352"/>
      <c r="H354" s="1064"/>
      <c r="I354" s="1064"/>
      <c r="J354" s="1064"/>
      <c r="L354" s="1353" t="s">
        <v>699</v>
      </c>
      <c r="M354" s="920"/>
      <c r="N354" s="920"/>
      <c r="O354" s="920"/>
      <c r="P354" s="920"/>
      <c r="Q354" s="920"/>
      <c r="R354" s="920"/>
    </row>
    <row r="355" s="920" customFormat="true" ht="30" hidden="false" customHeight="true" outlineLevel="0" collapsed="false">
      <c r="A355" s="1354" t="s">
        <v>369</v>
      </c>
      <c r="B355" s="1355" t="s">
        <v>700</v>
      </c>
      <c r="C355" s="1356" t="s">
        <v>701</v>
      </c>
      <c r="D355" s="1414" t="s">
        <v>702</v>
      </c>
      <c r="E355" s="1415" t="s">
        <v>739</v>
      </c>
      <c r="F355" s="1416" t="s">
        <v>721</v>
      </c>
      <c r="G355" s="1417" t="s">
        <v>704</v>
      </c>
      <c r="H355" s="1357" t="s">
        <v>705</v>
      </c>
      <c r="I355" s="1357" t="s">
        <v>706</v>
      </c>
      <c r="J355" s="1359" t="s">
        <v>707</v>
      </c>
      <c r="L355" s="1360" t="s">
        <v>708</v>
      </c>
      <c r="M355" s="582"/>
      <c r="N355" s="582"/>
      <c r="O355" s="582"/>
      <c r="P355" s="582"/>
      <c r="Q355" s="582"/>
      <c r="R355" s="582"/>
    </row>
    <row r="356" customFormat="false" ht="32.25" hidden="false" customHeight="true" outlineLevel="0" collapsed="false">
      <c r="A356" s="1418" t="s">
        <v>722</v>
      </c>
      <c r="B356" s="1362" t="n">
        <f aca="false">B362-B358-B360</f>
        <v>272740850</v>
      </c>
      <c r="C356" s="1363" t="n">
        <f aca="false">ROUNDDOWN(B356*C357/B357,0)</f>
        <v>240465050</v>
      </c>
      <c r="D356" s="1419" t="n">
        <f aca="false">ROUNDDOWN(B356*D357/B357,0)</f>
        <v>11999976</v>
      </c>
      <c r="E356" s="1420" t="n">
        <f aca="false">ROUNDDOWN(B356*E357/B357,0)</f>
        <v>4241371</v>
      </c>
      <c r="F356" s="1421" t="n">
        <f aca="false">ROUNDDOWN(B356*F357/B357,0)</f>
        <v>258620</v>
      </c>
      <c r="G356" s="1421" t="n">
        <f aca="false">ROUNDDOWN(B356*G357/B357,0)</f>
        <v>2844822</v>
      </c>
      <c r="H356" s="1421" t="n">
        <f aca="false">ROUNDDOWN(B356*H357/B357,0)</f>
        <v>517240</v>
      </c>
      <c r="I356" s="1421" t="n">
        <f aca="false">ROUNDDOWN(B356*I357/B357,0)</f>
        <v>62068</v>
      </c>
      <c r="J356" s="1422" t="n">
        <f aca="false">B356-C356-D356-E356-F356-G356-H356-I356</f>
        <v>12351703</v>
      </c>
      <c r="L356" s="1423" t="n">
        <f aca="false">SUM(I356:J356)</f>
        <v>12413771</v>
      </c>
      <c r="M356" s="1511"/>
      <c r="N356" s="1511"/>
      <c r="O356" s="1511"/>
      <c r="P356" s="1511"/>
      <c r="Q356" s="1511"/>
      <c r="R356" s="1511"/>
    </row>
    <row r="357" s="1511" customFormat="true" ht="15" hidden="false" customHeight="true" outlineLevel="0" collapsed="false">
      <c r="A357" s="1504" t="s">
        <v>710</v>
      </c>
      <c r="B357" s="1438" t="n">
        <f aca="false">SUM(C357:J357)</f>
        <v>52.73</v>
      </c>
      <c r="C357" s="1520" t="n">
        <f aca="false">$C$16</f>
        <v>46.49</v>
      </c>
      <c r="D357" s="1440" t="n">
        <f aca="false">$D$16</f>
        <v>2.32</v>
      </c>
      <c r="E357" s="1521" t="n">
        <f aca="false">$E$16</f>
        <v>0.82</v>
      </c>
      <c r="F357" s="1522" t="n">
        <f aca="false">$F$16</f>
        <v>0.05</v>
      </c>
      <c r="G357" s="1522" t="n">
        <f aca="false">$G$16</f>
        <v>0.55</v>
      </c>
      <c r="H357" s="1523" t="n">
        <f aca="false">$H$16</f>
        <v>0.1</v>
      </c>
      <c r="I357" s="1524" t="n">
        <f aca="false">$I$16</f>
        <v>0.012</v>
      </c>
      <c r="J357" s="1525" t="n">
        <f aca="false">$J$16</f>
        <v>2.388</v>
      </c>
      <c r="K357" s="1381"/>
      <c r="L357" s="1432" t="n">
        <f aca="false">SUM(I357:J357)</f>
        <v>2.4</v>
      </c>
      <c r="M357" s="582"/>
      <c r="N357" s="582"/>
      <c r="O357" s="582"/>
      <c r="P357" s="582"/>
      <c r="Q357" s="582"/>
      <c r="R357" s="582"/>
    </row>
    <row r="358" customFormat="false" ht="32.25" hidden="false" customHeight="true" outlineLevel="0" collapsed="false">
      <c r="A358" s="1361" t="s">
        <v>723</v>
      </c>
      <c r="B358" s="1362" t="n">
        <f aca="false">'☆掛負収入'!I761+'☆掛負収入'!I762</f>
        <v>96872725</v>
      </c>
      <c r="C358" s="1363" t="n">
        <f aca="false">ROUNDDOWN((B358-E358)/B359*C359,0)</f>
        <v>86748369</v>
      </c>
      <c r="D358" s="1433" t="n">
        <f aca="false">ROUNDDOWN((B358-E358)/B359*D359,0)</f>
        <v>4329021</v>
      </c>
      <c r="E358" s="1434" t="n">
        <f aca="false">ROUNDDOWN(B369*E343/1000,0)</f>
        <v>10865</v>
      </c>
      <c r="F358" s="1363" t="n">
        <f aca="false">ROUNDDOWN((B358-E358)/B359*F359,0)</f>
        <v>93297</v>
      </c>
      <c r="G358" s="1363" t="n">
        <f aca="false">ROUNDDOWN((B358-E358)/B359*G359,0)</f>
        <v>1026276</v>
      </c>
      <c r="H358" s="1384" t="n">
        <f aca="false">ROUNDDOWN((B358-E358)/B359*H359,0)</f>
        <v>186595</v>
      </c>
      <c r="I358" s="1384" t="n">
        <f aca="false">ROUNDDOWN((B358-E358)/B359*I359,0)</f>
        <v>22391</v>
      </c>
      <c r="J358" s="1435" t="n">
        <f aca="false">B358-C358-D358-E358-F358-G358-H358-I358</f>
        <v>4455911</v>
      </c>
      <c r="K358" s="1379" t="s">
        <v>711</v>
      </c>
      <c r="L358" s="1436" t="n">
        <f aca="false">SUM(I358:J358)</f>
        <v>4478302</v>
      </c>
      <c r="M358" s="1381"/>
      <c r="N358" s="1381"/>
      <c r="O358" s="1381"/>
      <c r="P358" s="1381"/>
      <c r="Q358" s="1381"/>
      <c r="R358" s="1381"/>
    </row>
    <row r="359" s="1381" customFormat="true" ht="15" hidden="false" customHeight="true" outlineLevel="0" collapsed="false">
      <c r="A359" s="1526" t="s">
        <v>710</v>
      </c>
      <c r="B359" s="1438" t="n">
        <f aca="false">SUM(C359:J359)</f>
        <v>51.91</v>
      </c>
      <c r="C359" s="1439" t="n">
        <f aca="false">C357</f>
        <v>46.49</v>
      </c>
      <c r="D359" s="1440" t="n">
        <f aca="false">D357</f>
        <v>2.32</v>
      </c>
      <c r="E359" s="1441" t="s">
        <v>724</v>
      </c>
      <c r="F359" s="1442" t="n">
        <f aca="false">F357</f>
        <v>0.05</v>
      </c>
      <c r="G359" s="1442" t="n">
        <f aca="false">G357</f>
        <v>0.55</v>
      </c>
      <c r="H359" s="1443" t="n">
        <f aca="false">H357</f>
        <v>0.1</v>
      </c>
      <c r="I359" s="1444" t="n">
        <f aca="false">I357</f>
        <v>0.012</v>
      </c>
      <c r="J359" s="1445" t="n">
        <f aca="false">J357</f>
        <v>2.388</v>
      </c>
      <c r="K359" s="1379"/>
      <c r="L359" s="1446" t="n">
        <f aca="false">SUM(I359:J359)</f>
        <v>2.4</v>
      </c>
      <c r="M359" s="582"/>
      <c r="N359" s="582"/>
      <c r="O359" s="582"/>
      <c r="P359" s="582"/>
      <c r="Q359" s="582"/>
      <c r="R359" s="582"/>
    </row>
    <row r="360" customFormat="false" ht="32.25" hidden="false" customHeight="true" outlineLevel="0" collapsed="false">
      <c r="A360" s="1447" t="s">
        <v>725</v>
      </c>
      <c r="B360" s="1362" t="n">
        <f aca="false">'☆掛負収入'!I778+E360</f>
        <v>50963</v>
      </c>
      <c r="C360" s="1363" t="n">
        <f aca="false">ROUNDDOWN((B360-E360)/B361*C361,0)</f>
        <v>45407</v>
      </c>
      <c r="D360" s="1433" t="n">
        <f aca="false">ROUNDDOWN((B360-E360)/B361*D361,0)</f>
        <v>2265</v>
      </c>
      <c r="E360" s="1448" t="n">
        <f aca="false">'☆労組公的負担（短期）'!F17</f>
        <v>262</v>
      </c>
      <c r="F360" s="1363" t="n">
        <f aca="false">ROUNDDOWN((B360-E360)/B361*F361,0)</f>
        <v>48</v>
      </c>
      <c r="G360" s="1363" t="n">
        <f aca="false">ROUNDDOWN((B360-E360)/B361*G361,0)</f>
        <v>537</v>
      </c>
      <c r="H360" s="1384" t="n">
        <f aca="false">H362-H356-H358</f>
        <v>99</v>
      </c>
      <c r="I360" s="1384" t="n">
        <f aca="false">I362-I356-I358</f>
        <v>14</v>
      </c>
      <c r="J360" s="1435" t="n">
        <f aca="false">B360-C360-D360-E360-F360-G360-H360-I360</f>
        <v>2331</v>
      </c>
      <c r="L360" s="1436" t="n">
        <f aca="false">SUM(I360:J360)</f>
        <v>2345</v>
      </c>
      <c r="M360" s="1381"/>
      <c r="N360" s="1381"/>
      <c r="O360" s="1381"/>
      <c r="P360" s="1381"/>
      <c r="Q360" s="1381"/>
      <c r="R360" s="1381"/>
    </row>
    <row r="361" s="1381" customFormat="true" ht="15" hidden="false" customHeight="true" outlineLevel="0" collapsed="false">
      <c r="A361" s="1512" t="s">
        <v>710</v>
      </c>
      <c r="B361" s="1449" t="n">
        <f aca="false">SUM(C361:J361)</f>
        <v>51.91</v>
      </c>
      <c r="C361" s="1439" t="n">
        <f aca="false">C357</f>
        <v>46.49</v>
      </c>
      <c r="D361" s="1440" t="n">
        <f aca="false">D357</f>
        <v>2.32</v>
      </c>
      <c r="E361" s="1450" t="s">
        <v>726</v>
      </c>
      <c r="F361" s="1451" t="n">
        <f aca="false">F357</f>
        <v>0.05</v>
      </c>
      <c r="G361" s="1451" t="n">
        <f aca="false">G357</f>
        <v>0.55</v>
      </c>
      <c r="H361" s="1452" t="n">
        <f aca="false">H357</f>
        <v>0.1</v>
      </c>
      <c r="I361" s="1453" t="n">
        <f aca="false">I357</f>
        <v>0.012</v>
      </c>
      <c r="J361" s="1454" t="n">
        <f aca="false">J357</f>
        <v>2.388</v>
      </c>
      <c r="L361" s="1455" t="n">
        <f aca="false">SUM(I361:J361)</f>
        <v>2.4</v>
      </c>
      <c r="M361" s="582"/>
      <c r="N361" s="582"/>
      <c r="O361" s="582"/>
      <c r="P361" s="582"/>
      <c r="Q361" s="582"/>
      <c r="R361" s="582"/>
    </row>
    <row r="362" customFormat="false" ht="30" hidden="false" customHeight="true" outlineLevel="0" collapsed="false">
      <c r="A362" s="1399" t="s">
        <v>650</v>
      </c>
      <c r="B362" s="1456" t="n">
        <f aca="false">'☆掛負収入'!I780</f>
        <v>369664538</v>
      </c>
      <c r="C362" s="1457" t="n">
        <f aca="false">C356+C358+C360</f>
        <v>327258826</v>
      </c>
      <c r="D362" s="1458" t="n">
        <f aca="false">D356+D358+D360</f>
        <v>16331262</v>
      </c>
      <c r="E362" s="1459" t="n">
        <f aca="false">E356+E358+E360</f>
        <v>4252498</v>
      </c>
      <c r="F362" s="1460" t="n">
        <f aca="false">F356+F358+F360</f>
        <v>351965</v>
      </c>
      <c r="G362" s="1460" t="n">
        <f aca="false">G356+G358+G360</f>
        <v>3871635</v>
      </c>
      <c r="H362" s="1460" t="n">
        <f aca="false">ROUNDDOWN(B367*H343/1000,0)-H351</f>
        <v>703934</v>
      </c>
      <c r="I362" s="1460" t="n">
        <f aca="false">ROUNDDOWN(B367*I343/1000,0)-I351</f>
        <v>84473</v>
      </c>
      <c r="J362" s="1527" t="n">
        <f aca="false">J356+J358+J360</f>
        <v>16809945</v>
      </c>
      <c r="L362" s="1463" t="n">
        <f aca="false">SUM(I362:J362)</f>
        <v>16894418</v>
      </c>
      <c r="M362" s="1407"/>
      <c r="N362" s="1407"/>
      <c r="O362" s="1407"/>
      <c r="P362" s="1407"/>
      <c r="Q362" s="1407"/>
      <c r="R362" s="1407"/>
    </row>
    <row r="363" s="1407" customFormat="true" ht="20.1" hidden="false" customHeight="true" outlineLevel="0" collapsed="false">
      <c r="C363" s="1407" t="s">
        <v>713</v>
      </c>
      <c r="D363" s="1407" t="s">
        <v>714</v>
      </c>
      <c r="E363" s="1407" t="s">
        <v>714</v>
      </c>
      <c r="F363" s="1407" t="s">
        <v>715</v>
      </c>
      <c r="G363" s="1407" t="s">
        <v>716</v>
      </c>
      <c r="H363" s="1407" t="s">
        <v>717</v>
      </c>
      <c r="I363" s="1407" t="s">
        <v>718</v>
      </c>
      <c r="J363" s="1407" t="s">
        <v>719</v>
      </c>
      <c r="L363" s="1464"/>
      <c r="M363" s="764"/>
      <c r="N363" s="764"/>
      <c r="O363" s="764"/>
      <c r="P363" s="764"/>
      <c r="Q363" s="764"/>
      <c r="R363" s="764"/>
    </row>
    <row r="364" s="764" customFormat="true" ht="18.75" hidden="false" customHeight="true" outlineLevel="0" collapsed="false">
      <c r="A364" s="1465" t="s">
        <v>727</v>
      </c>
      <c r="B364" s="1466" t="n">
        <f aca="false">B351+B362</f>
        <v>735817988</v>
      </c>
      <c r="C364" s="1467"/>
      <c r="D364" s="1467"/>
      <c r="E364" s="1467"/>
      <c r="K364" s="1342"/>
    </row>
    <row r="365" s="764" customFormat="true" ht="18.75" hidden="false" customHeight="true" outlineLevel="0" collapsed="false">
      <c r="A365" s="1477"/>
      <c r="B365" s="1470"/>
      <c r="C365" s="1471" t="s">
        <v>728</v>
      </c>
      <c r="D365" s="1472"/>
      <c r="E365" s="1473"/>
      <c r="F365" s="1474" t="s">
        <v>729</v>
      </c>
      <c r="G365" s="1473"/>
      <c r="H365" s="1475" t="n">
        <f aca="false">G351+G362</f>
        <v>7754866</v>
      </c>
      <c r="I365" s="1476" t="s">
        <v>430</v>
      </c>
      <c r="K365" s="1342"/>
    </row>
    <row r="366" s="764" customFormat="true" ht="18.75" hidden="false" customHeight="true" outlineLevel="0" collapsed="false">
      <c r="A366" s="1477" t="s">
        <v>730</v>
      </c>
      <c r="B366" s="1478"/>
      <c r="C366" s="1479"/>
      <c r="D366" s="1480"/>
      <c r="E366" s="1475" t="n">
        <f aca="false">C351+C362</f>
        <v>655497812</v>
      </c>
      <c r="F366" s="1481" t="str">
        <f aca="false">IF(H365='☆拠出金明細R7'!V113,"　","明細と不一致!")</f>
        <v>　</v>
      </c>
      <c r="G366" s="1482" t="n">
        <f aca="false">B367</f>
        <v>7049879000</v>
      </c>
      <c r="H366" s="1483" t="n">
        <f aca="false">G343</f>
        <v>1.1</v>
      </c>
      <c r="I366" s="1475"/>
      <c r="K366" s="1342"/>
    </row>
    <row r="367" s="764" customFormat="true" ht="18.75" hidden="false" customHeight="true" outlineLevel="0" collapsed="false">
      <c r="A367" s="1484" t="s">
        <v>577</v>
      </c>
      <c r="B367" s="1485" t="n">
        <f aca="false">ROUNDUP(H365/G343*1000,-3)</f>
        <v>7049879000</v>
      </c>
      <c r="C367" s="1471" t="s">
        <v>731</v>
      </c>
      <c r="D367" s="1472"/>
      <c r="E367" s="1486"/>
      <c r="F367" s="1474" t="s">
        <v>732</v>
      </c>
      <c r="G367" s="1473"/>
      <c r="H367" s="1475" t="n">
        <f aca="false">H351+H362</f>
        <v>1409975</v>
      </c>
      <c r="I367" s="1069" t="s">
        <v>431</v>
      </c>
      <c r="K367" s="1342"/>
      <c r="L367" s="1381"/>
      <c r="M367" s="1381"/>
      <c r="N367" s="1381"/>
      <c r="O367" s="1381"/>
      <c r="P367" s="1381"/>
      <c r="Q367" s="1381"/>
    </row>
    <row r="368" s="1381" customFormat="true" ht="18.75" hidden="false" customHeight="true" outlineLevel="0" collapsed="false">
      <c r="A368" s="1484"/>
      <c r="B368" s="1485"/>
      <c r="C368" s="1487"/>
      <c r="D368" s="1480"/>
      <c r="E368" s="1475" t="n">
        <f aca="false">D351+D362+E362</f>
        <v>36963937</v>
      </c>
      <c r="F368" s="1481" t="str">
        <f aca="false">IF(H367='☆拠出金明細R7'!AD110,"　","明細と不一致!")</f>
        <v>　</v>
      </c>
      <c r="G368" s="1482" t="n">
        <f aca="false">B367</f>
        <v>7049879000</v>
      </c>
      <c r="H368" s="1483" t="n">
        <f aca="false">H343</f>
        <v>0.2</v>
      </c>
      <c r="I368" s="1069"/>
      <c r="K368" s="1488"/>
      <c r="L368" s="582"/>
      <c r="M368" s="582"/>
      <c r="N368" s="582"/>
      <c r="O368" s="582"/>
      <c r="P368" s="582"/>
      <c r="Q368" s="582"/>
    </row>
    <row r="369" customFormat="false" ht="18.75" hidden="false" customHeight="true" outlineLevel="0" collapsed="false">
      <c r="A369" s="1489" t="s">
        <v>733</v>
      </c>
      <c r="B369" s="1490" t="n">
        <v>13250000</v>
      </c>
      <c r="C369" s="1491" t="s">
        <v>734</v>
      </c>
      <c r="D369" s="1493"/>
      <c r="E369" s="1473"/>
      <c r="F369" s="1493" t="s">
        <v>735</v>
      </c>
      <c r="G369" s="1472"/>
      <c r="H369" s="1475" t="n">
        <f aca="false">I351+I362</f>
        <v>169197</v>
      </c>
      <c r="I369" s="1069" t="s">
        <v>432</v>
      </c>
      <c r="K369" s="1337"/>
      <c r="L369" s="582"/>
    </row>
    <row r="370" customFormat="false" ht="18.75" hidden="false" customHeight="true" outlineLevel="0" collapsed="false">
      <c r="A370" s="1489"/>
      <c r="B370" s="1490"/>
      <c r="C370" s="1494"/>
      <c r="D370" s="1481" t="str">
        <f aca="false">IF(E370='☆拠出金明細R7'!K113,"　","明細と不一致!")</f>
        <v>　</v>
      </c>
      <c r="E370" s="1475" t="n">
        <f aca="false">F362</f>
        <v>351965</v>
      </c>
      <c r="F370" s="1481" t="str">
        <f aca="false">IF(H369='☆拠出金明細R7'!AN113,"　","明細と不一致!")</f>
        <v>　</v>
      </c>
      <c r="G370" s="1482" t="n">
        <f aca="false">B367</f>
        <v>7049879000</v>
      </c>
      <c r="H370" s="1495" t="n">
        <f aca="false">I343</f>
        <v>0.024</v>
      </c>
      <c r="K370" s="1337"/>
      <c r="L370" s="582"/>
    </row>
    <row r="371" customFormat="false" ht="18.75" hidden="false" customHeight="true" outlineLevel="0" collapsed="false">
      <c r="A371" s="1253"/>
      <c r="B371" s="1496"/>
      <c r="C371" s="1491" t="s">
        <v>736</v>
      </c>
      <c r="D371" s="1493"/>
      <c r="E371" s="1497"/>
      <c r="F371" s="1498" t="s">
        <v>737</v>
      </c>
      <c r="G371" s="1498"/>
      <c r="H371" s="1498"/>
      <c r="K371" s="1337"/>
      <c r="L371" s="582"/>
    </row>
    <row r="372" customFormat="false" ht="18.75" hidden="false" customHeight="true" outlineLevel="0" collapsed="false">
      <c r="A372" s="1253"/>
      <c r="B372" s="1496"/>
      <c r="C372" s="1499"/>
      <c r="D372" s="1486"/>
      <c r="E372" s="1475" t="n">
        <f aca="false">J351+J362</f>
        <v>33670236</v>
      </c>
      <c r="F372" s="1498"/>
      <c r="G372" s="1498"/>
      <c r="H372" s="1498"/>
      <c r="I372" s="1535"/>
      <c r="K372" s="1337"/>
      <c r="L372" s="764"/>
      <c r="M372" s="764"/>
      <c r="N372" s="764"/>
      <c r="O372" s="764"/>
      <c r="P372" s="764"/>
      <c r="Q372" s="764"/>
    </row>
    <row r="373" s="764" customFormat="true" ht="26.25" hidden="false" customHeight="true" outlineLevel="0" collapsed="false">
      <c r="A373" s="1338" t="n">
        <f aca="false">EOMONTH(A342,1)</f>
        <v>46446</v>
      </c>
      <c r="B373" s="1339" t="s">
        <v>688</v>
      </c>
      <c r="C373" s="1340" t="s">
        <v>689</v>
      </c>
      <c r="D373" s="1105" t="s">
        <v>690</v>
      </c>
      <c r="E373" s="1105" t="s">
        <v>691</v>
      </c>
      <c r="F373" s="1105" t="s">
        <v>692</v>
      </c>
      <c r="G373" s="1105" t="s">
        <v>693</v>
      </c>
      <c r="H373" s="1105" t="s">
        <v>694</v>
      </c>
      <c r="I373" s="1105" t="s">
        <v>695</v>
      </c>
      <c r="J373" s="1341"/>
      <c r="L373" s="1342"/>
      <c r="M373" s="1344"/>
      <c r="N373" s="1344"/>
      <c r="O373" s="1344"/>
      <c r="P373" s="1344"/>
      <c r="Q373" s="1344"/>
      <c r="R373" s="1344"/>
    </row>
    <row r="374" s="1344" customFormat="true" ht="26.25" hidden="false" customHeight="true" outlineLevel="0" collapsed="false">
      <c r="A374" s="1343"/>
      <c r="C374" s="1340"/>
      <c r="D374" s="1501" t="n">
        <f aca="false">$D$2</f>
        <v>4.64</v>
      </c>
      <c r="E374" s="1502" t="n">
        <f aca="false">$E$2</f>
        <v>0.82</v>
      </c>
      <c r="F374" s="1502" t="n">
        <f aca="false">$F$2</f>
        <v>0.05</v>
      </c>
      <c r="G374" s="1502" t="n">
        <f aca="false">$G$2</f>
        <v>1.1</v>
      </c>
      <c r="H374" s="1502" t="n">
        <f aca="false">$H$2</f>
        <v>0.2</v>
      </c>
      <c r="I374" s="1502" t="n">
        <f aca="false">$I$2</f>
        <v>0.024</v>
      </c>
      <c r="J374" s="1348"/>
      <c r="L374" s="1349"/>
      <c r="M374" s="582"/>
      <c r="N374" s="582"/>
      <c r="O374" s="582"/>
      <c r="P374" s="582"/>
      <c r="Q374" s="582"/>
      <c r="R374" s="582"/>
    </row>
    <row r="375" customFormat="false" ht="13.9" hidden="false" customHeight="true" outlineLevel="0" collapsed="false">
      <c r="C375" s="1341"/>
      <c r="D375" s="1341"/>
      <c r="E375" s="1341"/>
      <c r="F375" s="1503"/>
      <c r="G375" s="1341"/>
      <c r="H375" s="1341"/>
      <c r="I375" s="1341"/>
      <c r="J375" s="1341"/>
    </row>
    <row r="376" customFormat="false" ht="20.1" hidden="false" customHeight="true" outlineLevel="0" collapsed="false">
      <c r="A376" s="771" t="s">
        <v>698</v>
      </c>
      <c r="G376" s="1352"/>
      <c r="L376" s="1353" t="s">
        <v>699</v>
      </c>
      <c r="M376" s="1197"/>
      <c r="N376" s="1197"/>
      <c r="O376" s="1197"/>
      <c r="P376" s="1197"/>
      <c r="Q376" s="1197"/>
      <c r="R376" s="1197"/>
    </row>
    <row r="377" s="1197" customFormat="true" ht="30" hidden="false" customHeight="true" outlineLevel="0" collapsed="false">
      <c r="A377" s="1354" t="s">
        <v>369</v>
      </c>
      <c r="B377" s="1355" t="s">
        <v>700</v>
      </c>
      <c r="C377" s="1356" t="s">
        <v>701</v>
      </c>
      <c r="D377" s="1357" t="s">
        <v>702</v>
      </c>
      <c r="E377" s="1357"/>
      <c r="F377" s="1358" t="s">
        <v>703</v>
      </c>
      <c r="G377" s="1357" t="s">
        <v>704</v>
      </c>
      <c r="H377" s="1357" t="s">
        <v>705</v>
      </c>
      <c r="I377" s="1357" t="s">
        <v>706</v>
      </c>
      <c r="J377" s="1359" t="s">
        <v>707</v>
      </c>
      <c r="L377" s="1360" t="s">
        <v>708</v>
      </c>
      <c r="M377" s="582"/>
      <c r="N377" s="582"/>
      <c r="O377" s="582"/>
      <c r="P377" s="582"/>
      <c r="Q377" s="582"/>
      <c r="R377" s="582"/>
    </row>
    <row r="378" customFormat="false" ht="32.25" hidden="false" customHeight="true" outlineLevel="0" collapsed="false">
      <c r="A378" s="1361" t="s">
        <v>709</v>
      </c>
      <c r="B378" s="1362" t="n">
        <f aca="false">B382-B380</f>
        <v>364642103</v>
      </c>
      <c r="C378" s="1363" t="n">
        <f aca="false">ROUNDDOWN(B378*C379/B379,0)</f>
        <v>326884137</v>
      </c>
      <c r="D378" s="1364" t="n">
        <f aca="false">ROUNDDOWN(B378*D379/B379,0)</f>
        <v>16312566</v>
      </c>
      <c r="E378" s="1364" t="n">
        <f aca="false">ROUNDDOWN(D378*E379/D379,0)</f>
        <v>0</v>
      </c>
      <c r="F378" s="1365" t="s">
        <v>522</v>
      </c>
      <c r="G378" s="1366" t="n">
        <f aca="false">ROUNDDOWN(B378*G379/B379,0)</f>
        <v>3867203</v>
      </c>
      <c r="H378" s="1367" t="n">
        <f aca="false">ROUNDDOWN(B378*H379/B379,0)</f>
        <v>703127</v>
      </c>
      <c r="I378" s="1364" t="n">
        <f aca="false">ROUNDDOWN(B378*I379/B379,0)</f>
        <v>84375</v>
      </c>
      <c r="J378" s="1368" t="n">
        <f aca="false">B378-C378-D378-G378-H378-I378</f>
        <v>16790695</v>
      </c>
      <c r="L378" s="1369" t="n">
        <f aca="false">SUM(I378:J378)</f>
        <v>16875070</v>
      </c>
      <c r="M378" s="1511"/>
      <c r="N378" s="1511"/>
      <c r="O378" s="1511"/>
      <c r="P378" s="1511"/>
      <c r="Q378" s="1511"/>
      <c r="R378" s="1511"/>
    </row>
    <row r="379" s="1511" customFormat="true" ht="15" hidden="false" customHeight="true" outlineLevel="0" collapsed="false">
      <c r="A379" s="1504" t="s">
        <v>710</v>
      </c>
      <c r="B379" s="1505" t="n">
        <f aca="false">SUM(C379:J379)</f>
        <v>51.86</v>
      </c>
      <c r="C379" s="1506" t="n">
        <f aca="false">$C$7</f>
        <v>46.49</v>
      </c>
      <c r="D379" s="1507" t="n">
        <f aca="false">$D$7</f>
        <v>2.32</v>
      </c>
      <c r="E379" s="1507"/>
      <c r="F379" s="1508" t="s">
        <v>522</v>
      </c>
      <c r="G379" s="1509" t="n">
        <f aca="false">$G$7</f>
        <v>0.55</v>
      </c>
      <c r="H379" s="1442" t="n">
        <f aca="false">$H$7</f>
        <v>0.1</v>
      </c>
      <c r="I379" s="1443" t="n">
        <f aca="false">$I$7</f>
        <v>0.012</v>
      </c>
      <c r="J379" s="1510" t="n">
        <f aca="false">$J$7</f>
        <v>2.388</v>
      </c>
      <c r="K379" s="1379" t="s">
        <v>711</v>
      </c>
      <c r="L379" s="1380" t="n">
        <f aca="false">SUM(I379:J379)</f>
        <v>2.4</v>
      </c>
      <c r="M379" s="582"/>
      <c r="N379" s="582"/>
      <c r="O379" s="582"/>
      <c r="P379" s="582"/>
      <c r="Q379" s="582"/>
      <c r="R379" s="582"/>
    </row>
    <row r="380" customFormat="false" ht="32.25" hidden="false" customHeight="true" outlineLevel="0" collapsed="false">
      <c r="A380" s="1361" t="s">
        <v>712</v>
      </c>
      <c r="B380" s="1362" t="n">
        <f aca="false">'☆短期集計R7'!D37</f>
        <v>873541</v>
      </c>
      <c r="C380" s="1363" t="n">
        <f aca="false">ROUNDDOWN(B380*C381/B381,0)</f>
        <v>783087</v>
      </c>
      <c r="D380" s="1382" t="n">
        <f aca="false">ROUNDDOWN(B380*D381/B381,0)</f>
        <v>39078</v>
      </c>
      <c r="E380" s="1382" t="n">
        <f aca="false">ROUNDDOWN(D380*E381/D381,0)</f>
        <v>0</v>
      </c>
      <c r="F380" s="1383" t="s">
        <v>522</v>
      </c>
      <c r="G380" s="1384" t="n">
        <f aca="false">ROUNDDOWN(B380*G381/B381,0)</f>
        <v>9264</v>
      </c>
      <c r="H380" s="1385" t="n">
        <f aca="false">ROUNDDOWN(B380*H381/B381,0)</f>
        <v>1684</v>
      </c>
      <c r="I380" s="1386" t="n">
        <f aca="false">ROUNDDOWN(B380*I381/B381,0)</f>
        <v>202</v>
      </c>
      <c r="J380" s="1387" t="n">
        <f aca="false">B380-C380-D380-G380-H380-I380</f>
        <v>40226</v>
      </c>
      <c r="K380" s="1379"/>
      <c r="L380" s="1388" t="n">
        <f aca="false">SUM(I380:J380)</f>
        <v>40428</v>
      </c>
      <c r="M380" s="1381"/>
      <c r="N380" s="1381"/>
      <c r="O380" s="1381"/>
      <c r="P380" s="1381"/>
      <c r="Q380" s="1381"/>
      <c r="R380" s="1381"/>
    </row>
    <row r="381" s="1381" customFormat="true" ht="15" hidden="false" customHeight="true" outlineLevel="0" collapsed="false">
      <c r="A381" s="1512" t="s">
        <v>710</v>
      </c>
      <c r="B381" s="1449" t="n">
        <f aca="false">SUM(C381:J381)</f>
        <v>103.72</v>
      </c>
      <c r="C381" s="1513" t="n">
        <f aca="false">C379*2</f>
        <v>92.98</v>
      </c>
      <c r="D381" s="1514" t="n">
        <f aca="false">D379*2</f>
        <v>4.64</v>
      </c>
      <c r="E381" s="1514"/>
      <c r="F381" s="1515" t="s">
        <v>522</v>
      </c>
      <c r="G381" s="1516" t="n">
        <f aca="false">G379*2</f>
        <v>1.1</v>
      </c>
      <c r="H381" s="1517" t="n">
        <f aca="false">H379*2</f>
        <v>0.2</v>
      </c>
      <c r="I381" s="1518" t="n">
        <f aca="false">I379*2</f>
        <v>0.024</v>
      </c>
      <c r="J381" s="1519" t="n">
        <f aca="false">J379*2</f>
        <v>4.776</v>
      </c>
      <c r="L381" s="1398" t="n">
        <f aca="false">L379*2</f>
        <v>4.8</v>
      </c>
      <c r="M381" s="582"/>
      <c r="N381" s="582"/>
      <c r="O381" s="582"/>
      <c r="P381" s="582"/>
      <c r="Q381" s="582"/>
      <c r="R381" s="582"/>
    </row>
    <row r="382" customFormat="false" ht="30" hidden="false" customHeight="true" outlineLevel="0" collapsed="false">
      <c r="A382" s="1399" t="s">
        <v>650</v>
      </c>
      <c r="B382" s="1400" t="n">
        <f aca="false">'☆短期集計R7'!B37+'☆短期集計R7'!D37</f>
        <v>365515644</v>
      </c>
      <c r="C382" s="1401" t="n">
        <f aca="false">C378+C380</f>
        <v>327667224</v>
      </c>
      <c r="D382" s="1402" t="n">
        <f aca="false">D378+D380</f>
        <v>16351644</v>
      </c>
      <c r="E382" s="1402"/>
      <c r="F382" s="1403" t="s">
        <v>522</v>
      </c>
      <c r="G382" s="1402" t="n">
        <f aca="false">G378+G380</f>
        <v>3876467</v>
      </c>
      <c r="H382" s="1401" t="n">
        <f aca="false">H378+H380</f>
        <v>704811</v>
      </c>
      <c r="I382" s="1402" t="n">
        <f aca="false">I378+I380</f>
        <v>84577</v>
      </c>
      <c r="J382" s="1404" t="n">
        <f aca="false">J378+J380</f>
        <v>16830921</v>
      </c>
      <c r="L382" s="1405" t="n">
        <f aca="false">L378+L380</f>
        <v>16915498</v>
      </c>
      <c r="M382" s="1406"/>
      <c r="N382" s="1406"/>
      <c r="O382" s="1406"/>
      <c r="P382" s="1406"/>
      <c r="Q382" s="1406"/>
      <c r="R382" s="1406"/>
    </row>
    <row r="383" s="1406" customFormat="true" ht="20.1" hidden="false" customHeight="true" outlineLevel="0" collapsed="false">
      <c r="C383" s="1407" t="s">
        <v>713</v>
      </c>
      <c r="D383" s="1408" t="s">
        <v>714</v>
      </c>
      <c r="E383" s="1408"/>
      <c r="F383" s="1407" t="s">
        <v>715</v>
      </c>
      <c r="G383" s="1407" t="s">
        <v>716</v>
      </c>
      <c r="H383" s="1409" t="s">
        <v>717</v>
      </c>
      <c r="I383" s="1409" t="s">
        <v>718</v>
      </c>
      <c r="J383" s="1409" t="s">
        <v>719</v>
      </c>
      <c r="L383" s="1410"/>
      <c r="M383" s="1064"/>
      <c r="N383" s="1064"/>
      <c r="O383" s="1064"/>
      <c r="P383" s="1064"/>
      <c r="Q383" s="1064"/>
      <c r="R383" s="1064"/>
    </row>
    <row r="384" s="1064" customFormat="true" ht="13.5" hidden="false" customHeight="true" outlineLevel="0" collapsed="false">
      <c r="C384" s="1411"/>
      <c r="D384" s="1412"/>
      <c r="E384" s="1412"/>
      <c r="F384" s="1411"/>
      <c r="G384" s="1412"/>
      <c r="H384" s="1412"/>
      <c r="I384" s="1412"/>
      <c r="J384" s="1412"/>
      <c r="L384" s="1413"/>
      <c r="M384" s="582"/>
      <c r="N384" s="582"/>
      <c r="O384" s="582"/>
      <c r="P384" s="582"/>
      <c r="Q384" s="582"/>
      <c r="R384" s="582"/>
    </row>
    <row r="385" customFormat="false" ht="20.1" hidden="false" customHeight="true" outlineLevel="0" collapsed="false">
      <c r="A385" s="771" t="s">
        <v>230</v>
      </c>
      <c r="B385" s="1064"/>
      <c r="C385" s="1064"/>
      <c r="D385" s="1064"/>
      <c r="E385" s="1064"/>
      <c r="F385" s="1064"/>
      <c r="G385" s="1352"/>
      <c r="H385" s="1064"/>
      <c r="I385" s="1064"/>
      <c r="J385" s="1064"/>
      <c r="L385" s="1353" t="s">
        <v>699</v>
      </c>
      <c r="M385" s="920"/>
      <c r="N385" s="920"/>
      <c r="O385" s="920"/>
      <c r="P385" s="920"/>
      <c r="Q385" s="920"/>
      <c r="R385" s="920"/>
    </row>
    <row r="386" s="920" customFormat="true" ht="30" hidden="false" customHeight="true" outlineLevel="0" collapsed="false">
      <c r="A386" s="1354" t="s">
        <v>369</v>
      </c>
      <c r="B386" s="1355" t="s">
        <v>700</v>
      </c>
      <c r="C386" s="1356" t="s">
        <v>701</v>
      </c>
      <c r="D386" s="1414" t="s">
        <v>702</v>
      </c>
      <c r="E386" s="1415" t="s">
        <v>739</v>
      </c>
      <c r="F386" s="1416" t="s">
        <v>721</v>
      </c>
      <c r="G386" s="1417" t="s">
        <v>704</v>
      </c>
      <c r="H386" s="1357" t="s">
        <v>705</v>
      </c>
      <c r="I386" s="1357" t="s">
        <v>706</v>
      </c>
      <c r="J386" s="1359" t="s">
        <v>707</v>
      </c>
      <c r="L386" s="1360" t="s">
        <v>708</v>
      </c>
      <c r="M386" s="582"/>
      <c r="N386" s="582"/>
      <c r="O386" s="582"/>
      <c r="P386" s="582"/>
      <c r="Q386" s="582"/>
      <c r="R386" s="582"/>
    </row>
    <row r="387" customFormat="false" ht="32.25" hidden="false" customHeight="true" outlineLevel="0" collapsed="false">
      <c r="A387" s="1418" t="s">
        <v>722</v>
      </c>
      <c r="B387" s="1362" t="n">
        <f aca="false">B393-B389-B391</f>
        <v>273005690</v>
      </c>
      <c r="C387" s="1363" t="n">
        <f aca="false">ROUNDDOWN(B387*C388/B388,0)</f>
        <v>240698549</v>
      </c>
      <c r="D387" s="1419" t="n">
        <f aca="false">ROUNDDOWN(B387*D388/B388,0)</f>
        <v>12011629</v>
      </c>
      <c r="E387" s="1420" t="n">
        <f aca="false">ROUNDDOWN(B387*E388/B388,0)</f>
        <v>4245489</v>
      </c>
      <c r="F387" s="1421" t="n">
        <f aca="false">ROUNDDOWN(B387*F388/B388,0)</f>
        <v>258871</v>
      </c>
      <c r="G387" s="1421" t="n">
        <f aca="false">ROUNDDOWN(B387*G388/B388,0)</f>
        <v>2847584</v>
      </c>
      <c r="H387" s="1421" t="n">
        <f aca="false">ROUNDDOWN(B387*H388/B388,0)</f>
        <v>517742</v>
      </c>
      <c r="I387" s="1421" t="n">
        <f aca="false">ROUNDDOWN(B387*I388/B388,0)</f>
        <v>62129</v>
      </c>
      <c r="J387" s="1422" t="n">
        <f aca="false">B387-C387-D387-E387-F387-G387-H387-I387</f>
        <v>12363697</v>
      </c>
      <c r="L387" s="1423" t="n">
        <f aca="false">SUM(I387:J387)</f>
        <v>12425826</v>
      </c>
      <c r="M387" s="1511"/>
      <c r="N387" s="1511"/>
      <c r="O387" s="1511"/>
      <c r="P387" s="1511"/>
      <c r="Q387" s="1511"/>
      <c r="R387" s="1511"/>
    </row>
    <row r="388" s="1511" customFormat="true" ht="15" hidden="false" customHeight="true" outlineLevel="0" collapsed="false">
      <c r="A388" s="1504" t="s">
        <v>710</v>
      </c>
      <c r="B388" s="1438" t="n">
        <f aca="false">SUM(C388:J388)</f>
        <v>52.73</v>
      </c>
      <c r="C388" s="1520" t="n">
        <f aca="false">$C$16</f>
        <v>46.49</v>
      </c>
      <c r="D388" s="1440" t="n">
        <f aca="false">$D$16</f>
        <v>2.32</v>
      </c>
      <c r="E388" s="1521" t="n">
        <f aca="false">$E$16</f>
        <v>0.82</v>
      </c>
      <c r="F388" s="1522" t="n">
        <f aca="false">$F$16</f>
        <v>0.05</v>
      </c>
      <c r="G388" s="1522" t="n">
        <f aca="false">$G$16</f>
        <v>0.55</v>
      </c>
      <c r="H388" s="1523" t="n">
        <f aca="false">$H$16</f>
        <v>0.1</v>
      </c>
      <c r="I388" s="1524" t="n">
        <f aca="false">$I$16</f>
        <v>0.012</v>
      </c>
      <c r="J388" s="1525" t="n">
        <f aca="false">$J$16</f>
        <v>2.388</v>
      </c>
      <c r="K388" s="1381"/>
      <c r="L388" s="1432" t="n">
        <f aca="false">SUM(I388:J388)</f>
        <v>2.4</v>
      </c>
      <c r="M388" s="582"/>
      <c r="N388" s="582"/>
      <c r="O388" s="582"/>
      <c r="P388" s="582"/>
      <c r="Q388" s="582"/>
      <c r="R388" s="582"/>
    </row>
    <row r="389" customFormat="false" ht="32.25" hidden="false" customHeight="true" outlineLevel="0" collapsed="false">
      <c r="A389" s="1361" t="s">
        <v>723</v>
      </c>
      <c r="B389" s="1362" t="n">
        <f aca="false">'☆掛負収入'!I826+'☆掛負収入'!I827</f>
        <v>96626479</v>
      </c>
      <c r="C389" s="1363" t="n">
        <f aca="false">ROUNDDOWN((B389-E389)/B390*C390,0)</f>
        <v>86527834</v>
      </c>
      <c r="D389" s="1433" t="n">
        <f aca="false">ROUNDDOWN((B389-E389)/B390*D390,0)</f>
        <v>4318016</v>
      </c>
      <c r="E389" s="1434" t="n">
        <f aca="false">ROUNDDOWN(B400*E374/1000,0)</f>
        <v>10865</v>
      </c>
      <c r="F389" s="1363" t="n">
        <f aca="false">ROUNDDOWN((B389-E389)/B390*F390,0)</f>
        <v>93060</v>
      </c>
      <c r="G389" s="1363" t="n">
        <f aca="false">ROUNDDOWN((B389-E389)/B390*G390,0)</f>
        <v>1023667</v>
      </c>
      <c r="H389" s="1384" t="n">
        <f aca="false">ROUNDDOWN((B389-E389)/B390*H390,0)</f>
        <v>186121</v>
      </c>
      <c r="I389" s="1384" t="n">
        <f aca="false">ROUNDDOWN((B389-E389)/B390*I390,0)</f>
        <v>22334</v>
      </c>
      <c r="J389" s="1435" t="n">
        <f aca="false">B389-C389-D389-E389-F389-G389-H389-I389</f>
        <v>4444582</v>
      </c>
      <c r="K389" s="1379" t="s">
        <v>711</v>
      </c>
      <c r="L389" s="1436" t="n">
        <f aca="false">SUM(I389:J389)</f>
        <v>4466916</v>
      </c>
      <c r="M389" s="1381"/>
      <c r="N389" s="1381"/>
      <c r="O389" s="1381"/>
      <c r="P389" s="1381"/>
      <c r="Q389" s="1381"/>
      <c r="R389" s="1381"/>
    </row>
    <row r="390" s="1381" customFormat="true" ht="15" hidden="false" customHeight="true" outlineLevel="0" collapsed="false">
      <c r="A390" s="1526" t="s">
        <v>710</v>
      </c>
      <c r="B390" s="1438" t="n">
        <f aca="false">SUM(C390:J390)</f>
        <v>51.91</v>
      </c>
      <c r="C390" s="1439" t="n">
        <f aca="false">C388</f>
        <v>46.49</v>
      </c>
      <c r="D390" s="1440" t="n">
        <f aca="false">D388</f>
        <v>2.32</v>
      </c>
      <c r="E390" s="1441" t="s">
        <v>724</v>
      </c>
      <c r="F390" s="1442" t="n">
        <f aca="false">F388</f>
        <v>0.05</v>
      </c>
      <c r="G390" s="1442" t="n">
        <f aca="false">G388</f>
        <v>0.55</v>
      </c>
      <c r="H390" s="1443" t="n">
        <f aca="false">H388</f>
        <v>0.1</v>
      </c>
      <c r="I390" s="1444" t="n">
        <f aca="false">I388</f>
        <v>0.012</v>
      </c>
      <c r="J390" s="1445" t="n">
        <f aca="false">J388</f>
        <v>2.388</v>
      </c>
      <c r="K390" s="1379"/>
      <c r="L390" s="1446" t="n">
        <f aca="false">SUM(I390:J390)</f>
        <v>2.4</v>
      </c>
      <c r="M390" s="582"/>
      <c r="N390" s="582"/>
      <c r="O390" s="582"/>
      <c r="P390" s="582"/>
      <c r="Q390" s="582"/>
      <c r="R390" s="582"/>
    </row>
    <row r="391" customFormat="false" ht="32.25" hidden="false" customHeight="true" outlineLevel="0" collapsed="false">
      <c r="A391" s="1447" t="s">
        <v>725</v>
      </c>
      <c r="B391" s="1362" t="n">
        <f aca="false">'☆掛負収入'!I843+E391</f>
        <v>50963</v>
      </c>
      <c r="C391" s="1363" t="n">
        <f aca="false">ROUNDDOWN((B391-E391)/B392*C392,0)</f>
        <v>45407</v>
      </c>
      <c r="D391" s="1433" t="n">
        <f aca="false">ROUNDDOWN((B391-E391)/B392*D392,0)</f>
        <v>2265</v>
      </c>
      <c r="E391" s="1448" t="n">
        <f aca="false">'☆労組公的負担（短期）'!F18</f>
        <v>262</v>
      </c>
      <c r="F391" s="1363" t="n">
        <f aca="false">ROUNDDOWN((B391-E391)/B392*F392,0)</f>
        <v>48</v>
      </c>
      <c r="G391" s="1363" t="n">
        <f aca="false">ROUNDDOWN((B391-E391)/B392*G392,0)</f>
        <v>537</v>
      </c>
      <c r="H391" s="1384" t="n">
        <f aca="false">H393-H387-H389</f>
        <v>99</v>
      </c>
      <c r="I391" s="1384" t="n">
        <f aca="false">I393-I387-I389</f>
        <v>12</v>
      </c>
      <c r="J391" s="1435" t="n">
        <f aca="false">B391-C391-D391-E391-F391-G391-H391-I391</f>
        <v>2333</v>
      </c>
      <c r="L391" s="1436" t="n">
        <f aca="false">SUM(I391:J391)</f>
        <v>2345</v>
      </c>
      <c r="M391" s="1381"/>
      <c r="N391" s="1381"/>
      <c r="O391" s="1381"/>
      <c r="P391" s="1381"/>
      <c r="Q391" s="1381"/>
      <c r="R391" s="1381"/>
    </row>
    <row r="392" s="1381" customFormat="true" ht="15" hidden="false" customHeight="true" outlineLevel="0" collapsed="false">
      <c r="A392" s="1512" t="s">
        <v>710</v>
      </c>
      <c r="B392" s="1449" t="n">
        <f aca="false">SUM(C392:J392)</f>
        <v>51.91</v>
      </c>
      <c r="C392" s="1439" t="n">
        <f aca="false">C388</f>
        <v>46.49</v>
      </c>
      <c r="D392" s="1440" t="n">
        <f aca="false">D388</f>
        <v>2.32</v>
      </c>
      <c r="E392" s="1450" t="s">
        <v>726</v>
      </c>
      <c r="F392" s="1451" t="n">
        <f aca="false">F388</f>
        <v>0.05</v>
      </c>
      <c r="G392" s="1451" t="n">
        <f aca="false">G388</f>
        <v>0.55</v>
      </c>
      <c r="H392" s="1452" t="n">
        <f aca="false">H388</f>
        <v>0.1</v>
      </c>
      <c r="I392" s="1453" t="n">
        <f aca="false">I388</f>
        <v>0.012</v>
      </c>
      <c r="J392" s="1454" t="n">
        <f aca="false">J388</f>
        <v>2.388</v>
      </c>
      <c r="L392" s="1455" t="n">
        <f aca="false">SUM(I392:J392)</f>
        <v>2.4</v>
      </c>
      <c r="M392" s="582"/>
      <c r="N392" s="582"/>
      <c r="O392" s="582"/>
      <c r="P392" s="582"/>
      <c r="Q392" s="582"/>
      <c r="R392" s="582"/>
    </row>
    <row r="393" customFormat="false" ht="30" hidden="false" customHeight="true" outlineLevel="0" collapsed="false">
      <c r="A393" s="1399" t="s">
        <v>650</v>
      </c>
      <c r="B393" s="1456" t="n">
        <f aca="false">'☆掛負収入'!I845</f>
        <v>369683132</v>
      </c>
      <c r="C393" s="1457" t="n">
        <f aca="false">C387+C389+C391</f>
        <v>327271790</v>
      </c>
      <c r="D393" s="1458" t="n">
        <f aca="false">D387+D389+D391</f>
        <v>16331910</v>
      </c>
      <c r="E393" s="1459" t="n">
        <f aca="false">E387+E389+E391</f>
        <v>4256616</v>
      </c>
      <c r="F393" s="1460" t="n">
        <f aca="false">F387+F389+F391</f>
        <v>351979</v>
      </c>
      <c r="G393" s="1460" t="n">
        <f aca="false">G387+G389+G391</f>
        <v>3871788</v>
      </c>
      <c r="H393" s="1460" t="n">
        <f aca="false">ROUNDDOWN(B398*H374/1000,0)-H382</f>
        <v>703962</v>
      </c>
      <c r="I393" s="1460" t="n">
        <f aca="false">ROUNDDOWN(B398*I374/1000,0)-I382</f>
        <v>84475</v>
      </c>
      <c r="J393" s="1461" t="n">
        <f aca="false">J387+J389+J391</f>
        <v>16810612</v>
      </c>
      <c r="K393" s="1462"/>
      <c r="L393" s="1463" t="n">
        <f aca="false">SUM(I393:J393)</f>
        <v>16895087</v>
      </c>
      <c r="M393" s="1407"/>
      <c r="N393" s="1407"/>
      <c r="O393" s="1407"/>
      <c r="P393" s="1407"/>
      <c r="Q393" s="1407"/>
      <c r="R393" s="1407"/>
    </row>
    <row r="394" s="1407" customFormat="true" ht="20.1" hidden="false" customHeight="true" outlineLevel="0" collapsed="false">
      <c r="C394" s="1407" t="s">
        <v>713</v>
      </c>
      <c r="D394" s="1407" t="s">
        <v>714</v>
      </c>
      <c r="E394" s="1407" t="s">
        <v>714</v>
      </c>
      <c r="F394" s="1407" t="s">
        <v>715</v>
      </c>
      <c r="G394" s="1407" t="s">
        <v>716</v>
      </c>
      <c r="H394" s="1407" t="s">
        <v>717</v>
      </c>
      <c r="I394" s="1407" t="s">
        <v>718</v>
      </c>
      <c r="J394" s="1407" t="s">
        <v>719</v>
      </c>
      <c r="L394" s="1464"/>
      <c r="M394" s="764"/>
      <c r="N394" s="764"/>
      <c r="O394" s="764"/>
      <c r="P394" s="764"/>
      <c r="Q394" s="764"/>
      <c r="R394" s="764"/>
    </row>
    <row r="395" s="764" customFormat="true" ht="18.75" hidden="false" customHeight="true" outlineLevel="0" collapsed="false">
      <c r="A395" s="1465" t="s">
        <v>727</v>
      </c>
      <c r="B395" s="1466" t="n">
        <f aca="false">B382+B393</f>
        <v>735198776</v>
      </c>
      <c r="C395" s="1467"/>
      <c r="D395" s="1467"/>
      <c r="E395" s="1467"/>
      <c r="K395" s="1342"/>
    </row>
    <row r="396" s="764" customFormat="true" ht="18.75" hidden="false" customHeight="true" outlineLevel="0" collapsed="false">
      <c r="A396" s="1477"/>
      <c r="B396" s="1470"/>
      <c r="C396" s="1471" t="s">
        <v>728</v>
      </c>
      <c r="D396" s="1472"/>
      <c r="E396" s="1473"/>
      <c r="F396" s="1474" t="s">
        <v>729</v>
      </c>
      <c r="G396" s="1473"/>
      <c r="H396" s="1475" t="n">
        <f aca="false">G382+G393</f>
        <v>7748255</v>
      </c>
      <c r="I396" s="1476" t="s">
        <v>430</v>
      </c>
      <c r="K396" s="1342"/>
    </row>
    <row r="397" s="764" customFormat="true" ht="18.75" hidden="false" customHeight="true" outlineLevel="0" collapsed="false">
      <c r="A397" s="1477" t="s">
        <v>730</v>
      </c>
      <c r="B397" s="1478"/>
      <c r="C397" s="1479"/>
      <c r="D397" s="1480"/>
      <c r="E397" s="1475" t="n">
        <f aca="false">C382+C393</f>
        <v>654939014</v>
      </c>
      <c r="F397" s="1481" t="str">
        <f aca="false">IF(H396='☆拠出金明細R7'!V114,"　","明細と不一致!")</f>
        <v>　</v>
      </c>
      <c r="G397" s="1482" t="n">
        <f aca="false">B398</f>
        <v>7043869000</v>
      </c>
      <c r="H397" s="1483" t="n">
        <f aca="false">G374</f>
        <v>1.1</v>
      </c>
      <c r="I397" s="1475"/>
      <c r="K397" s="1342"/>
    </row>
    <row r="398" s="764" customFormat="true" ht="18.75" hidden="false" customHeight="true" outlineLevel="0" collapsed="false">
      <c r="A398" s="1484" t="s">
        <v>577</v>
      </c>
      <c r="B398" s="1485" t="n">
        <f aca="false">ROUNDUP(H396/G374*1000,-3)</f>
        <v>7043869000</v>
      </c>
      <c r="C398" s="1471" t="s">
        <v>731</v>
      </c>
      <c r="D398" s="1472"/>
      <c r="E398" s="1486"/>
      <c r="F398" s="1474" t="s">
        <v>732</v>
      </c>
      <c r="G398" s="1473"/>
      <c r="H398" s="1475" t="n">
        <f aca="false">H382+H393</f>
        <v>1408773</v>
      </c>
      <c r="I398" s="1069" t="s">
        <v>431</v>
      </c>
      <c r="K398" s="1342"/>
      <c r="L398" s="1381"/>
      <c r="M398" s="1381"/>
      <c r="N398" s="1381"/>
      <c r="O398" s="1381"/>
      <c r="P398" s="1381"/>
      <c r="Q398" s="1381"/>
    </row>
    <row r="399" s="1381" customFormat="true" ht="18.75" hidden="false" customHeight="true" outlineLevel="0" collapsed="false">
      <c r="A399" s="1484"/>
      <c r="B399" s="1485"/>
      <c r="C399" s="1487"/>
      <c r="D399" s="1480"/>
      <c r="E399" s="1475" t="n">
        <f aca="false">D382+D393+E393</f>
        <v>36940170</v>
      </c>
      <c r="F399" s="1481" t="str">
        <f aca="false">IF(H398='☆拠出金明細R7'!AD112,"　","明細と不一致!")</f>
        <v>　</v>
      </c>
      <c r="G399" s="1482" t="n">
        <f aca="false">B398</f>
        <v>7043869000</v>
      </c>
      <c r="H399" s="1483" t="n">
        <f aca="false">H374</f>
        <v>0.2</v>
      </c>
      <c r="I399" s="1069"/>
      <c r="K399" s="1488"/>
      <c r="L399" s="582"/>
      <c r="M399" s="582"/>
      <c r="N399" s="582"/>
      <c r="O399" s="582"/>
      <c r="P399" s="582"/>
      <c r="Q399" s="582"/>
    </row>
    <row r="400" customFormat="false" ht="18.75" hidden="false" customHeight="true" outlineLevel="0" collapsed="false">
      <c r="A400" s="1489" t="s">
        <v>733</v>
      </c>
      <c r="B400" s="1490" t="n">
        <v>13250000</v>
      </c>
      <c r="C400" s="1491" t="s">
        <v>734</v>
      </c>
      <c r="D400" s="1493"/>
      <c r="E400" s="1473"/>
      <c r="F400" s="1493" t="s">
        <v>735</v>
      </c>
      <c r="G400" s="1472"/>
      <c r="H400" s="1475" t="n">
        <f aca="false">I382+I393</f>
        <v>169052</v>
      </c>
      <c r="I400" s="1069" t="s">
        <v>432</v>
      </c>
      <c r="K400" s="1337"/>
      <c r="L400" s="582"/>
    </row>
    <row r="401" customFormat="false" ht="18.75" hidden="false" customHeight="true" outlineLevel="0" collapsed="false">
      <c r="A401" s="1489"/>
      <c r="B401" s="1490"/>
      <c r="C401" s="1494"/>
      <c r="D401" s="1481" t="str">
        <f aca="false">IF(E401='☆拠出金明細R7'!K114,"　","明細と不一致!")</f>
        <v>　</v>
      </c>
      <c r="E401" s="1475" t="n">
        <f aca="false">F393</f>
        <v>351979</v>
      </c>
      <c r="F401" s="1481" t="str">
        <f aca="false">IF(H400='☆拠出金明細R7'!AN114,"　","明細と不一致!")</f>
        <v>　</v>
      </c>
      <c r="G401" s="1482" t="n">
        <f aca="false">B398</f>
        <v>7043869000</v>
      </c>
      <c r="H401" s="1495" t="n">
        <f aca="false">I374</f>
        <v>0.024</v>
      </c>
      <c r="K401" s="1337"/>
      <c r="L401" s="582"/>
    </row>
    <row r="402" customFormat="false" ht="18.75" hidden="false" customHeight="true" outlineLevel="0" collapsed="false">
      <c r="A402" s="1253"/>
      <c r="B402" s="1496"/>
      <c r="C402" s="1491" t="s">
        <v>736</v>
      </c>
      <c r="D402" s="1493"/>
      <c r="E402" s="1497"/>
      <c r="F402" s="1498" t="s">
        <v>737</v>
      </c>
      <c r="G402" s="1498"/>
      <c r="H402" s="1498"/>
      <c r="K402" s="1337"/>
      <c r="L402" s="582"/>
    </row>
    <row r="403" customFormat="false" ht="18.75" hidden="false" customHeight="true" outlineLevel="0" collapsed="false">
      <c r="A403" s="1253"/>
      <c r="B403" s="1496"/>
      <c r="C403" s="1499"/>
      <c r="D403" s="1486"/>
      <c r="E403" s="1475" t="n">
        <f aca="false">J382+J393</f>
        <v>33641533</v>
      </c>
      <c r="F403" s="1498"/>
      <c r="G403" s="1498"/>
      <c r="H403" s="1498"/>
      <c r="I403" s="1535"/>
      <c r="K403" s="1337"/>
      <c r="L403" s="764"/>
      <c r="M403" s="764"/>
      <c r="N403" s="764"/>
      <c r="O403" s="764"/>
      <c r="P403" s="764"/>
      <c r="Q403" s="764"/>
    </row>
    <row r="404" s="764" customFormat="true" ht="26.25" hidden="false" customHeight="true" outlineLevel="0" collapsed="false">
      <c r="A404" s="1536" t="n">
        <f aca="false">EOMONTH(A373,1)</f>
        <v>46477</v>
      </c>
      <c r="B404" s="1537" t="s">
        <v>740</v>
      </c>
      <c r="C404" s="1340" t="s">
        <v>689</v>
      </c>
      <c r="D404" s="1105" t="s">
        <v>690</v>
      </c>
      <c r="E404" s="1105" t="s">
        <v>691</v>
      </c>
      <c r="F404" s="1105" t="s">
        <v>692</v>
      </c>
      <c r="G404" s="1105" t="s">
        <v>693</v>
      </c>
      <c r="H404" s="1105" t="s">
        <v>694</v>
      </c>
      <c r="I404" s="1105" t="s">
        <v>695</v>
      </c>
      <c r="J404" s="1341"/>
      <c r="L404" s="1342"/>
      <c r="M404" s="1344"/>
      <c r="N404" s="1344"/>
      <c r="O404" s="1344"/>
      <c r="P404" s="1344"/>
      <c r="Q404" s="1344"/>
      <c r="R404" s="1344"/>
    </row>
    <row r="405" s="1344" customFormat="true" ht="26.25" hidden="false" customHeight="true" outlineLevel="0" collapsed="false">
      <c r="A405" s="1343"/>
      <c r="C405" s="1340"/>
      <c r="D405" s="1501" t="n">
        <f aca="false">$D$2</f>
        <v>4.64</v>
      </c>
      <c r="E405" s="1502" t="n">
        <f aca="false">$E$2</f>
        <v>0.82</v>
      </c>
      <c r="F405" s="1502" t="n">
        <f aca="false">$F$2</f>
        <v>0.05</v>
      </c>
      <c r="G405" s="1502" t="n">
        <f aca="false">$G$2</f>
        <v>1.1</v>
      </c>
      <c r="H405" s="1502" t="n">
        <f aca="false">$H$2</f>
        <v>0.2</v>
      </c>
      <c r="I405" s="1502" t="n">
        <f aca="false">$I$2</f>
        <v>0.024</v>
      </c>
      <c r="J405" s="1348"/>
      <c r="L405" s="1349"/>
      <c r="M405" s="582"/>
      <c r="N405" s="582"/>
      <c r="O405" s="582"/>
      <c r="P405" s="582"/>
      <c r="Q405" s="582"/>
      <c r="R405" s="582"/>
    </row>
    <row r="406" customFormat="false" ht="13.9" hidden="false" customHeight="true" outlineLevel="0" collapsed="false">
      <c r="C406" s="1341"/>
      <c r="D406" s="1341"/>
      <c r="E406" s="1341"/>
      <c r="F406" s="1503"/>
      <c r="G406" s="1341"/>
      <c r="H406" s="1341"/>
      <c r="I406" s="1341"/>
      <c r="J406" s="1341"/>
    </row>
    <row r="407" customFormat="false" ht="20.1" hidden="false" customHeight="true" outlineLevel="0" collapsed="false">
      <c r="A407" s="771" t="s">
        <v>698</v>
      </c>
      <c r="G407" s="1352"/>
      <c r="L407" s="1353" t="s">
        <v>699</v>
      </c>
      <c r="M407" s="1197"/>
      <c r="N407" s="1197"/>
      <c r="O407" s="1197"/>
      <c r="P407" s="1197"/>
      <c r="Q407" s="1197"/>
      <c r="R407" s="1197"/>
    </row>
    <row r="408" s="1197" customFormat="true" ht="30" hidden="false" customHeight="true" outlineLevel="0" collapsed="false">
      <c r="A408" s="1354" t="s">
        <v>369</v>
      </c>
      <c r="B408" s="1355" t="s">
        <v>700</v>
      </c>
      <c r="C408" s="1356" t="s">
        <v>701</v>
      </c>
      <c r="D408" s="1357" t="s">
        <v>702</v>
      </c>
      <c r="E408" s="1357"/>
      <c r="F408" s="1358" t="s">
        <v>703</v>
      </c>
      <c r="G408" s="1357" t="s">
        <v>704</v>
      </c>
      <c r="H408" s="1357" t="s">
        <v>705</v>
      </c>
      <c r="I408" s="1357" t="s">
        <v>706</v>
      </c>
      <c r="J408" s="1359" t="s">
        <v>707</v>
      </c>
      <c r="L408" s="1360" t="s">
        <v>708</v>
      </c>
      <c r="M408" s="582"/>
      <c r="N408" s="582"/>
      <c r="O408" s="582"/>
      <c r="P408" s="582"/>
      <c r="Q408" s="582"/>
      <c r="R408" s="582"/>
    </row>
    <row r="409" customFormat="false" ht="32.25" hidden="false" customHeight="true" outlineLevel="0" collapsed="false">
      <c r="A409" s="1361" t="s">
        <v>709</v>
      </c>
      <c r="B409" s="1362" t="n">
        <f aca="false">B413-B411</f>
        <v>139822185</v>
      </c>
      <c r="C409" s="1363" t="n">
        <f aca="false">ROUNDDOWN(B409*C410/B410,0)</f>
        <v>125343875</v>
      </c>
      <c r="D409" s="1364" t="n">
        <f aca="false">ROUNDDOWN(B409*D410/B410,0)</f>
        <v>6255061</v>
      </c>
      <c r="E409" s="1364" t="n">
        <f aca="false">ROUNDDOWN(D409*E410/D410,0)</f>
        <v>0</v>
      </c>
      <c r="F409" s="1365" t="s">
        <v>522</v>
      </c>
      <c r="G409" s="1366" t="n">
        <f aca="false">ROUNDDOWN(B409*G410/B410,0)</f>
        <v>1482880</v>
      </c>
      <c r="H409" s="1367" t="n">
        <f aca="false">ROUNDDOWN(B409*H410/B410,0)</f>
        <v>269614</v>
      </c>
      <c r="I409" s="1364" t="n">
        <f aca="false">ROUNDDOWN(B409*I410/B410,0)</f>
        <v>32353</v>
      </c>
      <c r="J409" s="1368" t="n">
        <f aca="false">B409-C409-D409-G409-H409-I409</f>
        <v>6438402</v>
      </c>
      <c r="L409" s="1369" t="n">
        <f aca="false">SUM(I409:J409)</f>
        <v>6470755</v>
      </c>
      <c r="M409" s="1511"/>
      <c r="N409" s="1511"/>
      <c r="O409" s="1511"/>
      <c r="P409" s="1511"/>
      <c r="Q409" s="1511"/>
      <c r="R409" s="1511"/>
    </row>
    <row r="410" s="1511" customFormat="true" ht="15" hidden="false" customHeight="true" outlineLevel="0" collapsed="false">
      <c r="A410" s="1504" t="s">
        <v>710</v>
      </c>
      <c r="B410" s="1505" t="n">
        <f aca="false">SUM(C410:J410)</f>
        <v>51.86</v>
      </c>
      <c r="C410" s="1506" t="n">
        <f aca="false">$C$7</f>
        <v>46.49</v>
      </c>
      <c r="D410" s="1507" t="n">
        <f aca="false">$D$7</f>
        <v>2.32</v>
      </c>
      <c r="E410" s="1507"/>
      <c r="F410" s="1508" t="s">
        <v>522</v>
      </c>
      <c r="G410" s="1509" t="n">
        <f aca="false">$G$7</f>
        <v>0.55</v>
      </c>
      <c r="H410" s="1442" t="n">
        <f aca="false">$H$7</f>
        <v>0.1</v>
      </c>
      <c r="I410" s="1443" t="n">
        <f aca="false">$I$7</f>
        <v>0.012</v>
      </c>
      <c r="J410" s="1510" t="n">
        <f aca="false">$J$7</f>
        <v>2.388</v>
      </c>
      <c r="K410" s="1379" t="s">
        <v>711</v>
      </c>
      <c r="L410" s="1380" t="n">
        <f aca="false">SUM(I410:J410)</f>
        <v>2.4</v>
      </c>
      <c r="M410" s="582"/>
      <c r="N410" s="582"/>
      <c r="O410" s="582"/>
      <c r="P410" s="582"/>
      <c r="Q410" s="582"/>
      <c r="R410" s="582"/>
    </row>
    <row r="411" customFormat="false" ht="32.25" hidden="false" customHeight="true" outlineLevel="0" collapsed="false">
      <c r="A411" s="1361" t="s">
        <v>712</v>
      </c>
      <c r="B411" s="1538" t="n">
        <v>0</v>
      </c>
      <c r="C411" s="1363" t="n">
        <f aca="false">ROUNDDOWN(B411*C412/B412,0)</f>
        <v>0</v>
      </c>
      <c r="D411" s="1382" t="n">
        <f aca="false">ROUNDDOWN(B411*D412/B412,0)</f>
        <v>0</v>
      </c>
      <c r="E411" s="1382" t="n">
        <f aca="false">ROUNDDOWN(D411*E412/D412,0)</f>
        <v>0</v>
      </c>
      <c r="F411" s="1383" t="s">
        <v>522</v>
      </c>
      <c r="G411" s="1384" t="n">
        <f aca="false">ROUNDDOWN(B411*G412/B412,0)</f>
        <v>0</v>
      </c>
      <c r="H411" s="1385" t="n">
        <f aca="false">ROUNDDOWN(B411*H412/B412,0)</f>
        <v>0</v>
      </c>
      <c r="I411" s="1386" t="n">
        <f aca="false">ROUNDDOWN(B411*I412/B412,0)</f>
        <v>0</v>
      </c>
      <c r="J411" s="1387" t="n">
        <f aca="false">B411-C411-D411-G411-H411-I411</f>
        <v>0</v>
      </c>
      <c r="K411" s="1379"/>
      <c r="L411" s="1388" t="n">
        <f aca="false">SUM(I411:J411)</f>
        <v>0</v>
      </c>
      <c r="M411" s="1381"/>
      <c r="N411" s="1381"/>
      <c r="O411" s="1381"/>
      <c r="P411" s="1381"/>
      <c r="Q411" s="1381"/>
      <c r="R411" s="1381"/>
    </row>
    <row r="412" s="1381" customFormat="true" ht="15" hidden="false" customHeight="true" outlineLevel="0" collapsed="false">
      <c r="A412" s="1512" t="s">
        <v>710</v>
      </c>
      <c r="B412" s="1449" t="n">
        <f aca="false">SUM(C412:J412)</f>
        <v>103.72</v>
      </c>
      <c r="C412" s="1513" t="n">
        <f aca="false">C410*2</f>
        <v>92.98</v>
      </c>
      <c r="D412" s="1514" t="n">
        <f aca="false">D410*2</f>
        <v>4.64</v>
      </c>
      <c r="E412" s="1514"/>
      <c r="F412" s="1515" t="s">
        <v>522</v>
      </c>
      <c r="G412" s="1516" t="n">
        <f aca="false">G410*2</f>
        <v>1.1</v>
      </c>
      <c r="H412" s="1517" t="n">
        <f aca="false">H410*2</f>
        <v>0.2</v>
      </c>
      <c r="I412" s="1518" t="n">
        <f aca="false">I410*2</f>
        <v>0.024</v>
      </c>
      <c r="J412" s="1519" t="n">
        <f aca="false">J410*2</f>
        <v>4.776</v>
      </c>
      <c r="L412" s="1398" t="n">
        <f aca="false">L410*2</f>
        <v>4.8</v>
      </c>
      <c r="M412" s="582"/>
      <c r="N412" s="582"/>
      <c r="O412" s="582"/>
      <c r="P412" s="582"/>
      <c r="Q412" s="582"/>
      <c r="R412" s="582"/>
    </row>
    <row r="413" customFormat="false" ht="30" hidden="false" customHeight="true" outlineLevel="0" collapsed="false">
      <c r="A413" s="1399" t="s">
        <v>650</v>
      </c>
      <c r="B413" s="1400" t="n">
        <f aca="false">'☆短期集計R7'!B38+'☆短期集計R7'!D38</f>
        <v>139822185</v>
      </c>
      <c r="C413" s="1401" t="n">
        <f aca="false">C409+C411</f>
        <v>125343875</v>
      </c>
      <c r="D413" s="1402" t="n">
        <f aca="false">D409+D411</f>
        <v>6255061</v>
      </c>
      <c r="E413" s="1402"/>
      <c r="F413" s="1403" t="s">
        <v>522</v>
      </c>
      <c r="G413" s="1402" t="n">
        <f aca="false">G409+G411</f>
        <v>1482880</v>
      </c>
      <c r="H413" s="1401" t="n">
        <f aca="false">H409+H411</f>
        <v>269614</v>
      </c>
      <c r="I413" s="1402" t="n">
        <f aca="false">I409+I411</f>
        <v>32353</v>
      </c>
      <c r="J413" s="1404" t="n">
        <f aca="false">J409+J411</f>
        <v>6438402</v>
      </c>
      <c r="L413" s="1405" t="n">
        <f aca="false">L409+L411</f>
        <v>6470755</v>
      </c>
      <c r="M413" s="1406"/>
      <c r="N413" s="1406"/>
      <c r="O413" s="1406"/>
      <c r="P413" s="1406"/>
      <c r="Q413" s="1406"/>
      <c r="R413" s="1406"/>
    </row>
    <row r="414" s="1406" customFormat="true" ht="20.1" hidden="false" customHeight="true" outlineLevel="0" collapsed="false">
      <c r="C414" s="1407" t="s">
        <v>713</v>
      </c>
      <c r="D414" s="1408" t="s">
        <v>714</v>
      </c>
      <c r="E414" s="1408"/>
      <c r="F414" s="1407" t="s">
        <v>715</v>
      </c>
      <c r="G414" s="1407" t="s">
        <v>716</v>
      </c>
      <c r="H414" s="1409" t="s">
        <v>717</v>
      </c>
      <c r="I414" s="1409" t="s">
        <v>718</v>
      </c>
      <c r="J414" s="1409" t="s">
        <v>719</v>
      </c>
      <c r="L414" s="1410"/>
      <c r="M414" s="1064"/>
      <c r="N414" s="1064"/>
      <c r="O414" s="1064"/>
      <c r="P414" s="1064"/>
      <c r="Q414" s="1064"/>
      <c r="R414" s="1064"/>
    </row>
    <row r="415" s="1064" customFormat="true" ht="13.5" hidden="false" customHeight="true" outlineLevel="0" collapsed="false">
      <c r="C415" s="1411"/>
      <c r="D415" s="1412"/>
      <c r="E415" s="1412"/>
      <c r="F415" s="1411"/>
      <c r="G415" s="1412"/>
      <c r="H415" s="1412"/>
      <c r="I415" s="1412"/>
      <c r="J415" s="1412"/>
      <c r="L415" s="1413"/>
      <c r="M415" s="582"/>
      <c r="N415" s="582"/>
      <c r="O415" s="582"/>
      <c r="P415" s="582"/>
      <c r="Q415" s="582"/>
      <c r="R415" s="582"/>
    </row>
    <row r="416" customFormat="false" ht="20.1" hidden="false" customHeight="true" outlineLevel="0" collapsed="false">
      <c r="A416" s="771" t="s">
        <v>230</v>
      </c>
      <c r="B416" s="1064"/>
      <c r="C416" s="1064"/>
      <c r="D416" s="1064"/>
      <c r="E416" s="1064"/>
      <c r="F416" s="1064"/>
      <c r="G416" s="1352"/>
      <c r="H416" s="1064"/>
      <c r="I416" s="1064"/>
      <c r="J416" s="1064"/>
      <c r="L416" s="1353" t="s">
        <v>699</v>
      </c>
      <c r="M416" s="920"/>
      <c r="N416" s="920"/>
      <c r="O416" s="920"/>
      <c r="P416" s="920"/>
      <c r="Q416" s="920"/>
      <c r="R416" s="920"/>
    </row>
    <row r="417" s="920" customFormat="true" ht="30" hidden="false" customHeight="true" outlineLevel="0" collapsed="false">
      <c r="A417" s="1354" t="s">
        <v>369</v>
      </c>
      <c r="B417" s="1355" t="s">
        <v>700</v>
      </c>
      <c r="C417" s="1356" t="s">
        <v>701</v>
      </c>
      <c r="D417" s="1414" t="s">
        <v>702</v>
      </c>
      <c r="E417" s="1415" t="s">
        <v>739</v>
      </c>
      <c r="F417" s="1416" t="s">
        <v>721</v>
      </c>
      <c r="G417" s="1417" t="s">
        <v>704</v>
      </c>
      <c r="H417" s="1357" t="s">
        <v>705</v>
      </c>
      <c r="I417" s="1357" t="s">
        <v>706</v>
      </c>
      <c r="J417" s="1359" t="s">
        <v>707</v>
      </c>
      <c r="L417" s="1360" t="s">
        <v>708</v>
      </c>
      <c r="M417" s="582"/>
      <c r="N417" s="582"/>
      <c r="O417" s="582"/>
      <c r="P417" s="582"/>
      <c r="Q417" s="582"/>
      <c r="R417" s="582"/>
    </row>
    <row r="418" customFormat="false" ht="32.25" hidden="false" customHeight="true" outlineLevel="0" collapsed="false">
      <c r="A418" s="1418" t="s">
        <v>722</v>
      </c>
      <c r="B418" s="1362" t="n">
        <f aca="false">B424-B420-B422</f>
        <v>117860398</v>
      </c>
      <c r="C418" s="1363" t="n">
        <f aca="false">ROUNDDOWN(B418*C419/B419,0)</f>
        <v>103912950</v>
      </c>
      <c r="D418" s="1419" t="n">
        <f aca="false">ROUNDDOWN(B418*D419/B419,0)</f>
        <v>5185589</v>
      </c>
      <c r="E418" s="1420" t="n">
        <f aca="false">ROUNDDOWN(B418*E419/B419,0)</f>
        <v>1832837</v>
      </c>
      <c r="F418" s="1421" t="n">
        <f aca="false">ROUNDDOWN(B418*F419/B419,0)</f>
        <v>111758</v>
      </c>
      <c r="G418" s="1421" t="n">
        <f aca="false">ROUNDDOWN(B418*G419/B419,0)</f>
        <v>1229342</v>
      </c>
      <c r="H418" s="1421" t="n">
        <f aca="false">ROUNDDOWN(B418*H419/B419,0)</f>
        <v>223516</v>
      </c>
      <c r="I418" s="1421" t="n">
        <f aca="false">ROUNDDOWN(B418*I419/B419,0)</f>
        <v>26822</v>
      </c>
      <c r="J418" s="1422" t="n">
        <f aca="false">B418-C418-D418-E418-F418-G418-H418-I418</f>
        <v>5337584</v>
      </c>
      <c r="L418" s="1423" t="n">
        <f aca="false">SUM(I418:J418)</f>
        <v>5364406</v>
      </c>
      <c r="M418" s="1511"/>
      <c r="N418" s="1511"/>
      <c r="O418" s="1511"/>
      <c r="P418" s="1511"/>
      <c r="Q418" s="1511"/>
      <c r="R418" s="1511"/>
    </row>
    <row r="419" s="1511" customFormat="true" ht="15" hidden="false" customHeight="true" outlineLevel="0" collapsed="false">
      <c r="A419" s="1504" t="s">
        <v>710</v>
      </c>
      <c r="B419" s="1438" t="n">
        <f aca="false">SUM(C419:J419)</f>
        <v>52.73</v>
      </c>
      <c r="C419" s="1520" t="n">
        <f aca="false">$C$16</f>
        <v>46.49</v>
      </c>
      <c r="D419" s="1440" t="n">
        <f aca="false">$D$16</f>
        <v>2.32</v>
      </c>
      <c r="E419" s="1521" t="n">
        <f aca="false">$E$16</f>
        <v>0.82</v>
      </c>
      <c r="F419" s="1522" t="n">
        <f aca="false">$F$16</f>
        <v>0.05</v>
      </c>
      <c r="G419" s="1522" t="n">
        <f aca="false">$G$16</f>
        <v>0.55</v>
      </c>
      <c r="H419" s="1523" t="n">
        <f aca="false">$H$16</f>
        <v>0.1</v>
      </c>
      <c r="I419" s="1524" t="n">
        <f aca="false">$I$16</f>
        <v>0.012</v>
      </c>
      <c r="J419" s="1525" t="n">
        <f aca="false">$J$16</f>
        <v>2.388</v>
      </c>
      <c r="K419" s="1381"/>
      <c r="L419" s="1432" t="n">
        <f aca="false">SUM(I419:J419)</f>
        <v>2.4</v>
      </c>
      <c r="M419" s="582"/>
      <c r="N419" s="582"/>
      <c r="O419" s="582"/>
      <c r="P419" s="582"/>
      <c r="Q419" s="582"/>
      <c r="R419" s="582"/>
    </row>
    <row r="420" customFormat="false" ht="32.25" hidden="false" customHeight="true" outlineLevel="0" collapsed="false">
      <c r="A420" s="1361" t="s">
        <v>723</v>
      </c>
      <c r="B420" s="1362" t="n">
        <f aca="false">'☆掛負収入'!I891+'☆掛負収入'!I892</f>
        <v>27954278</v>
      </c>
      <c r="C420" s="1363" t="n">
        <f aca="false">ROUNDDOWN((B420-E420)/B421*C421,0)</f>
        <v>25031502</v>
      </c>
      <c r="D420" s="1433" t="n">
        <f aca="false">ROUNDDOWN((B420-E420)/B421*D421,0)</f>
        <v>1249152</v>
      </c>
      <c r="E420" s="1434" t="n">
        <f aca="false">ROUNDDOWN(B431*E405/1000,0)</f>
        <v>4497</v>
      </c>
      <c r="F420" s="1363" t="n">
        <f aca="false">ROUNDDOWN((B420-E420)/B421*F421,0)</f>
        <v>26921</v>
      </c>
      <c r="G420" s="1363" t="n">
        <f aca="false">ROUNDDOWN((B420-E420)/B421*G421,0)</f>
        <v>296135</v>
      </c>
      <c r="H420" s="1384" t="n">
        <f aca="false">ROUNDDOWN((B420-E420)/B421*H421,0)</f>
        <v>53842</v>
      </c>
      <c r="I420" s="1384" t="n">
        <f aca="false">ROUNDDOWN((B420-E420)/B421*I421,0)</f>
        <v>6461</v>
      </c>
      <c r="J420" s="1435" t="n">
        <f aca="false">B420-C420-D420-E420-F420-G420-H420-I420</f>
        <v>1285768</v>
      </c>
      <c r="K420" s="1379" t="s">
        <v>711</v>
      </c>
      <c r="L420" s="1436" t="n">
        <f aca="false">SUM(I420:J420)</f>
        <v>1292229</v>
      </c>
      <c r="M420" s="1381"/>
      <c r="N420" s="1381"/>
      <c r="O420" s="1381"/>
      <c r="P420" s="1381"/>
      <c r="Q420" s="1381"/>
      <c r="R420" s="1381"/>
    </row>
    <row r="421" s="1381" customFormat="true" ht="15" hidden="false" customHeight="true" outlineLevel="0" collapsed="false">
      <c r="A421" s="1526" t="s">
        <v>710</v>
      </c>
      <c r="B421" s="1438" t="n">
        <f aca="false">SUM(C421:J421)</f>
        <v>51.91</v>
      </c>
      <c r="C421" s="1439" t="n">
        <f aca="false">C419</f>
        <v>46.49</v>
      </c>
      <c r="D421" s="1440" t="n">
        <f aca="false">D419</f>
        <v>2.32</v>
      </c>
      <c r="E421" s="1441" t="s">
        <v>724</v>
      </c>
      <c r="F421" s="1442" t="n">
        <f aca="false">F419</f>
        <v>0.05</v>
      </c>
      <c r="G421" s="1442" t="n">
        <f aca="false">G419</f>
        <v>0.55</v>
      </c>
      <c r="H421" s="1443" t="n">
        <f aca="false">H419</f>
        <v>0.1</v>
      </c>
      <c r="I421" s="1444" t="n">
        <f aca="false">I419</f>
        <v>0.012</v>
      </c>
      <c r="J421" s="1445" t="n">
        <f aca="false">J419</f>
        <v>2.388</v>
      </c>
      <c r="K421" s="1379"/>
      <c r="L421" s="1446" t="n">
        <f aca="false">SUM(I421:J421)</f>
        <v>2.4</v>
      </c>
      <c r="M421" s="582"/>
      <c r="N421" s="582"/>
      <c r="O421" s="582"/>
      <c r="P421" s="582"/>
      <c r="Q421" s="582"/>
      <c r="R421" s="582"/>
    </row>
    <row r="422" customFormat="false" ht="32.25" hidden="false" customHeight="true" outlineLevel="0" collapsed="false">
      <c r="A422" s="1447" t="s">
        <v>725</v>
      </c>
      <c r="B422" s="1362" t="n">
        <f aca="false">'☆掛負収入'!I908+E422</f>
        <v>15010</v>
      </c>
      <c r="C422" s="1363" t="n">
        <f aca="false">ROUNDDOWN((B422-E422)/B423*C423,0)</f>
        <v>13374</v>
      </c>
      <c r="D422" s="1433" t="n">
        <f aca="false">ROUNDDOWN((B422-E422)/B423*D423,0)</f>
        <v>667</v>
      </c>
      <c r="E422" s="1448" t="n">
        <f aca="false">'☆労組公的負担（短期）'!F19</f>
        <v>76</v>
      </c>
      <c r="F422" s="1363" t="n">
        <f aca="false">ROUNDDOWN((B422-E422)/B423*F423,0)</f>
        <v>14</v>
      </c>
      <c r="G422" s="1363" t="n">
        <f aca="false">ROUNDDOWN((B422-E422)/B423*G423,0)</f>
        <v>158</v>
      </c>
      <c r="H422" s="1384" t="n">
        <f aca="false">H424-H418-H420</f>
        <v>31</v>
      </c>
      <c r="I422" s="1384" t="n">
        <f aca="false">I424-I418-I420</f>
        <v>5</v>
      </c>
      <c r="J422" s="1435" t="n">
        <f aca="false">B422-C422-D422-E422-F422-G422-H422-I422</f>
        <v>685</v>
      </c>
      <c r="L422" s="1436" t="n">
        <f aca="false">SUM(I422:J422)</f>
        <v>690</v>
      </c>
      <c r="M422" s="1381"/>
      <c r="N422" s="1381"/>
      <c r="O422" s="1381"/>
      <c r="P422" s="1381"/>
      <c r="Q422" s="1381"/>
      <c r="R422" s="1381"/>
    </row>
    <row r="423" s="1381" customFormat="true" ht="15" hidden="false" customHeight="true" outlineLevel="0" collapsed="false">
      <c r="A423" s="1512" t="s">
        <v>710</v>
      </c>
      <c r="B423" s="1449" t="n">
        <f aca="false">SUM(C423:J423)</f>
        <v>51.91</v>
      </c>
      <c r="C423" s="1439" t="n">
        <f aca="false">C419</f>
        <v>46.49</v>
      </c>
      <c r="D423" s="1440" t="n">
        <f aca="false">D419</f>
        <v>2.32</v>
      </c>
      <c r="E423" s="1450" t="s">
        <v>726</v>
      </c>
      <c r="F423" s="1451" t="n">
        <f aca="false">F419</f>
        <v>0.05</v>
      </c>
      <c r="G423" s="1451" t="n">
        <f aca="false">G419</f>
        <v>0.55</v>
      </c>
      <c r="H423" s="1452" t="n">
        <f aca="false">H419</f>
        <v>0.1</v>
      </c>
      <c r="I423" s="1453" t="n">
        <f aca="false">I419</f>
        <v>0.012</v>
      </c>
      <c r="J423" s="1454" t="n">
        <f aca="false">J419</f>
        <v>2.388</v>
      </c>
      <c r="L423" s="1455" t="n">
        <f aca="false">SUM(I423:J423)</f>
        <v>2.4</v>
      </c>
      <c r="M423" s="582"/>
      <c r="N423" s="582"/>
      <c r="O423" s="582"/>
      <c r="P423" s="582"/>
      <c r="Q423" s="582"/>
      <c r="R423" s="582"/>
    </row>
    <row r="424" customFormat="false" ht="30" hidden="false" customHeight="true" outlineLevel="0" collapsed="false">
      <c r="A424" s="1399" t="s">
        <v>650</v>
      </c>
      <c r="B424" s="1456" t="n">
        <f aca="false">'☆掛負収入'!I910</f>
        <v>145829686</v>
      </c>
      <c r="C424" s="1457" t="n">
        <f aca="false">C418+C420+C422</f>
        <v>128957826</v>
      </c>
      <c r="D424" s="1458" t="n">
        <f aca="false">D418+D420+D422</f>
        <v>6435408</v>
      </c>
      <c r="E424" s="1459" t="n">
        <f aca="false">E418+E420+E422</f>
        <v>1837410</v>
      </c>
      <c r="F424" s="1460" t="n">
        <f aca="false">F418+F420+F422</f>
        <v>138693</v>
      </c>
      <c r="G424" s="1460" t="n">
        <f aca="false">G418+G420+G422</f>
        <v>1525635</v>
      </c>
      <c r="H424" s="1460" t="n">
        <f aca="false">ROUNDDOWN((B429+B460)*H405/1000,0)-H460-H413</f>
        <v>277389</v>
      </c>
      <c r="I424" s="1460" t="n">
        <f aca="false">ROUNDDOWN((B429+B460)*I405/1000,0)-H462-I413</f>
        <v>33288</v>
      </c>
      <c r="J424" s="1527" t="n">
        <f aca="false">J418+J420+J422</f>
        <v>6624037</v>
      </c>
      <c r="L424" s="1463" t="n">
        <f aca="false">SUM(I424:J424)</f>
        <v>6657325</v>
      </c>
      <c r="M424" s="1407"/>
      <c r="N424" s="1407"/>
      <c r="O424" s="1407"/>
      <c r="P424" s="1407"/>
      <c r="Q424" s="1407"/>
      <c r="R424" s="1407"/>
    </row>
    <row r="425" s="1407" customFormat="true" ht="20.1" hidden="false" customHeight="true" outlineLevel="0" collapsed="false">
      <c r="C425" s="1407" t="s">
        <v>713</v>
      </c>
      <c r="D425" s="1407" t="s">
        <v>714</v>
      </c>
      <c r="E425" s="1407" t="s">
        <v>714</v>
      </c>
      <c r="F425" s="1407" t="s">
        <v>715</v>
      </c>
      <c r="G425" s="1407" t="s">
        <v>716</v>
      </c>
      <c r="H425" s="1407" t="s">
        <v>717</v>
      </c>
      <c r="I425" s="1407" t="s">
        <v>718</v>
      </c>
      <c r="J425" s="1407" t="s">
        <v>719</v>
      </c>
      <c r="L425" s="1464"/>
      <c r="M425" s="764"/>
      <c r="N425" s="764"/>
      <c r="O425" s="764"/>
      <c r="P425" s="764"/>
      <c r="Q425" s="764"/>
      <c r="R425" s="764"/>
    </row>
    <row r="426" s="764" customFormat="true" ht="18.75" hidden="false" customHeight="true" outlineLevel="0" collapsed="false">
      <c r="A426" s="1465" t="s">
        <v>727</v>
      </c>
      <c r="B426" s="1466" t="n">
        <f aca="false">B413+B424</f>
        <v>285651871</v>
      </c>
      <c r="C426" s="1467"/>
      <c r="D426" s="1467"/>
      <c r="E426" s="1467"/>
      <c r="K426" s="1342"/>
    </row>
    <row r="427" s="764" customFormat="true" ht="18.75" hidden="false" customHeight="true" outlineLevel="0" collapsed="false">
      <c r="A427" s="1477"/>
      <c r="B427" s="1470"/>
      <c r="C427" s="1471" t="s">
        <v>728</v>
      </c>
      <c r="D427" s="1472"/>
      <c r="E427" s="1473"/>
      <c r="F427" s="1474" t="s">
        <v>729</v>
      </c>
      <c r="G427" s="1473"/>
      <c r="H427" s="1475" t="n">
        <f aca="false">G413+G424</f>
        <v>3008515</v>
      </c>
      <c r="I427" s="1476" t="s">
        <v>430</v>
      </c>
      <c r="K427" s="1342"/>
    </row>
    <row r="428" s="764" customFormat="true" ht="18.75" hidden="false" customHeight="true" outlineLevel="0" collapsed="false">
      <c r="A428" s="1477" t="s">
        <v>730</v>
      </c>
      <c r="B428" s="1478"/>
      <c r="C428" s="1479"/>
      <c r="D428" s="1480"/>
      <c r="E428" s="1475" t="n">
        <f aca="false">C413+C424</f>
        <v>254301701</v>
      </c>
      <c r="F428" s="1481" t="str">
        <f aca="false">IF(H427=('☆拠出金明細R7'!V115-H458),"　","明細と不一致!")</f>
        <v>　</v>
      </c>
      <c r="G428" s="1482" t="n">
        <f aca="false">B429</f>
        <v>2735014000</v>
      </c>
      <c r="H428" s="1483" t="n">
        <f aca="false">G405</f>
        <v>1.1</v>
      </c>
      <c r="I428" s="1475"/>
      <c r="K428" s="1342"/>
    </row>
    <row r="429" s="764" customFormat="true" ht="18.75" hidden="false" customHeight="true" outlineLevel="0" collapsed="false">
      <c r="A429" s="1484" t="s">
        <v>577</v>
      </c>
      <c r="B429" s="1485" t="n">
        <f aca="false">ROUNDUP(((H427+H458)/G405*1000)-B460,-3)</f>
        <v>2735014000</v>
      </c>
      <c r="C429" s="1471" t="s">
        <v>731</v>
      </c>
      <c r="D429" s="1472"/>
      <c r="E429" s="1486"/>
      <c r="F429" s="1474" t="s">
        <v>732</v>
      </c>
      <c r="G429" s="1473"/>
      <c r="H429" s="1475" t="n">
        <f aca="false">H413+H424</f>
        <v>547003</v>
      </c>
      <c r="I429" s="1069" t="s">
        <v>431</v>
      </c>
      <c r="K429" s="1342"/>
      <c r="L429" s="1381"/>
      <c r="M429" s="1381"/>
      <c r="N429" s="1381"/>
      <c r="O429" s="1381"/>
      <c r="P429" s="1381"/>
      <c r="Q429" s="1381"/>
    </row>
    <row r="430" s="1381" customFormat="true" ht="18.75" hidden="false" customHeight="true" outlineLevel="0" collapsed="false">
      <c r="A430" s="1484"/>
      <c r="B430" s="1485"/>
      <c r="C430" s="1487"/>
      <c r="D430" s="1480"/>
      <c r="E430" s="1475" t="n">
        <f aca="false">D413+D424+E424</f>
        <v>14527879</v>
      </c>
      <c r="F430" s="1481" t="str">
        <f aca="false">IF(H429=('☆拠出金明細R7'!AD114-H460),"　","明細と不一致!")</f>
        <v>　</v>
      </c>
      <c r="G430" s="1482" t="n">
        <f aca="false">B429</f>
        <v>2735014000</v>
      </c>
      <c r="H430" s="1483" t="n">
        <f aca="false">H405</f>
        <v>0.2</v>
      </c>
      <c r="I430" s="1069"/>
      <c r="K430" s="1488"/>
      <c r="L430" s="582"/>
      <c r="M430" s="582"/>
      <c r="N430" s="582"/>
      <c r="O430" s="582"/>
      <c r="P430" s="582"/>
      <c r="Q430" s="582"/>
    </row>
    <row r="431" customFormat="false" ht="18.75" hidden="false" customHeight="true" outlineLevel="0" collapsed="false">
      <c r="A431" s="1489" t="s">
        <v>746</v>
      </c>
      <c r="B431" s="1490" t="n">
        <v>5485000</v>
      </c>
      <c r="C431" s="1491" t="s">
        <v>734</v>
      </c>
      <c r="D431" s="1493"/>
      <c r="E431" s="1473"/>
      <c r="F431" s="1493" t="s">
        <v>735</v>
      </c>
      <c r="G431" s="1472"/>
      <c r="H431" s="1475" t="n">
        <f aca="false">I413+I424</f>
        <v>65641</v>
      </c>
      <c r="I431" s="1069" t="s">
        <v>432</v>
      </c>
      <c r="K431" s="1337"/>
      <c r="L431" s="582"/>
    </row>
    <row r="432" customFormat="false" ht="18.75" hidden="false" customHeight="true" outlineLevel="0" collapsed="false">
      <c r="A432" s="1489"/>
      <c r="B432" s="1490"/>
      <c r="C432" s="1494"/>
      <c r="D432" s="1481" t="str">
        <f aca="false">IF(E432=('☆拠出金明細R7'!K115-E463),"　","明細と不一致!")</f>
        <v>　</v>
      </c>
      <c r="E432" s="1475" t="n">
        <f aca="false">F424</f>
        <v>138693</v>
      </c>
      <c r="F432" s="1481" t="str">
        <f aca="false">IF(H431=('☆拠出金明細R7'!AN115-H462),"　","明細と不一致!")</f>
        <v>　</v>
      </c>
      <c r="G432" s="1482" t="n">
        <f aca="false">B429</f>
        <v>2735014000</v>
      </c>
      <c r="H432" s="1495" t="n">
        <f aca="false">I405</f>
        <v>0.024</v>
      </c>
      <c r="K432" s="1337"/>
      <c r="L432" s="582"/>
    </row>
    <row r="433" customFormat="false" ht="18.75" hidden="false" customHeight="true" outlineLevel="0" collapsed="false">
      <c r="A433" s="1253"/>
      <c r="B433" s="1496"/>
      <c r="C433" s="1491" t="s">
        <v>736</v>
      </c>
      <c r="D433" s="1493"/>
      <c r="E433" s="1497"/>
      <c r="F433" s="1498" t="s">
        <v>737</v>
      </c>
      <c r="G433" s="1498"/>
      <c r="H433" s="1498"/>
      <c r="K433" s="1337"/>
      <c r="L433" s="582"/>
    </row>
    <row r="434" customFormat="false" ht="18.75" hidden="false" customHeight="true" outlineLevel="0" collapsed="false">
      <c r="A434" s="1253"/>
      <c r="B434" s="1496"/>
      <c r="C434" s="1499"/>
      <c r="D434" s="1486"/>
      <c r="E434" s="1475" t="n">
        <f aca="false">J413+J424</f>
        <v>13062439</v>
      </c>
      <c r="F434" s="1498"/>
      <c r="G434" s="1498"/>
      <c r="H434" s="1498"/>
      <c r="I434" s="1535"/>
      <c r="K434" s="1337"/>
      <c r="L434" s="764"/>
      <c r="M434" s="764"/>
      <c r="N434" s="764"/>
      <c r="O434" s="764"/>
      <c r="P434" s="764"/>
      <c r="Q434" s="764"/>
    </row>
    <row r="435" s="764" customFormat="true" ht="26.25" hidden="false" customHeight="true" outlineLevel="0" collapsed="false">
      <c r="A435" s="1338" t="n">
        <f aca="false">A404</f>
        <v>46477</v>
      </c>
      <c r="B435" s="1339" t="s">
        <v>688</v>
      </c>
      <c r="C435" s="1340" t="s">
        <v>689</v>
      </c>
      <c r="D435" s="1105" t="s">
        <v>690</v>
      </c>
      <c r="E435" s="1105" t="s">
        <v>691</v>
      </c>
      <c r="F435" s="1105" t="s">
        <v>692</v>
      </c>
      <c r="G435" s="1105" t="s">
        <v>693</v>
      </c>
      <c r="H435" s="1105" t="s">
        <v>694</v>
      </c>
      <c r="I435" s="1105" t="s">
        <v>695</v>
      </c>
      <c r="J435" s="1341"/>
      <c r="L435" s="1342"/>
      <c r="M435" s="1344"/>
      <c r="N435" s="1344"/>
      <c r="O435" s="1344"/>
      <c r="P435" s="1344"/>
      <c r="Q435" s="1344"/>
      <c r="R435" s="1344"/>
    </row>
    <row r="436" s="1344" customFormat="true" ht="26.25" hidden="false" customHeight="true" outlineLevel="0" collapsed="false">
      <c r="A436" s="1343"/>
      <c r="C436" s="1340"/>
      <c r="D436" s="1501" t="n">
        <f aca="false">$D$2</f>
        <v>4.64</v>
      </c>
      <c r="E436" s="1502" t="n">
        <f aca="false">$E$2</f>
        <v>0.82</v>
      </c>
      <c r="F436" s="1502" t="n">
        <f aca="false">$F$2</f>
        <v>0.05</v>
      </c>
      <c r="G436" s="1502" t="n">
        <f aca="false">$G$2</f>
        <v>1.1</v>
      </c>
      <c r="H436" s="1502" t="n">
        <f aca="false">$H$2</f>
        <v>0.2</v>
      </c>
      <c r="I436" s="1502" t="n">
        <f aca="false">$I$2</f>
        <v>0.024</v>
      </c>
      <c r="J436" s="1348"/>
      <c r="L436" s="1349"/>
      <c r="M436" s="582"/>
      <c r="N436" s="582"/>
      <c r="O436" s="582"/>
      <c r="P436" s="582"/>
      <c r="Q436" s="582"/>
      <c r="R436" s="582"/>
    </row>
    <row r="437" customFormat="false" ht="13.9" hidden="false" customHeight="true" outlineLevel="0" collapsed="false">
      <c r="C437" s="1341"/>
      <c r="D437" s="1341"/>
      <c r="E437" s="1341"/>
      <c r="F437" s="1503"/>
      <c r="G437" s="1341"/>
      <c r="H437" s="1341"/>
      <c r="I437" s="1341"/>
      <c r="J437" s="1341"/>
    </row>
    <row r="438" customFormat="false" ht="20.1" hidden="false" customHeight="true" outlineLevel="0" collapsed="false">
      <c r="A438" s="771" t="s">
        <v>698</v>
      </c>
      <c r="G438" s="1352"/>
      <c r="L438" s="1353" t="s">
        <v>699</v>
      </c>
      <c r="M438" s="1197"/>
      <c r="N438" s="1197"/>
      <c r="O438" s="1197"/>
      <c r="P438" s="1197"/>
      <c r="Q438" s="1197"/>
      <c r="R438" s="1197"/>
    </row>
    <row r="439" s="1197" customFormat="true" ht="30" hidden="false" customHeight="true" outlineLevel="0" collapsed="false">
      <c r="A439" s="1354" t="s">
        <v>369</v>
      </c>
      <c r="B439" s="1355" t="s">
        <v>700</v>
      </c>
      <c r="C439" s="1356" t="s">
        <v>701</v>
      </c>
      <c r="D439" s="1357" t="s">
        <v>702</v>
      </c>
      <c r="E439" s="1357"/>
      <c r="F439" s="1358" t="s">
        <v>703</v>
      </c>
      <c r="G439" s="1357" t="s">
        <v>704</v>
      </c>
      <c r="H439" s="1357" t="s">
        <v>705</v>
      </c>
      <c r="I439" s="1357" t="s">
        <v>706</v>
      </c>
      <c r="J439" s="1359" t="s">
        <v>707</v>
      </c>
      <c r="L439" s="1360" t="s">
        <v>708</v>
      </c>
      <c r="M439" s="582"/>
      <c r="N439" s="582"/>
      <c r="O439" s="582"/>
      <c r="P439" s="582"/>
      <c r="Q439" s="582"/>
      <c r="R439" s="582"/>
    </row>
    <row r="440" customFormat="false" ht="32.25" hidden="false" customHeight="true" outlineLevel="0" collapsed="false">
      <c r="A440" s="1361" t="s">
        <v>709</v>
      </c>
      <c r="B440" s="1362" t="n">
        <f aca="false">B444-B442</f>
        <v>355674806</v>
      </c>
      <c r="C440" s="1363" t="n">
        <f aca="false">ROUNDDOWN(B440*C441/B441,0)</f>
        <v>318845386</v>
      </c>
      <c r="D440" s="1364" t="n">
        <f aca="false">ROUNDDOWN(B440*D441/B441,0)</f>
        <v>15911406</v>
      </c>
      <c r="E440" s="1364" t="n">
        <f aca="false">ROUNDDOWN(D440*E441/D441,0)</f>
        <v>0</v>
      </c>
      <c r="F440" s="1365" t="s">
        <v>522</v>
      </c>
      <c r="G440" s="1366" t="n">
        <f aca="false">ROUNDDOWN(B440*G441/B441,0)</f>
        <v>3772100</v>
      </c>
      <c r="H440" s="1367" t="n">
        <f aca="false">ROUNDDOWN(B440*H441/B441,0)</f>
        <v>685836</v>
      </c>
      <c r="I440" s="1364" t="n">
        <f aca="false">ROUNDDOWN(B440*I441/B441,0)</f>
        <v>82300</v>
      </c>
      <c r="J440" s="1368" t="n">
        <f aca="false">B440-C440-D440-G440-H440-I440</f>
        <v>16377778</v>
      </c>
      <c r="L440" s="1369" t="n">
        <f aca="false">SUM(I440:J440)</f>
        <v>16460078</v>
      </c>
      <c r="M440" s="1511"/>
      <c r="N440" s="1511"/>
      <c r="O440" s="1511"/>
      <c r="P440" s="1511"/>
      <c r="Q440" s="1511"/>
      <c r="R440" s="1511"/>
    </row>
    <row r="441" s="1511" customFormat="true" ht="15" hidden="false" customHeight="true" outlineLevel="0" collapsed="false">
      <c r="A441" s="1504" t="s">
        <v>710</v>
      </c>
      <c r="B441" s="1505" t="n">
        <f aca="false">SUM(C441:J441)</f>
        <v>51.86</v>
      </c>
      <c r="C441" s="1506" t="n">
        <f aca="false">$C$7</f>
        <v>46.49</v>
      </c>
      <c r="D441" s="1507" t="n">
        <f aca="false">$D$7</f>
        <v>2.32</v>
      </c>
      <c r="E441" s="1507"/>
      <c r="F441" s="1508" t="s">
        <v>522</v>
      </c>
      <c r="G441" s="1509" t="n">
        <f aca="false">$G$7</f>
        <v>0.55</v>
      </c>
      <c r="H441" s="1442" t="n">
        <f aca="false">$H$7</f>
        <v>0.1</v>
      </c>
      <c r="I441" s="1443" t="n">
        <f aca="false">$I$7</f>
        <v>0.012</v>
      </c>
      <c r="J441" s="1510" t="n">
        <f aca="false">$J$7</f>
        <v>2.388</v>
      </c>
      <c r="K441" s="1379" t="s">
        <v>711</v>
      </c>
      <c r="L441" s="1380" t="n">
        <f aca="false">SUM(I441:J441)</f>
        <v>2.4</v>
      </c>
      <c r="M441" s="582"/>
      <c r="N441" s="582"/>
      <c r="O441" s="582"/>
      <c r="P441" s="582"/>
      <c r="Q441" s="582"/>
      <c r="R441" s="582"/>
    </row>
    <row r="442" customFormat="false" ht="32.25" hidden="false" customHeight="true" outlineLevel="0" collapsed="false">
      <c r="A442" s="1361" t="s">
        <v>712</v>
      </c>
      <c r="B442" s="1362" t="n">
        <f aca="false">'☆短期集計R7'!D39</f>
        <v>112219</v>
      </c>
      <c r="C442" s="1363" t="n">
        <f aca="false">ROUNDDOWN(B442*C443/B443,0)</f>
        <v>100598</v>
      </c>
      <c r="D442" s="1382" t="n">
        <f aca="false">ROUNDDOWN(B442*D443/B443,0)</f>
        <v>5020</v>
      </c>
      <c r="E442" s="1382" t="n">
        <f aca="false">ROUNDDOWN(D442*E443/D443,0)</f>
        <v>0</v>
      </c>
      <c r="F442" s="1383" t="s">
        <v>522</v>
      </c>
      <c r="G442" s="1384" t="n">
        <f aca="false">ROUNDDOWN(B442*G443/B443,0)</f>
        <v>1190</v>
      </c>
      <c r="H442" s="1385" t="n">
        <f aca="false">ROUNDDOWN(B442*H443/B443,0)</f>
        <v>216</v>
      </c>
      <c r="I442" s="1386" t="n">
        <f aca="false">ROUNDDOWN(B442*I443/B443,0)</f>
        <v>25</v>
      </c>
      <c r="J442" s="1387" t="n">
        <f aca="false">B442-C442-D442-G442-H442-I442</f>
        <v>5170</v>
      </c>
      <c r="K442" s="1379"/>
      <c r="L442" s="1388" t="n">
        <f aca="false">SUM(I442:J442)</f>
        <v>5195</v>
      </c>
      <c r="M442" s="1381"/>
      <c r="N442" s="1381"/>
      <c r="O442" s="1381"/>
      <c r="P442" s="1381"/>
      <c r="Q442" s="1381"/>
      <c r="R442" s="1381"/>
    </row>
    <row r="443" s="1381" customFormat="true" ht="15" hidden="false" customHeight="true" outlineLevel="0" collapsed="false">
      <c r="A443" s="1512" t="s">
        <v>710</v>
      </c>
      <c r="B443" s="1449" t="n">
        <f aca="false">SUM(C443:J443)</f>
        <v>103.72</v>
      </c>
      <c r="C443" s="1513" t="n">
        <f aca="false">C441*2</f>
        <v>92.98</v>
      </c>
      <c r="D443" s="1514" t="n">
        <f aca="false">D441*2</f>
        <v>4.64</v>
      </c>
      <c r="E443" s="1514"/>
      <c r="F443" s="1515" t="s">
        <v>522</v>
      </c>
      <c r="G443" s="1516" t="n">
        <f aca="false">G441*2</f>
        <v>1.1</v>
      </c>
      <c r="H443" s="1517" t="n">
        <f aca="false">H441*2</f>
        <v>0.2</v>
      </c>
      <c r="I443" s="1518" t="n">
        <f aca="false">I441*2</f>
        <v>0.024</v>
      </c>
      <c r="J443" s="1519" t="n">
        <f aca="false">J441*2</f>
        <v>4.776</v>
      </c>
      <c r="L443" s="1398" t="n">
        <f aca="false">L441*2</f>
        <v>4.8</v>
      </c>
      <c r="M443" s="582"/>
      <c r="N443" s="582"/>
      <c r="O443" s="582"/>
      <c r="P443" s="582"/>
      <c r="Q443" s="582"/>
      <c r="R443" s="582"/>
    </row>
    <row r="444" customFormat="false" ht="30" hidden="false" customHeight="true" outlineLevel="0" collapsed="false">
      <c r="A444" s="1399" t="s">
        <v>650</v>
      </c>
      <c r="B444" s="1400" t="n">
        <f aca="false">'☆短期集計R7'!B39+'☆短期集計R7'!D39</f>
        <v>355787025</v>
      </c>
      <c r="C444" s="1401" t="n">
        <f aca="false">C440+C442</f>
        <v>318945984</v>
      </c>
      <c r="D444" s="1402" t="n">
        <f aca="false">D440+D442</f>
        <v>15916426</v>
      </c>
      <c r="E444" s="1402"/>
      <c r="F444" s="1403" t="s">
        <v>522</v>
      </c>
      <c r="G444" s="1402" t="n">
        <f aca="false">G440+G442</f>
        <v>3773290</v>
      </c>
      <c r="H444" s="1401" t="n">
        <f aca="false">H440+H442</f>
        <v>686052</v>
      </c>
      <c r="I444" s="1402" t="n">
        <f aca="false">I440+I442</f>
        <v>82325</v>
      </c>
      <c r="J444" s="1404" t="n">
        <f aca="false">J440+J442</f>
        <v>16382948</v>
      </c>
      <c r="L444" s="1405" t="n">
        <f aca="false">L440+L442</f>
        <v>16465273</v>
      </c>
      <c r="M444" s="1406"/>
      <c r="N444" s="1406"/>
      <c r="O444" s="1406"/>
      <c r="P444" s="1406"/>
      <c r="Q444" s="1406"/>
      <c r="R444" s="1406"/>
    </row>
    <row r="445" s="1406" customFormat="true" ht="20.1" hidden="false" customHeight="true" outlineLevel="0" collapsed="false">
      <c r="C445" s="1407" t="s">
        <v>713</v>
      </c>
      <c r="D445" s="1408" t="s">
        <v>714</v>
      </c>
      <c r="E445" s="1408"/>
      <c r="F445" s="1407" t="s">
        <v>715</v>
      </c>
      <c r="G445" s="1407" t="s">
        <v>716</v>
      </c>
      <c r="H445" s="1409" t="s">
        <v>717</v>
      </c>
      <c r="I445" s="1409" t="s">
        <v>718</v>
      </c>
      <c r="J445" s="1409" t="s">
        <v>719</v>
      </c>
      <c r="L445" s="1410"/>
      <c r="M445" s="1064"/>
      <c r="N445" s="1064"/>
      <c r="O445" s="1064"/>
      <c r="P445" s="1064"/>
      <c r="Q445" s="1064"/>
      <c r="R445" s="1064"/>
    </row>
    <row r="446" s="1064" customFormat="true" ht="13.5" hidden="false" customHeight="true" outlineLevel="0" collapsed="false">
      <c r="C446" s="1411"/>
      <c r="D446" s="1412"/>
      <c r="E446" s="1412"/>
      <c r="F446" s="1411"/>
      <c r="G446" s="1412"/>
      <c r="H446" s="1412"/>
      <c r="I446" s="1412"/>
      <c r="J446" s="1412"/>
      <c r="L446" s="1413"/>
      <c r="M446" s="582"/>
      <c r="N446" s="582"/>
      <c r="O446" s="582"/>
      <c r="P446" s="582"/>
      <c r="Q446" s="582"/>
      <c r="R446" s="582"/>
    </row>
    <row r="447" customFormat="false" ht="20.1" hidden="false" customHeight="true" outlineLevel="0" collapsed="false">
      <c r="A447" s="771" t="s">
        <v>230</v>
      </c>
      <c r="B447" s="1064"/>
      <c r="C447" s="1064"/>
      <c r="D447" s="1064"/>
      <c r="E447" s="1064"/>
      <c r="F447" s="1064"/>
      <c r="G447" s="1352"/>
      <c r="H447" s="1064"/>
      <c r="I447" s="1064"/>
      <c r="J447" s="1064"/>
      <c r="L447" s="1353" t="s">
        <v>699</v>
      </c>
      <c r="M447" s="920"/>
      <c r="N447" s="920"/>
      <c r="O447" s="920"/>
      <c r="P447" s="920"/>
      <c r="Q447" s="920"/>
      <c r="R447" s="920"/>
    </row>
    <row r="448" s="920" customFormat="true" ht="30" hidden="false" customHeight="true" outlineLevel="0" collapsed="false">
      <c r="A448" s="1354" t="s">
        <v>369</v>
      </c>
      <c r="B448" s="1355" t="s">
        <v>700</v>
      </c>
      <c r="C448" s="1356" t="s">
        <v>701</v>
      </c>
      <c r="D448" s="1414" t="s">
        <v>702</v>
      </c>
      <c r="E448" s="1415" t="s">
        <v>739</v>
      </c>
      <c r="F448" s="1416" t="s">
        <v>721</v>
      </c>
      <c r="G448" s="1417" t="s">
        <v>704</v>
      </c>
      <c r="H448" s="1357" t="s">
        <v>705</v>
      </c>
      <c r="I448" s="1357" t="s">
        <v>706</v>
      </c>
      <c r="J448" s="1359" t="s">
        <v>707</v>
      </c>
      <c r="L448" s="1360" t="s">
        <v>708</v>
      </c>
      <c r="M448" s="582"/>
      <c r="N448" s="582"/>
      <c r="O448" s="582"/>
      <c r="P448" s="582"/>
      <c r="Q448" s="582"/>
      <c r="R448" s="582"/>
    </row>
    <row r="449" customFormat="false" ht="32.25" hidden="false" customHeight="true" outlineLevel="0" collapsed="false">
      <c r="A449" s="1418" t="s">
        <v>722</v>
      </c>
      <c r="B449" s="1362" t="n">
        <f aca="false">B455-B451-B453</f>
        <v>264253888</v>
      </c>
      <c r="C449" s="1363" t="n">
        <f aca="false">ROUNDDOWN(B449*C450/B450,0)</f>
        <v>232982424</v>
      </c>
      <c r="D449" s="1419" t="n">
        <f aca="false">ROUNDDOWN(B449*D450/B450,0)</f>
        <v>11626569</v>
      </c>
      <c r="E449" s="1420" t="n">
        <f aca="false">ROUNDDOWN(B449*E450/B450,0)</f>
        <v>4109391</v>
      </c>
      <c r="F449" s="1421" t="n">
        <f aca="false">ROUNDDOWN(B449*F450/B450,0)</f>
        <v>250572</v>
      </c>
      <c r="G449" s="1421" t="n">
        <f aca="false">ROUNDDOWN(B449*G450/B450,0)</f>
        <v>2756298</v>
      </c>
      <c r="H449" s="1421" t="n">
        <f aca="false">ROUNDDOWN(B449*H450/B450,0)</f>
        <v>501145</v>
      </c>
      <c r="I449" s="1421" t="n">
        <f aca="false">ROUNDDOWN(B449*I450/B450,0)</f>
        <v>60137</v>
      </c>
      <c r="J449" s="1422" t="n">
        <f aca="false">B449-C449-D449-E449-F449-G449-H449-I449</f>
        <v>11967352</v>
      </c>
      <c r="L449" s="1423" t="n">
        <f aca="false">SUM(I449:J449)</f>
        <v>12027489</v>
      </c>
      <c r="M449" s="1511"/>
      <c r="N449" s="1511"/>
      <c r="O449" s="1511"/>
      <c r="P449" s="1511"/>
      <c r="Q449" s="1511"/>
      <c r="R449" s="1511"/>
    </row>
    <row r="450" s="1511" customFormat="true" ht="15" hidden="false" customHeight="true" outlineLevel="0" collapsed="false">
      <c r="A450" s="1504" t="s">
        <v>710</v>
      </c>
      <c r="B450" s="1438" t="n">
        <f aca="false">SUM(C450:J450)</f>
        <v>52.73</v>
      </c>
      <c r="C450" s="1520" t="n">
        <f aca="false">$C$16</f>
        <v>46.49</v>
      </c>
      <c r="D450" s="1440" t="n">
        <f aca="false">$D$16</f>
        <v>2.32</v>
      </c>
      <c r="E450" s="1521" t="n">
        <f aca="false">$E$16</f>
        <v>0.82</v>
      </c>
      <c r="F450" s="1522" t="n">
        <f aca="false">$F$16</f>
        <v>0.05</v>
      </c>
      <c r="G450" s="1522" t="n">
        <f aca="false">$G$16</f>
        <v>0.55</v>
      </c>
      <c r="H450" s="1523" t="n">
        <f aca="false">$H$16</f>
        <v>0.1</v>
      </c>
      <c r="I450" s="1524" t="n">
        <f aca="false">$I$16</f>
        <v>0.012</v>
      </c>
      <c r="J450" s="1525" t="n">
        <f aca="false">$J$16</f>
        <v>2.388</v>
      </c>
      <c r="K450" s="1381"/>
      <c r="L450" s="1432" t="n">
        <f aca="false">SUM(I450:J450)</f>
        <v>2.4</v>
      </c>
      <c r="M450" s="582"/>
      <c r="N450" s="582"/>
      <c r="O450" s="582"/>
      <c r="P450" s="582"/>
      <c r="Q450" s="582"/>
      <c r="R450" s="582"/>
    </row>
    <row r="451" customFormat="false" ht="32.25" hidden="false" customHeight="true" outlineLevel="0" collapsed="false">
      <c r="A451" s="1361" t="s">
        <v>723</v>
      </c>
      <c r="B451" s="1362" t="n">
        <f aca="false">'☆掛負収入'!I956+'☆掛負収入'!I957</f>
        <v>95439886</v>
      </c>
      <c r="C451" s="1363" t="n">
        <f aca="false">ROUNDDOWN((B451-E451)/B452*C452,0)</f>
        <v>85464981</v>
      </c>
      <c r="D451" s="1433" t="n">
        <f aca="false">ROUNDDOWN((B451-E451)/B452*D452,0)</f>
        <v>4264976</v>
      </c>
      <c r="E451" s="1434" t="n">
        <f aca="false">ROUNDDOWN(B462*E436/1000,0)</f>
        <v>11037</v>
      </c>
      <c r="F451" s="1363" t="n">
        <f aca="false">ROUNDDOWN((B451-E451)/B452*F452,0)</f>
        <v>91917</v>
      </c>
      <c r="G451" s="1363" t="n">
        <f aca="false">ROUNDDOWN((B451-E451)/B452*G452,0)</f>
        <v>1011093</v>
      </c>
      <c r="H451" s="1384" t="n">
        <f aca="false">ROUNDDOWN((B451-E451)/B452*H452,0)</f>
        <v>183835</v>
      </c>
      <c r="I451" s="1384" t="n">
        <f aca="false">ROUNDDOWN((B451-E451)/B452*I452,0)</f>
        <v>22060</v>
      </c>
      <c r="J451" s="1435" t="n">
        <f aca="false">B451-C451-D451-E451-F451-G451-H451-I451</f>
        <v>4389987</v>
      </c>
      <c r="K451" s="1379" t="s">
        <v>711</v>
      </c>
      <c r="L451" s="1436" t="n">
        <f aca="false">SUM(I451:J451)</f>
        <v>4412047</v>
      </c>
      <c r="M451" s="1381"/>
      <c r="N451" s="1381"/>
      <c r="O451" s="1381"/>
      <c r="P451" s="1381"/>
      <c r="Q451" s="1381"/>
      <c r="R451" s="1381"/>
    </row>
    <row r="452" s="1381" customFormat="true" ht="15" hidden="false" customHeight="true" outlineLevel="0" collapsed="false">
      <c r="A452" s="1526" t="s">
        <v>710</v>
      </c>
      <c r="B452" s="1438" t="n">
        <f aca="false">SUM(C452:J452)</f>
        <v>51.91</v>
      </c>
      <c r="C452" s="1439" t="n">
        <f aca="false">C450</f>
        <v>46.49</v>
      </c>
      <c r="D452" s="1440" t="n">
        <f aca="false">D450</f>
        <v>2.32</v>
      </c>
      <c r="E452" s="1441" t="s">
        <v>724</v>
      </c>
      <c r="F452" s="1442" t="n">
        <f aca="false">F450</f>
        <v>0.05</v>
      </c>
      <c r="G452" s="1442" t="n">
        <f aca="false">G450</f>
        <v>0.55</v>
      </c>
      <c r="H452" s="1443" t="n">
        <f aca="false">H450</f>
        <v>0.1</v>
      </c>
      <c r="I452" s="1444" t="n">
        <f aca="false">I450</f>
        <v>0.012</v>
      </c>
      <c r="J452" s="1445" t="n">
        <f aca="false">J450</f>
        <v>2.388</v>
      </c>
      <c r="K452" s="1379"/>
      <c r="L452" s="1446" t="n">
        <f aca="false">SUM(I452:J452)</f>
        <v>2.4</v>
      </c>
      <c r="M452" s="582"/>
      <c r="N452" s="582"/>
      <c r="O452" s="582"/>
      <c r="P452" s="582"/>
      <c r="Q452" s="582"/>
      <c r="R452" s="582"/>
    </row>
    <row r="453" customFormat="false" ht="32.25" hidden="false" customHeight="true" outlineLevel="0" collapsed="false">
      <c r="A453" s="1447" t="s">
        <v>725</v>
      </c>
      <c r="B453" s="1362" t="n">
        <f aca="false">'☆掛負収入'!I973+E453</f>
        <v>50963</v>
      </c>
      <c r="C453" s="1363" t="n">
        <f aca="false">ROUNDDOWN((B453-E453)/B454*C454,0)</f>
        <v>45407</v>
      </c>
      <c r="D453" s="1433" t="n">
        <f aca="false">ROUNDDOWN((B453-E453)/B454*D454,0)</f>
        <v>2265</v>
      </c>
      <c r="E453" s="1448" t="n">
        <f aca="false">'☆労組公的負担（短期）'!F20</f>
        <v>262</v>
      </c>
      <c r="F453" s="1363" t="n">
        <f aca="false">ROUNDDOWN((B453-E453)/B454*F454,0)</f>
        <v>48</v>
      </c>
      <c r="G453" s="1363" t="n">
        <f aca="false">ROUNDDOWN((B453-E453)/B454*G454,0)</f>
        <v>537</v>
      </c>
      <c r="H453" s="1384" t="n">
        <f aca="false">H455-H449-H451</f>
        <v>98</v>
      </c>
      <c r="I453" s="1384" t="n">
        <f aca="false">I455-I449-I451</f>
        <v>13</v>
      </c>
      <c r="J453" s="1435" t="n">
        <f aca="false">B453-C453-D453-E453-F453-G453-H453-I453</f>
        <v>2333</v>
      </c>
      <c r="L453" s="1436" t="n">
        <f aca="false">SUM(I453:J453)</f>
        <v>2346</v>
      </c>
      <c r="M453" s="1381"/>
      <c r="N453" s="1381"/>
      <c r="O453" s="1381"/>
      <c r="P453" s="1381"/>
      <c r="Q453" s="1381"/>
      <c r="R453" s="1381"/>
    </row>
    <row r="454" s="1381" customFormat="true" ht="15" hidden="false" customHeight="true" outlineLevel="0" collapsed="false">
      <c r="A454" s="1512" t="s">
        <v>710</v>
      </c>
      <c r="B454" s="1449" t="n">
        <f aca="false">SUM(C454:J454)</f>
        <v>51.91</v>
      </c>
      <c r="C454" s="1439" t="n">
        <f aca="false">C450</f>
        <v>46.49</v>
      </c>
      <c r="D454" s="1440" t="n">
        <f aca="false">D450</f>
        <v>2.32</v>
      </c>
      <c r="E454" s="1450" t="s">
        <v>726</v>
      </c>
      <c r="F454" s="1451" t="n">
        <f aca="false">F450</f>
        <v>0.05</v>
      </c>
      <c r="G454" s="1451" t="n">
        <f aca="false">G450</f>
        <v>0.55</v>
      </c>
      <c r="H454" s="1452" t="n">
        <f aca="false">H450</f>
        <v>0.1</v>
      </c>
      <c r="I454" s="1453" t="n">
        <f aca="false">I450</f>
        <v>0.012</v>
      </c>
      <c r="J454" s="1454" t="n">
        <f aca="false">J450</f>
        <v>2.388</v>
      </c>
      <c r="L454" s="1455" t="n">
        <f aca="false">SUM(I454:J454)</f>
        <v>2.4</v>
      </c>
      <c r="M454" s="582"/>
      <c r="N454" s="582"/>
      <c r="O454" s="582"/>
      <c r="P454" s="582"/>
      <c r="Q454" s="582"/>
      <c r="R454" s="582"/>
    </row>
    <row r="455" customFormat="false" ht="30" hidden="false" customHeight="true" outlineLevel="0" collapsed="false">
      <c r="A455" s="1399" t="s">
        <v>650</v>
      </c>
      <c r="B455" s="1456" t="n">
        <f aca="false">'☆掛負収入'!I975</f>
        <v>359744737</v>
      </c>
      <c r="C455" s="1457" t="n">
        <f aca="false">C449+C451+C453</f>
        <v>318492812</v>
      </c>
      <c r="D455" s="1458" t="n">
        <f aca="false">D449+D451+D453</f>
        <v>15893810</v>
      </c>
      <c r="E455" s="1459" t="n">
        <f aca="false">E449+E451+E453</f>
        <v>4120690</v>
      </c>
      <c r="F455" s="1460" t="n">
        <f aca="false">F449+F451+F453</f>
        <v>342537</v>
      </c>
      <c r="G455" s="1460" t="n">
        <f aca="false">G449+G451+G453</f>
        <v>3767928</v>
      </c>
      <c r="H455" s="1460" t="n">
        <f aca="false">ROUNDDOWN(B460*H436/1000,0)-H444</f>
        <v>685078</v>
      </c>
      <c r="I455" s="1460" t="n">
        <f aca="false">ROUNDDOWN(B460*I436/1000,0)-I444</f>
        <v>82210</v>
      </c>
      <c r="J455" s="1527" t="n">
        <f aca="false">J449+J451+J453</f>
        <v>16359672</v>
      </c>
      <c r="L455" s="1463" t="n">
        <f aca="false">SUM(I455:J455)</f>
        <v>16441882</v>
      </c>
      <c r="M455" s="1407"/>
      <c r="N455" s="1407"/>
      <c r="O455" s="1407"/>
      <c r="P455" s="1407"/>
      <c r="Q455" s="1407"/>
      <c r="R455" s="1407"/>
    </row>
    <row r="456" s="1407" customFormat="true" ht="20.1" hidden="false" customHeight="true" outlineLevel="0" collapsed="false">
      <c r="C456" s="1407" t="s">
        <v>713</v>
      </c>
      <c r="D456" s="1407" t="s">
        <v>714</v>
      </c>
      <c r="E456" s="1407" t="s">
        <v>714</v>
      </c>
      <c r="F456" s="1407" t="s">
        <v>715</v>
      </c>
      <c r="G456" s="1407" t="s">
        <v>716</v>
      </c>
      <c r="H456" s="1407" t="s">
        <v>717</v>
      </c>
      <c r="I456" s="1407" t="s">
        <v>718</v>
      </c>
      <c r="J456" s="1407" t="s">
        <v>719</v>
      </c>
      <c r="L456" s="1464"/>
      <c r="M456" s="764"/>
      <c r="N456" s="764"/>
      <c r="O456" s="764"/>
      <c r="P456" s="764"/>
      <c r="Q456" s="764"/>
      <c r="R456" s="764"/>
    </row>
    <row r="457" s="764" customFormat="true" ht="18.75" hidden="false" customHeight="true" outlineLevel="0" collapsed="false">
      <c r="A457" s="1465" t="s">
        <v>727</v>
      </c>
      <c r="B457" s="1466" t="n">
        <f aca="false">B444+B455</f>
        <v>715531762</v>
      </c>
      <c r="C457" s="1467"/>
      <c r="D457" s="1467"/>
      <c r="E457" s="1467"/>
      <c r="J457" s="1540" t="s">
        <v>755</v>
      </c>
      <c r="K457" s="1540"/>
      <c r="L457" s="1540"/>
    </row>
    <row r="458" s="764" customFormat="true" ht="18.75" hidden="false" customHeight="true" outlineLevel="0" collapsed="false">
      <c r="A458" s="1477"/>
      <c r="B458" s="1470"/>
      <c r="C458" s="1471" t="s">
        <v>728</v>
      </c>
      <c r="D458" s="1472"/>
      <c r="E458" s="1473"/>
      <c r="F458" s="1474" t="s">
        <v>729</v>
      </c>
      <c r="G458" s="1473"/>
      <c r="H458" s="1475" t="n">
        <f aca="false">G444+G455</f>
        <v>7541218</v>
      </c>
      <c r="I458" s="1476" t="s">
        <v>430</v>
      </c>
      <c r="J458" s="1541" t="s">
        <v>742</v>
      </c>
      <c r="K458" s="1541"/>
      <c r="L458" s="1542" t="n">
        <f aca="false">L347+L378+L440</f>
        <v>50211331</v>
      </c>
    </row>
    <row r="459" s="764" customFormat="true" ht="18.75" hidden="false" customHeight="true" outlineLevel="0" collapsed="false">
      <c r="A459" s="1477" t="s">
        <v>730</v>
      </c>
      <c r="B459" s="1478"/>
      <c r="C459" s="1479"/>
      <c r="D459" s="1480"/>
      <c r="E459" s="1475" t="n">
        <f aca="false">C444+C455</f>
        <v>637438796</v>
      </c>
      <c r="F459" s="1481" t="str">
        <f aca="false">IF(H458=('☆拠出金明細R7'!V115-H427),"　","明細と不一致!")</f>
        <v>　</v>
      </c>
      <c r="G459" s="1482" t="n">
        <f aca="false">B460</f>
        <v>6855653000</v>
      </c>
      <c r="H459" s="1483" t="n">
        <f aca="false">G436</f>
        <v>1.1</v>
      </c>
      <c r="I459" s="1475"/>
      <c r="J459" s="1541" t="s">
        <v>743</v>
      </c>
      <c r="K459" s="1541"/>
      <c r="L459" s="1542" t="n">
        <f aca="false">L409</f>
        <v>6470755</v>
      </c>
    </row>
    <row r="460" s="764" customFormat="true" ht="18.75" hidden="false" customHeight="true" outlineLevel="0" collapsed="false">
      <c r="A460" s="1484" t="s">
        <v>577</v>
      </c>
      <c r="B460" s="1485" t="n">
        <f aca="false">ROUNDUP(H458/G436*1000,-3)</f>
        <v>6855653000</v>
      </c>
      <c r="C460" s="1471" t="s">
        <v>731</v>
      </c>
      <c r="D460" s="1472"/>
      <c r="E460" s="1486"/>
      <c r="F460" s="1474" t="s">
        <v>732</v>
      </c>
      <c r="G460" s="1473"/>
      <c r="H460" s="1475" t="n">
        <f aca="false">H444+H455</f>
        <v>1371130</v>
      </c>
      <c r="I460" s="1069" t="s">
        <v>431</v>
      </c>
      <c r="J460" s="1541" t="s">
        <v>744</v>
      </c>
      <c r="K460" s="1541"/>
      <c r="L460" s="1542" t="n">
        <f aca="false">L349+L380+L442</f>
        <v>114455</v>
      </c>
      <c r="M460" s="1381"/>
      <c r="N460" s="1381"/>
      <c r="O460" s="1381"/>
      <c r="P460" s="1381"/>
      <c r="Q460" s="1381"/>
    </row>
    <row r="461" s="1381" customFormat="true" ht="18.75" hidden="false" customHeight="true" outlineLevel="0" collapsed="false">
      <c r="A461" s="1484"/>
      <c r="B461" s="1485"/>
      <c r="C461" s="1487"/>
      <c r="D461" s="1480"/>
      <c r="E461" s="1475" t="n">
        <f aca="false">D444+D455+E455</f>
        <v>35930926</v>
      </c>
      <c r="F461" s="1481" t="str">
        <f aca="false">IF(H460=('☆拠出金明細R7'!AD114-H429),"　","明細と不一致!")</f>
        <v>　</v>
      </c>
      <c r="G461" s="1482" t="n">
        <f aca="false">B460</f>
        <v>6855653000</v>
      </c>
      <c r="H461" s="1483" t="n">
        <f aca="false">H436</f>
        <v>0.2</v>
      </c>
      <c r="I461" s="1069"/>
      <c r="J461" s="1541" t="s">
        <v>745</v>
      </c>
      <c r="K461" s="1541"/>
      <c r="L461" s="1542" t="n">
        <f aca="false">L356+L358+L387+L389+L449+L451</f>
        <v>50224351</v>
      </c>
      <c r="M461" s="582"/>
      <c r="N461" s="582"/>
      <c r="O461" s="582"/>
      <c r="P461" s="582"/>
      <c r="Q461" s="582"/>
    </row>
    <row r="462" customFormat="false" ht="18.75" hidden="false" customHeight="true" outlineLevel="0" collapsed="false">
      <c r="A462" s="1489" t="s">
        <v>733</v>
      </c>
      <c r="B462" s="1490" t="n">
        <v>13460000</v>
      </c>
      <c r="C462" s="1491" t="s">
        <v>734</v>
      </c>
      <c r="D462" s="1493"/>
      <c r="E462" s="1473"/>
      <c r="F462" s="1493" t="s">
        <v>735</v>
      </c>
      <c r="G462" s="1472"/>
      <c r="H462" s="1475" t="n">
        <f aca="false">I444+I455</f>
        <v>164535</v>
      </c>
      <c r="I462" s="1069" t="s">
        <v>432</v>
      </c>
      <c r="J462" s="1541" t="s">
        <v>747</v>
      </c>
      <c r="K462" s="1541"/>
      <c r="L462" s="1542" t="n">
        <f aca="false">L418+L420</f>
        <v>6656635</v>
      </c>
    </row>
    <row r="463" customFormat="false" ht="18.75" hidden="false" customHeight="true" outlineLevel="0" collapsed="false">
      <c r="A463" s="1489"/>
      <c r="B463" s="1490"/>
      <c r="C463" s="1494"/>
      <c r="D463" s="1481" t="str">
        <f aca="false">IF(E463=('☆拠出金明細R7'!K115-E432),"　","明細と不一致!")</f>
        <v>　</v>
      </c>
      <c r="E463" s="1475" t="n">
        <f aca="false">F455</f>
        <v>342537</v>
      </c>
      <c r="F463" s="1481" t="str">
        <f aca="false">IF(H462=('☆拠出金明細R7'!AN115-H431),"　","明細と不一致!")</f>
        <v>　</v>
      </c>
      <c r="G463" s="1482" t="n">
        <f aca="false">B460</f>
        <v>6855653000</v>
      </c>
      <c r="H463" s="1495" t="n">
        <f aca="false">I436</f>
        <v>0.024</v>
      </c>
      <c r="J463" s="1541" t="s">
        <v>748</v>
      </c>
      <c r="K463" s="1541"/>
      <c r="L463" s="1542" t="n">
        <f aca="false">L360+L391+L453</f>
        <v>7036</v>
      </c>
    </row>
    <row r="464" customFormat="false" ht="18.75" hidden="false" customHeight="true" outlineLevel="0" collapsed="false">
      <c r="A464" s="1253"/>
      <c r="B464" s="1496"/>
      <c r="C464" s="1491" t="s">
        <v>736</v>
      </c>
      <c r="D464" s="1493"/>
      <c r="E464" s="1497"/>
      <c r="F464" s="1498" t="s">
        <v>737</v>
      </c>
      <c r="G464" s="1498"/>
      <c r="H464" s="1498"/>
      <c r="J464" s="1543" t="s">
        <v>749</v>
      </c>
      <c r="K464" s="1543"/>
      <c r="L464" s="1544" t="n">
        <f aca="false">L422</f>
        <v>690</v>
      </c>
    </row>
    <row r="465" customFormat="false" ht="18.75" hidden="false" customHeight="true" outlineLevel="0" collapsed="false">
      <c r="A465" s="1253"/>
      <c r="B465" s="1496"/>
      <c r="C465" s="1499"/>
      <c r="D465" s="1486"/>
      <c r="E465" s="1475" t="n">
        <f aca="false">J444+J455</f>
        <v>32742620</v>
      </c>
      <c r="F465" s="1498"/>
      <c r="G465" s="1498"/>
      <c r="H465" s="1498"/>
      <c r="I465" s="1535"/>
      <c r="J465" s="1545" t="s">
        <v>375</v>
      </c>
      <c r="K465" s="1545"/>
      <c r="L465" s="1546" t="n">
        <f aca="false">SUM(L458:L464)</f>
        <v>113685253</v>
      </c>
      <c r="M465" s="764"/>
      <c r="N465" s="764"/>
      <c r="O465" s="764"/>
      <c r="P465" s="764"/>
      <c r="Q465" s="764"/>
    </row>
    <row r="466" s="764" customFormat="true" ht="26.25" hidden="false" customHeight="true" outlineLevel="0" collapsed="false">
      <c r="A466" s="1551" t="n">
        <f aca="false">A94</f>
        <v>46203</v>
      </c>
      <c r="B466" s="1552" t="s">
        <v>756</v>
      </c>
      <c r="C466" s="1340" t="s">
        <v>689</v>
      </c>
      <c r="D466" s="1105" t="s">
        <v>690</v>
      </c>
      <c r="E466" s="1105" t="s">
        <v>691</v>
      </c>
      <c r="F466" s="1105" t="s">
        <v>692</v>
      </c>
      <c r="G466" s="1105" t="s">
        <v>693</v>
      </c>
      <c r="H466" s="1105" t="s">
        <v>694</v>
      </c>
      <c r="I466" s="1105" t="s">
        <v>695</v>
      </c>
      <c r="J466" s="1341"/>
      <c r="L466" s="1342"/>
      <c r="M466" s="1344"/>
      <c r="N466" s="1344"/>
      <c r="O466" s="1344"/>
      <c r="P466" s="1344"/>
      <c r="Q466" s="1344"/>
      <c r="R466" s="1344"/>
    </row>
    <row r="467" s="1344" customFormat="true" ht="26.25" hidden="false" customHeight="true" outlineLevel="0" collapsed="false">
      <c r="A467" s="1553"/>
      <c r="C467" s="1340"/>
      <c r="D467" s="1501" t="n">
        <f aca="false">$D$2</f>
        <v>4.64</v>
      </c>
      <c r="E467" s="1502" t="n">
        <f aca="false">$E$2</f>
        <v>0.82</v>
      </c>
      <c r="F467" s="1502" t="n">
        <f aca="false">$F$2</f>
        <v>0.05</v>
      </c>
      <c r="G467" s="1502" t="n">
        <f aca="false">$G$2</f>
        <v>1.1</v>
      </c>
      <c r="H467" s="1502" t="n">
        <f aca="false">$H$2</f>
        <v>0.2</v>
      </c>
      <c r="I467" s="1502" t="n">
        <f aca="false">$I$2</f>
        <v>0.024</v>
      </c>
      <c r="J467" s="1348"/>
      <c r="L467" s="1349"/>
      <c r="M467" s="582"/>
      <c r="N467" s="582"/>
      <c r="O467" s="582"/>
      <c r="P467" s="582"/>
      <c r="Q467" s="582"/>
      <c r="R467" s="582"/>
    </row>
    <row r="468" customFormat="false" ht="13.9" hidden="false" customHeight="true" outlineLevel="0" collapsed="false">
      <c r="C468" s="1341"/>
      <c r="D468" s="1341"/>
      <c r="E468" s="1341"/>
      <c r="F468" s="1503"/>
      <c r="G468" s="1341"/>
      <c r="H468" s="1341"/>
      <c r="I468" s="1341"/>
      <c r="J468" s="1341"/>
    </row>
    <row r="469" customFormat="false" ht="20.1" hidden="false" customHeight="true" outlineLevel="0" collapsed="false">
      <c r="A469" s="771" t="s">
        <v>698</v>
      </c>
      <c r="G469" s="1352"/>
      <c r="L469" s="1353" t="s">
        <v>699</v>
      </c>
      <c r="M469" s="1197"/>
      <c r="N469" s="1197"/>
      <c r="O469" s="1197"/>
      <c r="P469" s="1197"/>
      <c r="Q469" s="1197"/>
      <c r="R469" s="1197"/>
    </row>
    <row r="470" s="1197" customFormat="true" ht="30" hidden="false" customHeight="true" outlineLevel="0" collapsed="false">
      <c r="A470" s="1354" t="s">
        <v>369</v>
      </c>
      <c r="B470" s="1355" t="s">
        <v>700</v>
      </c>
      <c r="C470" s="1356" t="s">
        <v>701</v>
      </c>
      <c r="D470" s="1357" t="s">
        <v>702</v>
      </c>
      <c r="E470" s="1357"/>
      <c r="F470" s="1358" t="s">
        <v>703</v>
      </c>
      <c r="G470" s="1357" t="s">
        <v>704</v>
      </c>
      <c r="H470" s="1357" t="s">
        <v>705</v>
      </c>
      <c r="I470" s="1357" t="s">
        <v>706</v>
      </c>
      <c r="J470" s="1359" t="s">
        <v>707</v>
      </c>
      <c r="L470" s="1360" t="s">
        <v>708</v>
      </c>
      <c r="M470" s="582"/>
      <c r="N470" s="582"/>
      <c r="O470" s="582"/>
      <c r="P470" s="582"/>
      <c r="Q470" s="582"/>
      <c r="R470" s="582"/>
    </row>
    <row r="471" customFormat="false" ht="32.25" hidden="false" customHeight="true" outlineLevel="0" collapsed="false">
      <c r="A471" s="1361" t="s">
        <v>709</v>
      </c>
      <c r="B471" s="1362" t="n">
        <f aca="false">B475-B473</f>
        <v>17812876</v>
      </c>
      <c r="C471" s="1363" t="n">
        <f aca="false">ROUNDDOWN(B471*C472/B472,0)</f>
        <v>15968388</v>
      </c>
      <c r="D471" s="1364" t="n">
        <f aca="false">ROUNDDOWN(B471*D472/B472,0)</f>
        <v>796873</v>
      </c>
      <c r="E471" s="1364" t="n">
        <f aca="false">ROUNDDOWN(D471*E472/D472,0)</f>
        <v>0</v>
      </c>
      <c r="F471" s="1365" t="s">
        <v>522</v>
      </c>
      <c r="G471" s="1366" t="n">
        <f aca="false">ROUNDDOWN(B471*G472/B472,0)</f>
        <v>188914</v>
      </c>
      <c r="H471" s="1367" t="n">
        <f aca="false">ROUNDDOWN(B471*H472/B472,0)</f>
        <v>34348</v>
      </c>
      <c r="I471" s="1364" t="n">
        <f aca="false">ROUNDDOWN(B471*I472/B472,0)</f>
        <v>4121</v>
      </c>
      <c r="J471" s="1368" t="n">
        <f aca="false">B471-C471-D471-G471-H471-I471</f>
        <v>820232</v>
      </c>
      <c r="L471" s="1369" t="n">
        <f aca="false">SUM(I471:J471)</f>
        <v>824353</v>
      </c>
      <c r="M471" s="1511"/>
      <c r="N471" s="1511"/>
      <c r="O471" s="1511"/>
      <c r="P471" s="1511"/>
      <c r="Q471" s="1511"/>
      <c r="R471" s="1511"/>
    </row>
    <row r="472" s="1511" customFormat="true" ht="15" hidden="false" customHeight="true" outlineLevel="0" collapsed="false">
      <c r="A472" s="1504" t="s">
        <v>710</v>
      </c>
      <c r="B472" s="1505" t="n">
        <f aca="false">SUM(C472:J472)</f>
        <v>51.86</v>
      </c>
      <c r="C472" s="1506" t="n">
        <f aca="false">$C$7</f>
        <v>46.49</v>
      </c>
      <c r="D472" s="1507" t="n">
        <f aca="false">$D$7</f>
        <v>2.32</v>
      </c>
      <c r="E472" s="1507"/>
      <c r="F472" s="1508" t="s">
        <v>522</v>
      </c>
      <c r="G472" s="1509" t="n">
        <f aca="false">$G$7</f>
        <v>0.55</v>
      </c>
      <c r="H472" s="1442" t="n">
        <f aca="false">$H$7</f>
        <v>0.1</v>
      </c>
      <c r="I472" s="1443" t="n">
        <f aca="false">$I$7</f>
        <v>0.012</v>
      </c>
      <c r="J472" s="1510" t="n">
        <f aca="false">$J$7</f>
        <v>2.388</v>
      </c>
      <c r="K472" s="1379" t="s">
        <v>711</v>
      </c>
      <c r="L472" s="1380" t="n">
        <f aca="false">SUM(I472:J472)</f>
        <v>2.4</v>
      </c>
      <c r="M472" s="582"/>
      <c r="N472" s="582"/>
      <c r="O472" s="582"/>
      <c r="P472" s="582"/>
      <c r="Q472" s="582"/>
      <c r="R472" s="582"/>
    </row>
    <row r="473" customFormat="false" ht="32.25" hidden="false" customHeight="true" outlineLevel="0" collapsed="false">
      <c r="A473" s="1361" t="s">
        <v>712</v>
      </c>
      <c r="B473" s="1538" t="n">
        <v>0</v>
      </c>
      <c r="C473" s="1363" t="n">
        <f aca="false">ROUNDDOWN(B473*C474/B474,0)</f>
        <v>0</v>
      </c>
      <c r="D473" s="1382" t="n">
        <f aca="false">ROUNDDOWN(B473*D474/B474,0)</f>
        <v>0</v>
      </c>
      <c r="E473" s="1382" t="n">
        <f aca="false">ROUNDDOWN(D473*E474/D474,0)</f>
        <v>0</v>
      </c>
      <c r="F473" s="1383" t="s">
        <v>522</v>
      </c>
      <c r="G473" s="1384" t="n">
        <f aca="false">ROUNDDOWN(B473*G474/B474,0)</f>
        <v>0</v>
      </c>
      <c r="H473" s="1385" t="n">
        <f aca="false">ROUNDDOWN(B473*H474/B474,0)</f>
        <v>0</v>
      </c>
      <c r="I473" s="1386" t="n">
        <f aca="false">ROUNDDOWN(B473*I474/B474,0)</f>
        <v>0</v>
      </c>
      <c r="J473" s="1387" t="n">
        <f aca="false">B473-C473-D473-G473-H473-I473</f>
        <v>0</v>
      </c>
      <c r="K473" s="1379"/>
      <c r="L473" s="1388" t="n">
        <f aca="false">SUM(I473:J473)</f>
        <v>0</v>
      </c>
      <c r="M473" s="1381"/>
      <c r="N473" s="1381"/>
      <c r="O473" s="1381"/>
      <c r="P473" s="1381"/>
      <c r="Q473" s="1381"/>
      <c r="R473" s="1381"/>
    </row>
    <row r="474" s="1381" customFormat="true" ht="15" hidden="false" customHeight="true" outlineLevel="0" collapsed="false">
      <c r="A474" s="1512" t="s">
        <v>710</v>
      </c>
      <c r="B474" s="1449" t="n">
        <f aca="false">SUM(C474:J474)</f>
        <v>103.72</v>
      </c>
      <c r="C474" s="1513" t="n">
        <f aca="false">C472*2</f>
        <v>92.98</v>
      </c>
      <c r="D474" s="1514" t="n">
        <f aca="false">D472*2</f>
        <v>4.64</v>
      </c>
      <c r="E474" s="1514"/>
      <c r="F474" s="1515" t="s">
        <v>522</v>
      </c>
      <c r="G474" s="1516" t="n">
        <f aca="false">G472*2</f>
        <v>1.1</v>
      </c>
      <c r="H474" s="1517" t="n">
        <f aca="false">H472*2</f>
        <v>0.2</v>
      </c>
      <c r="I474" s="1518" t="n">
        <f aca="false">I472*2</f>
        <v>0.024</v>
      </c>
      <c r="J474" s="1519" t="n">
        <f aca="false">J472*2</f>
        <v>4.776</v>
      </c>
      <c r="L474" s="1398" t="n">
        <f aca="false">L472*2</f>
        <v>4.8</v>
      </c>
      <c r="M474" s="582"/>
      <c r="N474" s="582"/>
      <c r="O474" s="582"/>
      <c r="P474" s="582"/>
      <c r="Q474" s="582"/>
      <c r="R474" s="582"/>
    </row>
    <row r="475" customFormat="false" ht="30" hidden="false" customHeight="true" outlineLevel="0" collapsed="false">
      <c r="A475" s="1399" t="s">
        <v>650</v>
      </c>
      <c r="B475" s="1400" t="n">
        <f aca="false">'☆短期集計R7'!B40+'☆短期集計R7'!D40</f>
        <v>17812876</v>
      </c>
      <c r="C475" s="1401" t="n">
        <f aca="false">C471+C473</f>
        <v>15968388</v>
      </c>
      <c r="D475" s="1402" t="n">
        <f aca="false">D471+D473</f>
        <v>796873</v>
      </c>
      <c r="E475" s="1402"/>
      <c r="F475" s="1403" t="s">
        <v>522</v>
      </c>
      <c r="G475" s="1402" t="n">
        <f aca="false">G471+G473</f>
        <v>188914</v>
      </c>
      <c r="H475" s="1401" t="n">
        <f aca="false">H471+H473</f>
        <v>34348</v>
      </c>
      <c r="I475" s="1402" t="n">
        <f aca="false">I471+I473</f>
        <v>4121</v>
      </c>
      <c r="J475" s="1404" t="n">
        <f aca="false">J471+J473</f>
        <v>820232</v>
      </c>
      <c r="L475" s="1405" t="n">
        <f aca="false">L471+L473</f>
        <v>824353</v>
      </c>
      <c r="M475" s="1406"/>
      <c r="N475" s="1406"/>
      <c r="O475" s="1406"/>
      <c r="P475" s="1406"/>
      <c r="Q475" s="1406"/>
      <c r="R475" s="1406"/>
    </row>
    <row r="476" s="1406" customFormat="true" ht="20.1" hidden="false" customHeight="true" outlineLevel="0" collapsed="false">
      <c r="C476" s="1407" t="s">
        <v>713</v>
      </c>
      <c r="D476" s="1408" t="s">
        <v>714</v>
      </c>
      <c r="E476" s="1408"/>
      <c r="F476" s="1407" t="s">
        <v>715</v>
      </c>
      <c r="G476" s="1407" t="s">
        <v>716</v>
      </c>
      <c r="H476" s="1409" t="s">
        <v>717</v>
      </c>
      <c r="I476" s="1409" t="s">
        <v>718</v>
      </c>
      <c r="J476" s="1409" t="s">
        <v>719</v>
      </c>
      <c r="L476" s="1410"/>
      <c r="M476" s="1064"/>
      <c r="N476" s="1064"/>
      <c r="O476" s="1064"/>
      <c r="P476" s="1064"/>
      <c r="Q476" s="1064"/>
      <c r="R476" s="1064"/>
    </row>
    <row r="477" s="1064" customFormat="true" ht="13.5" hidden="false" customHeight="true" outlineLevel="0" collapsed="false">
      <c r="C477" s="1411"/>
      <c r="D477" s="1412"/>
      <c r="E477" s="1412"/>
      <c r="F477" s="1411"/>
      <c r="G477" s="1412"/>
      <c r="H477" s="1412"/>
      <c r="I477" s="1412"/>
      <c r="J477" s="1412"/>
      <c r="L477" s="1413"/>
      <c r="M477" s="582"/>
      <c r="N477" s="582"/>
      <c r="O477" s="582"/>
      <c r="P477" s="582"/>
      <c r="Q477" s="582"/>
      <c r="R477" s="582"/>
    </row>
    <row r="478" customFormat="false" ht="20.1" hidden="false" customHeight="true" outlineLevel="0" collapsed="false">
      <c r="A478" s="771" t="s">
        <v>230</v>
      </c>
      <c r="B478" s="1064"/>
      <c r="C478" s="1064"/>
      <c r="D478" s="1064"/>
      <c r="E478" s="1064"/>
      <c r="F478" s="1064"/>
      <c r="G478" s="1352"/>
      <c r="H478" s="1064"/>
      <c r="I478" s="1064"/>
      <c r="J478" s="1064"/>
      <c r="L478" s="1353" t="s">
        <v>699</v>
      </c>
      <c r="M478" s="920"/>
      <c r="N478" s="920"/>
      <c r="O478" s="920"/>
      <c r="P478" s="920"/>
      <c r="Q478" s="920"/>
      <c r="R478" s="920"/>
    </row>
    <row r="479" s="920" customFormat="true" ht="30" hidden="false" customHeight="true" outlineLevel="0" collapsed="false">
      <c r="A479" s="1354" t="s">
        <v>369</v>
      </c>
      <c r="B479" s="1355" t="s">
        <v>700</v>
      </c>
      <c r="C479" s="1356" t="s">
        <v>701</v>
      </c>
      <c r="D479" s="1414" t="s">
        <v>702</v>
      </c>
      <c r="E479" s="1415" t="s">
        <v>739</v>
      </c>
      <c r="F479" s="1416" t="s">
        <v>721</v>
      </c>
      <c r="G479" s="1417" t="s">
        <v>704</v>
      </c>
      <c r="H479" s="1357" t="s">
        <v>705</v>
      </c>
      <c r="I479" s="1357" t="s">
        <v>706</v>
      </c>
      <c r="J479" s="1359" t="s">
        <v>707</v>
      </c>
      <c r="L479" s="1360" t="s">
        <v>708</v>
      </c>
      <c r="M479" s="582"/>
      <c r="N479" s="582"/>
      <c r="O479" s="582"/>
      <c r="P479" s="582"/>
      <c r="Q479" s="582"/>
      <c r="R479" s="582"/>
    </row>
    <row r="480" customFormat="false" ht="32.25" hidden="false" customHeight="true" outlineLevel="0" collapsed="false">
      <c r="A480" s="1418" t="s">
        <v>722</v>
      </c>
      <c r="B480" s="1362" t="n">
        <f aca="false">B486-B482-B484</f>
        <v>14445775</v>
      </c>
      <c r="C480" s="1363" t="n">
        <f aca="false">ROUNDDOWN(B480*C481/B481,0)</f>
        <v>12736280</v>
      </c>
      <c r="D480" s="1419" t="n">
        <f aca="false">ROUNDDOWN(B480*D481/B481,0)</f>
        <v>635581</v>
      </c>
      <c r="E480" s="1420" t="n">
        <f aca="false">ROUNDDOWN(B480*E481/B481,0)</f>
        <v>224645</v>
      </c>
      <c r="F480" s="1421" t="n">
        <f aca="false">ROUNDDOWN(B480*F481/B481,0)</f>
        <v>13697</v>
      </c>
      <c r="G480" s="1421" t="n">
        <f aca="false">ROUNDDOWN(B480*G481/B481,0)+1</f>
        <v>150677</v>
      </c>
      <c r="H480" s="1421" t="n">
        <f aca="false">ROUNDDOWN(B480*H481/B481,0)</f>
        <v>27395</v>
      </c>
      <c r="I480" s="1421" t="n">
        <f aca="false">ROUNDDOWN(B480*I481/B481,0)</f>
        <v>3287</v>
      </c>
      <c r="J480" s="1422" t="n">
        <f aca="false">B480-C480-D480-E480-F480-G480-H480-I480</f>
        <v>654213</v>
      </c>
      <c r="L480" s="1423" t="n">
        <f aca="false">SUM(I480:J480)</f>
        <v>657500</v>
      </c>
      <c r="M480" s="1511"/>
      <c r="N480" s="1511"/>
      <c r="O480" s="1511"/>
      <c r="P480" s="1511"/>
      <c r="Q480" s="1511"/>
      <c r="R480" s="1511"/>
    </row>
    <row r="481" s="1511" customFormat="true" ht="15" hidden="false" customHeight="true" outlineLevel="0" collapsed="false">
      <c r="A481" s="1504" t="s">
        <v>710</v>
      </c>
      <c r="B481" s="1438" t="n">
        <f aca="false">SUM(C481:J481)</f>
        <v>52.73</v>
      </c>
      <c r="C481" s="1520" t="n">
        <f aca="false">$C$16</f>
        <v>46.49</v>
      </c>
      <c r="D481" s="1440" t="n">
        <f aca="false">$D$16</f>
        <v>2.32</v>
      </c>
      <c r="E481" s="1521" t="n">
        <f aca="false">$E$16</f>
        <v>0.82</v>
      </c>
      <c r="F481" s="1522" t="n">
        <f aca="false">$F$16</f>
        <v>0.05</v>
      </c>
      <c r="G481" s="1522" t="n">
        <f aca="false">$G$16</f>
        <v>0.55</v>
      </c>
      <c r="H481" s="1523" t="n">
        <f aca="false">$H$16</f>
        <v>0.1</v>
      </c>
      <c r="I481" s="1524" t="n">
        <f aca="false">$I$16</f>
        <v>0.012</v>
      </c>
      <c r="J481" s="1525" t="n">
        <f aca="false">$J$16</f>
        <v>2.388</v>
      </c>
      <c r="K481" s="1381"/>
      <c r="L481" s="1432" t="n">
        <f aca="false">SUM(I481:J481)</f>
        <v>2.4</v>
      </c>
      <c r="M481" s="582"/>
      <c r="N481" s="582"/>
      <c r="O481" s="582"/>
      <c r="P481" s="582"/>
      <c r="Q481" s="582"/>
      <c r="R481" s="582"/>
    </row>
    <row r="482" customFormat="false" ht="32.25" hidden="false" customHeight="true" outlineLevel="0" collapsed="false">
      <c r="A482" s="1361" t="s">
        <v>723</v>
      </c>
      <c r="B482" s="1362" t="n">
        <f aca="false">'☆掛負収入'!I1021+'☆掛負収入'!I1022</f>
        <v>3330329</v>
      </c>
      <c r="C482" s="1363" t="n">
        <f aca="false">ROUNDDOWN((B482-E482)/B483*C483,0)</f>
        <v>2982604</v>
      </c>
      <c r="D482" s="1433" t="n">
        <f aca="false">ROUNDDOWN((B482-E482)/B483*D483,0)</f>
        <v>148841</v>
      </c>
      <c r="E482" s="1434" t="n">
        <f aca="false">ROUNDDOWN(B493*E467/1000,0)</f>
        <v>0</v>
      </c>
      <c r="F482" s="1363" t="n">
        <f aca="false">ROUNDDOWN((B482-E482)/B483*F483,0)</f>
        <v>3207</v>
      </c>
      <c r="G482" s="1554" t="n">
        <f aca="false">ROUNDDOWN((B482-E482)/B483*G483,0)</f>
        <v>35285</v>
      </c>
      <c r="H482" s="1384" t="n">
        <f aca="false">ROUNDDOWN((B482-E482)/B483*H483,0)</f>
        <v>6415</v>
      </c>
      <c r="I482" s="1554" t="n">
        <f aca="false">ROUNDDOWN((B482-E482)/B483*I483,0)</f>
        <v>769</v>
      </c>
      <c r="J482" s="1435" t="n">
        <f aca="false">B482-C482-D482-E482-F482-G482-H482-I482</f>
        <v>153208</v>
      </c>
      <c r="K482" s="1379" t="s">
        <v>711</v>
      </c>
      <c r="L482" s="1436" t="n">
        <f aca="false">SUM(I482:J482)</f>
        <v>153977</v>
      </c>
      <c r="M482" s="1381"/>
      <c r="N482" s="1381"/>
      <c r="O482" s="1381"/>
      <c r="P482" s="1381"/>
      <c r="Q482" s="1381"/>
      <c r="R482" s="1381"/>
    </row>
    <row r="483" s="1381" customFormat="true" ht="15" hidden="false" customHeight="true" outlineLevel="0" collapsed="false">
      <c r="A483" s="1526" t="s">
        <v>710</v>
      </c>
      <c r="B483" s="1438" t="n">
        <f aca="false">SUM(C483:J483)</f>
        <v>51.91</v>
      </c>
      <c r="C483" s="1439" t="n">
        <f aca="false">C481</f>
        <v>46.49</v>
      </c>
      <c r="D483" s="1440" t="n">
        <f aca="false">D481</f>
        <v>2.32</v>
      </c>
      <c r="E483" s="1441" t="s">
        <v>724</v>
      </c>
      <c r="F483" s="1442" t="n">
        <f aca="false">F481</f>
        <v>0.05</v>
      </c>
      <c r="G483" s="1442" t="n">
        <f aca="false">G481</f>
        <v>0.55</v>
      </c>
      <c r="H483" s="1443" t="n">
        <f aca="false">H481</f>
        <v>0.1</v>
      </c>
      <c r="I483" s="1444" t="n">
        <f aca="false">I481</f>
        <v>0.012</v>
      </c>
      <c r="J483" s="1445" t="n">
        <f aca="false">J481</f>
        <v>2.388</v>
      </c>
      <c r="K483" s="1379"/>
      <c r="L483" s="1446" t="n">
        <f aca="false">SUM(I483:J483)</f>
        <v>2.4</v>
      </c>
      <c r="M483" s="582"/>
      <c r="N483" s="582"/>
      <c r="O483" s="582"/>
      <c r="P483" s="582"/>
      <c r="Q483" s="582"/>
      <c r="R483" s="582"/>
    </row>
    <row r="484" customFormat="false" ht="32.25" hidden="false" customHeight="true" outlineLevel="0" collapsed="false">
      <c r="A484" s="1447" t="s">
        <v>725</v>
      </c>
      <c r="B484" s="1362" t="n">
        <f aca="false">'☆掛負収入'!I1038+E484</f>
        <v>26406</v>
      </c>
      <c r="C484" s="1363" t="n">
        <f aca="false">ROUNDDOWN((B484-E484)/B485*C485,0)</f>
        <v>23616</v>
      </c>
      <c r="D484" s="1433" t="n">
        <f aca="false">ROUNDDOWN((B484-E484)/B485*D485,0)</f>
        <v>1178</v>
      </c>
      <c r="E484" s="1448" t="n">
        <f aca="false">'☆労組公的負担（短期）'!F21</f>
        <v>36</v>
      </c>
      <c r="F484" s="1363" t="n">
        <f aca="false">ROUNDDOWN((B484-E484)/B485*F485,0)</f>
        <v>25</v>
      </c>
      <c r="G484" s="1363" t="n">
        <f aca="false">ROUNDDOWN((B484-E484)/B485*G485,0)</f>
        <v>279</v>
      </c>
      <c r="H484" s="1384" t="n">
        <f aca="false">H486-H480-H482</f>
        <v>52</v>
      </c>
      <c r="I484" s="1384" t="n">
        <f aca="false">I486-I480-I482</f>
        <v>8</v>
      </c>
      <c r="J484" s="1435" t="n">
        <f aca="false">B484-C484-D484-E484-F484-G484-H484-I484</f>
        <v>1212</v>
      </c>
      <c r="L484" s="1436" t="n">
        <f aca="false">SUM(I484:J484)</f>
        <v>1220</v>
      </c>
      <c r="M484" s="1381"/>
      <c r="N484" s="1381"/>
      <c r="O484" s="1381"/>
      <c r="P484" s="1381"/>
      <c r="Q484" s="1381"/>
      <c r="R484" s="1381"/>
    </row>
    <row r="485" s="1381" customFormat="true" ht="15" hidden="false" customHeight="true" outlineLevel="0" collapsed="false">
      <c r="A485" s="1512" t="s">
        <v>710</v>
      </c>
      <c r="B485" s="1449" t="n">
        <f aca="false">SUM(C485:J485)</f>
        <v>51.91</v>
      </c>
      <c r="C485" s="1439" t="n">
        <f aca="false">C481</f>
        <v>46.49</v>
      </c>
      <c r="D485" s="1440" t="n">
        <f aca="false">D481</f>
        <v>2.32</v>
      </c>
      <c r="E485" s="1450" t="s">
        <v>726</v>
      </c>
      <c r="F485" s="1451" t="n">
        <f aca="false">F481</f>
        <v>0.05</v>
      </c>
      <c r="G485" s="1451" t="n">
        <f aca="false">G481</f>
        <v>0.55</v>
      </c>
      <c r="H485" s="1452" t="n">
        <f aca="false">H481</f>
        <v>0.1</v>
      </c>
      <c r="I485" s="1453" t="n">
        <f aca="false">I481</f>
        <v>0.012</v>
      </c>
      <c r="J485" s="1454" t="n">
        <f aca="false">J481</f>
        <v>2.388</v>
      </c>
      <c r="L485" s="1455" t="n">
        <f aca="false">SUM(I485:J485)</f>
        <v>2.4</v>
      </c>
      <c r="M485" s="582"/>
      <c r="N485" s="582"/>
      <c r="O485" s="582"/>
      <c r="P485" s="582"/>
      <c r="Q485" s="582"/>
      <c r="R485" s="582"/>
    </row>
    <row r="486" customFormat="false" ht="30" hidden="false" customHeight="true" outlineLevel="0" collapsed="false">
      <c r="A486" s="1399" t="s">
        <v>650</v>
      </c>
      <c r="B486" s="1456" t="n">
        <f aca="false">'☆掛負収入'!I1040</f>
        <v>17802510</v>
      </c>
      <c r="C486" s="1457" t="n">
        <f aca="false">C480+C482+C484</f>
        <v>15742500</v>
      </c>
      <c r="D486" s="1458" t="n">
        <f aca="false">D480+D482+D484</f>
        <v>785600</v>
      </c>
      <c r="E486" s="1459" t="n">
        <f aca="false">E480+E482+E484</f>
        <v>224681</v>
      </c>
      <c r="F486" s="1460" t="n">
        <f aca="false">F480+F482+F484</f>
        <v>16929</v>
      </c>
      <c r="G486" s="1460" t="n">
        <f aca="false">G480+G482+G484</f>
        <v>186241</v>
      </c>
      <c r="H486" s="1460" t="n">
        <f aca="false">ROUNDDOWN(B491*H467/1000,0)-H475</f>
        <v>33862</v>
      </c>
      <c r="I486" s="1460" t="n">
        <f aca="false">ROUNDDOWN(B491*I467/1000,0)-I475</f>
        <v>4064</v>
      </c>
      <c r="J486" s="1461" t="n">
        <f aca="false">J480+J482+J484</f>
        <v>808633</v>
      </c>
      <c r="K486" s="1462"/>
      <c r="L486" s="1463" t="n">
        <f aca="false">SUM(I486:J486)</f>
        <v>812697</v>
      </c>
      <c r="M486" s="1407"/>
      <c r="N486" s="1407"/>
      <c r="O486" s="1407"/>
      <c r="P486" s="1407"/>
      <c r="Q486" s="1407"/>
      <c r="R486" s="1407"/>
    </row>
    <row r="487" s="1407" customFormat="true" ht="20.1" hidden="false" customHeight="true" outlineLevel="0" collapsed="false">
      <c r="C487" s="1407" t="s">
        <v>713</v>
      </c>
      <c r="D487" s="1407" t="s">
        <v>714</v>
      </c>
      <c r="E487" s="1407" t="s">
        <v>714</v>
      </c>
      <c r="F487" s="1407" t="s">
        <v>715</v>
      </c>
      <c r="G487" s="1407" t="s">
        <v>716</v>
      </c>
      <c r="H487" s="1407" t="s">
        <v>717</v>
      </c>
      <c r="I487" s="1407" t="s">
        <v>718</v>
      </c>
      <c r="J487" s="1407" t="s">
        <v>719</v>
      </c>
      <c r="L487" s="1464"/>
      <c r="M487" s="764"/>
      <c r="N487" s="764"/>
      <c r="O487" s="764"/>
      <c r="P487" s="764"/>
      <c r="Q487" s="764"/>
      <c r="R487" s="764"/>
    </row>
    <row r="488" s="764" customFormat="true" ht="18.75" hidden="false" customHeight="true" outlineLevel="0" collapsed="false">
      <c r="A488" s="1465" t="s">
        <v>727</v>
      </c>
      <c r="B488" s="1466" t="n">
        <f aca="false">B475+B486</f>
        <v>35615386</v>
      </c>
      <c r="C488" s="1467"/>
      <c r="D488" s="1467"/>
      <c r="E488" s="1467"/>
      <c r="F488" s="1539"/>
      <c r="L488" s="1342"/>
    </row>
    <row r="489" s="764" customFormat="true" ht="18.75" hidden="false" customHeight="true" outlineLevel="0" collapsed="false">
      <c r="A489" s="1477"/>
      <c r="B489" s="1470"/>
      <c r="C489" s="1471" t="s">
        <v>728</v>
      </c>
      <c r="D489" s="1472"/>
      <c r="E489" s="1473"/>
      <c r="F489" s="1474" t="s">
        <v>729</v>
      </c>
      <c r="G489" s="1473"/>
      <c r="H489" s="1475" t="n">
        <f aca="false">G475+G486</f>
        <v>375155</v>
      </c>
      <c r="I489" s="1476" t="s">
        <v>430</v>
      </c>
      <c r="K489" s="1342"/>
    </row>
    <row r="490" s="764" customFormat="true" ht="18.75" hidden="false" customHeight="true" outlineLevel="0" collapsed="false">
      <c r="A490" s="1477" t="s">
        <v>730</v>
      </c>
      <c r="B490" s="1478"/>
      <c r="C490" s="1479"/>
      <c r="D490" s="1480"/>
      <c r="E490" s="1475" t="n">
        <f aca="false">C475+C486</f>
        <v>31710888</v>
      </c>
      <c r="F490" s="1555"/>
      <c r="G490" s="1482" t="n">
        <f aca="false">B491</f>
        <v>341050000</v>
      </c>
      <c r="H490" s="1483" t="n">
        <f aca="false">G467</f>
        <v>1.1</v>
      </c>
      <c r="I490" s="1475"/>
      <c r="K490" s="1342"/>
    </row>
    <row r="491" s="764" customFormat="true" ht="18.75" hidden="false" customHeight="true" outlineLevel="0" collapsed="false">
      <c r="A491" s="1484" t="s">
        <v>577</v>
      </c>
      <c r="B491" s="1485" t="n">
        <f aca="false">ROUNDUP(H489/G467*1000,-3)</f>
        <v>341050000</v>
      </c>
      <c r="C491" s="1471" t="s">
        <v>731</v>
      </c>
      <c r="D491" s="1472"/>
      <c r="E491" s="1486"/>
      <c r="F491" s="1474" t="s">
        <v>732</v>
      </c>
      <c r="G491" s="1473"/>
      <c r="H491" s="1475" t="n">
        <f aca="false">H475+H486</f>
        <v>68210</v>
      </c>
      <c r="I491" s="1069" t="s">
        <v>431</v>
      </c>
      <c r="K491" s="1342"/>
      <c r="L491" s="1381"/>
      <c r="M491" s="1381"/>
      <c r="N491" s="1381"/>
      <c r="O491" s="1381"/>
      <c r="P491" s="1381"/>
      <c r="Q491" s="1381"/>
    </row>
    <row r="492" s="1381" customFormat="true" ht="18.75" hidden="false" customHeight="true" outlineLevel="0" collapsed="false">
      <c r="A492" s="1484"/>
      <c r="B492" s="1485"/>
      <c r="C492" s="1487"/>
      <c r="D492" s="1480"/>
      <c r="E492" s="1475" t="n">
        <f aca="false">D475+D486+E486</f>
        <v>1807154</v>
      </c>
      <c r="F492" s="1474"/>
      <c r="G492" s="1482" t="n">
        <f aca="false">B491</f>
        <v>341050000</v>
      </c>
      <c r="H492" s="1483" t="n">
        <f aca="false">H467</f>
        <v>0.2</v>
      </c>
      <c r="I492" s="1069"/>
      <c r="K492" s="1488"/>
      <c r="L492" s="582"/>
      <c r="M492" s="582"/>
      <c r="N492" s="582"/>
      <c r="O492" s="582"/>
      <c r="P492" s="582"/>
      <c r="Q492" s="582"/>
    </row>
    <row r="493" customFormat="false" ht="18.75" hidden="false" customHeight="true" outlineLevel="0" collapsed="false">
      <c r="A493" s="1489" t="s">
        <v>746</v>
      </c>
      <c r="B493" s="1556"/>
      <c r="C493" s="1491" t="s">
        <v>734</v>
      </c>
      <c r="D493" s="1493"/>
      <c r="E493" s="1473"/>
      <c r="F493" s="1493" t="s">
        <v>735</v>
      </c>
      <c r="G493" s="1472"/>
      <c r="H493" s="1475" t="n">
        <f aca="false">I475+I486</f>
        <v>8185</v>
      </c>
      <c r="I493" s="1069" t="s">
        <v>432</v>
      </c>
      <c r="K493" s="1337"/>
      <c r="L493" s="582"/>
    </row>
    <row r="494" customFormat="false" ht="18.75" hidden="false" customHeight="true" outlineLevel="0" collapsed="false">
      <c r="A494" s="1489"/>
      <c r="B494" s="1556"/>
      <c r="C494" s="1494"/>
      <c r="D494" s="1486"/>
      <c r="E494" s="1475" t="n">
        <f aca="false">F486</f>
        <v>16929</v>
      </c>
      <c r="F494" s="1557"/>
      <c r="G494" s="1482" t="n">
        <f aca="false">B491</f>
        <v>341050000</v>
      </c>
      <c r="H494" s="1495" t="n">
        <f aca="false">I467</f>
        <v>0.024</v>
      </c>
      <c r="K494" s="1337"/>
      <c r="L494" s="582"/>
    </row>
    <row r="495" customFormat="false" ht="18.75" hidden="false" customHeight="true" outlineLevel="0" collapsed="false">
      <c r="A495" s="1253"/>
      <c r="B495" s="1496"/>
      <c r="C495" s="1491" t="s">
        <v>736</v>
      </c>
      <c r="D495" s="1493"/>
      <c r="E495" s="1497"/>
      <c r="F495" s="1498" t="s">
        <v>737</v>
      </c>
      <c r="G495" s="1498"/>
      <c r="H495" s="1498"/>
      <c r="K495" s="1337"/>
      <c r="L495" s="582"/>
    </row>
    <row r="496" customFormat="false" ht="18.75" hidden="false" customHeight="true" outlineLevel="0" collapsed="false">
      <c r="A496" s="1253"/>
      <c r="B496" s="1496"/>
      <c r="C496" s="1499"/>
      <c r="D496" s="1486"/>
      <c r="E496" s="1475" t="n">
        <f aca="false">J475+J486</f>
        <v>1628865</v>
      </c>
      <c r="F496" s="1498"/>
      <c r="G496" s="1498"/>
      <c r="H496" s="1498"/>
      <c r="I496" s="1535"/>
      <c r="K496" s="1337"/>
      <c r="L496" s="764"/>
      <c r="M496" s="764"/>
      <c r="N496" s="764"/>
      <c r="O496" s="764"/>
      <c r="P496" s="764"/>
      <c r="Q496" s="764"/>
    </row>
    <row r="497" s="764" customFormat="true" ht="26.25" hidden="false" customHeight="true" outlineLevel="0" collapsed="false">
      <c r="A497" s="1551" t="n">
        <f aca="false">A280</f>
        <v>46387</v>
      </c>
      <c r="B497" s="1552" t="s">
        <v>756</v>
      </c>
      <c r="C497" s="1340" t="s">
        <v>689</v>
      </c>
      <c r="D497" s="1105" t="s">
        <v>690</v>
      </c>
      <c r="E497" s="1105" t="s">
        <v>691</v>
      </c>
      <c r="F497" s="1105" t="s">
        <v>692</v>
      </c>
      <c r="G497" s="1105" t="s">
        <v>693</v>
      </c>
      <c r="H497" s="1105" t="s">
        <v>694</v>
      </c>
      <c r="I497" s="1105" t="s">
        <v>695</v>
      </c>
      <c r="J497" s="1341"/>
      <c r="L497" s="1342"/>
      <c r="M497" s="1344"/>
      <c r="N497" s="1344"/>
      <c r="O497" s="1344"/>
      <c r="P497" s="1344"/>
      <c r="Q497" s="1344"/>
      <c r="R497" s="1344"/>
    </row>
    <row r="498" s="1344" customFormat="true" ht="26.25" hidden="false" customHeight="true" outlineLevel="0" collapsed="false">
      <c r="A498" s="1553"/>
      <c r="C498" s="1340"/>
      <c r="D498" s="1501" t="n">
        <f aca="false">$D$2</f>
        <v>4.64</v>
      </c>
      <c r="E498" s="1502" t="n">
        <f aca="false">$E$2</f>
        <v>0.82</v>
      </c>
      <c r="F498" s="1502" t="n">
        <f aca="false">$F$2</f>
        <v>0.05</v>
      </c>
      <c r="G498" s="1502" t="n">
        <f aca="false">$G$2</f>
        <v>1.1</v>
      </c>
      <c r="H498" s="1502" t="n">
        <f aca="false">$H$2</f>
        <v>0.2</v>
      </c>
      <c r="I498" s="1502" t="n">
        <f aca="false">$I$2</f>
        <v>0.024</v>
      </c>
      <c r="J498" s="1348"/>
      <c r="L498" s="1349"/>
      <c r="M498" s="582"/>
      <c r="N498" s="582"/>
      <c r="O498" s="582"/>
      <c r="P498" s="582"/>
      <c r="Q498" s="582"/>
      <c r="R498" s="582"/>
    </row>
    <row r="499" customFormat="false" ht="13.9" hidden="false" customHeight="true" outlineLevel="0" collapsed="false">
      <c r="C499" s="1341"/>
      <c r="D499" s="1341"/>
      <c r="E499" s="1341"/>
      <c r="F499" s="1503"/>
      <c r="G499" s="1341"/>
      <c r="H499" s="1341"/>
      <c r="I499" s="1341"/>
      <c r="J499" s="1341"/>
    </row>
    <row r="500" customFormat="false" ht="20.1" hidden="false" customHeight="true" outlineLevel="0" collapsed="false">
      <c r="A500" s="771" t="s">
        <v>698</v>
      </c>
      <c r="G500" s="1352"/>
      <c r="L500" s="1353" t="s">
        <v>699</v>
      </c>
      <c r="M500" s="1197"/>
      <c r="N500" s="1197"/>
      <c r="O500" s="1197"/>
      <c r="P500" s="1197"/>
      <c r="Q500" s="1197"/>
      <c r="R500" s="1197"/>
    </row>
    <row r="501" s="1197" customFormat="true" ht="30" hidden="false" customHeight="true" outlineLevel="0" collapsed="false">
      <c r="A501" s="1354" t="s">
        <v>369</v>
      </c>
      <c r="B501" s="1355" t="s">
        <v>700</v>
      </c>
      <c r="C501" s="1356" t="s">
        <v>701</v>
      </c>
      <c r="D501" s="1357" t="s">
        <v>702</v>
      </c>
      <c r="E501" s="1357"/>
      <c r="F501" s="1358" t="s">
        <v>703</v>
      </c>
      <c r="G501" s="1357" t="s">
        <v>704</v>
      </c>
      <c r="H501" s="1357" t="s">
        <v>705</v>
      </c>
      <c r="I501" s="1357" t="s">
        <v>706</v>
      </c>
      <c r="J501" s="1359" t="s">
        <v>707</v>
      </c>
      <c r="L501" s="1360" t="s">
        <v>708</v>
      </c>
      <c r="M501" s="582"/>
      <c r="N501" s="582"/>
      <c r="O501" s="582"/>
      <c r="P501" s="582"/>
      <c r="Q501" s="582"/>
      <c r="R501" s="582"/>
    </row>
    <row r="502" customFormat="false" ht="32.25" hidden="false" customHeight="true" outlineLevel="0" collapsed="false">
      <c r="A502" s="1361" t="s">
        <v>709</v>
      </c>
      <c r="B502" s="1362" t="n">
        <f aca="false">B506-B504</f>
        <v>17812885</v>
      </c>
      <c r="C502" s="1363" t="n">
        <f aca="false">ROUNDDOWN(B502*C503/B503,0)</f>
        <v>15968396</v>
      </c>
      <c r="D502" s="1364" t="n">
        <f aca="false">ROUNDDOWN(B502*D503/B503,0)</f>
        <v>796874</v>
      </c>
      <c r="E502" s="1364"/>
      <c r="F502" s="1365" t="s">
        <v>522</v>
      </c>
      <c r="G502" s="1366" t="n">
        <f aca="false">ROUNDDOWN(B502*G503/B503,0)</f>
        <v>188914</v>
      </c>
      <c r="H502" s="1367" t="n">
        <f aca="false">ROUNDDOWN(B502*H503/B503,0)</f>
        <v>34348</v>
      </c>
      <c r="I502" s="1364" t="n">
        <f aca="false">ROUNDDOWN(B502*I503/B503,0)</f>
        <v>4121</v>
      </c>
      <c r="J502" s="1368" t="n">
        <f aca="false">B502-C502-D502-G502-H502-I502</f>
        <v>820232</v>
      </c>
      <c r="L502" s="1369" t="n">
        <f aca="false">SUM(I502:J502)</f>
        <v>824353</v>
      </c>
      <c r="M502" s="1511"/>
      <c r="N502" s="1511"/>
      <c r="O502" s="1511"/>
      <c r="P502" s="1511"/>
      <c r="Q502" s="1511"/>
      <c r="R502" s="1511"/>
    </row>
    <row r="503" s="1511" customFormat="true" ht="15" hidden="false" customHeight="true" outlineLevel="0" collapsed="false">
      <c r="A503" s="1504" t="s">
        <v>710</v>
      </c>
      <c r="B503" s="1505" t="n">
        <f aca="false">SUM(C503:J503)</f>
        <v>51.86</v>
      </c>
      <c r="C503" s="1506" t="n">
        <f aca="false">$C$7</f>
        <v>46.49</v>
      </c>
      <c r="D503" s="1507" t="n">
        <f aca="false">$D$7</f>
        <v>2.32</v>
      </c>
      <c r="E503" s="1507"/>
      <c r="F503" s="1508" t="s">
        <v>522</v>
      </c>
      <c r="G503" s="1509" t="n">
        <f aca="false">$G$7</f>
        <v>0.55</v>
      </c>
      <c r="H503" s="1442" t="n">
        <f aca="false">$H$7</f>
        <v>0.1</v>
      </c>
      <c r="I503" s="1443" t="n">
        <f aca="false">$I$7</f>
        <v>0.012</v>
      </c>
      <c r="J503" s="1510" t="n">
        <f aca="false">$J$7</f>
        <v>2.388</v>
      </c>
      <c r="K503" s="1379" t="s">
        <v>711</v>
      </c>
      <c r="L503" s="1380" t="n">
        <f aca="false">SUM(I503:J503)</f>
        <v>2.4</v>
      </c>
      <c r="M503" s="582"/>
      <c r="N503" s="582"/>
      <c r="O503" s="582"/>
      <c r="P503" s="582"/>
      <c r="Q503" s="582"/>
      <c r="R503" s="582"/>
    </row>
    <row r="504" customFormat="false" ht="32.25" hidden="false" customHeight="true" outlineLevel="0" collapsed="false">
      <c r="A504" s="1361" t="s">
        <v>712</v>
      </c>
      <c r="B504" s="1538" t="n">
        <v>0</v>
      </c>
      <c r="C504" s="1363" t="n">
        <f aca="false">ROUNDDOWN(B504*C505/B505,0)</f>
        <v>0</v>
      </c>
      <c r="D504" s="1382" t="n">
        <f aca="false">ROUNDDOWN(B504*D505/B505,0)</f>
        <v>0</v>
      </c>
      <c r="E504" s="1382"/>
      <c r="F504" s="1383" t="s">
        <v>522</v>
      </c>
      <c r="G504" s="1384" t="n">
        <f aca="false">ROUNDDOWN(B504*G505/B505,0)</f>
        <v>0</v>
      </c>
      <c r="H504" s="1385" t="n">
        <f aca="false">ROUNDDOWN(B504*H505/B505,0)</f>
        <v>0</v>
      </c>
      <c r="I504" s="1386" t="n">
        <f aca="false">ROUNDDOWN(B504*I505/B505,0)</f>
        <v>0</v>
      </c>
      <c r="J504" s="1387" t="n">
        <f aca="false">B504-C504-D504-G504-H504-I504</f>
        <v>0</v>
      </c>
      <c r="K504" s="1379"/>
      <c r="L504" s="1388" t="n">
        <f aca="false">SUM(I504:J504)</f>
        <v>0</v>
      </c>
      <c r="M504" s="1381"/>
      <c r="N504" s="1381"/>
      <c r="O504" s="1381"/>
      <c r="P504" s="1381"/>
      <c r="Q504" s="1381"/>
      <c r="R504" s="1381"/>
    </row>
    <row r="505" s="1381" customFormat="true" ht="15" hidden="false" customHeight="true" outlineLevel="0" collapsed="false">
      <c r="A505" s="1512" t="s">
        <v>710</v>
      </c>
      <c r="B505" s="1449" t="n">
        <f aca="false">SUM(C505:J505)</f>
        <v>103.72</v>
      </c>
      <c r="C505" s="1513" t="n">
        <f aca="false">C503*2</f>
        <v>92.98</v>
      </c>
      <c r="D505" s="1514" t="n">
        <f aca="false">D503*2</f>
        <v>4.64</v>
      </c>
      <c r="E505" s="1514"/>
      <c r="F505" s="1515" t="s">
        <v>522</v>
      </c>
      <c r="G505" s="1516" t="n">
        <f aca="false">G503*2</f>
        <v>1.1</v>
      </c>
      <c r="H505" s="1517" t="n">
        <f aca="false">H503*2</f>
        <v>0.2</v>
      </c>
      <c r="I505" s="1518" t="n">
        <f aca="false">I503*2</f>
        <v>0.024</v>
      </c>
      <c r="J505" s="1519" t="n">
        <f aca="false">J503*2</f>
        <v>4.776</v>
      </c>
      <c r="L505" s="1398" t="n">
        <f aca="false">L503*2</f>
        <v>4.8</v>
      </c>
      <c r="M505" s="582"/>
      <c r="N505" s="582"/>
      <c r="O505" s="582"/>
      <c r="P505" s="582"/>
      <c r="Q505" s="582"/>
      <c r="R505" s="582"/>
    </row>
    <row r="506" customFormat="false" ht="30" hidden="false" customHeight="true" outlineLevel="0" collapsed="false">
      <c r="A506" s="1399" t="s">
        <v>650</v>
      </c>
      <c r="B506" s="1400" t="n">
        <f aca="false">'☆短期集計R7'!B41+'☆短期集計R7'!D41</f>
        <v>17812885</v>
      </c>
      <c r="C506" s="1401" t="n">
        <f aca="false">C502+C504</f>
        <v>15968396</v>
      </c>
      <c r="D506" s="1402" t="n">
        <f aca="false">D502+D504</f>
        <v>796874</v>
      </c>
      <c r="E506" s="1402"/>
      <c r="F506" s="1403" t="s">
        <v>522</v>
      </c>
      <c r="G506" s="1402" t="n">
        <f aca="false">G502+G504</f>
        <v>188914</v>
      </c>
      <c r="H506" s="1401" t="n">
        <f aca="false">H502+H504</f>
        <v>34348</v>
      </c>
      <c r="I506" s="1402" t="n">
        <f aca="false">I502+I504</f>
        <v>4121</v>
      </c>
      <c r="J506" s="1404" t="n">
        <f aca="false">J502+J504</f>
        <v>820232</v>
      </c>
      <c r="L506" s="1405" t="n">
        <f aca="false">L502+L504</f>
        <v>824353</v>
      </c>
      <c r="M506" s="1406"/>
      <c r="N506" s="1406"/>
      <c r="O506" s="1406"/>
      <c r="P506" s="1406"/>
      <c r="Q506" s="1406"/>
      <c r="R506" s="1406"/>
    </row>
    <row r="507" s="1406" customFormat="true" ht="20.1" hidden="false" customHeight="true" outlineLevel="0" collapsed="false">
      <c r="C507" s="1407" t="s">
        <v>713</v>
      </c>
      <c r="D507" s="1408" t="s">
        <v>714</v>
      </c>
      <c r="E507" s="1408"/>
      <c r="F507" s="1407" t="s">
        <v>715</v>
      </c>
      <c r="G507" s="1407" t="s">
        <v>716</v>
      </c>
      <c r="H507" s="1409" t="s">
        <v>717</v>
      </c>
      <c r="I507" s="1409" t="s">
        <v>718</v>
      </c>
      <c r="J507" s="1409" t="s">
        <v>719</v>
      </c>
      <c r="L507" s="1410"/>
      <c r="M507" s="1064"/>
      <c r="N507" s="1064"/>
      <c r="O507" s="1064"/>
      <c r="P507" s="1064"/>
      <c r="Q507" s="1064"/>
      <c r="R507" s="1064"/>
    </row>
    <row r="508" s="1064" customFormat="true" ht="13.5" hidden="false" customHeight="true" outlineLevel="0" collapsed="false">
      <c r="C508" s="1411"/>
      <c r="D508" s="1412"/>
      <c r="E508" s="1412"/>
      <c r="F508" s="1411"/>
      <c r="G508" s="1412"/>
      <c r="H508" s="1412"/>
      <c r="I508" s="1412"/>
      <c r="J508" s="1412"/>
      <c r="L508" s="1413"/>
      <c r="M508" s="582"/>
      <c r="N508" s="582"/>
      <c r="O508" s="582"/>
      <c r="P508" s="582"/>
      <c r="Q508" s="582"/>
      <c r="R508" s="582"/>
    </row>
    <row r="509" customFormat="false" ht="20.1" hidden="false" customHeight="true" outlineLevel="0" collapsed="false">
      <c r="A509" s="771" t="s">
        <v>230</v>
      </c>
      <c r="B509" s="1064"/>
      <c r="C509" s="1064"/>
      <c r="D509" s="1064"/>
      <c r="E509" s="1064"/>
      <c r="F509" s="1064"/>
      <c r="G509" s="1352"/>
      <c r="H509" s="1064"/>
      <c r="I509" s="1064"/>
      <c r="J509" s="1064"/>
      <c r="L509" s="1353" t="s">
        <v>699</v>
      </c>
      <c r="M509" s="920"/>
      <c r="N509" s="920"/>
      <c r="O509" s="920"/>
      <c r="P509" s="920"/>
      <c r="Q509" s="920"/>
      <c r="R509" s="920"/>
    </row>
    <row r="510" s="920" customFormat="true" ht="30" hidden="false" customHeight="true" outlineLevel="0" collapsed="false">
      <c r="A510" s="1354" t="s">
        <v>369</v>
      </c>
      <c r="B510" s="1355" t="s">
        <v>700</v>
      </c>
      <c r="C510" s="1356" t="s">
        <v>701</v>
      </c>
      <c r="D510" s="1414" t="s">
        <v>702</v>
      </c>
      <c r="E510" s="1415" t="s">
        <v>739</v>
      </c>
      <c r="F510" s="1416" t="s">
        <v>721</v>
      </c>
      <c r="G510" s="1417" t="s">
        <v>704</v>
      </c>
      <c r="H510" s="1357" t="s">
        <v>705</v>
      </c>
      <c r="I510" s="1357" t="s">
        <v>706</v>
      </c>
      <c r="J510" s="1359" t="s">
        <v>707</v>
      </c>
      <c r="L510" s="1360" t="s">
        <v>708</v>
      </c>
      <c r="M510" s="582"/>
      <c r="N510" s="582"/>
      <c r="O510" s="582"/>
      <c r="P510" s="582"/>
      <c r="Q510" s="582"/>
      <c r="R510" s="582"/>
    </row>
    <row r="511" customFormat="false" ht="32.25" hidden="false" customHeight="true" outlineLevel="0" collapsed="false">
      <c r="A511" s="1418" t="s">
        <v>722</v>
      </c>
      <c r="B511" s="1362" t="n">
        <f aca="false">B517-B513-B515</f>
        <v>14445801</v>
      </c>
      <c r="C511" s="1363" t="n">
        <f aca="false">ROUNDDOWN(B511*C512/B512,0)</f>
        <v>12736303</v>
      </c>
      <c r="D511" s="1419" t="n">
        <f aca="false">ROUNDDOWN(B511*D512/B512,0)</f>
        <v>635582</v>
      </c>
      <c r="E511" s="1420" t="n">
        <f aca="false">ROUNDDOWN(B511*E512/B512,0)</f>
        <v>224645</v>
      </c>
      <c r="F511" s="1421" t="n">
        <f aca="false">ROUNDDOWN(B511*F512/B512,0)</f>
        <v>13697</v>
      </c>
      <c r="G511" s="1421" t="n">
        <f aca="false">ROUNDDOWN(B511*G512/B512,0)+1</f>
        <v>150677</v>
      </c>
      <c r="H511" s="1421" t="n">
        <f aca="false">ROUNDDOWN(B511*H512/B512,0)</f>
        <v>27395</v>
      </c>
      <c r="I511" s="1421" t="n">
        <f aca="false">ROUNDDOWN(B511*I512/B512,0)</f>
        <v>3287</v>
      </c>
      <c r="J511" s="1422" t="n">
        <f aca="false">B511-C511-D511-E511-F511-G511-H511-I511</f>
        <v>654215</v>
      </c>
      <c r="L511" s="1423" t="n">
        <f aca="false">SUM(I511:J511)</f>
        <v>657502</v>
      </c>
      <c r="M511" s="1511"/>
      <c r="N511" s="1511"/>
      <c r="O511" s="1511"/>
      <c r="P511" s="1511"/>
      <c r="Q511" s="1511"/>
      <c r="R511" s="1511"/>
    </row>
    <row r="512" s="1511" customFormat="true" ht="15" hidden="false" customHeight="true" outlineLevel="0" collapsed="false">
      <c r="A512" s="1504" t="s">
        <v>710</v>
      </c>
      <c r="B512" s="1438" t="n">
        <f aca="false">SUM(C512:J512)</f>
        <v>52.73</v>
      </c>
      <c r="C512" s="1520" t="n">
        <f aca="false">$C$16</f>
        <v>46.49</v>
      </c>
      <c r="D512" s="1440" t="n">
        <f aca="false">$D$16</f>
        <v>2.32</v>
      </c>
      <c r="E512" s="1521" t="n">
        <f aca="false">$E$16</f>
        <v>0.82</v>
      </c>
      <c r="F512" s="1522" t="n">
        <f aca="false">$F$16</f>
        <v>0.05</v>
      </c>
      <c r="G512" s="1522" t="n">
        <f aca="false">$G$16</f>
        <v>0.55</v>
      </c>
      <c r="H512" s="1523" t="n">
        <f aca="false">$H$16</f>
        <v>0.1</v>
      </c>
      <c r="I512" s="1524" t="n">
        <f aca="false">$I$16</f>
        <v>0.012</v>
      </c>
      <c r="J512" s="1525" t="n">
        <f aca="false">$J$16</f>
        <v>2.388</v>
      </c>
      <c r="K512" s="1381"/>
      <c r="L512" s="1432" t="n">
        <f aca="false">SUM(I512:J512)</f>
        <v>2.4</v>
      </c>
      <c r="M512" s="582"/>
      <c r="N512" s="582"/>
      <c r="O512" s="582"/>
      <c r="P512" s="582"/>
      <c r="Q512" s="582"/>
      <c r="R512" s="582"/>
    </row>
    <row r="513" customFormat="false" ht="32.25" hidden="false" customHeight="true" outlineLevel="0" collapsed="false">
      <c r="A513" s="1361" t="s">
        <v>723</v>
      </c>
      <c r="B513" s="1362" t="n">
        <f aca="false">'☆掛負収入'!I1086+'☆掛負収入'!I1087</f>
        <v>3330330</v>
      </c>
      <c r="C513" s="1363" t="n">
        <f aca="false">ROUNDDOWN((B513-E513)/B514*C514,0)</f>
        <v>2982605</v>
      </c>
      <c r="D513" s="1433" t="n">
        <f aca="false">ROUNDDOWN((B513-E513)/B514*D514,0)</f>
        <v>148841</v>
      </c>
      <c r="E513" s="1434" t="n">
        <f aca="false">ROUNDDOWN(B524*E498/1000,0)</f>
        <v>0</v>
      </c>
      <c r="F513" s="1363" t="n">
        <f aca="false">ROUNDDOWN((B513-E513)/B514*F514,0)</f>
        <v>3207</v>
      </c>
      <c r="G513" s="1363" t="n">
        <f aca="false">ROUNDDOWN((B513-E513)/B514*G514,0)</f>
        <v>35285</v>
      </c>
      <c r="H513" s="1384" t="n">
        <f aca="false">ROUNDDOWN((B513-E513)/B514*H514,0)</f>
        <v>6415</v>
      </c>
      <c r="I513" s="1384" t="n">
        <f aca="false">ROUNDDOWN((B513-E513)/B514*I514,0)</f>
        <v>769</v>
      </c>
      <c r="J513" s="1435" t="n">
        <f aca="false">B513-C513-D513-E513-F513-G513-H513-I513</f>
        <v>153208</v>
      </c>
      <c r="K513" s="1379" t="s">
        <v>711</v>
      </c>
      <c r="L513" s="1436" t="n">
        <f aca="false">SUM(I513:J513)</f>
        <v>153977</v>
      </c>
      <c r="M513" s="1381"/>
      <c r="N513" s="1381"/>
      <c r="O513" s="1381"/>
      <c r="P513" s="1381"/>
      <c r="Q513" s="1381"/>
      <c r="R513" s="1381"/>
    </row>
    <row r="514" s="1381" customFormat="true" ht="15" hidden="false" customHeight="true" outlineLevel="0" collapsed="false">
      <c r="A514" s="1526" t="s">
        <v>710</v>
      </c>
      <c r="B514" s="1438" t="n">
        <f aca="false">SUM(C514:J514)</f>
        <v>51.91</v>
      </c>
      <c r="C514" s="1439" t="n">
        <f aca="false">C512</f>
        <v>46.49</v>
      </c>
      <c r="D514" s="1440" t="n">
        <f aca="false">D512</f>
        <v>2.32</v>
      </c>
      <c r="E514" s="1441" t="s">
        <v>724</v>
      </c>
      <c r="F514" s="1442" t="n">
        <f aca="false">F512</f>
        <v>0.05</v>
      </c>
      <c r="G514" s="1442" t="n">
        <f aca="false">G512</f>
        <v>0.55</v>
      </c>
      <c r="H514" s="1443" t="n">
        <f aca="false">H512</f>
        <v>0.1</v>
      </c>
      <c r="I514" s="1444" t="n">
        <f aca="false">I512</f>
        <v>0.012</v>
      </c>
      <c r="J514" s="1445" t="n">
        <f aca="false">J512</f>
        <v>2.388</v>
      </c>
      <c r="K514" s="1379"/>
      <c r="L514" s="1446" t="n">
        <f aca="false">SUM(I514:J514)</f>
        <v>2.4</v>
      </c>
      <c r="M514" s="582"/>
      <c r="N514" s="582"/>
      <c r="O514" s="582"/>
      <c r="P514" s="582"/>
      <c r="Q514" s="582"/>
      <c r="R514" s="582"/>
    </row>
    <row r="515" customFormat="false" ht="32.25" hidden="false" customHeight="true" outlineLevel="0" collapsed="false">
      <c r="A515" s="1447" t="s">
        <v>725</v>
      </c>
      <c r="B515" s="1362" t="n">
        <f aca="false">'☆掛負収入'!I1103+E515</f>
        <v>26394</v>
      </c>
      <c r="C515" s="1363" t="n">
        <f aca="false">ROUNDDOWN((B515-E515)/B516*C516,0)</f>
        <v>23616</v>
      </c>
      <c r="D515" s="1433" t="n">
        <f aca="false">ROUNDDOWN((B515-E515)/B516*D516,0)</f>
        <v>1178</v>
      </c>
      <c r="E515" s="1448" t="n">
        <f aca="false">'☆労組公的負担（短期）'!F22</f>
        <v>24</v>
      </c>
      <c r="F515" s="1363" t="n">
        <f aca="false">ROUNDDOWN((B515-E515)/B516*F516,0)</f>
        <v>25</v>
      </c>
      <c r="G515" s="1363" t="n">
        <f aca="false">ROUNDDOWN((B515-E515)/B516*G516,0)</f>
        <v>279</v>
      </c>
      <c r="H515" s="1384" t="n">
        <f aca="false">H517-H511-H513</f>
        <v>52</v>
      </c>
      <c r="I515" s="1384" t="n">
        <f aca="false">I517-I511-I513</f>
        <v>8</v>
      </c>
      <c r="J515" s="1435" t="n">
        <f aca="false">B515-C515-D515-E515-F515-G515-H515-I515</f>
        <v>1212</v>
      </c>
      <c r="L515" s="1436" t="n">
        <f aca="false">SUM(I515:J515)</f>
        <v>1220</v>
      </c>
      <c r="M515" s="1381"/>
      <c r="N515" s="1381"/>
      <c r="O515" s="1381"/>
      <c r="P515" s="1381"/>
      <c r="Q515" s="1381"/>
      <c r="R515" s="1381"/>
    </row>
    <row r="516" s="1381" customFormat="true" ht="15" hidden="false" customHeight="true" outlineLevel="0" collapsed="false">
      <c r="A516" s="1512" t="s">
        <v>710</v>
      </c>
      <c r="B516" s="1449" t="n">
        <f aca="false">SUM(C516:J516)</f>
        <v>51.91</v>
      </c>
      <c r="C516" s="1439" t="n">
        <f aca="false">C512</f>
        <v>46.49</v>
      </c>
      <c r="D516" s="1440" t="n">
        <f aca="false">D512</f>
        <v>2.32</v>
      </c>
      <c r="E516" s="1450" t="s">
        <v>726</v>
      </c>
      <c r="F516" s="1451" t="n">
        <f aca="false">F512</f>
        <v>0.05</v>
      </c>
      <c r="G516" s="1451" t="n">
        <f aca="false">G512</f>
        <v>0.55</v>
      </c>
      <c r="H516" s="1452" t="n">
        <f aca="false">H512</f>
        <v>0.1</v>
      </c>
      <c r="I516" s="1453" t="n">
        <f aca="false">I512</f>
        <v>0.012</v>
      </c>
      <c r="J516" s="1454" t="n">
        <f aca="false">J512</f>
        <v>2.388</v>
      </c>
      <c r="L516" s="1455" t="n">
        <f aca="false">SUM(I516:J516)</f>
        <v>2.4</v>
      </c>
      <c r="M516" s="582"/>
      <c r="N516" s="582"/>
      <c r="O516" s="582"/>
      <c r="P516" s="582"/>
      <c r="Q516" s="582"/>
      <c r="R516" s="582"/>
    </row>
    <row r="517" customFormat="false" ht="30" hidden="false" customHeight="true" outlineLevel="0" collapsed="false">
      <c r="A517" s="1399" t="s">
        <v>650</v>
      </c>
      <c r="B517" s="1456" t="n">
        <f aca="false">'☆掛負収入'!I1105</f>
        <v>17802525</v>
      </c>
      <c r="C517" s="1457" t="n">
        <f aca="false">C511+C513+C515</f>
        <v>15742524</v>
      </c>
      <c r="D517" s="1458" t="n">
        <f aca="false">D511+D513+D515</f>
        <v>785601</v>
      </c>
      <c r="E517" s="1459" t="n">
        <f aca="false">E511+E513+E515</f>
        <v>224669</v>
      </c>
      <c r="F517" s="1460" t="n">
        <f aca="false">F511+F513+F515</f>
        <v>16929</v>
      </c>
      <c r="G517" s="1460" t="n">
        <f aca="false">G511+G513+G515</f>
        <v>186241</v>
      </c>
      <c r="H517" s="1460" t="n">
        <f aca="false">ROUNDDOWN(B522*H498/1000,0)-H506</f>
        <v>33862</v>
      </c>
      <c r="I517" s="1460" t="n">
        <f aca="false">ROUNDDOWN(B522*I498/1000,0)-I506</f>
        <v>4064</v>
      </c>
      <c r="J517" s="1461" t="n">
        <f aca="false">J511+J513+J515</f>
        <v>808635</v>
      </c>
      <c r="K517" s="1462"/>
      <c r="L517" s="1463" t="n">
        <f aca="false">SUM(I517:J517)</f>
        <v>812699</v>
      </c>
      <c r="M517" s="1407"/>
      <c r="N517" s="1407"/>
      <c r="O517" s="1407"/>
      <c r="P517" s="1407"/>
      <c r="Q517" s="1407"/>
      <c r="R517" s="1407"/>
    </row>
    <row r="518" s="1407" customFormat="true" ht="20.1" hidden="false" customHeight="true" outlineLevel="0" collapsed="false">
      <c r="C518" s="1407" t="s">
        <v>713</v>
      </c>
      <c r="D518" s="1407" t="s">
        <v>714</v>
      </c>
      <c r="E518" s="1407" t="s">
        <v>714</v>
      </c>
      <c r="F518" s="1407" t="s">
        <v>715</v>
      </c>
      <c r="G518" s="1407" t="s">
        <v>716</v>
      </c>
      <c r="H518" s="1407" t="s">
        <v>717</v>
      </c>
      <c r="I518" s="1407" t="s">
        <v>718</v>
      </c>
      <c r="J518" s="1407" t="s">
        <v>719</v>
      </c>
      <c r="L518" s="1464"/>
      <c r="M518" s="764"/>
      <c r="N518" s="764"/>
      <c r="O518" s="764"/>
      <c r="P518" s="764"/>
      <c r="Q518" s="764"/>
      <c r="R518" s="764"/>
    </row>
    <row r="519" s="764" customFormat="true" ht="18.75" hidden="false" customHeight="true" outlineLevel="0" collapsed="false">
      <c r="A519" s="1465" t="s">
        <v>727</v>
      </c>
      <c r="B519" s="1466" t="n">
        <f aca="false">B506+B517</f>
        <v>35615410</v>
      </c>
      <c r="C519" s="1467"/>
      <c r="D519" s="1467"/>
      <c r="E519" s="1467"/>
      <c r="J519" s="1540" t="s">
        <v>757</v>
      </c>
      <c r="K519" s="1540"/>
      <c r="L519" s="1540"/>
    </row>
    <row r="520" s="764" customFormat="true" ht="18.75" hidden="false" customHeight="true" outlineLevel="0" collapsed="false">
      <c r="A520" s="1477"/>
      <c r="B520" s="1470"/>
      <c r="C520" s="1471" t="s">
        <v>728</v>
      </c>
      <c r="D520" s="1472"/>
      <c r="E520" s="1473"/>
      <c r="F520" s="1474" t="s">
        <v>729</v>
      </c>
      <c r="G520" s="1473"/>
      <c r="H520" s="1475" t="n">
        <f aca="false">G506+G517</f>
        <v>375155</v>
      </c>
      <c r="I520" s="1476" t="s">
        <v>430</v>
      </c>
      <c r="J520" s="1541" t="s">
        <v>743</v>
      </c>
      <c r="K520" s="1541"/>
      <c r="L520" s="1542" t="n">
        <f aca="false">L471+L502</f>
        <v>1648706</v>
      </c>
    </row>
    <row r="521" s="764" customFormat="true" ht="18.75" hidden="false" customHeight="true" outlineLevel="0" collapsed="false">
      <c r="A521" s="1477" t="s">
        <v>730</v>
      </c>
      <c r="B521" s="1478"/>
      <c r="C521" s="1479"/>
      <c r="D521" s="1480"/>
      <c r="E521" s="1475" t="n">
        <f aca="false">C506+C517</f>
        <v>31710920</v>
      </c>
      <c r="F521" s="1555"/>
      <c r="G521" s="1482" t="n">
        <f aca="false">B522</f>
        <v>341050000</v>
      </c>
      <c r="H521" s="1483" t="n">
        <f aca="false">G498</f>
        <v>1.1</v>
      </c>
      <c r="I521" s="1475"/>
      <c r="J521" s="1541" t="s">
        <v>747</v>
      </c>
      <c r="K521" s="1541"/>
      <c r="L521" s="1542" t="n">
        <f aca="false">L480+L482+L511+L513</f>
        <v>1622956</v>
      </c>
    </row>
    <row r="522" s="764" customFormat="true" ht="18.75" hidden="false" customHeight="true" outlineLevel="0" collapsed="false">
      <c r="A522" s="1484" t="s">
        <v>577</v>
      </c>
      <c r="B522" s="1485" t="n">
        <f aca="false">ROUNDUP(H520/G498*1000,-3)</f>
        <v>341050000</v>
      </c>
      <c r="C522" s="1471" t="s">
        <v>731</v>
      </c>
      <c r="D522" s="1472"/>
      <c r="E522" s="1486"/>
      <c r="F522" s="1474" t="s">
        <v>732</v>
      </c>
      <c r="G522" s="1473"/>
      <c r="H522" s="1475" t="n">
        <f aca="false">H506+H517</f>
        <v>68210</v>
      </c>
      <c r="I522" s="1069" t="s">
        <v>431</v>
      </c>
      <c r="J522" s="1541" t="s">
        <v>749</v>
      </c>
      <c r="K522" s="1541"/>
      <c r="L522" s="1542" t="n">
        <f aca="false">L484+L515</f>
        <v>2440</v>
      </c>
      <c r="M522" s="1381"/>
      <c r="N522" s="1381"/>
      <c r="O522" s="1381"/>
      <c r="P522" s="1381"/>
      <c r="Q522" s="1381"/>
    </row>
    <row r="523" s="1381" customFormat="true" ht="18.75" hidden="false" customHeight="true" outlineLevel="0" collapsed="false">
      <c r="A523" s="1484"/>
      <c r="B523" s="1485"/>
      <c r="C523" s="1487"/>
      <c r="D523" s="1480"/>
      <c r="E523" s="1475" t="n">
        <f aca="false">D506+D517+E517</f>
        <v>1807144</v>
      </c>
      <c r="F523" s="1474"/>
      <c r="G523" s="1482" t="n">
        <f aca="false">B522</f>
        <v>341050000</v>
      </c>
      <c r="H523" s="1483" t="n">
        <f aca="false">H498</f>
        <v>0.2</v>
      </c>
      <c r="I523" s="1069"/>
      <c r="J523" s="1545" t="s">
        <v>375</v>
      </c>
      <c r="K523" s="1545"/>
      <c r="L523" s="1546" t="n">
        <f aca="false">SUM(L520:L522)</f>
        <v>3274102</v>
      </c>
      <c r="M523" s="582"/>
      <c r="N523" s="582"/>
      <c r="O523" s="582"/>
      <c r="P523" s="582"/>
      <c r="Q523" s="582"/>
    </row>
    <row r="524" customFormat="false" ht="18.75" hidden="false" customHeight="true" outlineLevel="0" collapsed="false">
      <c r="A524" s="1489" t="s">
        <v>746</v>
      </c>
      <c r="B524" s="1556"/>
      <c r="C524" s="1491" t="s">
        <v>734</v>
      </c>
      <c r="D524" s="1493"/>
      <c r="E524" s="1473"/>
      <c r="F524" s="1493" t="s">
        <v>735</v>
      </c>
      <c r="G524" s="1472"/>
      <c r="H524" s="1475" t="n">
        <f aca="false">I506+I517</f>
        <v>8185</v>
      </c>
      <c r="I524" s="1069" t="s">
        <v>432</v>
      </c>
      <c r="J524" s="1558" t="s">
        <v>758</v>
      </c>
      <c r="K524" s="1558"/>
      <c r="L524" s="1544" t="n">
        <f aca="false">L465</f>
        <v>113685253</v>
      </c>
    </row>
    <row r="525" customFormat="false" ht="18.75" hidden="false" customHeight="true" outlineLevel="0" collapsed="false">
      <c r="A525" s="1489"/>
      <c r="B525" s="1556"/>
      <c r="C525" s="1494"/>
      <c r="D525" s="1486"/>
      <c r="E525" s="1475" t="n">
        <f aca="false">F517</f>
        <v>16929</v>
      </c>
      <c r="F525" s="1557"/>
      <c r="G525" s="1482" t="n">
        <f aca="false">B522</f>
        <v>341050000</v>
      </c>
      <c r="H525" s="1495" t="n">
        <f aca="false">I498</f>
        <v>0.024</v>
      </c>
      <c r="J525" s="1559" t="s">
        <v>759</v>
      </c>
      <c r="K525" s="1559"/>
      <c r="L525" s="1546" t="n">
        <f aca="false">SUM(L523:L524)</f>
        <v>116959355</v>
      </c>
    </row>
    <row r="526" customFormat="false" ht="18.75" hidden="false" customHeight="true" outlineLevel="0" collapsed="false">
      <c r="A526" s="1253"/>
      <c r="B526" s="1496"/>
      <c r="C526" s="1491" t="s">
        <v>736</v>
      </c>
      <c r="D526" s="1493"/>
      <c r="E526" s="1497"/>
      <c r="F526" s="1498" t="s">
        <v>737</v>
      </c>
      <c r="G526" s="1498"/>
      <c r="H526" s="1498"/>
      <c r="J526" s="1560"/>
      <c r="K526" s="1560"/>
      <c r="L526" s="1561"/>
    </row>
    <row r="527" customFormat="false" ht="18.75" hidden="false" customHeight="true" outlineLevel="0" collapsed="false">
      <c r="A527" s="1253"/>
      <c r="B527" s="1496"/>
      <c r="C527" s="1499"/>
      <c r="D527" s="1486"/>
      <c r="E527" s="1475" t="n">
        <f aca="false">J506+J517</f>
        <v>1628867</v>
      </c>
      <c r="F527" s="1498"/>
      <c r="G527" s="1498"/>
      <c r="H527" s="1498"/>
      <c r="I527" s="1535"/>
      <c r="J527" s="1413"/>
      <c r="K527" s="1413"/>
      <c r="L527" s="1561"/>
    </row>
  </sheetData>
  <mergeCells count="299">
    <mergeCell ref="C1:C2"/>
    <mergeCell ref="D5:E5"/>
    <mergeCell ref="D6:E6"/>
    <mergeCell ref="D7:E7"/>
    <mergeCell ref="K7:K8"/>
    <mergeCell ref="D8:E8"/>
    <mergeCell ref="D9:E9"/>
    <mergeCell ref="D10:E10"/>
    <mergeCell ref="D11:E11"/>
    <mergeCell ref="K17:K18"/>
    <mergeCell ref="A26:A27"/>
    <mergeCell ref="B26:B27"/>
    <mergeCell ref="A28:A29"/>
    <mergeCell ref="B28:B29"/>
    <mergeCell ref="F30:H31"/>
    <mergeCell ref="C32:C33"/>
    <mergeCell ref="D36:E36"/>
    <mergeCell ref="D37:E37"/>
    <mergeCell ref="D38:E38"/>
    <mergeCell ref="K38:K39"/>
    <mergeCell ref="D39:E39"/>
    <mergeCell ref="D40:E40"/>
    <mergeCell ref="D41:E41"/>
    <mergeCell ref="D42:E42"/>
    <mergeCell ref="K48:K49"/>
    <mergeCell ref="A57:A58"/>
    <mergeCell ref="B57:B58"/>
    <mergeCell ref="A59:A60"/>
    <mergeCell ref="B59:B60"/>
    <mergeCell ref="F61:H62"/>
    <mergeCell ref="C63:C64"/>
    <mergeCell ref="D67:E67"/>
    <mergeCell ref="D68:E68"/>
    <mergeCell ref="D69:E69"/>
    <mergeCell ref="K69:K70"/>
    <mergeCell ref="D70:E70"/>
    <mergeCell ref="D71:E71"/>
    <mergeCell ref="D72:E72"/>
    <mergeCell ref="D73:E73"/>
    <mergeCell ref="K79:K80"/>
    <mergeCell ref="A88:A89"/>
    <mergeCell ref="B88:B89"/>
    <mergeCell ref="A90:A91"/>
    <mergeCell ref="B90:B91"/>
    <mergeCell ref="F92:H93"/>
    <mergeCell ref="C94:C95"/>
    <mergeCell ref="D98:E98"/>
    <mergeCell ref="D99:E99"/>
    <mergeCell ref="D100:E100"/>
    <mergeCell ref="K100:K101"/>
    <mergeCell ref="D101:E101"/>
    <mergeCell ref="D102:E102"/>
    <mergeCell ref="D103:E103"/>
    <mergeCell ref="D104:E104"/>
    <mergeCell ref="K110:K111"/>
    <mergeCell ref="J116:L116"/>
    <mergeCell ref="J117:K117"/>
    <mergeCell ref="J118:K118"/>
    <mergeCell ref="A119:A120"/>
    <mergeCell ref="B119:B120"/>
    <mergeCell ref="J119:K119"/>
    <mergeCell ref="J120:K120"/>
    <mergeCell ref="A121:A122"/>
    <mergeCell ref="B121:B122"/>
    <mergeCell ref="J121:K121"/>
    <mergeCell ref="J122:K122"/>
    <mergeCell ref="F123:H124"/>
    <mergeCell ref="J123:K123"/>
    <mergeCell ref="J124:K124"/>
    <mergeCell ref="C125:C126"/>
    <mergeCell ref="D129:E129"/>
    <mergeCell ref="D130:E130"/>
    <mergeCell ref="D131:E131"/>
    <mergeCell ref="K131:K132"/>
    <mergeCell ref="D132:E132"/>
    <mergeCell ref="D133:E133"/>
    <mergeCell ref="D134:E134"/>
    <mergeCell ref="D135:E135"/>
    <mergeCell ref="K141:K142"/>
    <mergeCell ref="A150:A151"/>
    <mergeCell ref="B150:B151"/>
    <mergeCell ref="A152:A153"/>
    <mergeCell ref="B152:B153"/>
    <mergeCell ref="F154:H155"/>
    <mergeCell ref="C156:C157"/>
    <mergeCell ref="D160:E160"/>
    <mergeCell ref="D161:E161"/>
    <mergeCell ref="D162:E162"/>
    <mergeCell ref="K162:K163"/>
    <mergeCell ref="D163:E163"/>
    <mergeCell ref="D164:E164"/>
    <mergeCell ref="D165:E165"/>
    <mergeCell ref="D166:E166"/>
    <mergeCell ref="K172:K173"/>
    <mergeCell ref="A181:A182"/>
    <mergeCell ref="B181:B182"/>
    <mergeCell ref="A183:A184"/>
    <mergeCell ref="B183:B184"/>
    <mergeCell ref="F185:H186"/>
    <mergeCell ref="C187:C188"/>
    <mergeCell ref="D191:E191"/>
    <mergeCell ref="D192:E192"/>
    <mergeCell ref="D193:E193"/>
    <mergeCell ref="K193:K194"/>
    <mergeCell ref="D194:E194"/>
    <mergeCell ref="D195:E195"/>
    <mergeCell ref="D196:E196"/>
    <mergeCell ref="D197:E197"/>
    <mergeCell ref="K203:K204"/>
    <mergeCell ref="J209:L209"/>
    <mergeCell ref="J210:K210"/>
    <mergeCell ref="J211:K211"/>
    <mergeCell ref="A212:A213"/>
    <mergeCell ref="B212:B213"/>
    <mergeCell ref="J212:K212"/>
    <mergeCell ref="J213:K213"/>
    <mergeCell ref="A214:A215"/>
    <mergeCell ref="B214:B215"/>
    <mergeCell ref="J214:K214"/>
    <mergeCell ref="J215:K215"/>
    <mergeCell ref="F216:H217"/>
    <mergeCell ref="C218:C219"/>
    <mergeCell ref="D222:E222"/>
    <mergeCell ref="D223:E223"/>
    <mergeCell ref="D224:E224"/>
    <mergeCell ref="K224:K225"/>
    <mergeCell ref="D225:E225"/>
    <mergeCell ref="D226:E226"/>
    <mergeCell ref="D227:E227"/>
    <mergeCell ref="D228:E228"/>
    <mergeCell ref="K234:K235"/>
    <mergeCell ref="J241:J242"/>
    <mergeCell ref="A243:A244"/>
    <mergeCell ref="B243:B244"/>
    <mergeCell ref="A245:A246"/>
    <mergeCell ref="B245:B246"/>
    <mergeCell ref="F247:H248"/>
    <mergeCell ref="C249:C250"/>
    <mergeCell ref="D253:E253"/>
    <mergeCell ref="D254:E254"/>
    <mergeCell ref="D255:E255"/>
    <mergeCell ref="K255:K256"/>
    <mergeCell ref="D256:E256"/>
    <mergeCell ref="D257:E257"/>
    <mergeCell ref="D258:E258"/>
    <mergeCell ref="D259:E259"/>
    <mergeCell ref="K265:K266"/>
    <mergeCell ref="A274:A275"/>
    <mergeCell ref="B274:B275"/>
    <mergeCell ref="A276:A277"/>
    <mergeCell ref="B276:B277"/>
    <mergeCell ref="F278:H279"/>
    <mergeCell ref="C280:C281"/>
    <mergeCell ref="D284:E284"/>
    <mergeCell ref="D285:E285"/>
    <mergeCell ref="D286:E286"/>
    <mergeCell ref="K286:K287"/>
    <mergeCell ref="D287:E287"/>
    <mergeCell ref="D288:E288"/>
    <mergeCell ref="D289:E289"/>
    <mergeCell ref="D290:E290"/>
    <mergeCell ref="K296:K297"/>
    <mergeCell ref="A305:A306"/>
    <mergeCell ref="B305:B306"/>
    <mergeCell ref="A307:A308"/>
    <mergeCell ref="B307:B308"/>
    <mergeCell ref="F309:H310"/>
    <mergeCell ref="C311:C312"/>
    <mergeCell ref="D315:E315"/>
    <mergeCell ref="D316:E316"/>
    <mergeCell ref="D317:E317"/>
    <mergeCell ref="K317:K318"/>
    <mergeCell ref="D318:E318"/>
    <mergeCell ref="D319:E319"/>
    <mergeCell ref="D320:E320"/>
    <mergeCell ref="D321:E321"/>
    <mergeCell ref="K327:K328"/>
    <mergeCell ref="J333:L333"/>
    <mergeCell ref="J334:K334"/>
    <mergeCell ref="J335:K335"/>
    <mergeCell ref="A336:A337"/>
    <mergeCell ref="B336:B337"/>
    <mergeCell ref="J336:K336"/>
    <mergeCell ref="J337:K337"/>
    <mergeCell ref="A338:A339"/>
    <mergeCell ref="B338:B339"/>
    <mergeCell ref="J338:K338"/>
    <mergeCell ref="J339:K339"/>
    <mergeCell ref="F340:H341"/>
    <mergeCell ref="J340:K340"/>
    <mergeCell ref="J341:K341"/>
    <mergeCell ref="C342:C343"/>
    <mergeCell ref="D346:E346"/>
    <mergeCell ref="D347:E347"/>
    <mergeCell ref="D348:E348"/>
    <mergeCell ref="K348:K349"/>
    <mergeCell ref="D349:E349"/>
    <mergeCell ref="D350:E350"/>
    <mergeCell ref="D351:E351"/>
    <mergeCell ref="D352:E352"/>
    <mergeCell ref="K358:K359"/>
    <mergeCell ref="A367:A368"/>
    <mergeCell ref="B367:B368"/>
    <mergeCell ref="A369:A370"/>
    <mergeCell ref="B369:B370"/>
    <mergeCell ref="F371:H372"/>
    <mergeCell ref="C373:C374"/>
    <mergeCell ref="D377:E377"/>
    <mergeCell ref="D378:E378"/>
    <mergeCell ref="D379:E379"/>
    <mergeCell ref="K379:K380"/>
    <mergeCell ref="D380:E380"/>
    <mergeCell ref="D381:E381"/>
    <mergeCell ref="D382:E382"/>
    <mergeCell ref="D383:E383"/>
    <mergeCell ref="K389:K390"/>
    <mergeCell ref="A398:A399"/>
    <mergeCell ref="B398:B399"/>
    <mergeCell ref="A400:A401"/>
    <mergeCell ref="B400:B401"/>
    <mergeCell ref="F402:H403"/>
    <mergeCell ref="C404:C405"/>
    <mergeCell ref="D408:E408"/>
    <mergeCell ref="D409:E409"/>
    <mergeCell ref="D410:E410"/>
    <mergeCell ref="K410:K411"/>
    <mergeCell ref="D411:E411"/>
    <mergeCell ref="D412:E412"/>
    <mergeCell ref="D413:E413"/>
    <mergeCell ref="D414:E414"/>
    <mergeCell ref="K420:K421"/>
    <mergeCell ref="A429:A430"/>
    <mergeCell ref="B429:B430"/>
    <mergeCell ref="A431:A432"/>
    <mergeCell ref="B431:B432"/>
    <mergeCell ref="F433:H434"/>
    <mergeCell ref="C435:C436"/>
    <mergeCell ref="D439:E439"/>
    <mergeCell ref="D440:E440"/>
    <mergeCell ref="D441:E441"/>
    <mergeCell ref="K441:K442"/>
    <mergeCell ref="D442:E442"/>
    <mergeCell ref="D443:E443"/>
    <mergeCell ref="D444:E444"/>
    <mergeCell ref="D445:E445"/>
    <mergeCell ref="K451:K452"/>
    <mergeCell ref="J457:L457"/>
    <mergeCell ref="J458:K458"/>
    <mergeCell ref="J459:K459"/>
    <mergeCell ref="A460:A461"/>
    <mergeCell ref="B460:B461"/>
    <mergeCell ref="J460:K460"/>
    <mergeCell ref="J461:K461"/>
    <mergeCell ref="A462:A463"/>
    <mergeCell ref="B462:B463"/>
    <mergeCell ref="J462:K462"/>
    <mergeCell ref="J463:K463"/>
    <mergeCell ref="F464:H465"/>
    <mergeCell ref="J464:K464"/>
    <mergeCell ref="J465:K465"/>
    <mergeCell ref="C466:C467"/>
    <mergeCell ref="D470:E470"/>
    <mergeCell ref="D471:E471"/>
    <mergeCell ref="D472:E472"/>
    <mergeCell ref="K472:K473"/>
    <mergeCell ref="D473:E473"/>
    <mergeCell ref="D474:E474"/>
    <mergeCell ref="D475:E475"/>
    <mergeCell ref="D476:E476"/>
    <mergeCell ref="K482:K483"/>
    <mergeCell ref="A491:A492"/>
    <mergeCell ref="B491:B492"/>
    <mergeCell ref="A493:A494"/>
    <mergeCell ref="B493:B494"/>
    <mergeCell ref="F495:H496"/>
    <mergeCell ref="C497:C498"/>
    <mergeCell ref="D501:E501"/>
    <mergeCell ref="D502:E502"/>
    <mergeCell ref="D503:E503"/>
    <mergeCell ref="K503:K504"/>
    <mergeCell ref="D504:E504"/>
    <mergeCell ref="D505:E505"/>
    <mergeCell ref="D506:E506"/>
    <mergeCell ref="D507:E507"/>
    <mergeCell ref="K513:K514"/>
    <mergeCell ref="J519:L519"/>
    <mergeCell ref="J520:K520"/>
    <mergeCell ref="J521:K521"/>
    <mergeCell ref="A522:A523"/>
    <mergeCell ref="B522:B523"/>
    <mergeCell ref="J522:K522"/>
    <mergeCell ref="J523:K523"/>
    <mergeCell ref="A524:A525"/>
    <mergeCell ref="B524:B525"/>
    <mergeCell ref="J524:K524"/>
    <mergeCell ref="J525:K525"/>
    <mergeCell ref="F526:H527"/>
    <mergeCell ref="J526:K526"/>
    <mergeCell ref="J527:K527"/>
  </mergeCells>
  <conditionalFormatting sqref="H23">
    <cfRule type="expression" priority="2" aboveAverage="0" equalAverage="0" bottom="0" percent="0" rank="0" text="" dxfId="27">
      <formula>$H$23="  "</formula>
    </cfRule>
  </conditionalFormatting>
  <conditionalFormatting sqref="F25">
    <cfRule type="expression" priority="3" aboveAverage="0" equalAverage="0" bottom="0" percent="0" rank="0" text="" dxfId="28">
      <formula>NOT(ISERROR(SEARCH("明細",F25)))</formula>
    </cfRule>
    <cfRule type="expression" priority="4" aboveAverage="0" equalAverage="0" bottom="0" percent="0" rank="0" text="" dxfId="29">
      <formula>$H$23="  "</formula>
    </cfRule>
  </conditionalFormatting>
  <conditionalFormatting sqref="F27">
    <cfRule type="expression" priority="5" aboveAverage="0" equalAverage="0" bottom="0" percent="0" rank="0" text="" dxfId="30">
      <formula>NOT(ISERROR(SEARCH("明細",F27)))</formula>
    </cfRule>
    <cfRule type="expression" priority="6" aboveAverage="0" equalAverage="0" bottom="0" percent="0" rank="0" text="" dxfId="31">
      <formula>$H$23="  "</formula>
    </cfRule>
  </conditionalFormatting>
  <conditionalFormatting sqref="F29">
    <cfRule type="expression" priority="7" aboveAverage="0" equalAverage="0" bottom="0" percent="0" rank="0" text="" dxfId="32">
      <formula>NOT(ISERROR(SEARCH("明細",F29)))</formula>
    </cfRule>
    <cfRule type="expression" priority="8" aboveAverage="0" equalAverage="0" bottom="0" percent="0" rank="0" text="" dxfId="33">
      <formula>$H$23="  "</formula>
    </cfRule>
  </conditionalFormatting>
  <conditionalFormatting sqref="D29">
    <cfRule type="expression" priority="9" aboveAverage="0" equalAverage="0" bottom="0" percent="0" rank="0" text="" dxfId="34">
      <formula>NOT(ISERROR(SEARCH("明細",D29)))</formula>
    </cfRule>
    <cfRule type="expression" priority="10" aboveAverage="0" equalAverage="0" bottom="0" percent="0" rank="0" text="" dxfId="35">
      <formula>$H$23="  "</formula>
    </cfRule>
  </conditionalFormatting>
  <conditionalFormatting sqref="D60">
    <cfRule type="expression" priority="11" aboveAverage="0" equalAverage="0" bottom="0" percent="0" rank="0" text="" dxfId="36">
      <formula>NOT(ISERROR(SEARCH("明細",D60)))</formula>
    </cfRule>
    <cfRule type="expression" priority="12" aboveAverage="0" equalAverage="0" bottom="0" percent="0" rank="0" text="" dxfId="37">
      <formula>$H$23="  "</formula>
    </cfRule>
  </conditionalFormatting>
  <conditionalFormatting sqref="F56">
    <cfRule type="expression" priority="13" aboveAverage="0" equalAverage="0" bottom="0" percent="0" rank="0" text="" dxfId="38">
      <formula>NOT(ISERROR(SEARCH("明細",F56)))</formula>
    </cfRule>
    <cfRule type="expression" priority="14" aboveAverage="0" equalAverage="0" bottom="0" percent="0" rank="0" text="" dxfId="39">
      <formula>$H$23="  "</formula>
    </cfRule>
  </conditionalFormatting>
  <conditionalFormatting sqref="F58">
    <cfRule type="expression" priority="15" aboveAverage="0" equalAverage="0" bottom="0" percent="0" rank="0" text="" dxfId="40">
      <formula>NOT(ISERROR(SEARCH("明細",F58)))</formula>
    </cfRule>
    <cfRule type="expression" priority="16" aboveAverage="0" equalAverage="0" bottom="0" percent="0" rank="0" text="" dxfId="41">
      <formula>$H$23="  "</formula>
    </cfRule>
  </conditionalFormatting>
  <conditionalFormatting sqref="F60">
    <cfRule type="expression" priority="17" aboveAverage="0" equalAverage="0" bottom="0" percent="0" rank="0" text="" dxfId="42">
      <formula>NOT(ISERROR(SEARCH("明細",F60)))</formula>
    </cfRule>
    <cfRule type="expression" priority="18" aboveAverage="0" equalAverage="0" bottom="0" percent="0" rank="0" text="" dxfId="43">
      <formula>$H$23="  "</formula>
    </cfRule>
  </conditionalFormatting>
  <conditionalFormatting sqref="D91">
    <cfRule type="expression" priority="19" aboveAverage="0" equalAverage="0" bottom="0" percent="0" rank="0" text="" dxfId="44">
      <formula>NOT(ISERROR(SEARCH("明細",D91)))</formula>
    </cfRule>
    <cfRule type="expression" priority="20" aboveAverage="0" equalAverage="0" bottom="0" percent="0" rank="0" text="" dxfId="45">
      <formula>$H$23="  "</formula>
    </cfRule>
  </conditionalFormatting>
  <conditionalFormatting sqref="D122">
    <cfRule type="expression" priority="21" aboveAverage="0" equalAverage="0" bottom="0" percent="0" rank="0" text="" dxfId="46">
      <formula>NOT(ISERROR(SEARCH("明細",D122)))</formula>
    </cfRule>
    <cfRule type="expression" priority="22" aboveAverage="0" equalAverage="0" bottom="0" percent="0" rank="0" text="" dxfId="47">
      <formula>$H$23="  "</formula>
    </cfRule>
  </conditionalFormatting>
  <conditionalFormatting sqref="D153">
    <cfRule type="expression" priority="23" aboveAverage="0" equalAverage="0" bottom="0" percent="0" rank="0" text="" dxfId="48">
      <formula>NOT(ISERROR(SEARCH("明細",D153)))</formula>
    </cfRule>
    <cfRule type="expression" priority="24" aboveAverage="0" equalAverage="0" bottom="0" percent="0" rank="0" text="" dxfId="49">
      <formula>$H$23="  "</formula>
    </cfRule>
  </conditionalFormatting>
  <conditionalFormatting sqref="D184">
    <cfRule type="expression" priority="25" aboveAverage="0" equalAverage="0" bottom="0" percent="0" rank="0" text="" dxfId="50">
      <formula>NOT(ISERROR(SEARCH("明細",D184)))</formula>
    </cfRule>
    <cfRule type="expression" priority="26" aboveAverage="0" equalAverage="0" bottom="0" percent="0" rank="0" text="" dxfId="51">
      <formula>$H$23="  "</formula>
    </cfRule>
  </conditionalFormatting>
  <conditionalFormatting sqref="D215">
    <cfRule type="expression" priority="27" aboveAverage="0" equalAverage="0" bottom="0" percent="0" rank="0" text="" dxfId="52">
      <formula>NOT(ISERROR(SEARCH("明細",D215)))</formula>
    </cfRule>
    <cfRule type="expression" priority="28" aboveAverage="0" equalAverage="0" bottom="0" percent="0" rank="0" text="" dxfId="53">
      <formula>$H$23="  "</formula>
    </cfRule>
  </conditionalFormatting>
  <conditionalFormatting sqref="D246">
    <cfRule type="expression" priority="29" aboveAverage="0" equalAverage="0" bottom="0" percent="0" rank="0" text="" dxfId="54">
      <formula>NOT(ISERROR(SEARCH("明細",D246)))</formula>
    </cfRule>
    <cfRule type="expression" priority="30" aboveAverage="0" equalAverage="0" bottom="0" percent="0" rank="0" text="" dxfId="55">
      <formula>$H$23="  "</formula>
    </cfRule>
  </conditionalFormatting>
  <conditionalFormatting sqref="D277">
    <cfRule type="expression" priority="31" aboveAverage="0" equalAverage="0" bottom="0" percent="0" rank="0" text="" dxfId="56">
      <formula>NOT(ISERROR(SEARCH("明細",D277)))</formula>
    </cfRule>
    <cfRule type="expression" priority="32" aboveAverage="0" equalAverage="0" bottom="0" percent="0" rank="0" text="" dxfId="57">
      <formula>$H$23="  "</formula>
    </cfRule>
  </conditionalFormatting>
  <conditionalFormatting sqref="D308">
    <cfRule type="expression" priority="33" aboveAverage="0" equalAverage="0" bottom="0" percent="0" rank="0" text="" dxfId="58">
      <formula>NOT(ISERROR(SEARCH("明細",D308)))</formula>
    </cfRule>
    <cfRule type="expression" priority="34" aboveAverage="0" equalAverage="0" bottom="0" percent="0" rank="0" text="" dxfId="59">
      <formula>$H$23="  "</formula>
    </cfRule>
  </conditionalFormatting>
  <conditionalFormatting sqref="D339">
    <cfRule type="expression" priority="35" aboveAverage="0" equalAverage="0" bottom="0" percent="0" rank="0" text="" dxfId="60">
      <formula>NOT(ISERROR(SEARCH("明細",D339)))</formula>
    </cfRule>
    <cfRule type="expression" priority="36" aboveAverage="0" equalAverage="0" bottom="0" percent="0" rank="0" text="" dxfId="61">
      <formula>$H$23="  "</formula>
    </cfRule>
  </conditionalFormatting>
  <conditionalFormatting sqref="D370">
    <cfRule type="expression" priority="37" aboveAverage="0" equalAverage="0" bottom="0" percent="0" rank="0" text="" dxfId="62">
      <formula>NOT(ISERROR(SEARCH("明細",D370)))</formula>
    </cfRule>
    <cfRule type="expression" priority="38" aboveAverage="0" equalAverage="0" bottom="0" percent="0" rank="0" text="" dxfId="63">
      <formula>$H$23="  "</formula>
    </cfRule>
  </conditionalFormatting>
  <conditionalFormatting sqref="D401">
    <cfRule type="expression" priority="39" aboveAverage="0" equalAverage="0" bottom="0" percent="0" rank="0" text="" dxfId="64">
      <formula>NOT(ISERROR(SEARCH("明細",D401)))</formula>
    </cfRule>
    <cfRule type="expression" priority="40" aboveAverage="0" equalAverage="0" bottom="0" percent="0" rank="0" text="" dxfId="65">
      <formula>$H$23="  "</formula>
    </cfRule>
  </conditionalFormatting>
  <conditionalFormatting sqref="D432">
    <cfRule type="expression" priority="41" aboveAverage="0" equalAverage="0" bottom="0" percent="0" rank="0" text="" dxfId="66">
      <formula>NOT(ISERROR(SEARCH("明細",D432)))</formula>
    </cfRule>
    <cfRule type="expression" priority="42" aboveAverage="0" equalAverage="0" bottom="0" percent="0" rank="0" text="" dxfId="67">
      <formula>$H$23="  "</formula>
    </cfRule>
  </conditionalFormatting>
  <conditionalFormatting sqref="D463">
    <cfRule type="expression" priority="43" aboveAverage="0" equalAverage="0" bottom="0" percent="0" rank="0" text="" dxfId="68">
      <formula>NOT(ISERROR(SEARCH("明細",D463)))</formula>
    </cfRule>
    <cfRule type="expression" priority="44" aboveAverage="0" equalAverage="0" bottom="0" percent="0" rank="0" text="" dxfId="69">
      <formula>$H$23="  "</formula>
    </cfRule>
  </conditionalFormatting>
  <conditionalFormatting sqref="F87">
    <cfRule type="expression" priority="45" aboveAverage="0" equalAverage="0" bottom="0" percent="0" rank="0" text="" dxfId="70">
      <formula>NOT(ISERROR(SEARCH("明細",F87)))</formula>
    </cfRule>
    <cfRule type="expression" priority="46" aboveAverage="0" equalAverage="0" bottom="0" percent="0" rank="0" text="" dxfId="71">
      <formula>$H$23="  "</formula>
    </cfRule>
  </conditionalFormatting>
  <conditionalFormatting sqref="F118">
    <cfRule type="expression" priority="47" aboveAverage="0" equalAverage="0" bottom="0" percent="0" rank="0" text="" dxfId="72">
      <formula>NOT(ISERROR(SEARCH("明細",F118)))</formula>
    </cfRule>
    <cfRule type="expression" priority="48" aboveAverage="0" equalAverage="0" bottom="0" percent="0" rank="0" text="" dxfId="73">
      <formula>$H$23="  "</formula>
    </cfRule>
  </conditionalFormatting>
  <conditionalFormatting sqref="F149">
    <cfRule type="expression" priority="49" aboveAverage="0" equalAverage="0" bottom="0" percent="0" rank="0" text="" dxfId="74">
      <formula>NOT(ISERROR(SEARCH("明細",F149)))</formula>
    </cfRule>
    <cfRule type="expression" priority="50" aboveAverage="0" equalAverage="0" bottom="0" percent="0" rank="0" text="" dxfId="75">
      <formula>$H$23="  "</formula>
    </cfRule>
  </conditionalFormatting>
  <conditionalFormatting sqref="F180">
    <cfRule type="expression" priority="51" aboveAverage="0" equalAverage="0" bottom="0" percent="0" rank="0" text="" dxfId="76">
      <formula>NOT(ISERROR(SEARCH("明細",F180)))</formula>
    </cfRule>
    <cfRule type="expression" priority="52" aboveAverage="0" equalAverage="0" bottom="0" percent="0" rank="0" text="" dxfId="77">
      <formula>$H$23="  "</formula>
    </cfRule>
  </conditionalFormatting>
  <conditionalFormatting sqref="F211">
    <cfRule type="expression" priority="53" aboveAverage="0" equalAverage="0" bottom="0" percent="0" rank="0" text="" dxfId="78">
      <formula>NOT(ISERROR(SEARCH("明細",F211)))</formula>
    </cfRule>
    <cfRule type="expression" priority="54" aboveAverage="0" equalAverage="0" bottom="0" percent="0" rank="0" text="" dxfId="79">
      <formula>$H$23="  "</formula>
    </cfRule>
  </conditionalFormatting>
  <conditionalFormatting sqref="F242">
    <cfRule type="expression" priority="55" aboveAverage="0" equalAverage="0" bottom="0" percent="0" rank="0" text="" dxfId="80">
      <formula>NOT(ISERROR(SEARCH("明細",F242)))</formula>
    </cfRule>
    <cfRule type="expression" priority="56" aboveAverage="0" equalAverage="0" bottom="0" percent="0" rank="0" text="" dxfId="81">
      <formula>$H$23="  "</formula>
    </cfRule>
  </conditionalFormatting>
  <conditionalFormatting sqref="F273">
    <cfRule type="expression" priority="57" aboveAverage="0" equalAverage="0" bottom="0" percent="0" rank="0" text="" dxfId="82">
      <formula>NOT(ISERROR(SEARCH("明細",F273)))</formula>
    </cfRule>
    <cfRule type="expression" priority="58" aboveAverage="0" equalAverage="0" bottom="0" percent="0" rank="0" text="" dxfId="83">
      <formula>$H$23="  "</formula>
    </cfRule>
  </conditionalFormatting>
  <conditionalFormatting sqref="F304">
    <cfRule type="expression" priority="59" aboveAverage="0" equalAverage="0" bottom="0" percent="0" rank="0" text="" dxfId="84">
      <formula>NOT(ISERROR(SEARCH("明細",F304)))</formula>
    </cfRule>
    <cfRule type="expression" priority="60" aboveAverage="0" equalAverage="0" bottom="0" percent="0" rank="0" text="" dxfId="85">
      <formula>$H$23="  "</formula>
    </cfRule>
  </conditionalFormatting>
  <conditionalFormatting sqref="F335">
    <cfRule type="expression" priority="61" aboveAverage="0" equalAverage="0" bottom="0" percent="0" rank="0" text="" dxfId="86">
      <formula>NOT(ISERROR(SEARCH("明細",F335)))</formula>
    </cfRule>
    <cfRule type="expression" priority="62" aboveAverage="0" equalAverage="0" bottom="0" percent="0" rank="0" text="" dxfId="87">
      <formula>$H$23="  "</formula>
    </cfRule>
  </conditionalFormatting>
  <conditionalFormatting sqref="F366">
    <cfRule type="expression" priority="63" aboveAverage="0" equalAverage="0" bottom="0" percent="0" rank="0" text="" dxfId="88">
      <formula>NOT(ISERROR(SEARCH("明細",F366)))</formula>
    </cfRule>
    <cfRule type="expression" priority="64" aboveAverage="0" equalAverage="0" bottom="0" percent="0" rank="0" text="" dxfId="89">
      <formula>$H$23="  "</formula>
    </cfRule>
  </conditionalFormatting>
  <conditionalFormatting sqref="F397">
    <cfRule type="expression" priority="65" aboveAverage="0" equalAverage="0" bottom="0" percent="0" rank="0" text="" dxfId="90">
      <formula>NOT(ISERROR(SEARCH("明細",F397)))</formula>
    </cfRule>
    <cfRule type="expression" priority="66" aboveAverage="0" equalAverage="0" bottom="0" percent="0" rank="0" text="" dxfId="91">
      <formula>$H$23="  "</formula>
    </cfRule>
  </conditionalFormatting>
  <conditionalFormatting sqref="F428">
    <cfRule type="expression" priority="67" aboveAverage="0" equalAverage="0" bottom="0" percent="0" rank="0" text="" dxfId="92">
      <formula>NOT(ISERROR(SEARCH("明細",F428)))</formula>
    </cfRule>
    <cfRule type="expression" priority="68" aboveAverage="0" equalAverage="0" bottom="0" percent="0" rank="0" text="" dxfId="93">
      <formula>$H$23="  "</formula>
    </cfRule>
  </conditionalFormatting>
  <conditionalFormatting sqref="F459">
    <cfRule type="expression" priority="69" aboveAverage="0" equalAverage="0" bottom="0" percent="0" rank="0" text="" dxfId="94">
      <formula>NOT(ISERROR(SEARCH("明細",F459)))</formula>
    </cfRule>
    <cfRule type="expression" priority="70" aboveAverage="0" equalAverage="0" bottom="0" percent="0" rank="0" text="" dxfId="95">
      <formula>$H$23="  "</formula>
    </cfRule>
  </conditionalFormatting>
  <conditionalFormatting sqref="F89">
    <cfRule type="expression" priority="71" aboveAverage="0" equalAverage="0" bottom="0" percent="0" rank="0" text="" dxfId="96">
      <formula>NOT(ISERROR(SEARCH("明細",F89)))</formula>
    </cfRule>
    <cfRule type="expression" priority="72" aboveAverage="0" equalAverage="0" bottom="0" percent="0" rank="0" text="" dxfId="97">
      <formula>$H$23="  "</formula>
    </cfRule>
  </conditionalFormatting>
  <conditionalFormatting sqref="F120">
    <cfRule type="expression" priority="73" aboveAverage="0" equalAverage="0" bottom="0" percent="0" rank="0" text="" dxfId="98">
      <formula>NOT(ISERROR(SEARCH("明細",F120)))</formula>
    </cfRule>
    <cfRule type="expression" priority="74" aboveAverage="0" equalAverage="0" bottom="0" percent="0" rank="0" text="" dxfId="99">
      <formula>$H$23="  "</formula>
    </cfRule>
  </conditionalFormatting>
  <conditionalFormatting sqref="F151">
    <cfRule type="expression" priority="75" aboveAverage="0" equalAverage="0" bottom="0" percent="0" rank="0" text="" dxfId="100">
      <formula>NOT(ISERROR(SEARCH("明細",F151)))</formula>
    </cfRule>
    <cfRule type="expression" priority="76" aboveAverage="0" equalAverage="0" bottom="0" percent="0" rank="0" text="" dxfId="101">
      <formula>$H$23="  "</formula>
    </cfRule>
  </conditionalFormatting>
  <conditionalFormatting sqref="F182">
    <cfRule type="expression" priority="77" aboveAverage="0" equalAverage="0" bottom="0" percent="0" rank="0" text="" dxfId="102">
      <formula>NOT(ISERROR(SEARCH("明細",F182)))</formula>
    </cfRule>
    <cfRule type="expression" priority="78" aboveAverage="0" equalAverage="0" bottom="0" percent="0" rank="0" text="" dxfId="103">
      <formula>$H$23="  "</formula>
    </cfRule>
  </conditionalFormatting>
  <conditionalFormatting sqref="F213">
    <cfRule type="expression" priority="79" aboveAverage="0" equalAverage="0" bottom="0" percent="0" rank="0" text="" dxfId="104">
      <formula>NOT(ISERROR(SEARCH("明細",F213)))</formula>
    </cfRule>
    <cfRule type="expression" priority="80" aboveAverage="0" equalAverage="0" bottom="0" percent="0" rank="0" text="" dxfId="105">
      <formula>$H$23="  "</formula>
    </cfRule>
  </conditionalFormatting>
  <conditionalFormatting sqref="F244">
    <cfRule type="expression" priority="81" aboveAverage="0" equalAverage="0" bottom="0" percent="0" rank="0" text="" dxfId="106">
      <formula>NOT(ISERROR(SEARCH("明細",F244)))</formula>
    </cfRule>
    <cfRule type="expression" priority="82" aboveAverage="0" equalAverage="0" bottom="0" percent="0" rank="0" text="" dxfId="107">
      <formula>$H$23="  "</formula>
    </cfRule>
  </conditionalFormatting>
  <conditionalFormatting sqref="F275">
    <cfRule type="expression" priority="83" aboveAverage="0" equalAverage="0" bottom="0" percent="0" rank="0" text="" dxfId="108">
      <formula>NOT(ISERROR(SEARCH("明細",F275)))</formula>
    </cfRule>
    <cfRule type="expression" priority="84" aboveAverage="0" equalAverage="0" bottom="0" percent="0" rank="0" text="" dxfId="109">
      <formula>$H$23="  "</formula>
    </cfRule>
  </conditionalFormatting>
  <conditionalFormatting sqref="F306">
    <cfRule type="expression" priority="85" aboveAverage="0" equalAverage="0" bottom="0" percent="0" rank="0" text="" dxfId="110">
      <formula>NOT(ISERROR(SEARCH("明細",F306)))</formula>
    </cfRule>
    <cfRule type="expression" priority="86" aboveAverage="0" equalAverage="0" bottom="0" percent="0" rank="0" text="" dxfId="111">
      <formula>$H$23="  "</formula>
    </cfRule>
  </conditionalFormatting>
  <conditionalFormatting sqref="F337">
    <cfRule type="expression" priority="87" aboveAverage="0" equalAverage="0" bottom="0" percent="0" rank="0" text="" dxfId="112">
      <formula>NOT(ISERROR(SEARCH("明細",F337)))</formula>
    </cfRule>
    <cfRule type="expression" priority="88" aboveAverage="0" equalAverage="0" bottom="0" percent="0" rank="0" text="" dxfId="113">
      <formula>$H$23="  "</formula>
    </cfRule>
  </conditionalFormatting>
  <conditionalFormatting sqref="F368">
    <cfRule type="expression" priority="89" aboveAverage="0" equalAverage="0" bottom="0" percent="0" rank="0" text="" dxfId="114">
      <formula>NOT(ISERROR(SEARCH("明細",F368)))</formula>
    </cfRule>
    <cfRule type="expression" priority="90" aboveAverage="0" equalAverage="0" bottom="0" percent="0" rank="0" text="" dxfId="115">
      <formula>$H$23="  "</formula>
    </cfRule>
  </conditionalFormatting>
  <conditionalFormatting sqref="F399">
    <cfRule type="expression" priority="91" aboveAverage="0" equalAverage="0" bottom="0" percent="0" rank="0" text="" dxfId="116">
      <formula>NOT(ISERROR(SEARCH("明細",F399)))</formula>
    </cfRule>
    <cfRule type="expression" priority="92" aboveAverage="0" equalAverage="0" bottom="0" percent="0" rank="0" text="" dxfId="117">
      <formula>$H$23="  "</formula>
    </cfRule>
  </conditionalFormatting>
  <conditionalFormatting sqref="F430">
    <cfRule type="expression" priority="93" aboveAverage="0" equalAverage="0" bottom="0" percent="0" rank="0" text="" dxfId="118">
      <formula>NOT(ISERROR(SEARCH("明細",F430)))</formula>
    </cfRule>
    <cfRule type="expression" priority="94" aboveAverage="0" equalAverage="0" bottom="0" percent="0" rank="0" text="" dxfId="119">
      <formula>$H$23="  "</formula>
    </cfRule>
  </conditionalFormatting>
  <conditionalFormatting sqref="F461">
    <cfRule type="expression" priority="95" aboveAverage="0" equalAverage="0" bottom="0" percent="0" rank="0" text="" dxfId="120">
      <formula>NOT(ISERROR(SEARCH("明細",F461)))</formula>
    </cfRule>
    <cfRule type="expression" priority="96" aboveAverage="0" equalAverage="0" bottom="0" percent="0" rank="0" text="" dxfId="121">
      <formula>$H$23="  "</formula>
    </cfRule>
  </conditionalFormatting>
  <conditionalFormatting sqref="F91">
    <cfRule type="expression" priority="97" aboveAverage="0" equalAverage="0" bottom="0" percent="0" rank="0" text="" dxfId="122">
      <formula>NOT(ISERROR(SEARCH("明細",F91)))</formula>
    </cfRule>
    <cfRule type="expression" priority="98" aboveAverage="0" equalAverage="0" bottom="0" percent="0" rank="0" text="" dxfId="123">
      <formula>$H$23="  "</formula>
    </cfRule>
  </conditionalFormatting>
  <conditionalFormatting sqref="F122">
    <cfRule type="expression" priority="99" aboveAverage="0" equalAverage="0" bottom="0" percent="0" rank="0" text="" dxfId="124">
      <formula>NOT(ISERROR(SEARCH("明細",F122)))</formula>
    </cfRule>
    <cfRule type="expression" priority="100" aboveAverage="0" equalAverage="0" bottom="0" percent="0" rank="0" text="" dxfId="125">
      <formula>$H$23="  "</formula>
    </cfRule>
  </conditionalFormatting>
  <conditionalFormatting sqref="F153">
    <cfRule type="expression" priority="101" aboveAverage="0" equalAverage="0" bottom="0" percent="0" rank="0" text="" dxfId="126">
      <formula>NOT(ISERROR(SEARCH("明細",F153)))</formula>
    </cfRule>
    <cfRule type="expression" priority="102" aboveAverage="0" equalAverage="0" bottom="0" percent="0" rank="0" text="" dxfId="127">
      <formula>$H$23="  "</formula>
    </cfRule>
  </conditionalFormatting>
  <conditionalFormatting sqref="F184">
    <cfRule type="expression" priority="103" aboveAverage="0" equalAverage="0" bottom="0" percent="0" rank="0" text="" dxfId="128">
      <formula>NOT(ISERROR(SEARCH("明細",F184)))</formula>
    </cfRule>
    <cfRule type="expression" priority="104" aboveAverage="0" equalAverage="0" bottom="0" percent="0" rank="0" text="" dxfId="129">
      <formula>$H$23="  "</formula>
    </cfRule>
  </conditionalFormatting>
  <conditionalFormatting sqref="F215">
    <cfRule type="expression" priority="105" aboveAverage="0" equalAverage="0" bottom="0" percent="0" rank="0" text="" dxfId="130">
      <formula>NOT(ISERROR(SEARCH("明細",F215)))</formula>
    </cfRule>
    <cfRule type="expression" priority="106" aboveAverage="0" equalAverage="0" bottom="0" percent="0" rank="0" text="" dxfId="131">
      <formula>$H$23="  "</formula>
    </cfRule>
  </conditionalFormatting>
  <conditionalFormatting sqref="F246">
    <cfRule type="expression" priority="107" aboveAverage="0" equalAverage="0" bottom="0" percent="0" rank="0" text="" dxfId="132">
      <formula>NOT(ISERROR(SEARCH("明細",F246)))</formula>
    </cfRule>
    <cfRule type="expression" priority="108" aboveAverage="0" equalAverage="0" bottom="0" percent="0" rank="0" text="" dxfId="133">
      <formula>$H$23="  "</formula>
    </cfRule>
  </conditionalFormatting>
  <conditionalFormatting sqref="F277">
    <cfRule type="expression" priority="109" aboveAverage="0" equalAverage="0" bottom="0" percent="0" rank="0" text="" dxfId="134">
      <formula>NOT(ISERROR(SEARCH("明細",F277)))</formula>
    </cfRule>
    <cfRule type="expression" priority="110" aboveAverage="0" equalAverage="0" bottom="0" percent="0" rank="0" text="" dxfId="135">
      <formula>$H$23="  "</formula>
    </cfRule>
  </conditionalFormatting>
  <conditionalFormatting sqref="F308">
    <cfRule type="expression" priority="111" aboveAverage="0" equalAverage="0" bottom="0" percent="0" rank="0" text="" dxfId="136">
      <formula>NOT(ISERROR(SEARCH("明細",F308)))</formula>
    </cfRule>
    <cfRule type="expression" priority="112" aboveAverage="0" equalAverage="0" bottom="0" percent="0" rank="0" text="" dxfId="137">
      <formula>$H$23="  "</formula>
    </cfRule>
  </conditionalFormatting>
  <conditionalFormatting sqref="F339">
    <cfRule type="expression" priority="113" aboveAverage="0" equalAverage="0" bottom="0" percent="0" rank="0" text="" dxfId="138">
      <formula>NOT(ISERROR(SEARCH("明細",F339)))</formula>
    </cfRule>
    <cfRule type="expression" priority="114" aboveAverage="0" equalAverage="0" bottom="0" percent="0" rank="0" text="" dxfId="139">
      <formula>$H$23="  "</formula>
    </cfRule>
  </conditionalFormatting>
  <conditionalFormatting sqref="F370">
    <cfRule type="expression" priority="115" aboveAverage="0" equalAverage="0" bottom="0" percent="0" rank="0" text="" dxfId="140">
      <formula>NOT(ISERROR(SEARCH("明細",F370)))</formula>
    </cfRule>
    <cfRule type="expression" priority="116" aboveAverage="0" equalAverage="0" bottom="0" percent="0" rank="0" text="" dxfId="141">
      <formula>$H$23="  "</formula>
    </cfRule>
  </conditionalFormatting>
  <conditionalFormatting sqref="F401">
    <cfRule type="expression" priority="117" aboveAverage="0" equalAverage="0" bottom="0" percent="0" rank="0" text="" dxfId="142">
      <formula>NOT(ISERROR(SEARCH("明細",F401)))</formula>
    </cfRule>
    <cfRule type="expression" priority="118" aboveAverage="0" equalAverage="0" bottom="0" percent="0" rank="0" text="" dxfId="143">
      <formula>$H$23="  "</formula>
    </cfRule>
  </conditionalFormatting>
  <conditionalFormatting sqref="F432">
    <cfRule type="expression" priority="119" aboveAverage="0" equalAverage="0" bottom="0" percent="0" rank="0" text="" dxfId="144">
      <formula>NOT(ISERROR(SEARCH("明細",F432)))</formula>
    </cfRule>
    <cfRule type="expression" priority="120" aboveAverage="0" equalAverage="0" bottom="0" percent="0" rank="0" text="" dxfId="145">
      <formula>$H$23="  "</formula>
    </cfRule>
  </conditionalFormatting>
  <conditionalFormatting sqref="F463">
    <cfRule type="expression" priority="121" aboveAverage="0" equalAverage="0" bottom="0" percent="0" rank="0" text="" dxfId="146">
      <formula>NOT(ISERROR(SEARCH("明細",F463)))</formula>
    </cfRule>
    <cfRule type="expression" priority="122" aboveAverage="0" equalAverage="0" bottom="0" percent="0" rank="0" text="" dxfId="147">
      <formula>$H$23="  "</formula>
    </cfRule>
  </conditionalFormatting>
  <conditionalFormatting sqref="F55">
    <cfRule type="expression" priority="123" aboveAverage="0" equalAverage="0" bottom="0" percent="0" rank="0" text="" dxfId="148">
      <formula>$F$56="明細と不一致"</formula>
    </cfRule>
  </conditionalFormatting>
  <conditionalFormatting sqref="F24">
    <cfRule type="expression" priority="124" aboveAverage="0" equalAverage="0" bottom="0" percent="0" rank="0" text="" dxfId="149">
      <formula>$F$25="*明細*"</formula>
    </cfRule>
  </conditionalFormatting>
  <printOptions headings="false" gridLines="false" gridLinesSet="true" horizontalCentered="true" verticalCentered="false"/>
  <pageMargins left="0" right="0" top="0.7875" bottom="0" header="0.511811023622047" footer="0.511811023622047"/>
  <pageSetup paperSize="9" scale="81" fitToWidth="1" fitToHeight="1" pageOrder="downThenOver" orientation="landscape" blackAndWhite="false" draft="false" cellComments="none" horizontalDpi="300" verticalDpi="300" copies="1"/>
  <headerFooter differentFirst="false" differentOddEven="false">
    <oddHeader/>
    <oddFooter/>
  </headerFooter>
  <rowBreaks count="16" manualBreakCount="16">
    <brk id="31" man="true" max="16383" min="0"/>
    <brk id="62" man="true" max="16383" min="0"/>
    <brk id="93" man="true" max="16383" min="0"/>
    <brk id="124" man="true" max="16383" min="0"/>
    <brk id="155" man="true" max="16383" min="0"/>
    <brk id="186" man="true" max="16383" min="0"/>
    <brk id="217" man="true" max="16383" min="0"/>
    <brk id="248" man="true" max="16383" min="0"/>
    <brk id="279" man="true" max="16383" min="0"/>
    <brk id="310" man="true" max="16383" min="0"/>
    <brk id="341" man="true" max="16383" min="0"/>
    <brk id="372" man="true" max="16383" min="0"/>
    <brk id="403" man="true" max="16383" min="0"/>
    <brk id="434" man="true" max="16383" min="0"/>
    <brk id="465" man="true" max="16383" min="0"/>
    <brk id="496" man="true" max="16383" min="0"/>
  </rowBreaks>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6"/>
  <sheetViews>
    <sheetView showFormulas="false" showGridLines="true" showRowColHeaders="true" showZeros="true" rightToLeft="false" tabSelected="false" showOutlineSymbols="true" defaultGridColor="true" view="normal" topLeftCell="A1" colorId="64" zoomScale="80" zoomScaleNormal="80" zoomScalePageLayoutView="70" workbookViewId="0">
      <selection pane="topLeft" activeCell="A1" activeCellId="0" sqref="A1"/>
    </sheetView>
  </sheetViews>
  <sheetFormatPr defaultColWidth="8.79296875" defaultRowHeight="17.25" zeroHeight="false" outlineLevelRow="0" outlineLevelCol="0"/>
  <cols>
    <col collapsed="false" customWidth="true" hidden="false" outlineLevel="0" max="14" min="1" style="582" width="13.09"/>
    <col collapsed="false" customWidth="true" hidden="false" outlineLevel="0" max="15" min="15" style="582" width="7.39"/>
  </cols>
  <sheetData>
    <row r="1" customFormat="false" ht="21.75" hidden="false" customHeight="true" outlineLevel="0" collapsed="false">
      <c r="A1" s="1562" t="str">
        <f aca="false">'☆掛負収入'!A2</f>
        <v>令和8年度</v>
      </c>
      <c r="B1" s="1563" t="s">
        <v>760</v>
      </c>
    </row>
    <row r="2" customFormat="false" ht="12.75" hidden="false" customHeight="true" outlineLevel="0" collapsed="false">
      <c r="G2" s="1089"/>
    </row>
    <row r="3" customFormat="false" ht="21.75" hidden="false" customHeight="true" outlineLevel="0" collapsed="false">
      <c r="A3" s="1564" t="s">
        <v>761</v>
      </c>
      <c r="B3" s="1564"/>
      <c r="C3" s="1564"/>
      <c r="D3" s="1564" t="s">
        <v>762</v>
      </c>
      <c r="E3" s="1565"/>
      <c r="F3" s="1565"/>
      <c r="G3" s="1566" t="s">
        <v>421</v>
      </c>
      <c r="H3" s="1566"/>
      <c r="I3" s="1564" t="s">
        <v>763</v>
      </c>
      <c r="J3" s="1564"/>
      <c r="K3" s="1564"/>
      <c r="L3" s="1564"/>
      <c r="M3" s="1566"/>
      <c r="N3" s="1566" t="s">
        <v>421</v>
      </c>
      <c r="O3" s="1564"/>
      <c r="P3" s="1088" t="s">
        <v>492</v>
      </c>
      <c r="Q3" s="1564"/>
      <c r="R3" s="1128"/>
      <c r="S3" s="1128"/>
      <c r="T3" s="1128"/>
    </row>
    <row r="4" customFormat="false" ht="30" hidden="false" customHeight="true" outlineLevel="0" collapsed="false">
      <c r="A4" s="1567" t="s">
        <v>284</v>
      </c>
      <c r="B4" s="1568" t="s">
        <v>764</v>
      </c>
      <c r="C4" s="1567" t="s">
        <v>377</v>
      </c>
      <c r="D4" s="1568" t="s">
        <v>765</v>
      </c>
      <c r="E4" s="1568" t="s">
        <v>766</v>
      </c>
      <c r="F4" s="1568" t="s">
        <v>767</v>
      </c>
      <c r="G4" s="1568" t="s">
        <v>768</v>
      </c>
      <c r="H4" s="1569" t="s">
        <v>769</v>
      </c>
      <c r="I4" s="1567" t="s">
        <v>284</v>
      </c>
      <c r="J4" s="1568" t="s">
        <v>764</v>
      </c>
      <c r="K4" s="1567" t="s">
        <v>377</v>
      </c>
      <c r="L4" s="1568" t="s">
        <v>765</v>
      </c>
      <c r="M4" s="1567" t="s">
        <v>770</v>
      </c>
      <c r="N4" s="1568" t="s">
        <v>771</v>
      </c>
      <c r="O4" s="1569" t="s">
        <v>772</v>
      </c>
      <c r="P4" s="1564" t="n">
        <v>31</v>
      </c>
      <c r="Q4" s="1564"/>
      <c r="R4" s="1128"/>
      <c r="S4" s="1128"/>
      <c r="T4" s="1128"/>
    </row>
    <row r="5" customFormat="false" ht="21.75" hidden="false" customHeight="true" outlineLevel="0" collapsed="false">
      <c r="A5" s="1570" t="s">
        <v>445</v>
      </c>
      <c r="B5" s="1571" t="n">
        <f aca="false">J5+B26+B47+I47+B68+I68</f>
        <v>347616215</v>
      </c>
      <c r="C5" s="1571" t="n">
        <f aca="false">K5+C26+D26+J26+C47+J47+C68+J68</f>
        <v>351591834</v>
      </c>
      <c r="D5" s="1571" t="n">
        <f aca="false">L5+E26+D47+K47+D68+K68</f>
        <v>97893428</v>
      </c>
      <c r="E5" s="1571" t="n">
        <f aca="false">SUM(B5:D5)</f>
        <v>797101477</v>
      </c>
      <c r="F5" s="1571" t="n">
        <f aca="true">OFFSET('☆振替R7'!$B$10,$P$4*$P5,0,1,1)+OFFSET('☆振替R7'!$B$21,$P$4*$P5,0,1,1)</f>
        <v>797101477</v>
      </c>
      <c r="G5" s="1571" t="n">
        <f aca="false">'☆短期集計R7'!E25</f>
        <v>797101477</v>
      </c>
      <c r="H5" s="1572" t="str">
        <f aca="false">IF(AND(E5=F5,E5=G5),"○","×")</f>
        <v>○</v>
      </c>
      <c r="I5" s="1570" t="s">
        <v>445</v>
      </c>
      <c r="J5" s="1571" t="n">
        <f aca="true">OFFSET('☆振替R7'!$C$6,$P$4*$P5,0,1,1)</f>
        <v>311621246</v>
      </c>
      <c r="K5" s="1571" t="n">
        <f aca="true">OFFSET('☆振替R7'!$C$21,$P$4*$P5,0,1,1)</f>
        <v>311276420</v>
      </c>
      <c r="L5" s="1571" t="n">
        <f aca="true">OFFSET('☆振替R7'!$C$8,$P$4*$P5,0,1,1)</f>
        <v>87756757</v>
      </c>
      <c r="M5" s="1571" t="n">
        <f aca="false">SUM(J5:L5)</f>
        <v>710654423</v>
      </c>
      <c r="N5" s="1571" t="n">
        <f aca="true">OFFSET('☆振替R7'!$E$25,$P$4*$P5,0,1,1)</f>
        <v>710654423</v>
      </c>
      <c r="O5" s="1573" t="str">
        <f aca="false">IF(M5=N5,"○","×")</f>
        <v>○</v>
      </c>
      <c r="P5" s="1564" t="n">
        <v>0</v>
      </c>
      <c r="Q5" s="1564"/>
      <c r="R5" s="1128"/>
      <c r="S5" s="1128"/>
      <c r="T5" s="1128"/>
    </row>
    <row r="6" customFormat="false" ht="21.75" hidden="false" customHeight="true" outlineLevel="0" collapsed="false">
      <c r="A6" s="1570" t="s">
        <v>446</v>
      </c>
      <c r="B6" s="1571" t="n">
        <f aca="false">J6+B27+B48+I48+B69+I69</f>
        <v>350207199</v>
      </c>
      <c r="C6" s="1571" t="n">
        <f aca="false">K6+C27+D27+J27+C48+J48+C69+J69</f>
        <v>354839877</v>
      </c>
      <c r="D6" s="1571" t="n">
        <f aca="false">L6+E27+D48+K48+D69+K69</f>
        <v>2192748</v>
      </c>
      <c r="E6" s="1571" t="n">
        <f aca="false">SUM(B6:D6)</f>
        <v>707239824</v>
      </c>
      <c r="F6" s="1571" t="n">
        <f aca="true">OFFSET('☆振替R7'!$B$10,$P$4*$P6,0,1,1)+OFFSET('☆振替R7'!$B$21,$P$4*$P6,0,1,1)</f>
        <v>707239824</v>
      </c>
      <c r="G6" s="1571" t="n">
        <f aca="false">'☆短期集計R7'!E26</f>
        <v>707239824</v>
      </c>
      <c r="H6" s="1572" t="str">
        <f aca="false">IF(AND(E6=F6,E6=G6),"○","×")</f>
        <v>○</v>
      </c>
      <c r="I6" s="1570" t="s">
        <v>446</v>
      </c>
      <c r="J6" s="1571" t="n">
        <f aca="true">OFFSET('☆振替R7'!$C$6,$P$4*$P6,0,1,1)</f>
        <v>313943939</v>
      </c>
      <c r="K6" s="1571" t="n">
        <f aca="true">OFFSET('☆振替R7'!$C$21,$P$4*$P6,0,1,1)</f>
        <v>314156315</v>
      </c>
      <c r="L6" s="1571" t="n">
        <f aca="true">OFFSET('☆振替R7'!$C$8,$P$4*$P6,0,1,1)</f>
        <v>1965693</v>
      </c>
      <c r="M6" s="1571" t="n">
        <f aca="false">SUM(J6:L6)</f>
        <v>630065947</v>
      </c>
      <c r="N6" s="1571" t="n">
        <f aca="true">OFFSET('☆振替R7'!$E$25,$P$4*$P6,0,1,1)</f>
        <v>630065947</v>
      </c>
      <c r="O6" s="1573" t="str">
        <f aca="false">IF(M6=N6,"○","×")</f>
        <v>○</v>
      </c>
      <c r="P6" s="1564" t="n">
        <v>1</v>
      </c>
      <c r="Q6" s="1564"/>
      <c r="R6" s="1128"/>
      <c r="S6" s="1128"/>
      <c r="T6" s="1128"/>
    </row>
    <row r="7" customFormat="false" ht="21.75" hidden="false" customHeight="true" outlineLevel="0" collapsed="false">
      <c r="A7" s="1570" t="s">
        <v>447</v>
      </c>
      <c r="B7" s="1571" t="n">
        <f aca="false">J7+B28+B49+I49+B70+I70</f>
        <v>349686293</v>
      </c>
      <c r="C7" s="1571" t="n">
        <f aca="false">K7+C28+D28+J28+C49+J49+C70+J70</f>
        <v>354141739</v>
      </c>
      <c r="D7" s="1571" t="n">
        <f aca="false">L7+E28+D49+K49+D70+K70</f>
        <v>2880046</v>
      </c>
      <c r="E7" s="1571" t="n">
        <f aca="false">SUM(B7:D7)</f>
        <v>706708078</v>
      </c>
      <c r="F7" s="1571" t="n">
        <f aca="true">OFFSET('☆振替R7'!$B$10,$P$4*$P7,0,1,1)+OFFSET('☆振替R7'!$B$21,$P$4*$P7,0,1,1)</f>
        <v>706708078</v>
      </c>
      <c r="G7" s="1571" t="n">
        <f aca="false">'☆短期集計R7'!E27</f>
        <v>706708078</v>
      </c>
      <c r="H7" s="1572" t="str">
        <f aca="false">IF(AND(E7=F7,E7=G7),"○","×")</f>
        <v>○</v>
      </c>
      <c r="I7" s="1570" t="s">
        <v>447</v>
      </c>
      <c r="J7" s="1571" t="n">
        <f aca="true">OFFSET('☆振替R7'!$C$6,$P$4*$P7,0,1,1)</f>
        <v>313476971</v>
      </c>
      <c r="K7" s="1571" t="n">
        <f aca="true">OFFSET('☆振替R7'!$C$21,$P$4*$P7,0,1,1)</f>
        <v>313538725</v>
      </c>
      <c r="L7" s="1571" t="n">
        <f aca="true">OFFSET('☆振替R7'!$C$8,$P$4*$P7,0,1,1)</f>
        <v>2581822</v>
      </c>
      <c r="M7" s="1571" t="n">
        <f aca="false">SUM(J7:L7)</f>
        <v>629597518</v>
      </c>
      <c r="N7" s="1571" t="n">
        <f aca="true">OFFSET('☆振替R7'!$E$25,$P$4*$P7,0,1,1)</f>
        <v>629597518</v>
      </c>
      <c r="O7" s="1573" t="str">
        <f aca="false">IF(M7=N7,"○","×")</f>
        <v>○</v>
      </c>
      <c r="P7" s="1564" t="n">
        <v>2</v>
      </c>
      <c r="Q7" s="1564"/>
      <c r="R7" s="1128"/>
      <c r="S7" s="1128"/>
      <c r="T7" s="1128"/>
    </row>
    <row r="8" customFormat="false" ht="21.75" hidden="false" customHeight="true" outlineLevel="0" collapsed="false">
      <c r="A8" s="1570" t="s">
        <v>773</v>
      </c>
      <c r="B8" s="1571" t="n">
        <f aca="false">J8+B29+B50+I50+B71+I71</f>
        <v>614527425</v>
      </c>
      <c r="C8" s="1571" t="n">
        <f aca="false">K8+C29+D29+J29+C50+J50+C71+J71</f>
        <v>622929746</v>
      </c>
      <c r="D8" s="1574" t="n">
        <f aca="false">L8+E29+D50+K50+D71+K71</f>
        <v>0</v>
      </c>
      <c r="E8" s="1571" t="n">
        <f aca="false">SUM(B8:D8)</f>
        <v>1237457171</v>
      </c>
      <c r="F8" s="1571" t="n">
        <f aca="true">OFFSET('☆振替R7'!$B$10,$P$4*$P8,0,1,1)+OFFSET('☆振替R7'!$B$21,$P$4*$P8,0,1,1)</f>
        <v>1237457171</v>
      </c>
      <c r="G8" s="1571" t="n">
        <f aca="false">'☆短期集計R7'!E28</f>
        <v>1237457171</v>
      </c>
      <c r="H8" s="1572" t="str">
        <f aca="false">IF(AND(E8=F8,E8=G8),"○","×")</f>
        <v>○</v>
      </c>
      <c r="I8" s="1570" t="s">
        <v>773</v>
      </c>
      <c r="J8" s="1571" t="n">
        <f aca="true">OFFSET('☆振替R7'!$C$6,$P$4*$P8,0,1,1)</f>
        <v>550894330</v>
      </c>
      <c r="K8" s="1571" t="n">
        <f aca="true">OFFSET('☆振替R7'!$C$21,$P$4*$P8,0,1,1)</f>
        <v>550983780</v>
      </c>
      <c r="L8" s="1574" t="n">
        <f aca="true">OFFSET('☆振替R7'!$C$8,$P$4*$P8,0,1,1)</f>
        <v>0</v>
      </c>
      <c r="M8" s="1571" t="n">
        <f aca="false">SUM(J8:L8)</f>
        <v>1101878110</v>
      </c>
      <c r="N8" s="1571" t="n">
        <f aca="true">OFFSET('☆振替R7'!$E$25,$P$4*$P8,0,1,1)</f>
        <v>1101878110</v>
      </c>
      <c r="O8" s="1573" t="str">
        <f aca="false">IF(M8=N8,"○","×")</f>
        <v>○</v>
      </c>
      <c r="P8" s="1564" t="n">
        <v>3</v>
      </c>
      <c r="Q8" s="1564"/>
      <c r="R8" s="1128"/>
      <c r="S8" s="1128"/>
      <c r="T8" s="1128"/>
    </row>
    <row r="9" customFormat="false" ht="21.75" hidden="false" customHeight="true" outlineLevel="0" collapsed="false">
      <c r="A9" s="1570" t="s">
        <v>448</v>
      </c>
      <c r="B9" s="1571" t="n">
        <f aca="false">J9+B30+B51+I51+B72+I72</f>
        <v>355477296</v>
      </c>
      <c r="C9" s="1571" t="n">
        <f aca="false">K9+C30+D30+J30+C51+J51+C72+J72</f>
        <v>360215631</v>
      </c>
      <c r="D9" s="1571" t="n">
        <f aca="false">L9+E30+D51+K51+D72+K72</f>
        <v>1298881</v>
      </c>
      <c r="E9" s="1571" t="n">
        <f aca="false">SUM(B9:D9)</f>
        <v>716991808</v>
      </c>
      <c r="F9" s="1571" t="n">
        <f aca="true">OFFSET('☆振替R7'!$B$10,$P$4*$P9,0,1,1)+OFFSET('☆振替R7'!$B$21,$P$4*$P9,0,1,1)</f>
        <v>716991808</v>
      </c>
      <c r="G9" s="1571" t="n">
        <f aca="false">'☆短期集計R7'!E29</f>
        <v>716991808</v>
      </c>
      <c r="H9" s="1572" t="str">
        <f aca="false">IF(AND(E9=F9,E9=G9),"○","×")</f>
        <v>○</v>
      </c>
      <c r="I9" s="1570" t="s">
        <v>448</v>
      </c>
      <c r="J9" s="1571" t="n">
        <f aca="true">OFFSET('☆振替R7'!$C$6,$P$4*$P9,0,1,1)</f>
        <v>318668328</v>
      </c>
      <c r="K9" s="1571" t="n">
        <f aca="true">OFFSET('☆振替R7'!$C$21,$P$4*$P9,0,1,1)</f>
        <v>318900406</v>
      </c>
      <c r="L9" s="1571" t="n">
        <f aca="true">OFFSET('☆振替R7'!$C$8,$P$4*$P9,0,1,1)</f>
        <v>1164384</v>
      </c>
      <c r="M9" s="1571" t="n">
        <f aca="false">SUM(J9:L9)</f>
        <v>638733118</v>
      </c>
      <c r="N9" s="1571" t="n">
        <f aca="true">OFFSET('☆振替R7'!$E$25,$P$4*$P9,0,1,1)</f>
        <v>638733118</v>
      </c>
      <c r="O9" s="1573" t="str">
        <f aca="false">IF(M9=N9,"○","×")</f>
        <v>○</v>
      </c>
      <c r="P9" s="1564" t="n">
        <v>4</v>
      </c>
      <c r="Q9" s="1564"/>
      <c r="R9" s="1128"/>
      <c r="S9" s="1128"/>
      <c r="T9" s="1128"/>
    </row>
    <row r="10" customFormat="false" ht="21.75" hidden="false" customHeight="true" outlineLevel="0" collapsed="false">
      <c r="A10" s="1570" t="s">
        <v>449</v>
      </c>
      <c r="B10" s="1571" t="n">
        <f aca="false">J10+B31+B52+I52+B73+I73</f>
        <v>352107037</v>
      </c>
      <c r="C10" s="1571" t="n">
        <f aca="false">K10+C31+D31+J31+C52+J52+C73+J73</f>
        <v>356751068</v>
      </c>
      <c r="D10" s="1571" t="n">
        <f aca="false">L10+E31+D52+K52+D73+K73</f>
        <v>1918883</v>
      </c>
      <c r="E10" s="1571" t="n">
        <f aca="false">SUM(B10:D10)</f>
        <v>710776988</v>
      </c>
      <c r="F10" s="1571" t="n">
        <f aca="true">OFFSET('☆振替R7'!$B$10,$P$4*$P10,0,1,1)+OFFSET('☆振替R7'!$B$21,$P$4*$P10,0,1,1)</f>
        <v>710776988</v>
      </c>
      <c r="G10" s="1571" t="n">
        <f aca="false">'☆短期集計R7'!E30</f>
        <v>710776988</v>
      </c>
      <c r="H10" s="1572" t="str">
        <f aca="false">IF(AND(E10=F10,E10=G10),"○","×")</f>
        <v>○</v>
      </c>
      <c r="I10" s="1570" t="s">
        <v>449</v>
      </c>
      <c r="J10" s="1571" t="n">
        <f aca="true">OFFSET('☆振替R7'!$C$6,$P$4*$P10,0,1,1)</f>
        <v>315647052</v>
      </c>
      <c r="K10" s="1571" t="n">
        <f aca="true">OFFSET('☆振替R7'!$C$21,$P$4*$P10,0,1,1)</f>
        <v>315839465</v>
      </c>
      <c r="L10" s="1571" t="n">
        <f aca="true">OFFSET('☆振替R7'!$C$8,$P$4*$P10,0,1,1)</f>
        <v>1720186</v>
      </c>
      <c r="M10" s="1571" t="n">
        <f aca="false">SUM(J10:L10)</f>
        <v>633206703</v>
      </c>
      <c r="N10" s="1571" t="n">
        <f aca="true">OFFSET('☆振替R7'!$E$25,$P$4*$P10,0,1,1)</f>
        <v>633206703</v>
      </c>
      <c r="O10" s="1573" t="str">
        <f aca="false">IF(M10=N10,"○","×")</f>
        <v>○</v>
      </c>
      <c r="P10" s="1564" t="n">
        <v>5</v>
      </c>
      <c r="Q10" s="1564"/>
      <c r="R10" s="1128"/>
      <c r="S10" s="1128"/>
      <c r="T10" s="1128"/>
    </row>
    <row r="11" customFormat="false" ht="21.75" hidden="false" customHeight="true" outlineLevel="0" collapsed="false">
      <c r="A11" s="1570" t="s">
        <v>450</v>
      </c>
      <c r="B11" s="1571" t="n">
        <f aca="false">J11+B32+B53+I53+B74+I74</f>
        <v>355514939</v>
      </c>
      <c r="C11" s="1571" t="n">
        <f aca="false">K11+C32+D32+J32+C53+J53+C74+J74</f>
        <v>360138827</v>
      </c>
      <c r="D11" s="1571" t="n">
        <f aca="false">L11+E32+D53+K53+D74+K74</f>
        <v>4935296</v>
      </c>
      <c r="E11" s="1571" t="n">
        <f aca="false">SUM(B11:D11)</f>
        <v>720589062</v>
      </c>
      <c r="F11" s="1571" t="n">
        <f aca="true">OFFSET('☆振替R7'!$B$10,$P$4*$P11,0,1,1)+OFFSET('☆振替R7'!$B$21,$P$4*$P11,0,1,1)</f>
        <v>720589062</v>
      </c>
      <c r="G11" s="1571" t="n">
        <f aca="false">'☆短期集計R7'!E31</f>
        <v>720589062</v>
      </c>
      <c r="H11" s="1572" t="str">
        <f aca="false">IF(AND(E11=F11,E11=G11),"○","×")</f>
        <v>○</v>
      </c>
      <c r="I11" s="1570" t="s">
        <v>450</v>
      </c>
      <c r="J11" s="1571" t="n">
        <f aca="true">OFFSET('☆振替R7'!$C$6,$P$4*$P11,0,1,1)</f>
        <v>318702073</v>
      </c>
      <c r="K11" s="1571" t="n">
        <f aca="true">OFFSET('☆振替R7'!$C$21,$P$4*$P11,0,1,1)</f>
        <v>318823182</v>
      </c>
      <c r="L11" s="1571" t="n">
        <f aca="true">OFFSET('☆振替R7'!$C$8,$P$4*$P11,0,1,1)</f>
        <v>4424255</v>
      </c>
      <c r="M11" s="1571" t="n">
        <f aca="false">SUM(J11:L11)</f>
        <v>641949510</v>
      </c>
      <c r="N11" s="1571" t="n">
        <f aca="true">OFFSET('☆振替R7'!$E$25,$P$4*$P11,0,1,1)</f>
        <v>641949510</v>
      </c>
      <c r="O11" s="1573" t="str">
        <f aca="false">IF(M11=N11,"○","×")</f>
        <v>○</v>
      </c>
      <c r="P11" s="1564" t="n">
        <v>6</v>
      </c>
      <c r="Q11" s="1124"/>
      <c r="R11" s="1128"/>
      <c r="S11" s="1128"/>
      <c r="T11" s="1128"/>
    </row>
    <row r="12" customFormat="false" ht="21.75" hidden="false" customHeight="true" outlineLevel="0" collapsed="false">
      <c r="A12" s="1570" t="s">
        <v>451</v>
      </c>
      <c r="B12" s="1571" t="n">
        <f aca="false">J12+B33+B54+I54+B75+I75</f>
        <v>365227784</v>
      </c>
      <c r="C12" s="1571" t="n">
        <f aca="false">K12+C33+D33+J33+C54+J54+C75+J75</f>
        <v>370249515</v>
      </c>
      <c r="D12" s="1571" t="n">
        <f aca="false">L12+E33+D54+K54+D75+K75</f>
        <v>2298242</v>
      </c>
      <c r="E12" s="1571" t="n">
        <f aca="false">SUM(B12:D12)</f>
        <v>737775541</v>
      </c>
      <c r="F12" s="1571" t="n">
        <f aca="true">OFFSET('☆振替R7'!$B$10,$P$4*$P12,0,1,1)+OFFSET('☆振替R7'!$B$21,$P$4*$P12,0,1,1)</f>
        <v>737775541</v>
      </c>
      <c r="G12" s="1571" t="n">
        <f aca="false">'☆短期集計R7'!E32</f>
        <v>737775541</v>
      </c>
      <c r="H12" s="1572" t="str">
        <f aca="false">IF(AND(E12=F12,E12=G12),"○","×")</f>
        <v>○</v>
      </c>
      <c r="I12" s="1570" t="s">
        <v>451</v>
      </c>
      <c r="J12" s="1571" t="n">
        <f aca="true">OFFSET('☆振替R7'!$C$6,$P$4*$P12,0,1,1)</f>
        <v>327409172</v>
      </c>
      <c r="K12" s="1571" t="n">
        <f aca="true">OFFSET('☆振替R7'!$C$21,$P$4*$P12,0,1,1)</f>
        <v>327771551</v>
      </c>
      <c r="L12" s="1571" t="n">
        <f aca="true">OFFSET('☆振替R7'!$C$8,$P$4*$P12,0,1,1)</f>
        <v>2060263</v>
      </c>
      <c r="M12" s="1571" t="n">
        <f aca="false">SUM(J12:L12)</f>
        <v>657240986</v>
      </c>
      <c r="N12" s="1571" t="n">
        <f aca="true">OFFSET('☆振替R7'!$E$25,$P$4*$P12,0,1,1)</f>
        <v>657240986</v>
      </c>
      <c r="O12" s="1573" t="str">
        <f aca="false">IF(M12=N12,"○","×")</f>
        <v>○</v>
      </c>
      <c r="P12" s="1564" t="n">
        <v>7</v>
      </c>
      <c r="Q12" s="1124"/>
      <c r="R12" s="1128"/>
      <c r="S12" s="1128"/>
      <c r="T12" s="1128"/>
    </row>
    <row r="13" customFormat="false" ht="21.75" hidden="false" customHeight="true" outlineLevel="0" collapsed="false">
      <c r="A13" s="1570" t="s">
        <v>452</v>
      </c>
      <c r="B13" s="1571" t="n">
        <f aca="false">J13+B34+B55+I55+B76+I76</f>
        <v>364811284</v>
      </c>
      <c r="C13" s="1571" t="n">
        <f aca="false">K13+C34+D34+J34+C55+J55+C76+J76</f>
        <v>369564417</v>
      </c>
      <c r="D13" s="1571" t="n">
        <f aca="false">L13+E34+D55+K55+D76+K76</f>
        <v>1013274</v>
      </c>
      <c r="E13" s="1571" t="n">
        <f aca="false">SUM(B13:D13)</f>
        <v>735388975</v>
      </c>
      <c r="F13" s="1571" t="n">
        <f aca="true">OFFSET('☆振替R7'!$B$10,$P$4*$P13,0,1,1)+OFFSET('☆振替R7'!$B$21,$P$4*$P13,0,1,1)</f>
        <v>735388975</v>
      </c>
      <c r="G13" s="1571" t="n">
        <f aca="false">'☆短期集計R7'!E33</f>
        <v>735388975</v>
      </c>
      <c r="H13" s="1572" t="str">
        <f aca="false">IF(AND(E13=F13,E13=G13),"○","×")</f>
        <v>○</v>
      </c>
      <c r="I13" s="1570" t="s">
        <v>452</v>
      </c>
      <c r="J13" s="1571" t="n">
        <f aca="true">OFFSET('☆振替R7'!$C$6,$P$4*$P13,0,1,1)</f>
        <v>327035800</v>
      </c>
      <c r="K13" s="1571" t="n">
        <f aca="true">OFFSET('☆振替R7'!$C$21,$P$4*$P13,0,1,1)</f>
        <v>327165828</v>
      </c>
      <c r="L13" s="1571" t="n">
        <f aca="true">OFFSET('☆振替R7'!$C$8,$P$4*$P13,0,1,1)</f>
        <v>908351</v>
      </c>
      <c r="M13" s="1571" t="n">
        <f aca="false">SUM(J13:L13)</f>
        <v>655109979</v>
      </c>
      <c r="N13" s="1571" t="n">
        <f aca="true">OFFSET('☆振替R7'!$E$25,$P$4*$P13,0,1,1)</f>
        <v>655109979</v>
      </c>
      <c r="O13" s="1573" t="str">
        <f aca="false">IF(M13=N13,"○","×")</f>
        <v>○</v>
      </c>
      <c r="P13" s="1564" t="n">
        <v>8</v>
      </c>
      <c r="Q13" s="1124"/>
      <c r="R13" s="1128"/>
      <c r="S13" s="1128"/>
      <c r="T13" s="1128"/>
    </row>
    <row r="14" customFormat="false" ht="21.75" hidden="false" customHeight="true" outlineLevel="0" collapsed="false">
      <c r="A14" s="1570" t="s">
        <v>774</v>
      </c>
      <c r="B14" s="1571" t="n">
        <f aca="false">J14+B35+B56+I56+B77+I77</f>
        <v>628299535</v>
      </c>
      <c r="C14" s="1571" t="n">
        <f aca="false">K14+C35+D35+J35+C56+J56+C77+J77</f>
        <v>637398784</v>
      </c>
      <c r="D14" s="1574" t="n">
        <f aca="false">L14+E35+D56+K56+D77+K77</f>
        <v>0</v>
      </c>
      <c r="E14" s="1571" t="n">
        <f aca="false">SUM(B14:D14)</f>
        <v>1265698319</v>
      </c>
      <c r="F14" s="1571" t="n">
        <f aca="true">OFFSET('☆振替R7'!$B$10,$P$4*$P14,0,1,1)+OFFSET('☆振替R7'!$B$21,$P$4*$P14,0,1,1)</f>
        <v>1265698319</v>
      </c>
      <c r="G14" s="1571" t="n">
        <f aca="false">'☆短期集計R7'!E34</f>
        <v>1265698319</v>
      </c>
      <c r="H14" s="1572" t="str">
        <f aca="false">IF(AND(E14=F14,E14=G14),"○","×")</f>
        <v>○</v>
      </c>
      <c r="I14" s="1570" t="s">
        <v>774</v>
      </c>
      <c r="J14" s="1571" t="n">
        <f aca="true">OFFSET('☆振替R7'!$C$6,$P$4*$P14,0,1,1)</f>
        <v>563240366</v>
      </c>
      <c r="K14" s="1571" t="n">
        <f aca="true">OFFSET('☆振替R7'!$C$21,$P$4*$P14,0,1,1)</f>
        <v>563791405</v>
      </c>
      <c r="L14" s="1574" t="n">
        <f aca="true">OFFSET('☆振替R7'!$C$8,$P$4*$P14,0,1,1)</f>
        <v>0</v>
      </c>
      <c r="M14" s="1571" t="n">
        <f aca="false">SUM(J14:L14)</f>
        <v>1127031771</v>
      </c>
      <c r="N14" s="1571" t="n">
        <f aca="true">OFFSET('☆振替R7'!$E$25,$P$4*$P14,0,1,1)</f>
        <v>1127031771</v>
      </c>
      <c r="O14" s="1573" t="str">
        <f aca="false">IF(M14=N14,"○","×")</f>
        <v>○</v>
      </c>
      <c r="P14" s="1564" t="n">
        <v>9</v>
      </c>
      <c r="Q14" s="1124"/>
      <c r="R14" s="1128"/>
      <c r="S14" s="1128"/>
      <c r="T14" s="1128"/>
    </row>
    <row r="15" customFormat="false" ht="21.75" hidden="false" customHeight="true" outlineLevel="0" collapsed="false">
      <c r="A15" s="1570" t="s">
        <v>453</v>
      </c>
      <c r="B15" s="1571" t="n">
        <f aca="false">J15+B36+B57+I57+B78+I78</f>
        <v>365041686</v>
      </c>
      <c r="C15" s="1571" t="n">
        <f aca="false">K15+C36+D36+J36+C57+J57+C78+J78</f>
        <v>369649168</v>
      </c>
      <c r="D15" s="1575" t="n">
        <f aca="false">L15+E36+D57+K57+D78+K78</f>
        <v>1270075</v>
      </c>
      <c r="E15" s="1571" t="n">
        <f aca="false">SUM(B15:D15)</f>
        <v>735960929</v>
      </c>
      <c r="F15" s="1571" t="n">
        <f aca="true">OFFSET('☆振替R7'!$B$10,$P$4*$P15,0,1,1)+OFFSET('☆振替R7'!$B$21,$P$4*$P15,0,1,1)</f>
        <v>735960929</v>
      </c>
      <c r="G15" s="1571" t="n">
        <f aca="false">'☆短期集計R7'!E35</f>
        <v>735960929</v>
      </c>
      <c r="H15" s="1572" t="str">
        <f aca="false">IF(AND(E15=F15,E15=G15),"○","×")</f>
        <v>○</v>
      </c>
      <c r="I15" s="1570" t="s">
        <v>453</v>
      </c>
      <c r="J15" s="1571" t="n">
        <f aca="true">OFFSET('☆振替R7'!$C$6,$P$4*$P15,0,1,1)</f>
        <v>327242344</v>
      </c>
      <c r="K15" s="1571" t="n">
        <f aca="true">OFFSET('☆振替R7'!$C$21,$P$4*$P15,0,1,1)</f>
        <v>327239887</v>
      </c>
      <c r="L15" s="1575" t="n">
        <f aca="true">OFFSET('☆振替R7'!$C$8,$P$4*$P15,0,1,1)</f>
        <v>1138561</v>
      </c>
      <c r="M15" s="1571" t="n">
        <f aca="false">SUM(J15:L15)</f>
        <v>655620792</v>
      </c>
      <c r="N15" s="1571" t="n">
        <f aca="true">OFFSET('☆振替R7'!$E$25,$P$4*$P15,0,1,1)</f>
        <v>655620792</v>
      </c>
      <c r="O15" s="1573" t="str">
        <f aca="false">IF(M15=N15,"○","×")</f>
        <v>○</v>
      </c>
      <c r="P15" s="1564" t="n">
        <v>10</v>
      </c>
      <c r="Q15" s="1124"/>
      <c r="R15" s="1128"/>
      <c r="S15" s="1128"/>
      <c r="T15" s="1128"/>
    </row>
    <row r="16" customFormat="false" ht="21.75" hidden="false" customHeight="true" outlineLevel="0" collapsed="false">
      <c r="A16" s="1570" t="s">
        <v>454</v>
      </c>
      <c r="B16" s="1571" t="n">
        <f aca="false">J16+B37+B58+I58+B79+I79</f>
        <v>364666157</v>
      </c>
      <c r="C16" s="1571" t="n">
        <f aca="false">K16+C37+D37+J37+C58+J58+C79+J79</f>
        <v>369664538</v>
      </c>
      <c r="D16" s="1571" t="n">
        <f aca="false">L16+E37+D58+K58+D79+K79</f>
        <v>1487293</v>
      </c>
      <c r="E16" s="1571" t="n">
        <f aca="false">SUM(B16:D16)</f>
        <v>735817988</v>
      </c>
      <c r="F16" s="1571" t="n">
        <f aca="true">OFFSET('☆振替R7'!$B$10,$P$4*$P16,0,1,1)+OFFSET('☆振替R7'!$B$21,$P$4*$P16,0,1,1)</f>
        <v>735817988</v>
      </c>
      <c r="G16" s="1571" t="n">
        <f aca="false">'☆短期集計R7'!E36</f>
        <v>735817988</v>
      </c>
      <c r="H16" s="1572" t="str">
        <f aca="false">IF(AND(E16=F16,E16=G16),"○","×")</f>
        <v>○</v>
      </c>
      <c r="I16" s="1570" t="s">
        <v>454</v>
      </c>
      <c r="J16" s="1571" t="n">
        <f aca="true">OFFSET('☆振替R7'!$C$6,$P$4*$P16,0,1,1)</f>
        <v>326905700</v>
      </c>
      <c r="K16" s="1571" t="n">
        <f aca="true">OFFSET('☆振替R7'!$C$21,$P$4*$P16,0,1,1)</f>
        <v>327258826</v>
      </c>
      <c r="L16" s="1571" t="n">
        <f aca="true">OFFSET('☆振替R7'!$C$8,$P$4*$P16,0,1,1)</f>
        <v>1333286</v>
      </c>
      <c r="M16" s="1571" t="n">
        <f aca="false">SUM(J16:L16)</f>
        <v>655497812</v>
      </c>
      <c r="N16" s="1571" t="n">
        <f aca="true">OFFSET('☆振替R7'!$E$25,$P$4*$P16,0,1,1)</f>
        <v>655497812</v>
      </c>
      <c r="O16" s="1573" t="str">
        <f aca="false">IF(M16=N16,"○","×")</f>
        <v>○</v>
      </c>
      <c r="P16" s="1564" t="n">
        <v>11</v>
      </c>
      <c r="Q16" s="1124"/>
      <c r="R16" s="1128"/>
      <c r="S16" s="1128"/>
      <c r="T16" s="1128"/>
    </row>
    <row r="17" customFormat="false" ht="21.75" hidden="false" customHeight="true" outlineLevel="0" collapsed="false">
      <c r="A17" s="1570" t="s">
        <v>455</v>
      </c>
      <c r="B17" s="1571" t="n">
        <f aca="false">J17+B38+B59+I59+B80+I80</f>
        <v>364642103</v>
      </c>
      <c r="C17" s="1571" t="n">
        <f aca="false">K17+C38+D38+J38+C59+J59+C80+J80</f>
        <v>369683132</v>
      </c>
      <c r="D17" s="1571" t="n">
        <f aca="false">L17+E38+D59+K59+D80+K80</f>
        <v>873541</v>
      </c>
      <c r="E17" s="1571" t="n">
        <f aca="false">SUM(B17:D17)</f>
        <v>735198776</v>
      </c>
      <c r="F17" s="1571" t="n">
        <f aca="true">OFFSET('☆振替R7'!$B$10,$P$4*$P17,0,1,1)+OFFSET('☆振替R7'!$B$21,$P$4*$P17,0,1,1)</f>
        <v>735198776</v>
      </c>
      <c r="G17" s="1571" t="n">
        <f aca="false">'☆短期集計R7'!E37</f>
        <v>735198776</v>
      </c>
      <c r="H17" s="1572" t="str">
        <f aca="false">IF(AND(E17=F17,E17=G17),"○","×")</f>
        <v>○</v>
      </c>
      <c r="I17" s="1570" t="s">
        <v>455</v>
      </c>
      <c r="J17" s="1571" t="n">
        <f aca="true">OFFSET('☆振替R7'!$C$6,$P$4*$P17,0,1,1)</f>
        <v>326884137</v>
      </c>
      <c r="K17" s="1571" t="n">
        <f aca="true">OFFSET('☆振替R7'!$C$21,$P$4*$P17,0,1,1)</f>
        <v>327271790</v>
      </c>
      <c r="L17" s="1571" t="n">
        <f aca="true">OFFSET('☆振替R7'!$C$8,$P$4*$P17,0,1,1)</f>
        <v>783087</v>
      </c>
      <c r="M17" s="1571" t="n">
        <f aca="false">SUM(J17:L17)</f>
        <v>654939014</v>
      </c>
      <c r="N17" s="1571" t="n">
        <f aca="true">OFFSET('☆振替R7'!$E$25,$P$4*$P17,0,1,1)</f>
        <v>654939014</v>
      </c>
      <c r="O17" s="1573" t="str">
        <f aca="false">IF(M17=N17,"○","×")</f>
        <v>○</v>
      </c>
      <c r="P17" s="1564" t="n">
        <v>12</v>
      </c>
      <c r="Q17" s="1124"/>
      <c r="R17" s="1128"/>
      <c r="S17" s="1128"/>
      <c r="T17" s="1128"/>
    </row>
    <row r="18" customFormat="false" ht="21.75" hidden="false" customHeight="true" outlineLevel="0" collapsed="false">
      <c r="A18" s="1570" t="s">
        <v>775</v>
      </c>
      <c r="B18" s="1571" t="n">
        <f aca="false">J18+B39+B60+I60+B81+I81</f>
        <v>139822185</v>
      </c>
      <c r="C18" s="1571" t="n">
        <f aca="false">K18+C39+D39+J39+C60+J60+C81+J81</f>
        <v>145829686</v>
      </c>
      <c r="D18" s="1574" t="n">
        <f aca="false">L18+E39+D60+K60+D81+K81</f>
        <v>0</v>
      </c>
      <c r="E18" s="1571" t="n">
        <f aca="false">SUM(B18:D18)</f>
        <v>285651871</v>
      </c>
      <c r="F18" s="1571" t="n">
        <f aca="true">OFFSET('☆振替R7'!$B$10,$P$4*$P18,0,1,1)+OFFSET('☆振替R7'!$B$21,$P$4*$P18,0,1,1)</f>
        <v>285651871</v>
      </c>
      <c r="G18" s="1571" t="n">
        <f aca="false">'☆短期集計R7'!E38</f>
        <v>285651871</v>
      </c>
      <c r="H18" s="1572" t="str">
        <f aca="false">IF(AND(E18=F18,E18=G18),"○","×")</f>
        <v>○</v>
      </c>
      <c r="I18" s="1570" t="s">
        <v>775</v>
      </c>
      <c r="J18" s="1571" t="n">
        <f aca="true">OFFSET('☆振替R7'!$C$6,$P$4*$P18,0,1,1)</f>
        <v>125343875</v>
      </c>
      <c r="K18" s="1571" t="n">
        <f aca="true">OFFSET('☆振替R7'!$C$21,$P$4*$P18,0,1,1)</f>
        <v>128957826</v>
      </c>
      <c r="L18" s="1574" t="n">
        <f aca="true">OFFSET('☆振替R7'!$C$8,$P$4*$P18,0,1,1)</f>
        <v>0</v>
      </c>
      <c r="M18" s="1571" t="n">
        <f aca="false">SUM(J18:L18)</f>
        <v>254301701</v>
      </c>
      <c r="N18" s="1571" t="n">
        <f aca="true">OFFSET('☆振替R7'!$E$25,$P$4*$P18,0,1,1)</f>
        <v>254301701</v>
      </c>
      <c r="O18" s="1573" t="str">
        <f aca="false">IF(M18=N18,"○","×")</f>
        <v>○</v>
      </c>
      <c r="P18" s="1564" t="n">
        <v>13</v>
      </c>
      <c r="Q18" s="1124"/>
      <c r="R18" s="1128"/>
      <c r="S18" s="1128"/>
      <c r="T18" s="1128"/>
    </row>
    <row r="19" customFormat="false" ht="21.75" hidden="false" customHeight="true" outlineLevel="0" collapsed="false">
      <c r="A19" s="1570" t="s">
        <v>456</v>
      </c>
      <c r="B19" s="1571" t="n">
        <f aca="false">J19+B40+B61+I61+B82+I82</f>
        <v>355674806</v>
      </c>
      <c r="C19" s="1571" t="n">
        <f aca="false">K19+C40+D40+J40+C61+J61+C82+J82</f>
        <v>359744737</v>
      </c>
      <c r="D19" s="1575" t="n">
        <f aca="false">L19+E40+D61+K61+D82+K82</f>
        <v>112219</v>
      </c>
      <c r="E19" s="1571" t="n">
        <f aca="false">SUM(B19:D19)</f>
        <v>715531762</v>
      </c>
      <c r="F19" s="1571" t="n">
        <f aca="true">OFFSET('☆振替R7'!$B$10,$P$4*$P19,0,1,1)+OFFSET('☆振替R7'!$B$21,$P$4*$P19,0,1,1)</f>
        <v>715531762</v>
      </c>
      <c r="G19" s="1571" t="n">
        <f aca="false">'☆短期集計R7'!E39</f>
        <v>715531762</v>
      </c>
      <c r="H19" s="1572" t="str">
        <f aca="false">IF(AND(E19=F19,E19=G19),"○","×")</f>
        <v>○</v>
      </c>
      <c r="I19" s="1570" t="s">
        <v>456</v>
      </c>
      <c r="J19" s="1571" t="n">
        <f aca="true">OFFSET('☆振替R7'!$C$6,$P$4*$P19,0,1,1)</f>
        <v>318845386</v>
      </c>
      <c r="K19" s="1571" t="n">
        <f aca="true">OFFSET('☆振替R7'!$C$21,$P$4*$P19,0,1,1)</f>
        <v>318492812</v>
      </c>
      <c r="L19" s="1575" t="n">
        <f aca="true">OFFSET('☆振替R7'!$C$8,$P$4*$P19,0,1,1)</f>
        <v>100598</v>
      </c>
      <c r="M19" s="1571" t="n">
        <f aca="false">SUM(J19:L19)</f>
        <v>637438796</v>
      </c>
      <c r="N19" s="1571" t="n">
        <f aca="true">OFFSET('☆振替R7'!$E$25,$P$4*$P19,0,1,1)</f>
        <v>637438796</v>
      </c>
      <c r="O19" s="1573" t="str">
        <f aca="false">IF(M19=N19,"○","×")</f>
        <v>○</v>
      </c>
      <c r="P19" s="1564" t="n">
        <v>14</v>
      </c>
      <c r="Q19" s="1124"/>
      <c r="R19" s="1128"/>
      <c r="S19" s="1128"/>
      <c r="T19" s="1128"/>
    </row>
    <row r="20" customFormat="false" ht="21.75" hidden="false" customHeight="true" outlineLevel="0" collapsed="false">
      <c r="A20" s="1576" t="s">
        <v>526</v>
      </c>
      <c r="B20" s="1571" t="n">
        <f aca="false">J20+B41+B62+I62+B83+I83</f>
        <v>17812876</v>
      </c>
      <c r="C20" s="1571" t="n">
        <f aca="false">K20+C41+D41+J41+C62+J62+C83+J83</f>
        <v>17802510</v>
      </c>
      <c r="D20" s="1574" t="n">
        <f aca="false">L20+E41+D62+K62+D83+K83</f>
        <v>0</v>
      </c>
      <c r="E20" s="1571" t="n">
        <f aca="false">SUM(B20:D20)</f>
        <v>35615386</v>
      </c>
      <c r="F20" s="1571" t="n">
        <f aca="true">OFFSET('☆振替R7'!$B$10,$P$4*$P20,0,1,1)+OFFSET('☆振替R7'!$B$21,$P$4*$P20,0,1,1)</f>
        <v>35615386</v>
      </c>
      <c r="G20" s="1571" t="n">
        <f aca="false">'☆短期集計R7'!E40</f>
        <v>35615386</v>
      </c>
      <c r="H20" s="1572" t="str">
        <f aca="false">IF(AND(E20=F20,E20=G20),"○","×")</f>
        <v>○</v>
      </c>
      <c r="I20" s="1576" t="s">
        <v>526</v>
      </c>
      <c r="J20" s="1571" t="n">
        <f aca="true">OFFSET('☆振替R7'!$C$6,$P$4*$P20,0,1,1)</f>
        <v>15968388</v>
      </c>
      <c r="K20" s="1571" t="n">
        <f aca="true">OFFSET('☆振替R7'!$C$21,$P$4*$P20,0,1,1)</f>
        <v>15742500</v>
      </c>
      <c r="L20" s="1574" t="n">
        <f aca="true">OFFSET('☆振替R7'!$C$8,$P$4*$P20,0,1,1)</f>
        <v>0</v>
      </c>
      <c r="M20" s="1571" t="n">
        <f aca="false">SUM(J20:L20)</f>
        <v>31710888</v>
      </c>
      <c r="N20" s="1571" t="n">
        <f aca="true">OFFSET('☆振替R7'!$E$25,$P$4*$P20,0,1,1)</f>
        <v>31710888</v>
      </c>
      <c r="O20" s="1573" t="str">
        <f aca="false">IF(M20=N20,"○","×")</f>
        <v>○</v>
      </c>
      <c r="P20" s="1564" t="n">
        <v>15</v>
      </c>
      <c r="Q20" s="1128"/>
      <c r="R20" s="1124"/>
      <c r="S20" s="1124"/>
      <c r="T20" s="1124"/>
      <c r="U20" s="1124"/>
      <c r="V20" s="1124"/>
      <c r="W20" s="1124"/>
      <c r="X20" s="1124"/>
      <c r="Y20" s="1124"/>
    </row>
    <row r="21" customFormat="false" ht="21.75" hidden="false" customHeight="true" outlineLevel="0" collapsed="false">
      <c r="A21" s="1576" t="s">
        <v>527</v>
      </c>
      <c r="B21" s="1571" t="n">
        <f aca="false">J21+B42+B63+I63+B84+I84</f>
        <v>17812885</v>
      </c>
      <c r="C21" s="1571" t="n">
        <f aca="false">K21+C42+D42+J42+C63+J63+C84+J84</f>
        <v>17802525</v>
      </c>
      <c r="D21" s="1574" t="n">
        <f aca="false">L21+E42+D63+K63+D84+K84</f>
        <v>0</v>
      </c>
      <c r="E21" s="1571" t="n">
        <f aca="false">SUM(B21:D21)</f>
        <v>35615410</v>
      </c>
      <c r="F21" s="1571" t="n">
        <f aca="true">OFFSET('☆振替R7'!$B$10,$P$4*$P21,0,1,1)+OFFSET('☆振替R7'!$B$21,$P$4*$P21,0,1,1)</f>
        <v>35615410</v>
      </c>
      <c r="G21" s="1571" t="n">
        <f aca="false">'☆短期集計R7'!E41</f>
        <v>35615410</v>
      </c>
      <c r="H21" s="1572" t="str">
        <f aca="false">IF(AND(E21=F21,E21=G21),"○","×")</f>
        <v>○</v>
      </c>
      <c r="I21" s="1576" t="s">
        <v>527</v>
      </c>
      <c r="J21" s="1571" t="n">
        <f aca="true">OFFSET('☆振替R7'!$C$6,$P$4*$P21,0,1,1)</f>
        <v>15968396</v>
      </c>
      <c r="K21" s="1571" t="n">
        <f aca="true">OFFSET('☆振替R7'!$C$21,$P$4*$P21,0,1,1)</f>
        <v>15742524</v>
      </c>
      <c r="L21" s="1574" t="n">
        <f aca="true">OFFSET('☆振替R7'!$C$8,$P$4*$P21,0,1,1)</f>
        <v>0</v>
      </c>
      <c r="M21" s="1571" t="n">
        <f aca="false">SUM(J21:L21)</f>
        <v>31710920</v>
      </c>
      <c r="N21" s="1571" t="n">
        <f aca="true">OFFSET('☆振替R7'!$E$25,$P$4*$P21,0,1,1)</f>
        <v>31710920</v>
      </c>
      <c r="O21" s="1573" t="str">
        <f aca="false">IF(M21=N21,"○","×")</f>
        <v>○</v>
      </c>
      <c r="P21" s="1564" t="n">
        <v>16</v>
      </c>
      <c r="Q21" s="1128"/>
      <c r="R21" s="1124"/>
      <c r="S21" s="1124"/>
      <c r="T21" s="1124"/>
      <c r="U21" s="1124"/>
      <c r="V21" s="1124"/>
      <c r="W21" s="1124"/>
      <c r="X21" s="1124"/>
      <c r="Y21" s="1124"/>
    </row>
    <row r="22" customFormat="false" ht="21.75" hidden="false" customHeight="true" outlineLevel="0" collapsed="false">
      <c r="A22" s="1567" t="s">
        <v>457</v>
      </c>
      <c r="B22" s="1571" t="n">
        <f aca="false">SUM(B5:B21)</f>
        <v>5708947705</v>
      </c>
      <c r="C22" s="1571" t="n">
        <f aca="false">SUM(C5:C21)</f>
        <v>5787997734</v>
      </c>
      <c r="D22" s="1571" t="n">
        <f aca="false">SUM(D5:D21)</f>
        <v>118173926</v>
      </c>
      <c r="E22" s="1571" t="n">
        <f aca="false">SUM(E5:E21)</f>
        <v>11615119365</v>
      </c>
      <c r="F22" s="1571" t="n">
        <f aca="false">SUM(F5:F21)</f>
        <v>11615119365</v>
      </c>
      <c r="G22" s="1571" t="n">
        <f aca="false">SUM(G5:G21)</f>
        <v>11615119365</v>
      </c>
      <c r="H22" s="1572" t="str">
        <f aca="false">IF(AND(E22=F22,E22=G22),"○","×")</f>
        <v>○</v>
      </c>
      <c r="I22" s="1567" t="s">
        <v>457</v>
      </c>
      <c r="J22" s="1571" t="n">
        <f aca="false">SUM(J5:J21)</f>
        <v>5117797503</v>
      </c>
      <c r="K22" s="1571" t="n">
        <f aca="false">SUM(K5:K21)</f>
        <v>5122953242</v>
      </c>
      <c r="L22" s="1571" t="n">
        <f aca="false">SUM(L5:L21)</f>
        <v>105937243</v>
      </c>
      <c r="M22" s="1571" t="n">
        <f aca="false">SUM(M5:M21)</f>
        <v>10346687988</v>
      </c>
      <c r="N22" s="1571" t="n">
        <f aca="false">SUM(N5:N21)</f>
        <v>10346687988</v>
      </c>
      <c r="O22" s="1573" t="str">
        <f aca="false">IF(M22=N22,"○","×")</f>
        <v>○</v>
      </c>
      <c r="P22" s="1564"/>
      <c r="Q22" s="1124"/>
      <c r="R22" s="1124"/>
      <c r="S22" s="1124"/>
      <c r="T22" s="1124"/>
      <c r="U22" s="1124"/>
      <c r="V22" s="1124"/>
      <c r="W22" s="1124"/>
      <c r="X22" s="1124"/>
      <c r="Y22" s="1124"/>
    </row>
    <row r="23" customFormat="false" ht="21.75" hidden="false" customHeight="true" outlineLevel="0" collapsed="false">
      <c r="A23" s="1577"/>
      <c r="B23" s="1578"/>
      <c r="C23" s="1578"/>
      <c r="D23" s="1578"/>
      <c r="E23" s="1578"/>
      <c r="F23" s="1578"/>
      <c r="G23" s="1578"/>
      <c r="H23" s="1579"/>
      <c r="I23" s="1577"/>
      <c r="J23" s="1578"/>
      <c r="K23" s="1578"/>
      <c r="L23" s="1578"/>
      <c r="M23" s="1578"/>
      <c r="N23" s="1578"/>
      <c r="O23" s="1580"/>
      <c r="P23" s="1124"/>
      <c r="Q23" s="1124"/>
      <c r="R23" s="1124"/>
      <c r="S23" s="1124"/>
      <c r="T23" s="1124"/>
      <c r="U23" s="1124"/>
      <c r="V23" s="1124"/>
      <c r="W23" s="1124"/>
      <c r="X23" s="1124"/>
      <c r="Y23" s="1124"/>
    </row>
    <row r="24" customFormat="false" ht="21.75" hidden="false" customHeight="true" outlineLevel="0" collapsed="false">
      <c r="A24" s="1564" t="s">
        <v>776</v>
      </c>
      <c r="B24" s="1581"/>
      <c r="C24" s="1582"/>
      <c r="D24" s="1582"/>
      <c r="E24" s="1582"/>
      <c r="F24" s="1564"/>
      <c r="G24" s="1566" t="s">
        <v>421</v>
      </c>
      <c r="H24" s="1564"/>
      <c r="I24" s="1564" t="s">
        <v>777</v>
      </c>
      <c r="J24" s="1581"/>
      <c r="K24" s="1582"/>
      <c r="L24" s="1582"/>
      <c r="M24" s="1564"/>
      <c r="N24" s="1564"/>
      <c r="O24" s="1564"/>
      <c r="P24" s="1564"/>
      <c r="Q24" s="1564"/>
      <c r="R24" s="1564"/>
      <c r="S24" s="1564"/>
      <c r="T24" s="1564"/>
      <c r="U24" s="1564"/>
      <c r="V24" s="1564"/>
      <c r="W24" s="1564"/>
      <c r="X24" s="1564"/>
      <c r="Y24" s="1564"/>
    </row>
    <row r="25" customFormat="false" ht="30" hidden="false" customHeight="true" outlineLevel="0" collapsed="false">
      <c r="A25" s="1567" t="s">
        <v>284</v>
      </c>
      <c r="B25" s="1568" t="s">
        <v>764</v>
      </c>
      <c r="C25" s="1567" t="s">
        <v>377</v>
      </c>
      <c r="D25" s="1567" t="s">
        <v>778</v>
      </c>
      <c r="E25" s="1568" t="s">
        <v>765</v>
      </c>
      <c r="F25" s="1567" t="s">
        <v>779</v>
      </c>
      <c r="G25" s="1568" t="s">
        <v>780</v>
      </c>
      <c r="H25" s="1569" t="s">
        <v>781</v>
      </c>
      <c r="I25" s="1567" t="s">
        <v>284</v>
      </c>
      <c r="J25" s="1567" t="s">
        <v>782</v>
      </c>
      <c r="K25" s="1568" t="s">
        <v>783</v>
      </c>
      <c r="L25" s="1569" t="s">
        <v>784</v>
      </c>
      <c r="M25" s="1583"/>
      <c r="N25" s="1584"/>
      <c r="O25" s="1584"/>
      <c r="P25" s="1583"/>
      <c r="Q25" s="1584"/>
      <c r="R25" s="1584"/>
      <c r="S25" s="1584"/>
    </row>
    <row r="26" customFormat="false" ht="21.75" hidden="false" customHeight="true" outlineLevel="0" collapsed="false">
      <c r="A26" s="1570" t="s">
        <v>445</v>
      </c>
      <c r="B26" s="1571" t="n">
        <f aca="true">OFFSET('☆振替R7'!$D$6,$P$4*$P5,0,1,1)</f>
        <v>15550898</v>
      </c>
      <c r="C26" s="1571" t="n">
        <f aca="true">OFFSET('☆振替R7'!$D$21,$P$4*$P5,0,1,1)</f>
        <v>15533689</v>
      </c>
      <c r="D26" s="1571" t="n">
        <f aca="true">OFFSET('☆振替R7'!$E$21,$P$4*$P5,0,1,1)</f>
        <v>4025496</v>
      </c>
      <c r="E26" s="1571" t="n">
        <f aca="true">OFFSET('☆振替R7'!$D$8,$P$4*$P5,0,1,1)</f>
        <v>4379343</v>
      </c>
      <c r="F26" s="1571" t="n">
        <f aca="false">SUM(B26:E26)</f>
        <v>39489426</v>
      </c>
      <c r="G26" s="1571" t="n">
        <f aca="true">OFFSET('☆振替R7'!$E$27,$P$4*$P5,0,1,1)</f>
        <v>39489426</v>
      </c>
      <c r="H26" s="1573" t="str">
        <f aca="false">IF(F26=G26,"○","×")</f>
        <v>○</v>
      </c>
      <c r="I26" s="1570" t="s">
        <v>445</v>
      </c>
      <c r="J26" s="1571" t="n">
        <f aca="true">OFFSET('☆振替R7'!$F$21,$P$4*$P5,0,1,1)</f>
        <v>334776</v>
      </c>
      <c r="K26" s="1571" t="n">
        <f aca="true">OFFSET('☆振替R7'!$E$29,$P$4*$P5,0,1,1)</f>
        <v>334776</v>
      </c>
      <c r="L26" s="1573" t="str">
        <f aca="false">IF(J26=K26,"○","×")</f>
        <v>○</v>
      </c>
      <c r="M26" s="1583"/>
      <c r="N26" s="1584"/>
      <c r="O26" s="1584"/>
      <c r="P26" s="1584"/>
      <c r="Q26" s="1585"/>
      <c r="R26" s="1585"/>
      <c r="S26" s="1585"/>
    </row>
    <row r="27" customFormat="false" ht="21.75" hidden="false" customHeight="true" outlineLevel="0" collapsed="false">
      <c r="A27" s="1570" t="s">
        <v>446</v>
      </c>
      <c r="B27" s="1571" t="n">
        <f aca="true">OFFSET('☆振替R7'!$D$6,$P$4*$P6,0,1,1)</f>
        <v>15666808</v>
      </c>
      <c r="C27" s="1571" t="n">
        <f aca="true">OFFSET('☆振替R7'!$D$21,$P$4*$P6,0,1,1)</f>
        <v>15677406</v>
      </c>
      <c r="D27" s="1571" t="n">
        <f aca="true">OFFSET('☆振替R7'!$E$21,$P$4*$P6,0,1,1)</f>
        <v>4057893</v>
      </c>
      <c r="E27" s="1571" t="n">
        <f aca="true">OFFSET('☆振替R7'!$D$8,$P$4*$P6,0,1,1)</f>
        <v>98094</v>
      </c>
      <c r="F27" s="1571" t="n">
        <f aca="false">SUM(B27:E27)</f>
        <v>35500201</v>
      </c>
      <c r="G27" s="1571" t="n">
        <f aca="true">OFFSET('☆振替R7'!$E$27,$P$4*$P6,0,1,1)</f>
        <v>35500201</v>
      </c>
      <c r="H27" s="1573" t="str">
        <f aca="false">IF(F27=G27,"○","×")</f>
        <v>○</v>
      </c>
      <c r="I27" s="1570" t="s">
        <v>446</v>
      </c>
      <c r="J27" s="1571" t="n">
        <f aca="true">OFFSET('☆振替R7'!$F$21,$P$4*$P6,0,1,1)</f>
        <v>337874</v>
      </c>
      <c r="K27" s="1571" t="n">
        <f aca="true">OFFSET('☆振替R7'!$E$29,$P$4*$P6,0,1,1)</f>
        <v>337874</v>
      </c>
      <c r="L27" s="1573" t="str">
        <f aca="false">IF(J27=K27,"○","×")</f>
        <v>○</v>
      </c>
      <c r="M27" s="1585"/>
      <c r="N27" s="1585"/>
      <c r="O27" s="1585"/>
      <c r="P27" s="1585"/>
      <c r="Q27" s="1585"/>
      <c r="R27" s="1585"/>
      <c r="S27" s="1585"/>
    </row>
    <row r="28" customFormat="false" ht="21.75" hidden="false" customHeight="true" outlineLevel="0" collapsed="false">
      <c r="A28" s="1570" t="s">
        <v>447</v>
      </c>
      <c r="B28" s="1571" t="n">
        <f aca="true">OFFSET('☆振替R7'!$D$6,$P$4*$P7,0,1,1)</f>
        <v>15643505</v>
      </c>
      <c r="C28" s="1571" t="n">
        <f aca="true">OFFSET('☆振替R7'!$D$21,$P$4*$P7,0,1,1)</f>
        <v>15646586</v>
      </c>
      <c r="D28" s="1571" t="n">
        <f aca="true">OFFSET('☆振替R7'!$E$21,$P$4*$P7,0,1,1)</f>
        <v>4049348</v>
      </c>
      <c r="E28" s="1571" t="n">
        <f aca="true">OFFSET('☆振替R7'!$D$8,$P$4*$P7,0,1,1)</f>
        <v>128841</v>
      </c>
      <c r="F28" s="1571" t="n">
        <f aca="false">SUM(B28:E28)</f>
        <v>35468280</v>
      </c>
      <c r="G28" s="1571" t="n">
        <f aca="true">OFFSET('☆振替R7'!$E$27,$P$4*$P7,0,1,1)</f>
        <v>35468280</v>
      </c>
      <c r="H28" s="1573" t="str">
        <f aca="false">IF(F28=G28,"○","×")</f>
        <v>○</v>
      </c>
      <c r="I28" s="1570" t="s">
        <v>447</v>
      </c>
      <c r="J28" s="1571" t="n">
        <f aca="true">OFFSET('☆振替R7'!$F$21,$P$4*$P7,0,1,1)</f>
        <v>337210</v>
      </c>
      <c r="K28" s="1571" t="n">
        <f aca="true">OFFSET('☆振替R7'!$E$29,$P$4*$P7,0,1,1)</f>
        <v>337210</v>
      </c>
      <c r="L28" s="1573" t="str">
        <f aca="false">IF(J28=K28,"○","×")</f>
        <v>○</v>
      </c>
      <c r="M28" s="1585"/>
      <c r="N28" s="1585"/>
      <c r="O28" s="1585"/>
      <c r="P28" s="1585"/>
      <c r="Q28" s="1585"/>
      <c r="R28" s="1585"/>
      <c r="S28" s="1585"/>
    </row>
    <row r="29" customFormat="false" ht="21.75" hidden="false" customHeight="true" outlineLevel="0" collapsed="false">
      <c r="A29" s="1570" t="s">
        <v>773</v>
      </c>
      <c r="B29" s="1571" t="n">
        <f aca="true">OFFSET('☆振替R7'!$D$6,$P$4*$P8,0,1,1)</f>
        <v>27491392</v>
      </c>
      <c r="C29" s="1571" t="n">
        <f aca="true">OFFSET('☆振替R7'!$D$21,$P$4*$P8,0,1,1)</f>
        <v>27495855</v>
      </c>
      <c r="D29" s="1571" t="n">
        <f aca="true">OFFSET('☆振替R7'!$E$21,$P$4*$P8,0,1,1)</f>
        <v>7709955</v>
      </c>
      <c r="E29" s="1574" t="n">
        <f aca="true">OFFSET('☆振替R7'!$D$8,$P$4*$P8,0,1,1)</f>
        <v>0</v>
      </c>
      <c r="F29" s="1571" t="n">
        <f aca="false">SUM(B29:E29)</f>
        <v>62697202</v>
      </c>
      <c r="G29" s="1571" t="n">
        <f aca="true">OFFSET('☆振替R7'!$E$27,$P$4*$P8,0,1,1)</f>
        <v>62697202</v>
      </c>
      <c r="H29" s="1573" t="str">
        <f aca="false">IF(F29=G29,"○","×")</f>
        <v>○</v>
      </c>
      <c r="I29" s="1570" t="s">
        <v>773</v>
      </c>
      <c r="J29" s="1571" t="n">
        <f aca="true">OFFSET('☆振替R7'!$F$21,$P$4*$P8,0,1,1)</f>
        <v>592581</v>
      </c>
      <c r="K29" s="1571" t="n">
        <f aca="true">OFFSET('☆振替R7'!$E$29,$P$4*$P8,0,1,1)</f>
        <v>592581</v>
      </c>
      <c r="L29" s="1573" t="str">
        <f aca="false">IF(J29=K29,"○","×")</f>
        <v>○</v>
      </c>
      <c r="M29" s="1585"/>
      <c r="N29" s="1585"/>
      <c r="O29" s="1585"/>
      <c r="P29" s="1585"/>
      <c r="Q29" s="1584"/>
      <c r="R29" s="1584"/>
      <c r="S29" s="1584"/>
    </row>
    <row r="30" customFormat="false" ht="21.75" hidden="false" customHeight="true" outlineLevel="0" collapsed="false">
      <c r="A30" s="1570" t="s">
        <v>448</v>
      </c>
      <c r="B30" s="1571" t="n">
        <f aca="true">OFFSET('☆振替R7'!$D$6,$P$4*$P9,0,1,1)</f>
        <v>15902570</v>
      </c>
      <c r="C30" s="1571" t="n">
        <f aca="true">OFFSET('☆振替R7'!$D$21,$P$4*$P9,0,1,1)</f>
        <v>15914151</v>
      </c>
      <c r="D30" s="1571" t="n">
        <f aca="true">OFFSET('☆振替R7'!$E$21,$P$4*$P9,0,1,1)</f>
        <v>4136470</v>
      </c>
      <c r="E30" s="1571" t="n">
        <f aca="true">OFFSET('☆振替R7'!$D$8,$P$4*$P9,0,1,1)</f>
        <v>58106</v>
      </c>
      <c r="F30" s="1571" t="n">
        <f aca="false">SUM(B30:E30)</f>
        <v>36011297</v>
      </c>
      <c r="G30" s="1571" t="n">
        <f aca="true">OFFSET('☆振替R7'!$E$27,$P$4*$P9,0,1,1)</f>
        <v>36011297</v>
      </c>
      <c r="H30" s="1573" t="str">
        <f aca="false">IF(F30=G30,"○","×")</f>
        <v>○</v>
      </c>
      <c r="I30" s="1570" t="s">
        <v>448</v>
      </c>
      <c r="J30" s="1571" t="n">
        <f aca="true">OFFSET('☆振替R7'!$F$21,$P$4*$P9,0,1,1)</f>
        <v>342976</v>
      </c>
      <c r="K30" s="1571" t="n">
        <f aca="true">OFFSET('☆振替R7'!$E$29,$P$4*$P9,0,1,1)</f>
        <v>342976</v>
      </c>
      <c r="L30" s="1573" t="str">
        <f aca="false">IF(J30=K30,"○","×")</f>
        <v>○</v>
      </c>
      <c r="M30" s="1583"/>
      <c r="N30" s="1584"/>
      <c r="O30" s="1584"/>
      <c r="P30" s="1584"/>
      <c r="Q30" s="1586"/>
      <c r="R30" s="1586"/>
      <c r="S30" s="1586"/>
    </row>
    <row r="31" customFormat="false" ht="21.75" hidden="false" customHeight="true" outlineLevel="0" collapsed="false">
      <c r="A31" s="1570" t="s">
        <v>449</v>
      </c>
      <c r="B31" s="1571" t="n">
        <f aca="true">OFFSET('☆振替R7'!$D$6,$P$4*$P10,0,1,1)</f>
        <v>15751799</v>
      </c>
      <c r="C31" s="1571" t="n">
        <f aca="true">OFFSET('☆振替R7'!$D$21,$P$4*$P10,0,1,1)</f>
        <v>15761400</v>
      </c>
      <c r="D31" s="1571" t="n">
        <f aca="true">OFFSET('☆振替R7'!$E$21,$P$4*$P10,0,1,1)</f>
        <v>4089706</v>
      </c>
      <c r="E31" s="1571" t="n">
        <f aca="true">OFFSET('☆振替R7'!$D$8,$P$4*$P10,0,1,1)</f>
        <v>85842</v>
      </c>
      <c r="F31" s="1571" t="n">
        <f aca="false">SUM(B31:E31)</f>
        <v>35688747</v>
      </c>
      <c r="G31" s="1571" t="n">
        <f aca="true">OFFSET('☆振替R7'!$E$27,$P$4*$P10,0,1,1)</f>
        <v>35688747</v>
      </c>
      <c r="H31" s="1573" t="str">
        <f aca="false">IF(F31=G31,"○","×")</f>
        <v>○</v>
      </c>
      <c r="I31" s="1570" t="s">
        <v>449</v>
      </c>
      <c r="J31" s="1571" t="n">
        <f aca="true">OFFSET('☆振替R7'!$F$21,$P$4*$P10,0,1,1)</f>
        <v>339683</v>
      </c>
      <c r="K31" s="1571" t="n">
        <f aca="true">OFFSET('☆振替R7'!$E$29,$P$4*$P10,0,1,1)</f>
        <v>339683</v>
      </c>
      <c r="L31" s="1573" t="str">
        <f aca="false">IF(J31=K31,"○","×")</f>
        <v>○</v>
      </c>
      <c r="M31" s="1586"/>
      <c r="N31" s="1586"/>
      <c r="O31" s="1586"/>
      <c r="P31" s="1586"/>
      <c r="Q31" s="1584"/>
      <c r="R31" s="1584"/>
      <c r="S31" s="1584"/>
    </row>
    <row r="32" customFormat="false" ht="21.75" hidden="false" customHeight="true" outlineLevel="0" collapsed="false">
      <c r="A32" s="1570" t="s">
        <v>450</v>
      </c>
      <c r="B32" s="1571" t="n">
        <f aca="true">OFFSET('☆振替R7'!$D$6,$P$4*$P11,0,1,1)</f>
        <v>15904254</v>
      </c>
      <c r="C32" s="1571" t="n">
        <f aca="true">OFFSET('☆振替R7'!$D$21,$P$4*$P11,0,1,1)</f>
        <v>15910297</v>
      </c>
      <c r="D32" s="1571" t="n">
        <f aca="true">OFFSET('☆振替R7'!$E$21,$P$4*$P11,0,1,1)</f>
        <v>4145893</v>
      </c>
      <c r="E32" s="1571" t="n">
        <f aca="true">OFFSET('☆振替R7'!$D$8,$P$4*$P11,0,1,1)</f>
        <v>220784</v>
      </c>
      <c r="F32" s="1571" t="n">
        <f aca="false">SUM(B32:E32)</f>
        <v>36181228</v>
      </c>
      <c r="G32" s="1571" t="n">
        <f aca="true">OFFSET('☆振替R7'!$E$27,$P$4*$P11,0,1,1)</f>
        <v>36181228</v>
      </c>
      <c r="H32" s="1573" t="str">
        <f aca="false">IF(F32=G32,"○","×")</f>
        <v>○</v>
      </c>
      <c r="I32" s="1570" t="s">
        <v>450</v>
      </c>
      <c r="J32" s="1571" t="n">
        <f aca="true">OFFSET('☆振替R7'!$F$21,$P$4*$P11,0,1,1)</f>
        <v>342892</v>
      </c>
      <c r="K32" s="1571" t="n">
        <f aca="true">OFFSET('☆振替R7'!$E$29,$P$4*$P11,0,1,1)</f>
        <v>342892</v>
      </c>
      <c r="L32" s="1573" t="str">
        <f aca="false">IF(J32=K32,"○","×")</f>
        <v>○</v>
      </c>
      <c r="M32" s="1583"/>
      <c r="N32" s="1584"/>
      <c r="O32" s="1584"/>
      <c r="P32" s="1584"/>
      <c r="Q32" s="1584"/>
      <c r="R32" s="1584"/>
      <c r="S32" s="1584"/>
    </row>
    <row r="33" customFormat="false" ht="21.75" hidden="false" customHeight="true" outlineLevel="0" collapsed="false">
      <c r="A33" s="1570" t="s">
        <v>451</v>
      </c>
      <c r="B33" s="1571" t="n">
        <f aca="true">OFFSET('☆振替R7'!$D$6,$P$4*$P12,0,1,1)</f>
        <v>16338767</v>
      </c>
      <c r="C33" s="1571" t="n">
        <f aca="true">OFFSET('☆振替R7'!$D$21,$P$4*$P12,0,1,1)</f>
        <v>16356850</v>
      </c>
      <c r="D33" s="1571" t="n">
        <f aca="true">OFFSET('☆振替R7'!$E$21,$P$4*$P12,0,1,1)</f>
        <v>4264974</v>
      </c>
      <c r="E33" s="1571" t="n">
        <f aca="true">OFFSET('☆振替R7'!$D$8,$P$4*$P12,0,1,1)</f>
        <v>102813</v>
      </c>
      <c r="F33" s="1571" t="n">
        <f aca="false">SUM(B33:E33)</f>
        <v>37063404</v>
      </c>
      <c r="G33" s="1571" t="n">
        <f aca="true">OFFSET('☆振替R7'!$E$27,$P$4*$P12,0,1,1)</f>
        <v>37063404</v>
      </c>
      <c r="H33" s="1573" t="str">
        <f aca="false">IF(F33=G33,"○","×")</f>
        <v>○</v>
      </c>
      <c r="I33" s="1570" t="s">
        <v>451</v>
      </c>
      <c r="J33" s="1571" t="n">
        <f aca="true">OFFSET('☆振替R7'!$F$21,$P$4*$P12,0,1,1)</f>
        <v>352516</v>
      </c>
      <c r="K33" s="1571" t="n">
        <f aca="true">OFFSET('☆振替R7'!$E$29,$P$4*$P12,0,1,1)</f>
        <v>352516</v>
      </c>
      <c r="L33" s="1573" t="str">
        <f aca="false">IF(J33=K33,"○","×")</f>
        <v>○</v>
      </c>
      <c r="M33" s="1583"/>
      <c r="N33" s="1584"/>
      <c r="O33" s="1584"/>
      <c r="P33" s="1584"/>
      <c r="Q33" s="1584"/>
      <c r="R33" s="1584"/>
      <c r="S33" s="1584"/>
    </row>
    <row r="34" customFormat="false" ht="21.75" hidden="false" customHeight="true" outlineLevel="0" collapsed="false">
      <c r="A34" s="1570" t="s">
        <v>452</v>
      </c>
      <c r="B34" s="1571" t="n">
        <f aca="true">OFFSET('☆振替R7'!$D$6,$P$4*$P13,0,1,1)</f>
        <v>16320134</v>
      </c>
      <c r="C34" s="1571" t="n">
        <f aca="true">OFFSET('☆振替R7'!$D$21,$P$4*$P13,0,1,1)</f>
        <v>16326622</v>
      </c>
      <c r="D34" s="1571" t="n">
        <f aca="true">OFFSET('☆振替R7'!$E$21,$P$4*$P13,0,1,1)</f>
        <v>4256216</v>
      </c>
      <c r="E34" s="1571" t="n">
        <f aca="true">OFFSET('☆振替R7'!$D$8,$P$4*$P13,0,1,1)</f>
        <v>45329</v>
      </c>
      <c r="F34" s="1571" t="n">
        <f aca="false">SUM(B34:E34)</f>
        <v>36948301</v>
      </c>
      <c r="G34" s="1571" t="n">
        <f aca="true">OFFSET('☆振替R7'!$E$27,$P$4*$P13,0,1,1)</f>
        <v>36948301</v>
      </c>
      <c r="H34" s="1573" t="str">
        <f aca="false">IF(F34=G34,"○","×")</f>
        <v>○</v>
      </c>
      <c r="I34" s="1570" t="s">
        <v>452</v>
      </c>
      <c r="J34" s="1571" t="n">
        <f aca="true">OFFSET('☆振替R7'!$F$21,$P$4*$P13,0,1,1)</f>
        <v>351865</v>
      </c>
      <c r="K34" s="1571" t="n">
        <f aca="true">OFFSET('☆振替R7'!$E$29,$P$4*$P13,0,1,1)</f>
        <v>351865</v>
      </c>
      <c r="L34" s="1573" t="str">
        <f aca="false">IF(J34=K34,"○","×")</f>
        <v>○</v>
      </c>
      <c r="M34" s="1583"/>
      <c r="N34" s="1584"/>
      <c r="O34" s="1584"/>
      <c r="P34" s="1584"/>
      <c r="Q34" s="1584"/>
      <c r="R34" s="1584"/>
      <c r="S34" s="1584"/>
    </row>
    <row r="35" customFormat="false" ht="21.75" hidden="false" customHeight="true" outlineLevel="0" collapsed="false">
      <c r="A35" s="1570" t="s">
        <v>774</v>
      </c>
      <c r="B35" s="1571" t="n">
        <f aca="true">OFFSET('☆振替R7'!$D$6,$P$4*$P14,0,1,1)</f>
        <v>28107499</v>
      </c>
      <c r="C35" s="1571" t="n">
        <f aca="true">OFFSET('☆振替R7'!$D$21,$P$4*$P14,0,1,1)</f>
        <v>28134997</v>
      </c>
      <c r="D35" s="1571" t="n">
        <f aca="true">OFFSET('☆振替R7'!$E$21,$P$4*$P14,0,1,1)</f>
        <v>7878200</v>
      </c>
      <c r="E35" s="1574" t="n">
        <f aca="true">OFFSET('☆振替R7'!$D$8,$P$4*$P14,0,1,1)</f>
        <v>0</v>
      </c>
      <c r="F35" s="1571" t="n">
        <f aca="false">SUM(B35:E35)</f>
        <v>64120696</v>
      </c>
      <c r="G35" s="1571" t="n">
        <f aca="true">OFFSET('☆振替R7'!$E$27,$P$4*$P14,0,1,1)</f>
        <v>64120696</v>
      </c>
      <c r="H35" s="1573" t="str">
        <f aca="false">IF(F35=G35,"○","×")</f>
        <v>○</v>
      </c>
      <c r="I35" s="1570" t="s">
        <v>774</v>
      </c>
      <c r="J35" s="1571" t="n">
        <f aca="true">OFFSET('☆振替R7'!$F$21,$P$4*$P14,0,1,1)</f>
        <v>606356</v>
      </c>
      <c r="K35" s="1571" t="n">
        <f aca="true">OFFSET('☆振替R7'!$E$29,$P$4*$P14,0,1,1)</f>
        <v>606356</v>
      </c>
      <c r="L35" s="1573" t="str">
        <f aca="false">IF(J35=K35,"○","×")</f>
        <v>○</v>
      </c>
      <c r="M35" s="1583"/>
      <c r="N35" s="1584"/>
      <c r="O35" s="1584"/>
      <c r="P35" s="1584"/>
      <c r="Q35" s="1584"/>
      <c r="R35" s="1584"/>
      <c r="S35" s="1584"/>
    </row>
    <row r="36" customFormat="false" ht="21.75" hidden="false" customHeight="true" outlineLevel="0" collapsed="false">
      <c r="A36" s="1570" t="s">
        <v>453</v>
      </c>
      <c r="B36" s="1571" t="n">
        <f aca="true">OFFSET('☆振替R7'!$D$6,$P$4*$P15,0,1,1)</f>
        <v>16330441</v>
      </c>
      <c r="C36" s="1571" t="n">
        <f aca="true">OFFSET('☆振替R7'!$D$21,$P$4*$P15,0,1,1)</f>
        <v>16330318</v>
      </c>
      <c r="D36" s="1571" t="n">
        <f aca="true">OFFSET('☆振替R7'!$E$21,$P$4*$P15,0,1,1)</f>
        <v>4258275</v>
      </c>
      <c r="E36" s="1575" t="n">
        <f aca="true">OFFSET('☆振替R7'!$D$8,$P$4*$P15,0,1,1)</f>
        <v>56817</v>
      </c>
      <c r="F36" s="1571" t="n">
        <f aca="false">SUM(B36:E36)</f>
        <v>36975851</v>
      </c>
      <c r="G36" s="1571" t="n">
        <f aca="true">OFFSET('☆振替R7'!$E$27,$P$4*$P15,0,1,1)</f>
        <v>36975851</v>
      </c>
      <c r="H36" s="1573" t="str">
        <f aca="false">IF(F36=G36,"○","×")</f>
        <v>○</v>
      </c>
      <c r="I36" s="1570" t="s">
        <v>453</v>
      </c>
      <c r="J36" s="1571" t="n">
        <f aca="true">OFFSET('☆振替R7'!$F$21,$P$4*$P15,0,1,1)</f>
        <v>351945</v>
      </c>
      <c r="K36" s="1571" t="n">
        <f aca="true">OFFSET('☆振替R7'!$E$29,$P$4*$P15,0,1,1)</f>
        <v>351945</v>
      </c>
      <c r="L36" s="1573" t="str">
        <f aca="false">IF(J36=K36,"○","×")</f>
        <v>○</v>
      </c>
      <c r="M36" s="1587"/>
      <c r="N36" s="1587"/>
      <c r="O36" s="1587"/>
      <c r="P36" s="1587"/>
      <c r="Q36" s="1587"/>
      <c r="R36" s="1587"/>
      <c r="S36" s="1587"/>
    </row>
    <row r="37" customFormat="false" ht="21.75" hidden="false" customHeight="true" outlineLevel="0" collapsed="false">
      <c r="A37" s="1570" t="s">
        <v>454</v>
      </c>
      <c r="B37" s="1571" t="n">
        <f aca="true">OFFSET('☆振替R7'!$D$6,$P$4*$P16,0,1,1)</f>
        <v>16313642</v>
      </c>
      <c r="C37" s="1571" t="n">
        <f aca="true">OFFSET('☆振替R7'!$D$21,$P$4*$P16,0,1,1)</f>
        <v>16331262</v>
      </c>
      <c r="D37" s="1571" t="n">
        <f aca="true">OFFSET('☆振替R7'!$E$21,$P$4*$P16,0,1,1)</f>
        <v>4252498</v>
      </c>
      <c r="E37" s="1571" t="n">
        <f aca="true">OFFSET('☆振替R7'!$D$8,$P$4*$P16,0,1,1)</f>
        <v>66535</v>
      </c>
      <c r="F37" s="1571" t="n">
        <f aca="false">SUM(B37:E37)</f>
        <v>36963937</v>
      </c>
      <c r="G37" s="1571" t="n">
        <f aca="true">OFFSET('☆振替R7'!$E$27,$P$4*$P16,0,1,1)</f>
        <v>36963937</v>
      </c>
      <c r="H37" s="1573" t="str">
        <f aca="false">IF(F37=G37,"○","×")</f>
        <v>○</v>
      </c>
      <c r="I37" s="1570" t="s">
        <v>454</v>
      </c>
      <c r="J37" s="1571" t="n">
        <f aca="true">OFFSET('☆振替R7'!$F$21,$P$4*$P16,0,1,1)</f>
        <v>351965</v>
      </c>
      <c r="K37" s="1571" t="n">
        <f aca="true">OFFSET('☆振替R7'!$E$29,$P$4*$P16,0,1,1)</f>
        <v>351965</v>
      </c>
      <c r="L37" s="1573" t="str">
        <f aca="false">IF(J37=K37,"○","×")</f>
        <v>○</v>
      </c>
      <c r="M37" s="1564"/>
      <c r="N37" s="1587"/>
      <c r="O37" s="1587"/>
      <c r="P37" s="1564"/>
      <c r="Q37" s="1587"/>
      <c r="R37" s="1587"/>
      <c r="S37" s="1587"/>
    </row>
    <row r="38" customFormat="false" ht="21.75" hidden="false" customHeight="true" outlineLevel="0" collapsed="false">
      <c r="A38" s="1570" t="s">
        <v>455</v>
      </c>
      <c r="B38" s="1571" t="n">
        <f aca="true">OFFSET('☆振替R7'!$D$6,$P$4*$P17,0,1,1)</f>
        <v>16312566</v>
      </c>
      <c r="C38" s="1571" t="n">
        <f aca="true">OFFSET('☆振替R7'!$D$21,$P$4*$P17,0,1,1)</f>
        <v>16331910</v>
      </c>
      <c r="D38" s="1571" t="n">
        <f aca="true">OFFSET('☆振替R7'!$E$21,$P$4*$P17,0,1,1)</f>
        <v>4256616</v>
      </c>
      <c r="E38" s="1571" t="n">
        <f aca="true">OFFSET('☆振替R7'!$D$8,$P$4*$P17,0,1,1)</f>
        <v>39078</v>
      </c>
      <c r="F38" s="1571" t="n">
        <f aca="false">SUM(B38:E38)</f>
        <v>36940170</v>
      </c>
      <c r="G38" s="1571" t="n">
        <f aca="true">OFFSET('☆振替R7'!$E$27,$P$4*$P17,0,1,1)</f>
        <v>36940170</v>
      </c>
      <c r="H38" s="1573" t="str">
        <f aca="false">IF(F38=G38,"○","×")</f>
        <v>○</v>
      </c>
      <c r="I38" s="1570" t="s">
        <v>455</v>
      </c>
      <c r="J38" s="1571" t="n">
        <f aca="true">OFFSET('☆振替R7'!$F$21,$P$4*$P17,0,1,1)</f>
        <v>351979</v>
      </c>
      <c r="K38" s="1571" t="n">
        <f aca="true">OFFSET('☆振替R7'!$E$29,$P$4*$P17,0,1,1)</f>
        <v>351979</v>
      </c>
      <c r="L38" s="1573" t="str">
        <f aca="false">IF(J38=K38,"○","×")</f>
        <v>○</v>
      </c>
      <c r="M38" s="1564"/>
      <c r="N38" s="1587"/>
      <c r="O38" s="1587"/>
      <c r="P38" s="1564"/>
      <c r="Q38" s="1587"/>
      <c r="R38" s="1587"/>
      <c r="S38" s="1587"/>
    </row>
    <row r="39" customFormat="false" ht="21.75" hidden="false" customHeight="true" outlineLevel="0" collapsed="false">
      <c r="A39" s="1570" t="s">
        <v>775</v>
      </c>
      <c r="B39" s="1571" t="n">
        <f aca="true">OFFSET('☆振替R7'!$D$6,$P$4*$P18,0,1,1)</f>
        <v>6255061</v>
      </c>
      <c r="C39" s="1571" t="n">
        <f aca="true">OFFSET('☆振替R7'!$D$21,$P$4*$P18,0,1,1)</f>
        <v>6435408</v>
      </c>
      <c r="D39" s="1571" t="n">
        <f aca="true">OFFSET('☆振替R7'!$E$21,$P$4*$P18,0,1,1)</f>
        <v>1837410</v>
      </c>
      <c r="E39" s="1574" t="n">
        <f aca="true">OFFSET('☆振替R7'!$D$8,$P$4*$P18,0,1,1)</f>
        <v>0</v>
      </c>
      <c r="F39" s="1571" t="n">
        <f aca="false">SUM(B39:E39)</f>
        <v>14527879</v>
      </c>
      <c r="G39" s="1571" t="n">
        <f aca="true">OFFSET('☆振替R7'!$E$27,$P$4*$P18,0,1,1)</f>
        <v>14527879</v>
      </c>
      <c r="H39" s="1573" t="str">
        <f aca="false">IF(F39=G39,"○","×")</f>
        <v>○</v>
      </c>
      <c r="I39" s="1570" t="s">
        <v>775</v>
      </c>
      <c r="J39" s="1571" t="n">
        <f aca="true">OFFSET('☆振替R7'!$F$21,$P$4*$P18,0,1,1)</f>
        <v>138693</v>
      </c>
      <c r="K39" s="1571" t="n">
        <f aca="true">OFFSET('☆振替R7'!$E$29,$P$4*$P18,0,1,1)</f>
        <v>138693</v>
      </c>
      <c r="L39" s="1573" t="str">
        <f aca="false">IF(J39=K39,"○","×")</f>
        <v>○</v>
      </c>
      <c r="M39" s="1564"/>
      <c r="N39" s="1124"/>
      <c r="O39" s="1124"/>
      <c r="P39" s="1564"/>
      <c r="Q39" s="1124"/>
    </row>
    <row r="40" customFormat="false" ht="21.75" hidden="false" customHeight="true" outlineLevel="0" collapsed="false">
      <c r="A40" s="1570" t="s">
        <v>456</v>
      </c>
      <c r="B40" s="1571" t="n">
        <f aca="true">OFFSET('☆振替R7'!$D$6,$P$4*$P19,0,1,1)</f>
        <v>15911406</v>
      </c>
      <c r="C40" s="1571" t="n">
        <f aca="true">OFFSET('☆振替R7'!$D$21,$P$4*$P19,0,1,1)</f>
        <v>15893810</v>
      </c>
      <c r="D40" s="1571" t="n">
        <f aca="true">OFFSET('☆振替R7'!$E$21,$P$4*$P19,0,1,1)</f>
        <v>4120690</v>
      </c>
      <c r="E40" s="1575" t="n">
        <f aca="true">OFFSET('☆振替R7'!$D$8,$P$4*$P19,0,1,1)</f>
        <v>5020</v>
      </c>
      <c r="F40" s="1571" t="n">
        <f aca="false">SUM(B40:E40)</f>
        <v>35930926</v>
      </c>
      <c r="G40" s="1571" t="n">
        <f aca="true">OFFSET('☆振替R7'!$E$27,$P$4*$P19,0,1,1)</f>
        <v>35930926</v>
      </c>
      <c r="H40" s="1573" t="str">
        <f aca="false">IF(F40=G40,"○","×")</f>
        <v>○</v>
      </c>
      <c r="I40" s="1570" t="s">
        <v>456</v>
      </c>
      <c r="J40" s="1571" t="n">
        <f aca="true">OFFSET('☆振替R7'!$F$21,$P$4*$P19,0,1,1)</f>
        <v>342537</v>
      </c>
      <c r="K40" s="1571" t="n">
        <f aca="true">OFFSET('☆振替R7'!$E$29,$P$4*$P19,0,1,1)</f>
        <v>342537</v>
      </c>
      <c r="L40" s="1573" t="str">
        <f aca="false">IF(J40=K40,"○","×")</f>
        <v>○</v>
      </c>
      <c r="M40" s="1564"/>
      <c r="N40" s="1124"/>
      <c r="O40" s="1124"/>
      <c r="P40" s="1564"/>
      <c r="Q40" s="1124"/>
    </row>
    <row r="41" customFormat="false" ht="21.75" hidden="false" customHeight="true" outlineLevel="0" collapsed="false">
      <c r="A41" s="1576" t="s">
        <v>526</v>
      </c>
      <c r="B41" s="1571" t="n">
        <f aca="true">OFFSET('☆振替R7'!$D$6,$P$4*$P20,0,1,1)</f>
        <v>796873</v>
      </c>
      <c r="C41" s="1571" t="n">
        <f aca="true">OFFSET('☆振替R7'!$D$21,$P$4*$P20,0,1,1)</f>
        <v>785600</v>
      </c>
      <c r="D41" s="1571" t="n">
        <f aca="true">OFFSET('☆振替R7'!$E$21,$P$4*$P20,0,1,1)</f>
        <v>224681</v>
      </c>
      <c r="E41" s="1574" t="n">
        <f aca="true">OFFSET('☆振替R7'!$D$8,$P$4*$P20,0,1,1)</f>
        <v>0</v>
      </c>
      <c r="F41" s="1571" t="n">
        <f aca="false">SUM(B41:E41)</f>
        <v>1807154</v>
      </c>
      <c r="G41" s="1571" t="n">
        <f aca="true">OFFSET('☆振替R7'!$E$27,$P$4*$P20,0,1,1)</f>
        <v>1807154</v>
      </c>
      <c r="H41" s="1573" t="str">
        <f aca="false">IF(F41=G41,"○","×")</f>
        <v>○</v>
      </c>
      <c r="I41" s="1576" t="s">
        <v>526</v>
      </c>
      <c r="J41" s="1571" t="n">
        <f aca="true">OFFSET('☆振替R7'!$F$21,$P$4*$P20,0,1,1)</f>
        <v>16929</v>
      </c>
      <c r="K41" s="1571" t="n">
        <f aca="true">OFFSET('☆振替R7'!$E$29,$P$4*$P20,0,1,1)</f>
        <v>16929</v>
      </c>
      <c r="L41" s="1573" t="str">
        <f aca="false">IF(J41=K41,"○","×")</f>
        <v>○</v>
      </c>
      <c r="M41" s="1588"/>
      <c r="N41" s="1124"/>
      <c r="O41" s="1124"/>
      <c r="P41" s="1588"/>
      <c r="Q41" s="1124"/>
    </row>
    <row r="42" customFormat="false" ht="21.75" hidden="false" customHeight="true" outlineLevel="0" collapsed="false">
      <c r="A42" s="1576" t="s">
        <v>527</v>
      </c>
      <c r="B42" s="1571" t="n">
        <f aca="true">OFFSET('☆振替R7'!$D$6,$P$4*$P21,0,1,1)</f>
        <v>796874</v>
      </c>
      <c r="C42" s="1571" t="n">
        <f aca="true">OFFSET('☆振替R7'!$D$21,$P$4*$P21,0,1,1)</f>
        <v>785601</v>
      </c>
      <c r="D42" s="1571" t="n">
        <f aca="true">OFFSET('☆振替R7'!$E$21,$P$4*$P21,0,1,1)</f>
        <v>224669</v>
      </c>
      <c r="E42" s="1574" t="n">
        <f aca="true">OFFSET('☆振替R7'!$D$8,$P$4*$P21,0,1,1)</f>
        <v>0</v>
      </c>
      <c r="F42" s="1571" t="n">
        <f aca="false">SUM(B42:E42)</f>
        <v>1807144</v>
      </c>
      <c r="G42" s="1571" t="n">
        <f aca="true">OFFSET('☆振替R7'!$E$27,$P$4*$P21,0,1,1)</f>
        <v>1807144</v>
      </c>
      <c r="H42" s="1573" t="str">
        <f aca="false">IF(F42=G42,"○","×")</f>
        <v>○</v>
      </c>
      <c r="I42" s="1576" t="s">
        <v>527</v>
      </c>
      <c r="J42" s="1571" t="n">
        <f aca="true">OFFSET('☆振替R7'!$F$21,$P$4*$P21,0,1,1)</f>
        <v>16929</v>
      </c>
      <c r="K42" s="1571" t="n">
        <f aca="true">OFFSET('☆振替R7'!$E$29,$P$4*$P21,0,1,1)</f>
        <v>16929</v>
      </c>
      <c r="L42" s="1573" t="str">
        <f aca="false">IF(J42=K42,"○","×")</f>
        <v>○</v>
      </c>
      <c r="M42" s="1589"/>
      <c r="N42" s="1124"/>
      <c r="O42" s="1124"/>
      <c r="P42" s="1589"/>
      <c r="Q42" s="1590"/>
    </row>
    <row r="43" customFormat="false" ht="21.75" hidden="false" customHeight="true" outlineLevel="0" collapsed="false">
      <c r="A43" s="1567" t="s">
        <v>457</v>
      </c>
      <c r="B43" s="1571" t="n">
        <f aca="false">SUM(B26:B42)</f>
        <v>255394489</v>
      </c>
      <c r="C43" s="1571" t="n">
        <f aca="false">SUM(C26:C42)</f>
        <v>255651762</v>
      </c>
      <c r="D43" s="1571" t="n">
        <f aca="false">SUM(D26:D42)</f>
        <v>67788990</v>
      </c>
      <c r="E43" s="1571" t="n">
        <f aca="false">SUM(E26:E42)</f>
        <v>5286602</v>
      </c>
      <c r="F43" s="1571" t="n">
        <f aca="false">SUM(F26:F42)</f>
        <v>584121843</v>
      </c>
      <c r="G43" s="1571" t="n">
        <f aca="false">SUM(G26:G42)</f>
        <v>584121843</v>
      </c>
      <c r="H43" s="1573" t="str">
        <f aca="false">IF(F43=G43,"○","×")</f>
        <v>○</v>
      </c>
      <c r="I43" s="1567" t="s">
        <v>457</v>
      </c>
      <c r="J43" s="1571" t="n">
        <f aca="false">SUM(J26:J42)</f>
        <v>5509706</v>
      </c>
      <c r="K43" s="1571" t="n">
        <f aca="false">SUM(K26:K42)</f>
        <v>5509706</v>
      </c>
      <c r="L43" s="1573" t="str">
        <f aca="false">IF(J43=K43,"○","×")</f>
        <v>○</v>
      </c>
      <c r="M43" s="1589"/>
      <c r="O43" s="1124"/>
      <c r="P43" s="1589"/>
      <c r="Q43" s="1590"/>
      <c r="R43" s="1124"/>
    </row>
    <row r="44" customFormat="false" ht="21.75" hidden="false" customHeight="true" outlineLevel="0" collapsed="false">
      <c r="A44" s="1587"/>
      <c r="B44" s="1124"/>
      <c r="C44" s="1124"/>
      <c r="D44" s="1124"/>
      <c r="E44" s="1591"/>
      <c r="F44" s="1592"/>
      <c r="G44" s="1577"/>
      <c r="H44" s="1578"/>
      <c r="I44" s="1578"/>
      <c r="J44" s="1578"/>
      <c r="K44" s="1578"/>
      <c r="L44" s="1589"/>
      <c r="M44" s="1590"/>
      <c r="O44" s="1124"/>
      <c r="P44" s="1593"/>
      <c r="Q44" s="1594"/>
      <c r="R44" s="1124"/>
    </row>
    <row r="45" customFormat="false" ht="21.75" hidden="false" customHeight="true" outlineLevel="0" collapsed="false">
      <c r="A45" s="1564" t="s">
        <v>785</v>
      </c>
      <c r="B45" s="1581"/>
      <c r="C45" s="1582"/>
      <c r="D45" s="1582"/>
      <c r="E45" s="1582"/>
      <c r="F45" s="1566" t="s">
        <v>421</v>
      </c>
      <c r="G45" s="1564"/>
      <c r="H45" s="1564" t="s">
        <v>786</v>
      </c>
      <c r="I45" s="1581"/>
      <c r="J45" s="1582"/>
      <c r="K45" s="1582"/>
      <c r="L45" s="1582"/>
      <c r="M45" s="1566" t="s">
        <v>421</v>
      </c>
      <c r="N45" s="1564"/>
      <c r="O45" s="1564"/>
      <c r="P45" s="1564"/>
      <c r="Q45" s="1564"/>
      <c r="R45" s="1564"/>
      <c r="S45" s="1564"/>
    </row>
    <row r="46" customFormat="false" ht="30" hidden="false" customHeight="true" outlineLevel="0" collapsed="false">
      <c r="A46" s="1567" t="s">
        <v>284</v>
      </c>
      <c r="B46" s="1568" t="s">
        <v>764</v>
      </c>
      <c r="C46" s="1567" t="s">
        <v>377</v>
      </c>
      <c r="D46" s="1568" t="s">
        <v>787</v>
      </c>
      <c r="E46" s="1567" t="s">
        <v>788</v>
      </c>
      <c r="F46" s="1568" t="s">
        <v>789</v>
      </c>
      <c r="G46" s="1569" t="s">
        <v>790</v>
      </c>
      <c r="H46" s="1567" t="s">
        <v>284</v>
      </c>
      <c r="I46" s="1568" t="s">
        <v>764</v>
      </c>
      <c r="J46" s="1567" t="s">
        <v>377</v>
      </c>
      <c r="K46" s="1568" t="s">
        <v>787</v>
      </c>
      <c r="L46" s="1567" t="s">
        <v>791</v>
      </c>
      <c r="M46" s="1568" t="s">
        <v>792</v>
      </c>
      <c r="N46" s="1569" t="s">
        <v>793</v>
      </c>
      <c r="O46" s="1584"/>
      <c r="P46" s="1583"/>
      <c r="Q46" s="1584"/>
      <c r="R46" s="1584"/>
      <c r="S46" s="1584"/>
    </row>
    <row r="47" customFormat="false" ht="21.75" hidden="false" customHeight="true" outlineLevel="0" collapsed="false">
      <c r="A47" s="1570" t="s">
        <v>445</v>
      </c>
      <c r="B47" s="1571" t="n">
        <f aca="true">OFFSET('☆振替R7'!$G$6,$P$4*$P5,0,1,1)</f>
        <v>3686635</v>
      </c>
      <c r="C47" s="1571" t="n">
        <f aca="true">OFFSET('☆振替R7'!$G$21,$P$4*$P5,0,1,1)</f>
        <v>3682554</v>
      </c>
      <c r="D47" s="1571" t="n">
        <f aca="true">OFFSET('☆振替R7'!$G$8,$P$4*$P5,0,1,1)</f>
        <v>1038206</v>
      </c>
      <c r="E47" s="1571" t="n">
        <f aca="false">SUM(B47:D47)</f>
        <v>8407395</v>
      </c>
      <c r="F47" s="1571" t="n">
        <f aca="true">OFFSET('☆振替R7'!$H$24,$P$4*$P5,0,1,1)</f>
        <v>8407395</v>
      </c>
      <c r="G47" s="1573" t="str">
        <f aca="false">IF(E47=F47,"○","×")</f>
        <v>○</v>
      </c>
      <c r="H47" s="1570" t="s">
        <v>445</v>
      </c>
      <c r="I47" s="1571" t="n">
        <f aca="true">OFFSET('☆振替R7'!$H$6,$P$4*$P5,0,1,1)</f>
        <v>670297</v>
      </c>
      <c r="J47" s="1571" t="n">
        <f aca="true">OFFSET('☆振替R7'!$H$21,$P$4*$P5,0,1,1)</f>
        <v>669556</v>
      </c>
      <c r="K47" s="1571" t="n">
        <f aca="true">OFFSET('☆振替R7'!$H$8,$P$4*$P5,0,1,1)</f>
        <v>188764</v>
      </c>
      <c r="L47" s="1571" t="n">
        <f aca="false">SUM(I47:K47)</f>
        <v>1528617</v>
      </c>
      <c r="M47" s="1571" t="n">
        <f aca="true">OFFSET('☆振替R7'!$H$26,$P$4*$P5,0,1,1)</f>
        <v>1528617</v>
      </c>
      <c r="N47" s="1573" t="str">
        <f aca="false">IF(L47=M47,"○","×")</f>
        <v>○</v>
      </c>
      <c r="O47" s="1584"/>
      <c r="P47" s="1584"/>
      <c r="Q47" s="1584"/>
      <c r="R47" s="1584"/>
      <c r="S47" s="1584"/>
    </row>
    <row r="48" customFormat="false" ht="21.75" hidden="false" customHeight="true" outlineLevel="0" collapsed="false">
      <c r="A48" s="1570" t="s">
        <v>446</v>
      </c>
      <c r="B48" s="1571" t="n">
        <f aca="true">OFFSET('☆振替R7'!$G$6,$P$4*$P6,0,1,1)</f>
        <v>3714114</v>
      </c>
      <c r="C48" s="1571" t="n">
        <f aca="true">OFFSET('☆振替R7'!$G$21,$P$4*$P6,0,1,1)</f>
        <v>3716625</v>
      </c>
      <c r="D48" s="1571" t="n">
        <f aca="true">OFFSET('☆振替R7'!$G$8,$P$4*$P6,0,1,1)</f>
        <v>23255</v>
      </c>
      <c r="E48" s="1571" t="n">
        <f aca="false">SUM(B48:D48)</f>
        <v>7453994</v>
      </c>
      <c r="F48" s="1571" t="n">
        <f aca="true">OFFSET('☆振替R7'!$H$24,$P$4*$P6,0,1,1)</f>
        <v>7453994</v>
      </c>
      <c r="G48" s="1573" t="str">
        <f aca="false">IF(E48=F48,"○","×")</f>
        <v>○</v>
      </c>
      <c r="H48" s="1570" t="s">
        <v>446</v>
      </c>
      <c r="I48" s="1571" t="n">
        <f aca="true">OFFSET('☆振替R7'!$H$6,$P$4*$P6,0,1,1)</f>
        <v>675293</v>
      </c>
      <c r="J48" s="1571" t="n">
        <f aca="true">OFFSET('☆振替R7'!$H$21,$P$4*$P6,0,1,1)</f>
        <v>675750</v>
      </c>
      <c r="K48" s="1571" t="n">
        <f aca="true">OFFSET('☆振替R7'!$H$8,$P$4*$P6,0,1,1)</f>
        <v>4228</v>
      </c>
      <c r="L48" s="1571" t="n">
        <f aca="false">SUM(I48:K48)</f>
        <v>1355271</v>
      </c>
      <c r="M48" s="1571" t="n">
        <f aca="true">OFFSET('☆振替R7'!$H$26,$P$4*$P6,0,1,1)</f>
        <v>1355271</v>
      </c>
      <c r="N48" s="1573" t="str">
        <f aca="false">IF(L48=M48,"○","×")</f>
        <v>○</v>
      </c>
      <c r="O48" s="1584"/>
      <c r="P48" s="1584"/>
      <c r="Q48" s="1584"/>
      <c r="R48" s="1584"/>
      <c r="S48" s="1584"/>
    </row>
    <row r="49" customFormat="false" ht="21.75" hidden="false" customHeight="true" outlineLevel="0" collapsed="false">
      <c r="A49" s="1570" t="s">
        <v>447</v>
      </c>
      <c r="B49" s="1571" t="n">
        <f aca="true">OFFSET('☆振替R7'!$G$6,$P$4*$P7,0,1,1)</f>
        <v>3708589</v>
      </c>
      <c r="C49" s="1571" t="n">
        <f aca="true">OFFSET('☆振替R7'!$G$21,$P$4*$P7,0,1,1)</f>
        <v>3709320</v>
      </c>
      <c r="D49" s="1571" t="n">
        <f aca="true">OFFSET('☆振替R7'!$G$8,$P$4*$P7,0,1,1)</f>
        <v>30544</v>
      </c>
      <c r="E49" s="1571" t="n">
        <f aca="false">SUM(B49:D49)</f>
        <v>7448453</v>
      </c>
      <c r="F49" s="1571" t="n">
        <f aca="true">OFFSET('☆振替R7'!$H$24,$P$4*$P7,0,1,1)</f>
        <v>7448453</v>
      </c>
      <c r="G49" s="1573" t="str">
        <f aca="false">IF(E49=F49,"○","×")</f>
        <v>○</v>
      </c>
      <c r="H49" s="1570" t="s">
        <v>447</v>
      </c>
      <c r="I49" s="1571" t="n">
        <f aca="true">OFFSET('☆振替R7'!$H$6,$P$4*$P7,0,1,1)</f>
        <v>674289</v>
      </c>
      <c r="J49" s="1571" t="n">
        <f aca="true">OFFSET('☆振替R7'!$H$21,$P$4*$P7,0,1,1)</f>
        <v>674422</v>
      </c>
      <c r="K49" s="1571" t="n">
        <f aca="true">OFFSET('☆振替R7'!$H$8,$P$4*$P7,0,1,1)</f>
        <v>5553</v>
      </c>
      <c r="L49" s="1571" t="n">
        <f aca="false">SUM(I49:K49)</f>
        <v>1354264</v>
      </c>
      <c r="M49" s="1571" t="n">
        <f aca="true">OFFSET('☆振替R7'!$H$26,$P$4*$P7,0,1,1)</f>
        <v>1354264</v>
      </c>
      <c r="N49" s="1573" t="str">
        <f aca="false">IF(L49=M49,"○","×")</f>
        <v>○</v>
      </c>
      <c r="O49" s="1584"/>
      <c r="P49" s="1584"/>
      <c r="Q49" s="1584"/>
      <c r="R49" s="1584"/>
      <c r="S49" s="1584"/>
    </row>
    <row r="50" customFormat="false" ht="21.75" hidden="false" customHeight="true" outlineLevel="0" collapsed="false">
      <c r="A50" s="1570" t="s">
        <v>773</v>
      </c>
      <c r="B50" s="1571" t="n">
        <f aca="true">OFFSET('☆振替R7'!$G$6,$P$4*$P8,0,1,1)</f>
        <v>6517356</v>
      </c>
      <c r="C50" s="1571" t="n">
        <f aca="true">OFFSET('☆振替R7'!$G$21,$P$4*$P8,0,1,1)</f>
        <v>6518413</v>
      </c>
      <c r="D50" s="1574" t="n">
        <f aca="true">OFFSET('☆振替R7'!$G$8,$P$4*$P8,0,1,1)</f>
        <v>0</v>
      </c>
      <c r="E50" s="1571" t="n">
        <f aca="false">SUM(B50:D50)</f>
        <v>13035769</v>
      </c>
      <c r="F50" s="1571" t="n">
        <f aca="true">OFFSET('☆振替R7'!$H$24,$P$4*$P8,0,1,1)</f>
        <v>13035769</v>
      </c>
      <c r="G50" s="1573" t="str">
        <f aca="false">IF(E50=F50,"○","×")</f>
        <v>○</v>
      </c>
      <c r="H50" s="1570" t="s">
        <v>773</v>
      </c>
      <c r="I50" s="1571" t="n">
        <f aca="true">OFFSET('☆振替R7'!$H$6,$P$4*$P8,0,1,1)</f>
        <v>1184973</v>
      </c>
      <c r="J50" s="1571" t="n">
        <f aca="true">OFFSET('☆振替R7'!$H$21,$P$4*$P8,0,1,1)</f>
        <v>1185167</v>
      </c>
      <c r="K50" s="1574" t="n">
        <f aca="true">OFFSET('☆振替R7'!$H$8,$P$4*$P8,0,1,1)</f>
        <v>0</v>
      </c>
      <c r="L50" s="1571" t="n">
        <f aca="false">SUM(I50:K50)</f>
        <v>2370140</v>
      </c>
      <c r="M50" s="1571" t="n">
        <f aca="true">OFFSET('☆振替R7'!$H$26,$P$4*$P8,0,1,1)</f>
        <v>2370140</v>
      </c>
      <c r="N50" s="1573" t="str">
        <f aca="false">IF(L50=M50,"○","×")</f>
        <v>○</v>
      </c>
      <c r="O50" s="1584"/>
      <c r="P50" s="1583"/>
      <c r="Q50" s="1584"/>
      <c r="R50" s="1584"/>
      <c r="S50" s="1584"/>
    </row>
    <row r="51" customFormat="false" ht="21.75" hidden="false" customHeight="true" outlineLevel="0" collapsed="false">
      <c r="A51" s="1570" t="s">
        <v>448</v>
      </c>
      <c r="B51" s="1571" t="n">
        <f aca="true">OFFSET('☆振替R7'!$G$6,$P$4*$P9,0,1,1)</f>
        <v>3770006</v>
      </c>
      <c r="C51" s="1571" t="n">
        <f aca="true">OFFSET('☆振替R7'!$G$21,$P$4*$P9,0,1,1)</f>
        <v>3772750</v>
      </c>
      <c r="D51" s="1571" t="n">
        <f aca="true">OFFSET('☆振替R7'!$G$8,$P$4*$P9,0,1,1)</f>
        <v>13775</v>
      </c>
      <c r="E51" s="1571" t="n">
        <f aca="false">SUM(B51:D51)</f>
        <v>7556531</v>
      </c>
      <c r="F51" s="1571" t="n">
        <f aca="true">OFFSET('☆振替R7'!$H$24,$P$4*$P9,0,1,1)</f>
        <v>7556531</v>
      </c>
      <c r="G51" s="1573" t="str">
        <f aca="false">IF(E51=F51,"○","×")</f>
        <v>○</v>
      </c>
      <c r="H51" s="1570" t="s">
        <v>448</v>
      </c>
      <c r="I51" s="1571" t="n">
        <f aca="true">OFFSET('☆振替R7'!$H$6,$P$4*$P9,0,1,1)</f>
        <v>685455</v>
      </c>
      <c r="J51" s="1571" t="n">
        <f aca="true">OFFSET('☆振替R7'!$H$21,$P$4*$P9,0,1,1)</f>
        <v>685955</v>
      </c>
      <c r="K51" s="1571" t="n">
        <f aca="true">OFFSET('☆振替R7'!$H$8,$P$4*$P9,0,1,1)</f>
        <v>2504</v>
      </c>
      <c r="L51" s="1571" t="n">
        <f aca="false">SUM(I51:K51)</f>
        <v>1373914</v>
      </c>
      <c r="M51" s="1571" t="n">
        <f aca="true">OFFSET('☆振替R7'!$H$26,$P$4*$P9,0,1,1)</f>
        <v>1373914</v>
      </c>
      <c r="N51" s="1573" t="str">
        <f aca="false">IF(L51=M51,"○","×")</f>
        <v>○</v>
      </c>
      <c r="O51" s="1595"/>
      <c r="P51" s="1586"/>
      <c r="Q51" s="1586"/>
      <c r="R51" s="1586"/>
      <c r="S51" s="1586"/>
    </row>
    <row r="52" customFormat="false" ht="21.75" hidden="false" customHeight="true" outlineLevel="0" collapsed="false">
      <c r="A52" s="1570" t="s">
        <v>449</v>
      </c>
      <c r="B52" s="1571" t="n">
        <f aca="true">OFFSET('☆振替R7'!$G$6,$P$4*$P10,0,1,1)</f>
        <v>3734262</v>
      </c>
      <c r="C52" s="1571" t="n">
        <f aca="true">OFFSET('☆振替R7'!$G$21,$P$4*$P10,0,1,1)</f>
        <v>3736538</v>
      </c>
      <c r="D52" s="1571" t="n">
        <f aca="true">OFFSET('☆振替R7'!$G$8,$P$4*$P10,0,1,1)</f>
        <v>20350</v>
      </c>
      <c r="E52" s="1571" t="n">
        <f aca="false">SUM(B52:D52)</f>
        <v>7491150</v>
      </c>
      <c r="F52" s="1571" t="n">
        <f aca="true">OFFSET('☆振替R7'!$H$24,$P$4*$P10,0,1,1)</f>
        <v>7491150</v>
      </c>
      <c r="G52" s="1573" t="str">
        <f aca="false">IF(E52=F52,"○","×")</f>
        <v>○</v>
      </c>
      <c r="H52" s="1570" t="s">
        <v>449</v>
      </c>
      <c r="I52" s="1571" t="n">
        <f aca="true">OFFSET('☆振替R7'!$H$6,$P$4*$P10,0,1,1)</f>
        <v>678956</v>
      </c>
      <c r="J52" s="1571" t="n">
        <f aca="true">OFFSET('☆振替R7'!$H$21,$P$4*$P10,0,1,1)</f>
        <v>679371</v>
      </c>
      <c r="K52" s="1571" t="n">
        <f aca="true">OFFSET('☆振替R7'!$H$8,$P$4*$P10,0,1,1)</f>
        <v>3700</v>
      </c>
      <c r="L52" s="1571" t="n">
        <f aca="false">SUM(I52:K52)</f>
        <v>1362027</v>
      </c>
      <c r="M52" s="1571" t="n">
        <f aca="true">OFFSET('☆振替R7'!$H$26,$P$4*$P10,0,1,1)</f>
        <v>1362027</v>
      </c>
      <c r="N52" s="1573" t="str">
        <f aca="false">IF(L52=M52,"○","×")</f>
        <v>○</v>
      </c>
      <c r="O52" s="1584"/>
      <c r="P52" s="1583"/>
      <c r="Q52" s="1584"/>
      <c r="R52" s="1584"/>
      <c r="S52" s="1584"/>
    </row>
    <row r="53" customFormat="false" ht="21.75" hidden="false" customHeight="true" outlineLevel="0" collapsed="false">
      <c r="A53" s="1570" t="s">
        <v>450</v>
      </c>
      <c r="B53" s="1571" t="n">
        <f aca="true">OFFSET('☆振替R7'!$G$6,$P$4*$P11,0,1,1)</f>
        <v>3770405</v>
      </c>
      <c r="C53" s="1571" t="n">
        <f aca="true">OFFSET('☆振替R7'!$G$21,$P$4*$P11,0,1,1)</f>
        <v>3771836</v>
      </c>
      <c r="D53" s="1571" t="n">
        <f aca="true">OFFSET('☆振替R7'!$G$8,$P$4*$P11,0,1,1)</f>
        <v>52341</v>
      </c>
      <c r="E53" s="1571" t="n">
        <f aca="false">SUM(B53:D53)</f>
        <v>7594582</v>
      </c>
      <c r="F53" s="1571" t="n">
        <f aca="true">OFFSET('☆振替R7'!$H$24,$P$4*$P11,0,1,1)</f>
        <v>7594582</v>
      </c>
      <c r="G53" s="1573" t="str">
        <f aca="false">IF(E53=F53,"○","×")</f>
        <v>○</v>
      </c>
      <c r="H53" s="1570" t="s">
        <v>450</v>
      </c>
      <c r="I53" s="1571" t="n">
        <f aca="true">OFFSET('☆振替R7'!$H$6,$P$4*$P11,0,1,1)</f>
        <v>685528</v>
      </c>
      <c r="J53" s="1571" t="n">
        <f aca="true">OFFSET('☆振替R7'!$H$21,$P$4*$P11,0,1,1)</f>
        <v>685789</v>
      </c>
      <c r="K53" s="1571" t="n">
        <f aca="true">OFFSET('☆振替R7'!$H$8,$P$4*$P11,0,1,1)</f>
        <v>9516</v>
      </c>
      <c r="L53" s="1571" t="n">
        <f aca="false">SUM(I53:K53)</f>
        <v>1380833</v>
      </c>
      <c r="M53" s="1571" t="n">
        <f aca="true">OFFSET('☆振替R7'!$H$26,$P$4*$P11,0,1,1)</f>
        <v>1380833</v>
      </c>
      <c r="N53" s="1573" t="str">
        <f aca="false">IF(L53=M53,"○","×")</f>
        <v>○</v>
      </c>
      <c r="O53" s="1584"/>
      <c r="P53" s="1583"/>
      <c r="Q53" s="1584"/>
      <c r="R53" s="1584"/>
      <c r="S53" s="1584"/>
    </row>
    <row r="54" customFormat="false" ht="21.75" hidden="false" customHeight="true" outlineLevel="0" collapsed="false">
      <c r="A54" s="1570" t="s">
        <v>451</v>
      </c>
      <c r="B54" s="1571" t="n">
        <f aca="true">OFFSET('☆振替R7'!$G$6,$P$4*$P12,0,1,1)</f>
        <v>3873414</v>
      </c>
      <c r="C54" s="1571" t="n">
        <f aca="true">OFFSET('☆振替R7'!$G$21,$P$4*$P12,0,1,1)</f>
        <v>3877700</v>
      </c>
      <c r="D54" s="1571" t="n">
        <f aca="true">OFFSET('☆振替R7'!$G$8,$P$4*$P12,0,1,1)</f>
        <v>24373</v>
      </c>
      <c r="E54" s="1571" t="n">
        <f aca="false">SUM(B54:D54)</f>
        <v>7775487</v>
      </c>
      <c r="F54" s="1571" t="n">
        <f aca="true">OFFSET('☆振替R7'!$H$24,$P$4*$P12,0,1,1)</f>
        <v>7775487</v>
      </c>
      <c r="G54" s="1573" t="str">
        <f aca="false">IF(E54=F54,"○","×")</f>
        <v>○</v>
      </c>
      <c r="H54" s="1570" t="s">
        <v>451</v>
      </c>
      <c r="I54" s="1571" t="n">
        <f aca="true">OFFSET('☆振替R7'!$H$6,$P$4*$P12,0,1,1)</f>
        <v>704257</v>
      </c>
      <c r="J54" s="1571" t="n">
        <f aca="true">OFFSET('☆振替R7'!$H$21,$P$4*$P12,0,1,1)</f>
        <v>705037</v>
      </c>
      <c r="K54" s="1571" t="n">
        <f aca="true">OFFSET('☆振替R7'!$H$8,$P$4*$P12,0,1,1)</f>
        <v>4431</v>
      </c>
      <c r="L54" s="1571" t="n">
        <f aca="false">SUM(I54:K54)</f>
        <v>1413725</v>
      </c>
      <c r="M54" s="1571" t="n">
        <f aca="true">OFFSET('☆振替R7'!$H$26,$P$4*$P12,0,1,1)</f>
        <v>1413725</v>
      </c>
      <c r="N54" s="1573" t="str">
        <f aca="false">IF(L54=M54,"○","×")</f>
        <v>○</v>
      </c>
      <c r="O54" s="1584"/>
      <c r="P54" s="1583"/>
      <c r="Q54" s="1584"/>
      <c r="R54" s="1584"/>
      <c r="S54" s="1584"/>
    </row>
    <row r="55" customFormat="false" ht="21.75" hidden="false" customHeight="true" outlineLevel="0" collapsed="false">
      <c r="A55" s="1570" t="s">
        <v>452</v>
      </c>
      <c r="B55" s="1571" t="n">
        <f aca="true">OFFSET('☆振替R7'!$G$6,$P$4*$P13,0,1,1)</f>
        <v>3868997</v>
      </c>
      <c r="C55" s="1571" t="n">
        <f aca="true">OFFSET('☆振替R7'!$G$21,$P$4*$P13,0,1,1)</f>
        <v>3870534</v>
      </c>
      <c r="D55" s="1571" t="n">
        <f aca="true">OFFSET('☆振替R7'!$G$8,$P$4*$P13,0,1,1)</f>
        <v>10746</v>
      </c>
      <c r="E55" s="1571" t="n">
        <f aca="false">SUM(B55:D55)</f>
        <v>7750277</v>
      </c>
      <c r="F55" s="1571" t="n">
        <f aca="true">OFFSET('☆振替R7'!$H$24,$P$4*$P13,0,1,1)</f>
        <v>7750277</v>
      </c>
      <c r="G55" s="1573" t="str">
        <f aca="false">IF(E55=F55,"○","×")</f>
        <v>○</v>
      </c>
      <c r="H55" s="1570" t="s">
        <v>452</v>
      </c>
      <c r="I55" s="1571" t="n">
        <f aca="true">OFFSET('☆振替R7'!$H$6,$P$4*$P13,0,1,1)</f>
        <v>703454</v>
      </c>
      <c r="J55" s="1571" t="n">
        <f aca="true">OFFSET('☆振替R7'!$H$21,$P$4*$P13,0,1,1)</f>
        <v>703734</v>
      </c>
      <c r="K55" s="1571" t="n">
        <f aca="true">OFFSET('☆振替R7'!$H$8,$P$4*$P13,0,1,1)</f>
        <v>1953</v>
      </c>
      <c r="L55" s="1571" t="n">
        <f aca="false">SUM(I55:K55)</f>
        <v>1409141</v>
      </c>
      <c r="M55" s="1571" t="n">
        <f aca="true">OFFSET('☆振替R7'!$H$26,$P$4*$P13,0,1,1)</f>
        <v>1409141</v>
      </c>
      <c r="N55" s="1573" t="str">
        <f aca="false">IF(L55=M55,"○","×")</f>
        <v>○</v>
      </c>
      <c r="O55" s="1584"/>
      <c r="P55" s="1583"/>
      <c r="Q55" s="1584"/>
      <c r="R55" s="1584"/>
      <c r="S55" s="1584"/>
    </row>
    <row r="56" customFormat="false" ht="21.75" hidden="false" customHeight="true" outlineLevel="0" collapsed="false">
      <c r="A56" s="1570" t="s">
        <v>774</v>
      </c>
      <c r="B56" s="1571" t="n">
        <f aca="true">OFFSET('☆振替R7'!$G$6,$P$4*$P14,0,1,1)</f>
        <v>6663415</v>
      </c>
      <c r="C56" s="1571" t="n">
        <f aca="true">OFFSET('☆振替R7'!$G$21,$P$4*$P14,0,1,1)</f>
        <v>6669933</v>
      </c>
      <c r="D56" s="1574" t="n">
        <f aca="true">OFFSET('☆振替R7'!$G$8,$P$4*$P14,0,1,1)</f>
        <v>0</v>
      </c>
      <c r="E56" s="1571" t="n">
        <f aca="false">SUM(B56:D56)</f>
        <v>13333348</v>
      </c>
      <c r="F56" s="1571" t="n">
        <f aca="true">OFFSET('☆振替R7'!$H$24,$P$4*$P14,0,1,1)</f>
        <v>13333348</v>
      </c>
      <c r="G56" s="1573" t="str">
        <f aca="false">IF(E56=F56,"○","×")</f>
        <v>○</v>
      </c>
      <c r="H56" s="1570" t="s">
        <v>774</v>
      </c>
      <c r="I56" s="1571" t="n">
        <f aca="true">OFFSET('☆振替R7'!$H$6,$P$4*$P14,0,1,1)</f>
        <v>1211530</v>
      </c>
      <c r="J56" s="1571" t="n">
        <f aca="true">OFFSET('☆振替R7'!$H$21,$P$4*$P14,0,1,1)</f>
        <v>1212715</v>
      </c>
      <c r="K56" s="1574" t="n">
        <f aca="true">OFFSET('☆振替R7'!$H$8,$P$4*$P14,0,1,1)</f>
        <v>0</v>
      </c>
      <c r="L56" s="1571" t="n">
        <f aca="false">SUM(I56:K56)</f>
        <v>2424245</v>
      </c>
      <c r="M56" s="1571" t="n">
        <f aca="true">OFFSET('☆振替R7'!$H$26,$P$4*$P14,0,1,1)</f>
        <v>2424245</v>
      </c>
      <c r="N56" s="1573" t="str">
        <f aca="false">IF(L56=M56,"○","×")</f>
        <v>○</v>
      </c>
      <c r="O56" s="1584"/>
      <c r="P56" s="1583"/>
      <c r="Q56" s="1584"/>
      <c r="R56" s="1584"/>
      <c r="S56" s="1584"/>
    </row>
    <row r="57" customFormat="false" ht="21.75" hidden="false" customHeight="true" outlineLevel="0" collapsed="false">
      <c r="A57" s="1570" t="s">
        <v>453</v>
      </c>
      <c r="B57" s="1571" t="n">
        <f aca="true">OFFSET('☆振替R7'!$G$6,$P$4*$P15,0,1,1)</f>
        <v>3871440</v>
      </c>
      <c r="C57" s="1571" t="n">
        <f aca="true">OFFSET('☆振替R7'!$G$21,$P$4*$P15,0,1,1)</f>
        <v>3871410</v>
      </c>
      <c r="D57" s="1575" t="n">
        <f aca="true">OFFSET('☆振替R7'!$G$8,$P$4*$P15,0,1,1)</f>
        <v>13469</v>
      </c>
      <c r="E57" s="1571" t="n">
        <f aca="false">SUM(B57:D57)</f>
        <v>7756319</v>
      </c>
      <c r="F57" s="1571" t="n">
        <f aca="true">OFFSET('☆振替R7'!$H$24,$P$4*$P15,0,1,1)</f>
        <v>7756319</v>
      </c>
      <c r="G57" s="1573" t="str">
        <f aca="false">IF(E57=F57,"○","×")</f>
        <v>○</v>
      </c>
      <c r="H57" s="1570" t="s">
        <v>453</v>
      </c>
      <c r="I57" s="1571" t="n">
        <f aca="true">OFFSET('☆振替R7'!$H$6,$P$4*$P15,0,1,1)</f>
        <v>703898</v>
      </c>
      <c r="J57" s="1571" t="n">
        <f aca="true">OFFSET('☆振替R7'!$H$21,$P$4*$P15,0,1,1)</f>
        <v>703893</v>
      </c>
      <c r="K57" s="1575" t="n">
        <f aca="true">OFFSET('☆振替R7'!$H$8,$P$4*$P15,0,1,1)</f>
        <v>2449</v>
      </c>
      <c r="L57" s="1571" t="n">
        <f aca="false">SUM(I57:K57)</f>
        <v>1410240</v>
      </c>
      <c r="M57" s="1571" t="n">
        <f aca="true">OFFSET('☆振替R7'!$H$26,$P$4*$P15,0,1,1)</f>
        <v>1410240</v>
      </c>
      <c r="N57" s="1573" t="str">
        <f aca="false">IF(L57=M57,"○","×")</f>
        <v>○</v>
      </c>
      <c r="O57" s="1587"/>
      <c r="P57" s="1587"/>
      <c r="Q57" s="1587"/>
      <c r="R57" s="1587"/>
      <c r="S57" s="1587"/>
    </row>
    <row r="58" customFormat="false" ht="21.75" hidden="false" customHeight="true" outlineLevel="0" collapsed="false">
      <c r="A58" s="1570" t="s">
        <v>454</v>
      </c>
      <c r="B58" s="1571" t="n">
        <f aca="true">OFFSET('☆振替R7'!$G$6,$P$4*$P16,0,1,1)</f>
        <v>3867458</v>
      </c>
      <c r="C58" s="1571" t="n">
        <f aca="true">OFFSET('☆振替R7'!$G$21,$P$4*$P16,0,1,1)</f>
        <v>3871635</v>
      </c>
      <c r="D58" s="1571" t="n">
        <f aca="true">OFFSET('☆振替R7'!$G$8,$P$4*$P16,0,1,1)</f>
        <v>15773</v>
      </c>
      <c r="E58" s="1571" t="n">
        <f aca="false">SUM(B58:D58)</f>
        <v>7754866</v>
      </c>
      <c r="F58" s="1571" t="n">
        <f aca="true">OFFSET('☆振替R7'!$H$24,$P$4*$P16,0,1,1)</f>
        <v>7754866</v>
      </c>
      <c r="G58" s="1573" t="str">
        <f aca="false">IF(E58=F58,"○","×")</f>
        <v>○</v>
      </c>
      <c r="H58" s="1570" t="s">
        <v>454</v>
      </c>
      <c r="I58" s="1571" t="n">
        <f aca="true">OFFSET('☆振替R7'!$H$6,$P$4*$P16,0,1,1)</f>
        <v>703174</v>
      </c>
      <c r="J58" s="1571" t="n">
        <f aca="true">OFFSET('☆振替R7'!$H$21,$P$4*$P16,0,1,1)</f>
        <v>703934</v>
      </c>
      <c r="K58" s="1571" t="n">
        <f aca="true">OFFSET('☆振替R7'!$H$8,$P$4*$P16,0,1,1)</f>
        <v>2867</v>
      </c>
      <c r="L58" s="1571" t="n">
        <f aca="false">SUM(I58:K58)</f>
        <v>1409975</v>
      </c>
      <c r="M58" s="1571" t="n">
        <f aca="true">OFFSET('☆振替R7'!$H$26,$P$4*$P16,0,1,1)</f>
        <v>1409975</v>
      </c>
      <c r="N58" s="1573" t="str">
        <f aca="false">IF(L58=M58,"○","×")</f>
        <v>○</v>
      </c>
      <c r="O58" s="1587"/>
      <c r="P58" s="1564"/>
      <c r="Q58" s="1587"/>
      <c r="R58" s="1587"/>
      <c r="S58" s="1587"/>
    </row>
    <row r="59" customFormat="false" ht="21.75" hidden="false" customHeight="true" outlineLevel="0" collapsed="false">
      <c r="A59" s="1570" t="s">
        <v>455</v>
      </c>
      <c r="B59" s="1571" t="n">
        <f aca="true">OFFSET('☆振替R7'!$G$6,$P$4*$P17,0,1,1)</f>
        <v>3867203</v>
      </c>
      <c r="C59" s="1571" t="n">
        <f aca="true">OFFSET('☆振替R7'!$G$21,$P$4*$P17,0,1,1)</f>
        <v>3871788</v>
      </c>
      <c r="D59" s="1571" t="n">
        <f aca="true">OFFSET('☆振替R7'!$G$8,$P$4*$P17,0,1,1)</f>
        <v>9264</v>
      </c>
      <c r="E59" s="1571" t="n">
        <f aca="false">SUM(B59:D59)</f>
        <v>7748255</v>
      </c>
      <c r="F59" s="1571" t="n">
        <f aca="true">OFFSET('☆振替R7'!$H$24,$P$4*$P17,0,1,1)</f>
        <v>7748255</v>
      </c>
      <c r="G59" s="1573" t="str">
        <f aca="false">IF(E59=F59,"○","×")</f>
        <v>○</v>
      </c>
      <c r="H59" s="1570" t="s">
        <v>455</v>
      </c>
      <c r="I59" s="1571" t="n">
        <f aca="true">OFFSET('☆振替R7'!$H$6,$P$4*$P17,0,1,1)</f>
        <v>703127</v>
      </c>
      <c r="J59" s="1571" t="n">
        <f aca="true">OFFSET('☆振替R7'!$H$21,$P$4*$P17,0,1,1)</f>
        <v>703962</v>
      </c>
      <c r="K59" s="1571" t="n">
        <f aca="true">OFFSET('☆振替R7'!$H$8,$P$4*$P17,0,1,1)</f>
        <v>1684</v>
      </c>
      <c r="L59" s="1571" t="n">
        <f aca="false">SUM(I59:K59)</f>
        <v>1408773</v>
      </c>
      <c r="M59" s="1571" t="n">
        <f aca="true">OFFSET('☆振替R7'!$H$26,$P$4*$P17,0,1,1)</f>
        <v>1408773</v>
      </c>
      <c r="N59" s="1573" t="str">
        <f aca="false">IF(L59=M59,"○","×")</f>
        <v>○</v>
      </c>
      <c r="O59" s="1587"/>
      <c r="P59" s="1564"/>
      <c r="Q59" s="1587"/>
      <c r="R59" s="1587"/>
      <c r="S59" s="1587"/>
    </row>
    <row r="60" customFormat="false" ht="21.75" hidden="false" customHeight="true" outlineLevel="0" collapsed="false">
      <c r="A60" s="1570" t="s">
        <v>775</v>
      </c>
      <c r="B60" s="1571" t="n">
        <f aca="true">OFFSET('☆振替R7'!$G$6,$P$4*$P18,0,1,1)</f>
        <v>1482880</v>
      </c>
      <c r="C60" s="1571" t="n">
        <f aca="true">OFFSET('☆振替R7'!$G$21,$P$4*$P18,0,1,1)</f>
        <v>1525635</v>
      </c>
      <c r="D60" s="1574" t="n">
        <f aca="true">OFFSET('☆振替R7'!$G$8,$P$4*$P18,0,1,1)</f>
        <v>0</v>
      </c>
      <c r="E60" s="1571" t="n">
        <f aca="false">SUM(B60:D60)</f>
        <v>3008515</v>
      </c>
      <c r="F60" s="1571" t="n">
        <f aca="true">OFFSET('☆振替R7'!$H$24,$P$4*$P18,0,1,1)</f>
        <v>3008515</v>
      </c>
      <c r="G60" s="1573" t="str">
        <f aca="false">IF(E60=F60,"○","×")</f>
        <v>○</v>
      </c>
      <c r="H60" s="1570" t="s">
        <v>775</v>
      </c>
      <c r="I60" s="1571" t="n">
        <f aca="true">OFFSET('☆振替R7'!$H$6,$P$4*$P18,0,1,1)</f>
        <v>269614</v>
      </c>
      <c r="J60" s="1571" t="n">
        <f aca="true">OFFSET('☆振替R7'!$H$21,$P$4*$P18,0,1,1)</f>
        <v>277389</v>
      </c>
      <c r="K60" s="1574" t="n">
        <f aca="true">OFFSET('☆振替R7'!$H$8,$P$4*$P18,0,1,1)</f>
        <v>0</v>
      </c>
      <c r="L60" s="1571" t="n">
        <f aca="false">SUM(I60:K60)</f>
        <v>547003</v>
      </c>
      <c r="M60" s="1571" t="n">
        <f aca="true">OFFSET('☆振替R7'!$H$26,$P$4*$P18,0,1,1)</f>
        <v>547003</v>
      </c>
      <c r="N60" s="1573" t="str">
        <f aca="false">IF(L60=M60,"○","×")</f>
        <v>○</v>
      </c>
      <c r="O60" s="1124"/>
      <c r="P60" s="1564"/>
      <c r="Q60" s="1124"/>
    </row>
    <row r="61" customFormat="false" ht="21.75" hidden="false" customHeight="true" outlineLevel="0" collapsed="false">
      <c r="A61" s="1570" t="s">
        <v>456</v>
      </c>
      <c r="B61" s="1571" t="n">
        <f aca="true">OFFSET('☆振替R7'!$G$6,$P$4*$P19,0,1,1)</f>
        <v>3772100</v>
      </c>
      <c r="C61" s="1571" t="n">
        <f aca="true">OFFSET('☆振替R7'!$G$21,$P$4*$P19,0,1,1)</f>
        <v>3767928</v>
      </c>
      <c r="D61" s="1575" t="n">
        <f aca="true">OFFSET('☆振替R7'!$G$8,$P$4*$P19,0,1,1)</f>
        <v>1190</v>
      </c>
      <c r="E61" s="1571" t="n">
        <f aca="false">SUM(B61:D61)</f>
        <v>7541218</v>
      </c>
      <c r="F61" s="1571" t="n">
        <f aca="true">OFFSET('☆振替R7'!$H$24,$P$4*$P19,0,1,1)</f>
        <v>7541218</v>
      </c>
      <c r="G61" s="1573" t="str">
        <f aca="false">IF(E61=F61,"○","×")</f>
        <v>○</v>
      </c>
      <c r="H61" s="1570" t="s">
        <v>456</v>
      </c>
      <c r="I61" s="1571" t="n">
        <f aca="true">OFFSET('☆振替R7'!$H$6,$P$4*$P19,0,1,1)</f>
        <v>685836</v>
      </c>
      <c r="J61" s="1571" t="n">
        <f aca="true">OFFSET('☆振替R7'!$H$21,$P$4*$P19,0,1,1)</f>
        <v>685078</v>
      </c>
      <c r="K61" s="1575" t="n">
        <f aca="true">OFFSET('☆振替R7'!$H$8,$P$4*$P19,0,1,1)</f>
        <v>216</v>
      </c>
      <c r="L61" s="1571" t="n">
        <f aca="false">SUM(I61:K61)</f>
        <v>1371130</v>
      </c>
      <c r="M61" s="1571" t="n">
        <f aca="true">OFFSET('☆振替R7'!$H$26,$P$4*$P19,0,1,1)</f>
        <v>1371130</v>
      </c>
      <c r="N61" s="1573" t="str">
        <f aca="false">IF(L61=M61,"○","×")</f>
        <v>○</v>
      </c>
      <c r="O61" s="1124"/>
      <c r="P61" s="1564"/>
      <c r="Q61" s="1124"/>
    </row>
    <row r="62" customFormat="false" ht="21.75" hidden="false" customHeight="true" outlineLevel="0" collapsed="false">
      <c r="A62" s="1576" t="s">
        <v>526</v>
      </c>
      <c r="B62" s="1571" t="n">
        <f aca="true">OFFSET('☆振替R7'!$G$6,$P$4*$P20,0,1,1)</f>
        <v>188914</v>
      </c>
      <c r="C62" s="1571" t="n">
        <f aca="true">OFFSET('☆振替R7'!$G$21,$P$4*$P20,0,1,1)</f>
        <v>186241</v>
      </c>
      <c r="D62" s="1574" t="n">
        <f aca="true">OFFSET('☆振替R7'!$G$8,$P$4*$P20,0,1,1)</f>
        <v>0</v>
      </c>
      <c r="E62" s="1571" t="n">
        <f aca="false">SUM(B62:D62)</f>
        <v>375155</v>
      </c>
      <c r="F62" s="1571" t="n">
        <f aca="true">OFFSET('☆振替R7'!$H$24,$P$4*$P20,0,1,1)</f>
        <v>375155</v>
      </c>
      <c r="G62" s="1573" t="str">
        <f aca="false">IF(E62=F62,"○","×")</f>
        <v>○</v>
      </c>
      <c r="H62" s="1576" t="s">
        <v>526</v>
      </c>
      <c r="I62" s="1571" t="n">
        <f aca="true">OFFSET('☆振替R7'!$H$6,$P$4*$P20,0,1,1)</f>
        <v>34348</v>
      </c>
      <c r="J62" s="1571" t="n">
        <f aca="true">OFFSET('☆振替R7'!$H$21,$P$4*$P20,0,1,1)</f>
        <v>33862</v>
      </c>
      <c r="K62" s="1574" t="n">
        <f aca="true">OFFSET('☆振替R7'!$H$8,$P$4*$P20,0,1,1)</f>
        <v>0</v>
      </c>
      <c r="L62" s="1571" t="n">
        <f aca="false">SUM(I62:K62)</f>
        <v>68210</v>
      </c>
      <c r="M62" s="1571" t="n">
        <f aca="true">OFFSET('☆振替R7'!$H$26,$P$4*$P20,0,1,1)</f>
        <v>68210</v>
      </c>
      <c r="N62" s="1573" t="str">
        <f aca="false">IF(L62=M62,"○","×")</f>
        <v>○</v>
      </c>
      <c r="O62" s="1124"/>
      <c r="P62" s="1588"/>
      <c r="Q62" s="1124"/>
    </row>
    <row r="63" customFormat="false" ht="21.75" hidden="false" customHeight="true" outlineLevel="0" collapsed="false">
      <c r="A63" s="1576" t="s">
        <v>527</v>
      </c>
      <c r="B63" s="1571" t="n">
        <f aca="true">OFFSET('☆振替R7'!$G$6,$P$4*$P21,0,1,1)</f>
        <v>188914</v>
      </c>
      <c r="C63" s="1571" t="n">
        <f aca="true">OFFSET('☆振替R7'!$G$21,$P$4*$P21,0,1,1)</f>
        <v>186241</v>
      </c>
      <c r="D63" s="1574" t="n">
        <f aca="true">OFFSET('☆振替R7'!$G$8,$P$4*$P21,0,1,1)</f>
        <v>0</v>
      </c>
      <c r="E63" s="1571" t="n">
        <f aca="false">SUM(B63:D63)</f>
        <v>375155</v>
      </c>
      <c r="F63" s="1571" t="n">
        <f aca="true">OFFSET('☆振替R7'!$H$24,$P$4*$P21,0,1,1)</f>
        <v>375155</v>
      </c>
      <c r="G63" s="1573" t="str">
        <f aca="false">IF(E63=F63,"○","×")</f>
        <v>○</v>
      </c>
      <c r="H63" s="1576" t="s">
        <v>527</v>
      </c>
      <c r="I63" s="1571" t="n">
        <f aca="true">OFFSET('☆振替R7'!$H$6,$P$4*$P21,0,1,1)</f>
        <v>34348</v>
      </c>
      <c r="J63" s="1571" t="n">
        <f aca="true">OFFSET('☆振替R7'!$H$21,$P$4*$P21,0,1,1)</f>
        <v>33862</v>
      </c>
      <c r="K63" s="1574" t="n">
        <f aca="true">OFFSET('☆振替R7'!$H$8,$P$4*$P21,0,1,1)</f>
        <v>0</v>
      </c>
      <c r="L63" s="1571" t="n">
        <f aca="false">SUM(I63:K63)</f>
        <v>68210</v>
      </c>
      <c r="M63" s="1571" t="n">
        <f aca="true">OFFSET('☆振替R7'!$H$26,$P$4*$P21,0,1,1)</f>
        <v>68210</v>
      </c>
      <c r="N63" s="1573" t="str">
        <f aca="false">IF(L63=M63,"○","×")</f>
        <v>○</v>
      </c>
      <c r="O63" s="1124"/>
      <c r="P63" s="1589"/>
      <c r="Q63" s="1590"/>
    </row>
    <row r="64" customFormat="false" ht="21.75" hidden="false" customHeight="true" outlineLevel="0" collapsed="false">
      <c r="A64" s="1567" t="s">
        <v>457</v>
      </c>
      <c r="B64" s="1571" t="n">
        <f aca="false">SUM(B47:B63)</f>
        <v>60546102</v>
      </c>
      <c r="C64" s="1571" t="n">
        <f aca="false">SUM(C47:C63)</f>
        <v>60607081</v>
      </c>
      <c r="D64" s="1571" t="n">
        <f aca="false">SUM(D47:D63)</f>
        <v>1253286</v>
      </c>
      <c r="E64" s="1571" t="n">
        <f aca="false">SUM(E47:E63)</f>
        <v>122406469</v>
      </c>
      <c r="F64" s="1571" t="n">
        <f aca="false">SUM(F47:F63)</f>
        <v>122406469</v>
      </c>
      <c r="G64" s="1573" t="str">
        <f aca="false">IF(E64=F64,"○","×")</f>
        <v>○</v>
      </c>
      <c r="H64" s="1567" t="s">
        <v>457</v>
      </c>
      <c r="I64" s="1571" t="n">
        <f aca="false">SUM(I47:I63)</f>
        <v>11008377</v>
      </c>
      <c r="J64" s="1571" t="n">
        <f aca="false">SUM(J47:J63)</f>
        <v>11019476</v>
      </c>
      <c r="K64" s="1571" t="n">
        <f aca="false">SUM(K47:K63)</f>
        <v>227865</v>
      </c>
      <c r="L64" s="1571" t="n">
        <f aca="false">SUM(L47:L63)</f>
        <v>22255718</v>
      </c>
      <c r="M64" s="1571" t="n">
        <f aca="false">SUM(M47:M63)</f>
        <v>22255718</v>
      </c>
      <c r="N64" s="1573" t="str">
        <f aca="false">IF(L64=M64,"○","×")</f>
        <v>○</v>
      </c>
      <c r="O64" s="1124"/>
      <c r="P64" s="1589"/>
      <c r="Q64" s="1590"/>
      <c r="R64" s="1124"/>
    </row>
    <row r="65" customFormat="false" ht="21.75" hidden="false" customHeight="true" outlineLevel="0" collapsed="false">
      <c r="A65" s="1577"/>
      <c r="B65" s="1578"/>
      <c r="C65" s="1578"/>
      <c r="D65" s="1578"/>
      <c r="E65" s="1578"/>
      <c r="F65" s="1596"/>
      <c r="G65" s="1596"/>
      <c r="H65" s="1577"/>
      <c r="I65" s="1578"/>
      <c r="J65" s="1578"/>
      <c r="K65" s="1578"/>
      <c r="L65" s="1578"/>
      <c r="M65" s="1596"/>
      <c r="N65" s="1596"/>
      <c r="O65" s="1124"/>
      <c r="P65" s="1593"/>
      <c r="Q65" s="1594"/>
      <c r="R65" s="1124"/>
    </row>
    <row r="66" customFormat="false" ht="21.75" hidden="false" customHeight="true" outlineLevel="0" collapsed="false">
      <c r="A66" s="1564" t="s">
        <v>794</v>
      </c>
      <c r="B66" s="1581"/>
      <c r="C66" s="1582"/>
      <c r="D66" s="1582"/>
      <c r="E66" s="1582"/>
      <c r="F66" s="1566" t="s">
        <v>421</v>
      </c>
      <c r="G66" s="1564"/>
      <c r="H66" s="1564" t="s">
        <v>795</v>
      </c>
      <c r="I66" s="1581"/>
      <c r="J66" s="1582"/>
      <c r="K66" s="1582"/>
      <c r="L66" s="1582"/>
      <c r="M66" s="1566" t="s">
        <v>421</v>
      </c>
      <c r="N66" s="1564"/>
      <c r="O66" s="1564"/>
      <c r="P66" s="1564"/>
      <c r="Q66" s="1564"/>
      <c r="R66" s="1564"/>
    </row>
    <row r="67" customFormat="false" ht="30" hidden="false" customHeight="true" outlineLevel="0" collapsed="false">
      <c r="A67" s="1567" t="s">
        <v>284</v>
      </c>
      <c r="B67" s="1568" t="s">
        <v>764</v>
      </c>
      <c r="C67" s="1567" t="s">
        <v>377</v>
      </c>
      <c r="D67" s="1568" t="s">
        <v>765</v>
      </c>
      <c r="E67" s="1567" t="s">
        <v>796</v>
      </c>
      <c r="F67" s="1568" t="s">
        <v>797</v>
      </c>
      <c r="G67" s="1569" t="s">
        <v>798</v>
      </c>
      <c r="H67" s="1567" t="s">
        <v>284</v>
      </c>
      <c r="I67" s="1568" t="s">
        <v>764</v>
      </c>
      <c r="J67" s="1567" t="s">
        <v>377</v>
      </c>
      <c r="K67" s="1568" t="s">
        <v>765</v>
      </c>
      <c r="L67" s="1567" t="s">
        <v>799</v>
      </c>
      <c r="M67" s="1568" t="s">
        <v>800</v>
      </c>
      <c r="N67" s="1569" t="s">
        <v>801</v>
      </c>
      <c r="O67" s="1564"/>
      <c r="P67" s="1564"/>
      <c r="Q67" s="1124"/>
      <c r="R67" s="1124"/>
    </row>
    <row r="68" customFormat="false" ht="21.75" hidden="false" customHeight="true" outlineLevel="0" collapsed="false">
      <c r="A68" s="1570" t="s">
        <v>445</v>
      </c>
      <c r="B68" s="1571" t="n">
        <f aca="true">OFFSET('☆振替R7'!$I$6,$P$4*$P5,0,1,1)</f>
        <v>80435</v>
      </c>
      <c r="C68" s="1571" t="n">
        <f aca="true">OFFSET('☆振替R7'!$I$21,$P$4*$P5,0,1,1)</f>
        <v>80348</v>
      </c>
      <c r="D68" s="1571" t="n">
        <f aca="true">OFFSET('☆振替R7'!$I$8,$P$4*$P5,0,1,1)</f>
        <v>22651</v>
      </c>
      <c r="E68" s="1571" t="n">
        <f aca="false">SUM(B68:D68)</f>
        <v>183434</v>
      </c>
      <c r="F68" s="1571" t="n">
        <f aca="true">OFFSET('☆振替R7'!$H$28,$P$4*$P5,0,1,1)</f>
        <v>183434</v>
      </c>
      <c r="G68" s="1573" t="str">
        <f aca="false">IF(E68=F68,"○","×")</f>
        <v>○</v>
      </c>
      <c r="H68" s="1570" t="s">
        <v>445</v>
      </c>
      <c r="I68" s="1571" t="n">
        <f aca="true">OFFSET('☆振替R7'!$J$6,$P$4*$P5,0,1,1)</f>
        <v>16006704</v>
      </c>
      <c r="J68" s="1571" t="n">
        <f aca="true">OFFSET('☆振替R7'!$J$21,$P$4*$P5,0,1,1)</f>
        <v>15988995</v>
      </c>
      <c r="K68" s="1571" t="n">
        <f aca="true">OFFSET('☆振替R7'!$J$8,$P$4*$P5,0,1,1)</f>
        <v>4507707</v>
      </c>
      <c r="L68" s="1571" t="n">
        <f aca="false">SUM(I68:K68)</f>
        <v>36503406</v>
      </c>
      <c r="M68" s="1571" t="n">
        <f aca="true">OFFSET('☆振替R7'!$E$31,$P$4*$P5,0,1,1)</f>
        <v>36503406</v>
      </c>
      <c r="N68" s="1573" t="str">
        <f aca="false">IF(L68=M68,"○","×")</f>
        <v>○</v>
      </c>
      <c r="O68" s="1564"/>
      <c r="P68" s="1564"/>
      <c r="Q68" s="1124"/>
      <c r="R68" s="1124"/>
    </row>
    <row r="69" customFormat="false" ht="21.75" hidden="false" customHeight="true" outlineLevel="0" collapsed="false">
      <c r="A69" s="1570" t="s">
        <v>446</v>
      </c>
      <c r="B69" s="1571" t="n">
        <f aca="true">OFFSET('☆振替R7'!$I$6,$P$4*$P6,0,1,1)</f>
        <v>81035</v>
      </c>
      <c r="C69" s="1571" t="n">
        <f aca="true">OFFSET('☆振替R7'!$I$21,$P$4*$P6,0,1,1)</f>
        <v>81090</v>
      </c>
      <c r="D69" s="1571" t="n">
        <f aca="true">OFFSET('☆振替R7'!$I$8,$P$4*$P6,0,1,1)</f>
        <v>507</v>
      </c>
      <c r="E69" s="1571" t="n">
        <f aca="false">SUM(B69:D69)</f>
        <v>162632</v>
      </c>
      <c r="F69" s="1571" t="n">
        <f aca="true">OFFSET('☆振替R7'!$H$28,$P$4*$P6,0,1,1)</f>
        <v>162632</v>
      </c>
      <c r="G69" s="1573" t="str">
        <f aca="false">IF(E69=F69,"○","×")</f>
        <v>○</v>
      </c>
      <c r="H69" s="1570" t="s">
        <v>446</v>
      </c>
      <c r="I69" s="1571" t="n">
        <f aca="true">OFFSET('☆振替R7'!$J$6,$P$4*$P6,0,1,1)</f>
        <v>16126010</v>
      </c>
      <c r="J69" s="1571" t="n">
        <f aca="true">OFFSET('☆振替R7'!$J$21,$P$4*$P6,0,1,1)</f>
        <v>16136924</v>
      </c>
      <c r="K69" s="1571" t="n">
        <f aca="true">OFFSET('☆振替R7'!$J$8,$P$4*$P6,0,1,1)</f>
        <v>100971</v>
      </c>
      <c r="L69" s="1571" t="n">
        <f aca="false">SUM(I69:K69)</f>
        <v>32363905</v>
      </c>
      <c r="M69" s="1571" t="n">
        <f aca="true">OFFSET('☆振替R7'!$E$31,$P$4*$P6,0,1,1)</f>
        <v>32363905</v>
      </c>
      <c r="N69" s="1573" t="str">
        <f aca="false">IF(L69=M69,"○","×")</f>
        <v>○</v>
      </c>
      <c r="O69" s="1564"/>
      <c r="P69" s="1564"/>
      <c r="Q69" s="1124"/>
      <c r="R69" s="1124"/>
    </row>
    <row r="70" customFormat="false" ht="21.75" hidden="false" customHeight="true" outlineLevel="0" collapsed="false">
      <c r="A70" s="1570" t="s">
        <v>447</v>
      </c>
      <c r="B70" s="1571" t="n">
        <f aca="true">OFFSET('☆振替R7'!$I$6,$P$4*$P7,0,1,1)</f>
        <v>80914</v>
      </c>
      <c r="C70" s="1571" t="n">
        <f aca="true">OFFSET('☆振替R7'!$I$21,$P$4*$P7,0,1,1)</f>
        <v>80931</v>
      </c>
      <c r="D70" s="1571" t="n">
        <f aca="true">OFFSET('☆振替R7'!$I$8,$P$4*$P7,0,1,1)</f>
        <v>666</v>
      </c>
      <c r="E70" s="1571" t="n">
        <f aca="false">SUM(B70:D70)</f>
        <v>162511</v>
      </c>
      <c r="F70" s="1571" t="n">
        <f aca="true">OFFSET('☆振替R7'!$H$28,$P$4*$P7,0,1,1)</f>
        <v>162511</v>
      </c>
      <c r="G70" s="1573" t="str">
        <f aca="false">IF(E70=F70,"○","×")</f>
        <v>○</v>
      </c>
      <c r="H70" s="1570" t="s">
        <v>447</v>
      </c>
      <c r="I70" s="1571" t="n">
        <f aca="true">OFFSET('☆振替R7'!$J$6,$P$4*$P7,0,1,1)</f>
        <v>16102025</v>
      </c>
      <c r="J70" s="1571" t="n">
        <f aca="true">OFFSET('☆振替R7'!$J$21,$P$4*$P7,0,1,1)</f>
        <v>16105197</v>
      </c>
      <c r="K70" s="1571" t="n">
        <f aca="true">OFFSET('☆振替R7'!$J$8,$P$4*$P7,0,1,1)</f>
        <v>132620</v>
      </c>
      <c r="L70" s="1571" t="n">
        <f aca="false">SUM(I70:K70)</f>
        <v>32339842</v>
      </c>
      <c r="M70" s="1571" t="n">
        <f aca="true">OFFSET('☆振替R7'!$E$31,$P$4*$P7,0,1,1)</f>
        <v>32339842</v>
      </c>
      <c r="N70" s="1573" t="str">
        <f aca="false">IF(L70=M70,"○","×")</f>
        <v>○</v>
      </c>
      <c r="O70" s="1564"/>
      <c r="P70" s="1564"/>
      <c r="Q70" s="1124"/>
      <c r="R70" s="1124"/>
    </row>
    <row r="71" customFormat="false" ht="21.75" hidden="false" customHeight="true" outlineLevel="0" collapsed="false">
      <c r="A71" s="1570" t="s">
        <v>773</v>
      </c>
      <c r="B71" s="1571" t="n">
        <f aca="true">OFFSET('☆振替R7'!$I$6,$P$4*$P8,0,1,1)</f>
        <v>142196</v>
      </c>
      <c r="C71" s="1571" t="n">
        <f aca="true">OFFSET('☆振替R7'!$I$21,$P$4*$P8,0,1,1)</f>
        <v>142221</v>
      </c>
      <c r="D71" s="1574" t="n">
        <f aca="true">OFFSET('☆振替R7'!$I$8,$P$4*$P8,0,1,1)</f>
        <v>0</v>
      </c>
      <c r="E71" s="1571" t="n">
        <f aca="false">SUM(B71:D71)</f>
        <v>284417</v>
      </c>
      <c r="F71" s="1571" t="n">
        <f aca="true">OFFSET('☆振替R7'!$H$28,$P$4*$P8,0,1,1)</f>
        <v>284417</v>
      </c>
      <c r="G71" s="1573" t="str">
        <f aca="false">IF(E71=F71,"○","×")</f>
        <v>○</v>
      </c>
      <c r="H71" s="1570" t="s">
        <v>773</v>
      </c>
      <c r="I71" s="1571" t="n">
        <f aca="true">OFFSET('☆振替R7'!$J$6,$P$4*$P8,0,1,1)</f>
        <v>28297178</v>
      </c>
      <c r="J71" s="1571" t="n">
        <f aca="true">OFFSET('☆振替R7'!$J$21,$P$4*$P8,0,1,1)</f>
        <v>28301774</v>
      </c>
      <c r="K71" s="1574" t="n">
        <f aca="true">OFFSET('☆振替R7'!$J$8,$P$4*$P8,0,1,1)</f>
        <v>0</v>
      </c>
      <c r="L71" s="1571" t="n">
        <f aca="false">SUM(I71:K71)</f>
        <v>56598952</v>
      </c>
      <c r="M71" s="1571" t="n">
        <f aca="true">OFFSET('☆振替R7'!$E$31,$P$4*$P8,0,1,1)</f>
        <v>56598952</v>
      </c>
      <c r="N71" s="1573" t="str">
        <f aca="false">IF(L71=M71,"○","×")</f>
        <v>○</v>
      </c>
      <c r="O71" s="1564"/>
      <c r="P71" s="1564"/>
      <c r="Q71" s="1124"/>
      <c r="R71" s="1124"/>
    </row>
    <row r="72" customFormat="false" ht="21.75" hidden="false" customHeight="true" outlineLevel="0" collapsed="false">
      <c r="A72" s="1570" t="s">
        <v>448</v>
      </c>
      <c r="B72" s="1571" t="n">
        <f aca="true">OFFSET('☆振替R7'!$I$6,$P$4*$P9,0,1,1)</f>
        <v>82254</v>
      </c>
      <c r="C72" s="1571" t="n">
        <f aca="true">OFFSET('☆振替R7'!$I$21,$P$4*$P9,0,1,1)</f>
        <v>82315</v>
      </c>
      <c r="D72" s="1571" t="n">
        <f aca="true">OFFSET('☆振替R7'!$I$8,$P$4*$P9,0,1,1)</f>
        <v>300</v>
      </c>
      <c r="E72" s="1571" t="n">
        <f aca="false">SUM(B72:D72)</f>
        <v>164869</v>
      </c>
      <c r="F72" s="1571" t="n">
        <f aca="true">OFFSET('☆振替R7'!$H$28,$P$4*$P9,0,1,1)</f>
        <v>164869</v>
      </c>
      <c r="G72" s="1573" t="str">
        <f aca="false">IF(E72=F72,"○","×")</f>
        <v>○</v>
      </c>
      <c r="H72" s="1570" t="s">
        <v>448</v>
      </c>
      <c r="I72" s="1571" t="n">
        <f aca="true">OFFSET('☆振替R7'!$J$6,$P$4*$P9,0,1,1)</f>
        <v>16368683</v>
      </c>
      <c r="J72" s="1571" t="n">
        <f aca="true">OFFSET('☆振替R7'!$J$21,$P$4*$P9,0,1,1)</f>
        <v>16380608</v>
      </c>
      <c r="K72" s="1571" t="n">
        <f aca="true">OFFSET('☆振替R7'!$J$8,$P$4*$P9,0,1,1)</f>
        <v>59812</v>
      </c>
      <c r="L72" s="1571" t="n">
        <f aca="false">SUM(I72:K72)</f>
        <v>32809103</v>
      </c>
      <c r="M72" s="1571" t="n">
        <f aca="true">OFFSET('☆振替R7'!$E$31,$P$4*$P9,0,1,1)</f>
        <v>32809103</v>
      </c>
      <c r="N72" s="1573" t="str">
        <f aca="false">IF(L72=M72,"○","×")</f>
        <v>○</v>
      </c>
      <c r="O72" s="1564"/>
      <c r="P72" s="1564"/>
      <c r="Q72" s="1124"/>
      <c r="R72" s="1124"/>
    </row>
    <row r="73" customFormat="false" ht="21.75" hidden="false" customHeight="true" outlineLevel="0" collapsed="false">
      <c r="A73" s="1570" t="s">
        <v>449</v>
      </c>
      <c r="B73" s="1571" t="n">
        <f aca="true">OFFSET('☆振替R7'!$I$6,$P$4*$P10,0,1,1)</f>
        <v>81474</v>
      </c>
      <c r="C73" s="1571" t="n">
        <f aca="true">OFFSET('☆振替R7'!$I$21,$P$4*$P10,0,1,1)</f>
        <v>81525</v>
      </c>
      <c r="D73" s="1571" t="n">
        <f aca="true">OFFSET('☆振替R7'!$I$8,$P$4*$P10,0,1,1)</f>
        <v>444</v>
      </c>
      <c r="E73" s="1571" t="n">
        <f aca="false">SUM(B73:D73)</f>
        <v>163443</v>
      </c>
      <c r="F73" s="1571" t="n">
        <f aca="true">OFFSET('☆振替R7'!$H$28,$P$4*$P10,0,1,1)</f>
        <v>163443</v>
      </c>
      <c r="G73" s="1573" t="str">
        <f aca="false">IF(E73=F73,"○","×")</f>
        <v>○</v>
      </c>
      <c r="H73" s="1570" t="s">
        <v>449</v>
      </c>
      <c r="I73" s="1571" t="n">
        <f aca="true">OFFSET('☆振替R7'!$J$6,$P$4*$P10,0,1,1)</f>
        <v>16213494</v>
      </c>
      <c r="J73" s="1571" t="n">
        <f aca="true">OFFSET('☆振替R7'!$J$21,$P$4*$P10,0,1,1)</f>
        <v>16223380</v>
      </c>
      <c r="K73" s="1571" t="n">
        <f aca="true">OFFSET('☆振替R7'!$J$8,$P$4*$P10,0,1,1)</f>
        <v>88361</v>
      </c>
      <c r="L73" s="1571" t="n">
        <f aca="false">SUM(I73:K73)</f>
        <v>32525235</v>
      </c>
      <c r="M73" s="1571" t="n">
        <f aca="true">OFFSET('☆振替R7'!$E$31,$P$4*$P10,0,1,1)</f>
        <v>32525235</v>
      </c>
      <c r="N73" s="1573" t="str">
        <f aca="false">IF(L73=M73,"○","×")</f>
        <v>○</v>
      </c>
      <c r="O73" s="1124"/>
      <c r="P73" s="1124"/>
      <c r="Q73" s="1124"/>
      <c r="R73" s="1124"/>
    </row>
    <row r="74" customFormat="false" ht="21.75" hidden="false" customHeight="true" outlineLevel="0" collapsed="false">
      <c r="A74" s="1570" t="s">
        <v>450</v>
      </c>
      <c r="B74" s="1571" t="n">
        <f aca="true">OFFSET('☆振替R7'!$I$6,$P$4*$P11,0,1,1)</f>
        <v>82263</v>
      </c>
      <c r="C74" s="1571" t="n">
        <f aca="true">OFFSET('☆振替R7'!$I$21,$P$4*$P11,0,1,1)</f>
        <v>82295</v>
      </c>
      <c r="D74" s="1571" t="n">
        <f aca="true">OFFSET('☆振替R7'!$I$8,$P$4*$P11,0,1,1)</f>
        <v>1141</v>
      </c>
      <c r="E74" s="1571" t="n">
        <f aca="false">SUM(B74:D74)</f>
        <v>165699</v>
      </c>
      <c r="F74" s="1571" t="n">
        <f aca="true">OFFSET('☆振替R7'!$H$28,$P$4*$P11,0,1,1)</f>
        <v>165699</v>
      </c>
      <c r="G74" s="1573" t="str">
        <f aca="false">IF(E74=F74,"○","×")</f>
        <v>○</v>
      </c>
      <c r="H74" s="1570" t="s">
        <v>450</v>
      </c>
      <c r="I74" s="1571" t="n">
        <f aca="true">OFFSET('☆振替R7'!$J$6,$P$4*$P11,0,1,1)</f>
        <v>16370416</v>
      </c>
      <c r="J74" s="1571" t="n">
        <f aca="true">OFFSET('☆振替R7'!$J$21,$P$4*$P11,0,1,1)</f>
        <v>16376643</v>
      </c>
      <c r="K74" s="1571" t="n">
        <f aca="true">OFFSET('☆振替R7'!$J$8,$P$4*$P11,0,1,1)</f>
        <v>227259</v>
      </c>
      <c r="L74" s="1571" t="n">
        <f aca="false">SUM(I74:K74)</f>
        <v>32974318</v>
      </c>
      <c r="M74" s="1571" t="n">
        <f aca="true">OFFSET('☆振替R7'!$E$31,$P$4*$P11,0,1,1)</f>
        <v>32974318</v>
      </c>
      <c r="N74" s="1573" t="str">
        <f aca="false">IF(L74=M74,"○","×")</f>
        <v>○</v>
      </c>
      <c r="O74" s="1124"/>
      <c r="P74" s="1124"/>
      <c r="Q74" s="1124"/>
      <c r="R74" s="1124"/>
    </row>
    <row r="75" customFormat="false" ht="21.75" hidden="false" customHeight="true" outlineLevel="0" collapsed="false">
      <c r="A75" s="1570" t="s">
        <v>451</v>
      </c>
      <c r="B75" s="1571" t="n">
        <f aca="true">OFFSET('☆振替R7'!$I$6,$P$4*$P12,0,1,1)</f>
        <v>84510</v>
      </c>
      <c r="C75" s="1571" t="n">
        <f aca="true">OFFSET('☆振替R7'!$I$21,$P$4*$P12,0,1,1)</f>
        <v>84606</v>
      </c>
      <c r="D75" s="1571" t="n">
        <f aca="true">OFFSET('☆振替R7'!$I$8,$P$4*$P12,0,1,1)</f>
        <v>531</v>
      </c>
      <c r="E75" s="1571" t="n">
        <f aca="false">SUM(B75:D75)</f>
        <v>169647</v>
      </c>
      <c r="F75" s="1571" t="n">
        <f aca="true">OFFSET('☆振替R7'!$H$28,$P$4*$P12,0,1,1)</f>
        <v>169647</v>
      </c>
      <c r="G75" s="1573" t="str">
        <f aca="false">IF(E75=F75,"○","×")</f>
        <v>○</v>
      </c>
      <c r="H75" s="1570" t="s">
        <v>451</v>
      </c>
      <c r="I75" s="1571" t="n">
        <f aca="true">OFFSET('☆振替R7'!$J$6,$P$4*$P12,0,1,1)</f>
        <v>16817664</v>
      </c>
      <c r="J75" s="1571" t="n">
        <f aca="true">OFFSET('☆振替R7'!$J$21,$P$4*$P12,0,1,1)</f>
        <v>16836281</v>
      </c>
      <c r="K75" s="1571" t="n">
        <f aca="true">OFFSET('☆振替R7'!$J$8,$P$4*$P12,0,1,1)</f>
        <v>105831</v>
      </c>
      <c r="L75" s="1571" t="n">
        <f aca="false">SUM(I75:K75)</f>
        <v>33759776</v>
      </c>
      <c r="M75" s="1571" t="n">
        <f aca="true">OFFSET('☆振替R7'!$E$31,$P$4*$P12,0,1,1)</f>
        <v>33759776</v>
      </c>
      <c r="N75" s="1573" t="str">
        <f aca="false">IF(L75=M75,"○","×")</f>
        <v>○</v>
      </c>
      <c r="O75" s="1124"/>
      <c r="P75" s="1124"/>
      <c r="Q75" s="1124"/>
      <c r="R75" s="1124"/>
    </row>
    <row r="76" customFormat="false" ht="21.75" hidden="false" customHeight="true" outlineLevel="0" collapsed="false">
      <c r="A76" s="1570" t="s">
        <v>452</v>
      </c>
      <c r="B76" s="1571" t="n">
        <f aca="true">OFFSET('☆振替R7'!$I$6,$P$4*$P13,0,1,1)</f>
        <v>84414</v>
      </c>
      <c r="C76" s="1571" t="n">
        <f aca="true">OFFSET('☆振替R7'!$I$21,$P$4*$P13,0,1,1)</f>
        <v>84448</v>
      </c>
      <c r="D76" s="1571" t="n">
        <f aca="true">OFFSET('☆振替R7'!$I$8,$P$4*$P13,0,1,1)</f>
        <v>234</v>
      </c>
      <c r="E76" s="1571" t="n">
        <f aca="false">SUM(B76:D76)</f>
        <v>169096</v>
      </c>
      <c r="F76" s="1571" t="n">
        <f aca="true">OFFSET('☆振替R7'!$H$28,$P$4*$P13,0,1,1)</f>
        <v>169096</v>
      </c>
      <c r="G76" s="1573" t="str">
        <f aca="false">IF(E76=F76,"○","×")</f>
        <v>○</v>
      </c>
      <c r="H76" s="1570" t="s">
        <v>452</v>
      </c>
      <c r="I76" s="1571" t="n">
        <f aca="true">OFFSET('☆振替R7'!$J$6,$P$4*$P13,0,1,1)</f>
        <v>16798485</v>
      </c>
      <c r="J76" s="1571" t="n">
        <f aca="true">OFFSET('☆振替R7'!$J$21,$P$4*$P13,0,1,1)</f>
        <v>16805170</v>
      </c>
      <c r="K76" s="1571" t="n">
        <f aca="true">OFFSET('☆振替R7'!$J$8,$P$4*$P13,0,1,1)</f>
        <v>46661</v>
      </c>
      <c r="L76" s="1571" t="n">
        <f aca="false">SUM(I76:K76)</f>
        <v>33650316</v>
      </c>
      <c r="M76" s="1571" t="n">
        <f aca="true">OFFSET('☆振替R7'!$E$31,$P$4*$P13,0,1,1)</f>
        <v>33650316</v>
      </c>
      <c r="N76" s="1573" t="str">
        <f aca="false">IF(L76=M76,"○","×")</f>
        <v>○</v>
      </c>
      <c r="O76" s="1124"/>
      <c r="P76" s="1124"/>
      <c r="Q76" s="1124"/>
      <c r="R76" s="1124"/>
    </row>
    <row r="77" customFormat="false" ht="21.75" hidden="false" customHeight="true" outlineLevel="0" collapsed="false">
      <c r="A77" s="1570" t="s">
        <v>774</v>
      </c>
      <c r="B77" s="1571" t="n">
        <f aca="true">OFFSET('☆振替R7'!$I$6,$P$4*$P14,0,1,1)</f>
        <v>145383</v>
      </c>
      <c r="C77" s="1571" t="n">
        <f aca="true">OFFSET('☆振替R7'!$I$21,$P$4*$P14,0,1,1)</f>
        <v>145527</v>
      </c>
      <c r="D77" s="1574" t="n">
        <f aca="true">OFFSET('☆振替R7'!$I$8,$P$4*$P14,0,1,1)</f>
        <v>0</v>
      </c>
      <c r="E77" s="1571" t="n">
        <f aca="false">SUM(B77:D77)</f>
        <v>290910</v>
      </c>
      <c r="F77" s="1571" t="n">
        <f aca="true">OFFSET('☆振替R7'!$H$28,$P$4*$P14,0,1,1)</f>
        <v>290910</v>
      </c>
      <c r="G77" s="1573" t="str">
        <f aca="false">IF(E77=F77,"○","×")</f>
        <v>○</v>
      </c>
      <c r="H77" s="1570" t="s">
        <v>774</v>
      </c>
      <c r="I77" s="1571" t="n">
        <f aca="true">OFFSET('☆振替R7'!$J$6,$P$4*$P14,0,1,1)</f>
        <v>28931342</v>
      </c>
      <c r="J77" s="1571" t="n">
        <f aca="true">OFFSET('☆振替R7'!$J$21,$P$4*$P14,0,1,1)</f>
        <v>28959651</v>
      </c>
      <c r="K77" s="1574" t="n">
        <f aca="true">OFFSET('☆振替R7'!$J$8,$P$4*$P14,0,1,1)</f>
        <v>0</v>
      </c>
      <c r="L77" s="1571" t="n">
        <f aca="false">SUM(I77:K77)</f>
        <v>57890993</v>
      </c>
      <c r="M77" s="1571" t="n">
        <f aca="true">OFFSET('☆振替R7'!$E$31,$P$4*$P14,0,1,1)</f>
        <v>57890993</v>
      </c>
      <c r="N77" s="1573" t="str">
        <f aca="false">IF(L77=M77,"○","×")</f>
        <v>○</v>
      </c>
      <c r="O77" s="1124"/>
      <c r="P77" s="1124"/>
      <c r="Q77" s="1124"/>
      <c r="R77" s="1124"/>
    </row>
    <row r="78" customFormat="false" ht="21.75" hidden="false" customHeight="true" outlineLevel="0" collapsed="false">
      <c r="A78" s="1570" t="s">
        <v>453</v>
      </c>
      <c r="B78" s="1571" t="n">
        <f aca="true">OFFSET('☆振替R7'!$I$6,$P$4*$P15,0,1,1)</f>
        <v>84467</v>
      </c>
      <c r="C78" s="1571" t="n">
        <f aca="true">OFFSET('☆振替R7'!$I$21,$P$4*$P15,0,1,1)</f>
        <v>84468</v>
      </c>
      <c r="D78" s="1575" t="n">
        <f aca="true">OFFSET('☆振替R7'!$I$8,$P$4*$P15,0,1,1)</f>
        <v>293</v>
      </c>
      <c r="E78" s="1571" t="n">
        <f aca="false">SUM(B78:D78)</f>
        <v>169228</v>
      </c>
      <c r="F78" s="1571" t="n">
        <f aca="true">OFFSET('☆振替R7'!$H$28,$P$4*$P15,0,1,1)</f>
        <v>169228</v>
      </c>
      <c r="G78" s="1573" t="str">
        <f aca="false">IF(E78=F78,"○","×")</f>
        <v>○</v>
      </c>
      <c r="H78" s="1570" t="s">
        <v>453</v>
      </c>
      <c r="I78" s="1571" t="n">
        <f aca="true">OFFSET('☆振替R7'!$J$6,$P$4*$P15,0,1,1)</f>
        <v>16809096</v>
      </c>
      <c r="J78" s="1571" t="n">
        <f aca="true">OFFSET('☆振替R7'!$J$21,$P$4*$P15,0,1,1)</f>
        <v>16808972</v>
      </c>
      <c r="K78" s="1575" t="n">
        <f aca="true">OFFSET('☆振替R7'!$J$8,$P$4*$P15,0,1,1)</f>
        <v>58486</v>
      </c>
      <c r="L78" s="1571" t="n">
        <f aca="false">SUM(I78:K78)</f>
        <v>33676554</v>
      </c>
      <c r="M78" s="1571" t="n">
        <f aca="true">OFFSET('☆振替R7'!$E$31,$P$4*$P15,0,1,1)</f>
        <v>33676554</v>
      </c>
      <c r="N78" s="1573" t="str">
        <f aca="false">IF(L78=M78,"○","×")</f>
        <v>○</v>
      </c>
      <c r="O78" s="1124"/>
      <c r="P78" s="1124"/>
      <c r="Q78" s="1124"/>
      <c r="R78" s="1124"/>
    </row>
    <row r="79" customFormat="false" ht="21.75" hidden="false" customHeight="true" outlineLevel="0" collapsed="false">
      <c r="A79" s="1570" t="s">
        <v>454</v>
      </c>
      <c r="B79" s="1571" t="n">
        <f aca="true">OFFSET('☆振替R7'!$I$6,$P$4*$P16,0,1,1)</f>
        <v>84380</v>
      </c>
      <c r="C79" s="1571" t="n">
        <f aca="true">OFFSET('☆振替R7'!$I$21,$P$4*$P16,0,1,1)</f>
        <v>84473</v>
      </c>
      <c r="D79" s="1571" t="n">
        <f aca="true">OFFSET('☆振替R7'!$I$8,$P$4*$P16,0,1,1)</f>
        <v>344</v>
      </c>
      <c r="E79" s="1571" t="n">
        <f aca="false">SUM(B79:D79)</f>
        <v>169197</v>
      </c>
      <c r="F79" s="1571" t="n">
        <f aca="true">OFFSET('☆振替R7'!$H$28,$P$4*$P16,0,1,1)</f>
        <v>169197</v>
      </c>
      <c r="G79" s="1573" t="str">
        <f aca="false">IF(E79=F79,"○","×")</f>
        <v>○</v>
      </c>
      <c r="H79" s="1570" t="s">
        <v>454</v>
      </c>
      <c r="I79" s="1571" t="n">
        <f aca="true">OFFSET('☆振替R7'!$J$6,$P$4*$P16,0,1,1)</f>
        <v>16791803</v>
      </c>
      <c r="J79" s="1571" t="n">
        <f aca="true">OFFSET('☆振替R7'!$J$21,$P$4*$P16,0,1,1)</f>
        <v>16809945</v>
      </c>
      <c r="K79" s="1571" t="n">
        <f aca="true">OFFSET('☆振替R7'!$J$8,$P$4*$P16,0,1,1)</f>
        <v>68488</v>
      </c>
      <c r="L79" s="1571" t="n">
        <f aca="false">SUM(I79:K79)</f>
        <v>33670236</v>
      </c>
      <c r="M79" s="1571" t="n">
        <f aca="true">OFFSET('☆振替R7'!$E$31,$P$4*$P16,0,1,1)</f>
        <v>33670236</v>
      </c>
      <c r="N79" s="1573" t="str">
        <f aca="false">IF(L79=M79,"○","×")</f>
        <v>○</v>
      </c>
      <c r="O79" s="1124"/>
      <c r="P79" s="1124"/>
      <c r="Q79" s="1124"/>
      <c r="R79" s="1124"/>
    </row>
    <row r="80" customFormat="false" ht="21.75" hidden="false" customHeight="true" outlineLevel="0" collapsed="false">
      <c r="A80" s="1570" t="s">
        <v>455</v>
      </c>
      <c r="B80" s="1571" t="n">
        <f aca="true">OFFSET('☆振替R7'!$I$6,$P$4*$P17,0,1,1)</f>
        <v>84375</v>
      </c>
      <c r="C80" s="1571" t="n">
        <f aca="true">OFFSET('☆振替R7'!$I$21,$P$4*$P17,0,1,1)</f>
        <v>84475</v>
      </c>
      <c r="D80" s="1571" t="n">
        <f aca="true">OFFSET('☆振替R7'!$I$8,$P$4*$P17,0,1,1)</f>
        <v>202</v>
      </c>
      <c r="E80" s="1571" t="n">
        <f aca="false">SUM(B80:D80)</f>
        <v>169052</v>
      </c>
      <c r="F80" s="1571" t="n">
        <f aca="true">OFFSET('☆振替R7'!$H$28,$P$4*$P17,0,1,1)</f>
        <v>169052</v>
      </c>
      <c r="G80" s="1573" t="str">
        <f aca="false">IF(E80=F80,"○","×")</f>
        <v>○</v>
      </c>
      <c r="H80" s="1570" t="s">
        <v>455</v>
      </c>
      <c r="I80" s="1571" t="n">
        <f aca="true">OFFSET('☆振替R7'!$J$6,$P$4*$P17,0,1,1)</f>
        <v>16790695</v>
      </c>
      <c r="J80" s="1571" t="n">
        <f aca="true">OFFSET('☆振替R7'!$J$21,$P$4*$P17,0,1,1)</f>
        <v>16810612</v>
      </c>
      <c r="K80" s="1571" t="n">
        <f aca="true">OFFSET('☆振替R7'!$J$8,$P$4*$P17,0,1,1)</f>
        <v>40226</v>
      </c>
      <c r="L80" s="1571" t="n">
        <f aca="false">SUM(I80:K80)</f>
        <v>33641533</v>
      </c>
      <c r="M80" s="1571" t="n">
        <f aca="true">OFFSET('☆振替R7'!$E$31,$P$4*$P17,0,1,1)</f>
        <v>33641533</v>
      </c>
      <c r="N80" s="1573" t="str">
        <f aca="false">IF(L80=M80,"○","×")</f>
        <v>○</v>
      </c>
      <c r="O80" s="1124"/>
      <c r="P80" s="1124"/>
      <c r="Q80" s="1124"/>
    </row>
    <row r="81" customFormat="false" ht="21.75" hidden="false" customHeight="true" outlineLevel="0" collapsed="false">
      <c r="A81" s="1570" t="s">
        <v>775</v>
      </c>
      <c r="B81" s="1571" t="n">
        <f aca="true">OFFSET('☆振替R7'!$I$6,$P$4*$P18,0,1,1)</f>
        <v>32353</v>
      </c>
      <c r="C81" s="1571" t="n">
        <f aca="true">OFFSET('☆振替R7'!$I$21,$P$4*$P18,0,1,1)</f>
        <v>33288</v>
      </c>
      <c r="D81" s="1574" t="n">
        <f aca="true">OFFSET('☆振替R7'!$I$8,$P$4*$P18,0,1,1)</f>
        <v>0</v>
      </c>
      <c r="E81" s="1571" t="n">
        <f aca="false">SUM(B81:D81)</f>
        <v>65641</v>
      </c>
      <c r="F81" s="1571" t="n">
        <f aca="true">OFFSET('☆振替R7'!$H$28,$P$4*$P18,0,1,1)</f>
        <v>65641</v>
      </c>
      <c r="G81" s="1573" t="str">
        <f aca="false">IF(E81=F81,"○","×")</f>
        <v>○</v>
      </c>
      <c r="H81" s="1570" t="s">
        <v>775</v>
      </c>
      <c r="I81" s="1571" t="n">
        <f aca="true">OFFSET('☆振替R7'!$J$6,$P$4*$P18,0,1,1)</f>
        <v>6438402</v>
      </c>
      <c r="J81" s="1571" t="n">
        <f aca="true">OFFSET('☆振替R7'!$J$21,$P$4*$P18,0,1,1)</f>
        <v>6624037</v>
      </c>
      <c r="K81" s="1574" t="n">
        <f aca="true">OFFSET('☆振替R7'!$J$8,$P$4*$P18,0,1,1)</f>
        <v>0</v>
      </c>
      <c r="L81" s="1571" t="n">
        <f aca="false">SUM(I81:K81)</f>
        <v>13062439</v>
      </c>
      <c r="M81" s="1571" t="n">
        <f aca="true">OFFSET('☆振替R7'!$E$31,$P$4*$P18,0,1,1)</f>
        <v>13062439</v>
      </c>
      <c r="N81" s="1573" t="str">
        <f aca="false">IF(L81=M81,"○","×")</f>
        <v>○</v>
      </c>
      <c r="O81" s="1124"/>
      <c r="P81" s="1124"/>
      <c r="Q81" s="1124"/>
    </row>
    <row r="82" customFormat="false" ht="21.75" hidden="false" customHeight="true" outlineLevel="0" collapsed="false">
      <c r="A82" s="1570" t="s">
        <v>456</v>
      </c>
      <c r="B82" s="1571" t="n">
        <f aca="true">OFFSET('☆振替R7'!$I$6,$P$4*$P19,0,1,1)</f>
        <v>82300</v>
      </c>
      <c r="C82" s="1571" t="n">
        <f aca="true">OFFSET('☆振替R7'!$I$21,$P$4*$P19,0,1,1)</f>
        <v>82210</v>
      </c>
      <c r="D82" s="1575" t="n">
        <f aca="true">OFFSET('☆振替R7'!$I$8,$P$4*$P19,0,1,1)</f>
        <v>25</v>
      </c>
      <c r="E82" s="1571" t="n">
        <f aca="false">SUM(B82:D82)</f>
        <v>164535</v>
      </c>
      <c r="F82" s="1571" t="n">
        <f aca="true">OFFSET('☆振替R7'!$H$28,$P$4*$P19,0,1,1)</f>
        <v>164535</v>
      </c>
      <c r="G82" s="1573" t="str">
        <f aca="false">IF(E82=F82,"○","×")</f>
        <v>○</v>
      </c>
      <c r="H82" s="1570" t="s">
        <v>456</v>
      </c>
      <c r="I82" s="1571" t="n">
        <f aca="true">OFFSET('☆振替R7'!$J$6,$P$4*$P19,0,1,1)</f>
        <v>16377778</v>
      </c>
      <c r="J82" s="1571" t="n">
        <f aca="true">OFFSET('☆振替R7'!$J$21,$P$4*$P19,0,1,1)</f>
        <v>16359672</v>
      </c>
      <c r="K82" s="1575" t="n">
        <f aca="true">OFFSET('☆振替R7'!$J$8,$P$4*$P19,0,1,1)</f>
        <v>5170</v>
      </c>
      <c r="L82" s="1571" t="n">
        <f aca="false">SUM(I82:K82)</f>
        <v>32742620</v>
      </c>
      <c r="M82" s="1571" t="n">
        <f aca="true">OFFSET('☆振替R7'!$E$31,$P$4*$P19,0,1,1)</f>
        <v>32742620</v>
      </c>
      <c r="N82" s="1573" t="str">
        <f aca="false">IF(L82=M82,"○","×")</f>
        <v>○</v>
      </c>
      <c r="O82" s="1124"/>
      <c r="P82" s="1124"/>
      <c r="Q82" s="1124"/>
    </row>
    <row r="83" customFormat="false" ht="21.75" hidden="false" customHeight="true" outlineLevel="0" collapsed="false">
      <c r="A83" s="1576" t="s">
        <v>526</v>
      </c>
      <c r="B83" s="1571" t="n">
        <f aca="true">OFFSET('☆振替R7'!$I$6,$P$4*$P20,0,1,1)</f>
        <v>4121</v>
      </c>
      <c r="C83" s="1571" t="n">
        <f aca="true">OFFSET('☆振替R7'!$I$21,$P$4*$P20,0,1,1)</f>
        <v>4064</v>
      </c>
      <c r="D83" s="1574" t="n">
        <f aca="true">OFFSET('☆振替R7'!$I$8,$P$4*$P20,0,1,1)</f>
        <v>0</v>
      </c>
      <c r="E83" s="1571" t="n">
        <f aca="false">SUM(B83:D83)</f>
        <v>8185</v>
      </c>
      <c r="F83" s="1571" t="n">
        <f aca="true">OFFSET('☆振替R7'!$H$28,$P$4*$P20,0,1,1)</f>
        <v>8185</v>
      </c>
      <c r="G83" s="1573" t="str">
        <f aca="false">IF(E83=F83,"○","×")</f>
        <v>○</v>
      </c>
      <c r="H83" s="1576" t="s">
        <v>526</v>
      </c>
      <c r="I83" s="1571" t="n">
        <f aca="true">OFFSET('☆振替R7'!$J$6,$P$4*$P20,0,1,1)</f>
        <v>820232</v>
      </c>
      <c r="J83" s="1571" t="n">
        <f aca="true">OFFSET('☆振替R7'!$J$21,$P$4*$P20,0,1,1)</f>
        <v>808633</v>
      </c>
      <c r="K83" s="1574" t="n">
        <f aca="true">OFFSET('☆振替R7'!$J$8,$P$4*$P20,0,1,1)</f>
        <v>0</v>
      </c>
      <c r="L83" s="1571" t="n">
        <f aca="false">SUM(I83:K83)</f>
        <v>1628865</v>
      </c>
      <c r="M83" s="1571" t="n">
        <f aca="true">OFFSET('☆振替R7'!$E$31,$P$4*$P20,0,1,1)</f>
        <v>1628865</v>
      </c>
      <c r="N83" s="1573" t="str">
        <f aca="false">IF(L83=M83,"○","×")</f>
        <v>○</v>
      </c>
      <c r="O83" s="1124"/>
      <c r="P83" s="1124"/>
      <c r="Q83" s="1124"/>
    </row>
    <row r="84" customFormat="false" ht="21.75" hidden="false" customHeight="true" outlineLevel="0" collapsed="false">
      <c r="A84" s="1576" t="s">
        <v>527</v>
      </c>
      <c r="B84" s="1571" t="n">
        <f aca="true">OFFSET('☆振替R7'!$I$6,$P$4*$P21,0,1,1)</f>
        <v>4121</v>
      </c>
      <c r="C84" s="1571" t="n">
        <f aca="true">OFFSET('☆振替R7'!$I$21,$P$4*$P21,0,1,1)</f>
        <v>4064</v>
      </c>
      <c r="D84" s="1574" t="n">
        <f aca="true">OFFSET('☆振替R7'!$I$8,$P$4*$P21,0,1,1)</f>
        <v>0</v>
      </c>
      <c r="E84" s="1571" t="n">
        <f aca="false">SUM(B84:D84)</f>
        <v>8185</v>
      </c>
      <c r="F84" s="1571" t="n">
        <f aca="true">OFFSET('☆振替R7'!$H$28,$P$4*$P21,0,1,1)</f>
        <v>8185</v>
      </c>
      <c r="G84" s="1573" t="str">
        <f aca="false">IF(E84=F84,"○","×")</f>
        <v>○</v>
      </c>
      <c r="H84" s="1576" t="s">
        <v>527</v>
      </c>
      <c r="I84" s="1571" t="n">
        <f aca="true">OFFSET('☆振替R7'!$J$6,$P$4*$P21,0,1,1)</f>
        <v>820232</v>
      </c>
      <c r="J84" s="1571" t="n">
        <f aca="true">OFFSET('☆振替R7'!$J$21,$P$4*$P21,0,1,1)</f>
        <v>808635</v>
      </c>
      <c r="K84" s="1574" t="n">
        <f aca="true">OFFSET('☆振替R7'!$J$8,$P$4*$P21,0,1,1)</f>
        <v>0</v>
      </c>
      <c r="L84" s="1571" t="n">
        <f aca="false">SUM(I84:K84)</f>
        <v>1628867</v>
      </c>
      <c r="M84" s="1571" t="n">
        <f aca="true">OFFSET('☆振替R7'!$E$31,$P$4*$P21,0,1,1)</f>
        <v>1628867</v>
      </c>
      <c r="N84" s="1573" t="str">
        <f aca="false">IF(L84=M84,"○","×")</f>
        <v>○</v>
      </c>
      <c r="O84" s="1124"/>
      <c r="P84" s="1124"/>
      <c r="Q84" s="1124"/>
    </row>
    <row r="85" customFormat="false" ht="21.75" hidden="false" customHeight="true" outlineLevel="0" collapsed="false">
      <c r="A85" s="1567" t="s">
        <v>457</v>
      </c>
      <c r="B85" s="1571" t="n">
        <f aca="false">SUM(B68:B84)</f>
        <v>1320995</v>
      </c>
      <c r="C85" s="1571" t="n">
        <f aca="false">SUM(C68:C84)</f>
        <v>1322348</v>
      </c>
      <c r="D85" s="1571" t="n">
        <f aca="false">SUM(D68:D84)</f>
        <v>27338</v>
      </c>
      <c r="E85" s="1571" t="n">
        <f aca="false">SUM(E68:E84)</f>
        <v>2670681</v>
      </c>
      <c r="F85" s="1571" t="n">
        <f aca="false">SUM(F68:F84)</f>
        <v>2670681</v>
      </c>
      <c r="G85" s="1573" t="str">
        <f aca="false">IF(E85=F85,"○","×")</f>
        <v>○</v>
      </c>
      <c r="H85" s="1567" t="s">
        <v>457</v>
      </c>
      <c r="I85" s="1571" t="n">
        <f aca="false">SUM(I68:I84)</f>
        <v>262880239</v>
      </c>
      <c r="J85" s="1571" t="n">
        <f aca="false">SUM(J68:J84)</f>
        <v>263145129</v>
      </c>
      <c r="K85" s="1571" t="n">
        <f aca="false">SUM(K68:K84)</f>
        <v>5441592</v>
      </c>
      <c r="L85" s="1571" t="n">
        <f aca="false">SUM(L68:L84)</f>
        <v>531466960</v>
      </c>
      <c r="M85" s="1571" t="n">
        <f aca="false">SUM(M68:M84)</f>
        <v>531466960</v>
      </c>
      <c r="N85" s="1573" t="str">
        <f aca="false">IF(L85=M85,"○","×")</f>
        <v>○</v>
      </c>
      <c r="O85" s="1124"/>
      <c r="P85" s="1124"/>
      <c r="Q85" s="1124"/>
    </row>
    <row r="86" customFormat="false" ht="21.75" hidden="false" customHeight="true" outlineLevel="0" collapsed="false"/>
  </sheetData>
  <mergeCells count="1">
    <mergeCell ref="P51:S51"/>
  </mergeCells>
  <printOptions headings="false" gridLines="false" gridLinesSet="true" horizontalCentered="false" verticalCentered="false"/>
  <pageMargins left="0.118055555555556" right="0.118055555555556" top="0.551388888888889" bottom="0.354166666666667" header="0.511811023622047" footer="0"/>
  <pageSetup paperSize="9" scale="60" fitToWidth="1" fitToHeight="1" pageOrder="downThenOver" orientation="landscape" blackAndWhite="false" draft="false" cellComments="none" horizontalDpi="300" verticalDpi="300" copies="1"/>
  <headerFooter differentFirst="false" differentOddEven="false">
    <oddHeader/>
    <oddFooter>&amp;C&amp;9&amp;Z&amp;F</oddFooter>
  </headerFooter>
  <rowBreaks count="1" manualBreakCount="1">
    <brk id="44" man="true" max="16383" min="0"/>
  </rowBrea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X117"/>
  <sheetViews>
    <sheetView showFormulas="false" showGridLines="true" showRowColHeaders="true" showZeros="true" rightToLeft="false" tabSelected="false" showOutlineSymbols="true" defaultGridColor="true" view="normal" topLeftCell="A1" colorId="64" zoomScale="70" zoomScaleNormal="70" zoomScalePageLayoutView="70" workbookViewId="0">
      <selection pane="topLeft" activeCell="D33" activeCellId="0" sqref="D33"/>
    </sheetView>
  </sheetViews>
  <sheetFormatPr defaultColWidth="13.89453125" defaultRowHeight="17.25" zeroHeight="false" outlineLevelRow="0" outlineLevelCol="0"/>
  <cols>
    <col collapsed="false" customWidth="true" hidden="false" outlineLevel="0" max="1" min="1" style="925" width="10.49"/>
    <col collapsed="false" customWidth="true" hidden="false" outlineLevel="0" max="3" min="2" style="768" width="13.49"/>
    <col collapsed="false" customWidth="true" hidden="false" outlineLevel="0" max="4" min="4" style="768" width="12.59"/>
    <col collapsed="false" customWidth="true" hidden="false" outlineLevel="0" max="5" min="5" style="768" width="13.49"/>
    <col collapsed="false" customWidth="true" hidden="false" outlineLevel="0" max="6" min="6" style="768" width="3.39"/>
    <col collapsed="false" customWidth="true" hidden="false" outlineLevel="0" max="7" min="7" style="768" width="10.59"/>
    <col collapsed="false" customWidth="true" hidden="false" outlineLevel="0" max="8" min="8" style="768" width="14.39"/>
    <col collapsed="false" customWidth="true" hidden="false" outlineLevel="0" max="9" min="9" style="768" width="13.49"/>
    <col collapsed="false" customWidth="true" hidden="false" outlineLevel="0" max="10" min="10" style="768" width="12.59"/>
    <col collapsed="false" customWidth="true" hidden="false" outlineLevel="0" max="11" min="11" style="768" width="13.49"/>
    <col collapsed="false" customWidth="true" hidden="false" outlineLevel="0" max="12" min="12" style="925" width="3.59"/>
    <col collapsed="false" customWidth="true" hidden="false" outlineLevel="0" max="16" min="13" style="925" width="13.59"/>
    <col collapsed="false" customWidth="false" hidden="false" outlineLevel="0" max="257" min="17" style="925" width="13.89"/>
  </cols>
  <sheetData>
    <row r="1" customFormat="false" ht="22.5" hidden="false" customHeight="true" outlineLevel="0" collapsed="false">
      <c r="A1" s="1597" t="str">
        <f aca="false">振替集計R7!A1</f>
        <v>令和8年度</v>
      </c>
      <c r="B1" s="1598" t="s">
        <v>802</v>
      </c>
      <c r="C1" s="1598"/>
      <c r="F1" s="925"/>
      <c r="G1" s="925"/>
      <c r="H1" s="925"/>
      <c r="I1" s="925"/>
      <c r="J1" s="925"/>
      <c r="K1" s="1599"/>
      <c r="L1" s="1600"/>
    </row>
    <row r="2" customFormat="false" ht="34.5" hidden="false" customHeight="true" outlineLevel="0" collapsed="false">
      <c r="A2" s="1601" t="s">
        <v>803</v>
      </c>
      <c r="B2" s="1601"/>
      <c r="C2" s="1601"/>
      <c r="D2" s="773"/>
      <c r="E2" s="774"/>
      <c r="F2" s="1602"/>
      <c r="G2" s="925" t="s">
        <v>804</v>
      </c>
      <c r="H2" s="925"/>
      <c r="I2" s="925"/>
      <c r="J2" s="925"/>
      <c r="K2" s="774" t="s">
        <v>421</v>
      </c>
      <c r="L2" s="1603"/>
      <c r="M2" s="1604" t="s">
        <v>805</v>
      </c>
      <c r="N2" s="774"/>
    </row>
    <row r="3" s="1352" customFormat="true" ht="34.5" hidden="false" customHeight="true" outlineLevel="0" collapsed="false">
      <c r="A3" s="1605" t="s">
        <v>428</v>
      </c>
      <c r="B3" s="1606" t="s">
        <v>806</v>
      </c>
      <c r="C3" s="1607" t="s">
        <v>374</v>
      </c>
      <c r="D3" s="1607"/>
      <c r="E3" s="1608" t="s">
        <v>427</v>
      </c>
      <c r="F3" s="1609"/>
      <c r="G3" s="1605" t="s">
        <v>428</v>
      </c>
      <c r="H3" s="1606" t="s">
        <v>807</v>
      </c>
      <c r="I3" s="1610" t="s">
        <v>374</v>
      </c>
      <c r="J3" s="1610"/>
      <c r="K3" s="1611" t="s">
        <v>427</v>
      </c>
      <c r="L3" s="925"/>
      <c r="M3" s="1604"/>
      <c r="N3" s="1612"/>
      <c r="Q3" s="925"/>
    </row>
    <row r="4" s="1352" customFormat="true" ht="34.5" hidden="false" customHeight="true" outlineLevel="0" collapsed="false">
      <c r="A4" s="1605"/>
      <c r="B4" s="1606"/>
      <c r="C4" s="1613" t="s">
        <v>751</v>
      </c>
      <c r="D4" s="1614" t="s">
        <v>752</v>
      </c>
      <c r="E4" s="1608"/>
      <c r="F4" s="1609"/>
      <c r="G4" s="1605"/>
      <c r="H4" s="1606"/>
      <c r="I4" s="1615" t="s">
        <v>751</v>
      </c>
      <c r="J4" s="1616" t="s">
        <v>752</v>
      </c>
      <c r="K4" s="1611"/>
      <c r="L4" s="925"/>
      <c r="M4" s="1604"/>
      <c r="N4" s="1612"/>
      <c r="Q4" s="925"/>
    </row>
    <row r="5" s="1352" customFormat="true" ht="35.25" hidden="false" customHeight="true" outlineLevel="0" collapsed="false">
      <c r="A5" s="1617" t="s">
        <v>445</v>
      </c>
      <c r="B5" s="1618" t="n">
        <f aca="true">OFFSET('☆掛負収入'!$B$65,$M$5*M6,0,1,1)</f>
        <v>489926226</v>
      </c>
      <c r="C5" s="1619" t="n">
        <f aca="true">OFFSET('☆掛負収入'!$D$65,$M$5*M6,0,1,1)-D5</f>
        <v>710665020</v>
      </c>
      <c r="D5" s="1620" t="n">
        <f aca="true">OFFSET('☆掛負収入'!$D$63,$M$5*M6,0,1,1)</f>
        <v>56730</v>
      </c>
      <c r="E5" s="1621" t="n">
        <f aca="false">SUM(B5:D5)</f>
        <v>1200647976</v>
      </c>
      <c r="F5" s="1622"/>
      <c r="G5" s="1617" t="s">
        <v>445</v>
      </c>
      <c r="H5" s="1618" t="n">
        <f aca="false">B5-H30+K27</f>
        <v>489433500</v>
      </c>
      <c r="I5" s="1623" t="n">
        <f aca="false">C5</f>
        <v>710665020</v>
      </c>
      <c r="J5" s="1624" t="n">
        <f aca="false">D5</f>
        <v>56730</v>
      </c>
      <c r="K5" s="1625" t="n">
        <f aca="false">SUM(H5:J5)</f>
        <v>1200155250</v>
      </c>
      <c r="L5" s="925"/>
      <c r="M5" s="1626" t="n">
        <v>65</v>
      </c>
      <c r="N5" s="1612"/>
    </row>
    <row r="6" s="1352" customFormat="true" ht="35.25" hidden="false" customHeight="true" outlineLevel="0" collapsed="false">
      <c r="A6" s="1627" t="s">
        <v>446</v>
      </c>
      <c r="B6" s="1618" t="n">
        <f aca="true">OFFSET('☆掛負収入'!$B$65,$M$5*M7,0,1,1)</f>
        <v>491261760</v>
      </c>
      <c r="C6" s="1619" t="n">
        <f aca="true">OFFSET('☆掛負収入'!$D$65,$M$5*M7,0,1,1)-D6</f>
        <v>713109255</v>
      </c>
      <c r="D6" s="1620" t="n">
        <f aca="true">OFFSET('☆掛負収入'!$D$63,$M$5*M7,0,1,1)</f>
        <v>56730</v>
      </c>
      <c r="E6" s="1621" t="n">
        <f aca="false">SUM(B6:D6)</f>
        <v>1204427745</v>
      </c>
      <c r="F6" s="1622"/>
      <c r="G6" s="1627" t="s">
        <v>446</v>
      </c>
      <c r="H6" s="1618" t="n">
        <f aca="false">B6-H31+K28</f>
        <v>491093400</v>
      </c>
      <c r="I6" s="1623" t="n">
        <f aca="false">C6</f>
        <v>713109255</v>
      </c>
      <c r="J6" s="1624" t="n">
        <f aca="false">D6</f>
        <v>56730</v>
      </c>
      <c r="K6" s="1625" t="n">
        <f aca="false">SUM(H6:J6)</f>
        <v>1204259385</v>
      </c>
      <c r="L6" s="925"/>
      <c r="M6" s="1628" t="n">
        <v>0</v>
      </c>
      <c r="N6" s="1603"/>
      <c r="O6" s="925"/>
      <c r="P6" s="925"/>
      <c r="Q6" s="925"/>
    </row>
    <row r="7" s="1352" customFormat="true" ht="35.25" hidden="false" customHeight="true" outlineLevel="0" collapsed="false">
      <c r="A7" s="1627" t="s">
        <v>447</v>
      </c>
      <c r="B7" s="1618" t="n">
        <f aca="true">OFFSET('☆掛負収入'!$B$65,$M$5*M8,0,1,1)</f>
        <v>490561786</v>
      </c>
      <c r="C7" s="1619" t="n">
        <f aca="true">OFFSET('☆掛負収入'!$D$65,$M$5*M8,0,1,1)-D7</f>
        <v>712027559</v>
      </c>
      <c r="D7" s="1620" t="n">
        <f aca="true">OFFSET('☆掛負収入'!$D$63,$M$5*M8,0,1,1)</f>
        <v>56730</v>
      </c>
      <c r="E7" s="1621" t="n">
        <f aca="false">SUM(B7:D7)</f>
        <v>1202646075</v>
      </c>
      <c r="F7" s="1622"/>
      <c r="G7" s="1627" t="s">
        <v>447</v>
      </c>
      <c r="H7" s="1618" t="n">
        <f aca="false">B7-H32+K29</f>
        <v>490197892</v>
      </c>
      <c r="I7" s="1623" t="n">
        <f aca="false">C7</f>
        <v>712027559</v>
      </c>
      <c r="J7" s="1624" t="n">
        <f aca="false">D7</f>
        <v>56730</v>
      </c>
      <c r="K7" s="1625" t="n">
        <f aca="false">SUM(H7:J7)</f>
        <v>1202282181</v>
      </c>
      <c r="L7" s="925"/>
      <c r="M7" s="1628" t="n">
        <v>1</v>
      </c>
      <c r="N7" s="1603"/>
    </row>
    <row r="8" s="1352" customFormat="true" ht="35.25" hidden="false" customHeight="true" outlineLevel="0" collapsed="false">
      <c r="A8" s="1627" t="s">
        <v>773</v>
      </c>
      <c r="B8" s="1618" t="n">
        <f aca="true">OFFSET('☆掛負収入'!$B$65,$M$5*M9,0,1,1)</f>
        <v>907213270</v>
      </c>
      <c r="C8" s="1619" t="n">
        <f aca="true">OFFSET('☆掛負収入'!$D$65,$M$5*M9,0,1,1)-D8</f>
        <v>1308419176</v>
      </c>
      <c r="D8" s="1620" t="n">
        <f aca="true">OFFSET('☆掛負収入'!$D$63,$M$5*M9,0,1,1)</f>
        <v>77410</v>
      </c>
      <c r="E8" s="1621" t="n">
        <f aca="false">SUM(B8:D8)</f>
        <v>2215709856</v>
      </c>
      <c r="F8" s="1622"/>
      <c r="G8" s="1627" t="s">
        <v>773</v>
      </c>
      <c r="H8" s="1629" t="n">
        <f aca="false">B8+K30</f>
        <v>907213270</v>
      </c>
      <c r="I8" s="1623" t="n">
        <f aca="false">C8</f>
        <v>1308419176</v>
      </c>
      <c r="J8" s="1624" t="n">
        <f aca="false">D8</f>
        <v>77410</v>
      </c>
      <c r="K8" s="1625" t="n">
        <f aca="false">SUM(H8:J8)</f>
        <v>2215709856</v>
      </c>
      <c r="L8" s="925"/>
      <c r="M8" s="1628" t="n">
        <v>2</v>
      </c>
      <c r="N8" s="1603"/>
    </row>
    <row r="9" s="1352" customFormat="true" ht="35.25" hidden="false" customHeight="true" outlineLevel="0" collapsed="false">
      <c r="A9" s="1627" t="s">
        <v>448</v>
      </c>
      <c r="B9" s="1618" t="n">
        <f aca="true">OFFSET('☆掛負収入'!$B$65,$M$5*M10,0,1,1)</f>
        <v>498701078</v>
      </c>
      <c r="C9" s="1630" t="n">
        <f aca="true">OFFSET('☆掛負収入'!$D$65,$M$5*M10,0,1,1)-D9</f>
        <v>724219092</v>
      </c>
      <c r="D9" s="1620" t="n">
        <f aca="true">OFFSET('☆掛負収入'!$D$63,$M$5*M10,0,1,1)</f>
        <v>56730</v>
      </c>
      <c r="E9" s="1621" t="n">
        <f aca="false">SUM(B9:D9)</f>
        <v>1222976900</v>
      </c>
      <c r="F9" s="1622"/>
      <c r="G9" s="1627" t="s">
        <v>448</v>
      </c>
      <c r="H9" s="1629" t="n">
        <f aca="false">B9-H33+K31</f>
        <v>498197371</v>
      </c>
      <c r="I9" s="1623" t="n">
        <f aca="false">C9</f>
        <v>724219092</v>
      </c>
      <c r="J9" s="1624" t="n">
        <f aca="false">D9</f>
        <v>56730</v>
      </c>
      <c r="K9" s="1625" t="n">
        <f aca="false">SUM(H9:J9)</f>
        <v>1222473193</v>
      </c>
      <c r="L9" s="925"/>
      <c r="M9" s="1628" t="n">
        <v>3</v>
      </c>
      <c r="N9" s="1603"/>
    </row>
    <row r="10" s="1352" customFormat="true" ht="35.25" hidden="false" customHeight="true" outlineLevel="0" collapsed="false">
      <c r="A10" s="1627" t="s">
        <v>449</v>
      </c>
      <c r="B10" s="1618" t="n">
        <f aca="true">OFFSET('☆掛負収入'!$B$65,$M$5*M11,0,1,1)</f>
        <v>492793379</v>
      </c>
      <c r="C10" s="1619" t="n">
        <f aca="true">OFFSET('☆掛負収入'!$D$65,$M$5*M11,0,1,1)-D10</f>
        <v>715999329</v>
      </c>
      <c r="D10" s="1620" t="n">
        <f aca="true">OFFSET('☆掛負収入'!$D$63,$M$5*M11,0,1,1)</f>
        <v>56730</v>
      </c>
      <c r="E10" s="1621" t="n">
        <f aca="false">SUM(B10:D10)</f>
        <v>1208849438</v>
      </c>
      <c r="F10" s="1622"/>
      <c r="G10" s="1627" t="s">
        <v>449</v>
      </c>
      <c r="H10" s="1629" t="n">
        <f aca="false">B10-H34+K32</f>
        <v>492425549</v>
      </c>
      <c r="I10" s="1623" t="n">
        <f aca="false">C10</f>
        <v>715999329</v>
      </c>
      <c r="J10" s="1624" t="n">
        <f aca="false">D10</f>
        <v>56730</v>
      </c>
      <c r="K10" s="1625" t="n">
        <f aca="false">SUM(H10:J10)</f>
        <v>1208481608</v>
      </c>
      <c r="L10" s="925"/>
      <c r="M10" s="1628" t="n">
        <v>4</v>
      </c>
      <c r="N10" s="1603"/>
    </row>
    <row r="11" s="1352" customFormat="true" ht="35.25" hidden="false" customHeight="true" outlineLevel="0" collapsed="false">
      <c r="A11" s="1627" t="s">
        <v>450</v>
      </c>
      <c r="B11" s="1618" t="n">
        <f aca="true">OFFSET('☆掛負収入'!$B$65,$M$5*M12,0,1,1)</f>
        <v>498248439</v>
      </c>
      <c r="C11" s="1619" t="n">
        <f aca="true">OFFSET('☆掛負収入'!$D$65,$M$5*M12,0,1,1)-D11</f>
        <v>727797097</v>
      </c>
      <c r="D11" s="1631" t="n">
        <f aca="true">OFFSET('☆掛負収入'!$D$63,$M$5*M12,0,1,1)</f>
        <v>60390</v>
      </c>
      <c r="E11" s="1621" t="n">
        <f aca="false">SUM(B11:D11)</f>
        <v>1226105926</v>
      </c>
      <c r="F11" s="1622"/>
      <c r="G11" s="1627" t="s">
        <v>450</v>
      </c>
      <c r="H11" s="1632" t="n">
        <f aca="false">B11-H35+K33</f>
        <v>497906229</v>
      </c>
      <c r="I11" s="1623" t="n">
        <f aca="false">C11</f>
        <v>727797097</v>
      </c>
      <c r="J11" s="1633" t="n">
        <f aca="false">D11</f>
        <v>60390</v>
      </c>
      <c r="K11" s="1625" t="n">
        <f aca="false">SUM(H11:J11)</f>
        <v>1225763716</v>
      </c>
      <c r="L11" s="925"/>
      <c r="M11" s="1628" t="n">
        <v>5</v>
      </c>
      <c r="N11" s="1603"/>
    </row>
    <row r="12" customFormat="false" ht="35.25" hidden="false" customHeight="true" outlineLevel="0" collapsed="false">
      <c r="A12" s="1627" t="s">
        <v>451</v>
      </c>
      <c r="B12" s="1618" t="n">
        <f aca="true">OFFSET('☆掛負収入'!$B$65,$M$5*M13,0,1,1)</f>
        <v>482544009</v>
      </c>
      <c r="C12" s="1619" t="n">
        <f aca="true">OFFSET('☆掛負収入'!$D$65,$M$5*M13,0,1,1)-D12</f>
        <v>709792336</v>
      </c>
      <c r="D12" s="1631" t="n">
        <f aca="true">OFFSET('☆掛負収入'!$D$63,$M$5*M13,0,1,1)</f>
        <v>58560</v>
      </c>
      <c r="E12" s="1621" t="n">
        <f aca="false">SUM(B12:D12)</f>
        <v>1192394905</v>
      </c>
      <c r="F12" s="1622"/>
      <c r="G12" s="1627" t="s">
        <v>451</v>
      </c>
      <c r="H12" s="1632" t="n">
        <f aca="false">B12-H36+K34</f>
        <v>482544009</v>
      </c>
      <c r="I12" s="1623" t="n">
        <f aca="false">C12</f>
        <v>709792336</v>
      </c>
      <c r="J12" s="1633" t="n">
        <f aca="false">D12</f>
        <v>58560</v>
      </c>
      <c r="K12" s="1625" t="n">
        <f aca="false">SUM(H12:J12)</f>
        <v>1192394905</v>
      </c>
      <c r="M12" s="1628" t="n">
        <v>6</v>
      </c>
      <c r="N12" s="1603"/>
      <c r="P12" s="1352"/>
    </row>
    <row r="13" customFormat="false" ht="35.25" hidden="false" customHeight="true" outlineLevel="0" collapsed="false">
      <c r="A13" s="1627" t="s">
        <v>452</v>
      </c>
      <c r="B13" s="1618" t="n">
        <f aca="true">OFFSET('☆掛負収入'!$B$65,$M$5*M14,0,1,1)</f>
        <v>481072783</v>
      </c>
      <c r="C13" s="1619" t="n">
        <f aca="true">OFFSET('☆掛負収入'!$D$65,$M$5*M14,0,1,1)-D13</f>
        <v>707991417</v>
      </c>
      <c r="D13" s="1631" t="n">
        <f aca="true">OFFSET('☆掛負収入'!$D$63,$M$5*M14,0,1,1)</f>
        <v>53070</v>
      </c>
      <c r="E13" s="1621" t="n">
        <f aca="false">SUM(B13:D13)</f>
        <v>1189117270</v>
      </c>
      <c r="F13" s="1622"/>
      <c r="G13" s="1627" t="s">
        <v>452</v>
      </c>
      <c r="H13" s="1632" t="n">
        <f aca="false">B13-H37+K35</f>
        <v>481072783</v>
      </c>
      <c r="I13" s="1623" t="n">
        <f aca="false">C13</f>
        <v>707991417</v>
      </c>
      <c r="J13" s="1633" t="n">
        <f aca="false">D13</f>
        <v>53070</v>
      </c>
      <c r="K13" s="1625" t="n">
        <f aca="false">SUM(H13:J13)</f>
        <v>1189117270</v>
      </c>
      <c r="M13" s="1628" t="n">
        <v>7</v>
      </c>
      <c r="N13" s="1603"/>
    </row>
    <row r="14" customFormat="false" ht="35.25" hidden="false" customHeight="true" outlineLevel="0" collapsed="false">
      <c r="A14" s="1627" t="s">
        <v>774</v>
      </c>
      <c r="B14" s="1618" t="n">
        <f aca="true">OFFSET('☆掛負収入'!$B$65,$M$5*M15,0,1,1)</f>
        <v>870859030</v>
      </c>
      <c r="C14" s="1619" t="n">
        <f aca="true">OFFSET('☆掛負収入'!$D$65,$M$5*M15,0,1,1)-D14</f>
        <v>1271062695</v>
      </c>
      <c r="D14" s="1631" t="n">
        <f aca="true">OFFSET('☆掛負収入'!$D$63,$M$5*M15,0,1,1)</f>
        <v>70913</v>
      </c>
      <c r="E14" s="1621" t="n">
        <f aca="false">SUM(B14:D14)</f>
        <v>2141992638</v>
      </c>
      <c r="F14" s="1622"/>
      <c r="G14" s="1627" t="s">
        <v>774</v>
      </c>
      <c r="H14" s="1632" t="n">
        <f aca="false">B14+K36</f>
        <v>870859030</v>
      </c>
      <c r="I14" s="1623" t="n">
        <f aca="false">C14</f>
        <v>1271062695</v>
      </c>
      <c r="J14" s="1633" t="n">
        <f aca="false">D14</f>
        <v>70913</v>
      </c>
      <c r="K14" s="1625" t="n">
        <f aca="false">SUM(H14:J14)</f>
        <v>2141992638</v>
      </c>
      <c r="M14" s="1628" t="n">
        <v>8</v>
      </c>
      <c r="N14" s="1603"/>
    </row>
    <row r="15" customFormat="false" ht="35.25" hidden="false" customHeight="true" outlineLevel="0" collapsed="false">
      <c r="A15" s="1627" t="s">
        <v>453</v>
      </c>
      <c r="B15" s="1618" t="n">
        <f aca="true">OFFSET('☆掛負収入'!$B$65,$M$5*M16,0,1,1)</f>
        <v>480720230</v>
      </c>
      <c r="C15" s="1619" t="n">
        <f aca="true">OFFSET('☆掛負収入'!$D$65,$M$5*M16,0,1,1)-D15</f>
        <v>707614987</v>
      </c>
      <c r="D15" s="1631" t="n">
        <f aca="true">OFFSET('☆掛負収入'!$D$63,$M$5*M16,0,1,1)</f>
        <v>53070</v>
      </c>
      <c r="E15" s="1621" t="n">
        <f aca="false">SUM(B15:D15)</f>
        <v>1188388287</v>
      </c>
      <c r="F15" s="1622"/>
      <c r="G15" s="1627" t="s">
        <v>453</v>
      </c>
      <c r="H15" s="1632" t="n">
        <f aca="false">B15-H38+K37</f>
        <v>480720230</v>
      </c>
      <c r="I15" s="1623" t="n">
        <f aca="false">C15</f>
        <v>707614987</v>
      </c>
      <c r="J15" s="1633" t="n">
        <f aca="false">D15</f>
        <v>53070</v>
      </c>
      <c r="K15" s="1625" t="n">
        <f aca="false">SUM(H15:J15)</f>
        <v>1188388287</v>
      </c>
      <c r="M15" s="1628" t="n">
        <v>9</v>
      </c>
      <c r="N15" s="1603"/>
    </row>
    <row r="16" customFormat="false" ht="35.25" hidden="false" customHeight="true" outlineLevel="0" collapsed="false">
      <c r="A16" s="1627" t="s">
        <v>454</v>
      </c>
      <c r="B16" s="1618" t="n">
        <f aca="true">OFFSET('☆掛負収入'!$B$65,$M$5*M17,0,1,1)</f>
        <v>481803224</v>
      </c>
      <c r="C16" s="1619" t="n">
        <f aca="true">OFFSET('☆掛負収入'!$D$65,$M$5*M17,0,1,1)-D16</f>
        <v>709678536</v>
      </c>
      <c r="D16" s="1631" t="n">
        <f aca="true">OFFSET('☆掛負収入'!$D$63,$M$5*M17,0,1,1)</f>
        <v>56730</v>
      </c>
      <c r="E16" s="1621" t="n">
        <f aca="false">SUM(B16:D16)</f>
        <v>1191538490</v>
      </c>
      <c r="F16" s="1622"/>
      <c r="G16" s="1627" t="s">
        <v>454</v>
      </c>
      <c r="H16" s="1632" t="n">
        <f aca="false">B16-H39+K38</f>
        <v>481803224</v>
      </c>
      <c r="I16" s="1623" t="n">
        <f aca="false">C16</f>
        <v>709678536</v>
      </c>
      <c r="J16" s="1633" t="n">
        <f aca="false">D16</f>
        <v>56730</v>
      </c>
      <c r="K16" s="1625" t="n">
        <f aca="false">SUM(H16:J16)</f>
        <v>1191538490</v>
      </c>
      <c r="M16" s="1628" t="n">
        <v>10</v>
      </c>
      <c r="N16" s="1603"/>
    </row>
    <row r="17" customFormat="false" ht="35.25" hidden="false" customHeight="true" outlineLevel="0" collapsed="false">
      <c r="A17" s="1627" t="s">
        <v>455</v>
      </c>
      <c r="B17" s="1618" t="n">
        <f aca="true">OFFSET('☆掛負収入'!$B$65,$M$5*M18,0,1,1)</f>
        <v>480921440</v>
      </c>
      <c r="C17" s="1619" t="n">
        <f aca="true">OFFSET('☆掛負収入'!$D$65,$M$5*M18,0,1,1)-D17</f>
        <v>708719994</v>
      </c>
      <c r="D17" s="1631" t="n">
        <f aca="true">OFFSET('☆掛負収入'!$D$63,$M$5*M18,0,1,1)</f>
        <v>56730</v>
      </c>
      <c r="E17" s="1621" t="n">
        <f aca="false">SUM(B17:D17)</f>
        <v>1189698164</v>
      </c>
      <c r="F17" s="1622"/>
      <c r="G17" s="1627" t="s">
        <v>455</v>
      </c>
      <c r="H17" s="1632" t="n">
        <f aca="false">B17-H40+K39</f>
        <v>480921440</v>
      </c>
      <c r="I17" s="1623" t="n">
        <f aca="false">C17</f>
        <v>708719994</v>
      </c>
      <c r="J17" s="1633" t="n">
        <f aca="false">D17</f>
        <v>56730</v>
      </c>
      <c r="K17" s="1625" t="n">
        <f aca="false">SUM(H17:J17)</f>
        <v>1189698164</v>
      </c>
      <c r="M17" s="1628" t="n">
        <v>11</v>
      </c>
      <c r="N17" s="1603"/>
    </row>
    <row r="18" customFormat="false" ht="35.25" hidden="false" customHeight="true" outlineLevel="0" collapsed="false">
      <c r="A18" s="1627" t="s">
        <v>775</v>
      </c>
      <c r="B18" s="1618" t="n">
        <f aca="true">OFFSET('☆掛負収入'!$B$65,$M$5*M19,0,1,1)</f>
        <v>196926277</v>
      </c>
      <c r="C18" s="1619" t="n">
        <f aca="true">OFFSET('☆掛負収入'!$D$65,$M$5*M19,0,1,1)-D18</f>
        <v>278995099</v>
      </c>
      <c r="D18" s="1631" t="n">
        <f aca="true">OFFSET('☆掛負収入'!$D$63,$M$5*M19,0,1,1)</f>
        <v>18026</v>
      </c>
      <c r="E18" s="1621" t="n">
        <f aca="false">SUM(B18:D18)</f>
        <v>475939402</v>
      </c>
      <c r="F18" s="1622"/>
      <c r="G18" s="1627" t="s">
        <v>775</v>
      </c>
      <c r="H18" s="1632" t="n">
        <f aca="false">B18+K40</f>
        <v>196926277</v>
      </c>
      <c r="I18" s="1623" t="n">
        <f aca="false">C18</f>
        <v>278995099</v>
      </c>
      <c r="J18" s="1633" t="n">
        <f aca="false">D18</f>
        <v>18026</v>
      </c>
      <c r="K18" s="1625" t="n">
        <f aca="false">SUM(H18:J18)</f>
        <v>475939402</v>
      </c>
      <c r="M18" s="1628" t="n">
        <v>12</v>
      </c>
      <c r="N18" s="1603"/>
    </row>
    <row r="19" customFormat="false" ht="35.25" hidden="false" customHeight="true" outlineLevel="0" collapsed="false">
      <c r="A19" s="1627" t="s">
        <v>456</v>
      </c>
      <c r="B19" s="1618" t="n">
        <f aca="true">OFFSET('☆掛負収入'!$B$65,$M$5*M20,0,1,1)</f>
        <v>475792313</v>
      </c>
      <c r="C19" s="1619" t="n">
        <f aca="true">OFFSET('☆掛負収入'!$D$65,$M$5*M20,0,1,1)-D19</f>
        <v>656750671</v>
      </c>
      <c r="D19" s="1631" t="n">
        <f aca="true">OFFSET('☆掛負収入'!$D$63,$M$5*M20,0,1,1)</f>
        <v>56730</v>
      </c>
      <c r="E19" s="1621" t="n">
        <f aca="false">SUM(B19:D19)</f>
        <v>1132599714</v>
      </c>
      <c r="F19" s="1622"/>
      <c r="G19" s="1627" t="s">
        <v>456</v>
      </c>
      <c r="H19" s="1632" t="n">
        <f aca="false">B19-H41+K41</f>
        <v>475792313</v>
      </c>
      <c r="I19" s="1623" t="n">
        <f aca="false">C19</f>
        <v>656750671</v>
      </c>
      <c r="J19" s="1633" t="n">
        <f aca="false">D19</f>
        <v>56730</v>
      </c>
      <c r="K19" s="1625" t="n">
        <f aca="false">SUM(H19:J19)</f>
        <v>1132599714</v>
      </c>
      <c r="M19" s="1628" t="n">
        <v>13</v>
      </c>
      <c r="N19" s="1603"/>
    </row>
    <row r="20" customFormat="false" ht="35.25" hidden="false" customHeight="true" outlineLevel="0" collapsed="false">
      <c r="A20" s="1634" t="s">
        <v>808</v>
      </c>
      <c r="B20" s="1618" t="n">
        <f aca="true">OFFSET('☆掛負収入'!$B$65,$M$5*M21,0,1,1)</f>
        <v>24371886</v>
      </c>
      <c r="C20" s="1619" t="n">
        <f aca="true">OFFSET('☆掛負収入'!$D$65,$M$5*M21,0,1,1)-D20</f>
        <v>35276276</v>
      </c>
      <c r="D20" s="1631" t="n">
        <f aca="true">OFFSET('☆掛負収入'!$D$63,$M$5*M21,0,1,1)</f>
        <v>42684</v>
      </c>
      <c r="E20" s="1621" t="n">
        <f aca="false">SUM(B20:D20)</f>
        <v>59690846</v>
      </c>
      <c r="F20" s="1622"/>
      <c r="G20" s="1634" t="s">
        <v>808</v>
      </c>
      <c r="H20" s="1629" t="n">
        <f aca="false">B20</f>
        <v>24371886</v>
      </c>
      <c r="I20" s="1623" t="n">
        <f aca="false">C20</f>
        <v>35276276</v>
      </c>
      <c r="J20" s="1633" t="n">
        <f aca="false">D20</f>
        <v>42684</v>
      </c>
      <c r="K20" s="1625" t="n">
        <f aca="false">SUM(H20:J20)</f>
        <v>59690846</v>
      </c>
      <c r="M20" s="1628" t="n">
        <v>14</v>
      </c>
      <c r="N20" s="1603"/>
    </row>
    <row r="21" customFormat="false" ht="35.25" hidden="false" customHeight="true" outlineLevel="0" collapsed="false">
      <c r="A21" s="1635" t="s">
        <v>809</v>
      </c>
      <c r="B21" s="1618" t="n">
        <f aca="true">OFFSET('☆掛負収入'!$B$65,$M$5*M22,0,1,1)</f>
        <v>24371902</v>
      </c>
      <c r="C21" s="1619" t="n">
        <f aca="true">OFFSET('☆掛負収入'!$D$65,$M$5*M22,0,1,1)-D21</f>
        <v>35276282</v>
      </c>
      <c r="D21" s="1631" t="n">
        <f aca="true">OFFSET('☆掛負収入'!$D$63,$M$5*M22,0,1,1)</f>
        <v>42686</v>
      </c>
      <c r="E21" s="1636" t="n">
        <f aca="false">SUM(B21:D21)</f>
        <v>59690870</v>
      </c>
      <c r="F21" s="1622"/>
      <c r="G21" s="1635" t="s">
        <v>809</v>
      </c>
      <c r="H21" s="1637" t="n">
        <f aca="false">B21</f>
        <v>24371902</v>
      </c>
      <c r="I21" s="1623" t="n">
        <f aca="false">C21</f>
        <v>35276282</v>
      </c>
      <c r="J21" s="1633" t="n">
        <f aca="false">D21</f>
        <v>42686</v>
      </c>
      <c r="K21" s="1625" t="n">
        <f aca="false">SUM(H21:J21)</f>
        <v>59690870</v>
      </c>
      <c r="M21" s="1628" t="n">
        <v>15</v>
      </c>
      <c r="N21" s="1603"/>
    </row>
    <row r="22" customFormat="false" ht="35.25" hidden="false" customHeight="true" outlineLevel="0" collapsed="false">
      <c r="A22" s="1638" t="s">
        <v>457</v>
      </c>
      <c r="B22" s="1639" t="n">
        <f aca="false">SUM(B5:B21)</f>
        <v>7868089032</v>
      </c>
      <c r="C22" s="1639" t="n">
        <f aca="false">SUM(C5:C21)</f>
        <v>11433394821</v>
      </c>
      <c r="D22" s="1639" t="n">
        <f aca="false">SUM(D5:D21)</f>
        <v>930649</v>
      </c>
      <c r="E22" s="1640" t="n">
        <f aca="false">SUM(B22:D22)</f>
        <v>19302414502</v>
      </c>
      <c r="F22" s="1622"/>
      <c r="G22" s="1638" t="s">
        <v>457</v>
      </c>
      <c r="H22" s="1641" t="n">
        <f aca="false">SUM(H5:H21)</f>
        <v>7865850305</v>
      </c>
      <c r="I22" s="1642" t="n">
        <f aca="false">SUM(I5:I21)</f>
        <v>11433394821</v>
      </c>
      <c r="J22" s="1643" t="n">
        <f aca="false">SUM(J5:J21)</f>
        <v>930649</v>
      </c>
      <c r="K22" s="1644" t="n">
        <f aca="false">SUM(H22:J22)</f>
        <v>19300175775</v>
      </c>
      <c r="M22" s="1645" t="n">
        <v>16</v>
      </c>
      <c r="N22" s="1603"/>
    </row>
    <row r="23" customFormat="false" ht="41.25" hidden="false" customHeight="true" outlineLevel="0" collapsed="false">
      <c r="B23" s="925"/>
      <c r="C23" s="925"/>
      <c r="D23" s="925"/>
      <c r="E23" s="925"/>
      <c r="F23" s="925"/>
      <c r="G23" s="1646"/>
      <c r="H23" s="1647" t="s">
        <v>810</v>
      </c>
      <c r="I23" s="1647"/>
      <c r="J23" s="1647"/>
      <c r="M23" s="1648"/>
      <c r="N23" s="773"/>
      <c r="O23" s="1646"/>
      <c r="P23" s="1648"/>
      <c r="Q23" s="1648"/>
      <c r="R23" s="1648"/>
      <c r="S23" s="1603"/>
    </row>
    <row r="24" customFormat="false" ht="34.5" hidden="false" customHeight="true" outlineLevel="0" collapsed="false">
      <c r="A24" s="1649" t="s">
        <v>811</v>
      </c>
      <c r="B24" s="925"/>
      <c r="C24" s="925"/>
      <c r="D24" s="774" t="s">
        <v>421</v>
      </c>
      <c r="E24" s="774"/>
      <c r="F24" s="925"/>
      <c r="G24" s="925" t="s">
        <v>812</v>
      </c>
      <c r="H24" s="774" t="s">
        <v>421</v>
      </c>
      <c r="I24" s="925"/>
      <c r="J24" s="1648"/>
      <c r="K24" s="1648"/>
      <c r="L24" s="773"/>
      <c r="N24" s="1648"/>
      <c r="O24" s="1648"/>
      <c r="P24" s="1648"/>
      <c r="Q24" s="1648"/>
      <c r="R24" s="773"/>
      <c r="S24" s="1646"/>
      <c r="T24" s="1648"/>
      <c r="U24" s="1648"/>
      <c r="V24" s="1648"/>
      <c r="W24" s="1603"/>
    </row>
    <row r="25" customFormat="false" ht="34.5" hidden="false" customHeight="true" outlineLevel="0" collapsed="false">
      <c r="A25" s="1605" t="s">
        <v>428</v>
      </c>
      <c r="B25" s="1650" t="s">
        <v>813</v>
      </c>
      <c r="C25" s="1650"/>
      <c r="D25" s="1650"/>
      <c r="E25" s="1651"/>
      <c r="F25" s="925"/>
      <c r="G25" s="1652" t="s">
        <v>814</v>
      </c>
      <c r="H25" s="1653" t="n">
        <f aca="false">'☆掛負収入'!D1127</f>
        <v>486979788</v>
      </c>
      <c r="I25" s="774"/>
      <c r="J25" s="1654" t="s">
        <v>815</v>
      </c>
      <c r="K25" s="1654"/>
      <c r="L25" s="1654"/>
      <c r="M25" s="773"/>
      <c r="N25" s="1648"/>
      <c r="O25" s="1648"/>
      <c r="P25" s="1648"/>
      <c r="Q25" s="773"/>
      <c r="R25" s="1646"/>
      <c r="S25" s="1648"/>
      <c r="T25" s="1648"/>
      <c r="U25" s="1648"/>
      <c r="V25" s="1603"/>
    </row>
    <row r="26" customFormat="false" ht="34.5" hidden="false" customHeight="true" outlineLevel="0" collapsed="false">
      <c r="A26" s="1605"/>
      <c r="B26" s="1655" t="s">
        <v>751</v>
      </c>
      <c r="C26" s="1656" t="s">
        <v>752</v>
      </c>
      <c r="D26" s="1657" t="s">
        <v>778</v>
      </c>
      <c r="E26" s="1651"/>
      <c r="F26" s="925"/>
      <c r="G26" s="1652"/>
      <c r="H26" s="1653"/>
      <c r="I26" s="1648"/>
      <c r="J26" s="1658" t="s">
        <v>473</v>
      </c>
      <c r="K26" s="1659" t="s">
        <v>816</v>
      </c>
      <c r="L26" s="1612"/>
      <c r="N26" s="1648"/>
      <c r="O26" s="1648"/>
      <c r="P26" s="773"/>
      <c r="Q26" s="1646"/>
      <c r="R26" s="1648"/>
      <c r="S26" s="1648"/>
      <c r="T26" s="1648"/>
      <c r="U26" s="1603"/>
      <c r="V26" s="1660"/>
      <c r="W26" s="1661"/>
      <c r="X26" s="1661"/>
    </row>
    <row r="27" customFormat="false" ht="35.25" hidden="false" customHeight="true" outlineLevel="0" collapsed="false">
      <c r="A27" s="1617" t="s">
        <v>445</v>
      </c>
      <c r="B27" s="1618" t="n">
        <f aca="false">I5-D27</f>
        <v>489002964</v>
      </c>
      <c r="C27" s="1662" t="n">
        <f aca="false">J5</f>
        <v>56730</v>
      </c>
      <c r="D27" s="1663" t="n">
        <v>221662056</v>
      </c>
      <c r="E27" s="1664"/>
      <c r="F27" s="773"/>
      <c r="G27" s="1665"/>
      <c r="H27" s="1646"/>
      <c r="I27" s="1648"/>
      <c r="J27" s="1666" t="s">
        <v>445</v>
      </c>
      <c r="K27" s="1667" t="n">
        <f aca="false">未納者等入金!B5</f>
        <v>0</v>
      </c>
      <c r="L27" s="1603"/>
      <c r="M27" s="773"/>
      <c r="N27" s="1648"/>
      <c r="O27" s="1648"/>
      <c r="P27" s="773"/>
      <c r="Q27" s="1646"/>
      <c r="R27" s="1648"/>
      <c r="S27" s="1648"/>
      <c r="T27" s="1648"/>
      <c r="U27" s="1603"/>
      <c r="V27" s="1660"/>
      <c r="W27" s="1661"/>
      <c r="X27" s="1661"/>
    </row>
    <row r="28" customFormat="false" ht="35.25" hidden="false" customHeight="true" outlineLevel="0" collapsed="false">
      <c r="A28" s="1627" t="s">
        <v>446</v>
      </c>
      <c r="B28" s="1618" t="n">
        <f aca="false">I6-D28</f>
        <v>491416077</v>
      </c>
      <c r="C28" s="1662" t="n">
        <f aca="false">J6</f>
        <v>56730</v>
      </c>
      <c r="D28" s="1663" t="n">
        <v>221693178</v>
      </c>
      <c r="E28" s="1664"/>
      <c r="F28" s="773"/>
      <c r="G28" s="1654" t="s">
        <v>817</v>
      </c>
      <c r="H28" s="1654"/>
      <c r="I28" s="1654"/>
      <c r="J28" s="1668" t="s">
        <v>446</v>
      </c>
      <c r="K28" s="1667" t="n">
        <f aca="false">未納者等入金!B6</f>
        <v>0</v>
      </c>
      <c r="L28" s="1603"/>
      <c r="M28" s="1612"/>
      <c r="N28" s="1648"/>
      <c r="O28" s="1648"/>
      <c r="P28" s="773"/>
      <c r="Q28" s="1646"/>
      <c r="R28" s="1648"/>
      <c r="S28" s="1648"/>
      <c r="T28" s="1648"/>
      <c r="U28" s="1603"/>
      <c r="V28" s="1660"/>
      <c r="W28" s="1661"/>
      <c r="X28" s="1661"/>
    </row>
    <row r="29" customFormat="false" ht="35.25" hidden="false" customHeight="true" outlineLevel="0" collapsed="false">
      <c r="A29" s="1627" t="s">
        <v>447</v>
      </c>
      <c r="B29" s="1618" t="n">
        <f aca="false">I7-D29</f>
        <v>490367099</v>
      </c>
      <c r="C29" s="1662" t="n">
        <f aca="false">J7</f>
        <v>56730</v>
      </c>
      <c r="D29" s="1663" t="n">
        <v>221660460</v>
      </c>
      <c r="E29" s="1664"/>
      <c r="F29" s="925"/>
      <c r="G29" s="1658" t="s">
        <v>423</v>
      </c>
      <c r="H29" s="1659" t="s">
        <v>818</v>
      </c>
      <c r="I29" s="1669"/>
      <c r="J29" s="1668" t="s">
        <v>447</v>
      </c>
      <c r="K29" s="1667" t="n">
        <f aca="false">未納者等入金!B7</f>
        <v>0</v>
      </c>
      <c r="L29" s="1603"/>
      <c r="M29" s="1603"/>
      <c r="N29" s="1648"/>
      <c r="O29" s="1648"/>
      <c r="P29" s="773"/>
      <c r="Q29" s="1646"/>
      <c r="R29" s="1648"/>
      <c r="S29" s="1648"/>
      <c r="T29" s="1648"/>
      <c r="U29" s="1603"/>
      <c r="V29" s="1660"/>
      <c r="W29" s="1661"/>
      <c r="X29" s="1661"/>
    </row>
    <row r="30" customFormat="false" ht="35.25" hidden="false" customHeight="true" outlineLevel="0" collapsed="false">
      <c r="A30" s="1627" t="s">
        <v>773</v>
      </c>
      <c r="B30" s="1618" t="n">
        <f aca="false">I8-D30</f>
        <v>906318986</v>
      </c>
      <c r="C30" s="1662" t="n">
        <f aca="false">J8</f>
        <v>77410</v>
      </c>
      <c r="D30" s="1663" t="n">
        <v>402100190</v>
      </c>
      <c r="E30" s="1664"/>
      <c r="F30" s="925"/>
      <c r="G30" s="1666" t="s">
        <v>445</v>
      </c>
      <c r="H30" s="1667" t="n">
        <f aca="false">還付!B5+還付!B21</f>
        <v>492726</v>
      </c>
      <c r="I30" s="1669"/>
      <c r="J30" s="1668" t="s">
        <v>773</v>
      </c>
      <c r="K30" s="1667" t="n">
        <f aca="false">未納者等入金!B8</f>
        <v>0</v>
      </c>
      <c r="L30" s="1603"/>
      <c r="M30" s="1603"/>
      <c r="N30" s="1648"/>
      <c r="O30" s="773"/>
      <c r="P30" s="1646"/>
      <c r="Q30" s="1648"/>
      <c r="R30" s="1648"/>
      <c r="S30" s="1648"/>
      <c r="T30" s="1603"/>
      <c r="U30" s="1660"/>
      <c r="V30" s="1661"/>
      <c r="W30" s="1661"/>
    </row>
    <row r="31" customFormat="false" ht="35.25" hidden="false" customHeight="true" outlineLevel="0" collapsed="false">
      <c r="A31" s="1627" t="s">
        <v>448</v>
      </c>
      <c r="B31" s="1618" t="n">
        <f aca="false">I9-D31</f>
        <v>498533919</v>
      </c>
      <c r="C31" s="1662" t="n">
        <f aca="false">J9</f>
        <v>56730</v>
      </c>
      <c r="D31" s="1663" t="n">
        <v>225685173</v>
      </c>
      <c r="E31" s="1664"/>
      <c r="F31" s="925"/>
      <c r="G31" s="1668" t="s">
        <v>446</v>
      </c>
      <c r="H31" s="1667" t="n">
        <f aca="false">還付!B6+還付!B22</f>
        <v>168360</v>
      </c>
      <c r="I31" s="1670"/>
      <c r="J31" s="1668" t="s">
        <v>448</v>
      </c>
      <c r="K31" s="1667" t="n">
        <f aca="false">未納者等入金!B9</f>
        <v>0</v>
      </c>
      <c r="L31" s="1603"/>
      <c r="M31" s="1603"/>
      <c r="N31" s="1648"/>
      <c r="O31" s="773"/>
      <c r="P31" s="1646"/>
      <c r="Q31" s="1648"/>
      <c r="R31" s="1648"/>
      <c r="S31" s="1648"/>
      <c r="T31" s="1603"/>
      <c r="U31" s="1660"/>
      <c r="V31" s="1661"/>
      <c r="W31" s="1661"/>
    </row>
    <row r="32" customFormat="false" ht="35.25" hidden="false" customHeight="true" outlineLevel="0" collapsed="false">
      <c r="A32" s="1627" t="s">
        <v>449</v>
      </c>
      <c r="B32" s="1618" t="n">
        <f aca="false">I10-D32</f>
        <v>492285615</v>
      </c>
      <c r="C32" s="1662" t="n">
        <f aca="false">J10</f>
        <v>56730</v>
      </c>
      <c r="D32" s="1663" t="n">
        <v>223713714</v>
      </c>
      <c r="E32" s="1664"/>
      <c r="F32" s="925"/>
      <c r="G32" s="1668" t="s">
        <v>447</v>
      </c>
      <c r="H32" s="1667" t="n">
        <f aca="false">還付!B7+還付!B23</f>
        <v>363894</v>
      </c>
      <c r="I32" s="1670"/>
      <c r="J32" s="1668" t="s">
        <v>449</v>
      </c>
      <c r="K32" s="1667" t="n">
        <f aca="false">未納者等入金!B10</f>
        <v>0</v>
      </c>
      <c r="L32" s="1603"/>
      <c r="M32" s="1603"/>
      <c r="N32" s="1648"/>
      <c r="O32" s="773"/>
      <c r="P32" s="1646"/>
      <c r="Q32" s="1648"/>
      <c r="R32" s="1648"/>
      <c r="S32" s="1648"/>
      <c r="T32" s="1603"/>
      <c r="U32" s="1660"/>
      <c r="V32" s="1661"/>
      <c r="W32" s="1661"/>
    </row>
    <row r="33" customFormat="false" ht="35.25" hidden="false" customHeight="true" outlineLevel="0" collapsed="false">
      <c r="A33" s="1627" t="s">
        <v>450</v>
      </c>
      <c r="B33" s="1618" t="n">
        <f aca="false">I11-D33</f>
        <v>511957910</v>
      </c>
      <c r="C33" s="1662" t="n">
        <f aca="false">J11</f>
        <v>60390</v>
      </c>
      <c r="D33" s="1663" t="n">
        <v>215839187</v>
      </c>
      <c r="E33" s="1664"/>
      <c r="F33" s="925"/>
      <c r="G33" s="1668" t="s">
        <v>448</v>
      </c>
      <c r="H33" s="1667" t="n">
        <f aca="false">還付!B8+還付!B24</f>
        <v>503707</v>
      </c>
      <c r="I33" s="1670"/>
      <c r="J33" s="1668" t="s">
        <v>450</v>
      </c>
      <c r="K33" s="1667" t="n">
        <f aca="false">未納者等入金!B11</f>
        <v>0</v>
      </c>
      <c r="L33" s="1603"/>
      <c r="M33" s="1603"/>
      <c r="N33" s="1648"/>
      <c r="O33" s="773"/>
      <c r="P33" s="1646"/>
      <c r="Q33" s="1648"/>
      <c r="R33" s="1648"/>
      <c r="S33" s="1648"/>
      <c r="T33" s="1603"/>
      <c r="U33" s="1660"/>
      <c r="V33" s="1661"/>
      <c r="W33" s="1661"/>
    </row>
    <row r="34" customFormat="false" ht="35.25" hidden="false" customHeight="true" outlineLevel="0" collapsed="false">
      <c r="A34" s="1627" t="s">
        <v>451</v>
      </c>
      <c r="B34" s="1618" t="n">
        <f aca="false">I12-D34</f>
        <v>493999741</v>
      </c>
      <c r="C34" s="1662" t="n">
        <f aca="false">J12</f>
        <v>58560</v>
      </c>
      <c r="D34" s="1663" t="n">
        <v>215792595</v>
      </c>
      <c r="E34" s="1664"/>
      <c r="F34" s="925"/>
      <c r="G34" s="1668" t="s">
        <v>449</v>
      </c>
      <c r="H34" s="1667" t="n">
        <f aca="false">還付!B9+還付!B25</f>
        <v>367830</v>
      </c>
      <c r="I34" s="1670"/>
      <c r="J34" s="1668" t="s">
        <v>451</v>
      </c>
      <c r="K34" s="1667" t="n">
        <f aca="false">未納者等入金!B12</f>
        <v>0</v>
      </c>
      <c r="L34" s="1603"/>
      <c r="M34" s="1603"/>
      <c r="N34" s="1648"/>
      <c r="O34" s="773"/>
      <c r="P34" s="1646"/>
      <c r="Q34" s="1648"/>
      <c r="R34" s="1648"/>
      <c r="S34" s="1648"/>
      <c r="T34" s="1603"/>
      <c r="U34" s="1660"/>
      <c r="V34" s="1661"/>
      <c r="W34" s="1661"/>
    </row>
    <row r="35" customFormat="false" ht="35.25" hidden="false" customHeight="true" outlineLevel="0" collapsed="false">
      <c r="A35" s="1627" t="s">
        <v>452</v>
      </c>
      <c r="B35" s="1618" t="n">
        <f aca="false">I13-D35</f>
        <v>492201734</v>
      </c>
      <c r="C35" s="1662" t="n">
        <f aca="false">J13</f>
        <v>53070</v>
      </c>
      <c r="D35" s="1663" t="n">
        <v>215789683</v>
      </c>
      <c r="E35" s="1664"/>
      <c r="F35" s="925"/>
      <c r="G35" s="1668" t="s">
        <v>450</v>
      </c>
      <c r="H35" s="1667" t="n">
        <f aca="false">還付!B10+還付!B26</f>
        <v>342210</v>
      </c>
      <c r="I35" s="1670"/>
      <c r="J35" s="1668" t="s">
        <v>452</v>
      </c>
      <c r="K35" s="1667" t="n">
        <f aca="false">未納者等入金!B13</f>
        <v>0</v>
      </c>
      <c r="L35" s="1603"/>
      <c r="M35" s="1603"/>
      <c r="N35" s="1648"/>
      <c r="O35" s="773"/>
      <c r="P35" s="1646"/>
      <c r="Q35" s="1648"/>
      <c r="R35" s="1648"/>
      <c r="S35" s="1648"/>
      <c r="T35" s="1603"/>
      <c r="U35" s="1660"/>
      <c r="V35" s="1661"/>
      <c r="W35" s="1661"/>
    </row>
    <row r="36" customFormat="false" ht="35.25" hidden="false" customHeight="true" outlineLevel="0" collapsed="false">
      <c r="A36" s="1627" t="s">
        <v>774</v>
      </c>
      <c r="B36" s="1618" t="n">
        <f aca="false">I14-D36</f>
        <v>924941460</v>
      </c>
      <c r="C36" s="1662" t="n">
        <f aca="false">J14</f>
        <v>70913</v>
      </c>
      <c r="D36" s="1663" t="n">
        <v>346121235</v>
      </c>
      <c r="E36" s="1664"/>
      <c r="F36" s="925"/>
      <c r="G36" s="1668" t="s">
        <v>451</v>
      </c>
      <c r="H36" s="1667" t="n">
        <f aca="false">還付!B11+還付!B27</f>
        <v>0</v>
      </c>
      <c r="I36" s="1670"/>
      <c r="J36" s="1668" t="s">
        <v>774</v>
      </c>
      <c r="K36" s="1667" t="n">
        <f aca="false">未納者等入金!B14</f>
        <v>0</v>
      </c>
      <c r="L36" s="1603"/>
      <c r="M36" s="1603"/>
      <c r="N36" s="1648"/>
      <c r="O36" s="773"/>
      <c r="P36" s="1646"/>
      <c r="Q36" s="1648"/>
      <c r="R36" s="1648"/>
      <c r="S36" s="1648"/>
      <c r="T36" s="1603"/>
      <c r="U36" s="1660"/>
      <c r="V36" s="1661"/>
      <c r="W36" s="1661"/>
    </row>
    <row r="37" customFormat="false" ht="35.25" hidden="false" customHeight="true" outlineLevel="0" collapsed="false">
      <c r="A37" s="1627" t="s">
        <v>453</v>
      </c>
      <c r="B37" s="1618" t="n">
        <f aca="false">I15-D37</f>
        <v>491863160</v>
      </c>
      <c r="C37" s="1662" t="n">
        <f aca="false">J15</f>
        <v>53070</v>
      </c>
      <c r="D37" s="1663" t="n">
        <v>215751827</v>
      </c>
      <c r="E37" s="1664"/>
      <c r="F37" s="925"/>
      <c r="G37" s="1668" t="s">
        <v>452</v>
      </c>
      <c r="H37" s="1667" t="n">
        <f aca="false">還付!B12+還付!B28</f>
        <v>0</v>
      </c>
      <c r="I37" s="1670"/>
      <c r="J37" s="1668" t="s">
        <v>453</v>
      </c>
      <c r="K37" s="1667" t="n">
        <f aca="false">未納者等入金!B15</f>
        <v>0</v>
      </c>
      <c r="L37" s="1603"/>
      <c r="M37" s="1603"/>
      <c r="N37" s="1648"/>
      <c r="O37" s="773"/>
      <c r="P37" s="1646"/>
      <c r="Q37" s="1648"/>
      <c r="R37" s="1648"/>
      <c r="S37" s="1648"/>
      <c r="T37" s="1603"/>
      <c r="U37" s="1660"/>
      <c r="V37" s="1661"/>
      <c r="W37" s="1661"/>
    </row>
    <row r="38" customFormat="false" ht="35.25" hidden="false" customHeight="true" outlineLevel="0" collapsed="false">
      <c r="A38" s="1627" t="s">
        <v>454</v>
      </c>
      <c r="B38" s="1618" t="n">
        <f aca="false">I16-D38</f>
        <v>493626440</v>
      </c>
      <c r="C38" s="1662" t="n">
        <f aca="false">J16</f>
        <v>56730</v>
      </c>
      <c r="D38" s="1663" t="n">
        <v>216052096</v>
      </c>
      <c r="E38" s="1664"/>
      <c r="F38" s="925"/>
      <c r="G38" s="1668" t="s">
        <v>453</v>
      </c>
      <c r="H38" s="1667" t="n">
        <f aca="false">還付!B13+還付!B29</f>
        <v>0</v>
      </c>
      <c r="I38" s="1670"/>
      <c r="J38" s="1668" t="s">
        <v>454</v>
      </c>
      <c r="K38" s="1667" t="n">
        <f aca="false">未納者等入金!B16</f>
        <v>0</v>
      </c>
      <c r="L38" s="1603"/>
      <c r="M38" s="1603"/>
      <c r="N38" s="1648"/>
      <c r="O38" s="773"/>
      <c r="P38" s="1646"/>
      <c r="Q38" s="1648"/>
      <c r="R38" s="1648"/>
      <c r="S38" s="1648"/>
      <c r="T38" s="1603"/>
      <c r="U38" s="1660"/>
      <c r="V38" s="1661"/>
      <c r="W38" s="1661"/>
    </row>
    <row r="39" customFormat="false" ht="35.25" hidden="false" customHeight="true" outlineLevel="0" collapsed="false">
      <c r="A39" s="1627" t="s">
        <v>455</v>
      </c>
      <c r="B39" s="1618" t="n">
        <f aca="false">I17-D39</f>
        <v>493012346</v>
      </c>
      <c r="C39" s="1662" t="n">
        <f aca="false">J17</f>
        <v>56730</v>
      </c>
      <c r="D39" s="1663" t="n">
        <v>215707648</v>
      </c>
      <c r="E39" s="1664"/>
      <c r="F39" s="925"/>
      <c r="G39" s="1668" t="s">
        <v>454</v>
      </c>
      <c r="H39" s="1667" t="n">
        <f aca="false">還付!B14+還付!B30</f>
        <v>0</v>
      </c>
      <c r="I39" s="1670"/>
      <c r="J39" s="1668" t="s">
        <v>455</v>
      </c>
      <c r="K39" s="1667" t="n">
        <f aca="false">未納者等入金!B17</f>
        <v>0</v>
      </c>
      <c r="L39" s="1603"/>
      <c r="M39" s="1603"/>
      <c r="O39" s="773"/>
      <c r="P39" s="1646"/>
      <c r="Q39" s="1648"/>
      <c r="R39" s="1648"/>
      <c r="S39" s="1648"/>
      <c r="T39" s="1603"/>
      <c r="U39" s="1660"/>
      <c r="V39" s="1661"/>
      <c r="W39" s="1661"/>
    </row>
    <row r="40" customFormat="false" ht="35.25" hidden="false" customHeight="true" outlineLevel="0" collapsed="false">
      <c r="A40" s="1627" t="s">
        <v>775</v>
      </c>
      <c r="B40" s="1618" t="n">
        <f aca="false">I18-D40</f>
        <v>190494303</v>
      </c>
      <c r="C40" s="1662" t="n">
        <f aca="false">J18</f>
        <v>18026</v>
      </c>
      <c r="D40" s="1663" t="n">
        <v>88500796</v>
      </c>
      <c r="E40" s="1664"/>
      <c r="F40" s="925"/>
      <c r="G40" s="1668" t="s">
        <v>455</v>
      </c>
      <c r="H40" s="1667" t="n">
        <f aca="false">還付!B15+還付!B31</f>
        <v>0</v>
      </c>
      <c r="I40" s="1670"/>
      <c r="J40" s="1671" t="s">
        <v>775</v>
      </c>
      <c r="K40" s="1667" t="n">
        <f aca="false">未納者等入金!B18</f>
        <v>0</v>
      </c>
      <c r="L40" s="1603"/>
      <c r="M40" s="1603"/>
      <c r="N40" s="1648"/>
      <c r="O40" s="1648"/>
      <c r="P40" s="773"/>
      <c r="Q40" s="1646"/>
      <c r="R40" s="1648"/>
      <c r="S40" s="1648"/>
      <c r="T40" s="1648"/>
      <c r="U40" s="1603"/>
      <c r="V40" s="1660"/>
      <c r="W40" s="1661"/>
      <c r="X40" s="1661"/>
    </row>
    <row r="41" customFormat="false" ht="35.25" hidden="false" customHeight="true" outlineLevel="0" collapsed="false">
      <c r="A41" s="1627" t="s">
        <v>456</v>
      </c>
      <c r="B41" s="1618" t="n">
        <f aca="false">I19-D41</f>
        <v>438905615</v>
      </c>
      <c r="C41" s="1662" t="n">
        <f aca="false">J19</f>
        <v>56730</v>
      </c>
      <c r="D41" s="1663" t="n">
        <v>217845056</v>
      </c>
      <c r="E41" s="1664"/>
      <c r="F41" s="925"/>
      <c r="G41" s="1671" t="s">
        <v>456</v>
      </c>
      <c r="H41" s="1667" t="n">
        <f aca="false">還付!B16+還付!B32</f>
        <v>0</v>
      </c>
      <c r="I41" s="1672"/>
      <c r="J41" s="1673" t="s">
        <v>456</v>
      </c>
      <c r="K41" s="1667" t="n">
        <f aca="false">未納者等入金!B19</f>
        <v>0</v>
      </c>
      <c r="L41" s="1603"/>
      <c r="M41" s="1603"/>
      <c r="N41" s="1648"/>
      <c r="O41" s="1648"/>
      <c r="P41" s="773"/>
      <c r="Q41" s="1646"/>
      <c r="R41" s="1648"/>
      <c r="S41" s="1648"/>
      <c r="T41" s="1648"/>
      <c r="U41" s="1603"/>
      <c r="V41" s="1660"/>
      <c r="W41" s="1661"/>
      <c r="X41" s="1661"/>
    </row>
    <row r="42" customFormat="false" ht="35.25" hidden="false" customHeight="true" outlineLevel="0" collapsed="false">
      <c r="A42" s="1634" t="s">
        <v>808</v>
      </c>
      <c r="B42" s="1618" t="n">
        <f aca="false">I20-D42</f>
        <v>34377051</v>
      </c>
      <c r="C42" s="1662" t="n">
        <f aca="false">J20</f>
        <v>42684</v>
      </c>
      <c r="D42" s="1674" t="n">
        <v>899225</v>
      </c>
      <c r="E42" s="1664"/>
      <c r="F42" s="925"/>
      <c r="G42" s="1675" t="s">
        <v>457</v>
      </c>
      <c r="H42" s="1676" t="n">
        <f aca="false">SUM(H30:H41)</f>
        <v>2238727</v>
      </c>
      <c r="I42" s="1677"/>
      <c r="J42" s="1678" t="s">
        <v>457</v>
      </c>
      <c r="K42" s="1676" t="n">
        <f aca="false">SUM(K27:K41)</f>
        <v>0</v>
      </c>
      <c r="L42" s="1603"/>
      <c r="M42" s="1603"/>
      <c r="N42" s="1603"/>
      <c r="O42" s="1603"/>
      <c r="P42" s="1603"/>
      <c r="Q42" s="773"/>
      <c r="R42" s="1646"/>
      <c r="S42" s="1603"/>
      <c r="T42" s="1603"/>
      <c r="U42" s="1603"/>
      <c r="V42" s="1603"/>
    </row>
    <row r="43" customFormat="false" ht="35.25" hidden="false" customHeight="true" outlineLevel="0" collapsed="false">
      <c r="A43" s="1635" t="s">
        <v>809</v>
      </c>
      <c r="B43" s="1637" t="n">
        <f aca="false">I21-D43</f>
        <v>34376558</v>
      </c>
      <c r="C43" s="1679" t="n">
        <f aca="false">J21</f>
        <v>42686</v>
      </c>
      <c r="D43" s="1680" t="n">
        <v>899724</v>
      </c>
      <c r="E43" s="1664"/>
      <c r="F43" s="925"/>
      <c r="G43" s="1646"/>
      <c r="H43" s="1648"/>
      <c r="I43" s="1600"/>
      <c r="J43" s="1681"/>
      <c r="K43" s="1682"/>
      <c r="L43" s="1603"/>
      <c r="M43" s="1603"/>
      <c r="N43" s="1603"/>
      <c r="O43" s="1603"/>
      <c r="P43" s="1603"/>
      <c r="Q43" s="773"/>
      <c r="R43" s="1646"/>
      <c r="S43" s="1603"/>
      <c r="T43" s="1603"/>
      <c r="U43" s="1603"/>
      <c r="V43" s="1603"/>
    </row>
    <row r="44" customFormat="false" ht="35.25" hidden="false" customHeight="true" outlineLevel="0" collapsed="false">
      <c r="A44" s="1638" t="s">
        <v>457</v>
      </c>
      <c r="B44" s="1641" t="n">
        <f aca="false">SUM(B27:B43)</f>
        <v>7967680978</v>
      </c>
      <c r="C44" s="1639" t="n">
        <f aca="false">SUM(C27:C43)</f>
        <v>930649</v>
      </c>
      <c r="D44" s="1683" t="n">
        <f aca="false">SUM(D27:D43)</f>
        <v>3465713843</v>
      </c>
      <c r="E44" s="1684"/>
      <c r="F44" s="925"/>
      <c r="G44" s="1646"/>
      <c r="H44" s="1648"/>
      <c r="I44" s="1600"/>
      <c r="J44" s="1681"/>
      <c r="K44" s="1682"/>
      <c r="L44" s="1603"/>
      <c r="M44" s="1603"/>
      <c r="N44" s="1603"/>
      <c r="O44" s="1603"/>
      <c r="P44" s="1603"/>
      <c r="Q44" s="773"/>
      <c r="R44" s="1646"/>
      <c r="S44" s="1603"/>
      <c r="T44" s="1603"/>
      <c r="U44" s="1603"/>
      <c r="V44" s="1603"/>
    </row>
    <row r="45" s="1557" customFormat="true" ht="34.5" hidden="false" customHeight="true" outlineLevel="0" collapsed="false">
      <c r="A45" s="1685" t="str">
        <f aca="false">A1</f>
        <v>令和8年度</v>
      </c>
      <c r="B45" s="1598" t="s">
        <v>819</v>
      </c>
      <c r="C45" s="768"/>
      <c r="D45" s="768"/>
      <c r="E45" s="768"/>
      <c r="F45" s="768"/>
      <c r="G45" s="925"/>
      <c r="H45" s="925"/>
      <c r="I45" s="925"/>
      <c r="J45" s="925"/>
      <c r="K45" s="925"/>
      <c r="L45" s="768"/>
      <c r="M45" s="1686" t="s">
        <v>820</v>
      </c>
      <c r="N45" s="1600"/>
      <c r="O45" s="1600"/>
      <c r="P45" s="1600"/>
      <c r="Q45" s="1687"/>
      <c r="R45" s="1599"/>
      <c r="S45" s="1600"/>
      <c r="T45" s="1600"/>
      <c r="U45" s="1600"/>
      <c r="V45" s="1600"/>
    </row>
    <row r="46" customFormat="false" ht="34.5" hidden="false" customHeight="true" outlineLevel="0" collapsed="false">
      <c r="A46" s="1601" t="s">
        <v>821</v>
      </c>
      <c r="B46" s="925"/>
      <c r="C46" s="925"/>
      <c r="D46" s="925"/>
      <c r="E46" s="774"/>
      <c r="F46" s="1602"/>
      <c r="G46" s="925" t="s">
        <v>822</v>
      </c>
      <c r="H46" s="925"/>
      <c r="I46" s="925"/>
      <c r="J46" s="925"/>
      <c r="K46" s="774"/>
      <c r="L46" s="773"/>
      <c r="M46" s="1601" t="s">
        <v>823</v>
      </c>
      <c r="P46" s="774"/>
      <c r="Q46" s="1603"/>
      <c r="R46" s="1681"/>
      <c r="S46" s="1688"/>
      <c r="T46" s="1687"/>
    </row>
    <row r="47" customFormat="false" ht="34.5" hidden="false" customHeight="true" outlineLevel="0" collapsed="false">
      <c r="A47" s="1298" t="s">
        <v>428</v>
      </c>
      <c r="B47" s="1606" t="s">
        <v>824</v>
      </c>
      <c r="C47" s="1607" t="s">
        <v>377</v>
      </c>
      <c r="D47" s="1607"/>
      <c r="E47" s="1689" t="s">
        <v>427</v>
      </c>
      <c r="F47" s="1690"/>
      <c r="G47" s="1298" t="s">
        <v>428</v>
      </c>
      <c r="H47" s="1606" t="s">
        <v>825</v>
      </c>
      <c r="I47" s="1607" t="s">
        <v>377</v>
      </c>
      <c r="J47" s="1607"/>
      <c r="K47" s="1611" t="s">
        <v>427</v>
      </c>
      <c r="L47" s="773"/>
      <c r="M47" s="1298" t="s">
        <v>428</v>
      </c>
      <c r="N47" s="1606" t="s">
        <v>826</v>
      </c>
      <c r="O47" s="1691" t="s">
        <v>377</v>
      </c>
      <c r="P47" s="1692" t="s">
        <v>427</v>
      </c>
    </row>
    <row r="48" customFormat="false" ht="34.5" hidden="false" customHeight="true" outlineLevel="0" collapsed="false">
      <c r="A48" s="1298"/>
      <c r="B48" s="1606"/>
      <c r="C48" s="1613" t="s">
        <v>751</v>
      </c>
      <c r="D48" s="1693" t="s">
        <v>752</v>
      </c>
      <c r="E48" s="1689"/>
      <c r="F48" s="1690"/>
      <c r="G48" s="1298"/>
      <c r="H48" s="1606"/>
      <c r="I48" s="1615" t="s">
        <v>751</v>
      </c>
      <c r="J48" s="1616" t="s">
        <v>752</v>
      </c>
      <c r="K48" s="1611"/>
      <c r="L48" s="773"/>
      <c r="M48" s="1298"/>
      <c r="N48" s="1606"/>
      <c r="O48" s="1691"/>
      <c r="P48" s="1692"/>
    </row>
    <row r="49" customFormat="false" ht="35.25" hidden="false" customHeight="true" outlineLevel="0" collapsed="false">
      <c r="A49" s="1617" t="s">
        <v>445</v>
      </c>
      <c r="B49" s="1618" t="n">
        <f aca="true">OFFSET('☆掛負収入'!$C$65,$M$5*M6,0,1,1)+K70</f>
        <v>40201528</v>
      </c>
      <c r="C49" s="1694" t="n">
        <f aca="false">O49-D49</f>
        <v>40063843</v>
      </c>
      <c r="D49" s="1695" t="n">
        <f aca="true">OFFSET('☆掛負収入'!$E$63,$M$5*M6,0,1,1)</f>
        <v>4650</v>
      </c>
      <c r="E49" s="1621" t="n">
        <f aca="false">SUM(B49:D49)</f>
        <v>80270021</v>
      </c>
      <c r="F49" s="1696"/>
      <c r="G49" s="1617" t="s">
        <v>445</v>
      </c>
      <c r="H49" s="1618" t="n">
        <f aca="false">B49-H70</f>
        <v>40161142</v>
      </c>
      <c r="I49" s="1623" t="n">
        <f aca="false">C49</f>
        <v>40063843</v>
      </c>
      <c r="J49" s="1624" t="n">
        <f aca="false">D49</f>
        <v>4650</v>
      </c>
      <c r="K49" s="1625" t="n">
        <f aca="false">SUM(H49:J49)</f>
        <v>80229635</v>
      </c>
      <c r="L49" s="773"/>
      <c r="M49" s="1617" t="s">
        <v>445</v>
      </c>
      <c r="N49" s="1618" t="n">
        <f aca="true">OFFSET('☆掛負収入'!$C$65,$M$5*M6,0,1,1)</f>
        <v>40201528</v>
      </c>
      <c r="O49" s="1618" t="n">
        <f aca="true">OFFSET('☆掛負収入'!$E$65,$M$5*M6,0,1,1)</f>
        <v>40068493</v>
      </c>
      <c r="P49" s="1621" t="n">
        <f aca="false">SUM(N49:O49)</f>
        <v>80270021</v>
      </c>
    </row>
    <row r="50" customFormat="false" ht="35.25" hidden="false" customHeight="true" outlineLevel="0" collapsed="false">
      <c r="A50" s="1627" t="s">
        <v>446</v>
      </c>
      <c r="B50" s="1618" t="n">
        <f aca="true">OFFSET('☆掛負収入'!$C$65,$M$5*M7,0,1,1)+K71</f>
        <v>40270934</v>
      </c>
      <c r="C50" s="1619" t="n">
        <f aca="false">O50-D50</f>
        <v>40264484</v>
      </c>
      <c r="D50" s="1697" t="n">
        <f aca="true">OFFSET('☆掛負収入'!$E$63,$M$5*M7,0,1,1)</f>
        <v>4650</v>
      </c>
      <c r="E50" s="1621" t="n">
        <f aca="false">SUM(B50:D50)</f>
        <v>80540068</v>
      </c>
      <c r="F50" s="1696"/>
      <c r="G50" s="1627" t="s">
        <v>446</v>
      </c>
      <c r="H50" s="1618" t="n">
        <f aca="false">B50-H71</f>
        <v>40257134</v>
      </c>
      <c r="I50" s="1623" t="n">
        <f aca="false">C50</f>
        <v>40264484</v>
      </c>
      <c r="J50" s="1624" t="n">
        <f aca="false">D50</f>
        <v>4650</v>
      </c>
      <c r="K50" s="1625" t="n">
        <f aca="false">SUM(H50:J50)</f>
        <v>80526268</v>
      </c>
      <c r="L50" s="773"/>
      <c r="M50" s="1627" t="s">
        <v>446</v>
      </c>
      <c r="N50" s="1618" t="n">
        <f aca="true">OFFSET('☆掛負収入'!$C$65,$M$5*M7,0,1,1)</f>
        <v>40270934</v>
      </c>
      <c r="O50" s="1618" t="n">
        <f aca="true">OFFSET('☆掛負収入'!$E$65,$M$5*M7,0,1,1)</f>
        <v>40269134</v>
      </c>
      <c r="P50" s="1621" t="n">
        <f aca="false">SUM(N50:O50)</f>
        <v>80540068</v>
      </c>
    </row>
    <row r="51" customFormat="false" ht="35.25" hidden="false" customHeight="true" outlineLevel="0" collapsed="false">
      <c r="A51" s="1627" t="s">
        <v>447</v>
      </c>
      <c r="B51" s="1618" t="n">
        <f aca="true">OFFSET('☆掛負収入'!$C$65,$M$5*M8,0,1,1)+K72</f>
        <v>40212577</v>
      </c>
      <c r="C51" s="1619" t="n">
        <f aca="false">O51-D51</f>
        <v>40176158</v>
      </c>
      <c r="D51" s="1697" t="n">
        <f aca="true">OFFSET('☆掛負収入'!$E$63,$M$5*M8,0,1,1)</f>
        <v>4650</v>
      </c>
      <c r="E51" s="1621" t="n">
        <f aca="false">SUM(B51:D51)</f>
        <v>80393385</v>
      </c>
      <c r="F51" s="1696"/>
      <c r="G51" s="1627" t="s">
        <v>447</v>
      </c>
      <c r="H51" s="1618" t="n">
        <f aca="false">B51-H72</f>
        <v>40182751</v>
      </c>
      <c r="I51" s="1623" t="n">
        <f aca="false">C51</f>
        <v>40176158</v>
      </c>
      <c r="J51" s="1624" t="n">
        <f aca="false">D51</f>
        <v>4650</v>
      </c>
      <c r="K51" s="1625" t="n">
        <f aca="false">SUM(H51:J51)</f>
        <v>80363559</v>
      </c>
      <c r="L51" s="773"/>
      <c r="M51" s="1627" t="s">
        <v>447</v>
      </c>
      <c r="N51" s="1618" t="n">
        <f aca="true">OFFSET('☆掛負収入'!$C$65,$M$5*M8,0,1,1)</f>
        <v>40212577</v>
      </c>
      <c r="O51" s="1618" t="n">
        <f aca="true">OFFSET('☆掛負収入'!$E$65,$M$5*M8,0,1,1)</f>
        <v>40180808</v>
      </c>
      <c r="P51" s="1621" t="n">
        <f aca="false">SUM(N51:O51)</f>
        <v>80393385</v>
      </c>
    </row>
    <row r="52" customFormat="false" ht="35.25" hidden="false" customHeight="true" outlineLevel="0" collapsed="false">
      <c r="A52" s="1627" t="s">
        <v>773</v>
      </c>
      <c r="B52" s="1618" t="n">
        <f aca="true">OFFSET('☆掛負収入'!$C$65,$M$5*M9,0,1,1)+K73</f>
        <v>74370232</v>
      </c>
      <c r="C52" s="1619" t="n">
        <f aca="false">O52-D52</f>
        <v>74366479</v>
      </c>
      <c r="D52" s="1631" t="n">
        <f aca="true">OFFSET('☆掛負収入'!$E$63,$M$5*M9,0,1,1)</f>
        <v>6344</v>
      </c>
      <c r="E52" s="1621" t="n">
        <f aca="false">SUM(B52:D52)</f>
        <v>148743055</v>
      </c>
      <c r="F52" s="1696"/>
      <c r="G52" s="1627" t="s">
        <v>773</v>
      </c>
      <c r="H52" s="1629" t="n">
        <f aca="false">B52</f>
        <v>74370232</v>
      </c>
      <c r="I52" s="1623" t="n">
        <f aca="false">C52</f>
        <v>74366479</v>
      </c>
      <c r="J52" s="1624" t="n">
        <f aca="false">D52</f>
        <v>6344</v>
      </c>
      <c r="K52" s="1625" t="n">
        <f aca="false">SUM(H52:J52)</f>
        <v>148743055</v>
      </c>
      <c r="L52" s="773"/>
      <c r="M52" s="1627" t="s">
        <v>773</v>
      </c>
      <c r="N52" s="1618" t="n">
        <f aca="true">OFFSET('☆掛負収入'!$C$65,$M$5*M9,0,1,1)</f>
        <v>74370232</v>
      </c>
      <c r="O52" s="1618" t="n">
        <f aca="true">OFFSET('☆掛負収入'!$E$65,$M$5*M9,0,1,1)</f>
        <v>74372823</v>
      </c>
      <c r="P52" s="1621" t="n">
        <f aca="false">SUM(N52:O52)</f>
        <v>148743055</v>
      </c>
    </row>
    <row r="53" customFormat="false" ht="35.25" hidden="false" customHeight="true" outlineLevel="0" collapsed="false">
      <c r="A53" s="1627" t="s">
        <v>448</v>
      </c>
      <c r="B53" s="1618" t="n">
        <f aca="true">OFFSET('☆掛負収入'!$C$65,$M$5*M10,0,1,1)+K74</f>
        <v>40879913</v>
      </c>
      <c r="C53" s="1619" t="n">
        <f aca="false">O53-D53</f>
        <v>40847028</v>
      </c>
      <c r="D53" s="1620" t="n">
        <f aca="true">OFFSET('☆掛負収入'!$E$63,$M$5*M10,0,1,1)</f>
        <v>4650</v>
      </c>
      <c r="E53" s="1621" t="n">
        <f aca="false">SUM(B53:D53)</f>
        <v>81731591</v>
      </c>
      <c r="F53" s="1696"/>
      <c r="G53" s="1627" t="s">
        <v>448</v>
      </c>
      <c r="H53" s="1629" t="n">
        <f aca="false">B53-H73</f>
        <v>40838626</v>
      </c>
      <c r="I53" s="1623" t="n">
        <f aca="false">C53</f>
        <v>40847028</v>
      </c>
      <c r="J53" s="1624" t="n">
        <f aca="false">D53</f>
        <v>4650</v>
      </c>
      <c r="K53" s="1625" t="n">
        <f aca="false">SUM(H53:J53)</f>
        <v>81690304</v>
      </c>
      <c r="L53" s="773"/>
      <c r="M53" s="1627" t="s">
        <v>448</v>
      </c>
      <c r="N53" s="1618" t="n">
        <f aca="true">OFFSET('☆掛負収入'!$C$65,$M$5*M10,0,1,1)</f>
        <v>40879913</v>
      </c>
      <c r="O53" s="1618" t="n">
        <f aca="true">OFFSET('☆掛負収入'!$E$65,$M$5*M10,0,1,1)</f>
        <v>40851678</v>
      </c>
      <c r="P53" s="1621" t="n">
        <f aca="false">SUM(N53:O53)</f>
        <v>81731591</v>
      </c>
    </row>
    <row r="54" customFormat="false" ht="35.25" hidden="false" customHeight="true" outlineLevel="0" collapsed="false">
      <c r="A54" s="1627" t="s">
        <v>449</v>
      </c>
      <c r="B54" s="1618" t="n">
        <f aca="true">OFFSET('☆掛負収入'!$C$65,$M$5*M11,0,1,1)+K75</f>
        <v>40391309</v>
      </c>
      <c r="C54" s="1619" t="n">
        <f aca="false">O54-D54</f>
        <v>40362810</v>
      </c>
      <c r="D54" s="1620" t="n">
        <f aca="true">OFFSET('☆掛負収入'!$E$63,$M$5*M11,0,1,1)</f>
        <v>4650</v>
      </c>
      <c r="E54" s="1621" t="n">
        <f aca="false">SUM(B54:D54)</f>
        <v>80758769</v>
      </c>
      <c r="F54" s="1696"/>
      <c r="G54" s="1627" t="s">
        <v>449</v>
      </c>
      <c r="H54" s="1629" t="n">
        <f aca="false">B54-H74</f>
        <v>40361159</v>
      </c>
      <c r="I54" s="1623" t="n">
        <f aca="false">C54</f>
        <v>40362810</v>
      </c>
      <c r="J54" s="1624" t="n">
        <f aca="false">D54</f>
        <v>4650</v>
      </c>
      <c r="K54" s="1625" t="n">
        <f aca="false">SUM(H54:J54)</f>
        <v>80728619</v>
      </c>
      <c r="L54" s="773"/>
      <c r="M54" s="1627" t="s">
        <v>449</v>
      </c>
      <c r="N54" s="1618" t="n">
        <f aca="true">OFFSET('☆掛負収入'!$C$65,$M$5*M11,0,1,1)</f>
        <v>40391309</v>
      </c>
      <c r="O54" s="1618" t="n">
        <f aca="true">OFFSET('☆掛負収入'!$E$65,$M$5*M11,0,1,1)</f>
        <v>40367460</v>
      </c>
      <c r="P54" s="1621" t="n">
        <f aca="false">SUM(N54:O54)</f>
        <v>80758769</v>
      </c>
    </row>
    <row r="55" customFormat="false" ht="35.25" hidden="false" customHeight="true" outlineLevel="0" collapsed="false">
      <c r="A55" s="1627" t="s">
        <v>450</v>
      </c>
      <c r="B55" s="1618" t="n">
        <f aca="true">OFFSET('☆掛負収入'!$C$65,$M$5*M12,0,1,1)+K76</f>
        <v>40801581</v>
      </c>
      <c r="C55" s="1619" t="n">
        <f aca="false">O55-D55</f>
        <v>40980234</v>
      </c>
      <c r="D55" s="1620" t="n">
        <f aca="true">OFFSET('☆掛負収入'!$E$63,$M$5*M12,0,1,1)</f>
        <v>4950</v>
      </c>
      <c r="E55" s="1621" t="n">
        <f aca="false">SUM(B55:D55)</f>
        <v>81786765</v>
      </c>
      <c r="F55" s="1696"/>
      <c r="G55" s="1627" t="s">
        <v>450</v>
      </c>
      <c r="H55" s="1632" t="n">
        <f aca="false">B55-H75</f>
        <v>40773531</v>
      </c>
      <c r="I55" s="1623" t="n">
        <f aca="false">C55</f>
        <v>40980234</v>
      </c>
      <c r="J55" s="1624" t="n">
        <f aca="false">D55</f>
        <v>4950</v>
      </c>
      <c r="K55" s="1625" t="n">
        <f aca="false">SUM(H55:J55)</f>
        <v>81758715</v>
      </c>
      <c r="L55" s="773"/>
      <c r="M55" s="1627" t="s">
        <v>450</v>
      </c>
      <c r="N55" s="1618" t="n">
        <f aca="true">OFFSET('☆掛負収入'!$C$65,$M$5*M12,0,1,1)</f>
        <v>40801581</v>
      </c>
      <c r="O55" s="1618" t="n">
        <f aca="true">OFFSET('☆掛負収入'!$E$65,$M$5*M12,0,1,1)</f>
        <v>40985184</v>
      </c>
      <c r="P55" s="1621" t="n">
        <f aca="false">SUM(N55:O55)</f>
        <v>81786765</v>
      </c>
    </row>
    <row r="56" customFormat="false" ht="35.25" hidden="false" customHeight="true" outlineLevel="0" collapsed="false">
      <c r="A56" s="1627" t="s">
        <v>451</v>
      </c>
      <c r="B56" s="1618" t="n">
        <f aca="true">OFFSET('☆掛負収入'!$C$65,$M$5*M13,0,1,1)+K77</f>
        <v>39551964</v>
      </c>
      <c r="C56" s="1619" t="n">
        <f aca="false">O56-D56</f>
        <v>39523795</v>
      </c>
      <c r="D56" s="1620" t="n">
        <f aca="true">OFFSET('☆掛負収入'!$E$63,$M$5*M13,0,1,1)</f>
        <v>4800</v>
      </c>
      <c r="E56" s="1621" t="n">
        <f aca="false">SUM(B56:D56)</f>
        <v>79080559</v>
      </c>
      <c r="F56" s="1696"/>
      <c r="G56" s="1627" t="s">
        <v>451</v>
      </c>
      <c r="H56" s="1632" t="n">
        <f aca="false">B56-H76</f>
        <v>39551964</v>
      </c>
      <c r="I56" s="1623" t="n">
        <f aca="false">C56</f>
        <v>39523795</v>
      </c>
      <c r="J56" s="1624" t="n">
        <f aca="false">D56</f>
        <v>4800</v>
      </c>
      <c r="K56" s="1625" t="n">
        <f aca="false">SUM(H56:J56)</f>
        <v>79080559</v>
      </c>
      <c r="L56" s="773"/>
      <c r="M56" s="1627" t="s">
        <v>451</v>
      </c>
      <c r="N56" s="1618" t="n">
        <f aca="true">OFFSET('☆掛負収入'!$C$65,$M$5*M13,0,1,1)</f>
        <v>39551964</v>
      </c>
      <c r="O56" s="1618" t="n">
        <f aca="true">OFFSET('☆掛負収入'!$E$65,$M$5*M13,0,1,1)</f>
        <v>39528595</v>
      </c>
      <c r="P56" s="1621" t="n">
        <f aca="false">SUM(N56:O56)</f>
        <v>79080559</v>
      </c>
    </row>
    <row r="57" customFormat="false" ht="35.25" hidden="false" customHeight="true" outlineLevel="0" collapsed="false">
      <c r="A57" s="1627" t="s">
        <v>452</v>
      </c>
      <c r="B57" s="1618" t="n">
        <f aca="true">OFFSET('☆掛負収入'!$C$65,$M$5*M14,0,1,1)+K78</f>
        <v>39443899</v>
      </c>
      <c r="C57" s="1619" t="n">
        <f aca="false">O57-D57</f>
        <v>39386070</v>
      </c>
      <c r="D57" s="1620" t="n">
        <f aca="true">OFFSET('☆掛負収入'!$E$63,$M$5*M14,0,1,1)</f>
        <v>4350</v>
      </c>
      <c r="E57" s="1621" t="n">
        <f aca="false">SUM(B57:D57)</f>
        <v>78834319</v>
      </c>
      <c r="F57" s="1696"/>
      <c r="G57" s="1627" t="s">
        <v>452</v>
      </c>
      <c r="H57" s="1632" t="n">
        <f aca="false">B57-H77</f>
        <v>39443899</v>
      </c>
      <c r="I57" s="1623" t="n">
        <f aca="false">C57</f>
        <v>39386070</v>
      </c>
      <c r="J57" s="1624" t="n">
        <f aca="false">D57</f>
        <v>4350</v>
      </c>
      <c r="K57" s="1625" t="n">
        <f aca="false">SUM(H57:J57)</f>
        <v>78834319</v>
      </c>
      <c r="L57" s="773"/>
      <c r="M57" s="1627" t="s">
        <v>452</v>
      </c>
      <c r="N57" s="1618" t="n">
        <f aca="true">OFFSET('☆掛負収入'!$C$65,$M$5*M14,0,1,1)</f>
        <v>39443899</v>
      </c>
      <c r="O57" s="1618" t="n">
        <f aca="true">OFFSET('☆掛負収入'!$E$65,$M$5*M14,0,1,1)</f>
        <v>39390420</v>
      </c>
      <c r="P57" s="1621" t="n">
        <f aca="false">SUM(N57:O57)</f>
        <v>78834319</v>
      </c>
    </row>
    <row r="58" customFormat="false" ht="35.25" hidden="false" customHeight="true" outlineLevel="0" collapsed="false">
      <c r="A58" s="1627" t="s">
        <v>774</v>
      </c>
      <c r="B58" s="1618" t="n">
        <f aca="true">OFFSET('☆掛負収入'!$C$65,$M$5*M15,0,1,1)+K79</f>
        <v>71390536</v>
      </c>
      <c r="C58" s="1619" t="n">
        <f aca="false">O58-D58</f>
        <v>71388132</v>
      </c>
      <c r="D58" s="1620" t="n">
        <f aca="true">OFFSET('☆掛負収入'!$E$63,$M$5*M15,0,1,1)</f>
        <v>5812</v>
      </c>
      <c r="E58" s="1621" t="n">
        <f aca="false">SUM(B58:D58)</f>
        <v>142784480</v>
      </c>
      <c r="F58" s="1696"/>
      <c r="G58" s="1627" t="s">
        <v>774</v>
      </c>
      <c r="H58" s="1632" t="n">
        <f aca="false">B58</f>
        <v>71390536</v>
      </c>
      <c r="I58" s="1623" t="n">
        <f aca="false">C58</f>
        <v>71388132</v>
      </c>
      <c r="J58" s="1624" t="n">
        <f aca="false">D58</f>
        <v>5812</v>
      </c>
      <c r="K58" s="1625" t="n">
        <f aca="false">SUM(H58:J58)</f>
        <v>142784480</v>
      </c>
      <c r="L58" s="773"/>
      <c r="M58" s="1627" t="s">
        <v>774</v>
      </c>
      <c r="N58" s="1618" t="n">
        <f aca="true">OFFSET('☆掛負収入'!$C$65,$M$5*M15,0,1,1)</f>
        <v>71390536</v>
      </c>
      <c r="O58" s="1618" t="n">
        <f aca="true">OFFSET('☆掛負収入'!$E$65,$M$5*M15,0,1,1)</f>
        <v>71393944</v>
      </c>
      <c r="P58" s="1621" t="n">
        <f aca="false">SUM(N58:O58)</f>
        <v>142784480</v>
      </c>
    </row>
    <row r="59" customFormat="false" ht="35.25" hidden="false" customHeight="true" outlineLevel="0" collapsed="false">
      <c r="A59" s="1627" t="s">
        <v>453</v>
      </c>
      <c r="B59" s="1618" t="n">
        <f aca="true">OFFSET('☆掛負収入'!$C$65,$M$5*M16,0,1,1)+K80</f>
        <v>39417023</v>
      </c>
      <c r="C59" s="1619" t="n">
        <f aca="false">O59-D59</f>
        <v>39379425</v>
      </c>
      <c r="D59" s="1620" t="n">
        <f aca="true">OFFSET('☆掛負収入'!$E$63,$M$5*M16,0,1,1)</f>
        <v>4350</v>
      </c>
      <c r="E59" s="1621" t="n">
        <f aca="false">SUM(B59:D59)</f>
        <v>78800798</v>
      </c>
      <c r="F59" s="1696"/>
      <c r="G59" s="1627" t="s">
        <v>453</v>
      </c>
      <c r="H59" s="1632" t="n">
        <f aca="false">B59-H78</f>
        <v>39417023</v>
      </c>
      <c r="I59" s="1623" t="n">
        <f aca="false">C59</f>
        <v>39379425</v>
      </c>
      <c r="J59" s="1624" t="n">
        <f aca="false">D59</f>
        <v>4350</v>
      </c>
      <c r="K59" s="1625" t="n">
        <f aca="false">SUM(H59:J59)</f>
        <v>78800798</v>
      </c>
      <c r="L59" s="773"/>
      <c r="M59" s="1627" t="s">
        <v>453</v>
      </c>
      <c r="N59" s="1618" t="n">
        <f aca="true">OFFSET('☆掛負収入'!$C$65,$M$5*M16,0,1,1)</f>
        <v>39417023</v>
      </c>
      <c r="O59" s="1618" t="n">
        <f aca="true">OFFSET('☆掛負収入'!$E$65,$M$5*M16,0,1,1)</f>
        <v>39383775</v>
      </c>
      <c r="P59" s="1621" t="n">
        <f aca="false">SUM(N59:O59)</f>
        <v>78800798</v>
      </c>
    </row>
    <row r="60" customFormat="false" ht="35.25" hidden="false" customHeight="true" outlineLevel="0" collapsed="false">
      <c r="A60" s="1627" t="s">
        <v>454</v>
      </c>
      <c r="B60" s="1618" t="n">
        <f aca="true">OFFSET('☆掛負収入'!$C$65,$M$5*M17,0,1,1)+K81</f>
        <v>39488093</v>
      </c>
      <c r="C60" s="1619" t="n">
        <f aca="false">O60-D60</f>
        <v>39462675</v>
      </c>
      <c r="D60" s="1620" t="n">
        <f aca="true">OFFSET('☆掛負収入'!$E$63,$M$5*M17,0,1,1)</f>
        <v>4650</v>
      </c>
      <c r="E60" s="1621" t="n">
        <f aca="false">SUM(B60:D60)</f>
        <v>78955418</v>
      </c>
      <c r="F60" s="1696"/>
      <c r="G60" s="1627" t="s">
        <v>454</v>
      </c>
      <c r="H60" s="1632" t="n">
        <f aca="false">B60-H79</f>
        <v>39488093</v>
      </c>
      <c r="I60" s="1623" t="n">
        <f aca="false">C60</f>
        <v>39462675</v>
      </c>
      <c r="J60" s="1624" t="n">
        <f aca="false">D60</f>
        <v>4650</v>
      </c>
      <c r="K60" s="1625" t="n">
        <f aca="false">SUM(H60:J60)</f>
        <v>78955418</v>
      </c>
      <c r="L60" s="773"/>
      <c r="M60" s="1627" t="s">
        <v>454</v>
      </c>
      <c r="N60" s="1618" t="n">
        <f aca="true">OFFSET('☆掛負収入'!$C$65,$M$5*M17,0,1,1)</f>
        <v>39488093</v>
      </c>
      <c r="O60" s="1618" t="n">
        <f aca="true">OFFSET('☆掛負収入'!$E$65,$M$5*M17,0,1,1)</f>
        <v>39467325</v>
      </c>
      <c r="P60" s="1621" t="n">
        <f aca="false">SUM(N60:O60)</f>
        <v>78955418</v>
      </c>
    </row>
    <row r="61" customFormat="false" ht="35.25" hidden="false" customHeight="true" outlineLevel="0" collapsed="false">
      <c r="A61" s="1627" t="s">
        <v>455</v>
      </c>
      <c r="B61" s="1618" t="n">
        <f aca="true">OFFSET('☆掛負収入'!$C$65,$M$5*M18,0,1,1)+K82</f>
        <v>39424667</v>
      </c>
      <c r="C61" s="1619" t="n">
        <f aca="false">O61-D61</f>
        <v>39420148</v>
      </c>
      <c r="D61" s="1620" t="n">
        <f aca="true">OFFSET('☆掛負収入'!$E$63,$M$5*M18,0,1,1)</f>
        <v>4650</v>
      </c>
      <c r="E61" s="1621" t="n">
        <f aca="false">SUM(B61:D61)</f>
        <v>78849465</v>
      </c>
      <c r="F61" s="1696"/>
      <c r="G61" s="1627" t="s">
        <v>455</v>
      </c>
      <c r="H61" s="1632" t="n">
        <f aca="false">B61-H80</f>
        <v>39424667</v>
      </c>
      <c r="I61" s="1623" t="n">
        <f aca="false">C61</f>
        <v>39420148</v>
      </c>
      <c r="J61" s="1624" t="n">
        <f aca="false">D61</f>
        <v>4650</v>
      </c>
      <c r="K61" s="1625" t="n">
        <f aca="false">SUM(H61:J61)</f>
        <v>78849465</v>
      </c>
      <c r="L61" s="773"/>
      <c r="M61" s="1627" t="s">
        <v>455</v>
      </c>
      <c r="N61" s="1618" t="n">
        <f aca="true">OFFSET('☆掛負収入'!$C$65,$M$5*M18,0,1,1)</f>
        <v>39424667</v>
      </c>
      <c r="O61" s="1618" t="n">
        <f aca="true">OFFSET('☆掛負収入'!$E$65,$M$5*M18,0,1,1)</f>
        <v>39424798</v>
      </c>
      <c r="P61" s="1621" t="n">
        <f aca="false">SUM(N61:O61)</f>
        <v>78849465</v>
      </c>
    </row>
    <row r="62" customFormat="false" ht="35.25" hidden="false" customHeight="true" outlineLevel="0" collapsed="false">
      <c r="A62" s="1627" t="s">
        <v>775</v>
      </c>
      <c r="B62" s="1618" t="n">
        <f aca="true">OFFSET('☆掛負収入'!$C$65,$M$5*M19,0,1,1)+K83</f>
        <v>16148980</v>
      </c>
      <c r="C62" s="1619" t="n">
        <f aca="false">O62-D62</f>
        <v>16687363</v>
      </c>
      <c r="D62" s="1620" t="n">
        <f aca="true">OFFSET('☆掛負収入'!$E$63,$M$5*M19,0,1,1)</f>
        <v>1477</v>
      </c>
      <c r="E62" s="1621" t="n">
        <f aca="false">SUM(B62:D62)</f>
        <v>32837820</v>
      </c>
      <c r="F62" s="1696"/>
      <c r="G62" s="1627" t="s">
        <v>775</v>
      </c>
      <c r="H62" s="1632" t="n">
        <f aca="false">B62</f>
        <v>16148980</v>
      </c>
      <c r="I62" s="1623" t="n">
        <f aca="false">C62</f>
        <v>16687363</v>
      </c>
      <c r="J62" s="1624" t="n">
        <f aca="false">D62</f>
        <v>1477</v>
      </c>
      <c r="K62" s="1625" t="n">
        <f aca="false">SUM(H62:J62)</f>
        <v>32837820</v>
      </c>
      <c r="L62" s="773"/>
      <c r="M62" s="1627" t="s">
        <v>775</v>
      </c>
      <c r="N62" s="1618" t="n">
        <f aca="true">OFFSET('☆掛負収入'!$C$65,$M$5*M19,0,1,1)</f>
        <v>16148980</v>
      </c>
      <c r="O62" s="1618" t="n">
        <f aca="true">OFFSET('☆掛負収入'!$E$65,$M$5*M19,0,1,1)</f>
        <v>16688840</v>
      </c>
      <c r="P62" s="1621" t="n">
        <f aca="false">SUM(N62:O62)</f>
        <v>32837820</v>
      </c>
    </row>
    <row r="63" customFormat="false" ht="35.25" hidden="false" customHeight="true" outlineLevel="0" collapsed="false">
      <c r="A63" s="1627" t="s">
        <v>456</v>
      </c>
      <c r="B63" s="1618" t="n">
        <f aca="true">OFFSET('☆掛負収入'!$C$65,$M$5*M20,0,1,1)+K84</f>
        <v>39009119</v>
      </c>
      <c r="C63" s="1619" t="n">
        <f aca="false">O63-D63</f>
        <v>38986694</v>
      </c>
      <c r="D63" s="1620" t="n">
        <f aca="true">OFFSET('☆掛負収入'!$E$63,$M$5*M20,0,1,1)</f>
        <v>4650</v>
      </c>
      <c r="E63" s="1621" t="n">
        <f aca="false">SUM(B63:D63)</f>
        <v>78000463</v>
      </c>
      <c r="F63" s="1696"/>
      <c r="G63" s="1627" t="s">
        <v>456</v>
      </c>
      <c r="H63" s="1632" t="n">
        <f aca="false">B63-H81</f>
        <v>39009119</v>
      </c>
      <c r="I63" s="1623" t="n">
        <f aca="false">C63</f>
        <v>38986694</v>
      </c>
      <c r="J63" s="1624" t="n">
        <f aca="false">D63</f>
        <v>4650</v>
      </c>
      <c r="K63" s="1625" t="n">
        <f aca="false">SUM(H63:J63)</f>
        <v>78000463</v>
      </c>
      <c r="L63" s="773"/>
      <c r="M63" s="1627" t="s">
        <v>456</v>
      </c>
      <c r="N63" s="1618" t="n">
        <f aca="true">OFFSET('☆掛負収入'!$C$65,$M$5*M20,0,1,1)</f>
        <v>39009119</v>
      </c>
      <c r="O63" s="1618" t="n">
        <f aca="true">OFFSET('☆掛負収入'!$E$65,$M$5*M20,0,1,1)</f>
        <v>38991344</v>
      </c>
      <c r="P63" s="1698" t="n">
        <f aca="false">SUM(N63:O63)</f>
        <v>78000463</v>
      </c>
    </row>
    <row r="64" customFormat="false" ht="35.25" hidden="false" customHeight="true" outlineLevel="0" collapsed="false">
      <c r="A64" s="1634" t="s">
        <v>808</v>
      </c>
      <c r="B64" s="1618" t="n">
        <f aca="true">OFFSET('☆掛負収入'!$C$65,$M$5*M21,0,1,1)</f>
        <v>1995481</v>
      </c>
      <c r="C64" s="1619" t="n">
        <f aca="false">O64-D64</f>
        <v>1958592</v>
      </c>
      <c r="D64" s="1620" t="n">
        <f aca="true">OFFSET('☆掛負収入'!$E$63,$M$5*M21,0,1,1)</f>
        <v>3498</v>
      </c>
      <c r="E64" s="1621" t="n">
        <f aca="false">SUM(B64:D64)</f>
        <v>3957571</v>
      </c>
      <c r="F64" s="1696"/>
      <c r="G64" s="1634" t="s">
        <v>808</v>
      </c>
      <c r="H64" s="1632" t="n">
        <f aca="false">B64</f>
        <v>1995481</v>
      </c>
      <c r="I64" s="1623" t="n">
        <f aca="false">C64</f>
        <v>1958592</v>
      </c>
      <c r="J64" s="1624" t="n">
        <f aca="false">D64</f>
        <v>3498</v>
      </c>
      <c r="K64" s="1625" t="n">
        <f aca="false">SUM(H64:J64)</f>
        <v>3957571</v>
      </c>
      <c r="L64" s="773"/>
      <c r="M64" s="1634" t="s">
        <v>808</v>
      </c>
      <c r="N64" s="1618" t="n">
        <f aca="true">OFFSET('☆掛負収入'!$C$65,$M$5*M21,0,1,1)</f>
        <v>1995481</v>
      </c>
      <c r="O64" s="1618" t="n">
        <f aca="true">OFFSET('☆掛負収入'!$E$65,$M$5*M21,0,1,1)</f>
        <v>1962090</v>
      </c>
      <c r="P64" s="1699" t="n">
        <f aca="false">SUM(N64:O64)</f>
        <v>3957571</v>
      </c>
    </row>
    <row r="65" customFormat="false" ht="35.25" hidden="false" customHeight="true" outlineLevel="0" collapsed="false">
      <c r="A65" s="1635" t="s">
        <v>809</v>
      </c>
      <c r="B65" s="1618" t="n">
        <f aca="true">OFFSET('☆掛負収入'!$C$65,$M$5*M22,0,1,1)</f>
        <v>1995497</v>
      </c>
      <c r="C65" s="1619" t="n">
        <f aca="false">O65-D65</f>
        <v>1958615</v>
      </c>
      <c r="D65" s="1620" t="n">
        <f aca="true">OFFSET('☆掛負収入'!$E$63,$M$5*M22,0,1,1)</f>
        <v>3499</v>
      </c>
      <c r="E65" s="1636" t="n">
        <f aca="false">SUM(B65:D65)</f>
        <v>3957611</v>
      </c>
      <c r="F65" s="1696"/>
      <c r="G65" s="1635" t="s">
        <v>809</v>
      </c>
      <c r="H65" s="1637" t="n">
        <f aca="false">B65</f>
        <v>1995497</v>
      </c>
      <c r="I65" s="1700" t="n">
        <f aca="false">C65</f>
        <v>1958615</v>
      </c>
      <c r="J65" s="1701" t="n">
        <f aca="false">D65</f>
        <v>3499</v>
      </c>
      <c r="K65" s="1625" t="n">
        <f aca="false">SUM(H65:J65)</f>
        <v>3957611</v>
      </c>
      <c r="L65" s="773"/>
      <c r="M65" s="1635" t="s">
        <v>809</v>
      </c>
      <c r="N65" s="1618" t="n">
        <f aca="true">OFFSET('☆掛負収入'!$C$65,$M$5*M22,0,1,1)</f>
        <v>1995497</v>
      </c>
      <c r="O65" s="1618" t="n">
        <f aca="true">OFFSET('☆掛負収入'!$E$65,$M$5*M22,0,1,1)</f>
        <v>1962114</v>
      </c>
      <c r="P65" s="1702" t="n">
        <f aca="false">SUM(N65:O65)</f>
        <v>3957611</v>
      </c>
    </row>
    <row r="66" customFormat="false" ht="35.25" hidden="false" customHeight="true" outlineLevel="0" collapsed="false">
      <c r="A66" s="1638" t="s">
        <v>457</v>
      </c>
      <c r="B66" s="1639" t="n">
        <f aca="false">SUM(B49:B65)</f>
        <v>644993333</v>
      </c>
      <c r="C66" s="1703" t="n">
        <f aca="false">SUM(C49:C65)</f>
        <v>645212545</v>
      </c>
      <c r="D66" s="1704" t="n">
        <f aca="false">SUM(D49:D65)</f>
        <v>76280</v>
      </c>
      <c r="E66" s="1644" t="n">
        <f aca="false">SUM(B66:D66)</f>
        <v>1290282158</v>
      </c>
      <c r="F66" s="1696"/>
      <c r="G66" s="1638" t="s">
        <v>457</v>
      </c>
      <c r="H66" s="1641" t="n">
        <f aca="false">SUM(H49:H65)</f>
        <v>644809834</v>
      </c>
      <c r="I66" s="1641" t="n">
        <f aca="false">SUM(I49:I65)</f>
        <v>645212545</v>
      </c>
      <c r="J66" s="1641" t="n">
        <f aca="false">SUM(J49:J65)</f>
        <v>76280</v>
      </c>
      <c r="K66" s="1644" t="n">
        <f aca="false">SUM(H66:J66)</f>
        <v>1290098659</v>
      </c>
      <c r="L66" s="773"/>
      <c r="M66" s="1638" t="s">
        <v>457</v>
      </c>
      <c r="N66" s="1639" t="n">
        <f aca="false">SUM(N49:N65)</f>
        <v>644993333</v>
      </c>
      <c r="O66" s="1639" t="n">
        <f aca="false">SUM(O49:O65)</f>
        <v>645288825</v>
      </c>
      <c r="P66" s="1683" t="n">
        <f aca="false">SUM(P49:P65)</f>
        <v>1290282158</v>
      </c>
    </row>
    <row r="67" customFormat="false" ht="41.25" hidden="false" customHeight="true" outlineLevel="0" collapsed="false">
      <c r="A67" s="1705" t="s">
        <v>827</v>
      </c>
      <c r="B67" s="925"/>
      <c r="C67" s="925"/>
      <c r="D67" s="925"/>
      <c r="E67" s="925"/>
      <c r="F67" s="925"/>
      <c r="G67" s="1646"/>
      <c r="H67" s="1648"/>
      <c r="I67" s="1648"/>
      <c r="J67" s="1648"/>
      <c r="K67" s="773"/>
      <c r="L67" s="773"/>
    </row>
    <row r="68" customFormat="false" ht="34.5" hidden="false" customHeight="true" outlineLevel="0" collapsed="false">
      <c r="A68" s="925" t="s">
        <v>828</v>
      </c>
      <c r="B68" s="774"/>
      <c r="C68" s="1603"/>
      <c r="D68" s="925" t="s">
        <v>829</v>
      </c>
      <c r="E68" s="925"/>
      <c r="F68" s="925"/>
      <c r="G68" s="1654" t="s">
        <v>830</v>
      </c>
      <c r="H68" s="1654"/>
      <c r="I68" s="1654"/>
      <c r="J68" s="1654" t="s">
        <v>831</v>
      </c>
      <c r="K68" s="1654"/>
      <c r="L68" s="1654"/>
      <c r="M68" s="773"/>
    </row>
    <row r="69" customFormat="false" ht="35.25" hidden="false" customHeight="true" outlineLevel="0" collapsed="false">
      <c r="A69" s="1605" t="s">
        <v>428</v>
      </c>
      <c r="B69" s="1608" t="s">
        <v>377</v>
      </c>
      <c r="C69" s="1684"/>
      <c r="D69" s="1706" t="s">
        <v>832</v>
      </c>
      <c r="E69" s="1707"/>
      <c r="F69" s="925"/>
      <c r="G69" s="1658" t="s">
        <v>423</v>
      </c>
      <c r="H69" s="1659" t="s">
        <v>833</v>
      </c>
      <c r="I69" s="1684"/>
      <c r="J69" s="1658" t="s">
        <v>473</v>
      </c>
      <c r="K69" s="1659" t="s">
        <v>834</v>
      </c>
      <c r="L69" s="773"/>
      <c r="M69" s="773"/>
      <c r="N69" s="773"/>
    </row>
    <row r="70" s="773" customFormat="true" ht="35.25" hidden="false" customHeight="true" outlineLevel="0" collapsed="false">
      <c r="A70" s="1605"/>
      <c r="B70" s="1608"/>
      <c r="C70" s="1684"/>
      <c r="D70" s="1708" t="s">
        <v>835</v>
      </c>
      <c r="E70" s="1709"/>
      <c r="F70" s="925"/>
      <c r="G70" s="1666" t="s">
        <v>445</v>
      </c>
      <c r="H70" s="1667" t="n">
        <f aca="false">還付!C5+還付!C21</f>
        <v>40386</v>
      </c>
      <c r="I70" s="1669"/>
      <c r="J70" s="1666" t="s">
        <v>445</v>
      </c>
      <c r="K70" s="1667" t="n">
        <f aca="false">未納者等入金!C5</f>
        <v>0</v>
      </c>
      <c r="L70" s="768"/>
      <c r="N70" s="925"/>
    </row>
    <row r="71" s="773" customFormat="true" ht="35.25" hidden="false" customHeight="true" outlineLevel="0" collapsed="false">
      <c r="A71" s="1617" t="s">
        <v>445</v>
      </c>
      <c r="B71" s="1710" t="n">
        <f aca="true">OFFSET('☆掛負収入'!$F$65,$M$5*M6,0,1,1)</f>
        <v>483168</v>
      </c>
      <c r="C71" s="1684"/>
      <c r="D71" s="1711" t="n">
        <f aca="false">'☆掛負収入'!E1127</f>
        <v>80051472</v>
      </c>
      <c r="E71" s="1712"/>
      <c r="G71" s="1668" t="s">
        <v>446</v>
      </c>
      <c r="H71" s="1667" t="n">
        <f aca="false">還付!C6+還付!C22</f>
        <v>13800</v>
      </c>
      <c r="I71" s="1670"/>
      <c r="J71" s="1668" t="s">
        <v>446</v>
      </c>
      <c r="K71" s="1667" t="n">
        <f aca="false">未納者等入金!C6</f>
        <v>0</v>
      </c>
      <c r="L71" s="768"/>
      <c r="O71" s="925"/>
      <c r="P71" s="925"/>
      <c r="Q71" s="925"/>
    </row>
    <row r="72" s="773" customFormat="true" ht="35.25" hidden="false" customHeight="true" outlineLevel="0" collapsed="false">
      <c r="A72" s="1627" t="s">
        <v>446</v>
      </c>
      <c r="B72" s="1710" t="n">
        <f aca="true">OFFSET('☆掛負収入'!$F$65,$M$5*M7,0,1,1)</f>
        <v>483067</v>
      </c>
      <c r="C72" s="1684"/>
      <c r="D72" s="1711"/>
      <c r="E72" s="1712"/>
      <c r="G72" s="1668" t="s">
        <v>447</v>
      </c>
      <c r="H72" s="1667" t="n">
        <f aca="false">還付!C7+還付!C23</f>
        <v>29826</v>
      </c>
      <c r="I72" s="1670"/>
      <c r="J72" s="1668" t="s">
        <v>447</v>
      </c>
      <c r="K72" s="1667" t="n">
        <f aca="false">未納者等入金!C7</f>
        <v>0</v>
      </c>
      <c r="L72" s="768"/>
      <c r="M72" s="925"/>
      <c r="N72" s="1612"/>
      <c r="O72" s="925"/>
      <c r="P72" s="925"/>
      <c r="Q72" s="925"/>
      <c r="R72" s="1713"/>
    </row>
    <row r="73" s="773" customFormat="true" ht="35.25" hidden="false" customHeight="true" outlineLevel="0" collapsed="false">
      <c r="A73" s="1627" t="s">
        <v>447</v>
      </c>
      <c r="B73" s="1710" t="n">
        <f aca="true">OFFSET('☆掛負収入'!$F$65,$M$5*M8,0,1,1)</f>
        <v>482919</v>
      </c>
      <c r="C73" s="1684"/>
      <c r="D73" s="1684"/>
      <c r="E73" s="1684"/>
      <c r="F73" s="925"/>
      <c r="G73" s="1668" t="s">
        <v>448</v>
      </c>
      <c r="H73" s="1667" t="n">
        <f aca="false">還付!C8+還付!C24</f>
        <v>41287</v>
      </c>
      <c r="I73" s="1670"/>
      <c r="J73" s="1668" t="s">
        <v>773</v>
      </c>
      <c r="K73" s="1667" t="n">
        <f aca="false">未納者等入金!C8</f>
        <v>0</v>
      </c>
      <c r="L73" s="768"/>
      <c r="M73" s="925"/>
      <c r="N73" s="1603"/>
      <c r="R73" s="1713"/>
    </row>
    <row r="74" s="773" customFormat="true" ht="35.25" hidden="false" customHeight="true" outlineLevel="0" collapsed="false">
      <c r="A74" s="1627" t="s">
        <v>773</v>
      </c>
      <c r="B74" s="1710" t="n">
        <f aca="true">OFFSET('☆掛負収入'!$F$65,$M$5*M9,0,1,1)</f>
        <v>874113</v>
      </c>
      <c r="C74" s="1684"/>
      <c r="D74" s="1684"/>
      <c r="E74" s="1684"/>
      <c r="F74" s="925"/>
      <c r="G74" s="1668" t="s">
        <v>449</v>
      </c>
      <c r="H74" s="1667" t="n">
        <f aca="false">還付!C9+還付!C25</f>
        <v>30150</v>
      </c>
      <c r="I74" s="1714"/>
      <c r="J74" s="1668" t="s">
        <v>448</v>
      </c>
      <c r="K74" s="1667" t="n">
        <f aca="false">未納者等入金!C9</f>
        <v>0</v>
      </c>
      <c r="L74" s="768"/>
      <c r="M74" s="925"/>
      <c r="N74" s="1603"/>
      <c r="O74" s="1612"/>
      <c r="P74" s="1612"/>
      <c r="Q74" s="1696"/>
      <c r="R74" s="1713"/>
    </row>
    <row r="75" s="773" customFormat="true" ht="35.25" hidden="false" customHeight="true" outlineLevel="0" collapsed="false">
      <c r="A75" s="1627" t="s">
        <v>448</v>
      </c>
      <c r="B75" s="1710" t="n">
        <f aca="true">OFFSET('☆掛負収入'!$F$65,$M$5*M10,0,1,1)</f>
        <v>491785</v>
      </c>
      <c r="C75" s="1684"/>
      <c r="D75" s="1684"/>
      <c r="E75" s="1684"/>
      <c r="F75" s="925"/>
      <c r="G75" s="1668" t="s">
        <v>450</v>
      </c>
      <c r="H75" s="1667" t="n">
        <f aca="false">還付!C10+還付!C26</f>
        <v>28050</v>
      </c>
      <c r="I75" s="1714"/>
      <c r="J75" s="1668" t="s">
        <v>449</v>
      </c>
      <c r="K75" s="1667" t="n">
        <f aca="false">未納者等入金!C10</f>
        <v>0</v>
      </c>
      <c r="L75" s="768"/>
      <c r="M75" s="925"/>
      <c r="N75" s="1603"/>
      <c r="O75" s="1603"/>
      <c r="P75" s="1603"/>
      <c r="Q75" s="1603"/>
      <c r="R75" s="1713"/>
    </row>
    <row r="76" s="773" customFormat="true" ht="35.25" hidden="false" customHeight="true" outlineLevel="0" collapsed="false">
      <c r="A76" s="1627" t="s">
        <v>449</v>
      </c>
      <c r="B76" s="1710" t="n">
        <f aca="true">OFFSET('☆掛負収入'!$F$65,$M$5*M11,0,1,1)</f>
        <v>486781</v>
      </c>
      <c r="C76" s="1684"/>
      <c r="D76" s="1684"/>
      <c r="E76" s="1684"/>
      <c r="F76" s="925"/>
      <c r="G76" s="1668" t="s">
        <v>451</v>
      </c>
      <c r="H76" s="1667" t="n">
        <f aca="false">還付!C11+還付!C27</f>
        <v>0</v>
      </c>
      <c r="I76" s="1714"/>
      <c r="J76" s="1668" t="s">
        <v>450</v>
      </c>
      <c r="K76" s="1667" t="n">
        <f aca="false">未納者等入金!C11</f>
        <v>0</v>
      </c>
      <c r="L76" s="768"/>
      <c r="M76" s="925"/>
      <c r="N76" s="1603"/>
      <c r="O76" s="1603"/>
      <c r="P76" s="1603"/>
      <c r="Q76" s="1603"/>
      <c r="R76" s="1713"/>
    </row>
    <row r="77" s="773" customFormat="true" ht="35.25" hidden="false" customHeight="true" outlineLevel="0" collapsed="false">
      <c r="A77" s="1627" t="s">
        <v>450</v>
      </c>
      <c r="B77" s="1710" t="n">
        <f aca="true">OFFSET('☆掛負収入'!$F$65,$M$5*M12,0,1,1)</f>
        <v>495169</v>
      </c>
      <c r="C77" s="1684"/>
      <c r="D77" s="1684"/>
      <c r="E77" s="1684"/>
      <c r="F77" s="925"/>
      <c r="G77" s="1668" t="s">
        <v>452</v>
      </c>
      <c r="H77" s="1667" t="n">
        <f aca="false">還付!C12+還付!C28</f>
        <v>0</v>
      </c>
      <c r="I77" s="1714"/>
      <c r="J77" s="1668" t="s">
        <v>451</v>
      </c>
      <c r="K77" s="1667" t="n">
        <f aca="false">未納者等入金!C12</f>
        <v>0</v>
      </c>
      <c r="L77" s="768"/>
      <c r="M77" s="925"/>
      <c r="N77" s="1603"/>
      <c r="O77" s="1603"/>
      <c r="P77" s="1603"/>
      <c r="Q77" s="1603"/>
      <c r="R77" s="1713"/>
    </row>
    <row r="78" s="773" customFormat="true" ht="35.25" hidden="false" customHeight="true" outlineLevel="0" collapsed="false">
      <c r="A78" s="1627" t="s">
        <v>451</v>
      </c>
      <c r="B78" s="1710" t="n">
        <f aca="true">OFFSET('☆掛負収入'!$F$65,$M$5*M13,0,1,1)</f>
        <v>514821</v>
      </c>
      <c r="C78" s="1684"/>
      <c r="D78" s="1684"/>
      <c r="E78" s="1684"/>
      <c r="F78" s="925"/>
      <c r="G78" s="1668" t="s">
        <v>453</v>
      </c>
      <c r="H78" s="1667" t="n">
        <f aca="false">還付!C13+還付!C29</f>
        <v>0</v>
      </c>
      <c r="I78" s="1714"/>
      <c r="J78" s="1668" t="s">
        <v>452</v>
      </c>
      <c r="K78" s="1667" t="n">
        <f aca="false">未納者等入金!C13</f>
        <v>0</v>
      </c>
      <c r="L78" s="768"/>
      <c r="M78" s="925"/>
      <c r="N78" s="1603"/>
      <c r="O78" s="1603"/>
      <c r="P78" s="1603"/>
      <c r="Q78" s="1603"/>
      <c r="R78" s="1713"/>
    </row>
    <row r="79" s="773" customFormat="true" ht="35.25" hidden="false" customHeight="true" outlineLevel="0" collapsed="false">
      <c r="A79" s="1627" t="s">
        <v>452</v>
      </c>
      <c r="B79" s="1710" t="n">
        <f aca="true">OFFSET('☆掛負収入'!$F$65,$M$5*M14,0,1,1)</f>
        <v>514655</v>
      </c>
      <c r="C79" s="1684"/>
      <c r="D79" s="1684"/>
      <c r="E79" s="1684"/>
      <c r="F79" s="925"/>
      <c r="G79" s="1668" t="s">
        <v>454</v>
      </c>
      <c r="H79" s="1667" t="n">
        <f aca="false">還付!C14+還付!C30</f>
        <v>0</v>
      </c>
      <c r="I79" s="1714"/>
      <c r="J79" s="1668" t="s">
        <v>774</v>
      </c>
      <c r="K79" s="1667" t="n">
        <f aca="false">未納者等入金!C14</f>
        <v>0</v>
      </c>
      <c r="L79" s="768"/>
      <c r="M79" s="925"/>
      <c r="N79" s="1603"/>
      <c r="O79" s="1603"/>
      <c r="P79" s="1603"/>
      <c r="Q79" s="1603"/>
      <c r="R79" s="1713"/>
    </row>
    <row r="80" s="773" customFormat="true" ht="35.25" hidden="false" customHeight="true" outlineLevel="0" collapsed="false">
      <c r="A80" s="1627" t="s">
        <v>774</v>
      </c>
      <c r="B80" s="1710" t="n">
        <f aca="true">OFFSET('☆掛負収入'!$F$65,$M$5*M15,0,1,1)</f>
        <v>905702</v>
      </c>
      <c r="C80" s="1684"/>
      <c r="D80" s="1684"/>
      <c r="E80" s="1684"/>
      <c r="F80" s="925"/>
      <c r="G80" s="1668" t="s">
        <v>455</v>
      </c>
      <c r="H80" s="1667" t="n">
        <f aca="false">還付!C15+還付!C31</f>
        <v>0</v>
      </c>
      <c r="I80" s="1714"/>
      <c r="J80" s="1668" t="s">
        <v>453</v>
      </c>
      <c r="K80" s="1667" t="n">
        <f aca="false">未納者等入金!C15</f>
        <v>0</v>
      </c>
      <c r="L80" s="768"/>
      <c r="M80" s="925"/>
      <c r="N80" s="1603"/>
      <c r="O80" s="1603"/>
      <c r="P80" s="1603"/>
      <c r="Q80" s="1603"/>
      <c r="R80" s="1713"/>
    </row>
    <row r="81" s="773" customFormat="true" ht="35.25" hidden="false" customHeight="true" outlineLevel="0" collapsed="false">
      <c r="A81" s="1627" t="s">
        <v>453</v>
      </c>
      <c r="B81" s="1710" t="n">
        <f aca="true">OFFSET('☆掛負収入'!$F$65,$M$5*M16,0,1,1)</f>
        <v>514166</v>
      </c>
      <c r="C81" s="1684"/>
      <c r="D81" s="1684"/>
      <c r="E81" s="1684"/>
      <c r="F81" s="925"/>
      <c r="G81" s="1671" t="s">
        <v>456</v>
      </c>
      <c r="H81" s="1667" t="n">
        <f aca="false">還付!C16+還付!C32</f>
        <v>0</v>
      </c>
      <c r="I81" s="1715"/>
      <c r="J81" s="1668" t="s">
        <v>454</v>
      </c>
      <c r="K81" s="1667" t="n">
        <f aca="false">未納者等入金!C16</f>
        <v>0</v>
      </c>
      <c r="L81" s="768"/>
      <c r="M81" s="925"/>
      <c r="N81" s="1603"/>
      <c r="O81" s="1603"/>
      <c r="P81" s="1603"/>
      <c r="Q81" s="1603"/>
      <c r="R81" s="1713"/>
    </row>
    <row r="82" s="773" customFormat="true" ht="35.25" hidden="false" customHeight="true" outlineLevel="0" collapsed="false">
      <c r="A82" s="1627" t="s">
        <v>454</v>
      </c>
      <c r="B82" s="1710" t="n">
        <f aca="true">OFFSET('☆掛負収入'!$F$65,$M$5*M17,0,1,1)</f>
        <v>516130</v>
      </c>
      <c r="C82" s="1684"/>
      <c r="D82" s="1684"/>
      <c r="E82" s="1684"/>
      <c r="F82" s="925"/>
      <c r="G82" s="1675" t="s">
        <v>457</v>
      </c>
      <c r="H82" s="1676" t="n">
        <f aca="false">SUM(H70:H81)</f>
        <v>183499</v>
      </c>
      <c r="I82" s="1677"/>
      <c r="J82" s="1668" t="s">
        <v>455</v>
      </c>
      <c r="K82" s="1667" t="n">
        <f aca="false">未納者等入金!C17</f>
        <v>0</v>
      </c>
      <c r="L82" s="768"/>
      <c r="M82" s="925"/>
      <c r="N82" s="1603"/>
      <c r="O82" s="1603"/>
      <c r="P82" s="1603"/>
      <c r="Q82" s="1603"/>
      <c r="R82" s="1713"/>
    </row>
    <row r="83" s="773" customFormat="true" ht="35.25" hidden="false" customHeight="true" outlineLevel="0" collapsed="false">
      <c r="A83" s="1627" t="s">
        <v>455</v>
      </c>
      <c r="B83" s="1710" t="n">
        <f aca="true">OFFSET('☆掛負収入'!$F$65,$M$5*M18,0,1,1)</f>
        <v>515309</v>
      </c>
      <c r="C83" s="1684"/>
      <c r="D83" s="1684"/>
      <c r="E83" s="1684"/>
      <c r="F83" s="925"/>
      <c r="G83" s="1716"/>
      <c r="H83" s="1684"/>
      <c r="I83" s="1684"/>
      <c r="J83" s="1671" t="s">
        <v>775</v>
      </c>
      <c r="K83" s="1667" t="n">
        <f aca="false">未納者等入金!C18</f>
        <v>0</v>
      </c>
      <c r="L83" s="768"/>
      <c r="M83" s="925"/>
      <c r="N83" s="1603"/>
      <c r="O83" s="1603"/>
      <c r="P83" s="1603"/>
      <c r="Q83" s="1603"/>
      <c r="R83" s="1713"/>
    </row>
    <row r="84" s="773" customFormat="true" ht="35.25" hidden="false" customHeight="true" outlineLevel="0" collapsed="false">
      <c r="A84" s="1627" t="s">
        <v>775</v>
      </c>
      <c r="B84" s="1710" t="n">
        <f aca="true">OFFSET('☆掛負収入'!$F$65,$M$5*M19,0,1,1)</f>
        <v>214324</v>
      </c>
      <c r="C84" s="768"/>
      <c r="D84" s="768"/>
      <c r="E84" s="768"/>
      <c r="F84" s="925"/>
      <c r="G84" s="1716"/>
      <c r="H84" s="1684"/>
      <c r="I84" s="1684"/>
      <c r="J84" s="1673" t="s">
        <v>456</v>
      </c>
      <c r="K84" s="1667" t="n">
        <f aca="false">未納者等入金!C19</f>
        <v>0</v>
      </c>
      <c r="L84" s="768"/>
      <c r="M84" s="925"/>
      <c r="N84" s="1603"/>
      <c r="O84" s="1603"/>
      <c r="P84" s="1603"/>
      <c r="Q84" s="1603"/>
      <c r="R84" s="1713"/>
    </row>
    <row r="85" s="773" customFormat="true" ht="35.25" hidden="false" customHeight="true" outlineLevel="0" collapsed="false">
      <c r="A85" s="1627" t="s">
        <v>456</v>
      </c>
      <c r="B85" s="1710" t="n">
        <f aca="true">OFFSET('☆掛負収入'!$F$65,$M$5*M20,0,1,1)</f>
        <v>515892</v>
      </c>
      <c r="C85" s="768"/>
      <c r="D85" s="768"/>
      <c r="E85" s="768"/>
      <c r="F85" s="925"/>
      <c r="I85" s="1684"/>
      <c r="J85" s="1678" t="s">
        <v>457</v>
      </c>
      <c r="K85" s="1676" t="n">
        <f aca="false">SUM(K70:K84)</f>
        <v>0</v>
      </c>
      <c r="L85" s="768"/>
      <c r="M85" s="925"/>
      <c r="N85" s="1603"/>
      <c r="O85" s="1603"/>
      <c r="P85" s="1603"/>
      <c r="Q85" s="1603"/>
      <c r="R85" s="1713"/>
    </row>
    <row r="86" s="773" customFormat="true" ht="35.25" hidden="false" customHeight="true" outlineLevel="0" collapsed="false">
      <c r="A86" s="1634" t="s">
        <v>808</v>
      </c>
      <c r="B86" s="1710" t="n">
        <f aca="true">OFFSET('☆掛負収入'!$F$65,$M$5*M21,0,1,1)</f>
        <v>25771</v>
      </c>
      <c r="C86" s="768"/>
      <c r="D86" s="768"/>
      <c r="E86" s="768"/>
      <c r="F86" s="925"/>
      <c r="I86" s="1717"/>
      <c r="J86" s="1687"/>
      <c r="K86" s="1688"/>
      <c r="L86" s="768"/>
      <c r="M86" s="925"/>
      <c r="N86" s="1603"/>
      <c r="O86" s="1603"/>
      <c r="P86" s="1603"/>
      <c r="Q86" s="1603"/>
      <c r="R86" s="1603"/>
      <c r="S86" s="1713"/>
    </row>
    <row r="87" s="773" customFormat="true" ht="35.25" hidden="false" customHeight="true" outlineLevel="0" collapsed="false">
      <c r="A87" s="1635" t="s">
        <v>809</v>
      </c>
      <c r="B87" s="1718" t="n">
        <f aca="true">OFFSET('☆掛負収入'!$F$65,$M$5*M22,0,1,1)</f>
        <v>25781</v>
      </c>
      <c r="C87" s="768"/>
      <c r="D87" s="768"/>
      <c r="E87" s="768"/>
      <c r="F87" s="925"/>
      <c r="I87" s="1717"/>
      <c r="J87" s="1687"/>
      <c r="K87" s="1688"/>
      <c r="L87" s="768"/>
      <c r="M87" s="925"/>
      <c r="N87" s="1603"/>
      <c r="O87" s="1603"/>
      <c r="P87" s="1603"/>
      <c r="Q87" s="1603"/>
      <c r="R87" s="1603"/>
      <c r="S87" s="1713"/>
    </row>
    <row r="88" s="773" customFormat="true" ht="35.25" hidden="false" customHeight="true" outlineLevel="0" collapsed="false">
      <c r="A88" s="1638" t="s">
        <v>457</v>
      </c>
      <c r="B88" s="1640" t="n">
        <f aca="false">SUM(B71:B87)</f>
        <v>8059553</v>
      </c>
      <c r="C88" s="768"/>
      <c r="D88" s="768"/>
      <c r="E88" s="768"/>
      <c r="F88" s="925"/>
      <c r="L88" s="768"/>
      <c r="M88" s="925"/>
      <c r="N88" s="1603"/>
      <c r="O88" s="1603"/>
      <c r="P88" s="1603"/>
      <c r="Q88" s="1603"/>
      <c r="R88" s="1603"/>
      <c r="S88" s="1713"/>
    </row>
    <row r="89" s="773" customFormat="true" ht="34.5" hidden="false" customHeight="true" outlineLevel="0" collapsed="false">
      <c r="A89" s="925"/>
      <c r="B89" s="768"/>
      <c r="C89" s="768"/>
      <c r="D89" s="768"/>
      <c r="E89" s="768"/>
      <c r="F89" s="1696"/>
      <c r="K89" s="768"/>
      <c r="L89" s="925"/>
      <c r="M89" s="1603"/>
      <c r="N89" s="1603"/>
      <c r="O89" s="1603"/>
      <c r="P89" s="1603"/>
    </row>
    <row r="90" s="773" customFormat="true" ht="34.5" hidden="false" customHeight="true" outlineLevel="0" collapsed="false">
      <c r="A90" s="925"/>
      <c r="B90" s="768"/>
      <c r="C90" s="768"/>
      <c r="D90" s="768"/>
      <c r="E90" s="768"/>
      <c r="F90" s="1696"/>
      <c r="K90" s="768"/>
      <c r="L90" s="925"/>
      <c r="M90" s="1603"/>
      <c r="N90" s="1603"/>
      <c r="O90" s="1603"/>
      <c r="P90" s="1603"/>
    </row>
    <row r="91" s="773" customFormat="true" ht="34.5" hidden="false" customHeight="true" outlineLevel="0" collapsed="false">
      <c r="A91" s="925"/>
      <c r="B91" s="768"/>
      <c r="C91" s="768"/>
      <c r="D91" s="768"/>
      <c r="E91" s="768"/>
      <c r="F91" s="1696"/>
      <c r="K91" s="768"/>
      <c r="L91" s="925"/>
      <c r="N91" s="1603"/>
      <c r="O91" s="1603"/>
      <c r="P91" s="1603"/>
    </row>
    <row r="92" s="773" customFormat="true" ht="34.5" hidden="false" customHeight="true" outlineLevel="0" collapsed="false">
      <c r="A92" s="925"/>
      <c r="B92" s="768"/>
      <c r="C92" s="768"/>
      <c r="D92" s="768"/>
      <c r="E92" s="768"/>
      <c r="F92" s="1696"/>
      <c r="K92" s="768"/>
      <c r="L92" s="925"/>
      <c r="N92" s="1603"/>
      <c r="O92" s="1603"/>
      <c r="P92" s="1603"/>
    </row>
    <row r="93" s="773" customFormat="true" ht="34.5" hidden="false" customHeight="true" outlineLevel="0" collapsed="false">
      <c r="A93" s="925"/>
      <c r="B93" s="768"/>
      <c r="C93" s="768"/>
      <c r="D93" s="768"/>
      <c r="E93" s="768"/>
      <c r="F93" s="1696"/>
      <c r="K93" s="768"/>
      <c r="L93" s="925"/>
    </row>
    <row r="94" s="773" customFormat="true" ht="34.5" hidden="false" customHeight="true" outlineLevel="0" collapsed="false">
      <c r="A94" s="925"/>
      <c r="B94" s="768"/>
      <c r="C94" s="768"/>
      <c r="D94" s="768"/>
      <c r="E94" s="768"/>
      <c r="F94" s="1696"/>
      <c r="K94" s="768"/>
      <c r="L94" s="925"/>
    </row>
    <row r="95" s="773" customFormat="true" ht="34.5" hidden="false" customHeight="true" outlineLevel="0" collapsed="false">
      <c r="A95" s="925"/>
      <c r="B95" s="768"/>
      <c r="C95" s="768"/>
      <c r="D95" s="768"/>
      <c r="E95" s="768"/>
      <c r="F95" s="1696"/>
      <c r="K95" s="768"/>
      <c r="L95" s="925"/>
    </row>
    <row r="96" s="773" customFormat="true" ht="34.5" hidden="false" customHeight="true" outlineLevel="0" collapsed="false">
      <c r="A96" s="925"/>
      <c r="B96" s="768"/>
      <c r="C96" s="768"/>
      <c r="D96" s="768"/>
      <c r="E96" s="768"/>
      <c r="F96" s="1696"/>
      <c r="K96" s="768"/>
      <c r="L96" s="925"/>
    </row>
    <row r="97" s="773" customFormat="true" ht="34.5" hidden="false" customHeight="true" outlineLevel="0" collapsed="false">
      <c r="A97" s="925"/>
      <c r="B97" s="768"/>
      <c r="C97" s="768"/>
      <c r="D97" s="768"/>
      <c r="E97" s="768"/>
      <c r="F97" s="1696"/>
      <c r="K97" s="768"/>
      <c r="L97" s="925"/>
    </row>
    <row r="98" s="773" customFormat="true" ht="34.5" hidden="false" customHeight="true" outlineLevel="0" collapsed="false">
      <c r="A98" s="925"/>
      <c r="B98" s="768"/>
      <c r="C98" s="768"/>
      <c r="D98" s="768"/>
      <c r="E98" s="768"/>
      <c r="F98" s="1696"/>
      <c r="K98" s="768"/>
      <c r="L98" s="925"/>
    </row>
    <row r="99" s="773" customFormat="true" ht="34.5" hidden="false" customHeight="true" outlineLevel="0" collapsed="false">
      <c r="A99" s="925"/>
      <c r="B99" s="768"/>
      <c r="C99" s="768"/>
      <c r="D99" s="768"/>
      <c r="E99" s="768"/>
      <c r="F99" s="1696"/>
      <c r="K99" s="768"/>
      <c r="L99" s="925"/>
    </row>
    <row r="100" s="773" customFormat="true" ht="34.5" hidden="false" customHeight="true" outlineLevel="0" collapsed="false">
      <c r="A100" s="925"/>
      <c r="B100" s="768"/>
      <c r="C100" s="768"/>
      <c r="D100" s="768"/>
      <c r="E100" s="768"/>
      <c r="F100" s="1696"/>
      <c r="K100" s="768"/>
      <c r="L100" s="925"/>
    </row>
    <row r="101" s="773" customFormat="true" ht="34.5" hidden="false" customHeight="true" outlineLevel="0" collapsed="false">
      <c r="A101" s="925"/>
      <c r="B101" s="768"/>
      <c r="C101" s="768"/>
      <c r="D101" s="768"/>
      <c r="E101" s="768"/>
      <c r="F101" s="1696"/>
      <c r="K101" s="768"/>
      <c r="L101" s="925"/>
    </row>
    <row r="102" s="773" customFormat="true" ht="34.5" hidden="false" customHeight="true" outlineLevel="0" collapsed="false">
      <c r="A102" s="925"/>
      <c r="B102" s="768"/>
      <c r="C102" s="768"/>
      <c r="D102" s="768"/>
      <c r="E102" s="768"/>
      <c r="F102" s="1696"/>
      <c r="K102" s="768"/>
      <c r="L102" s="925"/>
    </row>
    <row r="103" s="773" customFormat="true" ht="34.5" hidden="false" customHeight="true" outlineLevel="0" collapsed="false">
      <c r="A103" s="925"/>
      <c r="B103" s="768"/>
      <c r="C103" s="768"/>
      <c r="D103" s="768"/>
      <c r="E103" s="768"/>
      <c r="F103" s="1696"/>
      <c r="K103" s="768"/>
      <c r="L103" s="925"/>
    </row>
    <row r="104" s="773" customFormat="true" ht="34.5" hidden="false" customHeight="true" outlineLevel="0" collapsed="false">
      <c r="A104" s="925"/>
      <c r="B104" s="768"/>
      <c r="C104" s="768"/>
      <c r="D104" s="768"/>
      <c r="E104" s="768"/>
      <c r="F104" s="1696"/>
      <c r="K104" s="768"/>
      <c r="L104" s="925"/>
    </row>
    <row r="105" s="773" customFormat="true" ht="34.5" hidden="false" customHeight="true" outlineLevel="0" collapsed="false">
      <c r="A105" s="925"/>
      <c r="B105" s="768"/>
      <c r="C105" s="768"/>
      <c r="D105" s="768"/>
      <c r="E105" s="768"/>
      <c r="F105" s="1696"/>
      <c r="K105" s="768"/>
      <c r="L105" s="925"/>
    </row>
    <row r="106" s="773" customFormat="true" ht="34.5" hidden="false" customHeight="true" outlineLevel="0" collapsed="false">
      <c r="A106" s="925"/>
      <c r="B106" s="768"/>
      <c r="C106" s="768"/>
      <c r="D106" s="768"/>
      <c r="E106" s="768"/>
      <c r="F106" s="1696"/>
      <c r="K106" s="768"/>
      <c r="L106" s="925"/>
    </row>
    <row r="107" s="773" customFormat="true" ht="34.5" hidden="false" customHeight="true" outlineLevel="0" collapsed="false">
      <c r="A107" s="925"/>
      <c r="B107" s="768"/>
      <c r="C107" s="768"/>
      <c r="D107" s="768"/>
      <c r="E107" s="768"/>
      <c r="F107" s="768"/>
      <c r="G107" s="768"/>
      <c r="H107" s="768"/>
      <c r="K107" s="768"/>
      <c r="L107" s="925"/>
    </row>
    <row r="108" s="773" customFormat="true" ht="34.5" hidden="false" customHeight="true" outlineLevel="0" collapsed="false">
      <c r="A108" s="925"/>
      <c r="B108" s="768"/>
      <c r="C108" s="768"/>
      <c r="D108" s="768"/>
      <c r="E108" s="768"/>
      <c r="F108" s="768"/>
      <c r="G108" s="768"/>
      <c r="H108" s="768"/>
      <c r="K108" s="768"/>
      <c r="L108" s="925"/>
    </row>
    <row r="109" s="773" customFormat="true" ht="34.5" hidden="false" customHeight="true" outlineLevel="0" collapsed="false">
      <c r="A109" s="925"/>
      <c r="B109" s="768"/>
      <c r="C109" s="768"/>
      <c r="D109" s="768"/>
      <c r="E109" s="768"/>
      <c r="F109" s="768"/>
      <c r="G109" s="768"/>
      <c r="H109" s="768"/>
      <c r="K109" s="768"/>
      <c r="L109" s="925"/>
    </row>
    <row r="110" s="773" customFormat="true" ht="34.5" hidden="false" customHeight="true" outlineLevel="0" collapsed="false">
      <c r="A110" s="925"/>
      <c r="B110" s="768"/>
      <c r="C110" s="768"/>
      <c r="D110" s="768"/>
      <c r="E110" s="768"/>
      <c r="F110" s="768"/>
      <c r="G110" s="768"/>
      <c r="H110" s="768"/>
      <c r="I110" s="768"/>
      <c r="J110" s="768"/>
      <c r="K110" s="925"/>
    </row>
    <row r="111" s="773" customFormat="true" ht="34.5" hidden="false" customHeight="true" outlineLevel="0" collapsed="false">
      <c r="A111" s="925"/>
      <c r="B111" s="768"/>
      <c r="C111" s="768"/>
      <c r="D111" s="768"/>
      <c r="E111" s="768"/>
      <c r="F111" s="768"/>
      <c r="G111" s="768"/>
      <c r="H111" s="768"/>
      <c r="I111" s="768"/>
      <c r="J111" s="768"/>
      <c r="K111" s="925"/>
    </row>
    <row r="112" s="773" customFormat="true" ht="17.25" hidden="false" customHeight="false" outlineLevel="0" collapsed="false">
      <c r="A112" s="925"/>
      <c r="B112" s="768"/>
      <c r="C112" s="768"/>
      <c r="D112" s="768"/>
      <c r="E112" s="768"/>
      <c r="F112" s="768"/>
      <c r="G112" s="768"/>
      <c r="H112" s="768"/>
      <c r="I112" s="768"/>
      <c r="J112" s="768"/>
      <c r="K112" s="768"/>
      <c r="L112" s="925"/>
    </row>
    <row r="113" s="773" customFormat="true" ht="17.25" hidden="false" customHeight="false" outlineLevel="0" collapsed="false">
      <c r="A113" s="925"/>
      <c r="B113" s="768"/>
      <c r="C113" s="768"/>
      <c r="D113" s="768"/>
      <c r="E113" s="768"/>
      <c r="F113" s="768"/>
      <c r="G113" s="768"/>
      <c r="H113" s="768"/>
      <c r="I113" s="768"/>
      <c r="J113" s="768"/>
      <c r="K113" s="768"/>
      <c r="L113" s="925"/>
    </row>
    <row r="114" customFormat="false" ht="17.25" hidden="false" customHeight="false" outlineLevel="0" collapsed="false">
      <c r="M114" s="773"/>
      <c r="N114" s="773"/>
      <c r="O114" s="773"/>
      <c r="P114" s="773"/>
    </row>
    <row r="115" customFormat="false" ht="17.25" hidden="false" customHeight="false" outlineLevel="0" collapsed="false">
      <c r="M115" s="773"/>
      <c r="N115" s="773"/>
      <c r="O115" s="773"/>
      <c r="P115" s="773"/>
    </row>
    <row r="116" customFormat="false" ht="17.25" hidden="false" customHeight="false" outlineLevel="0" collapsed="false">
      <c r="N116" s="773"/>
      <c r="O116" s="773"/>
      <c r="P116" s="773"/>
    </row>
    <row r="117" customFormat="false" ht="17.25" hidden="false" customHeight="false" outlineLevel="0" collapsed="false">
      <c r="N117" s="773"/>
      <c r="O117" s="773"/>
      <c r="P117" s="773"/>
    </row>
  </sheetData>
  <mergeCells count="33">
    <mergeCell ref="M2:M4"/>
    <mergeCell ref="A3:A4"/>
    <mergeCell ref="B3:B4"/>
    <mergeCell ref="C3:D3"/>
    <mergeCell ref="E3:E4"/>
    <mergeCell ref="G3:G4"/>
    <mergeCell ref="H3:H4"/>
    <mergeCell ref="I3:J3"/>
    <mergeCell ref="K3:K4"/>
    <mergeCell ref="H23:J23"/>
    <mergeCell ref="A25:A26"/>
    <mergeCell ref="B25:D25"/>
    <mergeCell ref="G25:G26"/>
    <mergeCell ref="H25:H26"/>
    <mergeCell ref="J25:L25"/>
    <mergeCell ref="G28:I28"/>
    <mergeCell ref="A47:A48"/>
    <mergeCell ref="B47:B48"/>
    <mergeCell ref="C47:D47"/>
    <mergeCell ref="E47:E48"/>
    <mergeCell ref="G47:G48"/>
    <mergeCell ref="H47:H48"/>
    <mergeCell ref="I47:J47"/>
    <mergeCell ref="K47:K48"/>
    <mergeCell ref="M47:M48"/>
    <mergeCell ref="N47:N48"/>
    <mergeCell ref="O47:O48"/>
    <mergeCell ref="P47:P48"/>
    <mergeCell ref="G68:I68"/>
    <mergeCell ref="J68:L68"/>
    <mergeCell ref="A69:A70"/>
    <mergeCell ref="B69:B70"/>
    <mergeCell ref="D71:D72"/>
  </mergeCells>
  <printOptions headings="false" gridLines="false" gridLinesSet="true" horizontalCentered="false" verticalCentered="false"/>
  <pageMargins left="0.511805555555556" right="0.0784722222222222" top="0.315277777777778" bottom="0" header="0.511811023622047" footer="0"/>
  <pageSetup paperSize="9" scale="58" fitToWidth="1" fitToHeight="1" pageOrder="downThenOver" orientation="portrait" blackAndWhite="false" draft="false" cellComments="none" horizontalDpi="300" verticalDpi="300" copies="1"/>
  <headerFooter differentFirst="false" differentOddEven="false">
    <oddHeader/>
    <oddFooter>&amp;R&amp;9&amp;Z&amp;F&amp;A</oddFooter>
  </headerFooter>
  <rowBreaks count="1" manualBreakCount="1">
    <brk id="44" man="true" max="16383" min="0"/>
  </rowBreaks>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U87"/>
  <sheetViews>
    <sheetView showFormulas="false" showGridLines="true" showRowColHeaders="true" showZeros="true" rightToLeft="false" tabSelected="false" showOutlineSymbols="true" defaultGridColor="true" view="normal" topLeftCell="A41" colorId="64" zoomScale="100" zoomScaleNormal="100" zoomScalePageLayoutView="70" workbookViewId="0">
      <selection pane="topLeft" activeCell="A67" activeCellId="0" sqref="A67"/>
    </sheetView>
  </sheetViews>
  <sheetFormatPr defaultColWidth="8.79296875" defaultRowHeight="17.25" zeroHeight="false" outlineLevelRow="0" outlineLevelCol="0"/>
  <cols>
    <col collapsed="false" customWidth="true" hidden="false" outlineLevel="0" max="1" min="1" style="925" width="17"/>
    <col collapsed="false" customWidth="true" hidden="false" outlineLevel="0" max="2" min="2" style="768" width="30.49"/>
    <col collapsed="false" customWidth="true" hidden="false" outlineLevel="0" max="3" min="3" style="768" width="32.39"/>
    <col collapsed="false" customWidth="true" hidden="false" outlineLevel="0" max="4" min="4" style="768" width="30.59"/>
    <col collapsed="false" customWidth="true" hidden="false" outlineLevel="0" max="5" min="5" style="768" width="9.59"/>
    <col collapsed="false" customWidth="true" hidden="false" outlineLevel="0" max="6" min="6" style="768" width="2.49"/>
    <col collapsed="false" customWidth="true" hidden="false" outlineLevel="0" max="7" min="7" style="768" width="13.79"/>
    <col collapsed="false" customWidth="true" hidden="false" outlineLevel="0" max="8" min="8" style="768" width="17"/>
    <col collapsed="false" customWidth="true" hidden="false" outlineLevel="0" max="9" min="9" style="768" width="1.59"/>
    <col collapsed="false" customWidth="true" hidden="false" outlineLevel="0" max="10" min="10" style="768" width="5.39"/>
    <col collapsed="false" customWidth="true" hidden="false" outlineLevel="0" max="11" min="11" style="925" width="11.69"/>
    <col collapsed="false" customWidth="true" hidden="false" outlineLevel="0" max="12" min="12" style="925" width="10.69"/>
    <col collapsed="false" customWidth="true" hidden="false" outlineLevel="0" max="14" min="13" style="768" width="10.69"/>
    <col collapsed="false" customWidth="true" hidden="false" outlineLevel="0" max="15" min="15" style="925" width="10.69"/>
    <col collapsed="false" customWidth="true" hidden="false" outlineLevel="0" max="17" min="16" style="925" width="11.99"/>
    <col collapsed="false" customWidth="true" hidden="false" outlineLevel="0" max="21" min="18" style="925" width="10.69"/>
    <col collapsed="false" customWidth="false" hidden="false" outlineLevel="0" max="257" min="22" style="925" width="8.79"/>
  </cols>
  <sheetData>
    <row r="1" s="1598" customFormat="true" ht="22.5" hidden="false" customHeight="true" outlineLevel="0" collapsed="false">
      <c r="A1" s="1719" t="str">
        <f aca="false">'☆長期集計R7'!A1</f>
        <v>令和8年度</v>
      </c>
      <c r="B1" s="1720" t="s">
        <v>836</v>
      </c>
      <c r="C1" s="1721"/>
      <c r="D1" s="1720"/>
      <c r="E1" s="1721"/>
      <c r="F1" s="1721"/>
      <c r="G1" s="1720"/>
      <c r="H1" s="1720"/>
    </row>
    <row r="2" customFormat="false" ht="29.25" hidden="false" customHeight="true" outlineLevel="0" collapsed="false">
      <c r="A2" s="925" t="s">
        <v>837</v>
      </c>
      <c r="B2" s="925"/>
      <c r="C2" s="925"/>
      <c r="D2" s="925"/>
      <c r="E2" s="774" t="s">
        <v>421</v>
      </c>
      <c r="F2" s="1722"/>
      <c r="G2" s="925" t="s">
        <v>838</v>
      </c>
      <c r="H2" s="925"/>
      <c r="I2" s="773"/>
      <c r="J2" s="1723" t="s">
        <v>839</v>
      </c>
      <c r="K2" s="1723"/>
      <c r="L2" s="773"/>
      <c r="M2" s="773"/>
      <c r="N2" s="925"/>
      <c r="O2" s="774"/>
    </row>
    <row r="3" customFormat="false" ht="33" hidden="false" customHeight="true" outlineLevel="0" collapsed="false">
      <c r="A3" s="1605" t="s">
        <v>428</v>
      </c>
      <c r="B3" s="1724" t="s">
        <v>840</v>
      </c>
      <c r="C3" s="1725" t="s">
        <v>377</v>
      </c>
      <c r="D3" s="1726" t="s">
        <v>841</v>
      </c>
      <c r="E3" s="1727" t="s">
        <v>427</v>
      </c>
      <c r="F3" s="1690"/>
      <c r="G3" s="1728" t="s">
        <v>428</v>
      </c>
      <c r="H3" s="1729" t="s">
        <v>429</v>
      </c>
      <c r="I3" s="925"/>
      <c r="J3" s="1728" t="s">
        <v>423</v>
      </c>
      <c r="K3" s="1730" t="s">
        <v>842</v>
      </c>
      <c r="M3" s="925"/>
      <c r="N3" s="925"/>
    </row>
    <row r="4" customFormat="false" ht="24.75" hidden="false" customHeight="true" outlineLevel="0" collapsed="false">
      <c r="A4" s="1617" t="s">
        <v>445</v>
      </c>
      <c r="B4" s="1731" t="n">
        <f aca="true">OFFSET('☆掛負収入'!$H$65,$G$24*$G25,0,1,1)-D4</f>
        <v>347973438</v>
      </c>
      <c r="C4" s="1731" t="n">
        <f aca="true">OFFSET('☆掛負収入'!$I$65,$G$24*$G25,0,1,1)</f>
        <v>351591834</v>
      </c>
      <c r="D4" s="1732" t="n">
        <f aca="true">OFFSET('☆掛負収入'!$H$64,$G$24*$G25,0,1,1)</f>
        <v>98124999</v>
      </c>
      <c r="E4" s="1733" t="n">
        <f aca="false">SUM(B4:D4)</f>
        <v>797690271</v>
      </c>
      <c r="F4" s="1696"/>
      <c r="G4" s="1666" t="s">
        <v>445</v>
      </c>
      <c r="H4" s="1734" t="n">
        <f aca="false">還付!J5</f>
        <v>231571</v>
      </c>
      <c r="I4" s="925"/>
      <c r="J4" s="1735" t="s">
        <v>445</v>
      </c>
      <c r="K4" s="1734" t="n">
        <f aca="false">還付!D5+還付!D21</f>
        <v>357223</v>
      </c>
      <c r="M4" s="925"/>
      <c r="N4" s="925"/>
    </row>
    <row r="5" customFormat="false" ht="24.75" hidden="false" customHeight="true" outlineLevel="0" collapsed="false">
      <c r="A5" s="1627" t="s">
        <v>446</v>
      </c>
      <c r="B5" s="1736" t="n">
        <f aca="true">OFFSET('☆掛負収入'!$H$65,$G$24*$G26,0,1,1)-D5</f>
        <v>350309882</v>
      </c>
      <c r="C5" s="1731" t="n">
        <f aca="true">OFFSET('☆掛負収入'!$I$65,$G$24*$G26,0,1,1)</f>
        <v>354839877</v>
      </c>
      <c r="D5" s="1737" t="n">
        <f aca="true">OFFSET('☆掛負収入'!$H$64,$G$24*$G26,0,1,1)</f>
        <v>2899667</v>
      </c>
      <c r="E5" s="1733" t="n">
        <f aca="false">SUM(B5:D5)</f>
        <v>708049426</v>
      </c>
      <c r="F5" s="1696"/>
      <c r="G5" s="1668" t="s">
        <v>446</v>
      </c>
      <c r="H5" s="1738" t="n">
        <f aca="false">還付!J6</f>
        <v>706919</v>
      </c>
      <c r="I5" s="925"/>
      <c r="J5" s="1739" t="s">
        <v>446</v>
      </c>
      <c r="K5" s="1734" t="n">
        <f aca="false">還付!D6+還付!D22</f>
        <v>102683</v>
      </c>
      <c r="M5" s="925"/>
      <c r="N5" s="925"/>
    </row>
    <row r="6" customFormat="false" ht="24.75" hidden="false" customHeight="true" outlineLevel="0" collapsed="false">
      <c r="A6" s="1627" t="s">
        <v>447</v>
      </c>
      <c r="B6" s="1736" t="n">
        <f aca="true">OFFSET('☆掛負収入'!$H$65,$G$24*$G27,0,1,1)-D6</f>
        <v>349909827</v>
      </c>
      <c r="C6" s="1731" t="n">
        <f aca="true">OFFSET('☆掛負収入'!$I$65,$G$24*$G27,0,1,1)</f>
        <v>354141739</v>
      </c>
      <c r="D6" s="1737" t="n">
        <f aca="true">OFFSET('☆掛負収入'!$H$64,$G$24*$G27,0,1,1)</f>
        <v>2880046</v>
      </c>
      <c r="E6" s="1733" t="n">
        <f aca="false">SUM(B6:D6)</f>
        <v>706931612</v>
      </c>
      <c r="F6" s="1696"/>
      <c r="G6" s="1668" t="s">
        <v>447</v>
      </c>
      <c r="H6" s="1738" t="n">
        <f aca="false">還付!J7</f>
        <v>0</v>
      </c>
      <c r="I6" s="925"/>
      <c r="J6" s="1739" t="s">
        <v>447</v>
      </c>
      <c r="K6" s="1734" t="n">
        <f aca="false">還付!D7+還付!D23</f>
        <v>223534</v>
      </c>
      <c r="M6" s="925"/>
      <c r="N6" s="925"/>
    </row>
    <row r="7" customFormat="false" ht="24.75" hidden="false" customHeight="true" outlineLevel="0" collapsed="false">
      <c r="A7" s="1627" t="s">
        <v>773</v>
      </c>
      <c r="B7" s="1736" t="n">
        <f aca="true">OFFSET('☆掛負収入'!$H$65,$G$24*$G28,0,1,1)-D7</f>
        <v>614527425</v>
      </c>
      <c r="C7" s="1731" t="n">
        <f aca="true">OFFSET('☆掛負収入'!$I$65,$G$24*$G28,0,1,1)</f>
        <v>622929746</v>
      </c>
      <c r="D7" s="1740" t="n">
        <f aca="true">OFFSET('☆掛負収入'!$H$64,$G$24*$G28,0,1,1)</f>
        <v>0</v>
      </c>
      <c r="E7" s="1733" t="n">
        <f aca="false">SUM(B7:D7)</f>
        <v>1237457171</v>
      </c>
      <c r="F7" s="1696"/>
      <c r="G7" s="1668" t="s">
        <v>448</v>
      </c>
      <c r="H7" s="1738" t="n">
        <f aca="false">還付!J8</f>
        <v>998736</v>
      </c>
      <c r="I7" s="925"/>
      <c r="J7" s="1739" t="s">
        <v>448</v>
      </c>
      <c r="K7" s="1734" t="n">
        <f aca="false">還付!D8+還付!D24</f>
        <v>285482</v>
      </c>
      <c r="M7" s="925"/>
      <c r="N7" s="925"/>
    </row>
    <row r="8" customFormat="false" ht="24.75" hidden="false" customHeight="true" outlineLevel="0" collapsed="false">
      <c r="A8" s="1627" t="s">
        <v>448</v>
      </c>
      <c r="B8" s="1736" t="n">
        <f aca="true">OFFSET('☆掛負収入'!$H$65,$G$24*$G29,0,1,1)-D8</f>
        <v>355762778</v>
      </c>
      <c r="C8" s="1731" t="n">
        <f aca="true">OFFSET('☆掛負収入'!$I$65,$G$24*$G29,0,1,1)</f>
        <v>360215631</v>
      </c>
      <c r="D8" s="1737" t="n">
        <f aca="true">OFFSET('☆掛負収入'!$H$64,$G$24*$G29,0,1,1)</f>
        <v>2297617</v>
      </c>
      <c r="E8" s="1733" t="n">
        <f aca="false">SUM(B8:D8)</f>
        <v>718276026</v>
      </c>
      <c r="F8" s="1696"/>
      <c r="G8" s="1668" t="s">
        <v>449</v>
      </c>
      <c r="H8" s="1738" t="n">
        <f aca="false">還付!J9</f>
        <v>1560321</v>
      </c>
      <c r="I8" s="925"/>
      <c r="J8" s="1739" t="s">
        <v>449</v>
      </c>
      <c r="K8" s="1734" t="n">
        <f aca="false">還付!D9+還付!D25</f>
        <v>208471</v>
      </c>
      <c r="M8" s="925"/>
      <c r="N8" s="925"/>
    </row>
    <row r="9" customFormat="false" ht="24.75" hidden="false" customHeight="true" outlineLevel="0" collapsed="false">
      <c r="A9" s="1627" t="s">
        <v>449</v>
      </c>
      <c r="B9" s="1736" t="n">
        <f aca="true">OFFSET('☆掛負収入'!$H$65,$G$24*$G30,0,1,1)-D9</f>
        <v>352315508</v>
      </c>
      <c r="C9" s="1731" t="n">
        <f aca="true">OFFSET('☆掛負収入'!$I$65,$G$24*$G30,0,1,1)</f>
        <v>356751068</v>
      </c>
      <c r="D9" s="1737" t="n">
        <f aca="true">OFFSET('☆掛負収入'!$H$64,$G$24*$G30,0,1,1)</f>
        <v>3479204</v>
      </c>
      <c r="E9" s="1733" t="n">
        <f aca="false">SUM(B9:D9)</f>
        <v>712545780</v>
      </c>
      <c r="F9" s="1696"/>
      <c r="G9" s="1668" t="s">
        <v>450</v>
      </c>
      <c r="H9" s="1738" t="n">
        <f aca="false">還付!J10</f>
        <v>1942502</v>
      </c>
      <c r="I9" s="925"/>
      <c r="J9" s="1739" t="s">
        <v>450</v>
      </c>
      <c r="K9" s="1734" t="n">
        <f aca="false">還付!D10+還付!D26</f>
        <v>204325</v>
      </c>
      <c r="M9" s="925"/>
      <c r="N9" s="925"/>
    </row>
    <row r="10" customFormat="false" ht="24.75" hidden="false" customHeight="true" outlineLevel="0" collapsed="false">
      <c r="A10" s="1627" t="s">
        <v>450</v>
      </c>
      <c r="B10" s="1736" t="n">
        <f aca="true">OFFSET('☆掛負収入'!$H$65,$G$24*$G31,0,1,1)-D10</f>
        <v>355719264</v>
      </c>
      <c r="C10" s="1731" t="n">
        <f aca="true">OFFSET('☆掛負収入'!$I$65,$G$24*$G31,0,1,1)</f>
        <v>360138827</v>
      </c>
      <c r="D10" s="1737" t="n">
        <f aca="true">OFFSET('☆掛負収入'!$H$64,$G$24*$G31,0,1,1)</f>
        <v>6877798</v>
      </c>
      <c r="E10" s="1733" t="n">
        <f aca="false">SUM(B10:D10)</f>
        <v>722735889</v>
      </c>
      <c r="F10" s="1696"/>
      <c r="G10" s="1668" t="s">
        <v>451</v>
      </c>
      <c r="H10" s="1738" t="n">
        <f aca="false">還付!J11</f>
        <v>338855</v>
      </c>
      <c r="I10" s="925"/>
      <c r="J10" s="1739" t="s">
        <v>451</v>
      </c>
      <c r="K10" s="1734" t="n">
        <f aca="false">還付!D11+還付!D27</f>
        <v>0</v>
      </c>
      <c r="M10" s="925"/>
      <c r="N10" s="925"/>
    </row>
    <row r="11" customFormat="false" ht="24.75" hidden="false" customHeight="true" outlineLevel="0" collapsed="false">
      <c r="A11" s="1627" t="s">
        <v>451</v>
      </c>
      <c r="B11" s="1736" t="n">
        <f aca="true">OFFSET('☆掛負収入'!$H$65,$G$24*$G32,0,1,1)-D11</f>
        <v>365227784</v>
      </c>
      <c r="C11" s="1731" t="n">
        <f aca="true">OFFSET('☆掛負収入'!$I$65,$G$24*$G32,0,1,1)</f>
        <v>370249515</v>
      </c>
      <c r="D11" s="1737" t="n">
        <f aca="true">OFFSET('☆掛負収入'!$H$64,$G$24*$G32,0,1,1)</f>
        <v>2637097</v>
      </c>
      <c r="E11" s="1733" t="n">
        <f aca="false">SUM(B11:D11)</f>
        <v>738114396</v>
      </c>
      <c r="F11" s="1696"/>
      <c r="G11" s="1668" t="s">
        <v>452</v>
      </c>
      <c r="H11" s="1738" t="n">
        <f aca="false">還付!J12</f>
        <v>352644</v>
      </c>
      <c r="I11" s="925"/>
      <c r="J11" s="1739" t="s">
        <v>452</v>
      </c>
      <c r="K11" s="1734" t="n">
        <f aca="false">還付!D12+還付!D28</f>
        <v>0</v>
      </c>
      <c r="M11" s="925"/>
      <c r="N11" s="925"/>
    </row>
    <row r="12" customFormat="false" ht="24.75" hidden="false" customHeight="true" outlineLevel="0" collapsed="false">
      <c r="A12" s="1627" t="s">
        <v>452</v>
      </c>
      <c r="B12" s="1736" t="n">
        <f aca="true">OFFSET('☆掛負収入'!$H$65,$G$24*$G33,0,1,1)-D12</f>
        <v>364811284</v>
      </c>
      <c r="C12" s="1731" t="n">
        <f aca="true">OFFSET('☆掛負収入'!$I$65,$G$24*$G33,0,1,1)</f>
        <v>369564417</v>
      </c>
      <c r="D12" s="1737" t="n">
        <f aca="true">OFFSET('☆掛負収入'!$H$64,$G$24*$G33,0,1,1)</f>
        <v>1365918</v>
      </c>
      <c r="E12" s="1733" t="n">
        <f aca="false">SUM(B12:D12)</f>
        <v>735741619</v>
      </c>
      <c r="F12" s="1696"/>
      <c r="G12" s="1668" t="s">
        <v>453</v>
      </c>
      <c r="H12" s="1738" t="n">
        <f aca="false">還付!J13</f>
        <v>0</v>
      </c>
      <c r="I12" s="925"/>
      <c r="J12" s="1739" t="s">
        <v>453</v>
      </c>
      <c r="K12" s="1734" t="n">
        <f aca="false">還付!D13+還付!D29</f>
        <v>0</v>
      </c>
      <c r="M12" s="925"/>
      <c r="N12" s="925"/>
    </row>
    <row r="13" customFormat="false" ht="24.75" hidden="false" customHeight="true" outlineLevel="0" collapsed="false">
      <c r="A13" s="1627" t="s">
        <v>774</v>
      </c>
      <c r="B13" s="1736" t="n">
        <f aca="true">OFFSET('☆掛負収入'!$H$65,$G$24*$G34,0,1,1)-D13</f>
        <v>628299535</v>
      </c>
      <c r="C13" s="1731" t="n">
        <f aca="true">OFFSET('☆掛負収入'!$I$65,$G$24*$G34,0,1,1)</f>
        <v>637398784</v>
      </c>
      <c r="D13" s="1740" t="n">
        <f aca="true">OFFSET('☆掛負収入'!$H$64,$G$24*$G34,0,1,1)</f>
        <v>0</v>
      </c>
      <c r="E13" s="1733" t="n">
        <f aca="false">SUM(B13:D13)</f>
        <v>1265698319</v>
      </c>
      <c r="F13" s="1696"/>
      <c r="G13" s="1668" t="s">
        <v>454</v>
      </c>
      <c r="H13" s="1738" t="n">
        <f aca="false">還付!J14</f>
        <v>0</v>
      </c>
      <c r="I13" s="925"/>
      <c r="J13" s="1739" t="s">
        <v>454</v>
      </c>
      <c r="K13" s="1734" t="n">
        <f aca="false">還付!D14+還付!D30</f>
        <v>0</v>
      </c>
      <c r="M13" s="925"/>
      <c r="N13" s="925"/>
    </row>
    <row r="14" customFormat="false" ht="24.75" hidden="false" customHeight="true" outlineLevel="0" collapsed="false">
      <c r="A14" s="1627" t="s">
        <v>453</v>
      </c>
      <c r="B14" s="1736" t="n">
        <f aca="true">OFFSET('☆掛負収入'!$H$65,$G$24*$G35,0,1,1)-D14</f>
        <v>365041686</v>
      </c>
      <c r="C14" s="1731" t="n">
        <f aca="true">OFFSET('☆掛負収入'!$I$65,$G$24*$G35,0,1,1)</f>
        <v>369649168</v>
      </c>
      <c r="D14" s="1741" t="n">
        <f aca="true">OFFSET('☆掛負収入'!$H$64,$G$24*$G35,0,1,1)</f>
        <v>1270075</v>
      </c>
      <c r="E14" s="1733" t="n">
        <f aca="false">SUM(B14:D14)</f>
        <v>735960929</v>
      </c>
      <c r="F14" s="1696"/>
      <c r="G14" s="1668" t="s">
        <v>455</v>
      </c>
      <c r="H14" s="1738" t="n">
        <f aca="false">還付!J15</f>
        <v>0</v>
      </c>
      <c r="I14" s="925"/>
      <c r="J14" s="1739" t="s">
        <v>455</v>
      </c>
      <c r="K14" s="1734" t="n">
        <f aca="false">還付!D15+還付!D31</f>
        <v>0</v>
      </c>
      <c r="M14" s="925"/>
      <c r="N14" s="925"/>
    </row>
    <row r="15" customFormat="false" ht="24.75" hidden="false" customHeight="true" outlineLevel="0" collapsed="false">
      <c r="A15" s="1627" t="s">
        <v>454</v>
      </c>
      <c r="B15" s="1736" t="n">
        <f aca="true">OFFSET('☆掛負収入'!$H$65,$G$24*$G36,0,1,1)-D15</f>
        <v>364666157</v>
      </c>
      <c r="C15" s="1731" t="n">
        <f aca="true">OFFSET('☆掛負収入'!$I$65,$G$24*$G36,0,1,1)</f>
        <v>369664538</v>
      </c>
      <c r="D15" s="1737" t="n">
        <f aca="true">OFFSET('☆掛負収入'!$H$64,$G$24*$G36,0,1,1)</f>
        <v>1487293</v>
      </c>
      <c r="E15" s="1733" t="n">
        <f aca="false">SUM(B15:D15)</f>
        <v>735817988</v>
      </c>
      <c r="F15" s="1696"/>
      <c r="G15" s="1671" t="s">
        <v>456</v>
      </c>
      <c r="H15" s="1742" t="n">
        <f aca="false">還付!J16</f>
        <v>0</v>
      </c>
      <c r="I15" s="925"/>
      <c r="J15" s="1743" t="s">
        <v>456</v>
      </c>
      <c r="K15" s="1734" t="n">
        <f aca="false">還付!D16+還付!D32</f>
        <v>0</v>
      </c>
      <c r="M15" s="925"/>
      <c r="N15" s="925"/>
    </row>
    <row r="16" customFormat="false" ht="24.75" hidden="false" customHeight="true" outlineLevel="0" collapsed="false">
      <c r="A16" s="1627" t="s">
        <v>455</v>
      </c>
      <c r="B16" s="1736" t="n">
        <f aca="true">OFFSET('☆掛負収入'!$H$65,$G$24*$G37,0,1,1)-D16</f>
        <v>364642103</v>
      </c>
      <c r="C16" s="1731" t="n">
        <f aca="true">OFFSET('☆掛負収入'!$I$65,$G$24*$G37,0,1,1)</f>
        <v>369683132</v>
      </c>
      <c r="D16" s="1737" t="n">
        <f aca="true">OFFSET('☆掛負収入'!$H$64,$G$24*$G37,0,1,1)</f>
        <v>873541</v>
      </c>
      <c r="E16" s="1733" t="n">
        <f aca="false">SUM(B16:D16)</f>
        <v>735198776</v>
      </c>
      <c r="F16" s="1696"/>
      <c r="G16" s="1744" t="s">
        <v>457</v>
      </c>
      <c r="H16" s="1745" t="n">
        <f aca="false">SUM(H4:H15)</f>
        <v>6131548</v>
      </c>
      <c r="I16" s="925"/>
      <c r="J16" s="1746" t="s">
        <v>457</v>
      </c>
      <c r="K16" s="1745" t="n">
        <f aca="false">SUM(K4:K15)</f>
        <v>1381718</v>
      </c>
      <c r="M16" s="925"/>
      <c r="N16" s="925"/>
    </row>
    <row r="17" customFormat="false" ht="24.75" hidden="false" customHeight="true" outlineLevel="0" collapsed="false">
      <c r="A17" s="1627" t="s">
        <v>775</v>
      </c>
      <c r="B17" s="1747" t="n">
        <f aca="true">OFFSET('☆掛負収入'!$H$65,$G$24*$G38,0,1,1)-D17</f>
        <v>139822185</v>
      </c>
      <c r="C17" s="1731" t="n">
        <f aca="true">OFFSET('☆掛負収入'!$I$65,$G$24*$G38,0,1,1)</f>
        <v>145829686</v>
      </c>
      <c r="D17" s="1748" t="n">
        <f aca="true">OFFSET('☆掛負収入'!$H$64,$G$24*$G38,0,1,1)</f>
        <v>0</v>
      </c>
      <c r="E17" s="1733" t="n">
        <f aca="false">SUM(B17:D17)</f>
        <v>285651871</v>
      </c>
      <c r="F17" s="1696"/>
      <c r="G17" s="1749"/>
      <c r="H17" s="1688"/>
      <c r="I17" s="925"/>
      <c r="J17" s="925"/>
      <c r="M17" s="925"/>
      <c r="N17" s="925"/>
    </row>
    <row r="18" customFormat="false" ht="24.75" hidden="false" customHeight="true" outlineLevel="0" collapsed="false">
      <c r="A18" s="1627" t="s">
        <v>456</v>
      </c>
      <c r="B18" s="1736" t="n">
        <f aca="true">OFFSET('☆掛負収入'!$H$65,$G$24*$G39,0,1,1)-D18</f>
        <v>355674806</v>
      </c>
      <c r="C18" s="1731" t="n">
        <f aca="true">OFFSET('☆掛負収入'!$I$65,$G$24*$G39,0,1,1)</f>
        <v>359744737</v>
      </c>
      <c r="D18" s="1741" t="n">
        <f aca="true">OFFSET('☆掛負収入'!$H$64,$G$24*$G39,0,1,1)</f>
        <v>112219</v>
      </c>
      <c r="E18" s="1750" t="n">
        <f aca="false">SUM(B18:D18)</f>
        <v>715531762</v>
      </c>
      <c r="F18" s="1696"/>
      <c r="G18" s="1749"/>
      <c r="H18" s="1688"/>
      <c r="I18" s="925"/>
      <c r="J18" s="925"/>
      <c r="M18" s="925"/>
      <c r="N18" s="925"/>
    </row>
    <row r="19" customFormat="false" ht="24.75" hidden="false" customHeight="true" outlineLevel="0" collapsed="false">
      <c r="A19" s="1634" t="s">
        <v>808</v>
      </c>
      <c r="B19" s="1736" t="n">
        <f aca="true">OFFSET('☆掛負収入'!$H$65,$G$24*$G40,0,1,1)-D19</f>
        <v>17812876</v>
      </c>
      <c r="C19" s="1736" t="n">
        <f aca="true">OFFSET('☆掛負収入'!$I$65,$G$24*$G40,0,1,1)</f>
        <v>17802510</v>
      </c>
      <c r="D19" s="1740" t="n">
        <f aca="true">OFFSET('☆掛負収入'!$H$64,$G$24*$G40,0,1,1)</f>
        <v>0</v>
      </c>
      <c r="E19" s="1751" t="n">
        <f aca="false">SUM(B19:D19)</f>
        <v>35615386</v>
      </c>
      <c r="F19" s="1696"/>
      <c r="G19" s="1749"/>
      <c r="H19" s="1688"/>
      <c r="I19" s="925"/>
      <c r="J19" s="925"/>
      <c r="M19" s="925"/>
      <c r="N19" s="925"/>
    </row>
    <row r="20" customFormat="false" ht="24.75" hidden="false" customHeight="true" outlineLevel="0" collapsed="false">
      <c r="A20" s="1635" t="s">
        <v>809</v>
      </c>
      <c r="B20" s="1752" t="n">
        <f aca="true">OFFSET('☆掛負収入'!$H$65,$G$24*$G41,0,1,1)-D20</f>
        <v>17812885</v>
      </c>
      <c r="C20" s="1752" t="n">
        <f aca="true">OFFSET('☆掛負収入'!$I$65,$G$24*$G41,0,1,1)</f>
        <v>17802525</v>
      </c>
      <c r="D20" s="1753" t="n">
        <f aca="true">OFFSET('☆掛負収入'!$H$64,$G$24*$G41,0,1,1)</f>
        <v>0</v>
      </c>
      <c r="E20" s="1754" t="n">
        <f aca="false">SUM(B20:D20)</f>
        <v>35615410</v>
      </c>
      <c r="F20" s="1696"/>
      <c r="G20" s="1749"/>
      <c r="H20" s="1688"/>
      <c r="I20" s="925"/>
      <c r="J20" s="925"/>
      <c r="M20" s="925"/>
      <c r="N20" s="925"/>
    </row>
    <row r="21" customFormat="false" ht="24.75" hidden="false" customHeight="true" outlineLevel="0" collapsed="false">
      <c r="A21" s="1638" t="s">
        <v>457</v>
      </c>
      <c r="B21" s="1755" t="n">
        <f aca="false">SUM(B4:B20)</f>
        <v>5710329423</v>
      </c>
      <c r="C21" s="1755" t="n">
        <f aca="false">SUM(C4:C20)</f>
        <v>5787997734</v>
      </c>
      <c r="D21" s="1756" t="n">
        <f aca="false">SUM(D4:D20)</f>
        <v>124305474</v>
      </c>
      <c r="E21" s="1757" t="n">
        <f aca="false">SUM(E4:E20)</f>
        <v>11622632631</v>
      </c>
      <c r="F21" s="1696"/>
      <c r="G21" s="1749"/>
      <c r="H21" s="1688"/>
      <c r="I21" s="773"/>
      <c r="J21" s="773"/>
      <c r="K21" s="773"/>
      <c r="L21" s="773"/>
      <c r="M21" s="773"/>
      <c r="N21" s="773"/>
    </row>
    <row r="22" customFormat="false" ht="10.5" hidden="false" customHeight="true" outlineLevel="0" collapsed="false">
      <c r="B22" s="1696"/>
      <c r="C22" s="1696"/>
      <c r="D22" s="1696"/>
      <c r="G22" s="1758"/>
      <c r="H22" s="1758"/>
      <c r="K22" s="773"/>
      <c r="L22" s="773"/>
      <c r="O22" s="773"/>
      <c r="P22" s="773"/>
      <c r="Q22" s="773"/>
      <c r="R22" s="773"/>
      <c r="S22" s="773"/>
      <c r="T22" s="773"/>
      <c r="U22" s="773"/>
    </row>
    <row r="23" customFormat="false" ht="29.25" hidden="false" customHeight="true" outlineLevel="0" collapsed="false">
      <c r="A23" s="925" t="s">
        <v>843</v>
      </c>
      <c r="B23" s="925"/>
      <c r="C23" s="925"/>
      <c r="D23" s="925"/>
      <c r="E23" s="774" t="s">
        <v>421</v>
      </c>
      <c r="F23" s="925"/>
      <c r="G23" s="1759" t="s">
        <v>844</v>
      </c>
      <c r="H23" s="1759"/>
      <c r="I23" s="1760"/>
      <c r="J23" s="1723" t="s">
        <v>845</v>
      </c>
      <c r="K23" s="1723"/>
      <c r="M23" s="925"/>
      <c r="N23" s="773"/>
    </row>
    <row r="24" customFormat="false" ht="33" hidden="false" customHeight="true" outlineLevel="0" collapsed="false">
      <c r="A24" s="1605" t="s">
        <v>284</v>
      </c>
      <c r="B24" s="1724" t="s">
        <v>846</v>
      </c>
      <c r="C24" s="1725" t="s">
        <v>377</v>
      </c>
      <c r="D24" s="1726" t="s">
        <v>847</v>
      </c>
      <c r="E24" s="1727" t="s">
        <v>427</v>
      </c>
      <c r="F24" s="1696"/>
      <c r="G24" s="1761" t="n">
        <v>65</v>
      </c>
      <c r="H24" s="1762"/>
      <c r="I24" s="1690"/>
      <c r="J24" s="1728" t="s">
        <v>473</v>
      </c>
      <c r="K24" s="1730" t="s">
        <v>848</v>
      </c>
      <c r="M24" s="925"/>
      <c r="N24" s="925"/>
    </row>
    <row r="25" customFormat="false" ht="24.75" hidden="false" customHeight="true" outlineLevel="0" collapsed="false">
      <c r="A25" s="1617" t="s">
        <v>445</v>
      </c>
      <c r="B25" s="1731" t="n">
        <f aca="false">B4-K4+K25</f>
        <v>347616215</v>
      </c>
      <c r="C25" s="1731" t="n">
        <f aca="false">C4</f>
        <v>351591834</v>
      </c>
      <c r="D25" s="1732" t="n">
        <f aca="false">D4-H4</f>
        <v>97893428</v>
      </c>
      <c r="E25" s="1733" t="n">
        <f aca="false">SUM(B25:D25)</f>
        <v>797101477</v>
      </c>
      <c r="F25" s="1696"/>
      <c r="G25" s="1763" t="n">
        <v>0</v>
      </c>
      <c r="H25" s="1762"/>
      <c r="I25" s="1684"/>
      <c r="J25" s="1666" t="s">
        <v>445</v>
      </c>
      <c r="K25" s="1734" t="n">
        <f aca="false">未納者等入金!D5</f>
        <v>0</v>
      </c>
      <c r="M25" s="925"/>
      <c r="N25" s="925"/>
    </row>
    <row r="26" customFormat="false" ht="24.75" hidden="false" customHeight="true" outlineLevel="0" collapsed="false">
      <c r="A26" s="1627" t="s">
        <v>446</v>
      </c>
      <c r="B26" s="1731" t="n">
        <f aca="false">B5-K5+K26</f>
        <v>350207199</v>
      </c>
      <c r="C26" s="1736" t="n">
        <f aca="false">C5</f>
        <v>354839877</v>
      </c>
      <c r="D26" s="1732" t="n">
        <f aca="false">D5-H5</f>
        <v>2192748</v>
      </c>
      <c r="E26" s="1733" t="n">
        <f aca="false">SUM(B26:D26)</f>
        <v>707239824</v>
      </c>
      <c r="F26" s="1696"/>
      <c r="G26" s="1763" t="n">
        <v>1</v>
      </c>
      <c r="H26" s="1762"/>
      <c r="I26" s="1684"/>
      <c r="J26" s="1668" t="s">
        <v>446</v>
      </c>
      <c r="K26" s="1734" t="n">
        <f aca="false">未納者等入金!D6</f>
        <v>0</v>
      </c>
      <c r="M26" s="925"/>
      <c r="N26" s="925"/>
    </row>
    <row r="27" customFormat="false" ht="24.75" hidden="false" customHeight="true" outlineLevel="0" collapsed="false">
      <c r="A27" s="1627" t="s">
        <v>447</v>
      </c>
      <c r="B27" s="1731" t="n">
        <f aca="false">B6-K6+K27</f>
        <v>349686293</v>
      </c>
      <c r="C27" s="1736" t="n">
        <f aca="false">C6</f>
        <v>354141739</v>
      </c>
      <c r="D27" s="1732" t="n">
        <f aca="false">D6-H6</f>
        <v>2880046</v>
      </c>
      <c r="E27" s="1733" t="n">
        <f aca="false">SUM(B27:D27)</f>
        <v>706708078</v>
      </c>
      <c r="F27" s="1696"/>
      <c r="G27" s="1763" t="n">
        <v>2</v>
      </c>
      <c r="H27" s="1762"/>
      <c r="I27" s="1684"/>
      <c r="J27" s="1668" t="s">
        <v>447</v>
      </c>
      <c r="K27" s="1734" t="n">
        <f aca="false">未納者等入金!D7</f>
        <v>0</v>
      </c>
      <c r="M27" s="925"/>
      <c r="N27" s="925"/>
    </row>
    <row r="28" customFormat="false" ht="24.75" hidden="false" customHeight="true" outlineLevel="0" collapsed="false">
      <c r="A28" s="1627" t="s">
        <v>773</v>
      </c>
      <c r="B28" s="1736" t="n">
        <f aca="false">B7+K28</f>
        <v>614527425</v>
      </c>
      <c r="C28" s="1736" t="n">
        <f aca="false">C7</f>
        <v>622929746</v>
      </c>
      <c r="D28" s="1740" t="n">
        <f aca="false">D7</f>
        <v>0</v>
      </c>
      <c r="E28" s="1733" t="n">
        <f aca="false">SUM(B28:D28)</f>
        <v>1237457171</v>
      </c>
      <c r="F28" s="1696"/>
      <c r="G28" s="1763" t="n">
        <v>3</v>
      </c>
      <c r="H28" s="1762"/>
      <c r="I28" s="1684"/>
      <c r="J28" s="1668" t="s">
        <v>773</v>
      </c>
      <c r="K28" s="1734" t="n">
        <f aca="false">未納者等入金!D8</f>
        <v>0</v>
      </c>
      <c r="M28" s="925"/>
      <c r="N28" s="925"/>
    </row>
    <row r="29" customFormat="false" ht="24.75" hidden="false" customHeight="true" outlineLevel="0" collapsed="false">
      <c r="A29" s="1627" t="s">
        <v>448</v>
      </c>
      <c r="B29" s="1736" t="n">
        <f aca="false">B8-K7+K29</f>
        <v>355477296</v>
      </c>
      <c r="C29" s="1736" t="n">
        <f aca="false">C8</f>
        <v>360215631</v>
      </c>
      <c r="D29" s="1737" t="n">
        <f aca="false">D8-H7</f>
        <v>1298881</v>
      </c>
      <c r="E29" s="1733" t="n">
        <f aca="false">SUM(B29:D29)</f>
        <v>716991808</v>
      </c>
      <c r="F29" s="1696"/>
      <c r="G29" s="1763" t="n">
        <v>4</v>
      </c>
      <c r="H29" s="1762"/>
      <c r="I29" s="1684"/>
      <c r="J29" s="1668" t="s">
        <v>448</v>
      </c>
      <c r="K29" s="1734" t="n">
        <f aca="false">未納者等入金!D9</f>
        <v>0</v>
      </c>
      <c r="M29" s="925"/>
      <c r="N29" s="925"/>
    </row>
    <row r="30" customFormat="false" ht="24.75" hidden="false" customHeight="true" outlineLevel="0" collapsed="false">
      <c r="A30" s="1627" t="s">
        <v>449</v>
      </c>
      <c r="B30" s="1736" t="n">
        <f aca="false">B9-K8+K30</f>
        <v>352107037</v>
      </c>
      <c r="C30" s="1736" t="n">
        <f aca="false">C9</f>
        <v>356751068</v>
      </c>
      <c r="D30" s="1737" t="n">
        <f aca="false">D9-H8</f>
        <v>1918883</v>
      </c>
      <c r="E30" s="1733" t="n">
        <f aca="false">SUM(B30:D30)</f>
        <v>710776988</v>
      </c>
      <c r="F30" s="1696"/>
      <c r="G30" s="1763" t="n">
        <v>5</v>
      </c>
      <c r="H30" s="1762"/>
      <c r="I30" s="1684"/>
      <c r="J30" s="1668" t="s">
        <v>449</v>
      </c>
      <c r="K30" s="1734" t="n">
        <f aca="false">未納者等入金!D10</f>
        <v>0</v>
      </c>
      <c r="M30" s="925"/>
      <c r="N30" s="925"/>
    </row>
    <row r="31" customFormat="false" ht="24.75" hidden="false" customHeight="true" outlineLevel="0" collapsed="false">
      <c r="A31" s="1627" t="s">
        <v>450</v>
      </c>
      <c r="B31" s="1736" t="n">
        <f aca="false">B10-K9+K31</f>
        <v>355514939</v>
      </c>
      <c r="C31" s="1736" t="n">
        <f aca="false">C10</f>
        <v>360138827</v>
      </c>
      <c r="D31" s="1737" t="n">
        <f aca="false">D10-H9</f>
        <v>4935296</v>
      </c>
      <c r="E31" s="1733" t="n">
        <f aca="false">SUM(B31:D31)</f>
        <v>720589062</v>
      </c>
      <c r="F31" s="1696"/>
      <c r="G31" s="1763" t="n">
        <v>6</v>
      </c>
      <c r="H31" s="1762"/>
      <c r="I31" s="1684"/>
      <c r="J31" s="1668" t="s">
        <v>450</v>
      </c>
      <c r="K31" s="1734" t="n">
        <f aca="false">未納者等入金!D11</f>
        <v>0</v>
      </c>
      <c r="M31" s="925"/>
      <c r="N31" s="925"/>
    </row>
    <row r="32" customFormat="false" ht="24.75" hidden="false" customHeight="true" outlineLevel="0" collapsed="false">
      <c r="A32" s="1627" t="s">
        <v>451</v>
      </c>
      <c r="B32" s="1736" t="n">
        <f aca="false">B11-K10+K32</f>
        <v>365227784</v>
      </c>
      <c r="C32" s="1736" t="n">
        <f aca="false">C11</f>
        <v>370249515</v>
      </c>
      <c r="D32" s="1737" t="n">
        <f aca="false">D11-H10</f>
        <v>2298242</v>
      </c>
      <c r="E32" s="1733" t="n">
        <f aca="false">SUM(B32:D32)</f>
        <v>737775541</v>
      </c>
      <c r="F32" s="1696"/>
      <c r="G32" s="1763" t="n">
        <v>7</v>
      </c>
      <c r="H32" s="1762"/>
      <c r="I32" s="1684"/>
      <c r="J32" s="1668" t="s">
        <v>451</v>
      </c>
      <c r="K32" s="1734" t="n">
        <f aca="false">未納者等入金!D12</f>
        <v>0</v>
      </c>
      <c r="M32" s="925"/>
      <c r="N32" s="925"/>
    </row>
    <row r="33" customFormat="false" ht="24.75" hidden="false" customHeight="true" outlineLevel="0" collapsed="false">
      <c r="A33" s="1627" t="s">
        <v>452</v>
      </c>
      <c r="B33" s="1736" t="n">
        <f aca="false">B12-K11+K33</f>
        <v>364811284</v>
      </c>
      <c r="C33" s="1736" t="n">
        <f aca="false">C12</f>
        <v>369564417</v>
      </c>
      <c r="D33" s="1737" t="n">
        <f aca="false">D12-H11</f>
        <v>1013274</v>
      </c>
      <c r="E33" s="1733" t="n">
        <f aca="false">SUM(B33:D33)</f>
        <v>735388975</v>
      </c>
      <c r="F33" s="1696"/>
      <c r="G33" s="1763" t="n">
        <v>8</v>
      </c>
      <c r="H33" s="1762"/>
      <c r="I33" s="1684"/>
      <c r="J33" s="1668" t="s">
        <v>452</v>
      </c>
      <c r="K33" s="1734" t="n">
        <f aca="false">未納者等入金!D13</f>
        <v>0</v>
      </c>
      <c r="M33" s="925"/>
      <c r="N33" s="925"/>
    </row>
    <row r="34" customFormat="false" ht="24.75" hidden="false" customHeight="true" outlineLevel="0" collapsed="false">
      <c r="A34" s="1627" t="s">
        <v>774</v>
      </c>
      <c r="B34" s="1736" t="n">
        <f aca="false">B13+K34</f>
        <v>628299535</v>
      </c>
      <c r="C34" s="1736" t="n">
        <f aca="false">C13</f>
        <v>637398784</v>
      </c>
      <c r="D34" s="1740" t="n">
        <f aca="false">D13</f>
        <v>0</v>
      </c>
      <c r="E34" s="1733" t="n">
        <f aca="false">SUM(B34:D34)</f>
        <v>1265698319</v>
      </c>
      <c r="F34" s="1696"/>
      <c r="G34" s="1763" t="n">
        <v>9</v>
      </c>
      <c r="H34" s="1762"/>
      <c r="I34" s="1684"/>
      <c r="J34" s="1668" t="s">
        <v>774</v>
      </c>
      <c r="K34" s="1734" t="n">
        <f aca="false">未納者等入金!D14</f>
        <v>0</v>
      </c>
      <c r="M34" s="925"/>
      <c r="N34" s="925"/>
    </row>
    <row r="35" customFormat="false" ht="24.75" hidden="false" customHeight="true" outlineLevel="0" collapsed="false">
      <c r="A35" s="1627" t="s">
        <v>453</v>
      </c>
      <c r="B35" s="1736" t="n">
        <f aca="false">B14-K12+K35</f>
        <v>365041686</v>
      </c>
      <c r="C35" s="1736" t="n">
        <f aca="false">C14</f>
        <v>369649168</v>
      </c>
      <c r="D35" s="1741" t="n">
        <f aca="false">D14-H12</f>
        <v>1270075</v>
      </c>
      <c r="E35" s="1733" t="n">
        <f aca="false">SUM(B35:D35)</f>
        <v>735960929</v>
      </c>
      <c r="F35" s="1696"/>
      <c r="G35" s="1763" t="n">
        <v>10</v>
      </c>
      <c r="H35" s="1762"/>
      <c r="I35" s="1684"/>
      <c r="J35" s="1668" t="s">
        <v>453</v>
      </c>
      <c r="K35" s="1734" t="n">
        <f aca="false">未納者等入金!D15</f>
        <v>0</v>
      </c>
      <c r="M35" s="925"/>
      <c r="N35" s="925"/>
    </row>
    <row r="36" customFormat="false" ht="24.75" hidden="false" customHeight="true" outlineLevel="0" collapsed="false">
      <c r="A36" s="1627" t="s">
        <v>454</v>
      </c>
      <c r="B36" s="1736" t="n">
        <f aca="false">B15-K13+K36</f>
        <v>364666157</v>
      </c>
      <c r="C36" s="1736" t="n">
        <f aca="false">C15</f>
        <v>369664538</v>
      </c>
      <c r="D36" s="1741" t="n">
        <f aca="false">D15-H13</f>
        <v>1487293</v>
      </c>
      <c r="E36" s="1733" t="n">
        <f aca="false">SUM(B36:D36)</f>
        <v>735817988</v>
      </c>
      <c r="F36" s="1696"/>
      <c r="G36" s="1763" t="n">
        <v>11</v>
      </c>
      <c r="H36" s="1762"/>
      <c r="I36" s="1684"/>
      <c r="J36" s="1668" t="s">
        <v>454</v>
      </c>
      <c r="K36" s="1734" t="n">
        <f aca="false">未納者等入金!D16</f>
        <v>0</v>
      </c>
      <c r="M36" s="925"/>
      <c r="N36" s="925"/>
    </row>
    <row r="37" customFormat="false" ht="24.75" hidden="false" customHeight="true" outlineLevel="0" collapsed="false">
      <c r="A37" s="1627" t="s">
        <v>455</v>
      </c>
      <c r="B37" s="1736" t="n">
        <f aca="false">B16-K14+K37</f>
        <v>364642103</v>
      </c>
      <c r="C37" s="1736" t="n">
        <f aca="false">C16</f>
        <v>369683132</v>
      </c>
      <c r="D37" s="1741" t="n">
        <f aca="false">D16-H14</f>
        <v>873541</v>
      </c>
      <c r="E37" s="1733" t="n">
        <f aca="false">SUM(B37:D37)</f>
        <v>735198776</v>
      </c>
      <c r="F37" s="1696"/>
      <c r="G37" s="1763" t="n">
        <v>12</v>
      </c>
      <c r="H37" s="1762"/>
      <c r="I37" s="1684"/>
      <c r="J37" s="1668" t="s">
        <v>455</v>
      </c>
      <c r="K37" s="1734" t="n">
        <f aca="false">未納者等入金!D17</f>
        <v>0</v>
      </c>
      <c r="M37" s="925"/>
      <c r="N37" s="925"/>
    </row>
    <row r="38" customFormat="false" ht="24.75" hidden="false" customHeight="true" outlineLevel="0" collapsed="false">
      <c r="A38" s="1627" t="s">
        <v>775</v>
      </c>
      <c r="B38" s="1747" t="n">
        <f aca="false">B17+K38</f>
        <v>139822185</v>
      </c>
      <c r="C38" s="1736" t="n">
        <f aca="false">C17</f>
        <v>145829686</v>
      </c>
      <c r="D38" s="1748" t="n">
        <f aca="false">D17</f>
        <v>0</v>
      </c>
      <c r="E38" s="1733" t="n">
        <f aca="false">SUM(B38:D38)</f>
        <v>285651871</v>
      </c>
      <c r="F38" s="1696"/>
      <c r="G38" s="1763" t="n">
        <v>13</v>
      </c>
      <c r="H38" s="1762"/>
      <c r="I38" s="1684"/>
      <c r="J38" s="1671" t="s">
        <v>775</v>
      </c>
      <c r="K38" s="1734" t="n">
        <f aca="false">未納者等入金!D18</f>
        <v>0</v>
      </c>
      <c r="M38" s="925"/>
      <c r="N38" s="925"/>
    </row>
    <row r="39" customFormat="false" ht="24.75" hidden="false" customHeight="true" outlineLevel="0" collapsed="false">
      <c r="A39" s="1627" t="s">
        <v>456</v>
      </c>
      <c r="B39" s="1736" t="n">
        <f aca="false">B18-K15+K39</f>
        <v>355674806</v>
      </c>
      <c r="C39" s="1736" t="n">
        <f aca="false">C18</f>
        <v>359744737</v>
      </c>
      <c r="D39" s="1741" t="n">
        <f aca="false">D18-H15</f>
        <v>112219</v>
      </c>
      <c r="E39" s="1750" t="n">
        <f aca="false">SUM(B39:D39)</f>
        <v>715531762</v>
      </c>
      <c r="F39" s="1696"/>
      <c r="G39" s="1763" t="n">
        <v>14</v>
      </c>
      <c r="H39" s="1762"/>
      <c r="I39" s="1684"/>
      <c r="J39" s="1671" t="s">
        <v>456</v>
      </c>
      <c r="K39" s="1734" t="n">
        <f aca="false">未納者等入金!D19</f>
        <v>0</v>
      </c>
      <c r="M39" s="925"/>
      <c r="N39" s="925"/>
    </row>
    <row r="40" customFormat="false" ht="24.75" hidden="false" customHeight="true" outlineLevel="0" collapsed="false">
      <c r="A40" s="1634" t="s">
        <v>808</v>
      </c>
      <c r="B40" s="1736" t="n">
        <f aca="false">B19+K40</f>
        <v>17812876</v>
      </c>
      <c r="C40" s="1736" t="n">
        <f aca="false">C19</f>
        <v>17802510</v>
      </c>
      <c r="D40" s="1740" t="n">
        <f aca="false">D19</f>
        <v>0</v>
      </c>
      <c r="E40" s="1751" t="n">
        <f aca="false">SUM(B40:D40)</f>
        <v>35615386</v>
      </c>
      <c r="F40" s="1696"/>
      <c r="G40" s="1763" t="n">
        <v>15</v>
      </c>
      <c r="H40" s="925"/>
      <c r="I40" s="1684"/>
      <c r="J40" s="1671" t="s">
        <v>808</v>
      </c>
      <c r="K40" s="1764" t="n">
        <f aca="false">未納者等入金!D20</f>
        <v>0</v>
      </c>
      <c r="M40" s="925"/>
      <c r="N40" s="925"/>
    </row>
    <row r="41" customFormat="false" ht="24.75" hidden="false" customHeight="true" outlineLevel="0" collapsed="false">
      <c r="A41" s="1635" t="s">
        <v>809</v>
      </c>
      <c r="B41" s="1752" t="n">
        <f aca="false">B20+K41</f>
        <v>17812885</v>
      </c>
      <c r="C41" s="1752" t="n">
        <f aca="false">C20</f>
        <v>17802525</v>
      </c>
      <c r="D41" s="1753" t="n">
        <f aca="false">D20</f>
        <v>0</v>
      </c>
      <c r="E41" s="1754" t="n">
        <f aca="false">SUM(B41:D41)</f>
        <v>35615410</v>
      </c>
      <c r="F41" s="1696"/>
      <c r="G41" s="1765" t="n">
        <v>16</v>
      </c>
      <c r="H41" s="925"/>
      <c r="I41" s="1684"/>
      <c r="J41" s="1766" t="s">
        <v>809</v>
      </c>
      <c r="K41" s="1767" t="n">
        <f aca="false">未納者等入金!D21</f>
        <v>0</v>
      </c>
      <c r="M41" s="925"/>
      <c r="N41" s="925"/>
    </row>
    <row r="42" customFormat="false" ht="24.75" hidden="false" customHeight="true" outlineLevel="0" collapsed="false">
      <c r="A42" s="1638" t="s">
        <v>457</v>
      </c>
      <c r="B42" s="1755" t="n">
        <f aca="false">SUM(B25:B41)</f>
        <v>5708947705</v>
      </c>
      <c r="C42" s="1755" t="n">
        <f aca="false">SUM(C25:C41)</f>
        <v>5787997734</v>
      </c>
      <c r="D42" s="1756" t="n">
        <f aca="false">SUM(D25:D41)</f>
        <v>118173926</v>
      </c>
      <c r="E42" s="1757" t="n">
        <f aca="false">SUM(E25:E41)</f>
        <v>11615119365</v>
      </c>
      <c r="F42" s="1696"/>
      <c r="I42" s="1684"/>
      <c r="J42" s="1744" t="s">
        <v>457</v>
      </c>
      <c r="K42" s="1745" t="n">
        <f aca="false">SUM(K25:K41)</f>
        <v>0</v>
      </c>
      <c r="L42" s="773"/>
      <c r="M42" s="773"/>
      <c r="N42" s="925"/>
    </row>
    <row r="43" customFormat="false" ht="7.5" hidden="false" customHeight="true" outlineLevel="0" collapsed="false">
      <c r="G43" s="1762"/>
      <c r="H43" s="1762"/>
      <c r="K43" s="1684"/>
      <c r="L43" s="773"/>
      <c r="O43" s="773"/>
      <c r="P43" s="773"/>
      <c r="Q43" s="768"/>
      <c r="R43" s="768"/>
      <c r="S43" s="773"/>
      <c r="T43" s="773"/>
      <c r="U43" s="773"/>
    </row>
    <row r="44" s="1598" customFormat="true" ht="22.5" hidden="false" customHeight="true" outlineLevel="0" collapsed="false">
      <c r="A44" s="1719" t="str">
        <f aca="false">A1</f>
        <v>令和8年度</v>
      </c>
      <c r="B44" s="1720" t="s">
        <v>849</v>
      </c>
      <c r="C44" s="1721"/>
      <c r="D44" s="1720"/>
      <c r="E44" s="1721"/>
      <c r="F44" s="1721"/>
      <c r="G44" s="1720"/>
    </row>
    <row r="45" s="773" customFormat="true" ht="30" hidden="false" customHeight="true" outlineLevel="0" collapsed="false">
      <c r="A45" s="1768" t="s">
        <v>850</v>
      </c>
      <c r="B45" s="1768"/>
      <c r="C45" s="1768"/>
      <c r="D45" s="925"/>
      <c r="E45" s="774" t="s">
        <v>421</v>
      </c>
      <c r="F45" s="1696"/>
      <c r="G45" s="1769" t="s">
        <v>851</v>
      </c>
      <c r="H45" s="1770"/>
      <c r="I45" s="1696"/>
      <c r="J45" s="1696"/>
      <c r="K45" s="1684"/>
      <c r="N45" s="1770"/>
      <c r="O45" s="1696"/>
      <c r="P45" s="1696"/>
      <c r="Q45" s="1696"/>
    </row>
    <row r="46" s="773" customFormat="true" ht="32.25" hidden="false" customHeight="true" outlineLevel="0" collapsed="false">
      <c r="A46" s="1605" t="s">
        <v>284</v>
      </c>
      <c r="B46" s="1724" t="s">
        <v>852</v>
      </c>
      <c r="C46" s="1725" t="s">
        <v>377</v>
      </c>
      <c r="D46" s="1726" t="s">
        <v>744</v>
      </c>
      <c r="E46" s="1727" t="s">
        <v>427</v>
      </c>
      <c r="F46" s="1696"/>
      <c r="G46" s="1771" t="n">
        <v>31</v>
      </c>
      <c r="H46" s="1690"/>
      <c r="I46" s="1690"/>
      <c r="J46" s="1772"/>
      <c r="K46" s="1684"/>
      <c r="M46" s="1716"/>
      <c r="N46" s="1690"/>
      <c r="O46" s="1690"/>
      <c r="P46" s="1772"/>
      <c r="Q46" s="1690"/>
    </row>
    <row r="47" s="773" customFormat="true" ht="24.75" hidden="false" customHeight="true" outlineLevel="0" collapsed="false">
      <c r="A47" s="1617" t="s">
        <v>445</v>
      </c>
      <c r="B47" s="1731" t="n">
        <f aca="true">SUM(OFFSET(('☆振替R7'!$I$6:$J$6),$G$46*G47,0))</f>
        <v>16087139</v>
      </c>
      <c r="C47" s="1731" t="n">
        <f aca="true">SUM(OFFSET(('☆振替R7'!$I$21:$J$21),$G$46*G47,0))</f>
        <v>16069343</v>
      </c>
      <c r="D47" s="1732" t="n">
        <f aca="true">SUM(OFFSET(('☆振替R7'!$I$8:$J$8),$G$46*G47,0))</f>
        <v>4530358</v>
      </c>
      <c r="E47" s="1733" t="n">
        <f aca="false">SUM(B47:D47)</f>
        <v>36686840</v>
      </c>
      <c r="F47" s="1696"/>
      <c r="G47" s="1773" t="n">
        <v>0</v>
      </c>
      <c r="H47" s="1684"/>
      <c r="I47" s="1684"/>
      <c r="J47" s="1684"/>
      <c r="K47" s="1684"/>
      <c r="N47" s="1684"/>
      <c r="O47" s="1684"/>
      <c r="P47" s="1684"/>
      <c r="Q47" s="1684"/>
      <c r="R47" s="1713"/>
    </row>
    <row r="48" s="773" customFormat="true" ht="24.75" hidden="false" customHeight="true" outlineLevel="0" collapsed="false">
      <c r="A48" s="1627" t="s">
        <v>446</v>
      </c>
      <c r="B48" s="1731" t="n">
        <f aca="true">SUM(OFFSET(('☆振替R7'!$I$6:$J$6),$G$46*G48,0))</f>
        <v>16207045</v>
      </c>
      <c r="C48" s="1731" t="n">
        <f aca="true">SUM(OFFSET(('☆振替R7'!$I$21:$J$21),$G$46*G48,0))</f>
        <v>16218014</v>
      </c>
      <c r="D48" s="1732" t="n">
        <f aca="true">SUM(OFFSET(('☆振替R7'!$I$8:$J$8),$G$46*G48,0))</f>
        <v>101478</v>
      </c>
      <c r="E48" s="1733" t="n">
        <f aca="false">SUM(B48:D48)</f>
        <v>32526537</v>
      </c>
      <c r="F48" s="1696"/>
      <c r="G48" s="1773" t="n">
        <v>1</v>
      </c>
      <c r="H48" s="1684"/>
      <c r="I48" s="1684"/>
      <c r="J48" s="1684"/>
      <c r="K48" s="1684"/>
      <c r="N48" s="1684"/>
      <c r="O48" s="1684"/>
      <c r="P48" s="1684"/>
      <c r="Q48" s="1684"/>
      <c r="R48" s="1713"/>
    </row>
    <row r="49" s="773" customFormat="true" ht="24.75" hidden="false" customHeight="true" outlineLevel="0" collapsed="false">
      <c r="A49" s="1627" t="s">
        <v>447</v>
      </c>
      <c r="B49" s="1731" t="n">
        <f aca="true">SUM(OFFSET(('☆振替R7'!$I$6:$J$6),$G$46*G49,0))</f>
        <v>16182939</v>
      </c>
      <c r="C49" s="1731" t="n">
        <f aca="true">SUM(OFFSET(('☆振替R7'!$I$21:$J$21),$G$46*G49,0))</f>
        <v>16186128</v>
      </c>
      <c r="D49" s="1732" t="n">
        <f aca="true">SUM(OFFSET(('☆振替R7'!$I$8:$J$8),$G$46*G49,0))</f>
        <v>133286</v>
      </c>
      <c r="E49" s="1733" t="n">
        <f aca="false">SUM(B49:D49)</f>
        <v>32502353</v>
      </c>
      <c r="F49" s="1696"/>
      <c r="G49" s="1773" t="n">
        <v>2</v>
      </c>
      <c r="H49" s="1684"/>
      <c r="I49" s="1684"/>
      <c r="J49" s="1684"/>
      <c r="K49" s="1684"/>
      <c r="N49" s="1684"/>
      <c r="O49" s="1684"/>
      <c r="P49" s="1684"/>
      <c r="Q49" s="1684"/>
      <c r="R49" s="1713"/>
    </row>
    <row r="50" s="773" customFormat="true" ht="24.75" hidden="false" customHeight="true" outlineLevel="0" collapsed="false">
      <c r="A50" s="1627" t="s">
        <v>773</v>
      </c>
      <c r="B50" s="1731" t="n">
        <f aca="true">SUM(OFFSET(('☆振替R7'!$I$6:$J$6),$G$46*G50,0))</f>
        <v>28439374</v>
      </c>
      <c r="C50" s="1731" t="n">
        <f aca="true">SUM(OFFSET(('☆振替R7'!$I$21:$J$21),$G$46*G50,0))</f>
        <v>28443995</v>
      </c>
      <c r="D50" s="1732" t="n">
        <f aca="true">SUM(OFFSET(('☆振替R7'!$I$8:$J$8),$G$46*G50,0))</f>
        <v>0</v>
      </c>
      <c r="E50" s="1733" t="n">
        <f aca="false">SUM(B50:D50)</f>
        <v>56883369</v>
      </c>
      <c r="F50" s="1696"/>
      <c r="G50" s="1773" t="n">
        <v>3</v>
      </c>
      <c r="H50" s="1684"/>
      <c r="I50" s="1684"/>
      <c r="J50" s="1684"/>
      <c r="K50" s="1684"/>
      <c r="N50" s="1684"/>
      <c r="O50" s="1684"/>
      <c r="P50" s="1684"/>
      <c r="Q50" s="1684"/>
      <c r="R50" s="1713"/>
    </row>
    <row r="51" s="773" customFormat="true" ht="24.75" hidden="false" customHeight="true" outlineLevel="0" collapsed="false">
      <c r="A51" s="1627" t="s">
        <v>448</v>
      </c>
      <c r="B51" s="1731" t="n">
        <f aca="true">SUM(OFFSET(('☆振替R7'!$I$6:$J$6),$G$46*G51,0))</f>
        <v>16450937</v>
      </c>
      <c r="C51" s="1731" t="n">
        <f aca="true">SUM(OFFSET(('☆振替R7'!$I$21:$J$21),$G$46*G51,0))</f>
        <v>16462923</v>
      </c>
      <c r="D51" s="1732" t="n">
        <f aca="true">SUM(OFFSET(('☆振替R7'!$I$8:$J$8),$G$46*G51,0))</f>
        <v>60112</v>
      </c>
      <c r="E51" s="1733" t="n">
        <f aca="false">SUM(B51:D51)</f>
        <v>32973972</v>
      </c>
      <c r="F51" s="1696"/>
      <c r="G51" s="1773" t="n">
        <v>4</v>
      </c>
      <c r="H51" s="1684"/>
      <c r="I51" s="1684"/>
      <c r="J51" s="1684"/>
      <c r="K51" s="1684"/>
      <c r="N51" s="1684"/>
      <c r="O51" s="1684"/>
      <c r="P51" s="1684"/>
      <c r="Q51" s="1684"/>
      <c r="R51" s="1713"/>
    </row>
    <row r="52" s="773" customFormat="true" ht="24.75" hidden="false" customHeight="true" outlineLevel="0" collapsed="false">
      <c r="A52" s="1627" t="s">
        <v>449</v>
      </c>
      <c r="B52" s="1731" t="n">
        <f aca="true">SUM(OFFSET(('☆振替R7'!$I$6:$J$6),$G$46*G52,0))</f>
        <v>16294968</v>
      </c>
      <c r="C52" s="1731" t="n">
        <f aca="true">SUM(OFFSET(('☆振替R7'!$I$21:$J$21),$G$46*G52,0))</f>
        <v>16304905</v>
      </c>
      <c r="D52" s="1732" t="n">
        <f aca="true">SUM(OFFSET(('☆振替R7'!$I$8:$J$8),$G$46*G52,0))</f>
        <v>88805</v>
      </c>
      <c r="E52" s="1733" t="n">
        <f aca="false">SUM(B52:D52)</f>
        <v>32688678</v>
      </c>
      <c r="F52" s="1696"/>
      <c r="G52" s="1773" t="n">
        <v>5</v>
      </c>
      <c r="H52" s="1684"/>
      <c r="I52" s="1684"/>
      <c r="J52" s="1684"/>
      <c r="K52" s="1684"/>
      <c r="N52" s="1684"/>
      <c r="O52" s="1684"/>
      <c r="P52" s="1684"/>
      <c r="Q52" s="1684"/>
      <c r="R52" s="1713"/>
    </row>
    <row r="53" s="773" customFormat="true" ht="24.75" hidden="false" customHeight="true" outlineLevel="0" collapsed="false">
      <c r="A53" s="1627" t="s">
        <v>450</v>
      </c>
      <c r="B53" s="1731" t="n">
        <f aca="true">SUM(OFFSET(('☆振替R7'!$I$6:$J$6),$G$46*G53,0))</f>
        <v>16452679</v>
      </c>
      <c r="C53" s="1731" t="n">
        <f aca="true">SUM(OFFSET(('☆振替R7'!$I$21:$J$21),$G$46*G53,0))</f>
        <v>16458938</v>
      </c>
      <c r="D53" s="1732" t="n">
        <f aca="true">SUM(OFFSET(('☆振替R7'!$I$8:$J$8),$G$46*G53,0))</f>
        <v>228400</v>
      </c>
      <c r="E53" s="1733" t="n">
        <f aca="false">SUM(B53:D53)</f>
        <v>33140017</v>
      </c>
      <c r="F53" s="1696"/>
      <c r="G53" s="1773" t="n">
        <v>6</v>
      </c>
      <c r="H53" s="1684"/>
      <c r="I53" s="1684"/>
      <c r="J53" s="1684"/>
      <c r="K53" s="1684"/>
      <c r="N53" s="1684"/>
      <c r="O53" s="1684"/>
      <c r="P53" s="1684"/>
      <c r="Q53" s="1684"/>
      <c r="R53" s="1713"/>
    </row>
    <row r="54" s="773" customFormat="true" ht="24.75" hidden="false" customHeight="true" outlineLevel="0" collapsed="false">
      <c r="A54" s="1627" t="s">
        <v>451</v>
      </c>
      <c r="B54" s="1731" t="n">
        <f aca="true">SUM(OFFSET(('☆振替R7'!$I$6:$J$6),$G$46*G54,0))</f>
        <v>16902174</v>
      </c>
      <c r="C54" s="1731" t="n">
        <f aca="true">SUM(OFFSET(('☆振替R7'!$I$21:$J$21),$G$46*G54,0))</f>
        <v>16920887</v>
      </c>
      <c r="D54" s="1732" t="n">
        <f aca="true">SUM(OFFSET(('☆振替R7'!$I$8:$J$8),$G$46*G54,0))</f>
        <v>106362</v>
      </c>
      <c r="E54" s="1733" t="n">
        <f aca="false">SUM(B54:D54)</f>
        <v>33929423</v>
      </c>
      <c r="F54" s="1696"/>
      <c r="G54" s="1773" t="n">
        <v>7</v>
      </c>
      <c r="H54" s="1684"/>
      <c r="I54" s="1684"/>
      <c r="J54" s="1684"/>
      <c r="K54" s="1684"/>
      <c r="N54" s="1684"/>
      <c r="O54" s="1684"/>
      <c r="P54" s="1684"/>
      <c r="Q54" s="1684"/>
      <c r="R54" s="1713"/>
    </row>
    <row r="55" s="773" customFormat="true" ht="24.75" hidden="false" customHeight="true" outlineLevel="0" collapsed="false">
      <c r="A55" s="1627" t="s">
        <v>452</v>
      </c>
      <c r="B55" s="1731" t="n">
        <f aca="true">SUM(OFFSET(('☆振替R7'!$I$6:$J$6),$G$46*G55,0))</f>
        <v>16882899</v>
      </c>
      <c r="C55" s="1731" t="n">
        <f aca="true">SUM(OFFSET(('☆振替R7'!$I$21:$J$21),$G$46*G55,0))</f>
        <v>16889618</v>
      </c>
      <c r="D55" s="1732" t="n">
        <f aca="true">SUM(OFFSET(('☆振替R7'!$I$8:$J$8),$G$46*G55,0))</f>
        <v>46895</v>
      </c>
      <c r="E55" s="1733" t="n">
        <f aca="false">SUM(B55:D55)</f>
        <v>33819412</v>
      </c>
      <c r="F55" s="1696"/>
      <c r="G55" s="1773" t="n">
        <v>8</v>
      </c>
      <c r="H55" s="1684"/>
      <c r="I55" s="1684"/>
      <c r="J55" s="1684"/>
      <c r="K55" s="1684"/>
      <c r="N55" s="1684"/>
      <c r="O55" s="1684"/>
      <c r="P55" s="1684"/>
      <c r="Q55" s="1684"/>
      <c r="R55" s="1713"/>
    </row>
    <row r="56" s="773" customFormat="true" ht="24.75" hidden="false" customHeight="true" outlineLevel="0" collapsed="false">
      <c r="A56" s="1627" t="s">
        <v>774</v>
      </c>
      <c r="B56" s="1731" t="n">
        <f aca="true">SUM(OFFSET(('☆振替R7'!$I$6:$J$6),$G$46*G56,0))</f>
        <v>29076725</v>
      </c>
      <c r="C56" s="1731" t="n">
        <f aca="true">SUM(OFFSET(('☆振替R7'!$I$21:$J$21),$G$46*G56,0))</f>
        <v>29105178</v>
      </c>
      <c r="D56" s="1732" t="n">
        <f aca="true">SUM(OFFSET(('☆振替R7'!$I$8:$J$8),$G$46*G56,0))</f>
        <v>0</v>
      </c>
      <c r="E56" s="1733" t="n">
        <f aca="false">SUM(B56:D56)</f>
        <v>58181903</v>
      </c>
      <c r="F56" s="1696"/>
      <c r="G56" s="1773" t="n">
        <v>9</v>
      </c>
      <c r="H56" s="1684"/>
      <c r="I56" s="1684"/>
      <c r="J56" s="1684"/>
      <c r="K56" s="1684"/>
      <c r="N56" s="1684"/>
      <c r="O56" s="1684"/>
      <c r="P56" s="1684"/>
      <c r="Q56" s="1684"/>
      <c r="R56" s="1713"/>
    </row>
    <row r="57" s="773" customFormat="true" ht="24.75" hidden="false" customHeight="true" outlineLevel="0" collapsed="false">
      <c r="A57" s="1627" t="s">
        <v>453</v>
      </c>
      <c r="B57" s="1731" t="n">
        <f aca="true">SUM(OFFSET(('☆振替R7'!$I$6:$J$6),$G$46*G57,0))</f>
        <v>16893563</v>
      </c>
      <c r="C57" s="1731" t="n">
        <f aca="true">SUM(OFFSET(('☆振替R7'!$I$21:$J$21),$G$46*G57,0))</f>
        <v>16893440</v>
      </c>
      <c r="D57" s="1732" t="n">
        <f aca="true">SUM(OFFSET(('☆振替R7'!$I$8:$J$8),$G$46*G57,0))</f>
        <v>58779</v>
      </c>
      <c r="E57" s="1733" t="n">
        <f aca="false">SUM(B57:D57)</f>
        <v>33845782</v>
      </c>
      <c r="F57" s="1696"/>
      <c r="G57" s="1773" t="n">
        <v>10</v>
      </c>
      <c r="H57" s="1684"/>
      <c r="I57" s="1684"/>
      <c r="J57" s="1684"/>
      <c r="K57" s="1684"/>
      <c r="L57" s="1774"/>
      <c r="N57" s="1684"/>
      <c r="O57" s="1684"/>
      <c r="P57" s="1684"/>
      <c r="Q57" s="1684"/>
      <c r="R57" s="1713"/>
    </row>
    <row r="58" s="773" customFormat="true" ht="24.75" hidden="false" customHeight="true" outlineLevel="0" collapsed="false">
      <c r="A58" s="1627" t="s">
        <v>454</v>
      </c>
      <c r="B58" s="1731" t="n">
        <f aca="true">SUM(OFFSET(('☆振替R7'!$I$6:$J$6),$G$46*G58,0))</f>
        <v>16876183</v>
      </c>
      <c r="C58" s="1731" t="n">
        <f aca="true">SUM(OFFSET(('☆振替R7'!$I$21:$J$21),$G$46*G58,0))</f>
        <v>16894418</v>
      </c>
      <c r="D58" s="1732" t="n">
        <f aca="true">SUM(OFFSET(('☆振替R7'!$I$8:$J$8),$G$46*G58,0))</f>
        <v>68832</v>
      </c>
      <c r="E58" s="1733" t="n">
        <f aca="false">SUM(B58:D58)</f>
        <v>33839433</v>
      </c>
      <c r="F58" s="1696"/>
      <c r="G58" s="1773" t="n">
        <v>11</v>
      </c>
      <c r="H58" s="1684"/>
      <c r="I58" s="1684"/>
      <c r="J58" s="1684"/>
      <c r="K58" s="1684"/>
      <c r="L58" s="1774"/>
      <c r="N58" s="1684"/>
      <c r="O58" s="1684"/>
      <c r="P58" s="1684"/>
      <c r="Q58" s="1684"/>
      <c r="R58" s="1713"/>
    </row>
    <row r="59" s="773" customFormat="true" ht="24.75" hidden="false" customHeight="true" outlineLevel="0" collapsed="false">
      <c r="A59" s="1627" t="s">
        <v>455</v>
      </c>
      <c r="B59" s="1731" t="n">
        <f aca="true">SUM(OFFSET(('☆振替R7'!$I$6:$J$6),$G$46*G59,0))</f>
        <v>16875070</v>
      </c>
      <c r="C59" s="1731" t="n">
        <f aca="true">SUM(OFFSET(('☆振替R7'!$I$21:$J$21),$G$46*G59,0))</f>
        <v>16895087</v>
      </c>
      <c r="D59" s="1732" t="n">
        <f aca="true">SUM(OFFSET(('☆振替R7'!$I$8:$J$8),$G$46*G59,0))</f>
        <v>40428</v>
      </c>
      <c r="E59" s="1733" t="n">
        <f aca="false">SUM(B59:D59)</f>
        <v>33810585</v>
      </c>
      <c r="F59" s="1696"/>
      <c r="G59" s="1773" t="n">
        <v>12</v>
      </c>
      <c r="H59" s="1684"/>
      <c r="I59" s="1684"/>
      <c r="J59" s="1684"/>
      <c r="K59" s="1684"/>
      <c r="L59" s="1716"/>
      <c r="N59" s="1684"/>
      <c r="O59" s="1684"/>
      <c r="P59" s="1684"/>
      <c r="Q59" s="1684"/>
      <c r="R59" s="1713"/>
    </row>
    <row r="60" s="773" customFormat="true" ht="24.75" hidden="false" customHeight="true" outlineLevel="0" collapsed="false">
      <c r="A60" s="1627" t="s">
        <v>775</v>
      </c>
      <c r="B60" s="1731" t="n">
        <f aca="true">SUM(OFFSET(('☆振替R7'!$I$6:$J$6),$G$46*G60,0))</f>
        <v>6470755</v>
      </c>
      <c r="C60" s="1731" t="n">
        <f aca="true">SUM(OFFSET(('☆振替R7'!$I$21:$J$21),$G$46*G60,0))</f>
        <v>6657325</v>
      </c>
      <c r="D60" s="1732" t="n">
        <f aca="true">SUM(OFFSET(('☆振替R7'!$I$8:$J$8),$G$46*G60,0))</f>
        <v>0</v>
      </c>
      <c r="E60" s="1733" t="n">
        <f aca="false">SUM(B60:D60)</f>
        <v>13128080</v>
      </c>
      <c r="F60" s="1696"/>
      <c r="G60" s="1773" t="n">
        <v>13</v>
      </c>
      <c r="H60" s="1684"/>
      <c r="I60" s="1684"/>
      <c r="J60" s="1684"/>
      <c r="N60" s="1684"/>
      <c r="O60" s="1684"/>
      <c r="P60" s="1684"/>
      <c r="Q60" s="1684"/>
      <c r="R60" s="1713"/>
    </row>
    <row r="61" s="773" customFormat="true" ht="24.75" hidden="false" customHeight="true" outlineLevel="0" collapsed="false">
      <c r="A61" s="1627" t="s">
        <v>456</v>
      </c>
      <c r="B61" s="1731" t="n">
        <f aca="true">SUM(OFFSET(('☆振替R7'!$I$6:$J$6),$G$46*G61,0))</f>
        <v>16460078</v>
      </c>
      <c r="C61" s="1731" t="n">
        <f aca="true">SUM(OFFSET(('☆振替R7'!$I$21:$J$21),$G$46*G61,0))</f>
        <v>16441882</v>
      </c>
      <c r="D61" s="1732" t="n">
        <f aca="true">SUM(OFFSET(('☆振替R7'!$I$8:$J$8),$G$46*G61,0))</f>
        <v>5195</v>
      </c>
      <c r="E61" s="1750" t="n">
        <f aca="false">SUM(B61:D61)</f>
        <v>32907155</v>
      </c>
      <c r="F61" s="1696"/>
      <c r="G61" s="1773" t="n">
        <v>14</v>
      </c>
      <c r="H61" s="1684"/>
      <c r="I61" s="1684"/>
      <c r="J61" s="1684"/>
      <c r="N61" s="1684"/>
      <c r="O61" s="1684"/>
      <c r="P61" s="1684"/>
      <c r="Q61" s="1684"/>
      <c r="R61" s="1713"/>
    </row>
    <row r="62" s="773" customFormat="true" ht="24.75" hidden="false" customHeight="true" outlineLevel="0" collapsed="false">
      <c r="A62" s="1634" t="s">
        <v>808</v>
      </c>
      <c r="B62" s="1731" t="n">
        <f aca="true">SUM(OFFSET(('☆振替R7'!$I$6:$J$6),$G$46*G62,0))</f>
        <v>824353</v>
      </c>
      <c r="C62" s="1731" t="n">
        <f aca="true">SUM(OFFSET(('☆振替R7'!$I$21:$J$21),$G$46*G62,0))</f>
        <v>812697</v>
      </c>
      <c r="D62" s="1732" t="n">
        <f aca="true">SUM(OFFSET(('☆振替R7'!$I$8:$J$8),$G$46*G62,0))</f>
        <v>0</v>
      </c>
      <c r="E62" s="1750" t="n">
        <f aca="false">SUM(B62:D62)</f>
        <v>1637050</v>
      </c>
      <c r="F62" s="1696"/>
      <c r="G62" s="1773" t="n">
        <v>15</v>
      </c>
      <c r="H62" s="1684"/>
      <c r="I62" s="1684"/>
      <c r="J62" s="1684"/>
      <c r="M62" s="1774"/>
      <c r="N62" s="1684"/>
      <c r="O62" s="1684"/>
      <c r="P62" s="1684"/>
      <c r="Q62" s="1684"/>
      <c r="R62" s="1713"/>
    </row>
    <row r="63" s="773" customFormat="true" ht="24.75" hidden="false" customHeight="true" outlineLevel="0" collapsed="false">
      <c r="A63" s="1635" t="s">
        <v>809</v>
      </c>
      <c r="B63" s="1775" t="n">
        <f aca="true">SUM(OFFSET(('☆振替R7'!$I$6:$J$6),$G$46*G63,0))</f>
        <v>824353</v>
      </c>
      <c r="C63" s="1776" t="n">
        <f aca="true">SUM(OFFSET(('☆振替R7'!$I$21:$J$21),$G$46*G63,0))</f>
        <v>812699</v>
      </c>
      <c r="D63" s="1777" t="n">
        <f aca="true">SUM(OFFSET(('☆振替R7'!$I$8:$J$8),$G$46*G63,0))</f>
        <v>0</v>
      </c>
      <c r="E63" s="1754" t="n">
        <f aca="false">SUM(B63:D63)</f>
        <v>1637052</v>
      </c>
      <c r="F63" s="1696"/>
      <c r="G63" s="1778" t="n">
        <v>16</v>
      </c>
      <c r="H63" s="1684"/>
      <c r="I63" s="1684"/>
      <c r="J63" s="1684"/>
      <c r="M63" s="1774"/>
      <c r="N63" s="1684"/>
      <c r="O63" s="1684"/>
      <c r="P63" s="1684"/>
      <c r="Q63" s="1684"/>
      <c r="R63" s="1713"/>
    </row>
    <row r="64" s="773" customFormat="true" ht="24.75" hidden="false" customHeight="true" outlineLevel="0" collapsed="false">
      <c r="A64" s="1638" t="s">
        <v>457</v>
      </c>
      <c r="B64" s="1755" t="n">
        <f aca="false">SUM(B47:B63)</f>
        <v>264201234</v>
      </c>
      <c r="C64" s="1779" t="n">
        <f aca="false">SUM(C47:C63)</f>
        <v>264467477</v>
      </c>
      <c r="D64" s="1780" t="n">
        <f aca="false">SUM(D47:D63)</f>
        <v>5468930</v>
      </c>
      <c r="E64" s="1757" t="n">
        <f aca="false">SUM(E47:E63)</f>
        <v>534137641</v>
      </c>
      <c r="F64" s="1696"/>
      <c r="G64" s="1716"/>
      <c r="H64" s="1684"/>
      <c r="I64" s="1684"/>
      <c r="J64" s="1684"/>
      <c r="M64" s="1716"/>
      <c r="N64" s="1684"/>
      <c r="O64" s="1684"/>
      <c r="P64" s="1684"/>
      <c r="Q64" s="1684"/>
      <c r="R64" s="1713"/>
    </row>
    <row r="65" s="773" customFormat="true" ht="23.25" hidden="false" customHeight="true" outlineLevel="0" collapsed="false">
      <c r="A65" s="1781"/>
      <c r="B65" s="1684"/>
      <c r="C65" s="1684"/>
      <c r="D65" s="1684"/>
      <c r="E65" s="1684"/>
      <c r="F65" s="1696"/>
      <c r="G65" s="1716"/>
      <c r="H65" s="1684"/>
      <c r="I65" s="1684"/>
      <c r="J65" s="1684"/>
      <c r="M65" s="1716"/>
      <c r="N65" s="1684"/>
      <c r="O65" s="1684"/>
      <c r="P65" s="1684"/>
      <c r="Q65" s="1684"/>
      <c r="R65" s="1713"/>
    </row>
    <row r="66" s="1783" customFormat="true" ht="30" hidden="false" customHeight="true" outlineLevel="0" collapsed="false">
      <c r="A66" s="1768" t="s">
        <v>853</v>
      </c>
      <c r="B66" s="1768"/>
      <c r="C66" s="1768"/>
      <c r="D66" s="1768"/>
      <c r="E66" s="774" t="s">
        <v>421</v>
      </c>
      <c r="F66" s="1782"/>
    </row>
    <row r="67" s="1783" customFormat="true" ht="32.25" hidden="false" customHeight="true" outlineLevel="0" collapsed="false">
      <c r="A67" s="1605" t="s">
        <v>428</v>
      </c>
      <c r="B67" s="1724" t="s">
        <v>846</v>
      </c>
      <c r="C67" s="1725" t="s">
        <v>377</v>
      </c>
      <c r="D67" s="1726" t="s">
        <v>847</v>
      </c>
      <c r="E67" s="1727" t="s">
        <v>427</v>
      </c>
      <c r="F67" s="1782"/>
    </row>
    <row r="68" s="1783" customFormat="true" ht="24.75" hidden="false" customHeight="true" outlineLevel="0" collapsed="false">
      <c r="A68" s="1617" t="s">
        <v>445</v>
      </c>
      <c r="B68" s="1731" t="n">
        <f aca="false">B25-B47</f>
        <v>331529076</v>
      </c>
      <c r="C68" s="1731" t="n">
        <f aca="false">C25-C47</f>
        <v>335522491</v>
      </c>
      <c r="D68" s="1732" t="n">
        <f aca="false">D25-D47</f>
        <v>93363070</v>
      </c>
      <c r="E68" s="1733" t="n">
        <f aca="false">SUM(B68:D68)</f>
        <v>760414637</v>
      </c>
      <c r="F68" s="1782"/>
    </row>
    <row r="69" s="1783" customFormat="true" ht="24.75" hidden="false" customHeight="true" outlineLevel="0" collapsed="false">
      <c r="A69" s="1627" t="s">
        <v>446</v>
      </c>
      <c r="B69" s="1731" t="n">
        <f aca="false">B26-B48</f>
        <v>334000154</v>
      </c>
      <c r="C69" s="1731" t="n">
        <f aca="false">C26-C48</f>
        <v>338621863</v>
      </c>
      <c r="D69" s="1732" t="n">
        <f aca="false">D26-D48</f>
        <v>2091270</v>
      </c>
      <c r="E69" s="1733" t="n">
        <f aca="false">SUM(B69:D69)</f>
        <v>674713287</v>
      </c>
      <c r="F69" s="1782"/>
    </row>
    <row r="70" s="1783" customFormat="true" ht="24.75" hidden="false" customHeight="true" outlineLevel="0" collapsed="false">
      <c r="A70" s="1627" t="s">
        <v>447</v>
      </c>
      <c r="B70" s="1731" t="n">
        <f aca="false">B27-B49</f>
        <v>333503354</v>
      </c>
      <c r="C70" s="1731" t="n">
        <f aca="false">C27-C49</f>
        <v>337955611</v>
      </c>
      <c r="D70" s="1732" t="n">
        <f aca="false">D27-D49</f>
        <v>2746760</v>
      </c>
      <c r="E70" s="1733" t="n">
        <f aca="false">SUM(B70:D70)</f>
        <v>674205725</v>
      </c>
      <c r="F70" s="1782"/>
    </row>
    <row r="71" s="1783" customFormat="true" ht="24.75" hidden="false" customHeight="true" outlineLevel="0" collapsed="false">
      <c r="A71" s="1627" t="s">
        <v>773</v>
      </c>
      <c r="B71" s="1731" t="n">
        <f aca="false">B28-B50</f>
        <v>586088051</v>
      </c>
      <c r="C71" s="1731" t="n">
        <f aca="false">C28-C50</f>
        <v>594485751</v>
      </c>
      <c r="D71" s="1732" t="n">
        <f aca="false">D28-D50</f>
        <v>0</v>
      </c>
      <c r="E71" s="1733" t="n">
        <f aca="false">SUM(B71:D71)</f>
        <v>1180573802</v>
      </c>
      <c r="F71" s="1782"/>
    </row>
    <row r="72" s="1783" customFormat="true" ht="24.75" hidden="false" customHeight="true" outlineLevel="0" collapsed="false">
      <c r="A72" s="1627" t="s">
        <v>448</v>
      </c>
      <c r="B72" s="1731" t="n">
        <f aca="false">B29-B51</f>
        <v>339026359</v>
      </c>
      <c r="C72" s="1731" t="n">
        <f aca="false">C29-C51</f>
        <v>343752708</v>
      </c>
      <c r="D72" s="1732" t="n">
        <f aca="false">D29-D51</f>
        <v>1238769</v>
      </c>
      <c r="E72" s="1733" t="n">
        <f aca="false">SUM(B72:D72)</f>
        <v>684017836</v>
      </c>
      <c r="F72" s="1782"/>
    </row>
    <row r="73" s="1783" customFormat="true" ht="24.75" hidden="false" customHeight="true" outlineLevel="0" collapsed="false">
      <c r="A73" s="1627" t="s">
        <v>449</v>
      </c>
      <c r="B73" s="1731" t="n">
        <f aca="false">B30-B52</f>
        <v>335812069</v>
      </c>
      <c r="C73" s="1731" t="n">
        <f aca="false">C30-C52</f>
        <v>340446163</v>
      </c>
      <c r="D73" s="1732" t="n">
        <f aca="false">D30-D52</f>
        <v>1830078</v>
      </c>
      <c r="E73" s="1733" t="n">
        <f aca="false">SUM(B73:D73)</f>
        <v>678088310</v>
      </c>
      <c r="F73" s="1782"/>
    </row>
    <row r="74" s="1783" customFormat="true" ht="24.75" hidden="false" customHeight="true" outlineLevel="0" collapsed="false">
      <c r="A74" s="1627" t="s">
        <v>450</v>
      </c>
      <c r="B74" s="1731" t="n">
        <f aca="false">B31-B53</f>
        <v>339062260</v>
      </c>
      <c r="C74" s="1731" t="n">
        <f aca="false">C31-C53</f>
        <v>343679889</v>
      </c>
      <c r="D74" s="1732" t="n">
        <f aca="false">D31-D53</f>
        <v>4706896</v>
      </c>
      <c r="E74" s="1733" t="n">
        <f aca="false">SUM(B74:D74)</f>
        <v>687449045</v>
      </c>
      <c r="F74" s="1782"/>
    </row>
    <row r="75" s="1783" customFormat="true" ht="24.75" hidden="false" customHeight="true" outlineLevel="0" collapsed="false">
      <c r="A75" s="1627" t="s">
        <v>451</v>
      </c>
      <c r="B75" s="1731" t="n">
        <f aca="false">B32-B54</f>
        <v>348325610</v>
      </c>
      <c r="C75" s="1731" t="n">
        <f aca="false">C32-C54</f>
        <v>353328628</v>
      </c>
      <c r="D75" s="1732" t="n">
        <f aca="false">D32-D54</f>
        <v>2191880</v>
      </c>
      <c r="E75" s="1733" t="n">
        <f aca="false">SUM(B75:D75)</f>
        <v>703846118</v>
      </c>
      <c r="F75" s="1782"/>
    </row>
    <row r="76" s="1783" customFormat="true" ht="24.75" hidden="false" customHeight="true" outlineLevel="0" collapsed="false">
      <c r="A76" s="1627" t="s">
        <v>452</v>
      </c>
      <c r="B76" s="1731" t="n">
        <f aca="false">B33-B55</f>
        <v>347928385</v>
      </c>
      <c r="C76" s="1731" t="n">
        <f aca="false">C33-C55</f>
        <v>352674799</v>
      </c>
      <c r="D76" s="1732" t="n">
        <f aca="false">D33-D55</f>
        <v>966379</v>
      </c>
      <c r="E76" s="1733" t="n">
        <f aca="false">SUM(B76:D76)</f>
        <v>701569563</v>
      </c>
      <c r="F76" s="1782"/>
    </row>
    <row r="77" s="1783" customFormat="true" ht="24.75" hidden="false" customHeight="true" outlineLevel="0" collapsed="false">
      <c r="A77" s="1627" t="s">
        <v>774</v>
      </c>
      <c r="B77" s="1731" t="n">
        <f aca="false">B34-B56</f>
        <v>599222810</v>
      </c>
      <c r="C77" s="1731" t="n">
        <f aca="false">C34-C56</f>
        <v>608293606</v>
      </c>
      <c r="D77" s="1732" t="n">
        <f aca="false">D34-D56</f>
        <v>0</v>
      </c>
      <c r="E77" s="1733" t="n">
        <f aca="false">SUM(B77:D77)</f>
        <v>1207516416</v>
      </c>
      <c r="F77" s="1782"/>
    </row>
    <row r="78" s="1783" customFormat="true" ht="24.75" hidden="false" customHeight="true" outlineLevel="0" collapsed="false">
      <c r="A78" s="1627" t="s">
        <v>453</v>
      </c>
      <c r="B78" s="1731" t="n">
        <f aca="false">B35-B57</f>
        <v>348148123</v>
      </c>
      <c r="C78" s="1731" t="n">
        <f aca="false">C35-C57</f>
        <v>352755728</v>
      </c>
      <c r="D78" s="1732" t="n">
        <f aca="false">D35-D57</f>
        <v>1211296</v>
      </c>
      <c r="E78" s="1733" t="n">
        <f aca="false">SUM(B78:D78)</f>
        <v>702115147</v>
      </c>
      <c r="F78" s="1782"/>
    </row>
    <row r="79" s="1783" customFormat="true" ht="24.75" hidden="false" customHeight="true" outlineLevel="0" collapsed="false">
      <c r="A79" s="1627" t="s">
        <v>454</v>
      </c>
      <c r="B79" s="1731" t="n">
        <f aca="false">B36-B58</f>
        <v>347789974</v>
      </c>
      <c r="C79" s="1731" t="n">
        <f aca="false">C36-C58</f>
        <v>352770120</v>
      </c>
      <c r="D79" s="1732" t="n">
        <f aca="false">D36-D58</f>
        <v>1418461</v>
      </c>
      <c r="E79" s="1733" t="n">
        <f aca="false">SUM(B79:D79)</f>
        <v>701978555</v>
      </c>
      <c r="F79" s="1782"/>
    </row>
    <row r="80" s="1783" customFormat="true" ht="24.75" hidden="false" customHeight="true" outlineLevel="0" collapsed="false">
      <c r="A80" s="1627" t="s">
        <v>455</v>
      </c>
      <c r="B80" s="1731" t="n">
        <f aca="false">B37-B59</f>
        <v>347767033</v>
      </c>
      <c r="C80" s="1731" t="n">
        <f aca="false">C37-C59</f>
        <v>352788045</v>
      </c>
      <c r="D80" s="1732" t="n">
        <f aca="false">D37-D59</f>
        <v>833113</v>
      </c>
      <c r="E80" s="1733" t="n">
        <f aca="false">SUM(B80:D80)</f>
        <v>701388191</v>
      </c>
      <c r="F80" s="1782"/>
    </row>
    <row r="81" s="1783" customFormat="true" ht="24.75" hidden="false" customHeight="true" outlineLevel="0" collapsed="false">
      <c r="A81" s="1627" t="s">
        <v>775</v>
      </c>
      <c r="B81" s="1731" t="n">
        <f aca="false">B38-B60</f>
        <v>133351430</v>
      </c>
      <c r="C81" s="1731" t="n">
        <f aca="false">C38-C60</f>
        <v>139172361</v>
      </c>
      <c r="D81" s="1732" t="n">
        <f aca="false">D38-D60</f>
        <v>0</v>
      </c>
      <c r="E81" s="1733" t="n">
        <f aca="false">SUM(B81:D81)</f>
        <v>272523791</v>
      </c>
      <c r="F81" s="1782"/>
    </row>
    <row r="82" s="1783" customFormat="true" ht="24.75" hidden="false" customHeight="true" outlineLevel="0" collapsed="false">
      <c r="A82" s="1627" t="s">
        <v>456</v>
      </c>
      <c r="B82" s="1731" t="n">
        <f aca="false">B39-B61</f>
        <v>339214728</v>
      </c>
      <c r="C82" s="1731" t="n">
        <f aca="false">C39-C61</f>
        <v>343302855</v>
      </c>
      <c r="D82" s="1732" t="n">
        <f aca="false">D39-D61</f>
        <v>107024</v>
      </c>
      <c r="E82" s="1750" t="n">
        <f aca="false">SUM(B82:D82)</f>
        <v>682624607</v>
      </c>
      <c r="F82" s="1782"/>
    </row>
    <row r="83" s="1783" customFormat="true" ht="24.75" hidden="false" customHeight="true" outlineLevel="0" collapsed="false">
      <c r="A83" s="1634" t="s">
        <v>808</v>
      </c>
      <c r="B83" s="1731" t="n">
        <f aca="false">B40-B62</f>
        <v>16988523</v>
      </c>
      <c r="C83" s="1731" t="n">
        <f aca="false">C40-C62</f>
        <v>16989813</v>
      </c>
      <c r="D83" s="1732" t="n">
        <f aca="false">D40-D62</f>
        <v>0</v>
      </c>
      <c r="E83" s="1751" t="n">
        <f aca="false">SUM(B83:D83)</f>
        <v>33978336</v>
      </c>
      <c r="F83" s="1782"/>
    </row>
    <row r="84" s="1783" customFormat="true" ht="24.75" hidden="false" customHeight="true" outlineLevel="0" collapsed="false">
      <c r="A84" s="1635" t="s">
        <v>809</v>
      </c>
      <c r="B84" s="1776" t="n">
        <f aca="false">B41-B63</f>
        <v>16988532</v>
      </c>
      <c r="C84" s="1776" t="n">
        <f aca="false">C41-C63</f>
        <v>16989826</v>
      </c>
      <c r="D84" s="1777" t="n">
        <f aca="false">D41-D63</f>
        <v>0</v>
      </c>
      <c r="E84" s="1754" t="n">
        <f aca="false">SUM(B84:D84)</f>
        <v>33978358</v>
      </c>
      <c r="F84" s="1782"/>
    </row>
    <row r="85" s="773" customFormat="true" ht="24.75" hidden="false" customHeight="true" outlineLevel="0" collapsed="false">
      <c r="A85" s="1638" t="s">
        <v>457</v>
      </c>
      <c r="B85" s="1779" t="n">
        <f aca="false">SUM(B68:B84)</f>
        <v>5444746471</v>
      </c>
      <c r="C85" s="1779" t="n">
        <f aca="false">SUM(C68:C84)</f>
        <v>5523530257</v>
      </c>
      <c r="D85" s="1780" t="n">
        <f aca="false">SUM(D68:D84)</f>
        <v>112704996</v>
      </c>
      <c r="E85" s="1757" t="n">
        <f aca="false">SUM(E68:E84)</f>
        <v>11080981724</v>
      </c>
      <c r="F85" s="1696"/>
      <c r="K85" s="925"/>
      <c r="L85" s="925"/>
    </row>
    <row r="86" s="773" customFormat="true" ht="23.1" hidden="false" customHeight="true" outlineLevel="0" collapsed="false">
      <c r="A86" s="1781"/>
      <c r="B86" s="1684"/>
      <c r="C86" s="1684"/>
      <c r="D86" s="1684"/>
      <c r="E86" s="1684"/>
      <c r="F86" s="1696"/>
      <c r="K86" s="925"/>
      <c r="L86" s="925"/>
    </row>
    <row r="87" customFormat="false" ht="17.25" hidden="false" customHeight="false" outlineLevel="0" collapsed="false">
      <c r="A87" s="773"/>
    </row>
  </sheetData>
  <mergeCells count="3">
    <mergeCell ref="J2:K2"/>
    <mergeCell ref="G23:H23"/>
    <mergeCell ref="J23:K23"/>
  </mergeCells>
  <printOptions headings="false" gridLines="false" gridLinesSet="true" horizontalCentered="true" verticalCentered="false"/>
  <pageMargins left="0" right="0" top="0.39375" bottom="0" header="0.511811023622047" footer="0"/>
  <pageSetup paperSize="8" scale="80" fitToWidth="1" fitToHeight="1" pageOrder="downThenOver" orientation="landscape" blackAndWhite="false" draft="false" cellComments="none" horizontalDpi="300" verticalDpi="300" copies="1"/>
  <headerFooter differentFirst="false" differentOddEven="false">
    <oddHeader/>
    <oddFooter>&amp;R&amp;9&amp;Z&amp;F&amp;A</oddFooter>
  </headerFooter>
  <rowBreaks count="1" manualBreakCount="1">
    <brk id="43" man="true" max="16383" min="0"/>
  </row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R91"/>
  <sheetViews>
    <sheetView showFormulas="false" showGridLines="true" showRowColHeaders="true" showZeros="true" rightToLeft="false" tabSelected="false" showOutlineSymbols="true" defaultGridColor="true" view="normal" topLeftCell="A1" colorId="64" zoomScale="70" zoomScaleNormal="70" zoomScalePageLayoutView="70" workbookViewId="0">
      <selection pane="topLeft" activeCell="K43" activeCellId="0" sqref="K43"/>
    </sheetView>
  </sheetViews>
  <sheetFormatPr defaultColWidth="8.79296875" defaultRowHeight="17.25" zeroHeight="false" outlineLevelRow="0" outlineLevelCol="0"/>
  <cols>
    <col collapsed="false" customWidth="true" hidden="false" outlineLevel="0" max="1" min="1" style="925" width="17"/>
    <col collapsed="false" customWidth="true" hidden="false" outlineLevel="0" max="5" min="2" style="768" width="17"/>
    <col collapsed="false" customWidth="true" hidden="false" outlineLevel="0" max="6" min="6" style="768" width="5.89"/>
    <col collapsed="false" customWidth="true" hidden="false" outlineLevel="0" max="8" min="7" style="768" width="16.89"/>
    <col collapsed="false" customWidth="true" hidden="false" outlineLevel="0" max="9" min="9" style="768" width="5.59"/>
    <col collapsed="false" customWidth="true" hidden="false" outlineLevel="0" max="10" min="10" style="925" width="17"/>
    <col collapsed="false" customWidth="true" hidden="false" outlineLevel="0" max="11" min="11" style="925" width="16.89"/>
    <col collapsed="false" customWidth="true" hidden="false" outlineLevel="0" max="12" min="12" style="768" width="2.89"/>
    <col collapsed="false" customWidth="true" hidden="false" outlineLevel="0" max="13" min="13" style="768" width="12.09"/>
    <col collapsed="false" customWidth="true" hidden="false" outlineLevel="0" max="14" min="14" style="925" width="12.09"/>
    <col collapsed="false" customWidth="true" hidden="false" outlineLevel="0" max="16" min="15" style="925" width="11.99"/>
    <col collapsed="false" customWidth="true" hidden="false" outlineLevel="0" max="20" min="17" style="925" width="10.69"/>
    <col collapsed="false" customWidth="false" hidden="false" outlineLevel="0" max="257" min="21" style="925" width="8.79"/>
  </cols>
  <sheetData>
    <row r="1" s="1598" customFormat="true" ht="22.5" hidden="false" customHeight="true" outlineLevel="0" collapsed="false">
      <c r="A1" s="1784" t="str">
        <f aca="false">'☆短期集計R7'!A1</f>
        <v>令和8年度</v>
      </c>
      <c r="B1" s="1598" t="s">
        <v>854</v>
      </c>
      <c r="C1" s="1785"/>
      <c r="E1" s="1785"/>
      <c r="F1" s="1785"/>
    </row>
    <row r="2" customFormat="false" ht="30" hidden="false" customHeight="true" outlineLevel="0" collapsed="false">
      <c r="A2" s="925" t="s">
        <v>855</v>
      </c>
      <c r="B2" s="925"/>
      <c r="C2" s="925"/>
      <c r="D2" s="925"/>
      <c r="E2" s="774" t="s">
        <v>421</v>
      </c>
      <c r="F2" s="1722"/>
      <c r="G2" s="925" t="s">
        <v>856</v>
      </c>
      <c r="H2" s="925"/>
      <c r="I2" s="925"/>
      <c r="J2" s="1723" t="s">
        <v>857</v>
      </c>
      <c r="K2" s="1723"/>
      <c r="L2" s="925"/>
      <c r="M2" s="925"/>
    </row>
    <row r="3" customFormat="false" ht="33.75" hidden="false" customHeight="true" outlineLevel="0" collapsed="false">
      <c r="A3" s="1298" t="s">
        <v>428</v>
      </c>
      <c r="B3" s="1724" t="s">
        <v>840</v>
      </c>
      <c r="C3" s="1725" t="s">
        <v>377</v>
      </c>
      <c r="D3" s="1726" t="s">
        <v>841</v>
      </c>
      <c r="E3" s="1727" t="s">
        <v>427</v>
      </c>
      <c r="F3" s="1690"/>
      <c r="G3" s="1728" t="s">
        <v>428</v>
      </c>
      <c r="H3" s="1729" t="s">
        <v>460</v>
      </c>
      <c r="I3" s="925"/>
      <c r="J3" s="1728" t="s">
        <v>423</v>
      </c>
      <c r="K3" s="1730" t="s">
        <v>842</v>
      </c>
      <c r="L3" s="925"/>
      <c r="M3" s="925"/>
    </row>
    <row r="4" customFormat="false" ht="24" hidden="false" customHeight="true" outlineLevel="0" collapsed="false">
      <c r="A4" s="1617" t="s">
        <v>445</v>
      </c>
      <c r="B4" s="1731" t="n">
        <f aca="true">OFFSET('☆掛負収入'!$K$65,$G$24*$G25,0,1,1)-D4</f>
        <v>31144066</v>
      </c>
      <c r="C4" s="1731" t="n">
        <f aca="true">OFFSET('☆掛負収入'!$L$65,$G$24*$G25,0,1,1)</f>
        <v>31101068</v>
      </c>
      <c r="D4" s="1732" t="n">
        <f aca="true">OFFSET('☆掛負収入'!$K$64,$G$24*$G25,0,1,1)</f>
        <v>5128891</v>
      </c>
      <c r="E4" s="1733" t="n">
        <f aca="false">SUM(B4:D4)</f>
        <v>67374025</v>
      </c>
      <c r="F4" s="1696"/>
      <c r="G4" s="1666" t="s">
        <v>445</v>
      </c>
      <c r="H4" s="1734" t="n">
        <f aca="false">還付!J21</f>
        <v>0</v>
      </c>
      <c r="I4" s="925"/>
      <c r="J4" s="1735" t="s">
        <v>445</v>
      </c>
      <c r="K4" s="1734" t="n">
        <f aca="false">還付!E5+還付!E21</f>
        <v>6920</v>
      </c>
      <c r="L4" s="925"/>
      <c r="M4" s="925"/>
    </row>
    <row r="5" customFormat="false" ht="24" hidden="false" customHeight="true" outlineLevel="0" collapsed="false">
      <c r="A5" s="1627" t="s">
        <v>446</v>
      </c>
      <c r="B5" s="1736" t="n">
        <f aca="true">OFFSET('☆掛負収入'!$K$65,$G$24*$G26,0,1,1)-D5</f>
        <v>31307506</v>
      </c>
      <c r="C5" s="1731" t="n">
        <f aca="true">OFFSET('☆掛負収入'!$L$65,$G$24*$G26,0,1,1)</f>
        <v>31307243</v>
      </c>
      <c r="D5" s="1737" t="n">
        <f aca="true">OFFSET('☆掛負収入'!$K$64,$G$24*$G26,0,1,1)</f>
        <v>166737</v>
      </c>
      <c r="E5" s="1733" t="n">
        <f aca="false">SUM(B5:D5)</f>
        <v>62781486</v>
      </c>
      <c r="F5" s="1696"/>
      <c r="G5" s="1668" t="s">
        <v>446</v>
      </c>
      <c r="H5" s="1738" t="n">
        <f aca="false">還付!J22</f>
        <v>34534</v>
      </c>
      <c r="I5" s="925"/>
      <c r="J5" s="1739" t="s">
        <v>446</v>
      </c>
      <c r="K5" s="1734" t="n">
        <f aca="false">還付!E6+還付!E22</f>
        <v>3950</v>
      </c>
      <c r="L5" s="925"/>
      <c r="M5" s="925"/>
    </row>
    <row r="6" customFormat="false" ht="24" hidden="false" customHeight="true" outlineLevel="0" collapsed="false">
      <c r="A6" s="1627" t="s">
        <v>447</v>
      </c>
      <c r="B6" s="1736" t="n">
        <f aca="true">OFFSET('☆掛負収入'!$K$65,$G$24*$G27,0,1,1)-D6</f>
        <v>31417297</v>
      </c>
      <c r="C6" s="1731" t="n">
        <f aca="true">OFFSET('☆掛負収入'!$L$65,$G$24*$G27,0,1,1)</f>
        <v>31407862</v>
      </c>
      <c r="D6" s="1737" t="n">
        <f aca="true">OFFSET('☆掛負収入'!$K$64,$G$24*$G27,0,1,1)</f>
        <v>227024</v>
      </c>
      <c r="E6" s="1733" t="n">
        <f aca="false">SUM(B6:D6)</f>
        <v>63052183</v>
      </c>
      <c r="F6" s="1696"/>
      <c r="G6" s="1668" t="s">
        <v>447</v>
      </c>
      <c r="H6" s="1738" t="n">
        <f aca="false">還付!J23</f>
        <v>0</v>
      </c>
      <c r="I6" s="925"/>
      <c r="J6" s="1739" t="s">
        <v>447</v>
      </c>
      <c r="K6" s="1734" t="n">
        <f aca="false">還付!E7+還付!E23</f>
        <v>3239</v>
      </c>
      <c r="L6" s="925"/>
      <c r="M6" s="925"/>
    </row>
    <row r="7" customFormat="false" ht="24" hidden="false" customHeight="true" outlineLevel="0" collapsed="false">
      <c r="A7" s="1627" t="s">
        <v>773</v>
      </c>
      <c r="B7" s="1736" t="n">
        <f aca="true">OFFSET('☆掛負収入'!$K$65,$G$24*$G28,0,1,1)-D7</f>
        <v>58354858</v>
      </c>
      <c r="C7" s="1731" t="n">
        <f aca="true">OFFSET('☆掛負収入'!$L$65,$G$24*$G28,0,1,1)</f>
        <v>58358254</v>
      </c>
      <c r="D7" s="1740" t="n">
        <f aca="true">OFFSET('☆掛負収入'!$K$64,$G$24*$G28,0,1,1)</f>
        <v>0</v>
      </c>
      <c r="E7" s="1733" t="n">
        <f aca="false">SUM(B7:D7)</f>
        <v>116713112</v>
      </c>
      <c r="F7" s="1696"/>
      <c r="G7" s="1668" t="s">
        <v>448</v>
      </c>
      <c r="H7" s="1738" t="n">
        <f aca="false">還付!J24</f>
        <v>13904</v>
      </c>
      <c r="I7" s="925"/>
      <c r="J7" s="1739" t="s">
        <v>448</v>
      </c>
      <c r="K7" s="1734" t="n">
        <f aca="false">還付!E8+還付!E24</f>
        <v>3476</v>
      </c>
      <c r="L7" s="925"/>
      <c r="M7" s="925"/>
    </row>
    <row r="8" customFormat="false" ht="24" hidden="false" customHeight="true" outlineLevel="0" collapsed="false">
      <c r="A8" s="1627" t="s">
        <v>448</v>
      </c>
      <c r="B8" s="1736" t="n">
        <f aca="true">OFFSET('☆掛負収入'!$K$65,$G$24*$G29,0,1,1)-D8</f>
        <v>31938344</v>
      </c>
      <c r="C8" s="1731" t="n">
        <f aca="true">OFFSET('☆掛負収入'!$L$65,$G$24*$G29,0,1,1)</f>
        <v>31956293</v>
      </c>
      <c r="D8" s="1737" t="n">
        <f aca="true">OFFSET('☆掛負収入'!$K$64,$G$24*$G29,0,1,1)</f>
        <v>156680</v>
      </c>
      <c r="E8" s="1733" t="n">
        <f aca="false">SUM(B8:D8)</f>
        <v>64051317</v>
      </c>
      <c r="F8" s="1696"/>
      <c r="G8" s="1668" t="s">
        <v>449</v>
      </c>
      <c r="H8" s="1738" t="n">
        <f aca="false">還付!J25</f>
        <v>144372</v>
      </c>
      <c r="I8" s="925"/>
      <c r="J8" s="1739" t="s">
        <v>449</v>
      </c>
      <c r="K8" s="1734" t="n">
        <f aca="false">還付!E9+還付!E25</f>
        <v>2844</v>
      </c>
      <c r="L8" s="925"/>
      <c r="M8" s="925"/>
    </row>
    <row r="9" customFormat="false" ht="24" hidden="false" customHeight="true" outlineLevel="0" collapsed="false">
      <c r="A9" s="1627" t="s">
        <v>449</v>
      </c>
      <c r="B9" s="1736" t="n">
        <f aca="true">OFFSET('☆掛負収入'!$K$65,$G$24*$G30,0,1,1)-D9</f>
        <v>31861256</v>
      </c>
      <c r="C9" s="1731" t="n">
        <f aca="true">OFFSET('☆掛負収入'!$L$65,$G$24*$G30,0,1,1)</f>
        <v>31867818</v>
      </c>
      <c r="D9" s="1737" t="n">
        <f aca="true">OFFSET('☆掛負収入'!$K$64,$G$24*$G30,0,1,1)</f>
        <v>95674</v>
      </c>
      <c r="E9" s="1733" t="n">
        <f aca="false">SUM(B9:D9)</f>
        <v>63824748</v>
      </c>
      <c r="F9" s="1696"/>
      <c r="G9" s="1668" t="s">
        <v>450</v>
      </c>
      <c r="H9" s="1738" t="n">
        <f aca="false">還付!J26</f>
        <v>220096</v>
      </c>
      <c r="I9" s="925"/>
      <c r="J9" s="1739" t="s">
        <v>450</v>
      </c>
      <c r="K9" s="1734" t="n">
        <f aca="false">還付!E10+還付!E26</f>
        <v>5609</v>
      </c>
      <c r="L9" s="925"/>
      <c r="M9" s="925"/>
    </row>
    <row r="10" customFormat="false" ht="24" hidden="false" customHeight="true" outlineLevel="0" collapsed="false">
      <c r="A10" s="1627" t="s">
        <v>450</v>
      </c>
      <c r="B10" s="1736" t="n">
        <f aca="true">OFFSET('☆掛負収入'!$K$65,$G$24*$G31,0,1,1)-D10</f>
        <v>32297481</v>
      </c>
      <c r="C10" s="1731" t="n">
        <f aca="true">OFFSET('☆掛負収入'!$L$65,$G$24*$G31,0,1,1)</f>
        <v>32292877</v>
      </c>
      <c r="D10" s="1737" t="n">
        <f aca="true">OFFSET('☆掛負収入'!$K$64,$G$24*$G31,0,1,1)</f>
        <v>345917</v>
      </c>
      <c r="E10" s="1733" t="n">
        <f aca="false">SUM(B10:D10)</f>
        <v>64936275</v>
      </c>
      <c r="F10" s="1696"/>
      <c r="G10" s="1668" t="s">
        <v>451</v>
      </c>
      <c r="H10" s="1738" t="n">
        <f aca="false">還付!J27</f>
        <v>0</v>
      </c>
      <c r="I10" s="925"/>
      <c r="J10" s="1739" t="s">
        <v>451</v>
      </c>
      <c r="K10" s="1734" t="n">
        <f aca="false">還付!E11+還付!E27</f>
        <v>0</v>
      </c>
      <c r="L10" s="925"/>
      <c r="M10" s="925"/>
    </row>
    <row r="11" customFormat="false" ht="24" hidden="false" customHeight="true" outlineLevel="0" collapsed="false">
      <c r="A11" s="1627" t="s">
        <v>451</v>
      </c>
      <c r="B11" s="1736" t="n">
        <f aca="true">OFFSET('☆掛負収入'!$K$65,$G$24*$G32,0,1,1)-D11</f>
        <v>31105975</v>
      </c>
      <c r="C11" s="1731" t="n">
        <f aca="true">OFFSET('☆掛負収入'!$L$65,$G$24*$G32,0,1,1)</f>
        <v>31107974</v>
      </c>
      <c r="D11" s="1737" t="n">
        <f aca="true">OFFSET('☆掛負収入'!$K$64,$G$24*$G32,0,1,1)</f>
        <v>123617</v>
      </c>
      <c r="E11" s="1733" t="n">
        <f aca="false">SUM(B11:D11)</f>
        <v>62337566</v>
      </c>
      <c r="F11" s="1696"/>
      <c r="G11" s="1668" t="s">
        <v>452</v>
      </c>
      <c r="H11" s="1738" t="n">
        <f aca="false">還付!J28</f>
        <v>0</v>
      </c>
      <c r="I11" s="925"/>
      <c r="J11" s="1739" t="s">
        <v>452</v>
      </c>
      <c r="K11" s="1734" t="n">
        <f aca="false">還付!E12+還付!E28</f>
        <v>0</v>
      </c>
      <c r="L11" s="925"/>
      <c r="M11" s="925"/>
    </row>
    <row r="12" customFormat="false" ht="24" hidden="false" customHeight="true" outlineLevel="0" collapsed="false">
      <c r="A12" s="1627" t="s">
        <v>452</v>
      </c>
      <c r="B12" s="1736" t="n">
        <f aca="true">OFFSET('☆掛負収入'!$K$65,$G$24*$G33,0,1,1)-D12</f>
        <v>31203687</v>
      </c>
      <c r="C12" s="1731" t="n">
        <f aca="true">OFFSET('☆掛負収入'!$L$65,$G$24*$G33,0,1,1)</f>
        <v>31158617</v>
      </c>
      <c r="D12" s="1737" t="n">
        <f aca="true">OFFSET('☆掛負収入'!$K$64,$G$24*$G33,0,1,1)</f>
        <v>91032</v>
      </c>
      <c r="E12" s="1733" t="n">
        <f aca="false">SUM(B12:D12)</f>
        <v>62453336</v>
      </c>
      <c r="F12" s="1696"/>
      <c r="G12" s="1668" t="s">
        <v>453</v>
      </c>
      <c r="H12" s="1738" t="n">
        <f aca="false">還付!J29</f>
        <v>0</v>
      </c>
      <c r="I12" s="925"/>
      <c r="J12" s="1739" t="s">
        <v>453</v>
      </c>
      <c r="K12" s="1734" t="n">
        <f aca="false">還付!E13+還付!E29</f>
        <v>0</v>
      </c>
      <c r="L12" s="925"/>
      <c r="M12" s="925"/>
    </row>
    <row r="13" customFormat="false" ht="24" hidden="false" customHeight="true" outlineLevel="0" collapsed="false">
      <c r="A13" s="1627" t="s">
        <v>774</v>
      </c>
      <c r="B13" s="1736" t="n">
        <f aca="true">OFFSET('☆掛負収入'!$K$65,$G$24*$G34,0,1,1)-D13</f>
        <v>56098280</v>
      </c>
      <c r="C13" s="1731" t="n">
        <f aca="true">OFFSET('☆掛負収入'!$L$65,$G$24*$G34,0,1,1)</f>
        <v>56103444</v>
      </c>
      <c r="D13" s="1740" t="n">
        <f aca="true">OFFSET('☆掛負収入'!$K$64,$G$24*$G34,0,1,1)</f>
        <v>0</v>
      </c>
      <c r="E13" s="1733" t="n">
        <f aca="false">SUM(B13:D13)</f>
        <v>112201724</v>
      </c>
      <c r="F13" s="1696"/>
      <c r="G13" s="1668" t="s">
        <v>454</v>
      </c>
      <c r="H13" s="1738" t="n">
        <f aca="false">還付!J30</f>
        <v>0</v>
      </c>
      <c r="I13" s="925"/>
      <c r="J13" s="1739" t="s">
        <v>454</v>
      </c>
      <c r="K13" s="1734" t="n">
        <f aca="false">還付!E14+還付!E30</f>
        <v>0</v>
      </c>
      <c r="L13" s="925"/>
      <c r="M13" s="925"/>
    </row>
    <row r="14" customFormat="false" ht="24" hidden="false" customHeight="true" outlineLevel="0" collapsed="false">
      <c r="A14" s="1627" t="s">
        <v>453</v>
      </c>
      <c r="B14" s="1736" t="n">
        <f aca="true">OFFSET('☆掛負収入'!$K$65,$G$24*$G35,0,1,1)-D14</f>
        <v>31236550</v>
      </c>
      <c r="C14" s="1731" t="n">
        <f aca="true">OFFSET('☆掛負収入'!$L$65,$G$24*$G35,0,1,1)</f>
        <v>31225936</v>
      </c>
      <c r="D14" s="1741" t="n">
        <f aca="true">OFFSET('☆掛負収入'!$K$64,$G$24*$G35,0,1,1)</f>
        <v>77228</v>
      </c>
      <c r="E14" s="1733" t="n">
        <f aca="false">SUM(B14:D14)</f>
        <v>62539714</v>
      </c>
      <c r="F14" s="1696"/>
      <c r="G14" s="1668" t="s">
        <v>455</v>
      </c>
      <c r="H14" s="1738" t="n">
        <f aca="false">還付!J31</f>
        <v>0</v>
      </c>
      <c r="I14" s="925"/>
      <c r="J14" s="1739" t="s">
        <v>455</v>
      </c>
      <c r="K14" s="1734" t="n">
        <f aca="false">還付!E15+還付!E31</f>
        <v>0</v>
      </c>
      <c r="L14" s="925"/>
      <c r="M14" s="925"/>
    </row>
    <row r="15" customFormat="false" ht="24" hidden="false" customHeight="true" outlineLevel="0" collapsed="false">
      <c r="A15" s="1627" t="s">
        <v>454</v>
      </c>
      <c r="B15" s="1736" t="n">
        <f aca="true">OFFSET('☆掛負収入'!$K$65,$G$24*$G36,0,1,1)-D15</f>
        <v>31297931</v>
      </c>
      <c r="C15" s="1731" t="n">
        <f aca="true">OFFSET('☆掛負収入'!$L$65,$G$24*$G36,0,1,1)</f>
        <v>31265991</v>
      </c>
      <c r="D15" s="1737" t="n">
        <f aca="true">OFFSET('☆掛負収入'!$K$64,$G$24*$G36,0,1,1)</f>
        <v>75931</v>
      </c>
      <c r="E15" s="1733" t="n">
        <f aca="false">SUM(B15:D15)</f>
        <v>62639853</v>
      </c>
      <c r="F15" s="1696"/>
      <c r="G15" s="1671" t="s">
        <v>456</v>
      </c>
      <c r="H15" s="1742" t="n">
        <f aca="false">還付!J32</f>
        <v>0</v>
      </c>
      <c r="I15" s="925"/>
      <c r="J15" s="1743" t="s">
        <v>456</v>
      </c>
      <c r="K15" s="1734" t="n">
        <f aca="false">還付!E16+還付!E32</f>
        <v>0</v>
      </c>
      <c r="L15" s="925"/>
      <c r="M15" s="925"/>
    </row>
    <row r="16" customFormat="false" ht="24" hidden="false" customHeight="true" outlineLevel="0" collapsed="false">
      <c r="A16" s="1627" t="s">
        <v>455</v>
      </c>
      <c r="B16" s="1736" t="n">
        <f aca="true">OFFSET('☆掛負収入'!$K$65,$G$24*$G37,0,1,1)-D16</f>
        <v>31343795</v>
      </c>
      <c r="C16" s="1731" t="n">
        <f aca="true">OFFSET('☆掛負収入'!$L$65,$G$24*$G37,0,1,1)</f>
        <v>31330292</v>
      </c>
      <c r="D16" s="1737" t="n">
        <f aca="true">OFFSET('☆掛負収入'!$K$64,$G$24*$G37,0,1,1)</f>
        <v>60734</v>
      </c>
      <c r="E16" s="1733" t="n">
        <f aca="false">SUM(B16:D16)</f>
        <v>62734821</v>
      </c>
      <c r="F16" s="1696"/>
      <c r="G16" s="1744" t="s">
        <v>457</v>
      </c>
      <c r="H16" s="1745" t="n">
        <f aca="false">SUM(H4:H15)</f>
        <v>412906</v>
      </c>
      <c r="I16" s="925"/>
      <c r="J16" s="1746" t="s">
        <v>457</v>
      </c>
      <c r="K16" s="1745" t="n">
        <f aca="false">SUM(K4:K15)</f>
        <v>26038</v>
      </c>
      <c r="L16" s="925"/>
      <c r="M16" s="925"/>
    </row>
    <row r="17" customFormat="false" ht="24" hidden="false" customHeight="true" outlineLevel="0" collapsed="false">
      <c r="A17" s="1627" t="s">
        <v>775</v>
      </c>
      <c r="B17" s="1747" t="n">
        <f aca="true">OFFSET('☆掛負収入'!$K$65,$G$24*$G38,0,1,1)-D17</f>
        <v>12910671</v>
      </c>
      <c r="C17" s="1731" t="n">
        <f aca="true">OFFSET('☆掛負収入'!$L$65,$G$24*$G38,0,1,1)</f>
        <v>13720411</v>
      </c>
      <c r="D17" s="1748" t="n">
        <f aca="true">OFFSET('☆掛負収入'!$K$64,$G$24*$G38,0,1,1)</f>
        <v>0</v>
      </c>
      <c r="E17" s="1733" t="n">
        <f aca="false">SUM(B17:D17)</f>
        <v>26631082</v>
      </c>
      <c r="F17" s="1696"/>
      <c r="G17" s="1749"/>
      <c r="H17" s="1688"/>
      <c r="I17" s="925"/>
      <c r="J17" s="773"/>
      <c r="K17" s="773"/>
      <c r="L17" s="925"/>
      <c r="M17" s="925"/>
    </row>
    <row r="18" customFormat="false" ht="24" hidden="false" customHeight="true" outlineLevel="0" collapsed="false">
      <c r="A18" s="1627" t="s">
        <v>456</v>
      </c>
      <c r="B18" s="1736" t="n">
        <f aca="true">OFFSET('☆掛負収入'!$K$65,$G$24*$G39,0,1,1)-D18</f>
        <v>32264902</v>
      </c>
      <c r="C18" s="1731" t="n">
        <f aca="true">OFFSET('☆掛負収入'!$L$65,$G$24*$G39,0,1,1)</f>
        <v>32234438</v>
      </c>
      <c r="D18" s="1741" t="n">
        <f aca="true">OFFSET('☆掛負収入'!$K$64,$G$24*$G39,0,1,1)</f>
        <v>17136</v>
      </c>
      <c r="E18" s="1750" t="n">
        <f aca="false">SUM(B18:D18)</f>
        <v>64516476</v>
      </c>
      <c r="F18" s="1696"/>
      <c r="G18" s="1749"/>
      <c r="H18" s="1688"/>
      <c r="I18" s="925"/>
      <c r="J18" s="1696"/>
      <c r="K18" s="773"/>
      <c r="L18" s="925"/>
      <c r="M18" s="925"/>
    </row>
    <row r="19" customFormat="false" ht="24" hidden="false" customHeight="true" outlineLevel="0" collapsed="false">
      <c r="A19" s="1634" t="s">
        <v>808</v>
      </c>
      <c r="B19" s="1736" t="n">
        <f aca="true">OFFSET('☆掛負収入'!$K$65,$G$24*$G40,0,1,1)-D19</f>
        <v>1479301</v>
      </c>
      <c r="C19" s="1736" t="n">
        <f aca="true">OFFSET('☆掛負収入'!$L$65,$G$24*$G40,0,1,1)</f>
        <v>1479171</v>
      </c>
      <c r="D19" s="1740" t="n">
        <f aca="true">OFFSET('☆掛負収入'!$K$64,$G$24*$G40,0,1,1)</f>
        <v>0</v>
      </c>
      <c r="E19" s="1751" t="n">
        <f aca="false">SUM(B19:D19)</f>
        <v>2958472</v>
      </c>
      <c r="F19" s="1696"/>
      <c r="G19" s="1749"/>
      <c r="H19" s="1688"/>
      <c r="I19" s="925"/>
      <c r="L19" s="925"/>
      <c r="M19" s="925"/>
    </row>
    <row r="20" customFormat="false" ht="24" hidden="false" customHeight="true" outlineLevel="0" collapsed="false">
      <c r="A20" s="1635" t="s">
        <v>809</v>
      </c>
      <c r="B20" s="1752" t="n">
        <f aca="true">OFFSET('☆掛負収入'!$K$65,$G$24*$G41,0,1,1)-D20</f>
        <v>1479310</v>
      </c>
      <c r="C20" s="1752" t="n">
        <f aca="true">OFFSET('☆掛負収入'!$L$65,$G$24*$G41,0,1,1)</f>
        <v>1479188</v>
      </c>
      <c r="D20" s="1753" t="n">
        <f aca="true">OFFSET('☆掛負収入'!$K$64,$G$24*$G41,0,1,1)</f>
        <v>0</v>
      </c>
      <c r="E20" s="1754" t="n">
        <f aca="false">SUM(B20:D20)</f>
        <v>2958498</v>
      </c>
      <c r="F20" s="1696"/>
      <c r="G20" s="1749"/>
      <c r="H20" s="1688"/>
      <c r="I20" s="925"/>
      <c r="L20" s="925"/>
      <c r="M20" s="925"/>
    </row>
    <row r="21" customFormat="false" ht="24" hidden="false" customHeight="true" outlineLevel="0" collapsed="false">
      <c r="A21" s="1786" t="s">
        <v>457</v>
      </c>
      <c r="B21" s="1755" t="n">
        <f aca="false">SUM(B4:B20)</f>
        <v>508741210</v>
      </c>
      <c r="C21" s="1755" t="n">
        <f aca="false">SUM(C4:C20)</f>
        <v>509396877</v>
      </c>
      <c r="D21" s="1756" t="n">
        <f aca="false">SUM(D4:D20)</f>
        <v>6566601</v>
      </c>
      <c r="E21" s="1757" t="n">
        <f aca="false">SUM(E4:E20)</f>
        <v>1024704688</v>
      </c>
      <c r="F21" s="1696"/>
      <c r="G21" s="1749"/>
      <c r="H21" s="1688"/>
      <c r="I21" s="925"/>
      <c r="L21" s="925"/>
      <c r="M21" s="925"/>
    </row>
    <row r="22" customFormat="false" ht="22.5" hidden="false" customHeight="true" outlineLevel="0" collapsed="false">
      <c r="B22" s="1696"/>
      <c r="C22" s="1696"/>
      <c r="D22" s="1696"/>
      <c r="J22" s="768"/>
      <c r="K22" s="773"/>
      <c r="L22" s="773"/>
      <c r="M22" s="773"/>
      <c r="N22" s="773"/>
      <c r="O22" s="773"/>
      <c r="P22" s="773"/>
      <c r="Q22" s="773"/>
    </row>
    <row r="23" customFormat="false" ht="30" hidden="false" customHeight="true" outlineLevel="0" collapsed="false">
      <c r="A23" s="925" t="s">
        <v>858</v>
      </c>
      <c r="B23" s="925"/>
      <c r="C23" s="925"/>
      <c r="D23" s="925"/>
      <c r="E23" s="774" t="s">
        <v>421</v>
      </c>
      <c r="F23" s="925"/>
      <c r="G23" s="1787" t="s">
        <v>844</v>
      </c>
      <c r="H23" s="1787"/>
      <c r="I23" s="925"/>
      <c r="J23" s="1723" t="s">
        <v>859</v>
      </c>
      <c r="K23" s="1723"/>
      <c r="L23" s="925"/>
      <c r="M23" s="925"/>
      <c r="R23" s="773"/>
    </row>
    <row r="24" customFormat="false" ht="33.75" hidden="false" customHeight="true" outlineLevel="0" collapsed="false">
      <c r="A24" s="1298" t="s">
        <v>284</v>
      </c>
      <c r="B24" s="1724" t="s">
        <v>846</v>
      </c>
      <c r="C24" s="1725" t="s">
        <v>377</v>
      </c>
      <c r="D24" s="1726" t="s">
        <v>847</v>
      </c>
      <c r="E24" s="1727" t="s">
        <v>427</v>
      </c>
      <c r="F24" s="1788"/>
      <c r="G24" s="1761" t="n">
        <v>65</v>
      </c>
      <c r="H24" s="1762"/>
      <c r="I24" s="1690"/>
      <c r="J24" s="1728" t="s">
        <v>473</v>
      </c>
      <c r="K24" s="1730" t="s">
        <v>848</v>
      </c>
      <c r="L24" s="1772"/>
      <c r="M24" s="1690"/>
      <c r="N24" s="773"/>
      <c r="O24" s="773"/>
      <c r="P24" s="773"/>
      <c r="Q24" s="773"/>
    </row>
    <row r="25" customFormat="false" ht="24" hidden="false" customHeight="true" outlineLevel="0" collapsed="false">
      <c r="A25" s="1617" t="s">
        <v>445</v>
      </c>
      <c r="B25" s="1731" t="n">
        <f aca="false">B4-K4+K25</f>
        <v>31137146</v>
      </c>
      <c r="C25" s="1731" t="n">
        <f aca="false">C4</f>
        <v>31101068</v>
      </c>
      <c r="D25" s="1732" t="n">
        <f aca="false">D4-H4</f>
        <v>5128891</v>
      </c>
      <c r="E25" s="1733" t="n">
        <f aca="false">SUM(B25:D25)</f>
        <v>67367105</v>
      </c>
      <c r="F25" s="1788"/>
      <c r="G25" s="1763" t="n">
        <v>0</v>
      </c>
      <c r="H25" s="1762"/>
      <c r="I25" s="1684"/>
      <c r="J25" s="1666" t="s">
        <v>445</v>
      </c>
      <c r="K25" s="1734" t="n">
        <f aca="false">未納者等入金!F5</f>
        <v>0</v>
      </c>
      <c r="L25" s="1789"/>
      <c r="M25" s="1684"/>
      <c r="N25" s="773"/>
      <c r="O25" s="773"/>
      <c r="P25" s="773"/>
      <c r="Q25" s="773"/>
    </row>
    <row r="26" customFormat="false" ht="24" hidden="false" customHeight="true" outlineLevel="0" collapsed="false">
      <c r="A26" s="1627" t="s">
        <v>446</v>
      </c>
      <c r="B26" s="1731" t="n">
        <f aca="false">B5-K5+K26</f>
        <v>31303556</v>
      </c>
      <c r="C26" s="1736" t="n">
        <f aca="false">C5</f>
        <v>31307243</v>
      </c>
      <c r="D26" s="1732" t="n">
        <f aca="false">D5-H5</f>
        <v>132203</v>
      </c>
      <c r="E26" s="1733" t="n">
        <f aca="false">SUM(B26:D26)</f>
        <v>62743002</v>
      </c>
      <c r="F26" s="1788"/>
      <c r="G26" s="1763" t="n">
        <v>1</v>
      </c>
      <c r="H26" s="1762"/>
      <c r="I26" s="1684"/>
      <c r="J26" s="1668" t="s">
        <v>446</v>
      </c>
      <c r="K26" s="1734" t="n">
        <f aca="false">未納者等入金!F6</f>
        <v>0</v>
      </c>
      <c r="L26" s="1789"/>
      <c r="M26" s="1684"/>
      <c r="N26" s="773"/>
      <c r="O26" s="773"/>
      <c r="P26" s="773"/>
      <c r="Q26" s="773"/>
    </row>
    <row r="27" customFormat="false" ht="24" hidden="false" customHeight="true" outlineLevel="0" collapsed="false">
      <c r="A27" s="1627" t="s">
        <v>447</v>
      </c>
      <c r="B27" s="1731" t="n">
        <f aca="false">B6-K6+K27</f>
        <v>31414058</v>
      </c>
      <c r="C27" s="1736" t="n">
        <f aca="false">C6</f>
        <v>31407862</v>
      </c>
      <c r="D27" s="1732" t="n">
        <f aca="false">D6-H6</f>
        <v>227024</v>
      </c>
      <c r="E27" s="1733" t="n">
        <f aca="false">SUM(B27:D27)</f>
        <v>63048944</v>
      </c>
      <c r="F27" s="1788"/>
      <c r="G27" s="1763" t="n">
        <v>2</v>
      </c>
      <c r="H27" s="1762"/>
      <c r="I27" s="1684"/>
      <c r="J27" s="1668" t="s">
        <v>447</v>
      </c>
      <c r="K27" s="1734" t="n">
        <f aca="false">未納者等入金!F7</f>
        <v>0</v>
      </c>
      <c r="L27" s="1789"/>
      <c r="M27" s="1684"/>
      <c r="N27" s="773"/>
      <c r="O27" s="773"/>
      <c r="P27" s="773"/>
      <c r="Q27" s="773"/>
    </row>
    <row r="28" customFormat="false" ht="24" hidden="false" customHeight="true" outlineLevel="0" collapsed="false">
      <c r="A28" s="1627" t="s">
        <v>773</v>
      </c>
      <c r="B28" s="1736" t="n">
        <f aca="false">B7+K28</f>
        <v>58354858</v>
      </c>
      <c r="C28" s="1736" t="n">
        <f aca="false">C7</f>
        <v>58358254</v>
      </c>
      <c r="D28" s="1740" t="n">
        <f aca="false">D7</f>
        <v>0</v>
      </c>
      <c r="E28" s="1733" t="n">
        <f aca="false">SUM(B28:D28)</f>
        <v>116713112</v>
      </c>
      <c r="F28" s="1788"/>
      <c r="G28" s="1763" t="n">
        <v>3</v>
      </c>
      <c r="H28" s="1762"/>
      <c r="I28" s="1684"/>
      <c r="J28" s="1668" t="s">
        <v>773</v>
      </c>
      <c r="K28" s="1734" t="n">
        <f aca="false">未納者等入金!F8</f>
        <v>0</v>
      </c>
      <c r="L28" s="1664"/>
      <c r="M28" s="1684"/>
      <c r="N28" s="773"/>
      <c r="O28" s="773"/>
      <c r="P28" s="773"/>
      <c r="Q28" s="773"/>
    </row>
    <row r="29" customFormat="false" ht="24" hidden="false" customHeight="true" outlineLevel="0" collapsed="false">
      <c r="A29" s="1627" t="s">
        <v>448</v>
      </c>
      <c r="B29" s="1736" t="n">
        <f aca="false">B8-K7+K29</f>
        <v>31934868</v>
      </c>
      <c r="C29" s="1736" t="n">
        <f aca="false">C8</f>
        <v>31956293</v>
      </c>
      <c r="D29" s="1737" t="n">
        <f aca="false">D8-H7</f>
        <v>142776</v>
      </c>
      <c r="E29" s="1733" t="n">
        <f aca="false">SUM(B29:D29)</f>
        <v>64033937</v>
      </c>
      <c r="F29" s="1788"/>
      <c r="G29" s="1763" t="n">
        <v>4</v>
      </c>
      <c r="H29" s="1762"/>
      <c r="I29" s="1684"/>
      <c r="J29" s="1668" t="s">
        <v>448</v>
      </c>
      <c r="K29" s="1734" t="n">
        <f aca="false">未納者等入金!F9</f>
        <v>0</v>
      </c>
      <c r="L29" s="1789"/>
      <c r="M29" s="1684"/>
      <c r="N29" s="773"/>
      <c r="O29" s="773"/>
      <c r="P29" s="773"/>
      <c r="Q29" s="773"/>
    </row>
    <row r="30" customFormat="false" ht="24" hidden="false" customHeight="true" outlineLevel="0" collapsed="false">
      <c r="A30" s="1627" t="s">
        <v>449</v>
      </c>
      <c r="B30" s="1736" t="n">
        <f aca="false">B9-K8+K30</f>
        <v>31858412</v>
      </c>
      <c r="C30" s="1736" t="n">
        <f aca="false">C9</f>
        <v>31867818</v>
      </c>
      <c r="D30" s="1737" t="n">
        <f aca="false">D9-H8</f>
        <v>-48698</v>
      </c>
      <c r="E30" s="1733" t="n">
        <f aca="false">SUM(B30:D30)</f>
        <v>63677532</v>
      </c>
      <c r="F30" s="1788"/>
      <c r="G30" s="1763" t="n">
        <v>5</v>
      </c>
      <c r="H30" s="1762"/>
      <c r="I30" s="1684"/>
      <c r="J30" s="1668" t="s">
        <v>449</v>
      </c>
      <c r="K30" s="1734" t="n">
        <f aca="false">未納者等入金!F10</f>
        <v>0</v>
      </c>
      <c r="L30" s="1789"/>
      <c r="M30" s="1684"/>
      <c r="N30" s="773"/>
      <c r="O30" s="773"/>
      <c r="P30" s="773"/>
      <c r="Q30" s="773"/>
    </row>
    <row r="31" customFormat="false" ht="24" hidden="false" customHeight="true" outlineLevel="0" collapsed="false">
      <c r="A31" s="1627" t="s">
        <v>450</v>
      </c>
      <c r="B31" s="1736" t="n">
        <f aca="false">B10-K9+K31</f>
        <v>32291872</v>
      </c>
      <c r="C31" s="1736" t="n">
        <f aca="false">C10</f>
        <v>32292877</v>
      </c>
      <c r="D31" s="1737" t="n">
        <f aca="false">D10-H9</f>
        <v>125821</v>
      </c>
      <c r="E31" s="1733" t="n">
        <f aca="false">SUM(B31:D31)</f>
        <v>64710570</v>
      </c>
      <c r="F31" s="1788"/>
      <c r="G31" s="1763" t="n">
        <v>6</v>
      </c>
      <c r="H31" s="1762"/>
      <c r="I31" s="1684"/>
      <c r="J31" s="1668" t="s">
        <v>450</v>
      </c>
      <c r="K31" s="1734" t="n">
        <f aca="false">未納者等入金!F11</f>
        <v>0</v>
      </c>
      <c r="L31" s="1789"/>
      <c r="M31" s="1684"/>
      <c r="N31" s="773"/>
      <c r="O31" s="773"/>
      <c r="P31" s="773"/>
      <c r="Q31" s="773"/>
    </row>
    <row r="32" customFormat="false" ht="24" hidden="false" customHeight="true" outlineLevel="0" collapsed="false">
      <c r="A32" s="1627" t="s">
        <v>451</v>
      </c>
      <c r="B32" s="1736" t="n">
        <f aca="false">B11-K10+K32</f>
        <v>31105975</v>
      </c>
      <c r="C32" s="1736" t="n">
        <f aca="false">C11</f>
        <v>31107974</v>
      </c>
      <c r="D32" s="1737" t="n">
        <f aca="false">D11-H10</f>
        <v>123617</v>
      </c>
      <c r="E32" s="1733" t="n">
        <f aca="false">SUM(B32:D32)</f>
        <v>62337566</v>
      </c>
      <c r="F32" s="1788"/>
      <c r="G32" s="1763" t="n">
        <v>7</v>
      </c>
      <c r="H32" s="1762"/>
      <c r="I32" s="1684"/>
      <c r="J32" s="1668" t="s">
        <v>451</v>
      </c>
      <c r="K32" s="1734" t="n">
        <f aca="false">未納者等入金!F12</f>
        <v>0</v>
      </c>
      <c r="L32" s="1789"/>
      <c r="M32" s="1684"/>
      <c r="N32" s="773"/>
      <c r="O32" s="773"/>
      <c r="P32" s="773"/>
      <c r="Q32" s="773"/>
    </row>
    <row r="33" customFormat="false" ht="24" hidden="false" customHeight="true" outlineLevel="0" collapsed="false">
      <c r="A33" s="1627" t="s">
        <v>452</v>
      </c>
      <c r="B33" s="1736" t="n">
        <f aca="false">B12-K11+K33</f>
        <v>31203687</v>
      </c>
      <c r="C33" s="1736" t="n">
        <f aca="false">C12</f>
        <v>31158617</v>
      </c>
      <c r="D33" s="1737" t="n">
        <f aca="false">D12-H11</f>
        <v>91032</v>
      </c>
      <c r="E33" s="1733" t="n">
        <f aca="false">SUM(B33:D33)</f>
        <v>62453336</v>
      </c>
      <c r="F33" s="1788"/>
      <c r="G33" s="1763" t="n">
        <v>8</v>
      </c>
      <c r="H33" s="1762"/>
      <c r="I33" s="1684"/>
      <c r="J33" s="1668" t="s">
        <v>452</v>
      </c>
      <c r="K33" s="1734" t="n">
        <f aca="false">未納者等入金!F13</f>
        <v>0</v>
      </c>
      <c r="L33" s="1789"/>
      <c r="M33" s="1684"/>
      <c r="N33" s="773"/>
      <c r="O33" s="773"/>
      <c r="P33" s="773"/>
      <c r="Q33" s="773"/>
    </row>
    <row r="34" customFormat="false" ht="24" hidden="false" customHeight="true" outlineLevel="0" collapsed="false">
      <c r="A34" s="1627" t="s">
        <v>774</v>
      </c>
      <c r="B34" s="1736" t="n">
        <f aca="false">B13+K34</f>
        <v>56098280</v>
      </c>
      <c r="C34" s="1736" t="n">
        <f aca="false">C13</f>
        <v>56103444</v>
      </c>
      <c r="D34" s="1740" t="n">
        <f aca="false">D13</f>
        <v>0</v>
      </c>
      <c r="E34" s="1733" t="n">
        <f aca="false">SUM(B34:D34)</f>
        <v>112201724</v>
      </c>
      <c r="F34" s="1788"/>
      <c r="G34" s="1763" t="n">
        <v>9</v>
      </c>
      <c r="H34" s="1762"/>
      <c r="I34" s="1684"/>
      <c r="J34" s="1668" t="s">
        <v>774</v>
      </c>
      <c r="K34" s="1734" t="n">
        <f aca="false">未納者等入金!F14</f>
        <v>0</v>
      </c>
      <c r="L34" s="1789"/>
      <c r="M34" s="1684"/>
      <c r="N34" s="773"/>
      <c r="O34" s="773"/>
      <c r="P34" s="773"/>
      <c r="Q34" s="773"/>
    </row>
    <row r="35" customFormat="false" ht="24" hidden="false" customHeight="true" outlineLevel="0" collapsed="false">
      <c r="A35" s="1627" t="s">
        <v>453</v>
      </c>
      <c r="B35" s="1736" t="n">
        <f aca="false">B14-K12+K35</f>
        <v>31236550</v>
      </c>
      <c r="C35" s="1736" t="n">
        <f aca="false">C14</f>
        <v>31225936</v>
      </c>
      <c r="D35" s="1741" t="n">
        <f aca="false">D14-H12</f>
        <v>77228</v>
      </c>
      <c r="E35" s="1733" t="n">
        <f aca="false">SUM(B35:D35)</f>
        <v>62539714</v>
      </c>
      <c r="F35" s="1788"/>
      <c r="G35" s="1763" t="n">
        <v>10</v>
      </c>
      <c r="H35" s="1762"/>
      <c r="I35" s="1684"/>
      <c r="J35" s="1668" t="s">
        <v>453</v>
      </c>
      <c r="K35" s="1734" t="n">
        <f aca="false">未納者等入金!F15</f>
        <v>0</v>
      </c>
      <c r="L35" s="1664"/>
      <c r="M35" s="1684"/>
      <c r="N35" s="773"/>
      <c r="O35" s="773"/>
      <c r="P35" s="773"/>
      <c r="Q35" s="773"/>
    </row>
    <row r="36" customFormat="false" ht="24" hidden="false" customHeight="true" outlineLevel="0" collapsed="false">
      <c r="A36" s="1627" t="s">
        <v>454</v>
      </c>
      <c r="B36" s="1736" t="n">
        <f aca="false">B15-K13+K36</f>
        <v>31297931</v>
      </c>
      <c r="C36" s="1736" t="n">
        <f aca="false">C15</f>
        <v>31265991</v>
      </c>
      <c r="D36" s="1741" t="n">
        <f aca="false">D15-H13</f>
        <v>75931</v>
      </c>
      <c r="E36" s="1733" t="n">
        <f aca="false">SUM(B36:D36)</f>
        <v>62639853</v>
      </c>
      <c r="F36" s="1788"/>
      <c r="G36" s="1763" t="n">
        <v>11</v>
      </c>
      <c r="H36" s="1762"/>
      <c r="I36" s="1684"/>
      <c r="J36" s="1668" t="s">
        <v>454</v>
      </c>
      <c r="K36" s="1734" t="n">
        <f aca="false">未納者等入金!F16</f>
        <v>0</v>
      </c>
      <c r="L36" s="1789"/>
      <c r="M36" s="1684"/>
      <c r="N36" s="773"/>
      <c r="O36" s="773"/>
      <c r="P36" s="773"/>
      <c r="Q36" s="773"/>
    </row>
    <row r="37" customFormat="false" ht="24" hidden="false" customHeight="true" outlineLevel="0" collapsed="false">
      <c r="A37" s="1627" t="s">
        <v>455</v>
      </c>
      <c r="B37" s="1736" t="n">
        <f aca="false">B16-K14+K37</f>
        <v>31343795</v>
      </c>
      <c r="C37" s="1736" t="n">
        <f aca="false">C16</f>
        <v>31330292</v>
      </c>
      <c r="D37" s="1741" t="n">
        <f aca="false">D16-H14</f>
        <v>60734</v>
      </c>
      <c r="E37" s="1733" t="n">
        <f aca="false">SUM(B37:D37)</f>
        <v>62734821</v>
      </c>
      <c r="F37" s="1788"/>
      <c r="G37" s="1763" t="n">
        <v>12</v>
      </c>
      <c r="H37" s="1762"/>
      <c r="I37" s="1684"/>
      <c r="J37" s="1668" t="s">
        <v>455</v>
      </c>
      <c r="K37" s="1734" t="n">
        <f aca="false">未納者等入金!F17</f>
        <v>0</v>
      </c>
      <c r="L37" s="1789"/>
      <c r="M37" s="1684"/>
      <c r="N37" s="773"/>
      <c r="O37" s="773"/>
      <c r="P37" s="773"/>
      <c r="Q37" s="773"/>
    </row>
    <row r="38" customFormat="false" ht="24" hidden="false" customHeight="true" outlineLevel="0" collapsed="false">
      <c r="A38" s="1627" t="s">
        <v>775</v>
      </c>
      <c r="B38" s="1747" t="n">
        <f aca="false">B17+K38</f>
        <v>12910671</v>
      </c>
      <c r="C38" s="1736" t="n">
        <f aca="false">C17</f>
        <v>13720411</v>
      </c>
      <c r="D38" s="1748" t="n">
        <f aca="false">D17</f>
        <v>0</v>
      </c>
      <c r="E38" s="1733" t="n">
        <f aca="false">SUM(B38:D38)</f>
        <v>26631082</v>
      </c>
      <c r="F38" s="1788"/>
      <c r="G38" s="1763" t="n">
        <v>13</v>
      </c>
      <c r="H38" s="1762"/>
      <c r="I38" s="1684"/>
      <c r="J38" s="1671" t="s">
        <v>775</v>
      </c>
      <c r="K38" s="1734" t="n">
        <f aca="false">未納者等入金!F18</f>
        <v>0</v>
      </c>
      <c r="L38" s="1789"/>
      <c r="M38" s="1684"/>
      <c r="N38" s="773"/>
      <c r="O38" s="773"/>
      <c r="P38" s="773"/>
      <c r="Q38" s="773"/>
    </row>
    <row r="39" customFormat="false" ht="24" hidden="false" customHeight="true" outlineLevel="0" collapsed="false">
      <c r="A39" s="1627" t="s">
        <v>456</v>
      </c>
      <c r="B39" s="1736" t="n">
        <f aca="false">B18-K15+K39</f>
        <v>32264902</v>
      </c>
      <c r="C39" s="1736" t="n">
        <f aca="false">C18</f>
        <v>32234438</v>
      </c>
      <c r="D39" s="1741" t="n">
        <f aca="false">D18-H15</f>
        <v>17136</v>
      </c>
      <c r="E39" s="1750" t="n">
        <f aca="false">SUM(B39:D39)</f>
        <v>64516476</v>
      </c>
      <c r="F39" s="1788"/>
      <c r="G39" s="1763" t="n">
        <v>14</v>
      </c>
      <c r="H39" s="1762"/>
      <c r="I39" s="1684"/>
      <c r="J39" s="1671" t="s">
        <v>456</v>
      </c>
      <c r="K39" s="1734" t="n">
        <f aca="false">未納者等入金!F19</f>
        <v>0</v>
      </c>
      <c r="L39" s="1790"/>
      <c r="M39" s="1684"/>
      <c r="N39" s="773"/>
      <c r="O39" s="773"/>
      <c r="P39" s="773"/>
      <c r="Q39" s="773"/>
    </row>
    <row r="40" customFormat="false" ht="24" hidden="false" customHeight="true" outlineLevel="0" collapsed="false">
      <c r="A40" s="1634" t="s">
        <v>808</v>
      </c>
      <c r="B40" s="1736" t="n">
        <f aca="false">B19+K40</f>
        <v>1479301</v>
      </c>
      <c r="C40" s="1736" t="n">
        <f aca="false">C19</f>
        <v>1479171</v>
      </c>
      <c r="D40" s="1740" t="n">
        <f aca="false">D19</f>
        <v>0</v>
      </c>
      <c r="E40" s="1751" t="n">
        <f aca="false">SUM(B40:D40)</f>
        <v>2958472</v>
      </c>
      <c r="F40" s="1788"/>
      <c r="G40" s="1763" t="n">
        <v>15</v>
      </c>
      <c r="H40" s="925"/>
      <c r="I40" s="1684"/>
      <c r="J40" s="1671" t="s">
        <v>808</v>
      </c>
      <c r="K40" s="1764" t="n">
        <f aca="false">未納者等入金!F20</f>
        <v>0</v>
      </c>
      <c r="L40" s="1664"/>
      <c r="M40" s="1684"/>
      <c r="N40" s="773"/>
      <c r="O40" s="773"/>
      <c r="P40" s="773"/>
      <c r="Q40" s="773"/>
    </row>
    <row r="41" customFormat="false" ht="24" hidden="false" customHeight="true" outlineLevel="0" collapsed="false">
      <c r="A41" s="1635" t="s">
        <v>809</v>
      </c>
      <c r="B41" s="1752" t="n">
        <f aca="false">B20+K41</f>
        <v>1479310</v>
      </c>
      <c r="C41" s="1752" t="n">
        <f aca="false">C20</f>
        <v>1479188</v>
      </c>
      <c r="D41" s="1753" t="n">
        <f aca="false">D20</f>
        <v>0</v>
      </c>
      <c r="E41" s="1754" t="n">
        <f aca="false">SUM(B41:D41)</f>
        <v>2958498</v>
      </c>
      <c r="F41" s="1788"/>
      <c r="G41" s="1765" t="n">
        <v>16</v>
      </c>
      <c r="H41" s="925"/>
      <c r="I41" s="1684"/>
      <c r="J41" s="1766" t="s">
        <v>809</v>
      </c>
      <c r="K41" s="1767" t="n">
        <f aca="false">未納者等入金!F21</f>
        <v>0</v>
      </c>
      <c r="L41" s="1664"/>
      <c r="M41" s="1684"/>
      <c r="N41" s="773"/>
      <c r="O41" s="773"/>
      <c r="P41" s="773"/>
      <c r="Q41" s="773"/>
    </row>
    <row r="42" customFormat="false" ht="24" hidden="false" customHeight="true" outlineLevel="0" collapsed="false">
      <c r="A42" s="1786" t="s">
        <v>457</v>
      </c>
      <c r="B42" s="1755" t="n">
        <f aca="false">SUM(B25:B41)</f>
        <v>508715172</v>
      </c>
      <c r="C42" s="1755" t="n">
        <f aca="false">SUM(C25:C41)</f>
        <v>509396877</v>
      </c>
      <c r="D42" s="1756" t="n">
        <f aca="false">SUM(D25:D41)</f>
        <v>6153695</v>
      </c>
      <c r="E42" s="1757" t="n">
        <f aca="false">SUM(E25:E41)</f>
        <v>1024265744</v>
      </c>
      <c r="F42" s="1696"/>
      <c r="G42" s="1791"/>
      <c r="I42" s="1684"/>
      <c r="J42" s="1744" t="s">
        <v>457</v>
      </c>
      <c r="K42" s="1745" t="n">
        <f aca="false">SUM(K25:K41)</f>
        <v>0</v>
      </c>
      <c r="L42" s="1684"/>
      <c r="M42" s="1684"/>
      <c r="N42" s="773"/>
      <c r="O42" s="773"/>
      <c r="P42" s="773"/>
      <c r="Q42" s="773"/>
    </row>
    <row r="43" customFormat="false" ht="30" hidden="false" customHeight="true" outlineLevel="0" collapsed="false">
      <c r="G43" s="1762"/>
      <c r="H43" s="1762"/>
      <c r="J43" s="773"/>
      <c r="K43" s="1684"/>
      <c r="L43" s="773"/>
      <c r="M43" s="773"/>
      <c r="N43" s="773"/>
      <c r="O43" s="773"/>
      <c r="P43" s="773"/>
      <c r="Q43" s="773"/>
    </row>
    <row r="44" s="773" customFormat="true" ht="27" hidden="false" customHeight="true" outlineLevel="0" collapsed="false">
      <c r="B44" s="1792"/>
      <c r="C44" s="1696"/>
      <c r="D44" s="1696"/>
      <c r="E44" s="1696"/>
      <c r="F44" s="1696"/>
      <c r="H44" s="1792"/>
      <c r="I44" s="1696"/>
      <c r="K44" s="1684"/>
      <c r="L44" s="1696"/>
      <c r="M44" s="1696"/>
    </row>
    <row r="45" s="773" customFormat="true" ht="17.25" hidden="false" customHeight="false" outlineLevel="0" collapsed="false">
      <c r="A45" s="1716"/>
      <c r="B45" s="1690"/>
      <c r="C45" s="1690"/>
      <c r="D45" s="1772"/>
      <c r="E45" s="1690"/>
      <c r="F45" s="1696"/>
      <c r="G45" s="1716"/>
      <c r="H45" s="1690"/>
      <c r="I45" s="1690"/>
      <c r="J45" s="1774"/>
      <c r="K45" s="1684"/>
      <c r="L45" s="1716"/>
      <c r="M45" s="1716"/>
      <c r="N45" s="1684"/>
      <c r="O45" s="1772"/>
      <c r="P45" s="1690"/>
    </row>
    <row r="46" s="773" customFormat="true" ht="23.1" hidden="false" customHeight="true" outlineLevel="0" collapsed="false">
      <c r="B46" s="1684"/>
      <c r="C46" s="1684"/>
      <c r="D46" s="1684"/>
      <c r="E46" s="1684"/>
      <c r="F46" s="1696"/>
      <c r="H46" s="1684"/>
      <c r="I46" s="1684"/>
      <c r="J46" s="1774"/>
      <c r="K46" s="1684"/>
      <c r="M46" s="768"/>
      <c r="O46" s="1684"/>
      <c r="P46" s="1684"/>
      <c r="Q46" s="1713"/>
    </row>
    <row r="47" s="773" customFormat="true" ht="23.1" hidden="false" customHeight="true" outlineLevel="0" collapsed="false">
      <c r="B47" s="1684"/>
      <c r="C47" s="1684"/>
      <c r="D47" s="1684"/>
      <c r="E47" s="1684"/>
      <c r="F47" s="1696"/>
      <c r="H47" s="1684"/>
      <c r="I47" s="1684"/>
      <c r="M47" s="1792"/>
      <c r="N47" s="1696"/>
      <c r="O47" s="1684"/>
      <c r="P47" s="1684"/>
      <c r="Q47" s="1713"/>
    </row>
    <row r="48" s="773" customFormat="true" ht="23.1" hidden="false" customHeight="true" outlineLevel="0" collapsed="false">
      <c r="B48" s="1684"/>
      <c r="C48" s="1684"/>
      <c r="D48" s="1684"/>
      <c r="E48" s="1684"/>
      <c r="F48" s="1696"/>
      <c r="H48" s="1684"/>
      <c r="I48" s="1684"/>
      <c r="M48" s="1690"/>
      <c r="N48" s="1690"/>
      <c r="O48" s="1684"/>
      <c r="P48" s="1684"/>
      <c r="Q48" s="1713"/>
    </row>
    <row r="49" s="773" customFormat="true" ht="23.1" hidden="false" customHeight="true" outlineLevel="0" collapsed="false">
      <c r="B49" s="1684"/>
      <c r="C49" s="1684"/>
      <c r="D49" s="1684"/>
      <c r="E49" s="1684"/>
      <c r="F49" s="1696"/>
      <c r="H49" s="1684"/>
      <c r="I49" s="1684"/>
      <c r="M49" s="1684"/>
      <c r="N49" s="1684"/>
      <c r="O49" s="1684"/>
      <c r="P49" s="1684"/>
      <c r="Q49" s="1713"/>
    </row>
    <row r="50" s="773" customFormat="true" ht="23.1" hidden="false" customHeight="true" outlineLevel="0" collapsed="false">
      <c r="B50" s="1684"/>
      <c r="C50" s="1684"/>
      <c r="D50" s="1684"/>
      <c r="E50" s="1684"/>
      <c r="F50" s="1696"/>
      <c r="H50" s="1684"/>
      <c r="I50" s="1684"/>
      <c r="M50" s="1684"/>
      <c r="N50" s="1684"/>
      <c r="O50" s="1684"/>
      <c r="P50" s="1684"/>
      <c r="Q50" s="1713"/>
    </row>
    <row r="51" s="773" customFormat="true" ht="23.1" hidden="false" customHeight="true" outlineLevel="0" collapsed="false">
      <c r="B51" s="1684"/>
      <c r="C51" s="1684"/>
      <c r="D51" s="1684"/>
      <c r="E51" s="1684"/>
      <c r="F51" s="1696"/>
      <c r="H51" s="1684"/>
      <c r="I51" s="1684"/>
      <c r="M51" s="1684"/>
      <c r="N51" s="1684"/>
      <c r="O51" s="1684"/>
      <c r="P51" s="1684"/>
      <c r="Q51" s="1713"/>
    </row>
    <row r="52" s="773" customFormat="true" ht="23.1" hidden="false" customHeight="true" outlineLevel="0" collapsed="false">
      <c r="B52" s="1684"/>
      <c r="C52" s="1684"/>
      <c r="D52" s="1684"/>
      <c r="E52" s="1684"/>
      <c r="F52" s="1696"/>
      <c r="H52" s="1684"/>
      <c r="I52" s="1684"/>
      <c r="M52" s="1684"/>
      <c r="N52" s="1684"/>
      <c r="O52" s="1684"/>
      <c r="P52" s="1684"/>
      <c r="Q52" s="1713"/>
    </row>
    <row r="53" s="773" customFormat="true" ht="23.1" hidden="false" customHeight="true" outlineLevel="0" collapsed="false">
      <c r="B53" s="1684"/>
      <c r="C53" s="1684"/>
      <c r="D53" s="1684"/>
      <c r="E53" s="1684"/>
      <c r="F53" s="1696"/>
      <c r="H53" s="1684"/>
      <c r="I53" s="1684"/>
      <c r="M53" s="1684"/>
      <c r="N53" s="1684"/>
      <c r="O53" s="1684"/>
      <c r="P53" s="1684"/>
      <c r="Q53" s="1713"/>
    </row>
    <row r="54" s="773" customFormat="true" ht="23.1" hidden="false" customHeight="true" outlineLevel="0" collapsed="false">
      <c r="B54" s="1684"/>
      <c r="C54" s="1684"/>
      <c r="D54" s="1684"/>
      <c r="E54" s="1684"/>
      <c r="F54" s="1696"/>
      <c r="H54" s="1684"/>
      <c r="I54" s="1684"/>
      <c r="M54" s="1684"/>
      <c r="N54" s="1684"/>
      <c r="O54" s="1684"/>
      <c r="P54" s="1684"/>
      <c r="Q54" s="1713"/>
    </row>
    <row r="55" s="773" customFormat="true" ht="23.1" hidden="false" customHeight="true" outlineLevel="0" collapsed="false">
      <c r="B55" s="1684"/>
      <c r="C55" s="1684"/>
      <c r="D55" s="1684"/>
      <c r="E55" s="1684"/>
      <c r="F55" s="1696"/>
      <c r="H55" s="1684"/>
      <c r="I55" s="1684"/>
      <c r="M55" s="1684"/>
      <c r="N55" s="1684"/>
      <c r="O55" s="1684"/>
      <c r="P55" s="1684"/>
      <c r="Q55" s="1713"/>
    </row>
    <row r="56" s="773" customFormat="true" ht="23.1" hidden="false" customHeight="true" outlineLevel="0" collapsed="false">
      <c r="B56" s="1684"/>
      <c r="C56" s="1684"/>
      <c r="D56" s="1684"/>
      <c r="E56" s="1684"/>
      <c r="F56" s="1696"/>
      <c r="H56" s="1684"/>
      <c r="I56" s="1684"/>
      <c r="M56" s="1684"/>
      <c r="N56" s="1684"/>
      <c r="O56" s="1684"/>
      <c r="P56" s="1684"/>
      <c r="Q56" s="1713"/>
    </row>
    <row r="57" s="773" customFormat="true" ht="23.1" hidden="false" customHeight="true" outlineLevel="0" collapsed="false">
      <c r="B57" s="1684"/>
      <c r="C57" s="1684"/>
      <c r="D57" s="1684"/>
      <c r="E57" s="1684"/>
      <c r="F57" s="1696"/>
      <c r="H57" s="1684"/>
      <c r="I57" s="1684"/>
      <c r="M57" s="1684"/>
      <c r="N57" s="1684"/>
      <c r="O57" s="1684"/>
      <c r="P57" s="1684"/>
      <c r="Q57" s="1713"/>
    </row>
    <row r="58" s="773" customFormat="true" ht="23.1" hidden="false" customHeight="true" outlineLevel="0" collapsed="false">
      <c r="B58" s="1684"/>
      <c r="C58" s="1684"/>
      <c r="D58" s="1684"/>
      <c r="E58" s="1684"/>
      <c r="F58" s="1696"/>
      <c r="H58" s="1684"/>
      <c r="I58" s="1684"/>
      <c r="M58" s="1684"/>
      <c r="N58" s="1684"/>
      <c r="O58" s="1684"/>
      <c r="P58" s="1684"/>
      <c r="Q58" s="1713"/>
    </row>
    <row r="59" s="773" customFormat="true" ht="23.1" hidden="false" customHeight="true" outlineLevel="0" collapsed="false">
      <c r="B59" s="1684"/>
      <c r="C59" s="1684"/>
      <c r="D59" s="1684"/>
      <c r="E59" s="1684"/>
      <c r="F59" s="1696"/>
      <c r="H59" s="1684"/>
      <c r="I59" s="1684"/>
      <c r="M59" s="1684"/>
      <c r="N59" s="1684"/>
      <c r="O59" s="1684"/>
      <c r="P59" s="1684"/>
      <c r="Q59" s="1713"/>
    </row>
    <row r="60" s="773" customFormat="true" ht="23.1" hidden="false" customHeight="true" outlineLevel="0" collapsed="false">
      <c r="B60" s="1684"/>
      <c r="C60" s="1684"/>
      <c r="D60" s="1684"/>
      <c r="E60" s="1684"/>
      <c r="F60" s="1696"/>
      <c r="H60" s="1684"/>
      <c r="I60" s="1684"/>
      <c r="M60" s="1684"/>
      <c r="N60" s="1684"/>
      <c r="O60" s="1684"/>
      <c r="P60" s="1684"/>
      <c r="Q60" s="1713"/>
    </row>
    <row r="61" s="773" customFormat="true" ht="23.1" hidden="false" customHeight="true" outlineLevel="0" collapsed="false">
      <c r="A61" s="1774"/>
      <c r="B61" s="1684"/>
      <c r="C61" s="1684"/>
      <c r="D61" s="1684"/>
      <c r="E61" s="1684"/>
      <c r="F61" s="1696"/>
      <c r="G61" s="1774"/>
      <c r="H61" s="1684"/>
      <c r="I61" s="1684"/>
      <c r="L61" s="1774"/>
      <c r="M61" s="1684"/>
      <c r="N61" s="1684"/>
      <c r="O61" s="1684"/>
      <c r="P61" s="1684"/>
      <c r="Q61" s="1713"/>
    </row>
    <row r="62" s="773" customFormat="true" ht="23.1" hidden="false" customHeight="true" outlineLevel="0" collapsed="false">
      <c r="A62" s="1774"/>
      <c r="B62" s="1684"/>
      <c r="C62" s="1684"/>
      <c r="D62" s="1684"/>
      <c r="E62" s="1684"/>
      <c r="F62" s="1696"/>
      <c r="G62" s="1774"/>
      <c r="H62" s="1684"/>
      <c r="I62" s="1684"/>
      <c r="L62" s="1774"/>
      <c r="M62" s="1684"/>
      <c r="N62" s="1684"/>
      <c r="O62" s="1684"/>
      <c r="P62" s="1684"/>
      <c r="Q62" s="1713"/>
    </row>
    <row r="63" s="773" customFormat="true" ht="23.1" hidden="false" customHeight="true" outlineLevel="0" collapsed="false">
      <c r="A63" s="1716"/>
      <c r="B63" s="1684"/>
      <c r="C63" s="1684"/>
      <c r="D63" s="1684"/>
      <c r="E63" s="1684"/>
      <c r="F63" s="1696"/>
      <c r="G63" s="1716"/>
      <c r="H63" s="1684"/>
      <c r="I63" s="1684"/>
      <c r="L63" s="1716"/>
      <c r="M63" s="1684"/>
      <c r="N63" s="1684"/>
      <c r="O63" s="1684"/>
      <c r="P63" s="1684"/>
      <c r="Q63" s="1713"/>
    </row>
    <row r="64" s="773" customFormat="true" ht="30" hidden="false" customHeight="true" outlineLevel="0" collapsed="false">
      <c r="B64" s="768"/>
      <c r="C64" s="768"/>
      <c r="D64" s="768"/>
      <c r="E64" s="768"/>
      <c r="F64" s="768"/>
      <c r="G64" s="768"/>
      <c r="H64" s="768"/>
      <c r="I64" s="768"/>
      <c r="L64" s="768"/>
      <c r="M64" s="1684"/>
      <c r="N64" s="1684"/>
    </row>
    <row r="65" s="773" customFormat="true" ht="27" hidden="false" customHeight="true" outlineLevel="0" collapsed="false">
      <c r="B65" s="1792"/>
      <c r="C65" s="1696"/>
      <c r="D65" s="1696"/>
      <c r="E65" s="1696"/>
      <c r="F65" s="1696"/>
      <c r="J65" s="925"/>
      <c r="K65" s="925"/>
      <c r="M65" s="1684"/>
      <c r="N65" s="1684"/>
    </row>
    <row r="66" s="773" customFormat="true" ht="17.25" hidden="false" customHeight="false" outlineLevel="0" collapsed="false">
      <c r="A66" s="1716"/>
      <c r="B66" s="1690"/>
      <c r="C66" s="1690"/>
      <c r="D66" s="1772"/>
      <c r="E66" s="1690"/>
      <c r="F66" s="1696"/>
      <c r="J66" s="925"/>
      <c r="K66" s="925"/>
      <c r="M66" s="1684"/>
      <c r="N66" s="1684"/>
    </row>
    <row r="67" s="773" customFormat="true" ht="23.1" hidden="false" customHeight="true" outlineLevel="0" collapsed="false">
      <c r="B67" s="1684"/>
      <c r="C67" s="1684"/>
      <c r="D67" s="1684"/>
      <c r="E67" s="1684"/>
      <c r="F67" s="1696"/>
      <c r="J67" s="925"/>
      <c r="K67" s="925"/>
      <c r="M67" s="768"/>
    </row>
    <row r="68" s="773" customFormat="true" ht="23.1" hidden="false" customHeight="true" outlineLevel="0" collapsed="false">
      <c r="B68" s="1684"/>
      <c r="C68" s="1684"/>
      <c r="D68" s="1684"/>
      <c r="E68" s="1684"/>
      <c r="F68" s="1696"/>
      <c r="J68" s="925"/>
      <c r="K68" s="925"/>
    </row>
    <row r="69" s="773" customFormat="true" ht="23.1" hidden="false" customHeight="true" outlineLevel="0" collapsed="false">
      <c r="B69" s="1684"/>
      <c r="C69" s="1684"/>
      <c r="D69" s="1684"/>
      <c r="E69" s="1684"/>
      <c r="F69" s="1696"/>
      <c r="J69" s="925"/>
      <c r="K69" s="925"/>
    </row>
    <row r="70" s="773" customFormat="true" ht="23.1" hidden="false" customHeight="true" outlineLevel="0" collapsed="false">
      <c r="B70" s="1684"/>
      <c r="C70" s="1684"/>
      <c r="D70" s="1684"/>
      <c r="E70" s="1684"/>
      <c r="F70" s="1696"/>
      <c r="J70" s="925"/>
      <c r="K70" s="925"/>
    </row>
    <row r="71" s="773" customFormat="true" ht="23.1" hidden="false" customHeight="true" outlineLevel="0" collapsed="false">
      <c r="B71" s="1684"/>
      <c r="C71" s="1684"/>
      <c r="D71" s="1684"/>
      <c r="E71" s="1684"/>
      <c r="F71" s="1696"/>
      <c r="J71" s="925"/>
      <c r="K71" s="925"/>
    </row>
    <row r="72" s="773" customFormat="true" ht="23.1" hidden="false" customHeight="true" outlineLevel="0" collapsed="false">
      <c r="B72" s="1684"/>
      <c r="C72" s="1684"/>
      <c r="D72" s="1684"/>
      <c r="E72" s="1684"/>
      <c r="F72" s="1696"/>
      <c r="J72" s="925"/>
      <c r="K72" s="925"/>
    </row>
    <row r="73" s="773" customFormat="true" ht="23.1" hidden="false" customHeight="true" outlineLevel="0" collapsed="false">
      <c r="B73" s="1684"/>
      <c r="C73" s="1684"/>
      <c r="D73" s="1684"/>
      <c r="E73" s="1684"/>
      <c r="F73" s="1696"/>
      <c r="J73" s="925"/>
      <c r="K73" s="925"/>
    </row>
    <row r="74" s="773" customFormat="true" ht="23.1" hidden="false" customHeight="true" outlineLevel="0" collapsed="false">
      <c r="B74" s="1684"/>
      <c r="C74" s="1684"/>
      <c r="D74" s="1684"/>
      <c r="E74" s="1684"/>
      <c r="F74" s="1696"/>
      <c r="J74" s="925"/>
      <c r="K74" s="925"/>
    </row>
    <row r="75" s="773" customFormat="true" ht="23.1" hidden="false" customHeight="true" outlineLevel="0" collapsed="false">
      <c r="B75" s="1684"/>
      <c r="C75" s="1684"/>
      <c r="D75" s="1684"/>
      <c r="E75" s="1684"/>
      <c r="F75" s="1696"/>
      <c r="J75" s="925"/>
      <c r="K75" s="925"/>
    </row>
    <row r="76" s="773" customFormat="true" ht="23.1" hidden="false" customHeight="true" outlineLevel="0" collapsed="false">
      <c r="B76" s="1684"/>
      <c r="C76" s="1684"/>
      <c r="D76" s="1684"/>
      <c r="E76" s="1684"/>
      <c r="F76" s="1696"/>
      <c r="J76" s="925"/>
      <c r="K76" s="925"/>
    </row>
    <row r="77" s="773" customFormat="true" ht="23.1" hidden="false" customHeight="true" outlineLevel="0" collapsed="false">
      <c r="B77" s="1684"/>
      <c r="C77" s="1684"/>
      <c r="D77" s="1684"/>
      <c r="E77" s="1684"/>
      <c r="F77" s="1696"/>
      <c r="J77" s="925"/>
      <c r="K77" s="925"/>
    </row>
    <row r="78" s="773" customFormat="true" ht="23.1" hidden="false" customHeight="true" outlineLevel="0" collapsed="false">
      <c r="B78" s="1684"/>
      <c r="C78" s="1684"/>
      <c r="D78" s="1684"/>
      <c r="E78" s="1684"/>
      <c r="F78" s="1696"/>
      <c r="J78" s="925"/>
      <c r="K78" s="925"/>
    </row>
    <row r="79" s="773" customFormat="true" ht="23.1" hidden="false" customHeight="true" outlineLevel="0" collapsed="false">
      <c r="B79" s="1684"/>
      <c r="C79" s="1684"/>
      <c r="D79" s="1684"/>
      <c r="E79" s="1684"/>
      <c r="F79" s="1696"/>
      <c r="J79" s="925"/>
      <c r="K79" s="925"/>
    </row>
    <row r="80" s="773" customFormat="true" ht="23.1" hidden="false" customHeight="true" outlineLevel="0" collapsed="false">
      <c r="B80" s="1684"/>
      <c r="C80" s="1684"/>
      <c r="D80" s="1684"/>
      <c r="E80" s="1684"/>
      <c r="F80" s="1696"/>
      <c r="J80" s="925"/>
      <c r="K80" s="925"/>
    </row>
    <row r="81" s="773" customFormat="true" ht="23.1" hidden="false" customHeight="true" outlineLevel="0" collapsed="false">
      <c r="B81" s="1684"/>
      <c r="C81" s="1684"/>
      <c r="D81" s="1684"/>
      <c r="E81" s="1684"/>
      <c r="F81" s="1696"/>
      <c r="J81" s="925"/>
      <c r="K81" s="925"/>
    </row>
    <row r="82" s="773" customFormat="true" ht="23.1" hidden="false" customHeight="true" outlineLevel="0" collapsed="false">
      <c r="A82" s="1774"/>
      <c r="B82" s="1684"/>
      <c r="C82" s="1684"/>
      <c r="D82" s="1684"/>
      <c r="E82" s="1684"/>
      <c r="F82" s="1696"/>
      <c r="J82" s="925"/>
      <c r="K82" s="925"/>
    </row>
    <row r="83" s="773" customFormat="true" ht="23.1" hidden="false" customHeight="true" outlineLevel="0" collapsed="false">
      <c r="A83" s="1774"/>
      <c r="B83" s="1684"/>
      <c r="C83" s="1684"/>
      <c r="D83" s="1684"/>
      <c r="E83" s="1684"/>
      <c r="F83" s="1696"/>
      <c r="J83" s="925"/>
      <c r="K83" s="925"/>
    </row>
    <row r="84" s="773" customFormat="true" ht="23.1" hidden="false" customHeight="true" outlineLevel="0" collapsed="false">
      <c r="A84" s="1716"/>
      <c r="B84" s="1684"/>
      <c r="C84" s="1684"/>
      <c r="D84" s="1684"/>
      <c r="E84" s="1684"/>
      <c r="F84" s="1696"/>
      <c r="J84" s="925"/>
      <c r="K84" s="925"/>
    </row>
    <row r="85" s="773" customFormat="true" ht="17.25" hidden="false" customHeight="false" outlineLevel="0" collapsed="false">
      <c r="B85" s="768"/>
      <c r="C85" s="768"/>
      <c r="D85" s="768"/>
      <c r="E85" s="768"/>
      <c r="F85" s="768"/>
      <c r="J85" s="925"/>
      <c r="K85" s="925"/>
    </row>
    <row r="86" s="773" customFormat="true" ht="17.25" hidden="false" customHeight="false" outlineLevel="0" collapsed="false">
      <c r="B86" s="768"/>
      <c r="C86" s="768"/>
      <c r="D86" s="768"/>
      <c r="E86" s="768"/>
      <c r="F86" s="768"/>
      <c r="J86" s="925"/>
      <c r="K86" s="925"/>
    </row>
    <row r="87" s="773" customFormat="true" ht="17.25" hidden="false" customHeight="false" outlineLevel="0" collapsed="false">
      <c r="B87" s="768"/>
      <c r="C87" s="768"/>
      <c r="D87" s="768"/>
      <c r="E87" s="768"/>
      <c r="F87" s="768"/>
      <c r="J87" s="925"/>
      <c r="K87" s="925"/>
    </row>
    <row r="88" s="773" customFormat="true" ht="17.25" hidden="false" customHeight="false" outlineLevel="0" collapsed="false">
      <c r="B88" s="768"/>
      <c r="C88" s="768"/>
      <c r="D88" s="768"/>
      <c r="E88" s="768"/>
      <c r="F88" s="768"/>
      <c r="J88" s="925"/>
      <c r="K88" s="925"/>
    </row>
    <row r="89" customFormat="false" ht="17.25" hidden="false" customHeight="false" outlineLevel="0" collapsed="false">
      <c r="M89" s="773"/>
      <c r="N89" s="773"/>
    </row>
    <row r="90" customFormat="false" ht="17.25" hidden="false" customHeight="false" outlineLevel="0" collapsed="false">
      <c r="M90" s="773"/>
      <c r="N90" s="773"/>
    </row>
    <row r="91" customFormat="false" ht="17.25" hidden="false" customHeight="false" outlineLevel="0" collapsed="false">
      <c r="M91" s="773"/>
      <c r="N91" s="773"/>
    </row>
  </sheetData>
  <mergeCells count="3">
    <mergeCell ref="J2:K2"/>
    <mergeCell ref="G23:H23"/>
    <mergeCell ref="J23:K23"/>
  </mergeCells>
  <printOptions headings="false" gridLines="false" gridLinesSet="true" horizontalCentered="true" verticalCentered="false"/>
  <pageMargins left="0" right="0" top="0.39375" bottom="0" header="0.511811023622047" footer="0"/>
  <pageSetup paperSize="9" scale="58" fitToWidth="1" fitToHeight="1" pageOrder="downThenOver" orientation="landscape" blackAndWhite="false" draft="false" cellComments="none" horizontalDpi="300" verticalDpi="300" copies="1"/>
  <headerFooter differentFirst="false" differentOddEven="false">
    <oddHeader/>
    <oddFooter>&amp;R&amp;9&amp;Z&amp;F&amp;A</oddFooter>
  </headerFooter>
  <rowBreaks count="1" manualBreakCount="1">
    <brk id="43" man="true" max="16383" min="0"/>
  </row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FFCC"/>
    <pageSetUpPr fitToPage="false"/>
  </sheetPr>
  <dimension ref="A1:R91"/>
  <sheetViews>
    <sheetView showFormulas="false" showGridLines="true" showRowColHeaders="true" showZeros="true" rightToLeft="false" tabSelected="false" showOutlineSymbols="true" defaultGridColor="true" view="normal" topLeftCell="A1" colorId="64" zoomScale="70" zoomScaleNormal="70" zoomScalePageLayoutView="70" workbookViewId="0">
      <selection pane="topLeft" activeCell="B12" activeCellId="0" sqref="B12"/>
    </sheetView>
  </sheetViews>
  <sheetFormatPr defaultColWidth="8.79296875" defaultRowHeight="17.25" zeroHeight="false" outlineLevelRow="0" outlineLevelCol="0"/>
  <cols>
    <col collapsed="false" customWidth="true" hidden="false" outlineLevel="0" max="1" min="1" style="925" width="17"/>
    <col collapsed="false" customWidth="true" hidden="false" outlineLevel="0" max="5" min="2" style="768" width="17"/>
    <col collapsed="false" customWidth="true" hidden="false" outlineLevel="0" max="6" min="6" style="768" width="5.89"/>
    <col collapsed="false" customWidth="true" hidden="false" outlineLevel="0" max="8" min="7" style="768" width="16.89"/>
    <col collapsed="false" customWidth="true" hidden="false" outlineLevel="0" max="9" min="9" style="768" width="5.59"/>
    <col collapsed="false" customWidth="true" hidden="false" outlineLevel="0" max="10" min="10" style="925" width="17"/>
    <col collapsed="false" customWidth="true" hidden="false" outlineLevel="0" max="11" min="11" style="925" width="16.89"/>
    <col collapsed="false" customWidth="true" hidden="false" outlineLevel="0" max="12" min="12" style="768" width="2.89"/>
    <col collapsed="false" customWidth="true" hidden="false" outlineLevel="0" max="13" min="13" style="768" width="12.09"/>
    <col collapsed="false" customWidth="true" hidden="false" outlineLevel="0" max="14" min="14" style="925" width="12.09"/>
    <col collapsed="false" customWidth="true" hidden="false" outlineLevel="0" max="16" min="15" style="925" width="11.99"/>
    <col collapsed="false" customWidth="true" hidden="false" outlineLevel="0" max="20" min="17" style="925" width="10.69"/>
    <col collapsed="false" customWidth="false" hidden="false" outlineLevel="0" max="257" min="21" style="925" width="8.79"/>
  </cols>
  <sheetData>
    <row r="1" s="1598" customFormat="true" ht="22.5" hidden="false" customHeight="true" outlineLevel="0" collapsed="false">
      <c r="A1" s="1784" t="str">
        <f aca="false">'☆短期集計R7'!A1</f>
        <v>令和8年度</v>
      </c>
      <c r="B1" s="1598" t="s">
        <v>860</v>
      </c>
      <c r="C1" s="1785"/>
      <c r="E1" s="1785"/>
      <c r="F1" s="1785"/>
    </row>
    <row r="2" customFormat="false" ht="30" hidden="false" customHeight="true" outlineLevel="0" collapsed="false">
      <c r="A2" s="925" t="s">
        <v>861</v>
      </c>
      <c r="B2" s="925"/>
      <c r="C2" s="925"/>
      <c r="D2" s="925"/>
      <c r="E2" s="774" t="s">
        <v>421</v>
      </c>
      <c r="F2" s="1722"/>
      <c r="G2" s="925" t="s">
        <v>862</v>
      </c>
      <c r="H2" s="925"/>
      <c r="I2" s="925"/>
      <c r="J2" s="1793" t="s">
        <v>863</v>
      </c>
      <c r="K2" s="1793"/>
      <c r="L2" s="925"/>
      <c r="M2" s="925"/>
    </row>
    <row r="3" customFormat="false" ht="33.75" hidden="false" customHeight="true" outlineLevel="0" collapsed="false">
      <c r="A3" s="1298" t="s">
        <v>428</v>
      </c>
      <c r="B3" s="1724" t="s">
        <v>840</v>
      </c>
      <c r="C3" s="1725" t="s">
        <v>377</v>
      </c>
      <c r="D3" s="1726" t="s">
        <v>841</v>
      </c>
      <c r="E3" s="1727" t="s">
        <v>427</v>
      </c>
      <c r="F3" s="1690"/>
      <c r="G3" s="1728" t="s">
        <v>428</v>
      </c>
      <c r="H3" s="1729" t="s">
        <v>460</v>
      </c>
      <c r="I3" s="925"/>
      <c r="J3" s="1728" t="s">
        <v>423</v>
      </c>
      <c r="K3" s="1730" t="s">
        <v>842</v>
      </c>
      <c r="L3" s="925"/>
      <c r="M3" s="925"/>
    </row>
    <row r="4" customFormat="false" ht="24" hidden="false" customHeight="true" outlineLevel="0" collapsed="false">
      <c r="A4" s="1617" t="s">
        <v>445</v>
      </c>
      <c r="B4" s="1731" t="n">
        <f aca="true">OFFSET('☆掛負収入'!$N$65,$G$24*$G25,0,1,1)-D4</f>
        <v>7698417</v>
      </c>
      <c r="C4" s="1731" t="n">
        <f aca="true">OFFSET('☆掛負収入'!$O$65,$G$24*$G25,0,1,1)</f>
        <v>7708470</v>
      </c>
      <c r="D4" s="1732" t="n">
        <f aca="true">OFFSET('☆掛負収入'!$N$64,$G$24*$G25,0,1,1)</f>
        <v>2174616</v>
      </c>
      <c r="E4" s="1733" t="n">
        <f aca="false">SUM(B4:D4)</f>
        <v>17581503</v>
      </c>
      <c r="F4" s="1696"/>
      <c r="G4" s="1666" t="s">
        <v>445</v>
      </c>
      <c r="H4" s="1734" t="n">
        <f aca="false">還付!J37</f>
        <v>5135</v>
      </c>
      <c r="I4" s="925"/>
      <c r="J4" s="1735" t="s">
        <v>445</v>
      </c>
      <c r="K4" s="1734" t="n">
        <f aca="false">還付!F5+還付!F21</f>
        <v>0</v>
      </c>
      <c r="L4" s="925"/>
      <c r="M4" s="925"/>
    </row>
    <row r="5" customFormat="false" ht="24" hidden="false" customHeight="true" outlineLevel="0" collapsed="false">
      <c r="A5" s="1627" t="s">
        <v>446</v>
      </c>
      <c r="B5" s="1736" t="n">
        <f aca="true">OFFSET('☆掛負収入'!$N$65,$G$24*$G26,0,1,1)-D5</f>
        <v>7764139</v>
      </c>
      <c r="C5" s="1731" t="n">
        <f aca="true">OFFSET('☆掛負収入'!$O$65,$G$24*$G26,0,1,1)</f>
        <v>7767967</v>
      </c>
      <c r="D5" s="1737" t="n">
        <f aca="true">OFFSET('☆掛負収入'!$N$64,$G$24*$G26,0,1,1)</f>
        <v>64285</v>
      </c>
      <c r="E5" s="1733" t="n">
        <f aca="false">SUM(B5:D5)</f>
        <v>15596391</v>
      </c>
      <c r="F5" s="1696"/>
      <c r="G5" s="1668" t="s">
        <v>446</v>
      </c>
      <c r="H5" s="1738" t="n">
        <f aca="false">還付!J38</f>
        <v>14676</v>
      </c>
      <c r="I5" s="925"/>
      <c r="J5" s="1739" t="s">
        <v>446</v>
      </c>
      <c r="K5" s="1734" t="n">
        <f aca="false">還付!F6+還付!F22</f>
        <v>1794</v>
      </c>
      <c r="L5" s="925"/>
      <c r="M5" s="925"/>
    </row>
    <row r="6" customFormat="false" ht="24" hidden="false" customHeight="true" outlineLevel="0" collapsed="false">
      <c r="A6" s="1627" t="s">
        <v>447</v>
      </c>
      <c r="B6" s="1736" t="n">
        <f aca="true">OFFSET('☆掛負収入'!$N$65,$G$24*$G27,0,1,1)-D6</f>
        <v>7754673</v>
      </c>
      <c r="C6" s="1731" t="n">
        <f aca="true">OFFSET('☆掛負収入'!$O$65,$G$24*$G27,0,1,1)</f>
        <v>7752816</v>
      </c>
      <c r="D6" s="1737" t="n">
        <f aca="true">OFFSET('☆掛負収入'!$N$64,$G$24*$G27,0,1,1)</f>
        <v>63859</v>
      </c>
      <c r="E6" s="1733" t="n">
        <f aca="false">SUM(B6:D6)</f>
        <v>15571348</v>
      </c>
      <c r="F6" s="1696"/>
      <c r="G6" s="1668" t="s">
        <v>447</v>
      </c>
      <c r="H6" s="1738" t="n">
        <f aca="false">還付!J39</f>
        <v>0</v>
      </c>
      <c r="I6" s="925"/>
      <c r="J6" s="1739" t="s">
        <v>447</v>
      </c>
      <c r="K6" s="1734" t="n">
        <f aca="false">還付!F7+還付!F23</f>
        <v>1874</v>
      </c>
      <c r="L6" s="925"/>
      <c r="M6" s="925"/>
    </row>
    <row r="7" customFormat="false" ht="24" hidden="false" customHeight="true" outlineLevel="0" collapsed="false">
      <c r="A7" s="1627" t="s">
        <v>773</v>
      </c>
      <c r="B7" s="1736" t="n">
        <f aca="true">OFFSET('☆掛負収入'!$N$65,$G$24*$G28,0,1,1)-D7</f>
        <v>13618708</v>
      </c>
      <c r="C7" s="1731" t="n">
        <f aca="true">OFFSET('☆掛負収入'!$O$65,$G$24*$G28,0,1,1)</f>
        <v>13625291</v>
      </c>
      <c r="D7" s="1740" t="n">
        <f aca="true">OFFSET('☆掛負収入'!$N$64,$G$24*$G28,0,1,1)</f>
        <v>0</v>
      </c>
      <c r="E7" s="1733" t="n">
        <f aca="false">SUM(B7:D7)</f>
        <v>27243999</v>
      </c>
      <c r="F7" s="1696"/>
      <c r="G7" s="1668" t="s">
        <v>448</v>
      </c>
      <c r="H7" s="1738" t="n">
        <f aca="false">還付!J40</f>
        <v>22140</v>
      </c>
      <c r="I7" s="925"/>
      <c r="J7" s="1739" t="s">
        <v>448</v>
      </c>
      <c r="K7" s="1734" t="n">
        <f aca="false">還付!F8+還付!F24</f>
        <v>6328</v>
      </c>
      <c r="L7" s="925"/>
      <c r="M7" s="925"/>
    </row>
    <row r="8" customFormat="false" ht="24" hidden="false" customHeight="true" outlineLevel="0" collapsed="false">
      <c r="A8" s="1627" t="s">
        <v>448</v>
      </c>
      <c r="B8" s="1736" t="n">
        <f aca="true">OFFSET('☆掛負収入'!$N$65,$G$24*$G29,0,1,1)-D8</f>
        <v>7887382</v>
      </c>
      <c r="C8" s="1731" t="n">
        <f aca="true">OFFSET('☆掛負収入'!$O$65,$G$24*$G29,0,1,1)</f>
        <v>7884536</v>
      </c>
      <c r="D8" s="1737" t="n">
        <f aca="true">OFFSET('☆掛負収入'!$N$64,$G$24*$G29,0,1,1)</f>
        <v>50945</v>
      </c>
      <c r="E8" s="1733" t="n">
        <f aca="false">SUM(B8:D8)</f>
        <v>15822863</v>
      </c>
      <c r="F8" s="1696"/>
      <c r="G8" s="1668" t="s">
        <v>449</v>
      </c>
      <c r="H8" s="1738" t="n">
        <f aca="false">還付!J41</f>
        <v>34161</v>
      </c>
      <c r="I8" s="925"/>
      <c r="J8" s="1739" t="s">
        <v>449</v>
      </c>
      <c r="K8" s="1734" t="n">
        <f aca="false">還付!F9+還付!F25</f>
        <v>4621</v>
      </c>
      <c r="L8" s="925"/>
      <c r="M8" s="925"/>
    </row>
    <row r="9" customFormat="false" ht="24" hidden="false" customHeight="true" outlineLevel="0" collapsed="false">
      <c r="A9" s="1627" t="s">
        <v>449</v>
      </c>
      <c r="B9" s="1736" t="n">
        <f aca="true">OFFSET('☆掛負収入'!$N$65,$G$24*$G30,0,1,1)-D9</f>
        <v>7810506</v>
      </c>
      <c r="C9" s="1731" t="n">
        <f aca="true">OFFSET('☆掛負収入'!$O$65,$G$24*$G30,0,1,1)</f>
        <v>7809762</v>
      </c>
      <c r="D9" s="1737" t="n">
        <f aca="true">OFFSET('☆掛負収入'!$N$64,$G$24*$G30,0,1,1)</f>
        <v>77141</v>
      </c>
      <c r="E9" s="1733" t="n">
        <f aca="false">SUM(B9:D9)</f>
        <v>15697409</v>
      </c>
      <c r="F9" s="1696"/>
      <c r="G9" s="1668" t="s">
        <v>450</v>
      </c>
      <c r="H9" s="1738" t="n">
        <f aca="false">還付!J42</f>
        <v>43075</v>
      </c>
      <c r="I9" s="925"/>
      <c r="J9" s="1739" t="s">
        <v>450</v>
      </c>
      <c r="K9" s="1734" t="n">
        <f aca="false">還付!F10+還付!F26</f>
        <v>4530</v>
      </c>
      <c r="L9" s="925"/>
      <c r="M9" s="925"/>
    </row>
    <row r="10" customFormat="false" ht="24" hidden="false" customHeight="true" outlineLevel="0" collapsed="false">
      <c r="A10" s="1627" t="s">
        <v>450</v>
      </c>
      <c r="B10" s="1736" t="n">
        <f aca="true">OFFSET('☆掛負収入'!$N$65,$G$24*$G31,0,1,1)-D10</f>
        <v>7883093</v>
      </c>
      <c r="C10" s="1731" t="n">
        <f aca="true">OFFSET('☆掛負収入'!$O$65,$G$24*$G31,0,1,1)</f>
        <v>7882454</v>
      </c>
      <c r="D10" s="1737" t="n">
        <f aca="true">OFFSET('☆掛負収入'!$N$64,$G$24*$G31,0,1,1)</f>
        <v>152502</v>
      </c>
      <c r="E10" s="1733" t="n">
        <f aca="false">SUM(B10:D10)</f>
        <v>15918049</v>
      </c>
      <c r="F10" s="1696"/>
      <c r="G10" s="1668" t="s">
        <v>451</v>
      </c>
      <c r="H10" s="1738" t="n">
        <f aca="false">還付!J43</f>
        <v>7514</v>
      </c>
      <c r="I10" s="925"/>
      <c r="J10" s="1739" t="s">
        <v>451</v>
      </c>
      <c r="K10" s="1734" t="n">
        <f aca="false">還付!F11+還付!F27</f>
        <v>0</v>
      </c>
      <c r="L10" s="925"/>
      <c r="M10" s="925"/>
    </row>
    <row r="11" customFormat="false" ht="24" hidden="false" customHeight="true" outlineLevel="0" collapsed="false">
      <c r="A11" s="1627" t="s">
        <v>451</v>
      </c>
      <c r="B11" s="1736" t="n">
        <f aca="true">OFFSET('☆掛負収入'!$N$65,$G$24*$G32,0,1,1)-D11</f>
        <v>8365</v>
      </c>
      <c r="C11" s="1731" t="n">
        <f aca="true">OFFSET('☆掛負収入'!$O$65,$G$24*$G32,0,1,1)</f>
        <v>8378</v>
      </c>
      <c r="D11" s="1737" t="n">
        <f aca="true">OFFSET('☆掛負収入'!$N$64,$G$24*$G32,0,1,1)</f>
        <v>1</v>
      </c>
      <c r="E11" s="1733" t="n">
        <f aca="false">SUM(B11:D11)</f>
        <v>16744</v>
      </c>
      <c r="F11" s="1696"/>
      <c r="G11" s="1668" t="s">
        <v>452</v>
      </c>
      <c r="H11" s="1738" t="n">
        <f aca="false">還付!J44</f>
        <v>7820</v>
      </c>
      <c r="I11" s="925"/>
      <c r="J11" s="1739" t="s">
        <v>452</v>
      </c>
      <c r="K11" s="1734" t="n">
        <f aca="false">還付!F12+還付!F28</f>
        <v>0</v>
      </c>
      <c r="L11" s="925"/>
      <c r="M11" s="925"/>
    </row>
    <row r="12" customFormat="false" ht="24" hidden="false" customHeight="true" outlineLevel="0" collapsed="false">
      <c r="A12" s="1627" t="s">
        <v>452</v>
      </c>
      <c r="B12" s="1736" t="n">
        <f aca="true">OFFSET('☆掛負収入'!$N$65,$G$24*$G33,0,1,1)-D12</f>
        <v>26</v>
      </c>
      <c r="C12" s="1731" t="n">
        <f aca="true">OFFSET('☆掛負収入'!$O$65,$G$24*$G33,0,1,1)</f>
        <v>38</v>
      </c>
      <c r="D12" s="1737" t="n">
        <f aca="true">OFFSET('☆掛負収入'!$N$64,$G$24*$G33,0,1,1)</f>
        <v>1</v>
      </c>
      <c r="E12" s="1733" t="n">
        <f aca="false">SUM(B12:D12)</f>
        <v>65</v>
      </c>
      <c r="F12" s="1696"/>
      <c r="G12" s="1668" t="s">
        <v>453</v>
      </c>
      <c r="H12" s="1738" t="n">
        <f aca="false">還付!J45</f>
        <v>0</v>
      </c>
      <c r="I12" s="925"/>
      <c r="J12" s="1739" t="s">
        <v>453</v>
      </c>
      <c r="K12" s="1734" t="n">
        <f aca="false">還付!F13+還付!F29</f>
        <v>0</v>
      </c>
      <c r="L12" s="925"/>
      <c r="M12" s="925"/>
    </row>
    <row r="13" customFormat="false" ht="24" hidden="false" customHeight="true" outlineLevel="0" collapsed="false">
      <c r="A13" s="1627" t="s">
        <v>774</v>
      </c>
      <c r="B13" s="1736" t="n">
        <f aca="true">OFFSET('☆掛負収入'!$N$65,$G$24*$G34,0,1,1)-D13</f>
        <v>26</v>
      </c>
      <c r="C13" s="1731" t="n">
        <f aca="true">OFFSET('☆掛負収入'!$O$65,$G$24*$G34,0,1,1)</f>
        <v>38</v>
      </c>
      <c r="D13" s="1740" t="n">
        <f aca="true">OFFSET('☆掛負収入'!$N$64,$G$24*$G34,0,1,1)</f>
        <v>0</v>
      </c>
      <c r="E13" s="1733" t="n">
        <f aca="false">SUM(B13:D13)</f>
        <v>64</v>
      </c>
      <c r="F13" s="1696"/>
      <c r="G13" s="1668" t="s">
        <v>454</v>
      </c>
      <c r="H13" s="1738" t="n">
        <f aca="false">還付!J46</f>
        <v>0</v>
      </c>
      <c r="I13" s="925"/>
      <c r="J13" s="1739" t="s">
        <v>454</v>
      </c>
      <c r="K13" s="1734" t="n">
        <f aca="false">還付!F14+還付!F30</f>
        <v>0</v>
      </c>
      <c r="L13" s="925"/>
      <c r="M13" s="925"/>
    </row>
    <row r="14" customFormat="false" ht="24" hidden="false" customHeight="true" outlineLevel="0" collapsed="false">
      <c r="A14" s="1627" t="s">
        <v>453</v>
      </c>
      <c r="B14" s="1736" t="n">
        <f aca="true">OFFSET('☆掛負収入'!$N$65,$G$24*$G35,0,1,1)-D14</f>
        <v>26</v>
      </c>
      <c r="C14" s="1731" t="n">
        <f aca="true">OFFSET('☆掛負収入'!$O$65,$G$24*$G35,0,1,1)</f>
        <v>38</v>
      </c>
      <c r="D14" s="1741" t="n">
        <f aca="true">OFFSET('☆掛負収入'!$N$64,$G$24*$G35,0,1,1)</f>
        <v>1</v>
      </c>
      <c r="E14" s="1733" t="n">
        <f aca="false">SUM(B14:D14)</f>
        <v>65</v>
      </c>
      <c r="F14" s="1696"/>
      <c r="G14" s="1668" t="s">
        <v>455</v>
      </c>
      <c r="H14" s="1738" t="n">
        <f aca="false">還付!J47</f>
        <v>0</v>
      </c>
      <c r="I14" s="925"/>
      <c r="J14" s="1739" t="s">
        <v>455</v>
      </c>
      <c r="K14" s="1734" t="n">
        <f aca="false">還付!F15+還付!F31</f>
        <v>0</v>
      </c>
      <c r="L14" s="925"/>
      <c r="M14" s="925"/>
    </row>
    <row r="15" customFormat="false" ht="24" hidden="false" customHeight="true" outlineLevel="0" collapsed="false">
      <c r="A15" s="1627" t="s">
        <v>454</v>
      </c>
      <c r="B15" s="1736" t="n">
        <f aca="true">OFFSET('☆掛負収入'!$N$65,$G$24*$G36,0,1,1)-D15</f>
        <v>26</v>
      </c>
      <c r="C15" s="1731" t="n">
        <f aca="true">OFFSET('☆掛負収入'!$O$65,$G$24*$G36,0,1,1)</f>
        <v>38</v>
      </c>
      <c r="D15" s="1737" t="n">
        <f aca="true">OFFSET('☆掛負収入'!$N$64,$G$24*$G36,0,1,1)</f>
        <v>1</v>
      </c>
      <c r="E15" s="1733" t="n">
        <f aca="false">SUM(B15:D15)</f>
        <v>65</v>
      </c>
      <c r="F15" s="1696"/>
      <c r="G15" s="1671" t="s">
        <v>456</v>
      </c>
      <c r="H15" s="1742" t="n">
        <f aca="false">還付!J48</f>
        <v>0</v>
      </c>
      <c r="I15" s="925"/>
      <c r="J15" s="1743" t="s">
        <v>456</v>
      </c>
      <c r="K15" s="1734" t="n">
        <f aca="false">還付!F16+還付!F32</f>
        <v>0</v>
      </c>
      <c r="L15" s="925"/>
      <c r="M15" s="925"/>
    </row>
    <row r="16" customFormat="false" ht="24" hidden="false" customHeight="true" outlineLevel="0" collapsed="false">
      <c r="A16" s="1627" t="s">
        <v>455</v>
      </c>
      <c r="B16" s="1736" t="n">
        <f aca="true">OFFSET('☆掛負収入'!$N$65,$G$24*$G37,0,1,1)-D16</f>
        <v>26</v>
      </c>
      <c r="C16" s="1731" t="n">
        <f aca="true">OFFSET('☆掛負収入'!$O$65,$G$24*$G37,0,1,1)</f>
        <v>38</v>
      </c>
      <c r="D16" s="1737" t="n">
        <f aca="true">OFFSET('☆掛負収入'!$N$64,$G$24*$G37,0,1,1)</f>
        <v>1</v>
      </c>
      <c r="E16" s="1733" t="n">
        <f aca="false">SUM(B16:D16)</f>
        <v>65</v>
      </c>
      <c r="F16" s="1696"/>
      <c r="G16" s="1744" t="s">
        <v>457</v>
      </c>
      <c r="H16" s="1745" t="n">
        <f aca="false">SUM(H4:H15)</f>
        <v>134521</v>
      </c>
      <c r="I16" s="925"/>
      <c r="J16" s="1746" t="s">
        <v>457</v>
      </c>
      <c r="K16" s="1745" t="n">
        <f aca="false">SUM(K4:K15)</f>
        <v>19147</v>
      </c>
      <c r="L16" s="925"/>
      <c r="M16" s="925"/>
    </row>
    <row r="17" customFormat="false" ht="24" hidden="false" customHeight="true" outlineLevel="0" collapsed="false">
      <c r="A17" s="1627" t="s">
        <v>775</v>
      </c>
      <c r="B17" s="1747" t="n">
        <f aca="true">OFFSET('☆掛負収入'!$N$65,$G$24*$G38,0,1,1)-D17</f>
        <v>21</v>
      </c>
      <c r="C17" s="1731" t="n">
        <f aca="true">OFFSET('☆掛負収入'!$O$65,$G$24*$G38,0,1,1)</f>
        <v>32</v>
      </c>
      <c r="D17" s="1748" t="n">
        <f aca="true">OFFSET('☆掛負収入'!$N$64,$G$24*$G38,0,1,1)</f>
        <v>0</v>
      </c>
      <c r="E17" s="1733" t="n">
        <f aca="false">SUM(B17:D17)</f>
        <v>53</v>
      </c>
      <c r="F17" s="1696"/>
      <c r="G17" s="1749"/>
      <c r="H17" s="1688"/>
      <c r="I17" s="925"/>
      <c r="J17" s="773"/>
      <c r="K17" s="773"/>
      <c r="L17" s="925"/>
      <c r="M17" s="925"/>
    </row>
    <row r="18" customFormat="false" ht="24" hidden="false" customHeight="true" outlineLevel="0" collapsed="false">
      <c r="A18" s="1627" t="s">
        <v>456</v>
      </c>
      <c r="B18" s="1736" t="n">
        <f aca="true">OFFSET('☆掛負収入'!$N$65,$G$24*$G39,0,1,1)-D18</f>
        <v>26</v>
      </c>
      <c r="C18" s="1731" t="n">
        <f aca="true">OFFSET('☆掛負収入'!$O$65,$G$24*$G39,0,1,1)</f>
        <v>38</v>
      </c>
      <c r="D18" s="1741" t="n">
        <f aca="true">OFFSET('☆掛負収入'!$N$64,$G$24*$G39,0,1,1)</f>
        <v>1</v>
      </c>
      <c r="E18" s="1750" t="n">
        <f aca="false">SUM(B18:D18)</f>
        <v>65</v>
      </c>
      <c r="F18" s="1696"/>
      <c r="G18" s="1749"/>
      <c r="H18" s="1688"/>
      <c r="I18" s="925"/>
      <c r="J18" s="1696"/>
      <c r="K18" s="773"/>
      <c r="L18" s="925"/>
      <c r="M18" s="925"/>
    </row>
    <row r="19" customFormat="false" ht="24" hidden="false" customHeight="true" outlineLevel="0" collapsed="false">
      <c r="A19" s="1634" t="s">
        <v>808</v>
      </c>
      <c r="B19" s="1736" t="n">
        <f aca="true">OFFSET('☆掛負収入'!$N$65,$G$24*$G40,0,1,1)-D19</f>
        <v>25</v>
      </c>
      <c r="C19" s="1736" t="n">
        <f aca="true">OFFSET('☆掛負収入'!$O$65,$G$24*$G40,0,1,1)</f>
        <v>37</v>
      </c>
      <c r="D19" s="1740" t="n">
        <f aca="true">OFFSET('☆掛負収入'!$N$64,$G$24*$G40,0,1,1)</f>
        <v>0</v>
      </c>
      <c r="E19" s="1751" t="n">
        <f aca="false">SUM(B19:D19)</f>
        <v>62</v>
      </c>
      <c r="F19" s="1696"/>
      <c r="G19" s="1749"/>
      <c r="H19" s="1688"/>
      <c r="I19" s="925"/>
      <c r="L19" s="925"/>
      <c r="M19" s="925"/>
    </row>
    <row r="20" customFormat="false" ht="24" hidden="false" customHeight="true" outlineLevel="0" collapsed="false">
      <c r="A20" s="1635" t="s">
        <v>809</v>
      </c>
      <c r="B20" s="1752" t="n">
        <f aca="true">OFFSET('☆掛負収入'!$N$65,$G$24*$G41,0,1,1)-D20</f>
        <v>25</v>
      </c>
      <c r="C20" s="1752" t="n">
        <f aca="true">OFFSET('☆掛負収入'!$O$65,$G$24*$G41,0,1,1)</f>
        <v>37</v>
      </c>
      <c r="D20" s="1753" t="n">
        <f aca="true">OFFSET('☆掛負収入'!$N$64,$G$24*$G41,0,1,1)</f>
        <v>0</v>
      </c>
      <c r="E20" s="1754" t="n">
        <f aca="false">SUM(B20:D20)</f>
        <v>62</v>
      </c>
      <c r="F20" s="1696"/>
      <c r="G20" s="1749"/>
      <c r="H20" s="1688"/>
      <c r="I20" s="925"/>
      <c r="L20" s="925"/>
      <c r="M20" s="925"/>
    </row>
    <row r="21" customFormat="false" ht="24" hidden="false" customHeight="true" outlineLevel="0" collapsed="false">
      <c r="A21" s="1786" t="s">
        <v>457</v>
      </c>
      <c r="B21" s="1755" t="n">
        <f aca="false">SUM(B4:B20)</f>
        <v>60425510</v>
      </c>
      <c r="C21" s="1755" t="n">
        <f aca="false">SUM(C4:C20)</f>
        <v>60440008</v>
      </c>
      <c r="D21" s="1756" t="n">
        <f aca="false">SUM(D4:D20)</f>
        <v>2583354</v>
      </c>
      <c r="E21" s="1757" t="n">
        <f aca="false">SUM(E4:E20)</f>
        <v>123448872</v>
      </c>
      <c r="F21" s="1696"/>
      <c r="G21" s="1749"/>
      <c r="H21" s="1688"/>
      <c r="I21" s="925"/>
      <c r="L21" s="925"/>
      <c r="M21" s="925"/>
    </row>
    <row r="22" customFormat="false" ht="22.5" hidden="false" customHeight="true" outlineLevel="0" collapsed="false">
      <c r="B22" s="1696"/>
      <c r="C22" s="1696"/>
      <c r="D22" s="1696"/>
      <c r="J22" s="768"/>
      <c r="K22" s="773"/>
      <c r="L22" s="773"/>
      <c r="M22" s="773"/>
      <c r="N22" s="773"/>
      <c r="O22" s="773"/>
      <c r="P22" s="773"/>
      <c r="Q22" s="773"/>
    </row>
    <row r="23" customFormat="false" ht="30" hidden="false" customHeight="true" outlineLevel="0" collapsed="false">
      <c r="A23" s="1793" t="s">
        <v>864</v>
      </c>
      <c r="B23" s="1793"/>
      <c r="C23" s="1793"/>
      <c r="D23" s="1793"/>
      <c r="E23" s="774" t="s">
        <v>421</v>
      </c>
      <c r="F23" s="925"/>
      <c r="G23" s="1787" t="s">
        <v>844</v>
      </c>
      <c r="H23" s="1787"/>
      <c r="I23" s="925"/>
      <c r="J23" s="1723" t="s">
        <v>865</v>
      </c>
      <c r="K23" s="1723"/>
      <c r="L23" s="925"/>
      <c r="M23" s="925"/>
      <c r="R23" s="773"/>
    </row>
    <row r="24" customFormat="false" ht="33.75" hidden="false" customHeight="true" outlineLevel="0" collapsed="false">
      <c r="A24" s="1298" t="s">
        <v>284</v>
      </c>
      <c r="B24" s="1724" t="s">
        <v>846</v>
      </c>
      <c r="C24" s="1725" t="s">
        <v>377</v>
      </c>
      <c r="D24" s="1726" t="s">
        <v>847</v>
      </c>
      <c r="E24" s="1727" t="s">
        <v>427</v>
      </c>
      <c r="F24" s="1788"/>
      <c r="G24" s="1761" t="n">
        <v>65</v>
      </c>
      <c r="H24" s="1762"/>
      <c r="I24" s="1690"/>
      <c r="J24" s="1728" t="s">
        <v>473</v>
      </c>
      <c r="K24" s="1730" t="s">
        <v>848</v>
      </c>
      <c r="L24" s="1772"/>
      <c r="M24" s="1690"/>
      <c r="N24" s="773"/>
      <c r="O24" s="773"/>
      <c r="P24" s="773"/>
      <c r="Q24" s="773"/>
    </row>
    <row r="25" customFormat="false" ht="24" hidden="false" customHeight="true" outlineLevel="0" collapsed="false">
      <c r="A25" s="1617" t="s">
        <v>445</v>
      </c>
      <c r="B25" s="1731" t="n">
        <f aca="false">B4-K4+K25</f>
        <v>9898417</v>
      </c>
      <c r="C25" s="1731" t="n">
        <f aca="false">C4</f>
        <v>7708470</v>
      </c>
      <c r="D25" s="1732" t="n">
        <f aca="false">D4-H4</f>
        <v>2169481</v>
      </c>
      <c r="E25" s="1733" t="n">
        <f aca="false">SUM(B25:D25)</f>
        <v>19776368</v>
      </c>
      <c r="F25" s="1788"/>
      <c r="G25" s="1763" t="n">
        <v>0</v>
      </c>
      <c r="H25" s="1762"/>
      <c r="I25" s="1684"/>
      <c r="J25" s="1666" t="s">
        <v>445</v>
      </c>
      <c r="K25" s="1734" t="n">
        <f aca="false">未納者等入金!H5</f>
        <v>2200000</v>
      </c>
      <c r="L25" s="1789"/>
      <c r="M25" s="1684"/>
      <c r="N25" s="773"/>
      <c r="O25" s="773"/>
      <c r="P25" s="773"/>
      <c r="Q25" s="773"/>
    </row>
    <row r="26" customFormat="false" ht="24" hidden="false" customHeight="true" outlineLevel="0" collapsed="false">
      <c r="A26" s="1627" t="s">
        <v>446</v>
      </c>
      <c r="B26" s="1731" t="n">
        <f aca="false">B5-K5+K26</f>
        <v>9962345</v>
      </c>
      <c r="C26" s="1736" t="n">
        <f aca="false">C5</f>
        <v>7767967</v>
      </c>
      <c r="D26" s="1732" t="n">
        <f aca="false">D5-H5</f>
        <v>49609</v>
      </c>
      <c r="E26" s="1733" t="n">
        <f aca="false">SUM(B26:D26)</f>
        <v>17779921</v>
      </c>
      <c r="F26" s="1788"/>
      <c r="G26" s="1763" t="n">
        <v>1</v>
      </c>
      <c r="H26" s="1762"/>
      <c r="I26" s="1684"/>
      <c r="J26" s="1668" t="s">
        <v>446</v>
      </c>
      <c r="K26" s="1734" t="n">
        <f aca="false">未納者等入金!H6</f>
        <v>2200000</v>
      </c>
      <c r="L26" s="1789"/>
      <c r="M26" s="1684"/>
      <c r="N26" s="773"/>
      <c r="O26" s="773"/>
      <c r="P26" s="773"/>
      <c r="Q26" s="773"/>
    </row>
    <row r="27" customFormat="false" ht="24" hidden="false" customHeight="true" outlineLevel="0" collapsed="false">
      <c r="A27" s="1627" t="s">
        <v>447</v>
      </c>
      <c r="B27" s="1731" t="n">
        <f aca="false">B6-K6+K27</f>
        <v>9952799</v>
      </c>
      <c r="C27" s="1736" t="n">
        <f aca="false">C6</f>
        <v>7752816</v>
      </c>
      <c r="D27" s="1732" t="n">
        <f aca="false">D6-H6</f>
        <v>63859</v>
      </c>
      <c r="E27" s="1733" t="n">
        <f aca="false">SUM(B27:D27)</f>
        <v>17769474</v>
      </c>
      <c r="F27" s="1788"/>
      <c r="G27" s="1763" t="n">
        <v>2</v>
      </c>
      <c r="H27" s="1762"/>
      <c r="I27" s="1684"/>
      <c r="J27" s="1668" t="s">
        <v>447</v>
      </c>
      <c r="K27" s="1734" t="n">
        <f aca="false">未納者等入金!H7</f>
        <v>2200000</v>
      </c>
      <c r="L27" s="1789"/>
      <c r="M27" s="1684"/>
      <c r="N27" s="773"/>
      <c r="O27" s="773"/>
      <c r="P27" s="773"/>
      <c r="Q27" s="773"/>
    </row>
    <row r="28" customFormat="false" ht="24" hidden="false" customHeight="true" outlineLevel="0" collapsed="false">
      <c r="A28" s="1627" t="s">
        <v>773</v>
      </c>
      <c r="B28" s="1736" t="n">
        <f aca="false">B7+K28</f>
        <v>15818708</v>
      </c>
      <c r="C28" s="1736" t="n">
        <f aca="false">C7</f>
        <v>13625291</v>
      </c>
      <c r="D28" s="1740" t="n">
        <f aca="false">D7</f>
        <v>0</v>
      </c>
      <c r="E28" s="1733" t="n">
        <f aca="false">SUM(B28:D28)</f>
        <v>29443999</v>
      </c>
      <c r="F28" s="1788"/>
      <c r="G28" s="1763" t="n">
        <v>3</v>
      </c>
      <c r="H28" s="1762"/>
      <c r="I28" s="1684"/>
      <c r="J28" s="1668" t="s">
        <v>773</v>
      </c>
      <c r="K28" s="1734" t="n">
        <f aca="false">未納者等入金!H8</f>
        <v>2200000</v>
      </c>
      <c r="L28" s="1664"/>
      <c r="M28" s="1684"/>
      <c r="N28" s="773"/>
      <c r="O28" s="773"/>
      <c r="P28" s="773"/>
      <c r="Q28" s="773"/>
    </row>
    <row r="29" customFormat="false" ht="24" hidden="false" customHeight="true" outlineLevel="0" collapsed="false">
      <c r="A29" s="1627" t="s">
        <v>448</v>
      </c>
      <c r="B29" s="1736" t="n">
        <f aca="false">B8-K7+K29</f>
        <v>10081054</v>
      </c>
      <c r="C29" s="1736" t="n">
        <f aca="false">C8</f>
        <v>7884536</v>
      </c>
      <c r="D29" s="1737" t="n">
        <f aca="false">D8-H7</f>
        <v>28805</v>
      </c>
      <c r="E29" s="1733" t="n">
        <f aca="false">SUM(B29:D29)</f>
        <v>17994395</v>
      </c>
      <c r="F29" s="1788"/>
      <c r="G29" s="1763" t="n">
        <v>4</v>
      </c>
      <c r="H29" s="1762"/>
      <c r="I29" s="1684"/>
      <c r="J29" s="1668" t="s">
        <v>448</v>
      </c>
      <c r="K29" s="1734" t="n">
        <f aca="false">未納者等入金!H9</f>
        <v>2200000</v>
      </c>
      <c r="L29" s="1789"/>
      <c r="M29" s="1684"/>
      <c r="N29" s="773"/>
      <c r="O29" s="773"/>
      <c r="P29" s="773"/>
      <c r="Q29" s="773"/>
    </row>
    <row r="30" customFormat="false" ht="24" hidden="false" customHeight="true" outlineLevel="0" collapsed="false">
      <c r="A30" s="1627" t="s">
        <v>449</v>
      </c>
      <c r="B30" s="1736" t="n">
        <f aca="false">B9-K8+K30</f>
        <v>10005885</v>
      </c>
      <c r="C30" s="1736" t="n">
        <f aca="false">C9</f>
        <v>7809762</v>
      </c>
      <c r="D30" s="1737" t="n">
        <f aca="false">D9-H8</f>
        <v>42980</v>
      </c>
      <c r="E30" s="1733" t="n">
        <f aca="false">SUM(B30:D30)</f>
        <v>17858627</v>
      </c>
      <c r="F30" s="1788"/>
      <c r="G30" s="1763" t="n">
        <v>5</v>
      </c>
      <c r="H30" s="1762"/>
      <c r="I30" s="1684"/>
      <c r="J30" s="1668" t="s">
        <v>449</v>
      </c>
      <c r="K30" s="1734" t="n">
        <f aca="false">未納者等入金!H10</f>
        <v>2200000</v>
      </c>
      <c r="L30" s="1789"/>
      <c r="M30" s="1684"/>
      <c r="N30" s="773"/>
      <c r="O30" s="773"/>
      <c r="P30" s="773"/>
      <c r="Q30" s="773"/>
    </row>
    <row r="31" customFormat="false" ht="24" hidden="false" customHeight="true" outlineLevel="0" collapsed="false">
      <c r="A31" s="1627" t="s">
        <v>450</v>
      </c>
      <c r="B31" s="1736" t="n">
        <f aca="false">B10-K9+K31</f>
        <v>10078563</v>
      </c>
      <c r="C31" s="1736" t="n">
        <f aca="false">C10</f>
        <v>7882454</v>
      </c>
      <c r="D31" s="1737" t="n">
        <f aca="false">D10-H9</f>
        <v>109427</v>
      </c>
      <c r="E31" s="1733" t="n">
        <f aca="false">SUM(B31:D31)</f>
        <v>18070444</v>
      </c>
      <c r="F31" s="1788"/>
      <c r="G31" s="1763" t="n">
        <v>6</v>
      </c>
      <c r="H31" s="1762"/>
      <c r="I31" s="1684"/>
      <c r="J31" s="1668" t="s">
        <v>450</v>
      </c>
      <c r="K31" s="1734" t="n">
        <f aca="false">未納者等入金!H11</f>
        <v>2200000</v>
      </c>
      <c r="L31" s="1789"/>
      <c r="M31" s="1684"/>
      <c r="N31" s="773"/>
      <c r="O31" s="773"/>
      <c r="P31" s="773"/>
      <c r="Q31" s="773"/>
    </row>
    <row r="32" customFormat="false" ht="24" hidden="false" customHeight="true" outlineLevel="0" collapsed="false">
      <c r="A32" s="1627" t="s">
        <v>451</v>
      </c>
      <c r="B32" s="1736" t="n">
        <f aca="false">B11-K10+K32</f>
        <v>2208365</v>
      </c>
      <c r="C32" s="1736" t="n">
        <f aca="false">C11</f>
        <v>8378</v>
      </c>
      <c r="D32" s="1737" t="n">
        <f aca="false">D11-H10</f>
        <v>-7513</v>
      </c>
      <c r="E32" s="1733" t="n">
        <f aca="false">SUM(B32:D32)</f>
        <v>2209230</v>
      </c>
      <c r="F32" s="1788"/>
      <c r="G32" s="1763" t="n">
        <v>7</v>
      </c>
      <c r="H32" s="1762"/>
      <c r="I32" s="1684"/>
      <c r="J32" s="1668" t="s">
        <v>451</v>
      </c>
      <c r="K32" s="1734" t="n">
        <f aca="false">未納者等入金!H12</f>
        <v>2200000</v>
      </c>
      <c r="L32" s="1789"/>
      <c r="M32" s="1684"/>
      <c r="N32" s="773"/>
      <c r="O32" s="773"/>
      <c r="P32" s="773"/>
      <c r="Q32" s="773"/>
    </row>
    <row r="33" customFormat="false" ht="24" hidden="false" customHeight="true" outlineLevel="0" collapsed="false">
      <c r="A33" s="1627" t="s">
        <v>452</v>
      </c>
      <c r="B33" s="1736" t="n">
        <f aca="false">B12-K11+K33</f>
        <v>2200026</v>
      </c>
      <c r="C33" s="1736" t="n">
        <f aca="false">C12</f>
        <v>38</v>
      </c>
      <c r="D33" s="1737" t="n">
        <f aca="false">D12-H11</f>
        <v>-7819</v>
      </c>
      <c r="E33" s="1733" t="n">
        <f aca="false">SUM(B33:D33)</f>
        <v>2192245</v>
      </c>
      <c r="F33" s="1788"/>
      <c r="G33" s="1763" t="n">
        <v>8</v>
      </c>
      <c r="H33" s="1762"/>
      <c r="I33" s="1684"/>
      <c r="J33" s="1668" t="s">
        <v>452</v>
      </c>
      <c r="K33" s="1734" t="n">
        <f aca="false">未納者等入金!H13</f>
        <v>2200000</v>
      </c>
      <c r="L33" s="1789"/>
      <c r="M33" s="1684"/>
      <c r="N33" s="773"/>
      <c r="O33" s="773"/>
      <c r="P33" s="773"/>
      <c r="Q33" s="773"/>
    </row>
    <row r="34" customFormat="false" ht="24" hidden="false" customHeight="true" outlineLevel="0" collapsed="false">
      <c r="A34" s="1627" t="s">
        <v>774</v>
      </c>
      <c r="B34" s="1736" t="n">
        <f aca="false">B13+K34</f>
        <v>2200026</v>
      </c>
      <c r="C34" s="1736" t="n">
        <f aca="false">C13</f>
        <v>38</v>
      </c>
      <c r="D34" s="1740" t="n">
        <f aca="false">D13</f>
        <v>0</v>
      </c>
      <c r="E34" s="1733" t="n">
        <f aca="false">SUM(B34:D34)</f>
        <v>2200064</v>
      </c>
      <c r="F34" s="1788"/>
      <c r="G34" s="1763" t="n">
        <v>9</v>
      </c>
      <c r="H34" s="1762"/>
      <c r="I34" s="1684"/>
      <c r="J34" s="1668" t="s">
        <v>774</v>
      </c>
      <c r="K34" s="1734" t="n">
        <f aca="false">未納者等入金!H14</f>
        <v>2200000</v>
      </c>
      <c r="L34" s="1789"/>
      <c r="M34" s="1684"/>
      <c r="N34" s="773"/>
      <c r="O34" s="773"/>
      <c r="P34" s="773"/>
      <c r="Q34" s="773"/>
    </row>
    <row r="35" customFormat="false" ht="24" hidden="false" customHeight="true" outlineLevel="0" collapsed="false">
      <c r="A35" s="1627" t="s">
        <v>453</v>
      </c>
      <c r="B35" s="1736" t="n">
        <f aca="false">B14-K12+K35</f>
        <v>2200026</v>
      </c>
      <c r="C35" s="1736" t="n">
        <f aca="false">C14</f>
        <v>38</v>
      </c>
      <c r="D35" s="1741" t="n">
        <f aca="false">D14-H12</f>
        <v>1</v>
      </c>
      <c r="E35" s="1733" t="n">
        <f aca="false">SUM(B35:D35)</f>
        <v>2200065</v>
      </c>
      <c r="F35" s="1788"/>
      <c r="G35" s="1763" t="n">
        <v>10</v>
      </c>
      <c r="H35" s="1762"/>
      <c r="I35" s="1684"/>
      <c r="J35" s="1668" t="s">
        <v>453</v>
      </c>
      <c r="K35" s="1734" t="n">
        <f aca="false">未納者等入金!H15</f>
        <v>2200000</v>
      </c>
      <c r="L35" s="1664"/>
      <c r="M35" s="1684"/>
      <c r="N35" s="773"/>
      <c r="O35" s="773"/>
      <c r="P35" s="773"/>
      <c r="Q35" s="773"/>
    </row>
    <row r="36" customFormat="false" ht="24" hidden="false" customHeight="true" outlineLevel="0" collapsed="false">
      <c r="A36" s="1627" t="s">
        <v>454</v>
      </c>
      <c r="B36" s="1736" t="n">
        <f aca="false">B15-K13+K36</f>
        <v>2200026</v>
      </c>
      <c r="C36" s="1736" t="n">
        <f aca="false">C15</f>
        <v>38</v>
      </c>
      <c r="D36" s="1741" t="n">
        <f aca="false">D15-H13</f>
        <v>1</v>
      </c>
      <c r="E36" s="1733" t="n">
        <f aca="false">SUM(B36:D36)</f>
        <v>2200065</v>
      </c>
      <c r="F36" s="1788"/>
      <c r="G36" s="1763" t="n">
        <v>11</v>
      </c>
      <c r="H36" s="1762"/>
      <c r="I36" s="1684"/>
      <c r="J36" s="1668" t="s">
        <v>454</v>
      </c>
      <c r="K36" s="1734" t="n">
        <f aca="false">未納者等入金!H16</f>
        <v>2200000</v>
      </c>
      <c r="L36" s="1789"/>
      <c r="M36" s="1684"/>
      <c r="N36" s="773"/>
      <c r="O36" s="773"/>
      <c r="P36" s="773"/>
      <c r="Q36" s="773"/>
    </row>
    <row r="37" customFormat="false" ht="24" hidden="false" customHeight="true" outlineLevel="0" collapsed="false">
      <c r="A37" s="1627" t="s">
        <v>455</v>
      </c>
      <c r="B37" s="1736" t="n">
        <f aca="false">B16-K14+K37</f>
        <v>2200026</v>
      </c>
      <c r="C37" s="1736" t="n">
        <f aca="false">C16</f>
        <v>38</v>
      </c>
      <c r="D37" s="1741" t="n">
        <f aca="false">D16-H14</f>
        <v>1</v>
      </c>
      <c r="E37" s="1733" t="n">
        <f aca="false">SUM(B37:D37)</f>
        <v>2200065</v>
      </c>
      <c r="F37" s="1788"/>
      <c r="G37" s="1763" t="n">
        <v>12</v>
      </c>
      <c r="H37" s="1762"/>
      <c r="I37" s="1684"/>
      <c r="J37" s="1668" t="s">
        <v>455</v>
      </c>
      <c r="K37" s="1734" t="n">
        <f aca="false">未納者等入金!H17</f>
        <v>2200000</v>
      </c>
      <c r="L37" s="1789"/>
      <c r="M37" s="1684"/>
      <c r="N37" s="773"/>
      <c r="O37" s="773"/>
      <c r="P37" s="773"/>
      <c r="Q37" s="773"/>
    </row>
    <row r="38" customFormat="false" ht="24" hidden="false" customHeight="true" outlineLevel="0" collapsed="false">
      <c r="A38" s="1627" t="s">
        <v>775</v>
      </c>
      <c r="B38" s="1747" t="n">
        <f aca="false">B17+K38</f>
        <v>2200021</v>
      </c>
      <c r="C38" s="1736" t="n">
        <f aca="false">C17</f>
        <v>32</v>
      </c>
      <c r="D38" s="1748" t="n">
        <f aca="false">D17</f>
        <v>0</v>
      </c>
      <c r="E38" s="1733" t="n">
        <f aca="false">SUM(B38:D38)</f>
        <v>2200053</v>
      </c>
      <c r="F38" s="1788"/>
      <c r="G38" s="1763" t="n">
        <v>13</v>
      </c>
      <c r="H38" s="1762"/>
      <c r="I38" s="1684"/>
      <c r="J38" s="1671" t="s">
        <v>775</v>
      </c>
      <c r="K38" s="1734" t="n">
        <f aca="false">未納者等入金!H18</f>
        <v>2200000</v>
      </c>
      <c r="L38" s="1789"/>
      <c r="M38" s="1684"/>
      <c r="N38" s="773"/>
      <c r="O38" s="773"/>
      <c r="P38" s="773"/>
      <c r="Q38" s="773"/>
    </row>
    <row r="39" customFormat="false" ht="24" hidden="false" customHeight="true" outlineLevel="0" collapsed="false">
      <c r="A39" s="1627" t="s">
        <v>456</v>
      </c>
      <c r="B39" s="1736" t="n">
        <f aca="false">B18-K15+K39</f>
        <v>2200026</v>
      </c>
      <c r="C39" s="1736" t="n">
        <f aca="false">C18</f>
        <v>38</v>
      </c>
      <c r="D39" s="1741" t="n">
        <f aca="false">D18-H15</f>
        <v>1</v>
      </c>
      <c r="E39" s="1750" t="n">
        <f aca="false">SUM(B39:D39)</f>
        <v>2200065</v>
      </c>
      <c r="F39" s="1788"/>
      <c r="G39" s="1763" t="n">
        <v>14</v>
      </c>
      <c r="H39" s="1762"/>
      <c r="I39" s="1684"/>
      <c r="J39" s="1671" t="s">
        <v>456</v>
      </c>
      <c r="K39" s="1734" t="n">
        <f aca="false">未納者等入金!H19</f>
        <v>2200000</v>
      </c>
      <c r="L39" s="1790"/>
      <c r="M39" s="1684"/>
      <c r="N39" s="773"/>
      <c r="O39" s="773"/>
      <c r="P39" s="773"/>
      <c r="Q39" s="773"/>
    </row>
    <row r="40" customFormat="false" ht="24" hidden="false" customHeight="true" outlineLevel="0" collapsed="false">
      <c r="A40" s="1634" t="s">
        <v>808</v>
      </c>
      <c r="B40" s="1736" t="n">
        <f aca="false">B19+K40</f>
        <v>2200025</v>
      </c>
      <c r="C40" s="1736" t="n">
        <f aca="false">C19</f>
        <v>37</v>
      </c>
      <c r="D40" s="1740" t="n">
        <f aca="false">D19</f>
        <v>0</v>
      </c>
      <c r="E40" s="1751" t="n">
        <f aca="false">SUM(B40:D40)</f>
        <v>2200062</v>
      </c>
      <c r="F40" s="1788"/>
      <c r="G40" s="1763" t="n">
        <v>15</v>
      </c>
      <c r="H40" s="925"/>
      <c r="I40" s="1684"/>
      <c r="J40" s="1671" t="s">
        <v>808</v>
      </c>
      <c r="K40" s="1764" t="n">
        <f aca="false">未納者等入金!H20</f>
        <v>2200000</v>
      </c>
      <c r="L40" s="1664"/>
      <c r="M40" s="1684"/>
      <c r="N40" s="773"/>
      <c r="O40" s="773"/>
      <c r="P40" s="773"/>
      <c r="Q40" s="773"/>
    </row>
    <row r="41" customFormat="false" ht="24" hidden="false" customHeight="true" outlineLevel="0" collapsed="false">
      <c r="A41" s="1635" t="s">
        <v>809</v>
      </c>
      <c r="B41" s="1752" t="n">
        <f aca="false">B20+K41</f>
        <v>2200025</v>
      </c>
      <c r="C41" s="1752" t="n">
        <f aca="false">C20</f>
        <v>37</v>
      </c>
      <c r="D41" s="1753" t="n">
        <f aca="false">D20</f>
        <v>0</v>
      </c>
      <c r="E41" s="1754" t="n">
        <f aca="false">SUM(B41:D41)</f>
        <v>2200062</v>
      </c>
      <c r="F41" s="1788"/>
      <c r="G41" s="1765" t="n">
        <v>16</v>
      </c>
      <c r="H41" s="925"/>
      <c r="I41" s="1684"/>
      <c r="J41" s="1766" t="s">
        <v>809</v>
      </c>
      <c r="K41" s="1767" t="n">
        <f aca="false">未納者等入金!H21</f>
        <v>2200000</v>
      </c>
      <c r="L41" s="1664"/>
      <c r="M41" s="1684"/>
      <c r="N41" s="773"/>
      <c r="O41" s="773"/>
      <c r="P41" s="773"/>
      <c r="Q41" s="773"/>
    </row>
    <row r="42" customFormat="false" ht="24" hidden="false" customHeight="true" outlineLevel="0" collapsed="false">
      <c r="A42" s="1786" t="s">
        <v>457</v>
      </c>
      <c r="B42" s="1755" t="n">
        <f aca="false">SUM(B25:B41)</f>
        <v>97806363</v>
      </c>
      <c r="C42" s="1755" t="n">
        <f aca="false">SUM(C25:C41)</f>
        <v>60440008</v>
      </c>
      <c r="D42" s="1756" t="n">
        <f aca="false">SUM(D25:D41)</f>
        <v>2448833</v>
      </c>
      <c r="E42" s="1757" t="n">
        <f aca="false">SUM(E25:E41)</f>
        <v>160695204</v>
      </c>
      <c r="F42" s="1696"/>
      <c r="G42" s="1791"/>
      <c r="I42" s="1684"/>
      <c r="J42" s="1744" t="s">
        <v>457</v>
      </c>
      <c r="K42" s="1745" t="n">
        <f aca="false">SUM(K25:K41)</f>
        <v>37400000</v>
      </c>
      <c r="L42" s="1684"/>
      <c r="M42" s="1684"/>
      <c r="N42" s="773"/>
      <c r="O42" s="773"/>
      <c r="P42" s="773"/>
      <c r="Q42" s="773"/>
    </row>
    <row r="43" customFormat="false" ht="30" hidden="false" customHeight="true" outlineLevel="0" collapsed="false">
      <c r="G43" s="1762"/>
      <c r="H43" s="1762"/>
      <c r="J43" s="773"/>
      <c r="K43" s="1684"/>
      <c r="L43" s="773"/>
      <c r="M43" s="773"/>
      <c r="N43" s="773"/>
      <c r="O43" s="773"/>
      <c r="P43" s="773"/>
      <c r="Q43" s="773"/>
    </row>
    <row r="44" s="773" customFormat="true" ht="27" hidden="false" customHeight="true" outlineLevel="0" collapsed="false">
      <c r="B44" s="1792"/>
      <c r="C44" s="1696"/>
      <c r="D44" s="1696"/>
      <c r="E44" s="1696"/>
      <c r="F44" s="1696"/>
      <c r="H44" s="1792"/>
      <c r="I44" s="1696"/>
      <c r="K44" s="1684"/>
      <c r="L44" s="1696"/>
      <c r="M44" s="1696"/>
    </row>
    <row r="45" s="773" customFormat="true" ht="17.25" hidden="false" customHeight="false" outlineLevel="0" collapsed="false">
      <c r="A45" s="1716"/>
      <c r="B45" s="1690"/>
      <c r="C45" s="1690"/>
      <c r="D45" s="1772"/>
      <c r="E45" s="1690"/>
      <c r="F45" s="1696"/>
      <c r="G45" s="1716"/>
      <c r="H45" s="1690"/>
      <c r="I45" s="1690"/>
      <c r="J45" s="1774"/>
      <c r="K45" s="1684"/>
      <c r="L45" s="1716"/>
      <c r="M45" s="1716"/>
      <c r="N45" s="1684"/>
      <c r="O45" s="1772"/>
      <c r="P45" s="1690"/>
    </row>
    <row r="46" s="773" customFormat="true" ht="23.1" hidden="false" customHeight="true" outlineLevel="0" collapsed="false">
      <c r="B46" s="1684"/>
      <c r="C46" s="1684"/>
      <c r="D46" s="1684"/>
      <c r="E46" s="1684"/>
      <c r="F46" s="1696"/>
      <c r="H46" s="1684"/>
      <c r="I46" s="1684"/>
      <c r="J46" s="1774"/>
      <c r="K46" s="1684"/>
      <c r="M46" s="768"/>
      <c r="O46" s="1684"/>
      <c r="P46" s="1684"/>
      <c r="Q46" s="1713"/>
    </row>
    <row r="47" s="773" customFormat="true" ht="23.1" hidden="false" customHeight="true" outlineLevel="0" collapsed="false">
      <c r="B47" s="1684"/>
      <c r="C47" s="1684"/>
      <c r="D47" s="1684"/>
      <c r="E47" s="1684"/>
      <c r="F47" s="1696"/>
      <c r="H47" s="1684"/>
      <c r="I47" s="1684"/>
      <c r="M47" s="1792"/>
      <c r="N47" s="1696"/>
      <c r="O47" s="1684"/>
      <c r="P47" s="1684"/>
      <c r="Q47" s="1713"/>
    </row>
    <row r="48" s="773" customFormat="true" ht="23.1" hidden="false" customHeight="true" outlineLevel="0" collapsed="false">
      <c r="B48" s="1684"/>
      <c r="C48" s="1684"/>
      <c r="D48" s="1684"/>
      <c r="E48" s="1684"/>
      <c r="F48" s="1696"/>
      <c r="H48" s="1684"/>
      <c r="I48" s="1684"/>
      <c r="M48" s="1690"/>
      <c r="N48" s="1690"/>
      <c r="O48" s="1684"/>
      <c r="P48" s="1684"/>
      <c r="Q48" s="1713"/>
    </row>
    <row r="49" s="773" customFormat="true" ht="23.1" hidden="false" customHeight="true" outlineLevel="0" collapsed="false">
      <c r="B49" s="1684"/>
      <c r="C49" s="1684"/>
      <c r="D49" s="1684"/>
      <c r="E49" s="1684"/>
      <c r="F49" s="1696"/>
      <c r="H49" s="1684"/>
      <c r="I49" s="1684"/>
      <c r="M49" s="1684"/>
      <c r="N49" s="1684"/>
      <c r="O49" s="1684"/>
      <c r="P49" s="1684"/>
      <c r="Q49" s="1713"/>
    </row>
    <row r="50" s="773" customFormat="true" ht="23.1" hidden="false" customHeight="true" outlineLevel="0" collapsed="false">
      <c r="B50" s="1684"/>
      <c r="C50" s="1684"/>
      <c r="D50" s="1684"/>
      <c r="E50" s="1684"/>
      <c r="F50" s="1696"/>
      <c r="H50" s="1684"/>
      <c r="I50" s="1684"/>
      <c r="M50" s="1684"/>
      <c r="N50" s="1684"/>
      <c r="O50" s="1684"/>
      <c r="P50" s="1684"/>
      <c r="Q50" s="1713"/>
    </row>
    <row r="51" s="773" customFormat="true" ht="23.1" hidden="false" customHeight="true" outlineLevel="0" collapsed="false">
      <c r="B51" s="1684"/>
      <c r="C51" s="1684"/>
      <c r="D51" s="1684"/>
      <c r="E51" s="1684"/>
      <c r="F51" s="1696"/>
      <c r="H51" s="1684"/>
      <c r="I51" s="1684"/>
      <c r="M51" s="1684"/>
      <c r="N51" s="1684"/>
      <c r="O51" s="1684"/>
      <c r="P51" s="1684"/>
      <c r="Q51" s="1713"/>
    </row>
    <row r="52" s="773" customFormat="true" ht="23.1" hidden="false" customHeight="true" outlineLevel="0" collapsed="false">
      <c r="B52" s="1684"/>
      <c r="C52" s="1684"/>
      <c r="D52" s="1684"/>
      <c r="E52" s="1684"/>
      <c r="F52" s="1696"/>
      <c r="H52" s="1684"/>
      <c r="I52" s="1684"/>
      <c r="M52" s="1684"/>
      <c r="N52" s="1684"/>
      <c r="O52" s="1684"/>
      <c r="P52" s="1684"/>
      <c r="Q52" s="1713"/>
    </row>
    <row r="53" s="773" customFormat="true" ht="23.1" hidden="false" customHeight="true" outlineLevel="0" collapsed="false">
      <c r="B53" s="1684"/>
      <c r="C53" s="1684"/>
      <c r="D53" s="1684"/>
      <c r="E53" s="1684"/>
      <c r="F53" s="1696"/>
      <c r="H53" s="1684"/>
      <c r="I53" s="1684"/>
      <c r="M53" s="1684"/>
      <c r="N53" s="1684"/>
      <c r="O53" s="1684"/>
      <c r="P53" s="1684"/>
      <c r="Q53" s="1713"/>
    </row>
    <row r="54" s="773" customFormat="true" ht="23.1" hidden="false" customHeight="true" outlineLevel="0" collapsed="false">
      <c r="B54" s="1684"/>
      <c r="C54" s="1684"/>
      <c r="D54" s="1684"/>
      <c r="E54" s="1684"/>
      <c r="F54" s="1696"/>
      <c r="H54" s="1684"/>
      <c r="I54" s="1684"/>
      <c r="M54" s="1684"/>
      <c r="N54" s="1684"/>
      <c r="O54" s="1684"/>
      <c r="P54" s="1684"/>
      <c r="Q54" s="1713"/>
    </row>
    <row r="55" s="773" customFormat="true" ht="23.1" hidden="false" customHeight="true" outlineLevel="0" collapsed="false">
      <c r="B55" s="1684"/>
      <c r="C55" s="1684"/>
      <c r="D55" s="1684"/>
      <c r="E55" s="1684"/>
      <c r="F55" s="1696"/>
      <c r="H55" s="1684"/>
      <c r="I55" s="1684"/>
      <c r="M55" s="1684"/>
      <c r="N55" s="1684"/>
      <c r="O55" s="1684"/>
      <c r="P55" s="1684"/>
      <c r="Q55" s="1713"/>
    </row>
    <row r="56" s="773" customFormat="true" ht="23.1" hidden="false" customHeight="true" outlineLevel="0" collapsed="false">
      <c r="B56" s="1684"/>
      <c r="C56" s="1684"/>
      <c r="D56" s="1684"/>
      <c r="E56" s="1684"/>
      <c r="F56" s="1696"/>
      <c r="H56" s="1684"/>
      <c r="I56" s="1684"/>
      <c r="M56" s="1684"/>
      <c r="N56" s="1684"/>
      <c r="O56" s="1684"/>
      <c r="P56" s="1684"/>
      <c r="Q56" s="1713"/>
    </row>
    <row r="57" s="773" customFormat="true" ht="23.1" hidden="false" customHeight="true" outlineLevel="0" collapsed="false">
      <c r="B57" s="1684"/>
      <c r="C57" s="1684"/>
      <c r="D57" s="1684"/>
      <c r="E57" s="1684"/>
      <c r="F57" s="1696"/>
      <c r="H57" s="1684"/>
      <c r="I57" s="1684"/>
      <c r="M57" s="1684"/>
      <c r="N57" s="1684"/>
      <c r="O57" s="1684"/>
      <c r="P57" s="1684"/>
      <c r="Q57" s="1713"/>
    </row>
    <row r="58" s="773" customFormat="true" ht="23.1" hidden="false" customHeight="true" outlineLevel="0" collapsed="false">
      <c r="B58" s="1684"/>
      <c r="C58" s="1684"/>
      <c r="D58" s="1684"/>
      <c r="E58" s="1684"/>
      <c r="F58" s="1696"/>
      <c r="H58" s="1684"/>
      <c r="I58" s="1684"/>
      <c r="M58" s="1684"/>
      <c r="N58" s="1684"/>
      <c r="O58" s="1684"/>
      <c r="P58" s="1684"/>
      <c r="Q58" s="1713"/>
    </row>
    <row r="59" s="773" customFormat="true" ht="23.1" hidden="false" customHeight="true" outlineLevel="0" collapsed="false">
      <c r="B59" s="1684"/>
      <c r="C59" s="1684"/>
      <c r="D59" s="1684"/>
      <c r="E59" s="1684"/>
      <c r="F59" s="1696"/>
      <c r="H59" s="1684"/>
      <c r="I59" s="1684"/>
      <c r="M59" s="1684"/>
      <c r="N59" s="1684"/>
      <c r="O59" s="1684"/>
      <c r="P59" s="1684"/>
      <c r="Q59" s="1713"/>
    </row>
    <row r="60" s="773" customFormat="true" ht="23.1" hidden="false" customHeight="true" outlineLevel="0" collapsed="false">
      <c r="B60" s="1684"/>
      <c r="C60" s="1684"/>
      <c r="D60" s="1684"/>
      <c r="E60" s="1684"/>
      <c r="F60" s="1696"/>
      <c r="H60" s="1684"/>
      <c r="I60" s="1684"/>
      <c r="M60" s="1684"/>
      <c r="N60" s="1684"/>
      <c r="O60" s="1684"/>
      <c r="P60" s="1684"/>
      <c r="Q60" s="1713"/>
    </row>
    <row r="61" s="773" customFormat="true" ht="23.1" hidden="false" customHeight="true" outlineLevel="0" collapsed="false">
      <c r="A61" s="1774"/>
      <c r="B61" s="1684"/>
      <c r="C61" s="1684"/>
      <c r="D61" s="1684"/>
      <c r="E61" s="1684"/>
      <c r="F61" s="1696"/>
      <c r="G61" s="1774"/>
      <c r="H61" s="1684"/>
      <c r="I61" s="1684"/>
      <c r="L61" s="1774"/>
      <c r="M61" s="1684"/>
      <c r="N61" s="1684"/>
      <c r="O61" s="1684"/>
      <c r="P61" s="1684"/>
      <c r="Q61" s="1713"/>
    </row>
    <row r="62" s="773" customFormat="true" ht="23.1" hidden="false" customHeight="true" outlineLevel="0" collapsed="false">
      <c r="A62" s="1774"/>
      <c r="B62" s="1684"/>
      <c r="C62" s="1684"/>
      <c r="D62" s="1684"/>
      <c r="E62" s="1684"/>
      <c r="F62" s="1696"/>
      <c r="G62" s="1774"/>
      <c r="H62" s="1684"/>
      <c r="I62" s="1684"/>
      <c r="L62" s="1774"/>
      <c r="M62" s="1684"/>
      <c r="N62" s="1684"/>
      <c r="O62" s="1684"/>
      <c r="P62" s="1684"/>
      <c r="Q62" s="1713"/>
    </row>
    <row r="63" s="773" customFormat="true" ht="23.1" hidden="false" customHeight="true" outlineLevel="0" collapsed="false">
      <c r="A63" s="1716"/>
      <c r="B63" s="1684"/>
      <c r="C63" s="1684"/>
      <c r="D63" s="1684"/>
      <c r="E63" s="1684"/>
      <c r="F63" s="1696"/>
      <c r="G63" s="1716"/>
      <c r="H63" s="1684"/>
      <c r="I63" s="1684"/>
      <c r="L63" s="1716"/>
      <c r="M63" s="1684"/>
      <c r="N63" s="1684"/>
      <c r="O63" s="1684"/>
      <c r="P63" s="1684"/>
      <c r="Q63" s="1713"/>
    </row>
    <row r="64" s="773" customFormat="true" ht="30" hidden="false" customHeight="true" outlineLevel="0" collapsed="false">
      <c r="B64" s="768"/>
      <c r="C64" s="768"/>
      <c r="D64" s="768"/>
      <c r="E64" s="768"/>
      <c r="F64" s="768"/>
      <c r="G64" s="768"/>
      <c r="H64" s="768"/>
      <c r="I64" s="768"/>
      <c r="L64" s="768"/>
      <c r="M64" s="1684"/>
      <c r="N64" s="1684"/>
    </row>
    <row r="65" s="773" customFormat="true" ht="27" hidden="false" customHeight="true" outlineLevel="0" collapsed="false">
      <c r="B65" s="1792"/>
      <c r="C65" s="1696"/>
      <c r="D65" s="1696"/>
      <c r="E65" s="1696"/>
      <c r="F65" s="1696"/>
      <c r="J65" s="925"/>
      <c r="K65" s="925"/>
      <c r="M65" s="1684"/>
      <c r="N65" s="1684"/>
    </row>
    <row r="66" s="773" customFormat="true" ht="17.25" hidden="false" customHeight="false" outlineLevel="0" collapsed="false">
      <c r="A66" s="1716"/>
      <c r="B66" s="1690"/>
      <c r="C66" s="1690"/>
      <c r="D66" s="1772"/>
      <c r="E66" s="1690"/>
      <c r="F66" s="1696"/>
      <c r="J66" s="925"/>
      <c r="K66" s="925"/>
      <c r="M66" s="1684"/>
      <c r="N66" s="1684"/>
    </row>
    <row r="67" s="773" customFormat="true" ht="23.1" hidden="false" customHeight="true" outlineLevel="0" collapsed="false">
      <c r="B67" s="1684"/>
      <c r="C67" s="1684"/>
      <c r="D67" s="1684"/>
      <c r="E67" s="1684"/>
      <c r="F67" s="1696"/>
      <c r="J67" s="925"/>
      <c r="K67" s="925"/>
      <c r="M67" s="768"/>
    </row>
    <row r="68" s="773" customFormat="true" ht="23.1" hidden="false" customHeight="true" outlineLevel="0" collapsed="false">
      <c r="B68" s="1684"/>
      <c r="C68" s="1684"/>
      <c r="D68" s="1684"/>
      <c r="E68" s="1684"/>
      <c r="F68" s="1696"/>
      <c r="J68" s="925"/>
      <c r="K68" s="925"/>
    </row>
    <row r="69" s="773" customFormat="true" ht="23.1" hidden="false" customHeight="true" outlineLevel="0" collapsed="false">
      <c r="B69" s="1684"/>
      <c r="C69" s="1684"/>
      <c r="D69" s="1684"/>
      <c r="E69" s="1684"/>
      <c r="F69" s="1696"/>
      <c r="J69" s="925"/>
      <c r="K69" s="925"/>
    </row>
    <row r="70" s="773" customFormat="true" ht="23.1" hidden="false" customHeight="true" outlineLevel="0" collapsed="false">
      <c r="B70" s="1684"/>
      <c r="C70" s="1684"/>
      <c r="D70" s="1684"/>
      <c r="E70" s="1684"/>
      <c r="F70" s="1696"/>
      <c r="J70" s="925"/>
      <c r="K70" s="925"/>
    </row>
    <row r="71" s="773" customFormat="true" ht="23.1" hidden="false" customHeight="true" outlineLevel="0" collapsed="false">
      <c r="B71" s="1684"/>
      <c r="C71" s="1684"/>
      <c r="D71" s="1684"/>
      <c r="E71" s="1684"/>
      <c r="F71" s="1696"/>
      <c r="J71" s="925"/>
      <c r="K71" s="925"/>
    </row>
    <row r="72" s="773" customFormat="true" ht="23.1" hidden="false" customHeight="true" outlineLevel="0" collapsed="false">
      <c r="B72" s="1684"/>
      <c r="C72" s="1684"/>
      <c r="D72" s="1684"/>
      <c r="E72" s="1684"/>
      <c r="F72" s="1696"/>
      <c r="J72" s="925"/>
      <c r="K72" s="925"/>
    </row>
    <row r="73" s="773" customFormat="true" ht="23.1" hidden="false" customHeight="true" outlineLevel="0" collapsed="false">
      <c r="B73" s="1684"/>
      <c r="C73" s="1684"/>
      <c r="D73" s="1684"/>
      <c r="E73" s="1684"/>
      <c r="F73" s="1696"/>
      <c r="J73" s="925"/>
      <c r="K73" s="925"/>
    </row>
    <row r="74" s="773" customFormat="true" ht="23.1" hidden="false" customHeight="true" outlineLevel="0" collapsed="false">
      <c r="B74" s="1684"/>
      <c r="C74" s="1684"/>
      <c r="D74" s="1684"/>
      <c r="E74" s="1684"/>
      <c r="F74" s="1696"/>
      <c r="J74" s="925"/>
      <c r="K74" s="925"/>
    </row>
    <row r="75" s="773" customFormat="true" ht="23.1" hidden="false" customHeight="true" outlineLevel="0" collapsed="false">
      <c r="B75" s="1684"/>
      <c r="C75" s="1684"/>
      <c r="D75" s="1684"/>
      <c r="E75" s="1684"/>
      <c r="F75" s="1696"/>
      <c r="J75" s="925"/>
      <c r="K75" s="925"/>
    </row>
    <row r="76" s="773" customFormat="true" ht="23.1" hidden="false" customHeight="true" outlineLevel="0" collapsed="false">
      <c r="B76" s="1684"/>
      <c r="C76" s="1684"/>
      <c r="D76" s="1684"/>
      <c r="E76" s="1684"/>
      <c r="F76" s="1696"/>
      <c r="J76" s="925"/>
      <c r="K76" s="925"/>
    </row>
    <row r="77" s="773" customFormat="true" ht="23.1" hidden="false" customHeight="true" outlineLevel="0" collapsed="false">
      <c r="B77" s="1684"/>
      <c r="C77" s="1684"/>
      <c r="D77" s="1684"/>
      <c r="E77" s="1684"/>
      <c r="F77" s="1696"/>
      <c r="J77" s="925"/>
      <c r="K77" s="925"/>
    </row>
    <row r="78" s="773" customFormat="true" ht="23.1" hidden="false" customHeight="true" outlineLevel="0" collapsed="false">
      <c r="B78" s="1684"/>
      <c r="C78" s="1684"/>
      <c r="D78" s="1684"/>
      <c r="E78" s="1684"/>
      <c r="F78" s="1696"/>
      <c r="J78" s="925"/>
      <c r="K78" s="925"/>
    </row>
    <row r="79" s="773" customFormat="true" ht="23.1" hidden="false" customHeight="true" outlineLevel="0" collapsed="false">
      <c r="B79" s="1684"/>
      <c r="C79" s="1684"/>
      <c r="D79" s="1684"/>
      <c r="E79" s="1684"/>
      <c r="F79" s="1696"/>
      <c r="J79" s="925"/>
      <c r="K79" s="925"/>
    </row>
    <row r="80" s="773" customFormat="true" ht="23.1" hidden="false" customHeight="true" outlineLevel="0" collapsed="false">
      <c r="B80" s="1684"/>
      <c r="C80" s="1684"/>
      <c r="D80" s="1684"/>
      <c r="E80" s="1684"/>
      <c r="F80" s="1696"/>
      <c r="J80" s="925"/>
      <c r="K80" s="925"/>
    </row>
    <row r="81" s="773" customFormat="true" ht="23.1" hidden="false" customHeight="true" outlineLevel="0" collapsed="false">
      <c r="B81" s="1684"/>
      <c r="C81" s="1684"/>
      <c r="D81" s="1684"/>
      <c r="E81" s="1684"/>
      <c r="F81" s="1696"/>
      <c r="J81" s="925"/>
      <c r="K81" s="925"/>
    </row>
    <row r="82" s="773" customFormat="true" ht="23.1" hidden="false" customHeight="true" outlineLevel="0" collapsed="false">
      <c r="A82" s="1774"/>
      <c r="B82" s="1684"/>
      <c r="C82" s="1684"/>
      <c r="D82" s="1684"/>
      <c r="E82" s="1684"/>
      <c r="F82" s="1696"/>
      <c r="J82" s="925"/>
      <c r="K82" s="925"/>
    </row>
    <row r="83" s="773" customFormat="true" ht="23.1" hidden="false" customHeight="true" outlineLevel="0" collapsed="false">
      <c r="A83" s="1774"/>
      <c r="B83" s="1684"/>
      <c r="C83" s="1684"/>
      <c r="D83" s="1684"/>
      <c r="E83" s="1684"/>
      <c r="F83" s="1696"/>
      <c r="J83" s="925"/>
      <c r="K83" s="925"/>
    </row>
    <row r="84" s="773" customFormat="true" ht="23.1" hidden="false" customHeight="true" outlineLevel="0" collapsed="false">
      <c r="A84" s="1716"/>
      <c r="B84" s="1684"/>
      <c r="C84" s="1684"/>
      <c r="D84" s="1684"/>
      <c r="E84" s="1684"/>
      <c r="F84" s="1696"/>
      <c r="J84" s="925"/>
      <c r="K84" s="925"/>
    </row>
    <row r="85" s="773" customFormat="true" ht="17.25" hidden="false" customHeight="false" outlineLevel="0" collapsed="false">
      <c r="B85" s="768"/>
      <c r="C85" s="768"/>
      <c r="D85" s="768"/>
      <c r="E85" s="768"/>
      <c r="F85" s="768"/>
      <c r="J85" s="925"/>
      <c r="K85" s="925"/>
    </row>
    <row r="86" s="773" customFormat="true" ht="17.25" hidden="false" customHeight="false" outlineLevel="0" collapsed="false">
      <c r="B86" s="768"/>
      <c r="C86" s="768"/>
      <c r="D86" s="768"/>
      <c r="E86" s="768"/>
      <c r="F86" s="768"/>
      <c r="J86" s="925"/>
      <c r="K86" s="925"/>
    </row>
    <row r="87" s="773" customFormat="true" ht="17.25" hidden="false" customHeight="false" outlineLevel="0" collapsed="false">
      <c r="B87" s="768"/>
      <c r="C87" s="768"/>
      <c r="D87" s="768"/>
      <c r="E87" s="768"/>
      <c r="F87" s="768"/>
      <c r="J87" s="925"/>
      <c r="K87" s="925"/>
    </row>
    <row r="88" s="773" customFormat="true" ht="17.25" hidden="false" customHeight="false" outlineLevel="0" collapsed="false">
      <c r="B88" s="768"/>
      <c r="C88" s="768"/>
      <c r="D88" s="768"/>
      <c r="E88" s="768"/>
      <c r="F88" s="768"/>
      <c r="J88" s="925"/>
      <c r="K88" s="925"/>
    </row>
    <row r="89" customFormat="false" ht="17.25" hidden="false" customHeight="false" outlineLevel="0" collapsed="false">
      <c r="M89" s="773"/>
      <c r="N89" s="773"/>
    </row>
    <row r="90" customFormat="false" ht="17.25" hidden="false" customHeight="false" outlineLevel="0" collapsed="false">
      <c r="M90" s="773"/>
      <c r="N90" s="773"/>
    </row>
    <row r="91" customFormat="false" ht="17.25" hidden="false" customHeight="false" outlineLevel="0" collapsed="false">
      <c r="M91" s="773"/>
      <c r="N91" s="773"/>
    </row>
  </sheetData>
  <mergeCells count="4">
    <mergeCell ref="J2:K2"/>
    <mergeCell ref="A23:D23"/>
    <mergeCell ref="G23:H23"/>
    <mergeCell ref="J23:K23"/>
  </mergeCells>
  <printOptions headings="false" gridLines="false" gridLinesSet="true" horizontalCentered="true" verticalCentered="false"/>
  <pageMargins left="0" right="0" top="0.39375" bottom="0" header="0.511811023622047" footer="0"/>
  <pageSetup paperSize="9" scale="58" fitToWidth="1" fitToHeight="1" pageOrder="downThenOver" orientation="landscape" blackAndWhite="false" draft="false" cellComments="none" horizontalDpi="300" verticalDpi="300" copies="1"/>
  <headerFooter differentFirst="false" differentOddEven="false">
    <oddHeader/>
    <oddFooter>&amp;R&amp;9&amp;Z&amp;F&amp;A</oddFooter>
  </headerFooter>
  <rowBreaks count="1" manualBreakCount="1">
    <brk id="43" man="true" max="16383" min="0"/>
  </row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C00"/>
    <pageSetUpPr fitToPage="false"/>
  </sheetPr>
  <dimension ref="A1:R86"/>
  <sheetViews>
    <sheetView showFormulas="false" showGridLines="true" showRowColHeaders="true" showZeros="true" rightToLeft="false" tabSelected="false" showOutlineSymbols="true" defaultGridColor="true" view="normal" topLeftCell="A1" colorId="64" zoomScale="80" zoomScaleNormal="80" zoomScalePageLayoutView="70" workbookViewId="0">
      <selection pane="topLeft" activeCell="D87" activeCellId="0" sqref="D87"/>
    </sheetView>
  </sheetViews>
  <sheetFormatPr defaultColWidth="8.79296875" defaultRowHeight="17.25" zeroHeight="false" outlineLevelRow="0" outlineLevelCol="0"/>
  <cols>
    <col collapsed="false" customWidth="true" hidden="false" outlineLevel="0" max="14" min="1" style="582" width="13.09"/>
    <col collapsed="false" customWidth="true" hidden="false" outlineLevel="0" max="15" min="15" style="582" width="7.39"/>
    <col collapsed="false" customWidth="false" hidden="false" outlineLevel="0" max="16" min="16" style="1794" width="8.79"/>
  </cols>
  <sheetData>
    <row r="1" customFormat="false" ht="21.75" hidden="false" customHeight="true" outlineLevel="0" collapsed="false">
      <c r="A1" s="1795" t="str">
        <f aca="false">'☆介護集計R7'!A1</f>
        <v>令和8年度</v>
      </c>
      <c r="B1" s="1563" t="s">
        <v>760</v>
      </c>
      <c r="O1" s="1796"/>
      <c r="P1" s="1797" t="s">
        <v>866</v>
      </c>
      <c r="Q1" s="1797"/>
    </row>
    <row r="2" customFormat="false" ht="12.75" hidden="false" customHeight="true" outlineLevel="0" collapsed="false">
      <c r="G2" s="1564"/>
      <c r="O2" s="1796"/>
      <c r="P2" s="1797"/>
      <c r="Q2" s="1797"/>
    </row>
    <row r="3" customFormat="false" ht="21.75" hidden="false" customHeight="true" outlineLevel="0" collapsed="false">
      <c r="A3" s="1564" t="s">
        <v>761</v>
      </c>
      <c r="B3" s="1564"/>
      <c r="C3" s="1564"/>
      <c r="D3" s="1564" t="s">
        <v>867</v>
      </c>
      <c r="E3" s="1566"/>
      <c r="F3" s="1566"/>
      <c r="G3" s="1566" t="s">
        <v>421</v>
      </c>
      <c r="H3" s="1566"/>
      <c r="I3" s="1564" t="s">
        <v>763</v>
      </c>
      <c r="J3" s="1564"/>
      <c r="K3" s="1564"/>
      <c r="L3" s="1564"/>
      <c r="M3" s="1566"/>
      <c r="N3" s="1566" t="s">
        <v>421</v>
      </c>
      <c r="O3" s="1798"/>
      <c r="P3" s="1797"/>
      <c r="Q3" s="1797"/>
    </row>
    <row r="4" customFormat="false" ht="30" hidden="false" customHeight="true" outlineLevel="0" collapsed="false">
      <c r="A4" s="1567" t="s">
        <v>284</v>
      </c>
      <c r="B4" s="1567" t="s">
        <v>852</v>
      </c>
      <c r="C4" s="1567" t="s">
        <v>377</v>
      </c>
      <c r="D4" s="1568" t="s">
        <v>765</v>
      </c>
      <c r="E4" s="1568" t="s">
        <v>766</v>
      </c>
      <c r="F4" s="1568" t="s">
        <v>868</v>
      </c>
      <c r="G4" s="1568" t="s">
        <v>768</v>
      </c>
      <c r="H4" s="1569" t="s">
        <v>869</v>
      </c>
      <c r="I4" s="1567" t="s">
        <v>284</v>
      </c>
      <c r="J4" s="1567" t="s">
        <v>852</v>
      </c>
      <c r="K4" s="1567" t="s">
        <v>377</v>
      </c>
      <c r="L4" s="1568" t="s">
        <v>765</v>
      </c>
      <c r="M4" s="1567" t="s">
        <v>770</v>
      </c>
      <c r="N4" s="1568" t="s">
        <v>771</v>
      </c>
      <c r="O4" s="1799" t="s">
        <v>870</v>
      </c>
      <c r="P4" s="1800" t="n">
        <v>31</v>
      </c>
      <c r="Q4" s="1798"/>
      <c r="R4" s="584"/>
    </row>
    <row r="5" customFormat="false" ht="21.75" hidden="false" customHeight="true" outlineLevel="0" collapsed="false">
      <c r="A5" s="1570" t="s">
        <v>445</v>
      </c>
      <c r="B5" s="1571" t="n">
        <f aca="false">J5+B26+B47+I47+B68+I68</f>
        <v>347616215</v>
      </c>
      <c r="C5" s="1571" t="n">
        <f aca="false">K5+C26+D26+J26+C47+J47+C68+J68</f>
        <v>351591834</v>
      </c>
      <c r="D5" s="1571" t="n">
        <f aca="false">L5+E26+D47+K47+D68+K68</f>
        <v>97893428</v>
      </c>
      <c r="E5" s="1571" t="n">
        <f aca="false">SUM(B5:D5)</f>
        <v>797101477</v>
      </c>
      <c r="F5" s="1571" t="n">
        <f aca="true">OFFSET('☆振替R7'!$B$10,$P$4*$P5,0,1,1)+OFFSET('☆振替R7'!$B$21,$P$4*$P5,0,1,1)</f>
        <v>797101477</v>
      </c>
      <c r="G5" s="1571" t="n">
        <f aca="false">'☆短期集計R7'!E25</f>
        <v>797101477</v>
      </c>
      <c r="H5" s="1572" t="str">
        <f aca="false">IF(AND(E5=F5,E5=G5),"○","×")</f>
        <v>○</v>
      </c>
      <c r="I5" s="1570" t="s">
        <v>445</v>
      </c>
      <c r="J5" s="1571" t="n">
        <f aca="true">OFFSET('☆振替R7'!$C$6,$P$4*$P5,0,1,1)</f>
        <v>311621246</v>
      </c>
      <c r="K5" s="1571" t="n">
        <f aca="true">OFFSET('☆振替R7'!$C$21,$P$4*$P5,0,1,1)</f>
        <v>311276420</v>
      </c>
      <c r="L5" s="1571" t="n">
        <f aca="true">OFFSET('☆振替R7'!$C$8,$P$4*$P5,0,1,1)</f>
        <v>87756757</v>
      </c>
      <c r="M5" s="1571" t="n">
        <f aca="false">SUM(J5:L5)</f>
        <v>710654423</v>
      </c>
      <c r="N5" s="1571" t="n">
        <f aca="true">OFFSET('☆振替R7'!$E$25,$P$4*$P5,0,1,1)</f>
        <v>710654423</v>
      </c>
      <c r="O5" s="1801" t="str">
        <f aca="false">IF(M5=N5,"○","×")</f>
        <v>○</v>
      </c>
      <c r="P5" s="1800" t="n">
        <v>0</v>
      </c>
      <c r="Q5" s="1798"/>
    </row>
    <row r="6" customFormat="false" ht="21.75" hidden="false" customHeight="true" outlineLevel="0" collapsed="false">
      <c r="A6" s="1570" t="s">
        <v>446</v>
      </c>
      <c r="B6" s="1571" t="n">
        <f aca="false">J6+B27+B48+I48+B69+I69</f>
        <v>350207199</v>
      </c>
      <c r="C6" s="1571" t="n">
        <f aca="false">K6+C27+D27+J27+C48+J48+C69+J69</f>
        <v>354839877</v>
      </c>
      <c r="D6" s="1571" t="n">
        <f aca="false">L6+E27+D48+K48+D69+K69</f>
        <v>2192748</v>
      </c>
      <c r="E6" s="1571" t="n">
        <f aca="false">SUM(B6:D6)</f>
        <v>707239824</v>
      </c>
      <c r="F6" s="1571" t="n">
        <f aca="true">OFFSET('☆振替R7'!$B$10,$P$4*$P6,0,1,1)+OFFSET('☆振替R7'!$B$21,$P$4*$P6,0,1,1)</f>
        <v>707239824</v>
      </c>
      <c r="G6" s="1571" t="n">
        <f aca="false">'☆短期集計R7'!E26</f>
        <v>707239824</v>
      </c>
      <c r="H6" s="1572" t="str">
        <f aca="false">IF(AND(E6=F6,E6=G6),"○","×")</f>
        <v>○</v>
      </c>
      <c r="I6" s="1570" t="s">
        <v>446</v>
      </c>
      <c r="J6" s="1571" t="n">
        <f aca="true">OFFSET('☆振替R7'!$C$6,$P$4*$P6,0,1,1)</f>
        <v>313943939</v>
      </c>
      <c r="K6" s="1571" t="n">
        <f aca="true">OFFSET('☆振替R7'!$C$21,$P$4*$P6,0,1,1)</f>
        <v>314156315</v>
      </c>
      <c r="L6" s="1571" t="n">
        <f aca="true">OFFSET('☆振替R7'!$C$8,$P$4*$P6,0,1,1)</f>
        <v>1965693</v>
      </c>
      <c r="M6" s="1571" t="n">
        <f aca="false">SUM(J6:L6)</f>
        <v>630065947</v>
      </c>
      <c r="N6" s="1571" t="n">
        <f aca="true">OFFSET('☆振替R7'!$E$25,$P$4*$P6,0,1,1)</f>
        <v>630065947</v>
      </c>
      <c r="O6" s="1801" t="str">
        <f aca="false">IF(M6=N6,"○","×")</f>
        <v>○</v>
      </c>
      <c r="P6" s="1800" t="n">
        <v>1</v>
      </c>
      <c r="Q6" s="1798"/>
    </row>
    <row r="7" customFormat="false" ht="21.75" hidden="false" customHeight="true" outlineLevel="0" collapsed="false">
      <c r="A7" s="1570" t="s">
        <v>447</v>
      </c>
      <c r="B7" s="1571" t="n">
        <f aca="false">J7+B28+B49+I49+B70+I70</f>
        <v>349686293</v>
      </c>
      <c r="C7" s="1571" t="n">
        <f aca="false">K7+C28+D28+J28+C49+J49+C70+J70</f>
        <v>354141739</v>
      </c>
      <c r="D7" s="1571" t="n">
        <f aca="false">L7+E28+D49+K49+D70+K70</f>
        <v>2880046</v>
      </c>
      <c r="E7" s="1571" t="n">
        <f aca="false">SUM(B7:D7)</f>
        <v>706708078</v>
      </c>
      <c r="F7" s="1571" t="n">
        <f aca="true">OFFSET('☆振替R7'!$B$10,$P$4*$P7,0,1,1)+OFFSET('☆振替R7'!$B$21,$P$4*$P7,0,1,1)</f>
        <v>706708078</v>
      </c>
      <c r="G7" s="1571" t="n">
        <f aca="false">'☆短期集計R7'!E27</f>
        <v>706708078</v>
      </c>
      <c r="H7" s="1572" t="str">
        <f aca="false">IF(AND(E7=F7,E7=G7),"○","×")</f>
        <v>○</v>
      </c>
      <c r="I7" s="1570" t="s">
        <v>447</v>
      </c>
      <c r="J7" s="1571" t="n">
        <f aca="true">OFFSET('☆振替R7'!$C$6,$P$4*$P7,0,1,1)</f>
        <v>313476971</v>
      </c>
      <c r="K7" s="1571" t="n">
        <f aca="true">OFFSET('☆振替R7'!$C$21,$P$4*$P7,0,1,1)</f>
        <v>313538725</v>
      </c>
      <c r="L7" s="1571" t="n">
        <f aca="true">OFFSET('☆振替R7'!$C$8,$P$4*$P7,0,1,1)</f>
        <v>2581822</v>
      </c>
      <c r="M7" s="1571" t="n">
        <f aca="false">SUM(J7:L7)</f>
        <v>629597518</v>
      </c>
      <c r="N7" s="1571" t="n">
        <f aca="true">OFFSET('☆振替R7'!$E$25,$P$4*$P7,0,1,1)</f>
        <v>629597518</v>
      </c>
      <c r="O7" s="1801" t="str">
        <f aca="false">IF(M7=N7,"○","×")</f>
        <v>○</v>
      </c>
      <c r="P7" s="1800" t="n">
        <v>2</v>
      </c>
      <c r="Q7" s="1798"/>
    </row>
    <row r="8" customFormat="false" ht="21.75" hidden="false" customHeight="true" outlineLevel="0" collapsed="false">
      <c r="A8" s="1570" t="s">
        <v>773</v>
      </c>
      <c r="B8" s="1571" t="n">
        <f aca="false">J8+B29+B50+I50+B71+I71</f>
        <v>614527425</v>
      </c>
      <c r="C8" s="1571" t="n">
        <f aca="false">K8+C29+D29+J29+C50+J50+C71+J71</f>
        <v>622929746</v>
      </c>
      <c r="D8" s="1574" t="n">
        <f aca="false">L8+E29+D50+K50+D71+K71</f>
        <v>0</v>
      </c>
      <c r="E8" s="1571" t="n">
        <f aca="false">SUM(B8:D8)</f>
        <v>1237457171</v>
      </c>
      <c r="F8" s="1571" t="n">
        <f aca="true">OFFSET('☆振替R7'!$B$10,$P$4*$P8,0,1,1)+OFFSET('☆振替R7'!$B$21,$P$4*$P8,0,1,1)</f>
        <v>1237457171</v>
      </c>
      <c r="G8" s="1571" t="n">
        <f aca="false">'☆短期集計R7'!E28</f>
        <v>1237457171</v>
      </c>
      <c r="H8" s="1572" t="str">
        <f aca="false">IF(AND(E8=F8,E8=G8),"○","×")</f>
        <v>○</v>
      </c>
      <c r="I8" s="1570" t="s">
        <v>773</v>
      </c>
      <c r="J8" s="1571" t="n">
        <f aca="true">OFFSET('☆振替R7'!$C$6,$P$4*$P8,0,1,1)</f>
        <v>550894330</v>
      </c>
      <c r="K8" s="1571" t="n">
        <f aca="true">OFFSET('☆振替R7'!$C$21,$P$4*$P8,0,1,1)</f>
        <v>550983780</v>
      </c>
      <c r="L8" s="1574" t="n">
        <f aca="true">OFFSET('☆振替R7'!$C$8,$P$4*$P8,0,1,1)</f>
        <v>0</v>
      </c>
      <c r="M8" s="1571" t="n">
        <f aca="false">SUM(J8:L8)</f>
        <v>1101878110</v>
      </c>
      <c r="N8" s="1571" t="n">
        <f aca="true">OFFSET('☆振替R7'!$E$25,$P$4*$P8,0,1,1)</f>
        <v>1101878110</v>
      </c>
      <c r="O8" s="1801" t="str">
        <f aca="false">IF(M8=N8,"○","×")</f>
        <v>○</v>
      </c>
      <c r="P8" s="1800" t="n">
        <v>3</v>
      </c>
      <c r="Q8" s="1798"/>
    </row>
    <row r="9" customFormat="false" ht="21.75" hidden="false" customHeight="true" outlineLevel="0" collapsed="false">
      <c r="A9" s="1570" t="s">
        <v>448</v>
      </c>
      <c r="B9" s="1571" t="n">
        <f aca="false">J9+B30+B51+I51+B72+I72</f>
        <v>355477296</v>
      </c>
      <c r="C9" s="1571" t="n">
        <f aca="false">K9+C30+D30+J30+C51+J51+C72+J72</f>
        <v>360215631</v>
      </c>
      <c r="D9" s="1571" t="n">
        <f aca="false">L9+E30+D51+K51+D72+K72</f>
        <v>1298881</v>
      </c>
      <c r="E9" s="1571" t="n">
        <f aca="false">SUM(B9:D9)</f>
        <v>716991808</v>
      </c>
      <c r="F9" s="1571" t="n">
        <f aca="true">OFFSET('☆振替R7'!$B$10,$P$4*$P9,0,1,1)+OFFSET('☆振替R7'!$B$21,$P$4*$P9,0,1,1)</f>
        <v>716991808</v>
      </c>
      <c r="G9" s="1571" t="n">
        <f aca="false">'☆短期集計R7'!E29</f>
        <v>716991808</v>
      </c>
      <c r="H9" s="1572" t="str">
        <f aca="false">IF(AND(E9=F9,E9=G9),"○","×")</f>
        <v>○</v>
      </c>
      <c r="I9" s="1570" t="s">
        <v>448</v>
      </c>
      <c r="J9" s="1571" t="n">
        <f aca="true">OFFSET('☆振替R7'!$C$6,$P$4*$P9,0,1,1)</f>
        <v>318668328</v>
      </c>
      <c r="K9" s="1571" t="n">
        <f aca="true">OFFSET('☆振替R7'!$C$21,$P$4*$P9,0,1,1)</f>
        <v>318900406</v>
      </c>
      <c r="L9" s="1571" t="n">
        <f aca="true">OFFSET('☆振替R7'!$C$8,$P$4*$P9,0,1,1)</f>
        <v>1164384</v>
      </c>
      <c r="M9" s="1571" t="n">
        <f aca="false">SUM(J9:L9)</f>
        <v>638733118</v>
      </c>
      <c r="N9" s="1571" t="n">
        <f aca="true">OFFSET('☆振替R7'!$E$25,$P$4*$P9,0,1,1)</f>
        <v>638733118</v>
      </c>
      <c r="O9" s="1801" t="str">
        <f aca="false">IF(M9=N9,"○","×")</f>
        <v>○</v>
      </c>
      <c r="P9" s="1800" t="n">
        <v>4</v>
      </c>
      <c r="Q9" s="1798"/>
    </row>
    <row r="10" customFormat="false" ht="21.75" hidden="false" customHeight="true" outlineLevel="0" collapsed="false">
      <c r="A10" s="1570" t="s">
        <v>449</v>
      </c>
      <c r="B10" s="1571" t="n">
        <f aca="false">J10+B31+B52+I52+B73+I73</f>
        <v>352107037</v>
      </c>
      <c r="C10" s="1571" t="n">
        <f aca="false">K10+C31+D31+J31+C52+J52+C73+J73</f>
        <v>356751068</v>
      </c>
      <c r="D10" s="1571" t="n">
        <f aca="false">L10+E31+D52+K52+D73+K73</f>
        <v>1918883</v>
      </c>
      <c r="E10" s="1571" t="n">
        <f aca="false">SUM(B10:D10)</f>
        <v>710776988</v>
      </c>
      <c r="F10" s="1571" t="n">
        <f aca="true">OFFSET('☆振替R7'!$B$10,$P$4*$P10,0,1,1)+OFFSET('☆振替R7'!$B$21,$P$4*$P10,0,1,1)</f>
        <v>710776988</v>
      </c>
      <c r="G10" s="1571" t="n">
        <f aca="false">'☆短期集計R7'!E30</f>
        <v>710776988</v>
      </c>
      <c r="H10" s="1572" t="str">
        <f aca="false">IF(AND(E10=F10,E10=G10),"○","×")</f>
        <v>○</v>
      </c>
      <c r="I10" s="1570" t="s">
        <v>449</v>
      </c>
      <c r="J10" s="1571" t="n">
        <f aca="true">OFFSET('☆振替R7'!$C$6,$P$4*$P10,0,1,1)</f>
        <v>315647052</v>
      </c>
      <c r="K10" s="1571" t="n">
        <f aca="true">OFFSET('☆振替R7'!$C$21,$P$4*$P10,0,1,1)</f>
        <v>315839465</v>
      </c>
      <c r="L10" s="1571" t="n">
        <f aca="true">OFFSET('☆振替R7'!$C$8,$P$4*$P10,0,1,1)</f>
        <v>1720186</v>
      </c>
      <c r="M10" s="1571" t="n">
        <f aca="false">SUM(J10:L10)</f>
        <v>633206703</v>
      </c>
      <c r="N10" s="1571" t="n">
        <f aca="true">OFFSET('☆振替R7'!$E$25,$P$4*$P10,0,1,1)</f>
        <v>633206703</v>
      </c>
      <c r="O10" s="1801" t="str">
        <f aca="false">IF(M10=N10,"○","×")</f>
        <v>○</v>
      </c>
      <c r="P10" s="1800" t="n">
        <v>5</v>
      </c>
      <c r="Q10" s="1798"/>
    </row>
    <row r="11" customFormat="false" ht="21.75" hidden="false" customHeight="true" outlineLevel="0" collapsed="false">
      <c r="A11" s="1570" t="s">
        <v>450</v>
      </c>
      <c r="B11" s="1571" t="n">
        <f aca="false">J11+B32+B53+I53+B74+I74</f>
        <v>355514939</v>
      </c>
      <c r="C11" s="1571" t="n">
        <f aca="false">K11+C32+D32+J32+C53+J53+C74+J74</f>
        <v>360138827</v>
      </c>
      <c r="D11" s="1571" t="n">
        <f aca="false">L11+E32+D53+K53+D74+K74</f>
        <v>4935296</v>
      </c>
      <c r="E11" s="1571" t="n">
        <f aca="false">SUM(B11:D11)</f>
        <v>720589062</v>
      </c>
      <c r="F11" s="1571" t="n">
        <f aca="true">OFFSET('☆振替R7'!$B$10,$P$4*$P11,0,1,1)+OFFSET('☆振替R7'!$B$21,$P$4*$P11,0,1,1)</f>
        <v>720589062</v>
      </c>
      <c r="G11" s="1571" t="n">
        <f aca="false">'☆短期集計R7'!E31</f>
        <v>720589062</v>
      </c>
      <c r="H11" s="1572" t="str">
        <f aca="false">IF(AND(E11=F11,E11=G11),"○","×")</f>
        <v>○</v>
      </c>
      <c r="I11" s="1570" t="s">
        <v>450</v>
      </c>
      <c r="J11" s="1571" t="n">
        <f aca="true">OFFSET('☆振替R7'!$C$6,$P$4*$P11,0,1,1)</f>
        <v>318702073</v>
      </c>
      <c r="K11" s="1571" t="n">
        <f aca="true">OFFSET('☆振替R7'!$C$21,$P$4*$P11,0,1,1)</f>
        <v>318823182</v>
      </c>
      <c r="L11" s="1571" t="n">
        <f aca="true">OFFSET('☆振替R7'!$C$8,$P$4*$P11,0,1,1)</f>
        <v>4424255</v>
      </c>
      <c r="M11" s="1571" t="n">
        <f aca="false">SUM(J11:L11)</f>
        <v>641949510</v>
      </c>
      <c r="N11" s="1571" t="n">
        <f aca="true">OFFSET('☆振替R7'!$E$25,$P$4*$P11,0,1,1)</f>
        <v>641949510</v>
      </c>
      <c r="O11" s="1801" t="str">
        <f aca="false">IF(M11=N11,"○","×")</f>
        <v>○</v>
      </c>
      <c r="P11" s="1800" t="n">
        <v>6</v>
      </c>
      <c r="Q11" s="1802"/>
    </row>
    <row r="12" customFormat="false" ht="21.75" hidden="false" customHeight="true" outlineLevel="0" collapsed="false">
      <c r="A12" s="1570" t="s">
        <v>451</v>
      </c>
      <c r="B12" s="1571" t="n">
        <f aca="false">J12+B33+B54+I54+B75+I75</f>
        <v>365227784</v>
      </c>
      <c r="C12" s="1571" t="n">
        <f aca="false">K12+C33+D33+J33+C54+J54+C75+J75</f>
        <v>370249515</v>
      </c>
      <c r="D12" s="1571" t="n">
        <f aca="false">L12+E33+D54+K54+D75+K75</f>
        <v>2298242</v>
      </c>
      <c r="E12" s="1571" t="n">
        <f aca="false">SUM(B12:D12)</f>
        <v>737775541</v>
      </c>
      <c r="F12" s="1571" t="n">
        <f aca="true">OFFSET('☆振替R7'!$B$10,$P$4*$P12,0,1,1)+OFFSET('☆振替R7'!$B$21,$P$4*$P12,0,1,1)</f>
        <v>737775541</v>
      </c>
      <c r="G12" s="1571" t="n">
        <f aca="false">'☆短期集計R7'!E32</f>
        <v>737775541</v>
      </c>
      <c r="H12" s="1572" t="str">
        <f aca="false">IF(AND(E12=F12,E12=G12),"○","×")</f>
        <v>○</v>
      </c>
      <c r="I12" s="1570" t="s">
        <v>451</v>
      </c>
      <c r="J12" s="1571" t="n">
        <f aca="true">OFFSET('☆振替R7'!$C$6,$P$4*$P12,0,1,1)</f>
        <v>327409172</v>
      </c>
      <c r="K12" s="1571" t="n">
        <f aca="true">OFFSET('☆振替R7'!$C$21,$P$4*$P12,0,1,1)</f>
        <v>327771551</v>
      </c>
      <c r="L12" s="1571" t="n">
        <f aca="true">OFFSET('☆振替R7'!$C$8,$P$4*$P12,0,1,1)</f>
        <v>2060263</v>
      </c>
      <c r="M12" s="1571" t="n">
        <f aca="false">SUM(J12:L12)</f>
        <v>657240986</v>
      </c>
      <c r="N12" s="1571" t="n">
        <f aca="true">OFFSET('☆振替R7'!$E$25,$P$4*$P12,0,1,1)</f>
        <v>657240986</v>
      </c>
      <c r="O12" s="1801" t="str">
        <f aca="false">IF(M12=N12,"○","×")</f>
        <v>○</v>
      </c>
      <c r="P12" s="1800" t="n">
        <v>7</v>
      </c>
      <c r="Q12" s="1802"/>
    </row>
    <row r="13" customFormat="false" ht="21.75" hidden="false" customHeight="true" outlineLevel="0" collapsed="false">
      <c r="A13" s="1570" t="s">
        <v>452</v>
      </c>
      <c r="B13" s="1571" t="n">
        <f aca="false">J13+B34+B55+I55+B76+I76</f>
        <v>364811284</v>
      </c>
      <c r="C13" s="1571" t="n">
        <f aca="false">K13+C34+D34+J34+C55+J55+C76+J76</f>
        <v>369564417</v>
      </c>
      <c r="D13" s="1571" t="n">
        <f aca="false">L13+E34+D55+K55+D76+K76</f>
        <v>1013274</v>
      </c>
      <c r="E13" s="1571" t="n">
        <f aca="false">SUM(B13:D13)</f>
        <v>735388975</v>
      </c>
      <c r="F13" s="1571" t="n">
        <f aca="true">OFFSET('☆振替R7'!$B$10,$P$4*$P13,0,1,1)+OFFSET('☆振替R7'!$B$21,$P$4*$P13,0,1,1)</f>
        <v>735388975</v>
      </c>
      <c r="G13" s="1571" t="n">
        <f aca="false">'☆短期集計R7'!E33</f>
        <v>735388975</v>
      </c>
      <c r="H13" s="1572" t="str">
        <f aca="false">IF(AND(E13=F13,E13=G13),"○","×")</f>
        <v>○</v>
      </c>
      <c r="I13" s="1570" t="s">
        <v>452</v>
      </c>
      <c r="J13" s="1571" t="n">
        <f aca="true">OFFSET('☆振替R7'!$C$6,$P$4*$P13,0,1,1)</f>
        <v>327035800</v>
      </c>
      <c r="K13" s="1571" t="n">
        <f aca="true">OFFSET('☆振替R7'!$C$21,$P$4*$P13,0,1,1)</f>
        <v>327165828</v>
      </c>
      <c r="L13" s="1571" t="n">
        <f aca="true">OFFSET('☆振替R7'!$C$8,$P$4*$P13,0,1,1)</f>
        <v>908351</v>
      </c>
      <c r="M13" s="1571" t="n">
        <f aca="false">SUM(J13:L13)</f>
        <v>655109979</v>
      </c>
      <c r="N13" s="1571" t="n">
        <f aca="true">OFFSET('☆振替R7'!$E$25,$P$4*$P13,0,1,1)</f>
        <v>655109979</v>
      </c>
      <c r="O13" s="1801" t="str">
        <f aca="false">IF(M13=N13,"○","×")</f>
        <v>○</v>
      </c>
      <c r="P13" s="1800" t="n">
        <v>8</v>
      </c>
      <c r="Q13" s="1802"/>
    </row>
    <row r="14" customFormat="false" ht="21.75" hidden="false" customHeight="true" outlineLevel="0" collapsed="false">
      <c r="A14" s="1803" t="s">
        <v>774</v>
      </c>
      <c r="B14" s="1804" t="n">
        <f aca="false">J14+B35+B56+I56+B77+I77</f>
        <v>614527425</v>
      </c>
      <c r="C14" s="1804" t="n">
        <f aca="false">K14+C35+D35+J35+C56+J56+C77+J77</f>
        <v>622929746</v>
      </c>
      <c r="D14" s="1804" t="n">
        <f aca="false">L14+E35+D56+K56+D77+K77</f>
        <v>0</v>
      </c>
      <c r="E14" s="1804" t="n">
        <f aca="false">SUM(B14:D14)</f>
        <v>1237457171</v>
      </c>
      <c r="F14" s="1804" t="n">
        <f aca="false">E14</f>
        <v>1237457171</v>
      </c>
      <c r="G14" s="1804" t="n">
        <f aca="false">F14</f>
        <v>1237457171</v>
      </c>
      <c r="H14" s="1572" t="str">
        <f aca="false">IF(AND(E14=F14,E14=G14),"○","×")</f>
        <v>○</v>
      </c>
      <c r="I14" s="1803" t="s">
        <v>774</v>
      </c>
      <c r="J14" s="1804" t="n">
        <f aca="false">ROUND(J8/$N$32*$N$33,0)</f>
        <v>550894330</v>
      </c>
      <c r="K14" s="1804" t="n">
        <f aca="false">ROUND(K8/$N$32*$N$33,0)</f>
        <v>550983780</v>
      </c>
      <c r="L14" s="1804" t="n">
        <v>0</v>
      </c>
      <c r="M14" s="1804" t="n">
        <f aca="false">SUM(J14:L14)</f>
        <v>1101878110</v>
      </c>
      <c r="N14" s="1804" t="n">
        <f aca="false">M14</f>
        <v>1101878110</v>
      </c>
      <c r="O14" s="1801" t="str">
        <f aca="false">IF(M14=N14,"○","×")</f>
        <v>○</v>
      </c>
      <c r="P14" s="1800" t="n">
        <v>9</v>
      </c>
      <c r="Q14" s="1802"/>
    </row>
    <row r="15" customFormat="false" ht="21.75" hidden="false" customHeight="true" outlineLevel="0" collapsed="false">
      <c r="A15" s="1803" t="s">
        <v>453</v>
      </c>
      <c r="B15" s="1804" t="n">
        <f aca="false">J15+B36+B57+I57+B78+I78</f>
        <v>364811284</v>
      </c>
      <c r="C15" s="1804" t="n">
        <f aca="false">K15+C36+D36+J36+C57+J57+C78+J78</f>
        <v>369564417</v>
      </c>
      <c r="D15" s="1804" t="n">
        <f aca="false">L15+E36+D57+K57+D78+K78</f>
        <v>1013274</v>
      </c>
      <c r="E15" s="1804" t="n">
        <f aca="false">SUM(B15:D15)</f>
        <v>735388975</v>
      </c>
      <c r="F15" s="1804" t="n">
        <f aca="false">E15</f>
        <v>735388975</v>
      </c>
      <c r="G15" s="1804" t="n">
        <f aca="false">F15</f>
        <v>735388975</v>
      </c>
      <c r="H15" s="1572" t="str">
        <f aca="false">IF(AND(E15=F15,E15=G15),"○","×")</f>
        <v>○</v>
      </c>
      <c r="I15" s="1803" t="s">
        <v>453</v>
      </c>
      <c r="J15" s="1804" t="n">
        <f aca="false">J13</f>
        <v>327035800</v>
      </c>
      <c r="K15" s="1804" t="n">
        <f aca="false">K13</f>
        <v>327165828</v>
      </c>
      <c r="L15" s="1804" t="n">
        <f aca="false">L13</f>
        <v>908351</v>
      </c>
      <c r="M15" s="1804" t="n">
        <f aca="false">SUM(J15:L15)</f>
        <v>655109979</v>
      </c>
      <c r="N15" s="1804" t="n">
        <f aca="false">M15</f>
        <v>655109979</v>
      </c>
      <c r="O15" s="1801" t="str">
        <f aca="false">IF(M15=N15,"○","×")</f>
        <v>○</v>
      </c>
      <c r="P15" s="1800" t="n">
        <v>10</v>
      </c>
      <c r="Q15" s="1802"/>
    </row>
    <row r="16" customFormat="false" ht="21.75" hidden="false" customHeight="true" outlineLevel="0" collapsed="false">
      <c r="A16" s="1803" t="s">
        <v>454</v>
      </c>
      <c r="B16" s="1804" t="n">
        <f aca="false">J16+B37+B58+I58+B79+I79</f>
        <v>364811284</v>
      </c>
      <c r="C16" s="1804" t="n">
        <f aca="false">K16+C37+D37+J37+C58+J58+C79+J79</f>
        <v>369564417</v>
      </c>
      <c r="D16" s="1804" t="n">
        <f aca="false">L16+E37+D58+K58+D79+K79</f>
        <v>1013274</v>
      </c>
      <c r="E16" s="1804" t="n">
        <f aca="false">SUM(B16:D16)</f>
        <v>735388975</v>
      </c>
      <c r="F16" s="1804" t="n">
        <f aca="false">E16</f>
        <v>735388975</v>
      </c>
      <c r="G16" s="1804" t="n">
        <f aca="false">F16</f>
        <v>735388975</v>
      </c>
      <c r="H16" s="1572" t="str">
        <f aca="false">IF(AND(E16=F16,E16=G16),"○","×")</f>
        <v>○</v>
      </c>
      <c r="I16" s="1803" t="s">
        <v>454</v>
      </c>
      <c r="J16" s="1804" t="n">
        <f aca="false">J15</f>
        <v>327035800</v>
      </c>
      <c r="K16" s="1804" t="n">
        <f aca="false">K15</f>
        <v>327165828</v>
      </c>
      <c r="L16" s="1804" t="n">
        <f aca="false">L15</f>
        <v>908351</v>
      </c>
      <c r="M16" s="1804" t="n">
        <f aca="false">SUM(J16:L16)</f>
        <v>655109979</v>
      </c>
      <c r="N16" s="1804" t="n">
        <f aca="false">M16</f>
        <v>655109979</v>
      </c>
      <c r="O16" s="1801" t="str">
        <f aca="false">IF(M16=N16,"○","×")</f>
        <v>○</v>
      </c>
      <c r="P16" s="1800" t="n">
        <v>11</v>
      </c>
      <c r="Q16" s="1802"/>
    </row>
    <row r="17" customFormat="false" ht="21.75" hidden="false" customHeight="true" outlineLevel="0" collapsed="false">
      <c r="A17" s="1803" t="s">
        <v>455</v>
      </c>
      <c r="B17" s="1804" t="n">
        <f aca="false">J17+B38+B59+I59+B80+I80</f>
        <v>364811284</v>
      </c>
      <c r="C17" s="1804" t="n">
        <f aca="false">K17+C38+D38+J38+C59+J59+C80+J80</f>
        <v>369564417</v>
      </c>
      <c r="D17" s="1804" t="n">
        <f aca="false">L17+E38+D59+K59+D80+K80</f>
        <v>1013274</v>
      </c>
      <c r="E17" s="1804" t="n">
        <f aca="false">SUM(B17:D17)</f>
        <v>735388975</v>
      </c>
      <c r="F17" s="1804" t="n">
        <f aca="false">E17</f>
        <v>735388975</v>
      </c>
      <c r="G17" s="1804" t="n">
        <f aca="false">F17</f>
        <v>735388975</v>
      </c>
      <c r="H17" s="1572" t="str">
        <f aca="false">IF(AND(E17=F17,E17=G17),"○","×")</f>
        <v>○</v>
      </c>
      <c r="I17" s="1803" t="s">
        <v>455</v>
      </c>
      <c r="J17" s="1804" t="n">
        <f aca="false">J16</f>
        <v>327035800</v>
      </c>
      <c r="K17" s="1804" t="n">
        <f aca="false">K16</f>
        <v>327165828</v>
      </c>
      <c r="L17" s="1804" t="n">
        <f aca="false">L16</f>
        <v>908351</v>
      </c>
      <c r="M17" s="1804" t="n">
        <f aca="false">SUM(J17:L17)</f>
        <v>655109979</v>
      </c>
      <c r="N17" s="1804" t="n">
        <f aca="false">M17</f>
        <v>655109979</v>
      </c>
      <c r="O17" s="1801" t="str">
        <f aca="false">IF(M17=N17,"○","×")</f>
        <v>○</v>
      </c>
      <c r="P17" s="1800" t="n">
        <v>12</v>
      </c>
      <c r="Q17" s="1802"/>
    </row>
    <row r="18" customFormat="false" ht="21.75" hidden="false" customHeight="true" outlineLevel="0" collapsed="false">
      <c r="A18" s="1803" t="s">
        <v>775</v>
      </c>
      <c r="B18" s="1804" t="n">
        <f aca="false">J18+B39+B60+I60+B81+I81</f>
        <v>131684449</v>
      </c>
      <c r="C18" s="1804" t="n">
        <f aca="false">K18+C39+D39+J39+C60+J60+C81+J81</f>
        <v>133484946</v>
      </c>
      <c r="D18" s="1804" t="n">
        <f aca="false">L18+E39+D60+K60+D81+K81</f>
        <v>0</v>
      </c>
      <c r="E18" s="1804" t="n">
        <f aca="false">SUM(B18:D18)</f>
        <v>265169395</v>
      </c>
      <c r="F18" s="1804" t="n">
        <f aca="false">E18</f>
        <v>265169395</v>
      </c>
      <c r="G18" s="1804" t="n">
        <f aca="false">F18</f>
        <v>265169395</v>
      </c>
      <c r="H18" s="1572" t="str">
        <f aca="false">IF(AND(E18=F18,E18=G18),"○","×")</f>
        <v>○</v>
      </c>
      <c r="I18" s="1803" t="s">
        <v>775</v>
      </c>
      <c r="J18" s="1804" t="n">
        <f aca="false">ROUND(J8/$N$32*$N$34,0)</f>
        <v>118048785</v>
      </c>
      <c r="K18" s="1804" t="n">
        <f aca="false">ROUND(K8/$N$32*$N$34,0)</f>
        <v>118067953</v>
      </c>
      <c r="L18" s="1804" t="n">
        <v>0</v>
      </c>
      <c r="M18" s="1804" t="n">
        <f aca="false">SUM(J18:L18)</f>
        <v>236116738</v>
      </c>
      <c r="N18" s="1804" t="n">
        <f aca="false">M18</f>
        <v>236116738</v>
      </c>
      <c r="O18" s="1801" t="str">
        <f aca="false">IF(M18=N18,"○","×")</f>
        <v>○</v>
      </c>
      <c r="P18" s="1800" t="n">
        <v>13</v>
      </c>
      <c r="Q18" s="1802"/>
    </row>
    <row r="19" customFormat="false" ht="21.75" hidden="false" customHeight="true" outlineLevel="0" collapsed="false">
      <c r="A19" s="1803" t="s">
        <v>456</v>
      </c>
      <c r="B19" s="1804" t="n">
        <f aca="false">J19+B40+B61+I61+B82+I82</f>
        <v>364811284</v>
      </c>
      <c r="C19" s="1804" t="n">
        <f aca="false">K19+C40+D40+J40+C61+J61+C82+J82</f>
        <v>369564417</v>
      </c>
      <c r="D19" s="1804" t="n">
        <f aca="false">L19+E40+D61+K61+D82+K82</f>
        <v>1013274</v>
      </c>
      <c r="E19" s="1804" t="n">
        <f aca="false">SUM(B19:D19)</f>
        <v>735388975</v>
      </c>
      <c r="F19" s="1804" t="n">
        <f aca="false">E19</f>
        <v>735388975</v>
      </c>
      <c r="G19" s="1804" t="n">
        <f aca="false">F19</f>
        <v>735388975</v>
      </c>
      <c r="H19" s="1572" t="str">
        <f aca="false">IF(AND(E19=F19,E19=G19),"○","×")</f>
        <v>○</v>
      </c>
      <c r="I19" s="1803" t="s">
        <v>456</v>
      </c>
      <c r="J19" s="1804" t="n">
        <f aca="false">J17</f>
        <v>327035800</v>
      </c>
      <c r="K19" s="1804" t="n">
        <f aca="false">K17</f>
        <v>327165828</v>
      </c>
      <c r="L19" s="1804" t="n">
        <f aca="false">L17</f>
        <v>908351</v>
      </c>
      <c r="M19" s="1804" t="n">
        <f aca="false">SUM(J19:L19)</f>
        <v>655109979</v>
      </c>
      <c r="N19" s="1804" t="n">
        <f aca="false">M19</f>
        <v>655109979</v>
      </c>
      <c r="O19" s="1801" t="str">
        <f aca="false">IF(M19=N19,"○","×")</f>
        <v>○</v>
      </c>
      <c r="P19" s="1800" t="n">
        <v>14</v>
      </c>
      <c r="Q19" s="1802"/>
    </row>
    <row r="20" customFormat="false" ht="21.75" hidden="false" customHeight="true" outlineLevel="0" collapsed="false">
      <c r="A20" s="1805" t="s">
        <v>526</v>
      </c>
      <c r="B20" s="1804" t="n">
        <f aca="false">J20+B41+B62+I62+B83+I83</f>
        <v>0</v>
      </c>
      <c r="C20" s="1804" t="n">
        <f aca="false">K20+C41+D41+J41+C62+J62+C83+J83</f>
        <v>0</v>
      </c>
      <c r="D20" s="1804" t="n">
        <f aca="false">L20+E41+D62+K62+D83+K83</f>
        <v>0</v>
      </c>
      <c r="E20" s="1804" t="n">
        <f aca="false">SUM(B20:D20)</f>
        <v>0</v>
      </c>
      <c r="F20" s="1804" t="n">
        <f aca="false">E20</f>
        <v>0</v>
      </c>
      <c r="G20" s="1804" t="n">
        <f aca="false">F20</f>
        <v>0</v>
      </c>
      <c r="H20" s="1572" t="str">
        <f aca="false">IF(AND(E20=F20,E20=G20),"○","×")</f>
        <v>○</v>
      </c>
      <c r="I20" s="1805" t="s">
        <v>526</v>
      </c>
      <c r="J20" s="1804" t="n">
        <f aca="false">ROUND(J8*$N$35%,0)</f>
        <v>0</v>
      </c>
      <c r="K20" s="1804" t="n">
        <f aca="false">ROUND(K8*$N$35%,0)</f>
        <v>0</v>
      </c>
      <c r="L20" s="1804" t="n">
        <v>0</v>
      </c>
      <c r="M20" s="1804" t="n">
        <f aca="false">SUM(J20:L20)</f>
        <v>0</v>
      </c>
      <c r="N20" s="1804" t="n">
        <f aca="false">M20</f>
        <v>0</v>
      </c>
      <c r="O20" s="1801" t="str">
        <f aca="false">IF(M20=N20,"○","×")</f>
        <v>○</v>
      </c>
      <c r="P20" s="1800" t="n">
        <v>15</v>
      </c>
      <c r="Q20" s="1806"/>
    </row>
    <row r="21" customFormat="false" ht="21.75" hidden="false" customHeight="true" outlineLevel="0" collapsed="false">
      <c r="A21" s="1805" t="s">
        <v>527</v>
      </c>
      <c r="B21" s="1804" t="n">
        <f aca="false">J21+B42+B63+I63+B84+I84</f>
        <v>0</v>
      </c>
      <c r="C21" s="1804" t="n">
        <f aca="false">K21+C42+D42+J42+C63+J63+C84+J84</f>
        <v>0</v>
      </c>
      <c r="D21" s="1804" t="n">
        <f aca="false">L21+E42+D63+K63+D84+K84</f>
        <v>0</v>
      </c>
      <c r="E21" s="1804" t="n">
        <f aca="false">SUM(B21:D21)</f>
        <v>0</v>
      </c>
      <c r="F21" s="1804" t="n">
        <f aca="false">E21</f>
        <v>0</v>
      </c>
      <c r="G21" s="1804" t="n">
        <f aca="false">F21</f>
        <v>0</v>
      </c>
      <c r="H21" s="1572" t="str">
        <f aca="false">IF(AND(E21=F21,E21=G21),"○","×")</f>
        <v>○</v>
      </c>
      <c r="I21" s="1805" t="s">
        <v>527</v>
      </c>
      <c r="J21" s="1804" t="n">
        <f aca="false">ROUND(J14*$N$35%,0)</f>
        <v>0</v>
      </c>
      <c r="K21" s="1804" t="n">
        <f aca="false">ROUND(K14*$N$35%,0)</f>
        <v>0</v>
      </c>
      <c r="L21" s="1804" t="n">
        <v>0</v>
      </c>
      <c r="M21" s="1804" t="n">
        <f aca="false">SUM(J21:L21)</f>
        <v>0</v>
      </c>
      <c r="N21" s="1804" t="n">
        <f aca="false">M21</f>
        <v>0</v>
      </c>
      <c r="O21" s="1801" t="str">
        <f aca="false">IF(M21=N21,"○","×")</f>
        <v>○</v>
      </c>
      <c r="P21" s="1807" t="n">
        <v>16</v>
      </c>
      <c r="Q21" s="1806"/>
    </row>
    <row r="22" customFormat="false" ht="21.75" hidden="false" customHeight="true" outlineLevel="0" collapsed="false">
      <c r="A22" s="1567" t="s">
        <v>457</v>
      </c>
      <c r="B22" s="1571" t="n">
        <f aca="false">SUM(B5:B21)</f>
        <v>5660632482</v>
      </c>
      <c r="C22" s="1571" t="n">
        <f aca="false">SUM(C5:C21)</f>
        <v>5735095014</v>
      </c>
      <c r="D22" s="1571" t="n">
        <f aca="false">SUM(D5:D21)</f>
        <v>118483894</v>
      </c>
      <c r="E22" s="1571" t="n">
        <f aca="false">SUM(E5:E21)</f>
        <v>11514211390</v>
      </c>
      <c r="F22" s="1571" t="n">
        <f aca="false">SUM(F5:F21)</f>
        <v>11514211390</v>
      </c>
      <c r="G22" s="1571" t="n">
        <f aca="false">SUM(G5:G21)</f>
        <v>11514211390</v>
      </c>
      <c r="H22" s="1572" t="str">
        <f aca="false">IF(AND(E22=F22,E22=G22),"○","×")</f>
        <v>○</v>
      </c>
      <c r="I22" s="1567" t="s">
        <v>457</v>
      </c>
      <c r="J22" s="1571" t="n">
        <f aca="false">SUM(J5:J21)</f>
        <v>5074485226</v>
      </c>
      <c r="K22" s="1571" t="n">
        <f aca="false">SUM(K5:K21)</f>
        <v>5076170717</v>
      </c>
      <c r="L22" s="1571" t="n">
        <f aca="false">SUM(L5:L21)</f>
        <v>106215115</v>
      </c>
      <c r="M22" s="1571" t="n">
        <f aca="false">SUM(M5:M21)</f>
        <v>10256871058</v>
      </c>
      <c r="N22" s="1571" t="n">
        <f aca="false">SUM(N5:N21)</f>
        <v>10256871058</v>
      </c>
      <c r="O22" s="1573" t="str">
        <f aca="false">IF(M22=N22,"○","×")</f>
        <v>○</v>
      </c>
      <c r="P22" s="1808"/>
      <c r="Q22" s="1809"/>
    </row>
    <row r="23" customFormat="false" ht="21.75" hidden="false" customHeight="true" outlineLevel="0" collapsed="false">
      <c r="A23" s="1577"/>
      <c r="B23" s="1578"/>
      <c r="C23" s="1578"/>
      <c r="D23" s="1578"/>
      <c r="E23" s="1578"/>
      <c r="F23" s="1578"/>
      <c r="G23" s="1578"/>
      <c r="H23" s="1579"/>
      <c r="I23" s="1577"/>
      <c r="J23" s="1578"/>
      <c r="K23" s="1578"/>
      <c r="L23" s="1578"/>
      <c r="M23" s="1578"/>
      <c r="N23" s="1578"/>
      <c r="O23" s="1580"/>
      <c r="P23" s="1810"/>
      <c r="Q23" s="1124"/>
    </row>
    <row r="24" customFormat="false" ht="21.75" hidden="false" customHeight="true" outlineLevel="0" collapsed="false">
      <c r="A24" s="1564" t="s">
        <v>871</v>
      </c>
      <c r="B24" s="1581"/>
      <c r="C24" s="1582"/>
      <c r="D24" s="1582"/>
      <c r="E24" s="1582"/>
      <c r="F24" s="1564"/>
      <c r="G24" s="1566" t="s">
        <v>421</v>
      </c>
      <c r="H24" s="1564"/>
      <c r="I24" s="1564" t="s">
        <v>872</v>
      </c>
      <c r="J24" s="1581"/>
      <c r="K24" s="1582"/>
      <c r="L24" s="1582"/>
      <c r="M24" s="1564"/>
      <c r="N24" s="1564"/>
      <c r="O24" s="1564"/>
      <c r="P24" s="1808"/>
      <c r="Q24" s="1564"/>
    </row>
    <row r="25" customFormat="false" ht="30" hidden="false" customHeight="true" outlineLevel="0" collapsed="false">
      <c r="A25" s="1567" t="s">
        <v>284</v>
      </c>
      <c r="B25" s="1567" t="s">
        <v>852</v>
      </c>
      <c r="C25" s="1567" t="s">
        <v>377</v>
      </c>
      <c r="D25" s="1567" t="s">
        <v>778</v>
      </c>
      <c r="E25" s="1568" t="s">
        <v>765</v>
      </c>
      <c r="F25" s="1567" t="s">
        <v>779</v>
      </c>
      <c r="G25" s="1568" t="s">
        <v>780</v>
      </c>
      <c r="H25" s="1569" t="s">
        <v>781</v>
      </c>
      <c r="I25" s="1567" t="s">
        <v>284</v>
      </c>
      <c r="J25" s="1567" t="s">
        <v>782</v>
      </c>
      <c r="K25" s="1568" t="s">
        <v>783</v>
      </c>
      <c r="L25" s="1569"/>
      <c r="M25" s="1583"/>
      <c r="N25" s="1584"/>
      <c r="O25" s="1584"/>
      <c r="P25" s="1811"/>
      <c r="Q25" s="1584"/>
    </row>
    <row r="26" customFormat="false" ht="21.75" hidden="false" customHeight="true" outlineLevel="0" collapsed="false">
      <c r="A26" s="1570" t="s">
        <v>445</v>
      </c>
      <c r="B26" s="1571" t="n">
        <f aca="true">OFFSET('☆振替R7'!$D$6,$P$4*$P5,0,1,1)</f>
        <v>15550898</v>
      </c>
      <c r="C26" s="1571" t="n">
        <f aca="true">OFFSET('☆振替R7'!$D$21,$P$4*$P5,0,1,1)</f>
        <v>15533689</v>
      </c>
      <c r="D26" s="1571" t="n">
        <f aca="true">OFFSET('☆振替R7'!$E$21,$P$4*$P5,0,1,1)</f>
        <v>4025496</v>
      </c>
      <c r="E26" s="1571" t="n">
        <f aca="true">OFFSET('☆振替R7'!$D$8,$P$4*$P5,0,1,1)</f>
        <v>4379343</v>
      </c>
      <c r="F26" s="1571" t="n">
        <f aca="false">SUM(B26:E26)</f>
        <v>39489426</v>
      </c>
      <c r="G26" s="1571" t="n">
        <f aca="true">OFFSET('☆振替R7'!$E$27,$P$4*$P5,0,1,1)</f>
        <v>39489426</v>
      </c>
      <c r="H26" s="1573" t="str">
        <f aca="false">IF(F26=G26,"○","×")</f>
        <v>○</v>
      </c>
      <c r="I26" s="1570" t="s">
        <v>445</v>
      </c>
      <c r="J26" s="1571" t="n">
        <f aca="true">OFFSET('☆振替R7'!$F$21,$P$4*$P5,0,1,1)</f>
        <v>334776</v>
      </c>
      <c r="K26" s="1571" t="n">
        <f aca="true">OFFSET('☆振替R7'!$E$29,$P$4*$P5,0,1,1)</f>
        <v>334776</v>
      </c>
      <c r="L26" s="1564" t="s">
        <v>873</v>
      </c>
      <c r="M26" s="1584"/>
      <c r="N26" s="1584"/>
      <c r="O26" s="1584"/>
      <c r="P26" s="1812"/>
      <c r="Q26" s="1585"/>
    </row>
    <row r="27" customFormat="false" ht="21.75" hidden="false" customHeight="true" outlineLevel="0" collapsed="false">
      <c r="A27" s="1570" t="s">
        <v>446</v>
      </c>
      <c r="B27" s="1571" t="n">
        <f aca="true">OFFSET('☆振替R7'!$D$6,$P$4*$P6,0,1,1)</f>
        <v>15666808</v>
      </c>
      <c r="C27" s="1571" t="n">
        <f aca="true">OFFSET('☆振替R7'!$D$21,$P$4*$P6,0,1,1)</f>
        <v>15677406</v>
      </c>
      <c r="D27" s="1571" t="n">
        <f aca="true">OFFSET('☆振替R7'!$E$21,$P$4*$P6,0,1,1)</f>
        <v>4057893</v>
      </c>
      <c r="E27" s="1571" t="n">
        <f aca="true">OFFSET('☆振替R7'!$D$8,$P$4*$P6,0,1,1)</f>
        <v>98094</v>
      </c>
      <c r="F27" s="1571" t="n">
        <f aca="false">SUM(B27:E27)</f>
        <v>35500201</v>
      </c>
      <c r="G27" s="1571" t="n">
        <f aca="true">OFFSET('☆振替R7'!$E$27,$P$4*$P6,0,1,1)</f>
        <v>35500201</v>
      </c>
      <c r="H27" s="1573" t="str">
        <f aca="false">IF(F27=G27,"○","×")</f>
        <v>○</v>
      </c>
      <c r="I27" s="1570" t="s">
        <v>446</v>
      </c>
      <c r="J27" s="1571" t="n">
        <f aca="true">OFFSET('☆振替R7'!$F$21,$P$4*$P6,0,1,1)</f>
        <v>337874</v>
      </c>
      <c r="K27" s="1571" t="n">
        <f aca="true">OFFSET('☆振替R7'!$E$29,$P$4*$P6,0,1,1)</f>
        <v>337874</v>
      </c>
      <c r="L27" s="1813" t="s">
        <v>874</v>
      </c>
      <c r="M27" s="1584"/>
      <c r="N27" s="1584"/>
      <c r="O27" s="1584"/>
      <c r="P27" s="1814"/>
      <c r="Q27" s="1585"/>
    </row>
    <row r="28" customFormat="false" ht="21.75" hidden="false" customHeight="true" outlineLevel="0" collapsed="false">
      <c r="A28" s="1570" t="s">
        <v>447</v>
      </c>
      <c r="B28" s="1571" t="n">
        <f aca="true">OFFSET('☆振替R7'!$D$6,$P$4*$P7,0,1,1)</f>
        <v>15643505</v>
      </c>
      <c r="C28" s="1571" t="n">
        <f aca="true">OFFSET('☆振替R7'!$D$21,$P$4*$P7,0,1,1)</f>
        <v>15646586</v>
      </c>
      <c r="D28" s="1571" t="n">
        <f aca="true">OFFSET('☆振替R7'!$E$21,$P$4*$P7,0,1,1)</f>
        <v>4049348</v>
      </c>
      <c r="E28" s="1571" t="n">
        <f aca="true">OFFSET('☆振替R7'!$D$8,$P$4*$P7,0,1,1)</f>
        <v>128841</v>
      </c>
      <c r="F28" s="1571" t="n">
        <f aca="false">SUM(B28:E28)</f>
        <v>35468280</v>
      </c>
      <c r="G28" s="1571" t="n">
        <f aca="true">OFFSET('☆振替R7'!$E$27,$P$4*$P7,0,1,1)</f>
        <v>35468280</v>
      </c>
      <c r="H28" s="1573" t="str">
        <f aca="false">IF(F28=G28,"○","×")</f>
        <v>○</v>
      </c>
      <c r="I28" s="1570" t="s">
        <v>447</v>
      </c>
      <c r="J28" s="1571" t="n">
        <f aca="true">OFFSET('☆振替R7'!$F$21,$P$4*$P7,0,1,1)</f>
        <v>337210</v>
      </c>
      <c r="K28" s="1571" t="n">
        <f aca="true">OFFSET('☆振替R7'!$E$29,$P$4*$P7,0,1,1)</f>
        <v>337210</v>
      </c>
      <c r="L28" s="1564" t="s">
        <v>875</v>
      </c>
      <c r="M28" s="1584"/>
      <c r="N28" s="1584"/>
      <c r="O28" s="1584"/>
      <c r="P28" s="1814"/>
      <c r="Q28" s="1585"/>
    </row>
    <row r="29" customFormat="false" ht="21.75" hidden="false" customHeight="true" outlineLevel="0" collapsed="false">
      <c r="A29" s="1570" t="s">
        <v>773</v>
      </c>
      <c r="B29" s="1571" t="n">
        <f aca="true">OFFSET('☆振替R7'!$D$6,$P$4*$P8,0,1,1)</f>
        <v>27491392</v>
      </c>
      <c r="C29" s="1571" t="n">
        <f aca="true">OFFSET('☆振替R7'!$D$21,$P$4*$P8,0,1,1)</f>
        <v>27495855</v>
      </c>
      <c r="D29" s="1571" t="n">
        <f aca="true">OFFSET('☆振替R7'!$E$21,$P$4*$P8,0,1,1)</f>
        <v>7709955</v>
      </c>
      <c r="E29" s="1574" t="n">
        <f aca="true">OFFSET('☆振替R7'!$D$8,$P$4*$P8,0,1,1)</f>
        <v>0</v>
      </c>
      <c r="F29" s="1571" t="n">
        <f aca="false">SUM(B29:E29)</f>
        <v>62697202</v>
      </c>
      <c r="G29" s="1571" t="n">
        <f aca="true">OFFSET('☆振替R7'!$E$27,$P$4*$P8,0,1,1)</f>
        <v>62697202</v>
      </c>
      <c r="H29" s="1573" t="str">
        <f aca="false">IF(F29=G29,"○","×")</f>
        <v>○</v>
      </c>
      <c r="I29" s="1570" t="s">
        <v>773</v>
      </c>
      <c r="J29" s="1571" t="n">
        <f aca="true">OFFSET('☆振替R7'!$F$21,$P$4*$P8,0,1,1)</f>
        <v>592581</v>
      </c>
      <c r="K29" s="1571" t="n">
        <f aca="true">OFFSET('☆振替R7'!$E$29,$P$4*$P8,0,1,1)</f>
        <v>592581</v>
      </c>
      <c r="L29" s="1564" t="s">
        <v>876</v>
      </c>
      <c r="M29" s="1584"/>
      <c r="N29" s="1584"/>
      <c r="O29" s="1584"/>
      <c r="P29" s="1814"/>
      <c r="Q29" s="1584"/>
    </row>
    <row r="30" customFormat="false" ht="21.75" hidden="false" customHeight="true" outlineLevel="0" collapsed="false">
      <c r="A30" s="1570" t="s">
        <v>448</v>
      </c>
      <c r="B30" s="1571" t="n">
        <f aca="true">OFFSET('☆振替R7'!$D$6,$P$4*$P9,0,1,1)</f>
        <v>15902570</v>
      </c>
      <c r="C30" s="1571" t="n">
        <f aca="true">OFFSET('☆振替R7'!$D$21,$P$4*$P9,0,1,1)</f>
        <v>15914151</v>
      </c>
      <c r="D30" s="1571" t="n">
        <f aca="true">OFFSET('☆振替R7'!$E$21,$P$4*$P9,0,1,1)</f>
        <v>4136470</v>
      </c>
      <c r="E30" s="1571" t="n">
        <f aca="true">OFFSET('☆振替R7'!$D$8,$P$4*$P9,0,1,1)</f>
        <v>58106</v>
      </c>
      <c r="F30" s="1571" t="n">
        <f aca="false">SUM(B30:E30)</f>
        <v>36011297</v>
      </c>
      <c r="G30" s="1571" t="n">
        <f aca="true">OFFSET('☆振替R7'!$E$27,$P$4*$P9,0,1,1)</f>
        <v>36011297</v>
      </c>
      <c r="H30" s="1573" t="str">
        <f aca="false">IF(F30=G30,"○","×")</f>
        <v>○</v>
      </c>
      <c r="I30" s="1570" t="s">
        <v>448</v>
      </c>
      <c r="J30" s="1571" t="n">
        <f aca="true">OFFSET('☆振替R7'!$F$21,$P$4*$P9,0,1,1)</f>
        <v>342976</v>
      </c>
      <c r="K30" s="1571" t="n">
        <f aca="true">OFFSET('☆振替R7'!$E$29,$P$4*$P9,0,1,1)</f>
        <v>342976</v>
      </c>
      <c r="L30" s="1815" t="s">
        <v>877</v>
      </c>
      <c r="M30" s="1815"/>
      <c r="N30" s="1815"/>
      <c r="O30" s="1815"/>
      <c r="P30" s="1812"/>
      <c r="Q30" s="1586"/>
    </row>
    <row r="31" customFormat="false" ht="21.75" hidden="false" customHeight="true" outlineLevel="0" collapsed="false">
      <c r="A31" s="1570" t="s">
        <v>449</v>
      </c>
      <c r="B31" s="1571" t="n">
        <f aca="true">OFFSET('☆振替R7'!$D$6,$P$4*$P10,0,1,1)</f>
        <v>15751799</v>
      </c>
      <c r="C31" s="1571" t="n">
        <f aca="true">OFFSET('☆振替R7'!$D$21,$P$4*$P10,0,1,1)</f>
        <v>15761400</v>
      </c>
      <c r="D31" s="1571" t="n">
        <f aca="true">OFFSET('☆振替R7'!$E$21,$P$4*$P10,0,1,1)</f>
        <v>4089706</v>
      </c>
      <c r="E31" s="1571" t="n">
        <f aca="true">OFFSET('☆振替R7'!$D$8,$P$4*$P10,0,1,1)</f>
        <v>85842</v>
      </c>
      <c r="F31" s="1571" t="n">
        <f aca="false">SUM(B31:E31)</f>
        <v>35688747</v>
      </c>
      <c r="G31" s="1571" t="n">
        <f aca="true">OFFSET('☆振替R7'!$E$27,$P$4*$P10,0,1,1)</f>
        <v>35688747</v>
      </c>
      <c r="H31" s="1573" t="str">
        <f aca="false">IF(F31=G31,"○","×")</f>
        <v>○</v>
      </c>
      <c r="I31" s="1570" t="s">
        <v>449</v>
      </c>
      <c r="J31" s="1571" t="n">
        <f aca="true">OFFSET('☆振替R7'!$F$21,$P$4*$P10,0,1,1)</f>
        <v>339683</v>
      </c>
      <c r="K31" s="1571" t="n">
        <f aca="true">OFFSET('☆振替R7'!$E$29,$P$4*$P10,0,1,1)</f>
        <v>339683</v>
      </c>
      <c r="L31" s="1815"/>
      <c r="M31" s="1815"/>
      <c r="N31" s="1815"/>
      <c r="O31" s="1815"/>
      <c r="P31" s="1816"/>
      <c r="Q31" s="1584"/>
    </row>
    <row r="32" customFormat="false" ht="21.75" hidden="false" customHeight="true" outlineLevel="0" collapsed="false">
      <c r="A32" s="1570" t="s">
        <v>450</v>
      </c>
      <c r="B32" s="1571" t="n">
        <f aca="true">OFFSET('☆振替R7'!$D$6,$P$4*$P11,0,1,1)</f>
        <v>15904254</v>
      </c>
      <c r="C32" s="1571" t="n">
        <f aca="true">OFFSET('☆振替R7'!$D$21,$P$4*$P11,0,1,1)</f>
        <v>15910297</v>
      </c>
      <c r="D32" s="1571" t="n">
        <f aca="true">OFFSET('☆振替R7'!$E$21,$P$4*$P11,0,1,1)</f>
        <v>4145893</v>
      </c>
      <c r="E32" s="1571" t="n">
        <f aca="true">OFFSET('☆振替R7'!$D$8,$P$4*$P11,0,1,1)</f>
        <v>220784</v>
      </c>
      <c r="F32" s="1571" t="n">
        <f aca="false">SUM(B32:E32)</f>
        <v>36181228</v>
      </c>
      <c r="G32" s="1571" t="n">
        <f aca="true">OFFSET('☆振替R7'!$E$27,$P$4*$P11,0,1,1)</f>
        <v>36181228</v>
      </c>
      <c r="H32" s="1573" t="str">
        <f aca="false">IF(F32=G32,"○","×")</f>
        <v>○</v>
      </c>
      <c r="I32" s="1570" t="s">
        <v>450</v>
      </c>
      <c r="J32" s="1571" t="n">
        <f aca="true">OFFSET('☆振替R7'!$F$21,$P$4*$P11,0,1,1)</f>
        <v>342892</v>
      </c>
      <c r="K32" s="1571" t="n">
        <f aca="true">OFFSET('☆振替R7'!$E$29,$P$4*$P11,0,1,1)</f>
        <v>342892</v>
      </c>
      <c r="L32" s="1817" t="s">
        <v>878</v>
      </c>
      <c r="M32" s="1818"/>
      <c r="N32" s="1819" t="n">
        <v>2.1</v>
      </c>
      <c r="O32" s="1584"/>
      <c r="P32" s="1812"/>
      <c r="Q32" s="1584"/>
    </row>
    <row r="33" customFormat="false" ht="21.75" hidden="false" customHeight="true" outlineLevel="0" collapsed="false">
      <c r="A33" s="1570" t="s">
        <v>451</v>
      </c>
      <c r="B33" s="1571" t="n">
        <f aca="true">OFFSET('☆振替R7'!$D$6,$P$4*$P12,0,1,1)</f>
        <v>16338767</v>
      </c>
      <c r="C33" s="1571" t="n">
        <f aca="true">OFFSET('☆振替R7'!$D$21,$P$4*$P12,0,1,1)</f>
        <v>16356850</v>
      </c>
      <c r="D33" s="1571" t="n">
        <f aca="true">OFFSET('☆振替R7'!$E$21,$P$4*$P12,0,1,1)</f>
        <v>4264974</v>
      </c>
      <c r="E33" s="1571" t="n">
        <f aca="true">OFFSET('☆振替R7'!$D$8,$P$4*$P12,0,1,1)</f>
        <v>102813</v>
      </c>
      <c r="F33" s="1571" t="n">
        <f aca="false">SUM(B33:E33)</f>
        <v>37063404</v>
      </c>
      <c r="G33" s="1571" t="n">
        <f aca="true">OFFSET('☆振替R7'!$E$27,$P$4*$P12,0,1,1)</f>
        <v>37063404</v>
      </c>
      <c r="H33" s="1573" t="str">
        <f aca="false">IF(F33=G33,"○","×")</f>
        <v>○</v>
      </c>
      <c r="I33" s="1570" t="s">
        <v>451</v>
      </c>
      <c r="J33" s="1571" t="n">
        <f aca="true">OFFSET('☆振替R7'!$F$21,$P$4*$P12,0,1,1)</f>
        <v>352516</v>
      </c>
      <c r="K33" s="1571" t="n">
        <f aca="true">OFFSET('☆振替R7'!$E$29,$P$4*$P12,0,1,1)</f>
        <v>352516</v>
      </c>
      <c r="L33" s="1817" t="s">
        <v>879</v>
      </c>
      <c r="M33" s="1818"/>
      <c r="N33" s="1819" t="n">
        <v>2.1</v>
      </c>
      <c r="O33" s="1584"/>
      <c r="P33" s="1812"/>
      <c r="Q33" s="1584"/>
    </row>
    <row r="34" customFormat="false" ht="21.75" hidden="false" customHeight="true" outlineLevel="0" collapsed="false">
      <c r="A34" s="1570" t="s">
        <v>452</v>
      </c>
      <c r="B34" s="1571" t="n">
        <f aca="true">OFFSET('☆振替R7'!$D$6,$P$4*$P13,0,1,1)</f>
        <v>16320134</v>
      </c>
      <c r="C34" s="1571" t="n">
        <f aca="true">OFFSET('☆振替R7'!$D$21,$P$4*$P13,0,1,1)</f>
        <v>16326622</v>
      </c>
      <c r="D34" s="1571" t="n">
        <f aca="true">OFFSET('☆振替R7'!$E$21,$P$4*$P13,0,1,1)</f>
        <v>4256216</v>
      </c>
      <c r="E34" s="1571" t="n">
        <f aca="true">OFFSET('☆振替R7'!$D$8,$P$4*$P13,0,1,1)</f>
        <v>45329</v>
      </c>
      <c r="F34" s="1571" t="n">
        <f aca="false">SUM(B34:E34)</f>
        <v>36948301</v>
      </c>
      <c r="G34" s="1571" t="n">
        <f aca="true">OFFSET('☆振替R7'!$E$27,$P$4*$P13,0,1,1)</f>
        <v>36948301</v>
      </c>
      <c r="H34" s="1573" t="str">
        <f aca="false">IF(F34=G34,"○","×")</f>
        <v>○</v>
      </c>
      <c r="I34" s="1570" t="s">
        <v>452</v>
      </c>
      <c r="J34" s="1571" t="n">
        <f aca="true">OFFSET('☆振替R7'!$F$21,$P$4*$P13,0,1,1)</f>
        <v>351865</v>
      </c>
      <c r="K34" s="1571" t="n">
        <f aca="true">OFFSET('☆振替R7'!$E$29,$P$4*$P13,0,1,1)</f>
        <v>351865</v>
      </c>
      <c r="L34" s="1817" t="s">
        <v>880</v>
      </c>
      <c r="M34" s="1818"/>
      <c r="N34" s="1819" t="n">
        <v>0.45</v>
      </c>
      <c r="O34" s="1584"/>
      <c r="P34" s="1812"/>
      <c r="Q34" s="1584"/>
    </row>
    <row r="35" customFormat="false" ht="21.75" hidden="false" customHeight="true" outlineLevel="0" collapsed="false">
      <c r="A35" s="1803" t="s">
        <v>774</v>
      </c>
      <c r="B35" s="1804" t="n">
        <f aca="false">ROUND(B29/$N$32*$N$33,0)</f>
        <v>27491392</v>
      </c>
      <c r="C35" s="1804" t="n">
        <f aca="false">ROUND(C29/$N$32*$N$33,0)</f>
        <v>27495855</v>
      </c>
      <c r="D35" s="1804" t="n">
        <f aca="false">ROUND(D29/$N$32*$N$33,0)</f>
        <v>7709955</v>
      </c>
      <c r="E35" s="1804" t="n">
        <v>0</v>
      </c>
      <c r="F35" s="1804" t="n">
        <f aca="false">SUM(B35:E35)</f>
        <v>62697202</v>
      </c>
      <c r="G35" s="1804" t="n">
        <f aca="false">F35</f>
        <v>62697202</v>
      </c>
      <c r="H35" s="1573" t="str">
        <f aca="false">IF(F35=G35,"○","×")</f>
        <v>○</v>
      </c>
      <c r="I35" s="1803" t="s">
        <v>774</v>
      </c>
      <c r="J35" s="1804" t="n">
        <f aca="false">ROUND(J29/$N$32*$N$33,0)</f>
        <v>592581</v>
      </c>
      <c r="K35" s="1804" t="n">
        <f aca="false">J35</f>
        <v>592581</v>
      </c>
      <c r="L35" s="1820" t="s">
        <v>881</v>
      </c>
      <c r="M35" s="1818"/>
      <c r="N35" s="1821" t="n">
        <v>0</v>
      </c>
      <c r="O35" s="1584"/>
      <c r="P35" s="1812"/>
      <c r="Q35" s="1584"/>
    </row>
    <row r="36" customFormat="false" ht="21.75" hidden="false" customHeight="true" outlineLevel="0" collapsed="false">
      <c r="A36" s="1803" t="s">
        <v>453</v>
      </c>
      <c r="B36" s="1804" t="n">
        <f aca="false">B34</f>
        <v>16320134</v>
      </c>
      <c r="C36" s="1804" t="n">
        <f aca="false">C34</f>
        <v>16326622</v>
      </c>
      <c r="D36" s="1804" t="n">
        <f aca="false">D34</f>
        <v>4256216</v>
      </c>
      <c r="E36" s="1804" t="n">
        <f aca="false">E34</f>
        <v>45329</v>
      </c>
      <c r="F36" s="1804" t="n">
        <f aca="false">SUM(B36:E36)</f>
        <v>36948301</v>
      </c>
      <c r="G36" s="1804" t="n">
        <f aca="false">F36</f>
        <v>36948301</v>
      </c>
      <c r="H36" s="1573" t="str">
        <f aca="false">IF(F36=G36,"○","×")</f>
        <v>○</v>
      </c>
      <c r="I36" s="1803" t="s">
        <v>453</v>
      </c>
      <c r="J36" s="1804" t="n">
        <f aca="false">J34</f>
        <v>351865</v>
      </c>
      <c r="K36" s="1804" t="n">
        <f aca="false">J36</f>
        <v>351865</v>
      </c>
      <c r="L36" s="1573"/>
      <c r="M36" s="1587"/>
      <c r="N36" s="1822" t="s">
        <v>421</v>
      </c>
      <c r="O36" s="1587"/>
      <c r="P36" s="1823"/>
      <c r="Q36" s="1587"/>
    </row>
    <row r="37" customFormat="false" ht="21.75" hidden="false" customHeight="true" outlineLevel="0" collapsed="false">
      <c r="A37" s="1803" t="s">
        <v>454</v>
      </c>
      <c r="B37" s="1804" t="n">
        <f aca="false">B36</f>
        <v>16320134</v>
      </c>
      <c r="C37" s="1804" t="n">
        <f aca="false">C36</f>
        <v>16326622</v>
      </c>
      <c r="D37" s="1804" t="n">
        <f aca="false">D36</f>
        <v>4256216</v>
      </c>
      <c r="E37" s="1804" t="n">
        <f aca="false">E36</f>
        <v>45329</v>
      </c>
      <c r="F37" s="1804" t="n">
        <f aca="false">SUM(B37:E37)</f>
        <v>36948301</v>
      </c>
      <c r="G37" s="1804" t="n">
        <f aca="false">F37</f>
        <v>36948301</v>
      </c>
      <c r="H37" s="1573" t="str">
        <f aca="false">IF(F37=G37,"○","×")</f>
        <v>○</v>
      </c>
      <c r="I37" s="1803" t="s">
        <v>454</v>
      </c>
      <c r="J37" s="1804" t="n">
        <f aca="false">J36</f>
        <v>351865</v>
      </c>
      <c r="K37" s="1804" t="n">
        <f aca="false">J37</f>
        <v>351865</v>
      </c>
      <c r="L37" s="1824" t="s">
        <v>882</v>
      </c>
      <c r="M37" s="1825"/>
      <c r="N37" s="1826" t="n">
        <f aca="false">F22-D43-J43-E85-L85</f>
        <v>10912128179</v>
      </c>
      <c r="O37" s="1587"/>
      <c r="P37" s="1808"/>
      <c r="Q37" s="1587"/>
    </row>
    <row r="38" customFormat="false" ht="21.75" hidden="false" customHeight="true" outlineLevel="0" collapsed="false">
      <c r="A38" s="1803" t="s">
        <v>455</v>
      </c>
      <c r="B38" s="1804" t="n">
        <f aca="false">B37</f>
        <v>16320134</v>
      </c>
      <c r="C38" s="1804" t="n">
        <f aca="false">C37</f>
        <v>16326622</v>
      </c>
      <c r="D38" s="1804" t="n">
        <f aca="false">D37</f>
        <v>4256216</v>
      </c>
      <c r="E38" s="1804" t="n">
        <f aca="false">E37</f>
        <v>45329</v>
      </c>
      <c r="F38" s="1804" t="n">
        <f aca="false">SUM(B38:E38)</f>
        <v>36948301</v>
      </c>
      <c r="G38" s="1804" t="n">
        <f aca="false">F38</f>
        <v>36948301</v>
      </c>
      <c r="H38" s="1573" t="str">
        <f aca="false">IF(F38=G38,"○","×")</f>
        <v>○</v>
      </c>
      <c r="I38" s="1803" t="s">
        <v>455</v>
      </c>
      <c r="J38" s="1804" t="n">
        <f aca="false">J37</f>
        <v>351865</v>
      </c>
      <c r="K38" s="1804" t="n">
        <f aca="false">J38</f>
        <v>351865</v>
      </c>
      <c r="L38" s="1827" t="s">
        <v>883</v>
      </c>
      <c r="M38" s="1825"/>
      <c r="N38" s="1826"/>
      <c r="O38" s="1587"/>
      <c r="P38" s="1808"/>
      <c r="Q38" s="1587"/>
    </row>
    <row r="39" customFormat="false" ht="21.75" hidden="false" customHeight="true" outlineLevel="0" collapsed="false">
      <c r="A39" s="1803" t="s">
        <v>775</v>
      </c>
      <c r="B39" s="1804" t="n">
        <f aca="false">ROUND(B29/$N$32*$N$34,0)</f>
        <v>5891013</v>
      </c>
      <c r="C39" s="1804" t="n">
        <f aca="false">ROUND(C29/$N$32*$N$34,0)</f>
        <v>5891969</v>
      </c>
      <c r="D39" s="1804" t="n">
        <f aca="false">ROUND(D29/$N$32*$N$34,0)</f>
        <v>1652133</v>
      </c>
      <c r="E39" s="1804" t="n">
        <v>0</v>
      </c>
      <c r="F39" s="1804" t="n">
        <f aca="false">SUM(B39:E39)</f>
        <v>13435115</v>
      </c>
      <c r="G39" s="1804" t="n">
        <f aca="false">F39</f>
        <v>13435115</v>
      </c>
      <c r="H39" s="1573" t="str">
        <f aca="false">IF(F39=G39,"○","×")</f>
        <v>○</v>
      </c>
      <c r="I39" s="1803" t="s">
        <v>775</v>
      </c>
      <c r="J39" s="1804" t="n">
        <f aca="false">ROUND(J29/$N$32*$N$34,0)</f>
        <v>126982</v>
      </c>
      <c r="K39" s="1804" t="n">
        <f aca="false">J39</f>
        <v>126982</v>
      </c>
      <c r="L39" s="1824" t="s">
        <v>884</v>
      </c>
      <c r="M39" s="1825"/>
      <c r="N39" s="1826" t="n">
        <f aca="false">E64+L64</f>
        <v>143406417</v>
      </c>
      <c r="O39" s="1587"/>
      <c r="P39" s="1808"/>
      <c r="Q39" s="1124"/>
    </row>
    <row r="40" customFormat="false" ht="21.75" hidden="false" customHeight="true" outlineLevel="0" collapsed="false">
      <c r="A40" s="1803" t="s">
        <v>456</v>
      </c>
      <c r="B40" s="1804" t="n">
        <f aca="false">B38</f>
        <v>16320134</v>
      </c>
      <c r="C40" s="1804" t="n">
        <f aca="false">C38</f>
        <v>16326622</v>
      </c>
      <c r="D40" s="1804" t="n">
        <f aca="false">D38</f>
        <v>4256216</v>
      </c>
      <c r="E40" s="1804" t="n">
        <f aca="false">E38</f>
        <v>45329</v>
      </c>
      <c r="F40" s="1804" t="n">
        <f aca="false">SUM(B40:E40)</f>
        <v>36948301</v>
      </c>
      <c r="G40" s="1804" t="n">
        <f aca="false">F40</f>
        <v>36948301</v>
      </c>
      <c r="H40" s="1573" t="str">
        <f aca="false">IF(F40=G40,"○","×")</f>
        <v>○</v>
      </c>
      <c r="I40" s="1803" t="s">
        <v>456</v>
      </c>
      <c r="J40" s="1804" t="n">
        <f aca="false">J38</f>
        <v>351865</v>
      </c>
      <c r="K40" s="1804" t="n">
        <f aca="false">J40</f>
        <v>351865</v>
      </c>
      <c r="L40" s="1827" t="s">
        <v>885</v>
      </c>
      <c r="M40" s="1825"/>
      <c r="N40" s="1826"/>
      <c r="O40" s="1587"/>
      <c r="P40" s="1808"/>
      <c r="Q40" s="1124"/>
    </row>
    <row r="41" customFormat="false" ht="21.75" hidden="false" customHeight="true" outlineLevel="0" collapsed="false">
      <c r="A41" s="1805" t="s">
        <v>526</v>
      </c>
      <c r="B41" s="1804" t="n">
        <f aca="false">ROUND(B29*$N$35%,0)</f>
        <v>0</v>
      </c>
      <c r="C41" s="1804" t="n">
        <f aca="false">ROUND(C29*$N$35%,0)</f>
        <v>0</v>
      </c>
      <c r="D41" s="1804" t="n">
        <f aca="false">ROUND(D29*$N$35%,0)</f>
        <v>0</v>
      </c>
      <c r="E41" s="1804" t="n">
        <v>0</v>
      </c>
      <c r="F41" s="1804" t="n">
        <f aca="false">SUM(B41:E41)</f>
        <v>0</v>
      </c>
      <c r="G41" s="1804" t="n">
        <f aca="false">F41</f>
        <v>0</v>
      </c>
      <c r="H41" s="1573" t="str">
        <f aca="false">IF(F41=G41,"○","×")</f>
        <v>○</v>
      </c>
      <c r="I41" s="1805" t="s">
        <v>526</v>
      </c>
      <c r="J41" s="1804" t="n">
        <f aca="false">ROUND(J29*$N$35%,0)</f>
        <v>0</v>
      </c>
      <c r="K41" s="1804" t="n">
        <f aca="false">J41</f>
        <v>0</v>
      </c>
      <c r="L41" s="1824" t="s">
        <v>886</v>
      </c>
      <c r="M41" s="1825"/>
      <c r="N41" s="1828" t="n">
        <f aca="false">F43-D43</f>
        <v>511850704</v>
      </c>
      <c r="O41" s="1124"/>
      <c r="P41" s="1829"/>
      <c r="Q41" s="1124"/>
    </row>
    <row r="42" customFormat="false" ht="21.75" hidden="false" customHeight="true" outlineLevel="0" collapsed="false">
      <c r="A42" s="1805" t="s">
        <v>527</v>
      </c>
      <c r="B42" s="1804" t="n">
        <f aca="false">ROUND(B35*$N$35%,0)</f>
        <v>0</v>
      </c>
      <c r="C42" s="1804" t="n">
        <f aca="false">ROUND(C35*$N$35%,0)</f>
        <v>0</v>
      </c>
      <c r="D42" s="1804" t="n">
        <f aca="false">ROUND(D35*$N$35%,0)</f>
        <v>0</v>
      </c>
      <c r="E42" s="1804" t="n">
        <v>0</v>
      </c>
      <c r="F42" s="1804" t="n">
        <f aca="false">SUM(B42:E42)</f>
        <v>0</v>
      </c>
      <c r="G42" s="1804" t="n">
        <f aca="false">F42</f>
        <v>0</v>
      </c>
      <c r="H42" s="1573" t="str">
        <f aca="false">IF(F42=G42,"○","×")</f>
        <v>○</v>
      </c>
      <c r="I42" s="1805" t="s">
        <v>527</v>
      </c>
      <c r="J42" s="1804" t="n">
        <f aca="false">ROUND(J35*$N$35%,0)</f>
        <v>0</v>
      </c>
      <c r="K42" s="1804" t="n">
        <f aca="false">J42</f>
        <v>0</v>
      </c>
      <c r="L42" s="1824" t="s">
        <v>887</v>
      </c>
      <c r="M42" s="1825"/>
      <c r="N42" s="1828" t="n">
        <f aca="false">J43</f>
        <v>5459396</v>
      </c>
      <c r="O42" s="1124"/>
      <c r="P42" s="1830"/>
      <c r="Q42" s="1590"/>
    </row>
    <row r="43" customFormat="false" ht="21.75" hidden="false" customHeight="true" outlineLevel="0" collapsed="false">
      <c r="A43" s="1567" t="s">
        <v>457</v>
      </c>
      <c r="B43" s="1571" t="n">
        <f aca="false">SUM(B26:B42)</f>
        <v>253233068</v>
      </c>
      <c r="C43" s="1571" t="n">
        <f aca="false">SUM(C26:C42)</f>
        <v>253317168</v>
      </c>
      <c r="D43" s="1571" t="n">
        <f aca="false">SUM(D26:D42)</f>
        <v>67122903</v>
      </c>
      <c r="E43" s="1571" t="n">
        <f aca="false">SUM(E26:E42)</f>
        <v>5300468</v>
      </c>
      <c r="F43" s="1571" t="n">
        <f aca="false">SUM(F26:F42)</f>
        <v>578973607</v>
      </c>
      <c r="G43" s="1571" t="n">
        <f aca="false">SUM(G26:G42)</f>
        <v>578973607</v>
      </c>
      <c r="H43" s="1573" t="str">
        <f aca="false">IF(F43=G43,"○","×")</f>
        <v>○</v>
      </c>
      <c r="I43" s="1567" t="s">
        <v>457</v>
      </c>
      <c r="J43" s="1571" t="n">
        <f aca="false">SUM(J26:J42)</f>
        <v>5459396</v>
      </c>
      <c r="K43" s="1571" t="n">
        <f aca="false">SUM(K26:K42)</f>
        <v>5459396</v>
      </c>
      <c r="L43" s="1824" t="s">
        <v>888</v>
      </c>
      <c r="M43" s="1831"/>
      <c r="N43" s="1828" t="n">
        <f aca="false">D43</f>
        <v>67122903</v>
      </c>
      <c r="O43" s="1124"/>
      <c r="P43" s="1830"/>
      <c r="Q43" s="1590"/>
    </row>
    <row r="44" customFormat="false" ht="21.75" hidden="false" customHeight="true" outlineLevel="0" collapsed="false">
      <c r="A44" s="1587"/>
      <c r="B44" s="1124"/>
      <c r="C44" s="1124"/>
      <c r="D44" s="1124"/>
      <c r="E44" s="1591"/>
      <c r="F44" s="1592"/>
      <c r="G44" s="1577"/>
      <c r="H44" s="1578"/>
      <c r="I44" s="1578"/>
      <c r="J44" s="1578"/>
      <c r="K44" s="1578"/>
      <c r="L44" s="1832"/>
      <c r="M44" s="1833"/>
      <c r="N44" s="1128"/>
      <c r="O44" s="1124"/>
      <c r="P44" s="1834"/>
      <c r="Q44" s="1594"/>
    </row>
    <row r="45" customFormat="false" ht="21.75" hidden="false" customHeight="true" outlineLevel="0" collapsed="false">
      <c r="A45" s="1564" t="s">
        <v>785</v>
      </c>
      <c r="B45" s="1581"/>
      <c r="C45" s="1582"/>
      <c r="D45" s="1582"/>
      <c r="E45" s="1582"/>
      <c r="F45" s="1566" t="s">
        <v>421</v>
      </c>
      <c r="G45" s="1564"/>
      <c r="H45" s="1564" t="s">
        <v>786</v>
      </c>
      <c r="I45" s="1581"/>
      <c r="J45" s="1582"/>
      <c r="K45" s="1582"/>
      <c r="L45" s="1582"/>
      <c r="M45" s="1566" t="s">
        <v>421</v>
      </c>
      <c r="N45" s="1564"/>
      <c r="O45" s="1564"/>
      <c r="P45" s="1808"/>
      <c r="Q45" s="1564"/>
    </row>
    <row r="46" customFormat="false" ht="30" hidden="false" customHeight="true" outlineLevel="0" collapsed="false">
      <c r="A46" s="1567" t="s">
        <v>284</v>
      </c>
      <c r="B46" s="1567" t="s">
        <v>852</v>
      </c>
      <c r="C46" s="1567" t="s">
        <v>377</v>
      </c>
      <c r="D46" s="1568" t="s">
        <v>787</v>
      </c>
      <c r="E46" s="1567" t="s">
        <v>788</v>
      </c>
      <c r="F46" s="1568" t="s">
        <v>889</v>
      </c>
      <c r="G46" s="1569" t="s">
        <v>790</v>
      </c>
      <c r="H46" s="1567" t="s">
        <v>284</v>
      </c>
      <c r="I46" s="1567" t="s">
        <v>852</v>
      </c>
      <c r="J46" s="1567" t="s">
        <v>377</v>
      </c>
      <c r="K46" s="1568" t="s">
        <v>765</v>
      </c>
      <c r="L46" s="1567" t="s">
        <v>791</v>
      </c>
      <c r="M46" s="1568" t="s">
        <v>792</v>
      </c>
      <c r="N46" s="1569" t="s">
        <v>793</v>
      </c>
      <c r="O46" s="1584"/>
      <c r="P46" s="1811"/>
      <c r="Q46" s="1584"/>
    </row>
    <row r="47" customFormat="false" ht="21.75" hidden="false" customHeight="true" outlineLevel="0" collapsed="false">
      <c r="A47" s="1570" t="s">
        <v>445</v>
      </c>
      <c r="B47" s="1571" t="n">
        <f aca="true">OFFSET('☆振替R7'!$G$6,$P$4*$P5,0,1,1)</f>
        <v>3686635</v>
      </c>
      <c r="C47" s="1571" t="n">
        <f aca="true">OFFSET('☆振替R7'!$G$21,$P$4*$P5,0,1,1)</f>
        <v>3682554</v>
      </c>
      <c r="D47" s="1571" t="n">
        <f aca="true">OFFSET('☆振替R7'!$G$8,$P$4*$P5,0,1,1)</f>
        <v>1038206</v>
      </c>
      <c r="E47" s="1571" t="n">
        <f aca="false">SUM(B47:D47)</f>
        <v>8407395</v>
      </c>
      <c r="F47" s="1571" t="n">
        <f aca="true">OFFSET('☆振替R7'!$H$24,$P$4*$P5,0,1,1)</f>
        <v>8407395</v>
      </c>
      <c r="G47" s="1573" t="str">
        <f aca="false">IF(E47=F47,"○","×")</f>
        <v>○</v>
      </c>
      <c r="H47" s="1570" t="s">
        <v>445</v>
      </c>
      <c r="I47" s="1571" t="n">
        <f aca="true">OFFSET('☆振替R7'!$H$6,$P$4*$P5,0,1,1)</f>
        <v>670297</v>
      </c>
      <c r="J47" s="1571" t="n">
        <f aca="true">OFFSET('☆振替R7'!$H$21,$P$4*$P5,0,1,1)</f>
        <v>669556</v>
      </c>
      <c r="K47" s="1571" t="n">
        <f aca="true">OFFSET('☆振替R7'!$H$8,$P$4*$P5,0,1,1)</f>
        <v>188764</v>
      </c>
      <c r="L47" s="1571" t="n">
        <f aca="false">SUM(I47:K47)</f>
        <v>1528617</v>
      </c>
      <c r="M47" s="1571" t="n">
        <f aca="true">OFFSET('☆振替R7'!$H$26,$P$4*$P5,0,1,1)</f>
        <v>1528617</v>
      </c>
      <c r="N47" s="1573" t="str">
        <f aca="false">IF(L47=M47,"○","×")</f>
        <v>○</v>
      </c>
      <c r="O47" s="1584"/>
      <c r="P47" s="1812"/>
      <c r="Q47" s="1584"/>
    </row>
    <row r="48" customFormat="false" ht="21.75" hidden="false" customHeight="true" outlineLevel="0" collapsed="false">
      <c r="A48" s="1570" t="s">
        <v>446</v>
      </c>
      <c r="B48" s="1571" t="n">
        <f aca="true">OFFSET('☆振替R7'!$G$6,$P$4*$P6,0,1,1)</f>
        <v>3714114</v>
      </c>
      <c r="C48" s="1571" t="n">
        <f aca="true">OFFSET('☆振替R7'!$G$21,$P$4*$P6,0,1,1)</f>
        <v>3716625</v>
      </c>
      <c r="D48" s="1571" t="n">
        <f aca="true">OFFSET('☆振替R7'!$G$8,$P$4*$P6,0,1,1)</f>
        <v>23255</v>
      </c>
      <c r="E48" s="1571" t="n">
        <f aca="false">SUM(B48:D48)</f>
        <v>7453994</v>
      </c>
      <c r="F48" s="1571" t="n">
        <f aca="true">OFFSET('☆振替R7'!$H$24,$P$4*$P6,0,1,1)</f>
        <v>7453994</v>
      </c>
      <c r="G48" s="1573" t="str">
        <f aca="false">IF(E48=F48,"○","×")</f>
        <v>○</v>
      </c>
      <c r="H48" s="1570" t="s">
        <v>446</v>
      </c>
      <c r="I48" s="1571" t="n">
        <f aca="true">OFFSET('☆振替R7'!$H$6,$P$4*$P6,0,1,1)</f>
        <v>675293</v>
      </c>
      <c r="J48" s="1571" t="n">
        <f aca="true">OFFSET('☆振替R7'!$H$21,$P$4*$P6,0,1,1)</f>
        <v>675750</v>
      </c>
      <c r="K48" s="1571" t="n">
        <f aca="true">OFFSET('☆振替R7'!$H$8,$P$4*$P6,0,1,1)</f>
        <v>4228</v>
      </c>
      <c r="L48" s="1571" t="n">
        <f aca="false">SUM(I48:K48)</f>
        <v>1355271</v>
      </c>
      <c r="M48" s="1571" t="n">
        <f aca="true">OFFSET('☆振替R7'!$H$26,$P$4*$P6,0,1,1)</f>
        <v>1355271</v>
      </c>
      <c r="N48" s="1573" t="str">
        <f aca="false">IF(L48=M48,"○","×")</f>
        <v>○</v>
      </c>
      <c r="O48" s="1584"/>
      <c r="P48" s="1812"/>
      <c r="Q48" s="1584"/>
    </row>
    <row r="49" customFormat="false" ht="21.75" hidden="false" customHeight="true" outlineLevel="0" collapsed="false">
      <c r="A49" s="1570" t="s">
        <v>447</v>
      </c>
      <c r="B49" s="1571" t="n">
        <f aca="true">OFFSET('☆振替R7'!$G$6,$P$4*$P7,0,1,1)</f>
        <v>3708589</v>
      </c>
      <c r="C49" s="1571" t="n">
        <f aca="true">OFFSET('☆振替R7'!$G$21,$P$4*$P7,0,1,1)</f>
        <v>3709320</v>
      </c>
      <c r="D49" s="1571" t="n">
        <f aca="true">OFFSET('☆振替R7'!$G$8,$P$4*$P7,0,1,1)</f>
        <v>30544</v>
      </c>
      <c r="E49" s="1571" t="n">
        <f aca="false">SUM(B49:D49)</f>
        <v>7448453</v>
      </c>
      <c r="F49" s="1571" t="n">
        <f aca="true">OFFSET('☆振替R7'!$H$24,$P$4*$P7,0,1,1)</f>
        <v>7448453</v>
      </c>
      <c r="G49" s="1573" t="str">
        <f aca="false">IF(E49=F49,"○","×")</f>
        <v>○</v>
      </c>
      <c r="H49" s="1570" t="s">
        <v>447</v>
      </c>
      <c r="I49" s="1571" t="n">
        <f aca="true">OFFSET('☆振替R7'!$H$6,$P$4*$P7,0,1,1)</f>
        <v>674289</v>
      </c>
      <c r="J49" s="1571" t="n">
        <f aca="true">OFFSET('☆振替R7'!$H$21,$P$4*$P7,0,1,1)</f>
        <v>674422</v>
      </c>
      <c r="K49" s="1571" t="n">
        <f aca="true">OFFSET('☆振替R7'!$H$8,$P$4*$P7,0,1,1)</f>
        <v>5553</v>
      </c>
      <c r="L49" s="1571" t="n">
        <f aca="false">SUM(I49:K49)</f>
        <v>1354264</v>
      </c>
      <c r="M49" s="1571" t="n">
        <f aca="true">OFFSET('☆振替R7'!$H$26,$P$4*$P7,0,1,1)</f>
        <v>1354264</v>
      </c>
      <c r="N49" s="1573" t="str">
        <f aca="false">IF(L49=M49,"○","×")</f>
        <v>○</v>
      </c>
      <c r="O49" s="1584"/>
      <c r="P49" s="1812"/>
      <c r="Q49" s="1584"/>
    </row>
    <row r="50" customFormat="false" ht="21.75" hidden="false" customHeight="true" outlineLevel="0" collapsed="false">
      <c r="A50" s="1570" t="s">
        <v>773</v>
      </c>
      <c r="B50" s="1571" t="n">
        <f aca="true">OFFSET('☆振替R7'!$G$6,$P$4*$P8,0,1,1)</f>
        <v>6517356</v>
      </c>
      <c r="C50" s="1571" t="n">
        <f aca="true">OFFSET('☆振替R7'!$G$21,$P$4*$P8,0,1,1)</f>
        <v>6518413</v>
      </c>
      <c r="D50" s="1574" t="n">
        <f aca="true">OFFSET('☆振替R7'!$G$8,$P$4*$P8,0,1,1)</f>
        <v>0</v>
      </c>
      <c r="E50" s="1571" t="n">
        <f aca="false">SUM(B50:D50)</f>
        <v>13035769</v>
      </c>
      <c r="F50" s="1571" t="n">
        <f aca="true">OFFSET('☆振替R7'!$H$24,$P$4*$P8,0,1,1)</f>
        <v>13035769</v>
      </c>
      <c r="G50" s="1573" t="str">
        <f aca="false">IF(E50=F50,"○","×")</f>
        <v>○</v>
      </c>
      <c r="H50" s="1570" t="s">
        <v>773</v>
      </c>
      <c r="I50" s="1571" t="n">
        <f aca="true">OFFSET('☆振替R7'!$H$6,$P$4*$P8,0,1,1)</f>
        <v>1184973</v>
      </c>
      <c r="J50" s="1571" t="n">
        <f aca="true">OFFSET('☆振替R7'!$H$21,$P$4*$P8,0,1,1)</f>
        <v>1185167</v>
      </c>
      <c r="K50" s="1574" t="n">
        <f aca="true">OFFSET('☆振替R7'!$H$8,$P$4*$P8,0,1,1)</f>
        <v>0</v>
      </c>
      <c r="L50" s="1571" t="n">
        <f aca="false">SUM(I50:K50)</f>
        <v>2370140</v>
      </c>
      <c r="M50" s="1571" t="n">
        <f aca="true">OFFSET('☆振替R7'!$H$26,$P$4*$P8,0,1,1)</f>
        <v>2370140</v>
      </c>
      <c r="N50" s="1573" t="str">
        <f aca="false">IF(L50=M50,"○","×")</f>
        <v>○</v>
      </c>
      <c r="O50" s="1584"/>
      <c r="P50" s="1811"/>
      <c r="Q50" s="1584"/>
    </row>
    <row r="51" customFormat="false" ht="21.75" hidden="false" customHeight="true" outlineLevel="0" collapsed="false">
      <c r="A51" s="1570" t="s">
        <v>448</v>
      </c>
      <c r="B51" s="1571" t="n">
        <f aca="true">OFFSET('☆振替R7'!$G$6,$P$4*$P9,0,1,1)</f>
        <v>3770006</v>
      </c>
      <c r="C51" s="1571" t="n">
        <f aca="true">OFFSET('☆振替R7'!$G$21,$P$4*$P9,0,1,1)</f>
        <v>3772750</v>
      </c>
      <c r="D51" s="1571" t="n">
        <f aca="true">OFFSET('☆振替R7'!$G$8,$P$4*$P9,0,1,1)</f>
        <v>13775</v>
      </c>
      <c r="E51" s="1571" t="n">
        <f aca="false">SUM(B51:D51)</f>
        <v>7556531</v>
      </c>
      <c r="F51" s="1571" t="n">
        <f aca="true">OFFSET('☆振替R7'!$H$24,$P$4*$P9,0,1,1)</f>
        <v>7556531</v>
      </c>
      <c r="G51" s="1573" t="str">
        <f aca="false">IF(E51=F51,"○","×")</f>
        <v>○</v>
      </c>
      <c r="H51" s="1570" t="s">
        <v>448</v>
      </c>
      <c r="I51" s="1571" t="n">
        <f aca="true">OFFSET('☆振替R7'!$H$6,$P$4*$P9,0,1,1)</f>
        <v>685455</v>
      </c>
      <c r="J51" s="1571" t="n">
        <f aca="true">OFFSET('☆振替R7'!$H$21,$P$4*$P9,0,1,1)</f>
        <v>685955</v>
      </c>
      <c r="K51" s="1571" t="n">
        <f aca="true">OFFSET('☆振替R7'!$H$8,$P$4*$P9,0,1,1)</f>
        <v>2504</v>
      </c>
      <c r="L51" s="1571" t="n">
        <f aca="false">SUM(I51:K51)</f>
        <v>1373914</v>
      </c>
      <c r="M51" s="1571" t="n">
        <f aca="true">OFFSET('☆振替R7'!$H$26,$P$4*$P9,0,1,1)</f>
        <v>1373914</v>
      </c>
      <c r="N51" s="1573" t="str">
        <f aca="false">IF(L51=M51,"○","×")</f>
        <v>○</v>
      </c>
      <c r="O51" s="1595"/>
      <c r="P51" s="1586"/>
      <c r="Q51" s="1586"/>
    </row>
    <row r="52" customFormat="false" ht="21.75" hidden="false" customHeight="true" outlineLevel="0" collapsed="false">
      <c r="A52" s="1570" t="s">
        <v>449</v>
      </c>
      <c r="B52" s="1571" t="n">
        <f aca="true">OFFSET('☆振替R7'!$G$6,$P$4*$P10,0,1,1)</f>
        <v>3734262</v>
      </c>
      <c r="C52" s="1571" t="n">
        <f aca="true">OFFSET('☆振替R7'!$G$21,$P$4*$P10,0,1,1)</f>
        <v>3736538</v>
      </c>
      <c r="D52" s="1571" t="n">
        <f aca="true">OFFSET('☆振替R7'!$G$8,$P$4*$P10,0,1,1)</f>
        <v>20350</v>
      </c>
      <c r="E52" s="1571" t="n">
        <f aca="false">SUM(B52:D52)</f>
        <v>7491150</v>
      </c>
      <c r="F52" s="1571" t="n">
        <f aca="true">OFFSET('☆振替R7'!$H$24,$P$4*$P10,0,1,1)</f>
        <v>7491150</v>
      </c>
      <c r="G52" s="1573" t="str">
        <f aca="false">IF(E52=F52,"○","×")</f>
        <v>○</v>
      </c>
      <c r="H52" s="1570" t="s">
        <v>449</v>
      </c>
      <c r="I52" s="1571" t="n">
        <f aca="true">OFFSET('☆振替R7'!$H$6,$P$4*$P10,0,1,1)</f>
        <v>678956</v>
      </c>
      <c r="J52" s="1571" t="n">
        <f aca="true">OFFSET('☆振替R7'!$H$21,$P$4*$P10,0,1,1)</f>
        <v>679371</v>
      </c>
      <c r="K52" s="1571" t="n">
        <f aca="true">OFFSET('☆振替R7'!$H$8,$P$4*$P10,0,1,1)</f>
        <v>3700</v>
      </c>
      <c r="L52" s="1571" t="n">
        <f aca="false">SUM(I52:K52)</f>
        <v>1362027</v>
      </c>
      <c r="M52" s="1571" t="n">
        <f aca="true">OFFSET('☆振替R7'!$H$26,$P$4*$P10,0,1,1)</f>
        <v>1362027</v>
      </c>
      <c r="N52" s="1573" t="str">
        <f aca="false">IF(L52=M52,"○","×")</f>
        <v>○</v>
      </c>
      <c r="O52" s="1584"/>
      <c r="P52" s="1811"/>
      <c r="Q52" s="1584"/>
    </row>
    <row r="53" customFormat="false" ht="21.75" hidden="false" customHeight="true" outlineLevel="0" collapsed="false">
      <c r="A53" s="1570" t="s">
        <v>450</v>
      </c>
      <c r="B53" s="1571" t="n">
        <f aca="true">OFFSET('☆振替R7'!$G$6,$P$4*$P11,0,1,1)</f>
        <v>3770405</v>
      </c>
      <c r="C53" s="1571" t="n">
        <f aca="true">OFFSET('☆振替R7'!$G$21,$P$4*$P11,0,1,1)</f>
        <v>3771836</v>
      </c>
      <c r="D53" s="1571" t="n">
        <f aca="true">OFFSET('☆振替R7'!$G$8,$P$4*$P11,0,1,1)</f>
        <v>52341</v>
      </c>
      <c r="E53" s="1571" t="n">
        <f aca="false">SUM(B53:D53)</f>
        <v>7594582</v>
      </c>
      <c r="F53" s="1571" t="n">
        <f aca="true">OFFSET('☆振替R7'!$H$24,$P$4*$P11,0,1,1)</f>
        <v>7594582</v>
      </c>
      <c r="G53" s="1573" t="str">
        <f aca="false">IF(E53=F53,"○","×")</f>
        <v>○</v>
      </c>
      <c r="H53" s="1570" t="s">
        <v>450</v>
      </c>
      <c r="I53" s="1571" t="n">
        <f aca="true">OFFSET('☆振替R7'!$H$6,$P$4*$P11,0,1,1)</f>
        <v>685528</v>
      </c>
      <c r="J53" s="1571" t="n">
        <f aca="true">OFFSET('☆振替R7'!$H$21,$P$4*$P11,0,1,1)</f>
        <v>685789</v>
      </c>
      <c r="K53" s="1571" t="n">
        <f aca="true">OFFSET('☆振替R7'!$H$8,$P$4*$P11,0,1,1)</f>
        <v>9516</v>
      </c>
      <c r="L53" s="1571" t="n">
        <f aca="false">SUM(I53:K53)</f>
        <v>1380833</v>
      </c>
      <c r="M53" s="1571" t="n">
        <f aca="true">OFFSET('☆振替R7'!$H$26,$P$4*$P11,0,1,1)</f>
        <v>1380833</v>
      </c>
      <c r="N53" s="1573" t="str">
        <f aca="false">IF(L53=M53,"○","×")</f>
        <v>○</v>
      </c>
      <c r="O53" s="1584"/>
      <c r="P53" s="1811"/>
      <c r="Q53" s="1584"/>
    </row>
    <row r="54" customFormat="false" ht="21.75" hidden="false" customHeight="true" outlineLevel="0" collapsed="false">
      <c r="A54" s="1570" t="s">
        <v>451</v>
      </c>
      <c r="B54" s="1571" t="n">
        <f aca="true">OFFSET('☆振替R7'!$G$6,$P$4*$P12,0,1,1)</f>
        <v>3873414</v>
      </c>
      <c r="C54" s="1571" t="n">
        <f aca="true">OFFSET('☆振替R7'!$G$21,$P$4*$P12,0,1,1)</f>
        <v>3877700</v>
      </c>
      <c r="D54" s="1571" t="n">
        <f aca="true">OFFSET('☆振替R7'!$G$8,$P$4*$P12,0,1,1)</f>
        <v>24373</v>
      </c>
      <c r="E54" s="1571" t="n">
        <f aca="false">SUM(B54:D54)</f>
        <v>7775487</v>
      </c>
      <c r="F54" s="1571" t="n">
        <f aca="true">OFFSET('☆振替R7'!$H$24,$P$4*$P12,0,1,1)</f>
        <v>7775487</v>
      </c>
      <c r="G54" s="1573" t="str">
        <f aca="false">IF(E54=F54,"○","×")</f>
        <v>○</v>
      </c>
      <c r="H54" s="1570" t="s">
        <v>451</v>
      </c>
      <c r="I54" s="1571" t="n">
        <f aca="true">OFFSET('☆振替R7'!$H$6,$P$4*$P12,0,1,1)</f>
        <v>704257</v>
      </c>
      <c r="J54" s="1571" t="n">
        <f aca="true">OFFSET('☆振替R7'!$H$21,$P$4*$P12,0,1,1)</f>
        <v>705037</v>
      </c>
      <c r="K54" s="1571" t="n">
        <f aca="true">OFFSET('☆振替R7'!$H$8,$P$4*$P12,0,1,1)</f>
        <v>4431</v>
      </c>
      <c r="L54" s="1571" t="n">
        <f aca="false">SUM(I54:K54)</f>
        <v>1413725</v>
      </c>
      <c r="M54" s="1571" t="n">
        <f aca="true">OFFSET('☆振替R7'!$H$26,$P$4*$P12,0,1,1)</f>
        <v>1413725</v>
      </c>
      <c r="N54" s="1573" t="str">
        <f aca="false">IF(L54=M54,"○","×")</f>
        <v>○</v>
      </c>
      <c r="O54" s="1584"/>
      <c r="P54" s="1811"/>
      <c r="Q54" s="1584"/>
    </row>
    <row r="55" customFormat="false" ht="21.75" hidden="false" customHeight="true" outlineLevel="0" collapsed="false">
      <c r="A55" s="1570" t="s">
        <v>452</v>
      </c>
      <c r="B55" s="1571" t="n">
        <f aca="true">OFFSET('☆振替R7'!$G$6,$P$4*$P13,0,1,1)</f>
        <v>3868997</v>
      </c>
      <c r="C55" s="1571" t="n">
        <f aca="true">OFFSET('☆振替R7'!$G$21,$P$4*$P13,0,1,1)</f>
        <v>3870534</v>
      </c>
      <c r="D55" s="1571" t="n">
        <f aca="true">OFFSET('☆振替R7'!$G$8,$P$4*$P13,0,1,1)</f>
        <v>10746</v>
      </c>
      <c r="E55" s="1571" t="n">
        <f aca="false">SUM(B55:D55)</f>
        <v>7750277</v>
      </c>
      <c r="F55" s="1571" t="n">
        <f aca="true">OFFSET('☆振替R7'!$H$24,$P$4*$P13,0,1,1)</f>
        <v>7750277</v>
      </c>
      <c r="G55" s="1573" t="str">
        <f aca="false">IF(E55=F55,"○","×")</f>
        <v>○</v>
      </c>
      <c r="H55" s="1570" t="s">
        <v>452</v>
      </c>
      <c r="I55" s="1571" t="n">
        <f aca="true">OFFSET('☆振替R7'!$H$6,$P$4*$P13,0,1,1)</f>
        <v>703454</v>
      </c>
      <c r="J55" s="1571" t="n">
        <f aca="true">OFFSET('☆振替R7'!$H$21,$P$4*$P13,0,1,1)</f>
        <v>703734</v>
      </c>
      <c r="K55" s="1571" t="n">
        <f aca="true">OFFSET('☆振替R7'!$H$8,$P$4*$P13,0,1,1)</f>
        <v>1953</v>
      </c>
      <c r="L55" s="1571" t="n">
        <f aca="false">SUM(I55:K55)</f>
        <v>1409141</v>
      </c>
      <c r="M55" s="1571" t="n">
        <f aca="true">OFFSET('☆振替R7'!$H$26,$P$4*$P13,0,1,1)</f>
        <v>1409141</v>
      </c>
      <c r="N55" s="1573" t="str">
        <f aca="false">IF(L55=M55,"○","×")</f>
        <v>○</v>
      </c>
      <c r="O55" s="1584"/>
      <c r="P55" s="1811"/>
      <c r="Q55" s="1584"/>
    </row>
    <row r="56" customFormat="false" ht="21.75" hidden="false" customHeight="true" outlineLevel="0" collapsed="false">
      <c r="A56" s="1803" t="s">
        <v>774</v>
      </c>
      <c r="B56" s="1804" t="n">
        <f aca="false">ROUND(B50/$N$32*$N$33,0)</f>
        <v>6517356</v>
      </c>
      <c r="C56" s="1804" t="n">
        <f aca="false">ROUND(C50/$N$32*$N$33,0)</f>
        <v>6518413</v>
      </c>
      <c r="D56" s="1804" t="n">
        <v>0</v>
      </c>
      <c r="E56" s="1804" t="n">
        <f aca="false">SUM(B56:D56)</f>
        <v>13035769</v>
      </c>
      <c r="F56" s="1804" t="n">
        <f aca="false">E56</f>
        <v>13035769</v>
      </c>
      <c r="G56" s="1573" t="str">
        <f aca="false">IF(E56=F56,"○","×")</f>
        <v>○</v>
      </c>
      <c r="H56" s="1803" t="s">
        <v>774</v>
      </c>
      <c r="I56" s="1804" t="n">
        <f aca="false">ROUND(I50/$N$32*$N$33,0)</f>
        <v>1184973</v>
      </c>
      <c r="J56" s="1804" t="n">
        <f aca="false">ROUND(J50/$N$32*$N$33,0)</f>
        <v>1185167</v>
      </c>
      <c r="K56" s="1804" t="n">
        <v>0</v>
      </c>
      <c r="L56" s="1804" t="n">
        <f aca="false">SUM(I56:K56)</f>
        <v>2370140</v>
      </c>
      <c r="M56" s="1804" t="n">
        <f aca="false">L56</f>
        <v>2370140</v>
      </c>
      <c r="N56" s="1573" t="str">
        <f aca="false">IF(L56=M56,"○","×")</f>
        <v>○</v>
      </c>
      <c r="O56" s="1584"/>
      <c r="P56" s="1811"/>
      <c r="Q56" s="1584"/>
    </row>
    <row r="57" customFormat="false" ht="21.75" hidden="false" customHeight="true" outlineLevel="0" collapsed="false">
      <c r="A57" s="1803" t="s">
        <v>453</v>
      </c>
      <c r="B57" s="1804" t="n">
        <f aca="false">B55</f>
        <v>3868997</v>
      </c>
      <c r="C57" s="1804" t="n">
        <f aca="false">C55</f>
        <v>3870534</v>
      </c>
      <c r="D57" s="1804" t="n">
        <f aca="false">D55</f>
        <v>10746</v>
      </c>
      <c r="E57" s="1804" t="n">
        <f aca="false">SUM(B57:D57)</f>
        <v>7750277</v>
      </c>
      <c r="F57" s="1804" t="n">
        <f aca="false">E57</f>
        <v>7750277</v>
      </c>
      <c r="G57" s="1573" t="str">
        <f aca="false">IF(E57=F57,"○","×")</f>
        <v>○</v>
      </c>
      <c r="H57" s="1803" t="s">
        <v>453</v>
      </c>
      <c r="I57" s="1804" t="n">
        <f aca="false">I55</f>
        <v>703454</v>
      </c>
      <c r="J57" s="1804" t="n">
        <f aca="false">J55</f>
        <v>703734</v>
      </c>
      <c r="K57" s="1804" t="n">
        <f aca="false">K55</f>
        <v>1953</v>
      </c>
      <c r="L57" s="1804" t="n">
        <f aca="false">SUM(I57:K57)</f>
        <v>1409141</v>
      </c>
      <c r="M57" s="1804" t="n">
        <f aca="false">L57</f>
        <v>1409141</v>
      </c>
      <c r="N57" s="1573" t="str">
        <f aca="false">IF(L57=M57,"○","×")</f>
        <v>○</v>
      </c>
      <c r="O57" s="1587"/>
      <c r="P57" s="1823"/>
      <c r="Q57" s="1587"/>
    </row>
    <row r="58" customFormat="false" ht="21.75" hidden="false" customHeight="true" outlineLevel="0" collapsed="false">
      <c r="A58" s="1803" t="s">
        <v>454</v>
      </c>
      <c r="B58" s="1804" t="n">
        <f aca="false">B57</f>
        <v>3868997</v>
      </c>
      <c r="C58" s="1804" t="n">
        <f aca="false">C57</f>
        <v>3870534</v>
      </c>
      <c r="D58" s="1804" t="n">
        <f aca="false">D57</f>
        <v>10746</v>
      </c>
      <c r="E58" s="1804" t="n">
        <f aca="false">SUM(B58:D58)</f>
        <v>7750277</v>
      </c>
      <c r="F58" s="1804" t="n">
        <f aca="false">E58</f>
        <v>7750277</v>
      </c>
      <c r="G58" s="1573" t="str">
        <f aca="false">IF(E58=F58,"○","×")</f>
        <v>○</v>
      </c>
      <c r="H58" s="1803" t="s">
        <v>454</v>
      </c>
      <c r="I58" s="1804" t="n">
        <f aca="false">I57</f>
        <v>703454</v>
      </c>
      <c r="J58" s="1804" t="n">
        <f aca="false">J57</f>
        <v>703734</v>
      </c>
      <c r="K58" s="1804" t="n">
        <f aca="false">K57</f>
        <v>1953</v>
      </c>
      <c r="L58" s="1804" t="n">
        <f aca="false">SUM(I58:K58)</f>
        <v>1409141</v>
      </c>
      <c r="M58" s="1804" t="n">
        <f aca="false">L58</f>
        <v>1409141</v>
      </c>
      <c r="N58" s="1573" t="str">
        <f aca="false">IF(L58=M58,"○","×")</f>
        <v>○</v>
      </c>
      <c r="O58" s="1587"/>
      <c r="P58" s="1808"/>
      <c r="Q58" s="1587"/>
    </row>
    <row r="59" customFormat="false" ht="21.75" hidden="false" customHeight="true" outlineLevel="0" collapsed="false">
      <c r="A59" s="1803" t="s">
        <v>455</v>
      </c>
      <c r="B59" s="1804" t="n">
        <f aca="false">B58</f>
        <v>3868997</v>
      </c>
      <c r="C59" s="1804" t="n">
        <f aca="false">C58</f>
        <v>3870534</v>
      </c>
      <c r="D59" s="1804" t="n">
        <f aca="false">D58</f>
        <v>10746</v>
      </c>
      <c r="E59" s="1804" t="n">
        <f aca="false">SUM(B59:D59)</f>
        <v>7750277</v>
      </c>
      <c r="F59" s="1804" t="n">
        <f aca="false">E59</f>
        <v>7750277</v>
      </c>
      <c r="G59" s="1573" t="str">
        <f aca="false">IF(E59=F59,"○","×")</f>
        <v>○</v>
      </c>
      <c r="H59" s="1803" t="s">
        <v>455</v>
      </c>
      <c r="I59" s="1804" t="n">
        <f aca="false">I58</f>
        <v>703454</v>
      </c>
      <c r="J59" s="1804" t="n">
        <f aca="false">J58</f>
        <v>703734</v>
      </c>
      <c r="K59" s="1804" t="n">
        <f aca="false">K58</f>
        <v>1953</v>
      </c>
      <c r="L59" s="1804" t="n">
        <f aca="false">SUM(I59:K59)</f>
        <v>1409141</v>
      </c>
      <c r="M59" s="1804" t="n">
        <f aca="false">L59</f>
        <v>1409141</v>
      </c>
      <c r="N59" s="1573" t="str">
        <f aca="false">IF(L59=M59,"○","×")</f>
        <v>○</v>
      </c>
      <c r="O59" s="1587"/>
      <c r="P59" s="1808"/>
      <c r="Q59" s="1587"/>
    </row>
    <row r="60" customFormat="false" ht="21.75" hidden="false" customHeight="true" outlineLevel="0" collapsed="false">
      <c r="A60" s="1803" t="s">
        <v>775</v>
      </c>
      <c r="B60" s="1804" t="n">
        <f aca="false">ROUND(B50/$N$32*$N$34,0)</f>
        <v>1396576</v>
      </c>
      <c r="C60" s="1804" t="n">
        <f aca="false">ROUND(C50/$N$32*$N$34,0)</f>
        <v>1396803</v>
      </c>
      <c r="D60" s="1804" t="n">
        <v>0</v>
      </c>
      <c r="E60" s="1804" t="n">
        <f aca="false">SUM(B60:D60)</f>
        <v>2793379</v>
      </c>
      <c r="F60" s="1804" t="n">
        <f aca="false">E60</f>
        <v>2793379</v>
      </c>
      <c r="G60" s="1573" t="str">
        <f aca="false">IF(E60=F60,"○","×")</f>
        <v>○</v>
      </c>
      <c r="H60" s="1803" t="s">
        <v>775</v>
      </c>
      <c r="I60" s="1804" t="n">
        <f aca="false">ROUND(I50/$N$32*$N$34,0)</f>
        <v>253923</v>
      </c>
      <c r="J60" s="1804" t="n">
        <f aca="false">ROUND(J50/$N$32*$N$34,0)</f>
        <v>253964</v>
      </c>
      <c r="K60" s="1804" t="n">
        <v>0</v>
      </c>
      <c r="L60" s="1804" t="n">
        <f aca="false">SUM(I60:K60)</f>
        <v>507887</v>
      </c>
      <c r="M60" s="1804" t="n">
        <f aca="false">L60</f>
        <v>507887</v>
      </c>
      <c r="N60" s="1573" t="str">
        <f aca="false">IF(L60=M60,"○","×")</f>
        <v>○</v>
      </c>
      <c r="O60" s="1124"/>
      <c r="P60" s="1808"/>
      <c r="Q60" s="1124"/>
    </row>
    <row r="61" customFormat="false" ht="21.75" hidden="false" customHeight="true" outlineLevel="0" collapsed="false">
      <c r="A61" s="1803" t="s">
        <v>456</v>
      </c>
      <c r="B61" s="1804" t="n">
        <f aca="false">B59</f>
        <v>3868997</v>
      </c>
      <c r="C61" s="1804" t="n">
        <f aca="false">C59</f>
        <v>3870534</v>
      </c>
      <c r="D61" s="1804" t="n">
        <f aca="false">D59</f>
        <v>10746</v>
      </c>
      <c r="E61" s="1804" t="n">
        <f aca="false">SUM(B61:D61)</f>
        <v>7750277</v>
      </c>
      <c r="F61" s="1804" t="n">
        <f aca="false">E61</f>
        <v>7750277</v>
      </c>
      <c r="G61" s="1573" t="str">
        <f aca="false">IF(E61=F61,"○","×")</f>
        <v>○</v>
      </c>
      <c r="H61" s="1803" t="s">
        <v>456</v>
      </c>
      <c r="I61" s="1804" t="n">
        <f aca="false">I59</f>
        <v>703454</v>
      </c>
      <c r="J61" s="1804" t="n">
        <f aca="false">J59</f>
        <v>703734</v>
      </c>
      <c r="K61" s="1804" t="n">
        <f aca="false">K59</f>
        <v>1953</v>
      </c>
      <c r="L61" s="1804" t="n">
        <f aca="false">SUM(I61:K61)</f>
        <v>1409141</v>
      </c>
      <c r="M61" s="1804" t="n">
        <f aca="false">L61</f>
        <v>1409141</v>
      </c>
      <c r="N61" s="1573" t="str">
        <f aca="false">IF(L61=M61,"○","×")</f>
        <v>○</v>
      </c>
      <c r="O61" s="1124"/>
      <c r="P61" s="1808"/>
      <c r="Q61" s="1124"/>
    </row>
    <row r="62" customFormat="false" ht="21.75" hidden="false" customHeight="true" outlineLevel="0" collapsed="false">
      <c r="A62" s="1805" t="s">
        <v>526</v>
      </c>
      <c r="B62" s="1804" t="n">
        <f aca="false">ROUND(B50*$N$35%,0)</f>
        <v>0</v>
      </c>
      <c r="C62" s="1804" t="n">
        <f aca="false">ROUND(C50*$N$35%,0)</f>
        <v>0</v>
      </c>
      <c r="D62" s="1804" t="n">
        <v>0</v>
      </c>
      <c r="E62" s="1804" t="n">
        <f aca="false">SUM(B62:D62)</f>
        <v>0</v>
      </c>
      <c r="F62" s="1804" t="n">
        <f aca="false">E62</f>
        <v>0</v>
      </c>
      <c r="G62" s="1573" t="str">
        <f aca="false">IF(E62=F62,"○","×")</f>
        <v>○</v>
      </c>
      <c r="H62" s="1805" t="s">
        <v>526</v>
      </c>
      <c r="I62" s="1804" t="n">
        <f aca="false">ROUND(I50*$N$35%,0)</f>
        <v>0</v>
      </c>
      <c r="J62" s="1804" t="n">
        <f aca="false">ROUND(J50*$N$35%,0)</f>
        <v>0</v>
      </c>
      <c r="K62" s="1804" t="n">
        <v>0</v>
      </c>
      <c r="L62" s="1804" t="n">
        <f aca="false">SUM(I62:K62)</f>
        <v>0</v>
      </c>
      <c r="M62" s="1804" t="n">
        <f aca="false">L62</f>
        <v>0</v>
      </c>
      <c r="N62" s="1573" t="str">
        <f aca="false">IF(L62=M62,"○","×")</f>
        <v>○</v>
      </c>
      <c r="O62" s="1124"/>
      <c r="P62" s="1829"/>
      <c r="Q62" s="1124"/>
    </row>
    <row r="63" customFormat="false" ht="21.75" hidden="false" customHeight="true" outlineLevel="0" collapsed="false">
      <c r="A63" s="1805" t="s">
        <v>527</v>
      </c>
      <c r="B63" s="1804" t="n">
        <f aca="false">ROUND(B56*$N$35%,0)</f>
        <v>0</v>
      </c>
      <c r="C63" s="1804" t="n">
        <f aca="false">ROUND(C56*$N$35%,0)</f>
        <v>0</v>
      </c>
      <c r="D63" s="1804" t="n">
        <v>0</v>
      </c>
      <c r="E63" s="1804" t="n">
        <f aca="false">SUM(B63:D63)</f>
        <v>0</v>
      </c>
      <c r="F63" s="1804" t="n">
        <f aca="false">E63</f>
        <v>0</v>
      </c>
      <c r="G63" s="1573" t="str">
        <f aca="false">IF(E63=F63,"○","×")</f>
        <v>○</v>
      </c>
      <c r="H63" s="1805" t="s">
        <v>527</v>
      </c>
      <c r="I63" s="1804" t="n">
        <f aca="false">ROUND(I56*$N$35%,0)</f>
        <v>0</v>
      </c>
      <c r="J63" s="1804" t="n">
        <f aca="false">ROUND(J56*$N$35%,0)</f>
        <v>0</v>
      </c>
      <c r="K63" s="1804" t="n">
        <v>0</v>
      </c>
      <c r="L63" s="1804" t="n">
        <f aca="false">SUM(I63:K63)</f>
        <v>0</v>
      </c>
      <c r="M63" s="1804" t="n">
        <f aca="false">L63</f>
        <v>0</v>
      </c>
      <c r="N63" s="1573" t="str">
        <f aca="false">IF(L63=M63,"○","×")</f>
        <v>○</v>
      </c>
      <c r="O63" s="1124"/>
      <c r="P63" s="1830"/>
      <c r="Q63" s="1590"/>
    </row>
    <row r="64" customFormat="false" ht="21.75" hidden="false" customHeight="true" outlineLevel="0" collapsed="false">
      <c r="A64" s="1567" t="s">
        <v>457</v>
      </c>
      <c r="B64" s="1571" t="n">
        <f aca="false">SUM(B47:B63)</f>
        <v>60033698</v>
      </c>
      <c r="C64" s="1571" t="n">
        <f aca="false">SUM(C47:C63)</f>
        <v>60053622</v>
      </c>
      <c r="D64" s="1571" t="n">
        <f aca="false">SUM(D47:D63)</f>
        <v>1256574</v>
      </c>
      <c r="E64" s="1571" t="n">
        <f aca="false">SUM(E47:E63)</f>
        <v>121343894</v>
      </c>
      <c r="F64" s="1571" t="n">
        <f aca="false">SUM(F47:F63)</f>
        <v>121343894</v>
      </c>
      <c r="G64" s="1573" t="str">
        <f aca="false">IF(E64=F64,"○","×")</f>
        <v>○</v>
      </c>
      <c r="H64" s="1567" t="s">
        <v>457</v>
      </c>
      <c r="I64" s="1571" t="n">
        <f aca="false">SUM(I47:I63)</f>
        <v>10915214</v>
      </c>
      <c r="J64" s="1571" t="n">
        <f aca="false">SUM(J47:J63)</f>
        <v>10918848</v>
      </c>
      <c r="K64" s="1571" t="n">
        <f aca="false">SUM(K47:K63)</f>
        <v>228461</v>
      </c>
      <c r="L64" s="1571" t="n">
        <f aca="false">SUM(L47:L63)</f>
        <v>22062523</v>
      </c>
      <c r="M64" s="1571" t="n">
        <f aca="false">SUM(M47:M63)</f>
        <v>22062523</v>
      </c>
      <c r="N64" s="1573" t="str">
        <f aca="false">IF(L64=M64,"○","×")</f>
        <v>○</v>
      </c>
      <c r="O64" s="1124"/>
      <c r="P64" s="1830"/>
      <c r="Q64" s="1590"/>
    </row>
    <row r="65" customFormat="false" ht="21.75" hidden="false" customHeight="true" outlineLevel="0" collapsed="false">
      <c r="A65" s="1577"/>
      <c r="B65" s="1578"/>
      <c r="C65" s="1578"/>
      <c r="D65" s="1578"/>
      <c r="E65" s="1578"/>
      <c r="F65" s="1596"/>
      <c r="G65" s="1596"/>
      <c r="H65" s="1577"/>
      <c r="I65" s="1578"/>
      <c r="J65" s="1578"/>
      <c r="K65" s="1578"/>
      <c r="L65" s="1578"/>
      <c r="M65" s="1596"/>
      <c r="N65" s="1596"/>
      <c r="O65" s="1124"/>
      <c r="P65" s="1834"/>
      <c r="Q65" s="1594"/>
    </row>
    <row r="66" customFormat="false" ht="21.75" hidden="false" customHeight="true" outlineLevel="0" collapsed="false">
      <c r="A66" s="1564" t="s">
        <v>794</v>
      </c>
      <c r="B66" s="1581"/>
      <c r="C66" s="1582"/>
      <c r="D66" s="1582"/>
      <c r="E66" s="1582"/>
      <c r="F66" s="1566" t="s">
        <v>421</v>
      </c>
      <c r="G66" s="1564"/>
      <c r="H66" s="1564" t="s">
        <v>795</v>
      </c>
      <c r="I66" s="1581"/>
      <c r="J66" s="1582"/>
      <c r="K66" s="1582"/>
      <c r="L66" s="1582"/>
      <c r="M66" s="1566" t="s">
        <v>421</v>
      </c>
      <c r="N66" s="1564"/>
      <c r="O66" s="1564"/>
      <c r="P66" s="1808"/>
      <c r="Q66" s="1564"/>
    </row>
    <row r="67" customFormat="false" ht="30" hidden="false" customHeight="true" outlineLevel="0" collapsed="false">
      <c r="A67" s="1567" t="s">
        <v>284</v>
      </c>
      <c r="B67" s="1567" t="s">
        <v>852</v>
      </c>
      <c r="C67" s="1567" t="s">
        <v>377</v>
      </c>
      <c r="D67" s="1568" t="s">
        <v>765</v>
      </c>
      <c r="E67" s="1567" t="s">
        <v>796</v>
      </c>
      <c r="F67" s="1568" t="s">
        <v>797</v>
      </c>
      <c r="G67" s="1569" t="s">
        <v>798</v>
      </c>
      <c r="H67" s="1567" t="s">
        <v>284</v>
      </c>
      <c r="I67" s="1567" t="s">
        <v>852</v>
      </c>
      <c r="J67" s="1567" t="s">
        <v>377</v>
      </c>
      <c r="K67" s="1568" t="s">
        <v>765</v>
      </c>
      <c r="L67" s="1567" t="s">
        <v>799</v>
      </c>
      <c r="M67" s="1568" t="s">
        <v>800</v>
      </c>
      <c r="N67" s="1569" t="s">
        <v>801</v>
      </c>
      <c r="O67" s="1564"/>
      <c r="P67" s="1808"/>
      <c r="Q67" s="1124"/>
    </row>
    <row r="68" customFormat="false" ht="21.75" hidden="false" customHeight="true" outlineLevel="0" collapsed="false">
      <c r="A68" s="1570" t="s">
        <v>445</v>
      </c>
      <c r="B68" s="1571" t="n">
        <f aca="true">OFFSET('☆振替R7'!$I$6,$P$4*$P5,0,1,1)</f>
        <v>80435</v>
      </c>
      <c r="C68" s="1571" t="n">
        <f aca="true">OFFSET('☆振替R7'!$I$21,$P$4*$P5,0,1,1)</f>
        <v>80348</v>
      </c>
      <c r="D68" s="1571" t="n">
        <f aca="true">OFFSET('☆振替R7'!$I$8,$P$4*$P5,0,1,1)</f>
        <v>22651</v>
      </c>
      <c r="E68" s="1571" t="n">
        <f aca="false">SUM(B68:D68)</f>
        <v>183434</v>
      </c>
      <c r="F68" s="1571" t="n">
        <f aca="true">OFFSET('☆振替R7'!$H$28,$P$4*$P5,0,1,1)</f>
        <v>183434</v>
      </c>
      <c r="G68" s="1573" t="str">
        <f aca="false">IF(E68=F68,"○","×")</f>
        <v>○</v>
      </c>
      <c r="H68" s="1570" t="s">
        <v>445</v>
      </c>
      <c r="I68" s="1571" t="n">
        <f aca="true">OFFSET('☆振替R7'!$J$6,$P$4*$P5,0,1,1)</f>
        <v>16006704</v>
      </c>
      <c r="J68" s="1571" t="n">
        <f aca="true">OFFSET('☆振替R7'!$J$21,$P$4*$P5,0,1,1)</f>
        <v>15988995</v>
      </c>
      <c r="K68" s="1571" t="n">
        <f aca="true">OFFSET('☆振替R7'!$J$8,$P$4*$P5,0,1,1)</f>
        <v>4507707</v>
      </c>
      <c r="L68" s="1571" t="n">
        <f aca="false">SUM(I68:K68)</f>
        <v>36503406</v>
      </c>
      <c r="M68" s="1571" t="n">
        <f aca="true">OFFSET('☆振替R7'!$E$31,$P$4*$P5,0,1,1)</f>
        <v>36503406</v>
      </c>
      <c r="N68" s="1573" t="str">
        <f aca="false">IF(L68=M68,"○","×")</f>
        <v>○</v>
      </c>
      <c r="O68" s="1564"/>
      <c r="P68" s="1808"/>
      <c r="Q68" s="1124"/>
    </row>
    <row r="69" customFormat="false" ht="21.75" hidden="false" customHeight="true" outlineLevel="0" collapsed="false">
      <c r="A69" s="1570" t="s">
        <v>446</v>
      </c>
      <c r="B69" s="1571" t="n">
        <f aca="true">OFFSET('☆振替R7'!$I$6,$P$4*$P6,0,1,1)</f>
        <v>81035</v>
      </c>
      <c r="C69" s="1571" t="n">
        <f aca="true">OFFSET('☆振替R7'!$I$21,$P$4*$P6,0,1,1)</f>
        <v>81090</v>
      </c>
      <c r="D69" s="1571" t="n">
        <f aca="true">OFFSET('☆振替R7'!$I$8,$P$4*$P6,0,1,1)</f>
        <v>507</v>
      </c>
      <c r="E69" s="1571" t="n">
        <f aca="false">SUM(B69:D69)</f>
        <v>162632</v>
      </c>
      <c r="F69" s="1571" t="n">
        <f aca="true">OFFSET('☆振替R7'!$H$28,$P$4*$P6,0,1,1)</f>
        <v>162632</v>
      </c>
      <c r="G69" s="1573" t="str">
        <f aca="false">IF(E69=F69,"○","×")</f>
        <v>○</v>
      </c>
      <c r="H69" s="1570" t="s">
        <v>446</v>
      </c>
      <c r="I69" s="1571" t="n">
        <f aca="true">OFFSET('☆振替R7'!$J$6,$P$4*$P6,0,1,1)</f>
        <v>16126010</v>
      </c>
      <c r="J69" s="1571" t="n">
        <f aca="true">OFFSET('☆振替R7'!$J$21,$P$4*$P6,0,1,1)</f>
        <v>16136924</v>
      </c>
      <c r="K69" s="1571" t="n">
        <f aca="true">OFFSET('☆振替R7'!$J$8,$P$4*$P6,0,1,1)</f>
        <v>100971</v>
      </c>
      <c r="L69" s="1571" t="n">
        <f aca="false">SUM(I69:K69)</f>
        <v>32363905</v>
      </c>
      <c r="M69" s="1571" t="n">
        <f aca="true">OFFSET('☆振替R7'!$E$31,$P$4*$P6,0,1,1)</f>
        <v>32363905</v>
      </c>
      <c r="N69" s="1573" t="str">
        <f aca="false">IF(L69=M69,"○","×")</f>
        <v>○</v>
      </c>
      <c r="O69" s="1564"/>
      <c r="P69" s="1808"/>
      <c r="Q69" s="1124"/>
    </row>
    <row r="70" customFormat="false" ht="21.75" hidden="false" customHeight="true" outlineLevel="0" collapsed="false">
      <c r="A70" s="1570" t="s">
        <v>447</v>
      </c>
      <c r="B70" s="1571" t="n">
        <f aca="true">OFFSET('☆振替R7'!$I$6,$P$4*$P7,0,1,1)</f>
        <v>80914</v>
      </c>
      <c r="C70" s="1571" t="n">
        <f aca="true">OFFSET('☆振替R7'!$I$21,$P$4*$P7,0,1,1)</f>
        <v>80931</v>
      </c>
      <c r="D70" s="1571" t="n">
        <f aca="true">OFFSET('☆振替R7'!$I$8,$P$4*$P7,0,1,1)</f>
        <v>666</v>
      </c>
      <c r="E70" s="1571" t="n">
        <f aca="false">SUM(B70:D70)</f>
        <v>162511</v>
      </c>
      <c r="F70" s="1571" t="n">
        <f aca="true">OFFSET('☆振替R7'!$H$28,$P$4*$P7,0,1,1)</f>
        <v>162511</v>
      </c>
      <c r="G70" s="1573" t="str">
        <f aca="false">IF(E70=F70,"○","×")</f>
        <v>○</v>
      </c>
      <c r="H70" s="1570" t="s">
        <v>447</v>
      </c>
      <c r="I70" s="1571" t="n">
        <f aca="true">OFFSET('☆振替R7'!$J$6,$P$4*$P7,0,1,1)</f>
        <v>16102025</v>
      </c>
      <c r="J70" s="1571" t="n">
        <f aca="true">OFFSET('☆振替R7'!$J$21,$P$4*$P7,0,1,1)</f>
        <v>16105197</v>
      </c>
      <c r="K70" s="1571" t="n">
        <f aca="true">OFFSET('☆振替R7'!$J$8,$P$4*$P7,0,1,1)</f>
        <v>132620</v>
      </c>
      <c r="L70" s="1571" t="n">
        <f aca="false">SUM(I70:K70)</f>
        <v>32339842</v>
      </c>
      <c r="M70" s="1571" t="n">
        <f aca="true">OFFSET('☆振替R7'!$E$31,$P$4*$P7,0,1,1)</f>
        <v>32339842</v>
      </c>
      <c r="N70" s="1573" t="str">
        <f aca="false">IF(L70=M70,"○","×")</f>
        <v>○</v>
      </c>
      <c r="O70" s="1564"/>
      <c r="P70" s="1808"/>
      <c r="Q70" s="1124"/>
    </row>
    <row r="71" customFormat="false" ht="21.75" hidden="false" customHeight="true" outlineLevel="0" collapsed="false">
      <c r="A71" s="1570" t="s">
        <v>773</v>
      </c>
      <c r="B71" s="1571" t="n">
        <f aca="true">OFFSET('☆振替R7'!$I$6,$P$4*$P8,0,1,1)</f>
        <v>142196</v>
      </c>
      <c r="C71" s="1571" t="n">
        <f aca="true">OFFSET('☆振替R7'!$I$21,$P$4*$P8,0,1,1)</f>
        <v>142221</v>
      </c>
      <c r="D71" s="1574" t="n">
        <f aca="true">OFFSET('☆振替R7'!$I$8,$P$4*$P8,0,1,1)</f>
        <v>0</v>
      </c>
      <c r="E71" s="1571" t="n">
        <f aca="false">SUM(B71:D71)</f>
        <v>284417</v>
      </c>
      <c r="F71" s="1571" t="n">
        <f aca="true">OFFSET('☆振替R7'!$H$28,$P$4*$P8,0,1,1)</f>
        <v>284417</v>
      </c>
      <c r="G71" s="1573" t="str">
        <f aca="false">IF(E71=F71,"○","×")</f>
        <v>○</v>
      </c>
      <c r="H71" s="1570" t="s">
        <v>773</v>
      </c>
      <c r="I71" s="1571" t="n">
        <f aca="true">OFFSET('☆振替R7'!$J$6,$P$4*$P8,0,1,1)</f>
        <v>28297178</v>
      </c>
      <c r="J71" s="1571" t="n">
        <f aca="true">OFFSET('☆振替R7'!$J$21,$P$4*$P8,0,1,1)</f>
        <v>28301774</v>
      </c>
      <c r="K71" s="1574" t="n">
        <f aca="true">OFFSET('☆振替R7'!$J$8,$P$4*$P8,0,1,1)</f>
        <v>0</v>
      </c>
      <c r="L71" s="1571" t="n">
        <f aca="false">SUM(I71:K71)</f>
        <v>56598952</v>
      </c>
      <c r="M71" s="1571" t="n">
        <f aca="true">OFFSET('☆振替R7'!$E$31,$P$4*$P8,0,1,1)</f>
        <v>56598952</v>
      </c>
      <c r="N71" s="1573" t="str">
        <f aca="false">IF(L71=M71,"○","×")</f>
        <v>○</v>
      </c>
      <c r="O71" s="1564"/>
      <c r="P71" s="1808"/>
      <c r="Q71" s="1124"/>
    </row>
    <row r="72" customFormat="false" ht="21.75" hidden="false" customHeight="true" outlineLevel="0" collapsed="false">
      <c r="A72" s="1570" t="s">
        <v>448</v>
      </c>
      <c r="B72" s="1571" t="n">
        <f aca="true">OFFSET('☆振替R7'!$I$6,$P$4*$P9,0,1,1)</f>
        <v>82254</v>
      </c>
      <c r="C72" s="1571" t="n">
        <f aca="true">OFFSET('☆振替R7'!$I$21,$P$4*$P9,0,1,1)</f>
        <v>82315</v>
      </c>
      <c r="D72" s="1571" t="n">
        <f aca="true">OFFSET('☆振替R7'!$I$8,$P$4*$P9,0,1,1)</f>
        <v>300</v>
      </c>
      <c r="E72" s="1571" t="n">
        <f aca="false">SUM(B72:D72)</f>
        <v>164869</v>
      </c>
      <c r="F72" s="1571" t="n">
        <f aca="true">OFFSET('☆振替R7'!$H$28,$P$4*$P9,0,1,1)</f>
        <v>164869</v>
      </c>
      <c r="G72" s="1573" t="str">
        <f aca="false">IF(E72=F72,"○","×")</f>
        <v>○</v>
      </c>
      <c r="H72" s="1570" t="s">
        <v>448</v>
      </c>
      <c r="I72" s="1571" t="n">
        <f aca="true">OFFSET('☆振替R7'!$J$6,$P$4*$P9,0,1,1)</f>
        <v>16368683</v>
      </c>
      <c r="J72" s="1571" t="n">
        <f aca="true">OFFSET('☆振替R7'!$J$21,$P$4*$P9,0,1,1)</f>
        <v>16380608</v>
      </c>
      <c r="K72" s="1571" t="n">
        <f aca="true">OFFSET('☆振替R7'!$J$8,$P$4*$P9,0,1,1)</f>
        <v>59812</v>
      </c>
      <c r="L72" s="1571" t="n">
        <f aca="false">SUM(I72:K72)</f>
        <v>32809103</v>
      </c>
      <c r="M72" s="1571" t="n">
        <f aca="true">OFFSET('☆振替R7'!$E$31,$P$4*$P9,0,1,1)</f>
        <v>32809103</v>
      </c>
      <c r="N72" s="1573" t="str">
        <f aca="false">IF(L72=M72,"○","×")</f>
        <v>○</v>
      </c>
      <c r="O72" s="1564"/>
      <c r="P72" s="1808"/>
      <c r="Q72" s="1124"/>
    </row>
    <row r="73" customFormat="false" ht="21.75" hidden="false" customHeight="true" outlineLevel="0" collapsed="false">
      <c r="A73" s="1570" t="s">
        <v>449</v>
      </c>
      <c r="B73" s="1571" t="n">
        <f aca="true">OFFSET('☆振替R7'!$I$6,$P$4*$P10,0,1,1)</f>
        <v>81474</v>
      </c>
      <c r="C73" s="1571" t="n">
        <f aca="true">OFFSET('☆振替R7'!$I$21,$P$4*$P10,0,1,1)</f>
        <v>81525</v>
      </c>
      <c r="D73" s="1571" t="n">
        <f aca="true">OFFSET('☆振替R7'!$I$8,$P$4*$P10,0,1,1)</f>
        <v>444</v>
      </c>
      <c r="E73" s="1571" t="n">
        <f aca="false">SUM(B73:D73)</f>
        <v>163443</v>
      </c>
      <c r="F73" s="1571" t="n">
        <f aca="true">OFFSET('☆振替R7'!$H$28,$P$4*$P10,0,1,1)</f>
        <v>163443</v>
      </c>
      <c r="G73" s="1573" t="str">
        <f aca="false">IF(E73=F73,"○","×")</f>
        <v>○</v>
      </c>
      <c r="H73" s="1570" t="s">
        <v>449</v>
      </c>
      <c r="I73" s="1571" t="n">
        <f aca="true">OFFSET('☆振替R7'!$J$6,$P$4*$P10,0,1,1)</f>
        <v>16213494</v>
      </c>
      <c r="J73" s="1571" t="n">
        <f aca="true">OFFSET('☆振替R7'!$J$21,$P$4*$P10,0,1,1)</f>
        <v>16223380</v>
      </c>
      <c r="K73" s="1571" t="n">
        <f aca="true">OFFSET('☆振替R7'!$J$8,$P$4*$P10,0,1,1)</f>
        <v>88361</v>
      </c>
      <c r="L73" s="1571" t="n">
        <f aca="false">SUM(I73:K73)</f>
        <v>32525235</v>
      </c>
      <c r="M73" s="1571" t="n">
        <f aca="true">OFFSET('☆振替R7'!$E$31,$P$4*$P10,0,1,1)</f>
        <v>32525235</v>
      </c>
      <c r="N73" s="1573" t="str">
        <f aca="false">IF(L73=M73,"○","×")</f>
        <v>○</v>
      </c>
      <c r="O73" s="1124"/>
      <c r="P73" s="1810"/>
      <c r="Q73" s="1124"/>
    </row>
    <row r="74" customFormat="false" ht="21.75" hidden="false" customHeight="true" outlineLevel="0" collapsed="false">
      <c r="A74" s="1570" t="s">
        <v>450</v>
      </c>
      <c r="B74" s="1571" t="n">
        <f aca="true">OFFSET('☆振替R7'!$I$6,$P$4*$P11,0,1,1)</f>
        <v>82263</v>
      </c>
      <c r="C74" s="1571" t="n">
        <f aca="true">OFFSET('☆振替R7'!$I$21,$P$4*$P11,0,1,1)</f>
        <v>82295</v>
      </c>
      <c r="D74" s="1571" t="n">
        <f aca="true">OFFSET('☆振替R7'!$I$8,$P$4*$P11,0,1,1)</f>
        <v>1141</v>
      </c>
      <c r="E74" s="1571" t="n">
        <f aca="false">SUM(B74:D74)</f>
        <v>165699</v>
      </c>
      <c r="F74" s="1571" t="n">
        <f aca="true">OFFSET('☆振替R7'!$H$28,$P$4*$P11,0,1,1)</f>
        <v>165699</v>
      </c>
      <c r="G74" s="1573" t="str">
        <f aca="false">IF(E74=F74,"○","×")</f>
        <v>○</v>
      </c>
      <c r="H74" s="1570" t="s">
        <v>450</v>
      </c>
      <c r="I74" s="1571" t="n">
        <f aca="true">OFFSET('☆振替R7'!$J$6,$P$4*$P11,0,1,1)</f>
        <v>16370416</v>
      </c>
      <c r="J74" s="1571" t="n">
        <f aca="true">OFFSET('☆振替R7'!$J$21,$P$4*$P11,0,1,1)</f>
        <v>16376643</v>
      </c>
      <c r="K74" s="1571" t="n">
        <f aca="true">OFFSET('☆振替R7'!$J$8,$P$4*$P11,0,1,1)</f>
        <v>227259</v>
      </c>
      <c r="L74" s="1571" t="n">
        <f aca="false">SUM(I74:K74)</f>
        <v>32974318</v>
      </c>
      <c r="M74" s="1571" t="n">
        <f aca="true">OFFSET('☆振替R7'!$E$31,$P$4*$P11,0,1,1)</f>
        <v>32974318</v>
      </c>
      <c r="N74" s="1573" t="str">
        <f aca="false">IF(L74=M74,"○","×")</f>
        <v>○</v>
      </c>
      <c r="O74" s="1124"/>
      <c r="P74" s="1810"/>
      <c r="Q74" s="1124"/>
    </row>
    <row r="75" customFormat="false" ht="21.75" hidden="false" customHeight="true" outlineLevel="0" collapsed="false">
      <c r="A75" s="1570" t="s">
        <v>451</v>
      </c>
      <c r="B75" s="1571" t="n">
        <f aca="true">OFFSET('☆振替R7'!$I$6,$P$4*$P12,0,1,1)</f>
        <v>84510</v>
      </c>
      <c r="C75" s="1571" t="n">
        <f aca="true">OFFSET('☆振替R7'!$I$21,$P$4*$P12,0,1,1)</f>
        <v>84606</v>
      </c>
      <c r="D75" s="1571" t="n">
        <f aca="true">OFFSET('☆振替R7'!$I$8,$P$4*$P12,0,1,1)</f>
        <v>531</v>
      </c>
      <c r="E75" s="1571" t="n">
        <f aca="false">SUM(B75:D75)</f>
        <v>169647</v>
      </c>
      <c r="F75" s="1571" t="n">
        <f aca="true">OFFSET('☆振替R7'!$H$28,$P$4*$P12,0,1,1)</f>
        <v>169647</v>
      </c>
      <c r="G75" s="1573" t="str">
        <f aca="false">IF(E75=F75,"○","×")</f>
        <v>○</v>
      </c>
      <c r="H75" s="1570" t="s">
        <v>451</v>
      </c>
      <c r="I75" s="1571" t="n">
        <f aca="true">OFFSET('☆振替R7'!$J$6,$P$4*$P12,0,1,1)</f>
        <v>16817664</v>
      </c>
      <c r="J75" s="1571" t="n">
        <f aca="true">OFFSET('☆振替R7'!$J$21,$P$4*$P12,0,1,1)</f>
        <v>16836281</v>
      </c>
      <c r="K75" s="1571" t="n">
        <f aca="true">OFFSET('☆振替R7'!$J$8,$P$4*$P12,0,1,1)</f>
        <v>105831</v>
      </c>
      <c r="L75" s="1571" t="n">
        <f aca="false">SUM(I75:K75)</f>
        <v>33759776</v>
      </c>
      <c r="M75" s="1571" t="n">
        <f aca="true">OFFSET('☆振替R7'!$E$31,$P$4*$P12,0,1,1)</f>
        <v>33759776</v>
      </c>
      <c r="N75" s="1573" t="str">
        <f aca="false">IF(L75=M75,"○","×")</f>
        <v>○</v>
      </c>
      <c r="O75" s="1124"/>
      <c r="P75" s="1810"/>
      <c r="Q75" s="1124"/>
    </row>
    <row r="76" customFormat="false" ht="21.75" hidden="false" customHeight="true" outlineLevel="0" collapsed="false">
      <c r="A76" s="1570" t="s">
        <v>452</v>
      </c>
      <c r="B76" s="1571" t="n">
        <f aca="true">OFFSET('☆振替R7'!$I$6,$P$4*$P13,0,1,1)</f>
        <v>84414</v>
      </c>
      <c r="C76" s="1571" t="n">
        <f aca="true">OFFSET('☆振替R7'!$I$21,$P$4*$P13,0,1,1)</f>
        <v>84448</v>
      </c>
      <c r="D76" s="1571" t="n">
        <f aca="true">OFFSET('☆振替R7'!$I$8,$P$4*$P13,0,1,1)</f>
        <v>234</v>
      </c>
      <c r="E76" s="1571" t="n">
        <f aca="false">SUM(B76:D76)</f>
        <v>169096</v>
      </c>
      <c r="F76" s="1571" t="n">
        <f aca="true">OFFSET('☆振替R7'!$H$28,$P$4*$P13,0,1,1)</f>
        <v>169096</v>
      </c>
      <c r="G76" s="1573" t="str">
        <f aca="false">IF(E76=F76,"○","×")</f>
        <v>○</v>
      </c>
      <c r="H76" s="1570" t="s">
        <v>452</v>
      </c>
      <c r="I76" s="1571" t="n">
        <f aca="true">OFFSET('☆振替R7'!$J$6,$P$4*$P13,0,1,1)</f>
        <v>16798485</v>
      </c>
      <c r="J76" s="1571" t="n">
        <f aca="true">OFFSET('☆振替R7'!$J$21,$P$4*$P13,0,1,1)</f>
        <v>16805170</v>
      </c>
      <c r="K76" s="1571" t="n">
        <f aca="true">OFFSET('☆振替R7'!$J$8,$P$4*$P13,0,1,1)</f>
        <v>46661</v>
      </c>
      <c r="L76" s="1571" t="n">
        <f aca="false">SUM(I76:K76)</f>
        <v>33650316</v>
      </c>
      <c r="M76" s="1571" t="n">
        <f aca="true">OFFSET('☆振替R7'!$E$31,$P$4*$P13,0,1,1)</f>
        <v>33650316</v>
      </c>
      <c r="N76" s="1573" t="str">
        <f aca="false">IF(L76=M76,"○","×")</f>
        <v>○</v>
      </c>
      <c r="O76" s="1124"/>
      <c r="P76" s="1810"/>
      <c r="Q76" s="1124"/>
    </row>
    <row r="77" customFormat="false" ht="21.75" hidden="false" customHeight="true" outlineLevel="0" collapsed="false">
      <c r="A77" s="1803" t="s">
        <v>774</v>
      </c>
      <c r="B77" s="1804" t="n">
        <f aca="false">ROUND(B71/$N$32*$N$33,0)</f>
        <v>142196</v>
      </c>
      <c r="C77" s="1804" t="n">
        <f aca="false">ROUND(C71/$N$32*$N$33,0)</f>
        <v>142221</v>
      </c>
      <c r="D77" s="1804" t="n">
        <v>0</v>
      </c>
      <c r="E77" s="1804" t="n">
        <f aca="false">SUM(B77:D77)</f>
        <v>284417</v>
      </c>
      <c r="F77" s="1804" t="n">
        <f aca="false">E77</f>
        <v>284417</v>
      </c>
      <c r="G77" s="1573" t="str">
        <f aca="false">IF(E77=F77,"○","×")</f>
        <v>○</v>
      </c>
      <c r="H77" s="1803" t="s">
        <v>774</v>
      </c>
      <c r="I77" s="1804" t="n">
        <f aca="false">ROUND(I71/$N$32*$N$33,0)</f>
        <v>28297178</v>
      </c>
      <c r="J77" s="1804" t="n">
        <f aca="false">ROUND(J71/$N$32*$N$33,0)</f>
        <v>28301774</v>
      </c>
      <c r="K77" s="1804" t="n">
        <v>0</v>
      </c>
      <c r="L77" s="1804" t="n">
        <f aca="false">SUM(I77:K77)</f>
        <v>56598952</v>
      </c>
      <c r="M77" s="1804" t="n">
        <f aca="false">L77</f>
        <v>56598952</v>
      </c>
      <c r="N77" s="1573" t="str">
        <f aca="false">IF(L77=M77,"○","×")</f>
        <v>○</v>
      </c>
      <c r="O77" s="1124"/>
      <c r="P77" s="1810"/>
      <c r="Q77" s="1124"/>
    </row>
    <row r="78" customFormat="false" ht="21.75" hidden="false" customHeight="true" outlineLevel="0" collapsed="false">
      <c r="A78" s="1803" t="s">
        <v>453</v>
      </c>
      <c r="B78" s="1804" t="n">
        <f aca="false">B76</f>
        <v>84414</v>
      </c>
      <c r="C78" s="1804" t="n">
        <f aca="false">C76</f>
        <v>84448</v>
      </c>
      <c r="D78" s="1804" t="n">
        <f aca="false">D76</f>
        <v>234</v>
      </c>
      <c r="E78" s="1804" t="n">
        <f aca="false">SUM(B78:D78)</f>
        <v>169096</v>
      </c>
      <c r="F78" s="1804" t="n">
        <f aca="false">E78</f>
        <v>169096</v>
      </c>
      <c r="G78" s="1573" t="str">
        <f aca="false">IF(E78=F78,"○","×")</f>
        <v>○</v>
      </c>
      <c r="H78" s="1803" t="s">
        <v>453</v>
      </c>
      <c r="I78" s="1804" t="n">
        <f aca="false">I76</f>
        <v>16798485</v>
      </c>
      <c r="J78" s="1804" t="n">
        <f aca="false">J76</f>
        <v>16805170</v>
      </c>
      <c r="K78" s="1804" t="n">
        <f aca="false">K76</f>
        <v>46661</v>
      </c>
      <c r="L78" s="1804" t="n">
        <f aca="false">SUM(I78:K78)</f>
        <v>33650316</v>
      </c>
      <c r="M78" s="1804" t="n">
        <f aca="false">L78</f>
        <v>33650316</v>
      </c>
      <c r="N78" s="1573" t="str">
        <f aca="false">IF(L78=M78,"○","×")</f>
        <v>○</v>
      </c>
      <c r="O78" s="1124"/>
      <c r="P78" s="1810"/>
      <c r="Q78" s="1124"/>
    </row>
    <row r="79" customFormat="false" ht="21.75" hidden="false" customHeight="true" outlineLevel="0" collapsed="false">
      <c r="A79" s="1803" t="s">
        <v>454</v>
      </c>
      <c r="B79" s="1804" t="n">
        <f aca="false">B78</f>
        <v>84414</v>
      </c>
      <c r="C79" s="1804" t="n">
        <f aca="false">C78</f>
        <v>84448</v>
      </c>
      <c r="D79" s="1804" t="n">
        <f aca="false">D78</f>
        <v>234</v>
      </c>
      <c r="E79" s="1804" t="n">
        <f aca="false">SUM(B79:D79)</f>
        <v>169096</v>
      </c>
      <c r="F79" s="1804" t="n">
        <f aca="false">E79</f>
        <v>169096</v>
      </c>
      <c r="G79" s="1573" t="str">
        <f aca="false">IF(E79=F79,"○","×")</f>
        <v>○</v>
      </c>
      <c r="H79" s="1803" t="s">
        <v>454</v>
      </c>
      <c r="I79" s="1804" t="n">
        <f aca="false">I78</f>
        <v>16798485</v>
      </c>
      <c r="J79" s="1804" t="n">
        <f aca="false">J78</f>
        <v>16805170</v>
      </c>
      <c r="K79" s="1804" t="n">
        <f aca="false">K78</f>
        <v>46661</v>
      </c>
      <c r="L79" s="1804" t="n">
        <f aca="false">SUM(I79:K79)</f>
        <v>33650316</v>
      </c>
      <c r="M79" s="1804" t="n">
        <f aca="false">L79</f>
        <v>33650316</v>
      </c>
      <c r="N79" s="1573" t="str">
        <f aca="false">IF(L79=M79,"○","×")</f>
        <v>○</v>
      </c>
      <c r="O79" s="1124"/>
      <c r="P79" s="1810"/>
      <c r="Q79" s="1124"/>
    </row>
    <row r="80" customFormat="false" ht="21.75" hidden="false" customHeight="true" outlineLevel="0" collapsed="false">
      <c r="A80" s="1803" t="s">
        <v>455</v>
      </c>
      <c r="B80" s="1804" t="n">
        <f aca="false">B79</f>
        <v>84414</v>
      </c>
      <c r="C80" s="1804" t="n">
        <f aca="false">C79</f>
        <v>84448</v>
      </c>
      <c r="D80" s="1804" t="n">
        <f aca="false">D79</f>
        <v>234</v>
      </c>
      <c r="E80" s="1804" t="n">
        <f aca="false">SUM(B80:D80)</f>
        <v>169096</v>
      </c>
      <c r="F80" s="1804" t="n">
        <f aca="false">E80</f>
        <v>169096</v>
      </c>
      <c r="G80" s="1573" t="str">
        <f aca="false">IF(E80=F80,"○","×")</f>
        <v>○</v>
      </c>
      <c r="H80" s="1803" t="s">
        <v>455</v>
      </c>
      <c r="I80" s="1804" t="n">
        <f aca="false">I79</f>
        <v>16798485</v>
      </c>
      <c r="J80" s="1804" t="n">
        <f aca="false">J79</f>
        <v>16805170</v>
      </c>
      <c r="K80" s="1804" t="n">
        <f aca="false">K79</f>
        <v>46661</v>
      </c>
      <c r="L80" s="1804" t="n">
        <f aca="false">SUM(I80:K80)</f>
        <v>33650316</v>
      </c>
      <c r="M80" s="1804" t="n">
        <f aca="false">L80</f>
        <v>33650316</v>
      </c>
      <c r="N80" s="1573" t="str">
        <f aca="false">IF(L80=M80,"○","×")</f>
        <v>○</v>
      </c>
      <c r="O80" s="1124"/>
      <c r="P80" s="1810"/>
      <c r="Q80" s="1124"/>
    </row>
    <row r="81" customFormat="false" ht="21.75" hidden="false" customHeight="true" outlineLevel="0" collapsed="false">
      <c r="A81" s="1803" t="s">
        <v>775</v>
      </c>
      <c r="B81" s="1804" t="n">
        <f aca="false">ROUND(B71/$N$32*$N$34,0)</f>
        <v>30471</v>
      </c>
      <c r="C81" s="1804" t="n">
        <f aca="false">ROUND(C71/$N$32*$N$34,0)</f>
        <v>30476</v>
      </c>
      <c r="D81" s="1804" t="n">
        <v>0</v>
      </c>
      <c r="E81" s="1804" t="n">
        <f aca="false">SUM(B81:D81)</f>
        <v>60947</v>
      </c>
      <c r="F81" s="1804" t="n">
        <f aca="false">E81</f>
        <v>60947</v>
      </c>
      <c r="G81" s="1573" t="str">
        <f aca="false">IF(E81=F81,"○","×")</f>
        <v>○</v>
      </c>
      <c r="H81" s="1803" t="s">
        <v>775</v>
      </c>
      <c r="I81" s="1804" t="n">
        <f aca="false">ROUND(I71/$N$32*$N$34,0)</f>
        <v>6063681</v>
      </c>
      <c r="J81" s="1804" t="n">
        <f aca="false">ROUND(J71/$N$32*$N$34,0)</f>
        <v>6064666</v>
      </c>
      <c r="K81" s="1804" t="n">
        <v>0</v>
      </c>
      <c r="L81" s="1804" t="n">
        <f aca="false">SUM(I81:K81)</f>
        <v>12128347</v>
      </c>
      <c r="M81" s="1804" t="n">
        <f aca="false">L81</f>
        <v>12128347</v>
      </c>
      <c r="N81" s="1573" t="str">
        <f aca="false">IF(L81=M81,"○","×")</f>
        <v>○</v>
      </c>
      <c r="O81" s="1124"/>
      <c r="P81" s="1810"/>
      <c r="Q81" s="1124"/>
    </row>
    <row r="82" customFormat="false" ht="21.75" hidden="false" customHeight="true" outlineLevel="0" collapsed="false">
      <c r="A82" s="1803" t="s">
        <v>456</v>
      </c>
      <c r="B82" s="1804" t="n">
        <f aca="false">B80</f>
        <v>84414</v>
      </c>
      <c r="C82" s="1804" t="n">
        <f aca="false">C80</f>
        <v>84448</v>
      </c>
      <c r="D82" s="1804" t="n">
        <f aca="false">D80</f>
        <v>234</v>
      </c>
      <c r="E82" s="1804" t="n">
        <f aca="false">SUM(B82:D82)</f>
        <v>169096</v>
      </c>
      <c r="F82" s="1804" t="n">
        <f aca="false">E82</f>
        <v>169096</v>
      </c>
      <c r="G82" s="1573" t="str">
        <f aca="false">IF(E82=F82,"○","×")</f>
        <v>○</v>
      </c>
      <c r="H82" s="1803" t="s">
        <v>456</v>
      </c>
      <c r="I82" s="1804" t="n">
        <f aca="false">I80</f>
        <v>16798485</v>
      </c>
      <c r="J82" s="1804" t="n">
        <f aca="false">J80</f>
        <v>16805170</v>
      </c>
      <c r="K82" s="1804" t="n">
        <f aca="false">K80</f>
        <v>46661</v>
      </c>
      <c r="L82" s="1804" t="n">
        <f aca="false">SUM(I82:K82)</f>
        <v>33650316</v>
      </c>
      <c r="M82" s="1804" t="n">
        <f aca="false">L82</f>
        <v>33650316</v>
      </c>
      <c r="N82" s="1573" t="str">
        <f aca="false">IF(L82=M82,"○","×")</f>
        <v>○</v>
      </c>
      <c r="O82" s="1124"/>
      <c r="P82" s="1810"/>
      <c r="Q82" s="1124"/>
    </row>
    <row r="83" customFormat="false" ht="21.75" hidden="false" customHeight="true" outlineLevel="0" collapsed="false">
      <c r="A83" s="1805" t="s">
        <v>526</v>
      </c>
      <c r="B83" s="1804" t="n">
        <f aca="false">ROUND(B71*$N$35%,0)</f>
        <v>0</v>
      </c>
      <c r="C83" s="1804" t="n">
        <f aca="false">ROUND(C71*$N$35%,0)</f>
        <v>0</v>
      </c>
      <c r="D83" s="1804" t="n">
        <v>0</v>
      </c>
      <c r="E83" s="1804" t="n">
        <f aca="false">SUM(B83:D83)</f>
        <v>0</v>
      </c>
      <c r="F83" s="1804" t="n">
        <f aca="false">E83</f>
        <v>0</v>
      </c>
      <c r="G83" s="1573" t="str">
        <f aca="false">IF(E83=F83,"○","×")</f>
        <v>○</v>
      </c>
      <c r="H83" s="1805" t="s">
        <v>526</v>
      </c>
      <c r="I83" s="1804" t="n">
        <f aca="false">ROUND(I71*$N$35%,0)</f>
        <v>0</v>
      </c>
      <c r="J83" s="1804" t="n">
        <f aca="false">ROUND(J71*$N$35%,0)</f>
        <v>0</v>
      </c>
      <c r="K83" s="1804" t="n">
        <v>0</v>
      </c>
      <c r="L83" s="1804" t="n">
        <f aca="false">SUM(I83:K83)</f>
        <v>0</v>
      </c>
      <c r="M83" s="1804" t="n">
        <f aca="false">L83</f>
        <v>0</v>
      </c>
      <c r="N83" s="1573" t="str">
        <f aca="false">IF(L83=M83,"○","×")</f>
        <v>○</v>
      </c>
      <c r="O83" s="1124"/>
      <c r="P83" s="1810"/>
      <c r="Q83" s="1124"/>
    </row>
    <row r="84" customFormat="false" ht="21.75" hidden="false" customHeight="true" outlineLevel="0" collapsed="false">
      <c r="A84" s="1805" t="s">
        <v>527</v>
      </c>
      <c r="B84" s="1804" t="n">
        <f aca="false">ROUND(B77*$N$35%,0)</f>
        <v>0</v>
      </c>
      <c r="C84" s="1804" t="n">
        <f aca="false">ROUND(C77*$N$35%,0)</f>
        <v>0</v>
      </c>
      <c r="D84" s="1804" t="n">
        <v>0</v>
      </c>
      <c r="E84" s="1804" t="n">
        <f aca="false">SUM(B84:D84)</f>
        <v>0</v>
      </c>
      <c r="F84" s="1804" t="n">
        <f aca="false">E84</f>
        <v>0</v>
      </c>
      <c r="G84" s="1573" t="str">
        <f aca="false">IF(E84=F84,"○","×")</f>
        <v>○</v>
      </c>
      <c r="H84" s="1805" t="s">
        <v>527</v>
      </c>
      <c r="I84" s="1804" t="n">
        <f aca="false">ROUND(I77*$N$35%,0)</f>
        <v>0</v>
      </c>
      <c r="J84" s="1804" t="n">
        <f aca="false">ROUND(J77*$N$35%,0)</f>
        <v>0</v>
      </c>
      <c r="K84" s="1804" t="n">
        <v>0</v>
      </c>
      <c r="L84" s="1804" t="n">
        <f aca="false">SUM(I84:K84)</f>
        <v>0</v>
      </c>
      <c r="M84" s="1804" t="n">
        <f aca="false">L84</f>
        <v>0</v>
      </c>
      <c r="N84" s="1573" t="str">
        <f aca="false">IF(L84=M84,"○","×")</f>
        <v>○</v>
      </c>
      <c r="O84" s="1124"/>
      <c r="P84" s="1810"/>
      <c r="Q84" s="1124"/>
    </row>
    <row r="85" customFormat="false" ht="21.75" hidden="false" customHeight="true" outlineLevel="0" collapsed="false">
      <c r="A85" s="1567" t="s">
        <v>457</v>
      </c>
      <c r="B85" s="1571" t="n">
        <f aca="false">SUM(B68:B84)</f>
        <v>1309818</v>
      </c>
      <c r="C85" s="1571" t="n">
        <f aca="false">SUM(C68:C84)</f>
        <v>1310268</v>
      </c>
      <c r="D85" s="1571" t="n">
        <f aca="false">SUM(D68:D84)</f>
        <v>27410</v>
      </c>
      <c r="E85" s="1571" t="n">
        <f aca="false">SUM(E68:E84)</f>
        <v>2647496</v>
      </c>
      <c r="F85" s="1571" t="n">
        <f aca="false">SUM(F68:F84)</f>
        <v>2647496</v>
      </c>
      <c r="G85" s="1573" t="str">
        <f aca="false">IF(E85=F85,"○","×")</f>
        <v>○</v>
      </c>
      <c r="H85" s="1567" t="s">
        <v>457</v>
      </c>
      <c r="I85" s="1571" t="n">
        <f aca="false">SUM(I68:I84)</f>
        <v>260655458</v>
      </c>
      <c r="J85" s="1571" t="n">
        <f aca="false">SUM(J68:J84)</f>
        <v>260742092</v>
      </c>
      <c r="K85" s="1571" t="n">
        <f aca="false">SUM(K68:K84)</f>
        <v>5455866</v>
      </c>
      <c r="L85" s="1571" t="n">
        <f aca="false">SUM(L68:L84)</f>
        <v>526853416</v>
      </c>
      <c r="M85" s="1571" t="n">
        <f aca="false">SUM(M68:M84)</f>
        <v>526853416</v>
      </c>
      <c r="N85" s="1573" t="str">
        <f aca="false">IF(L85=M85,"○","×")</f>
        <v>○</v>
      </c>
      <c r="O85" s="1124"/>
      <c r="P85" s="1810"/>
      <c r="Q85" s="1124"/>
    </row>
    <row r="86" customFormat="false" ht="21.75" hidden="false" customHeight="true" outlineLevel="0" collapsed="false"/>
  </sheetData>
  <mergeCells count="3">
    <mergeCell ref="P1:Q3"/>
    <mergeCell ref="L30:O31"/>
    <mergeCell ref="P51:Q51"/>
  </mergeCells>
  <printOptions headings="false" gridLines="false" gridLinesSet="true" horizontalCentered="false" verticalCentered="false"/>
  <pageMargins left="0.118055555555556" right="0.118055555555556" top="0.551388888888889" bottom="0.354166666666667" header="0.511811023622047" footer="0"/>
  <pageSetup paperSize="9" scale="60" fitToWidth="1" fitToHeight="1" pageOrder="downThenOver" orientation="landscape" blackAndWhite="false" draft="false" cellComments="none" horizontalDpi="300" verticalDpi="300" copies="1"/>
  <headerFooter differentFirst="false" differentOddEven="false">
    <oddHeader/>
    <oddFooter>&amp;C&amp;9&amp;Z&amp;F&amp;A</oddFooter>
  </headerFooter>
  <rowBreaks count="1" manualBreakCount="1">
    <brk id="44"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2001-12-26T01:17:47Z</dcterms:created>
  <dc:creator>広島市職員共済組合</dc:creator>
  <dc:description/>
  <dc:language>en-US</dc:language>
  <cp:lastModifiedBy>村井 慶子</cp:lastModifiedBy>
  <cp:lastPrinted>2026-10-02T04:05:43Z</cp:lastPrinted>
  <dcterms:modified xsi:type="dcterms:W3CDTF">2026-10-13T03:27:04Z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